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3.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trlProps/ctrlProp86.xml" ContentType="application/vnd.ms-excel.controlproperties+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trlProps/ctrlProp87.xml" ContentType="application/vnd.ms-excel.controlproperties+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trlProps/ctrlProp88.xml" ContentType="application/vnd.ms-excel.controlproperties+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trlProps/ctrlProp89.xml" ContentType="application/vnd.ms-excel.controlproperties+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Z:\EEB\2 aktiv\28.640 Kosten und Wirtschaftlichkeit\02 econ calc\01_econ calc tool aktuell\econ calc v3.1\"/>
    </mc:Choice>
  </mc:AlternateContent>
  <bookViews>
    <workbookView xWindow="9480" yWindow="2145" windowWidth="14520" windowHeight="5235" tabRatio="899" firstSheet="1" activeTab="14"/>
  </bookViews>
  <sheets>
    <sheet name="0. Info" sheetId="101" r:id="rId1"/>
    <sheet name="E.1 Kosten" sheetId="98" r:id="rId2"/>
    <sheet name="E.2 Wirtschaftlichkeit" sheetId="59" r:id="rId3"/>
    <sheet name="1. Projektangaben" sheetId="100" r:id="rId4"/>
    <sheet name="2. Energie KW." sheetId="19" r:id="rId5"/>
    <sheet name="3.1 I&amp;W" sheetId="93" r:id="rId6"/>
    <sheet name="3.1 Fi&amp;Fo" sheetId="30" r:id="rId7"/>
    <sheet name="3.2 I&amp;W" sheetId="107" r:id="rId8"/>
    <sheet name="3.2 Fi&amp;Fo" sheetId="108" r:id="rId9"/>
    <sheet name="3.3 I&amp;W" sheetId="109" r:id="rId10"/>
    <sheet name="3.3 Fi&amp;Fo" sheetId="110" r:id="rId11"/>
    <sheet name="3.4 I&amp;W" sheetId="112" r:id="rId12"/>
    <sheet name="3.4 Fi&amp;Fo" sheetId="111" r:id="rId13"/>
    <sheet name="3.5 I&amp;W" sheetId="113" r:id="rId14"/>
    <sheet name="3.5 Fi&amp;Fo" sheetId="114" r:id="rId15"/>
    <sheet name="LISTEN" sheetId="116" state="hidden" r:id="rId16"/>
    <sheet name="BERECHNUNG" sheetId="29" state="hidden" r:id="rId17"/>
    <sheet name="PV-Einspeisung" sheetId="115" state="hidden" r:id="rId18"/>
    <sheet name="Annuitätenzuschuss" sheetId="118" state="hidden" r:id="rId19"/>
  </sheets>
  <definedNames>
    <definedName name="_xlnm.Print_Area" localSheetId="3">'1. Projektangaben'!$A$1:$X$95</definedName>
    <definedName name="_xlnm.Print_Area" localSheetId="4">'2. Energie KW.'!$A$1:$Q$163</definedName>
    <definedName name="_xlnm.Print_Area" localSheetId="1">'E.1 Kosten'!$A$1:$U$82</definedName>
    <definedName name="_xlnm.Print_Area" localSheetId="2">'E.2 Wirtschaftlichkeit'!$A$1:$U$87</definedName>
    <definedName name="_xlnm.Print_Titles" localSheetId="3">'1. Projektangaben'!$1:$16</definedName>
    <definedName name="_xlnm.Print_Titles" localSheetId="4">'2. Energie KW.'!$1:$8</definedName>
    <definedName name="_xlnm.Print_Titles" localSheetId="2">'E.2 Wirtschaftlichkeit'!$1:$9</definedName>
    <definedName name="Liste_Bauherr">LISTEN!$C$36:$C$39</definedName>
    <definedName name="Liste_Betrachtung">LISTEN!$C$41:$C$42</definedName>
    <definedName name="Liste_ENTR">LISTEN!$C$6:$C$15</definedName>
    <definedName name="Liste_Gebtyp">LISTEN!$C$21:$C$29</definedName>
    <definedName name="Print_Area" localSheetId="0">'0. Info'!$A$1:$AB$140</definedName>
    <definedName name="Print_Area" localSheetId="4">'2. Energie KW.'!$A$1:$Q$164</definedName>
    <definedName name="Print_Titles" localSheetId="4">'2. Energie KW.'!$1:$8</definedName>
  </definedNames>
  <calcPr calcId="162913"/>
</workbook>
</file>

<file path=xl/calcChain.xml><?xml version="1.0" encoding="utf-8"?>
<calcChain xmlns="http://schemas.openxmlformats.org/spreadsheetml/2006/main">
  <c r="I43" i="100" l="1"/>
  <c r="I42" i="100"/>
  <c r="Q129" i="107" l="1"/>
  <c r="Q128" i="107"/>
  <c r="E44" i="59" l="1"/>
  <c r="Q207" i="93" l="1"/>
  <c r="Q160" i="113"/>
  <c r="Q159" i="113"/>
  <c r="Q158" i="113"/>
  <c r="Q207" i="112"/>
  <c r="Q146" i="112"/>
  <c r="Q145" i="112"/>
  <c r="Q131" i="109"/>
  <c r="Q130" i="109"/>
  <c r="Q45" i="107"/>
  <c r="Q197" i="107"/>
  <c r="Q188" i="107"/>
  <c r="Q139" i="107"/>
  <c r="Q76" i="107"/>
  <c r="Q70" i="107"/>
  <c r="O45" i="93"/>
  <c r="Q250" i="93" l="1"/>
  <c r="Q249" i="93"/>
  <c r="Q248" i="93"/>
  <c r="Q247" i="93"/>
  <c r="Q246" i="93"/>
  <c r="Q222" i="93"/>
  <c r="Q197" i="93"/>
  <c r="Q188" i="93"/>
  <c r="Q146" i="93"/>
  <c r="Q145" i="93"/>
  <c r="Q139" i="93"/>
  <c r="Q135" i="93"/>
  <c r="Q129" i="93"/>
  <c r="Q128" i="93"/>
  <c r="Q104" i="93"/>
  <c r="Q86" i="93"/>
  <c r="Q85" i="93"/>
  <c r="Q84" i="93"/>
  <c r="Q43" i="93"/>
  <c r="Q78" i="93"/>
  <c r="Q77" i="93"/>
  <c r="Q76" i="93"/>
  <c r="Q71" i="93"/>
  <c r="Q70" i="93"/>
  <c r="Q34" i="93"/>
  <c r="D43" i="100" l="1"/>
  <c r="D42" i="100"/>
  <c r="N19" i="114" l="1"/>
  <c r="G19" i="114" s="1"/>
  <c r="G14" i="114"/>
  <c r="G19" i="111"/>
  <c r="N20" i="111"/>
  <c r="G19" i="110"/>
  <c r="N20" i="110"/>
  <c r="G19" i="108"/>
  <c r="N20" i="108"/>
  <c r="P106" i="29" l="1"/>
  <c r="P107" i="29"/>
  <c r="Q107" i="29" s="1"/>
  <c r="F11" i="118"/>
  <c r="Q180" i="118" l="1"/>
  <c r="Q448" i="118"/>
  <c r="Q314" i="118"/>
  <c r="Q583" i="118"/>
  <c r="Q46" i="118"/>
  <c r="AA108" i="29" l="1"/>
  <c r="C12" i="100"/>
  <c r="D30" i="30" l="1"/>
  <c r="G17" i="114" l="1"/>
  <c r="G17" i="111"/>
  <c r="G17" i="110"/>
  <c r="G17" i="108"/>
  <c r="G17" i="30"/>
  <c r="C23" i="59" l="1"/>
  <c r="R9" i="115"/>
  <c r="M13" i="113" l="1"/>
  <c r="M13" i="112"/>
  <c r="M13" i="109"/>
  <c r="M13" i="107"/>
  <c r="T40" i="19"/>
  <c r="T42" i="19" s="1"/>
  <c r="T71" i="19"/>
  <c r="T73" i="19" s="1"/>
  <c r="T102" i="19"/>
  <c r="T104" i="19" s="1"/>
  <c r="T133" i="19"/>
  <c r="V155" i="19" s="1"/>
  <c r="V19" i="19"/>
  <c r="W109" i="19" l="1"/>
  <c r="W111" i="19"/>
  <c r="W113" i="19"/>
  <c r="W124" i="19"/>
  <c r="W115" i="19"/>
  <c r="J115" i="19" s="1"/>
  <c r="W119" i="19"/>
  <c r="W129" i="19"/>
  <c r="V108" i="19"/>
  <c r="V110" i="19"/>
  <c r="V112" i="19"/>
  <c r="V123" i="19"/>
  <c r="V125" i="19"/>
  <c r="W116" i="19"/>
  <c r="W120" i="19"/>
  <c r="W130" i="19"/>
  <c r="W108" i="19"/>
  <c r="J108" i="19" s="1"/>
  <c r="W110" i="19"/>
  <c r="J110" i="19" s="1"/>
  <c r="W112" i="19"/>
  <c r="W123" i="19"/>
  <c r="W125" i="19"/>
  <c r="W117" i="19"/>
  <c r="W121" i="19"/>
  <c r="V109" i="19"/>
  <c r="V111" i="19"/>
  <c r="V113" i="19"/>
  <c r="V124" i="19"/>
  <c r="W114" i="19"/>
  <c r="J114" i="19" s="1"/>
  <c r="W118" i="19"/>
  <c r="J118" i="19" s="1"/>
  <c r="W122" i="19"/>
  <c r="V79" i="19"/>
  <c r="V92" i="19"/>
  <c r="W79" i="19"/>
  <c r="J79" i="19" s="1"/>
  <c r="W83" i="19"/>
  <c r="W87" i="19"/>
  <c r="W91" i="19"/>
  <c r="W98" i="19"/>
  <c r="V77" i="19"/>
  <c r="V80" i="19"/>
  <c r="V93" i="19"/>
  <c r="W80" i="19"/>
  <c r="W84" i="19"/>
  <c r="W88" i="19"/>
  <c r="W92" i="19"/>
  <c r="W99" i="19"/>
  <c r="W77" i="19"/>
  <c r="J77" i="19" s="1"/>
  <c r="V81" i="19"/>
  <c r="V94" i="19"/>
  <c r="W81" i="19"/>
  <c r="W85" i="19"/>
  <c r="W89" i="19"/>
  <c r="W93" i="19"/>
  <c r="V78" i="19"/>
  <c r="V82" i="19"/>
  <c r="W78" i="19"/>
  <c r="W82" i="19"/>
  <c r="W86" i="19"/>
  <c r="W90" i="19"/>
  <c r="W94" i="19"/>
  <c r="V50" i="19"/>
  <c r="W54" i="19"/>
  <c r="V47" i="19"/>
  <c r="W47" i="19"/>
  <c r="W55" i="19"/>
  <c r="W63" i="19"/>
  <c r="V48" i="19"/>
  <c r="V61" i="19"/>
  <c r="W48" i="19"/>
  <c r="J48" i="19" s="1"/>
  <c r="W52" i="19"/>
  <c r="W56" i="19"/>
  <c r="W60" i="19"/>
  <c r="W67" i="19"/>
  <c r="W46" i="19"/>
  <c r="V63" i="19"/>
  <c r="W50" i="19"/>
  <c r="W58" i="19"/>
  <c r="W62" i="19"/>
  <c r="V51" i="19"/>
  <c r="W51" i="19"/>
  <c r="W59" i="19"/>
  <c r="V46" i="19"/>
  <c r="V49" i="19"/>
  <c r="V62" i="19"/>
  <c r="W49" i="19"/>
  <c r="W53" i="19"/>
  <c r="W57" i="19"/>
  <c r="W61" i="19"/>
  <c r="W68" i="19"/>
  <c r="T41" i="19"/>
  <c r="R46" i="19" s="1"/>
  <c r="T72" i="19"/>
  <c r="R77" i="19" s="1"/>
  <c r="T103" i="19"/>
  <c r="R108" i="19" s="1"/>
  <c r="V143" i="19"/>
  <c r="V154" i="19"/>
  <c r="V139" i="19"/>
  <c r="V141" i="19"/>
  <c r="V156" i="19"/>
  <c r="V144" i="19"/>
  <c r="V140" i="19"/>
  <c r="V142" i="19"/>
  <c r="W160" i="19"/>
  <c r="J160" i="19" s="1"/>
  <c r="W153" i="19"/>
  <c r="W149" i="19"/>
  <c r="W145" i="19"/>
  <c r="W141" i="19"/>
  <c r="W139" i="19"/>
  <c r="W155" i="19"/>
  <c r="W151" i="19"/>
  <c r="W147" i="19"/>
  <c r="W143" i="19"/>
  <c r="W161" i="19"/>
  <c r="W154" i="19"/>
  <c r="W150" i="19"/>
  <c r="W146" i="19"/>
  <c r="W142" i="19"/>
  <c r="W156" i="19"/>
  <c r="W152" i="19"/>
  <c r="W148" i="19"/>
  <c r="W144" i="19"/>
  <c r="W140" i="19"/>
  <c r="J37" i="19"/>
  <c r="J36" i="19"/>
  <c r="T135" i="19"/>
  <c r="T134" i="19"/>
  <c r="R139" i="19" s="1"/>
  <c r="J22" i="19"/>
  <c r="J23" i="19"/>
  <c r="J24" i="19"/>
  <c r="J25" i="19"/>
  <c r="J26" i="19"/>
  <c r="J27" i="19"/>
  <c r="J28" i="19"/>
  <c r="J29" i="19"/>
  <c r="J21" i="19"/>
  <c r="F16" i="19"/>
  <c r="Y16" i="19" s="1"/>
  <c r="F18" i="19"/>
  <c r="Y18" i="19" s="1"/>
  <c r="F19" i="19"/>
  <c r="Y19" i="19" s="1"/>
  <c r="F20" i="19"/>
  <c r="Y20" i="19" s="1"/>
  <c r="F30" i="19"/>
  <c r="Y30" i="19" s="1"/>
  <c r="F31" i="19"/>
  <c r="Y31" i="19" s="1"/>
  <c r="F32" i="19"/>
  <c r="Y32" i="19" s="1"/>
  <c r="F13" i="59"/>
  <c r="N137" i="19"/>
  <c r="N106" i="19"/>
  <c r="N75" i="19"/>
  <c r="N44" i="19"/>
  <c r="N13" i="19"/>
  <c r="B1" i="19" s="1"/>
  <c r="W49" i="59"/>
  <c r="G22" i="100"/>
  <c r="F27" i="100"/>
  <c r="F26" i="100"/>
  <c r="F25" i="100"/>
  <c r="F24" i="100"/>
  <c r="F23" i="100"/>
  <c r="AJ51" i="29"/>
  <c r="T139" i="19"/>
  <c r="R47" i="19" l="1"/>
  <c r="R78" i="19"/>
  <c r="R109" i="19"/>
  <c r="J139" i="19"/>
  <c r="R140" i="19"/>
  <c r="B21" i="59"/>
  <c r="B133" i="19"/>
  <c r="B102" i="19"/>
  <c r="B71" i="19"/>
  <c r="B40" i="19"/>
  <c r="B9" i="19"/>
  <c r="E16" i="98"/>
  <c r="E17" i="98"/>
  <c r="E18" i="98"/>
  <c r="E19" i="98"/>
  <c r="P18" i="59"/>
  <c r="P17" i="59"/>
  <c r="P16" i="59"/>
  <c r="P14" i="59"/>
  <c r="P15" i="59"/>
  <c r="S47" i="19"/>
  <c r="J46" i="19" l="1"/>
  <c r="R48" i="19"/>
  <c r="R79" i="19"/>
  <c r="R110" i="19"/>
  <c r="R141" i="19"/>
  <c r="P60" i="100"/>
  <c r="B60" i="100" s="1"/>
  <c r="T141" i="19"/>
  <c r="J141" i="19" l="1"/>
  <c r="F47" i="19"/>
  <c r="Y47" i="19" s="1"/>
  <c r="R49" i="19"/>
  <c r="R80" i="19"/>
  <c r="R111" i="19"/>
  <c r="R142" i="19"/>
  <c r="Y27" i="100"/>
  <c r="Z27" i="100" s="1"/>
  <c r="W18" i="59" s="1"/>
  <c r="Y26" i="100"/>
  <c r="Z26" i="100" s="1"/>
  <c r="W17" i="59" s="1"/>
  <c r="Y25" i="100"/>
  <c r="Z25" i="100" s="1"/>
  <c r="W16" i="59" s="1"/>
  <c r="Y24" i="100"/>
  <c r="Z24" i="100" s="1"/>
  <c r="W15" i="59" s="1"/>
  <c r="Y23" i="100"/>
  <c r="Z23" i="100" s="1"/>
  <c r="W14" i="59" s="1"/>
  <c r="I17" i="59"/>
  <c r="M18" i="59"/>
  <c r="I18" i="59"/>
  <c r="S109" i="19"/>
  <c r="S78" i="19"/>
  <c r="S49" i="19"/>
  <c r="F78" i="19" l="1"/>
  <c r="Y78" i="19" s="1"/>
  <c r="F109" i="19"/>
  <c r="Y109" i="19" s="1"/>
  <c r="R50" i="19"/>
  <c r="R81" i="19"/>
  <c r="R112" i="19"/>
  <c r="R143" i="19"/>
  <c r="L83" i="100"/>
  <c r="R71" i="100"/>
  <c r="S140" i="19"/>
  <c r="S50" i="19"/>
  <c r="F140" i="19" l="1"/>
  <c r="Y140" i="19" s="1"/>
  <c r="F49" i="19"/>
  <c r="Y49" i="19" s="1"/>
  <c r="R51" i="19"/>
  <c r="R82" i="19"/>
  <c r="R113" i="19"/>
  <c r="R144" i="19"/>
  <c r="AY43" i="107"/>
  <c r="AX43" i="107"/>
  <c r="S111" i="19"/>
  <c r="S51" i="19"/>
  <c r="S80" i="19"/>
  <c r="F80" i="19" l="1"/>
  <c r="Y80" i="19" s="1"/>
  <c r="F111" i="19"/>
  <c r="Y111" i="19" s="1"/>
  <c r="F50" i="19"/>
  <c r="Y50" i="19" s="1"/>
  <c r="R52" i="19"/>
  <c r="R83" i="19"/>
  <c r="R114" i="19"/>
  <c r="R145" i="19"/>
  <c r="AI250" i="93"/>
  <c r="AI249" i="93"/>
  <c r="AI248" i="93"/>
  <c r="AI247" i="93"/>
  <c r="AI246" i="93"/>
  <c r="AI216" i="93"/>
  <c r="AI211" i="93"/>
  <c r="AI210" i="93"/>
  <c r="AI209" i="93"/>
  <c r="AI208" i="93"/>
  <c r="AI207" i="93"/>
  <c r="AI200" i="93"/>
  <c r="AI199" i="93"/>
  <c r="AI198" i="93"/>
  <c r="AI197" i="93"/>
  <c r="AI194" i="93"/>
  <c r="AI193" i="93"/>
  <c r="AI192" i="93"/>
  <c r="AI191" i="93"/>
  <c r="AI190" i="93"/>
  <c r="AI189" i="93"/>
  <c r="AI188" i="93"/>
  <c r="AI185" i="93"/>
  <c r="AI184" i="93"/>
  <c r="AI180" i="93"/>
  <c r="AI179" i="93"/>
  <c r="AI178" i="93"/>
  <c r="AI170" i="93"/>
  <c r="AI169" i="93"/>
  <c r="AI168" i="93"/>
  <c r="AI167" i="93"/>
  <c r="AI163" i="93"/>
  <c r="AI161" i="93"/>
  <c r="AI160" i="93"/>
  <c r="AI159" i="93"/>
  <c r="AI158" i="93"/>
  <c r="AI154" i="93"/>
  <c r="AI153" i="93"/>
  <c r="AI150" i="93"/>
  <c r="AI149" i="93"/>
  <c r="AI146" i="93"/>
  <c r="AI145" i="93"/>
  <c r="AI141" i="93"/>
  <c r="AI140" i="93"/>
  <c r="AI139" i="93"/>
  <c r="AI138" i="93"/>
  <c r="AI135" i="93"/>
  <c r="AI133" i="93"/>
  <c r="AI132" i="93"/>
  <c r="AI131" i="93"/>
  <c r="AI130" i="93"/>
  <c r="AI129" i="93"/>
  <c r="AI128" i="93"/>
  <c r="AI120" i="93"/>
  <c r="AI119" i="93"/>
  <c r="AI110" i="93"/>
  <c r="AI109" i="93"/>
  <c r="AI108" i="93"/>
  <c r="AI107" i="93"/>
  <c r="AI106" i="93"/>
  <c r="AI105" i="93"/>
  <c r="AI104" i="93"/>
  <c r="AI101" i="93"/>
  <c r="AI100" i="93"/>
  <c r="AI97" i="93"/>
  <c r="AI96" i="93"/>
  <c r="AI95" i="93"/>
  <c r="AI91" i="93"/>
  <c r="AI90" i="93"/>
  <c r="AI89" i="93"/>
  <c r="AI86" i="93"/>
  <c r="AI85" i="93"/>
  <c r="AI84" i="93"/>
  <c r="AI81" i="93"/>
  <c r="AI80" i="93"/>
  <c r="AI79" i="93"/>
  <c r="AI78" i="93"/>
  <c r="AI77" i="93"/>
  <c r="AI76" i="93"/>
  <c r="AI72" i="93"/>
  <c r="AI71" i="93"/>
  <c r="AI70" i="93"/>
  <c r="AI67" i="93"/>
  <c r="AI66" i="93"/>
  <c r="AI63" i="93"/>
  <c r="AI62" i="93"/>
  <c r="AI61" i="93"/>
  <c r="AI58" i="93"/>
  <c r="AI57" i="93"/>
  <c r="AI56" i="93"/>
  <c r="AI52" i="93"/>
  <c r="AI51" i="93"/>
  <c r="AI50" i="93"/>
  <c r="AI49" i="93"/>
  <c r="AI46" i="93"/>
  <c r="AI45" i="93"/>
  <c r="AI44" i="93"/>
  <c r="AI43" i="93"/>
  <c r="AI34" i="93"/>
  <c r="AI27" i="93"/>
  <c r="AY258" i="113"/>
  <c r="AX258" i="113"/>
  <c r="AY257" i="113"/>
  <c r="AX257" i="113"/>
  <c r="AY256" i="113"/>
  <c r="AX256" i="113"/>
  <c r="BB250" i="113"/>
  <c r="BA250" i="113"/>
  <c r="AZ250" i="113"/>
  <c r="AY250" i="113"/>
  <c r="AX250" i="113"/>
  <c r="BB249" i="113"/>
  <c r="BA249" i="113"/>
  <c r="AZ249" i="113"/>
  <c r="AY249" i="113"/>
  <c r="AX249" i="113"/>
  <c r="BB248" i="113"/>
  <c r="BA248" i="113"/>
  <c r="AZ248" i="113"/>
  <c r="AY248" i="113"/>
  <c r="AX248" i="113"/>
  <c r="BB247" i="113"/>
  <c r="BA247" i="113"/>
  <c r="AZ247" i="113"/>
  <c r="AY247" i="113"/>
  <c r="AX247" i="113"/>
  <c r="BB246" i="113"/>
  <c r="BA246" i="113"/>
  <c r="AZ246" i="113"/>
  <c r="AY246" i="113"/>
  <c r="AX246" i="113"/>
  <c r="AY239" i="113"/>
  <c r="AY234" i="113"/>
  <c r="AY233" i="113"/>
  <c r="AY227" i="113"/>
  <c r="AX227" i="113"/>
  <c r="AY226" i="113"/>
  <c r="AX226" i="113"/>
  <c r="AY225" i="113"/>
  <c r="AX225" i="113"/>
  <c r="AY224" i="113"/>
  <c r="AX224" i="113"/>
  <c r="AY223" i="113"/>
  <c r="AX223" i="113"/>
  <c r="AY222" i="113"/>
  <c r="AX222" i="113"/>
  <c r="BB216" i="113"/>
  <c r="BA216" i="113"/>
  <c r="AZ216" i="113"/>
  <c r="AY216" i="113"/>
  <c r="AX216" i="113"/>
  <c r="BB211" i="113"/>
  <c r="BA211" i="113"/>
  <c r="AZ211" i="113"/>
  <c r="AY211" i="113"/>
  <c r="AX211" i="113"/>
  <c r="BB210" i="113"/>
  <c r="BA210" i="113"/>
  <c r="AZ210" i="113"/>
  <c r="AY210" i="113"/>
  <c r="AX210" i="113"/>
  <c r="BB209" i="113"/>
  <c r="BA209" i="113"/>
  <c r="AZ209" i="113"/>
  <c r="AY209" i="113"/>
  <c r="AX209" i="113"/>
  <c r="BB208" i="113"/>
  <c r="BA208" i="113"/>
  <c r="AZ208" i="113"/>
  <c r="AY208" i="113"/>
  <c r="AX208" i="113"/>
  <c r="BB207" i="113"/>
  <c r="BA207" i="113"/>
  <c r="AZ207" i="113"/>
  <c r="AY207" i="113"/>
  <c r="AX207" i="113"/>
  <c r="BB200" i="113"/>
  <c r="BA200" i="113"/>
  <c r="AZ200" i="113"/>
  <c r="AY200" i="113"/>
  <c r="AX200" i="113"/>
  <c r="BB199" i="113"/>
  <c r="BA199" i="113"/>
  <c r="AZ199" i="113"/>
  <c r="AY199" i="113"/>
  <c r="AX199" i="113"/>
  <c r="BB198" i="113"/>
  <c r="BA198" i="113"/>
  <c r="AZ198" i="113"/>
  <c r="AY198" i="113"/>
  <c r="AX198" i="113"/>
  <c r="BB197" i="113"/>
  <c r="BA197" i="113"/>
  <c r="AZ197" i="113"/>
  <c r="AY197" i="113"/>
  <c r="AX197" i="113"/>
  <c r="BB194" i="113"/>
  <c r="BA194" i="113"/>
  <c r="AZ194" i="113"/>
  <c r="AY194" i="113"/>
  <c r="AX194" i="113"/>
  <c r="BB193" i="113"/>
  <c r="BA193" i="113"/>
  <c r="AZ193" i="113"/>
  <c r="AY193" i="113"/>
  <c r="AX193" i="113"/>
  <c r="BB192" i="113"/>
  <c r="BA192" i="113"/>
  <c r="AZ192" i="113"/>
  <c r="AY192" i="113"/>
  <c r="AX192" i="113"/>
  <c r="BB191" i="113"/>
  <c r="BA191" i="113"/>
  <c r="AZ191" i="113"/>
  <c r="AY191" i="113"/>
  <c r="AX191" i="113"/>
  <c r="BB190" i="113"/>
  <c r="BA190" i="113"/>
  <c r="AZ190" i="113"/>
  <c r="AY190" i="113"/>
  <c r="AX190" i="113"/>
  <c r="BB189" i="113"/>
  <c r="BA189" i="113"/>
  <c r="AZ189" i="113"/>
  <c r="AY189" i="113"/>
  <c r="AX189" i="113"/>
  <c r="BB188" i="113"/>
  <c r="BA188" i="113"/>
  <c r="AZ188" i="113"/>
  <c r="AY188" i="113"/>
  <c r="AX188" i="113"/>
  <c r="BB185" i="113"/>
  <c r="BA185" i="113"/>
  <c r="AZ185" i="113"/>
  <c r="AY185" i="113"/>
  <c r="AX185" i="113"/>
  <c r="BB184" i="113"/>
  <c r="BA184" i="113"/>
  <c r="AZ184" i="113"/>
  <c r="AY184" i="113"/>
  <c r="AX184" i="113"/>
  <c r="BB180" i="113"/>
  <c r="BA180" i="113"/>
  <c r="AZ180" i="113"/>
  <c r="AY180" i="113"/>
  <c r="AX180" i="113"/>
  <c r="BB179" i="113"/>
  <c r="BA179" i="113"/>
  <c r="AZ179" i="113"/>
  <c r="AY179" i="113"/>
  <c r="AX179" i="113"/>
  <c r="BB178" i="113"/>
  <c r="BA178" i="113"/>
  <c r="AZ178" i="113"/>
  <c r="AY178" i="113"/>
  <c r="AX178" i="113"/>
  <c r="BB170" i="113"/>
  <c r="BA170" i="113"/>
  <c r="AZ170" i="113"/>
  <c r="AY170" i="113"/>
  <c r="AX170" i="113"/>
  <c r="BB169" i="113"/>
  <c r="BA169" i="113"/>
  <c r="AZ169" i="113"/>
  <c r="AY169" i="113"/>
  <c r="AX169" i="113"/>
  <c r="BB168" i="113"/>
  <c r="BA168" i="113"/>
  <c r="AZ168" i="113"/>
  <c r="AY168" i="113"/>
  <c r="AX168" i="113"/>
  <c r="BB167" i="113"/>
  <c r="BA167" i="113"/>
  <c r="AZ167" i="113"/>
  <c r="AY167" i="113"/>
  <c r="AX167" i="113"/>
  <c r="BB163" i="113"/>
  <c r="BA163" i="113"/>
  <c r="AZ163" i="113"/>
  <c r="AY163" i="113"/>
  <c r="AX163" i="113"/>
  <c r="BB161" i="113"/>
  <c r="BA161" i="113"/>
  <c r="AZ161" i="113"/>
  <c r="AY161" i="113"/>
  <c r="AX161" i="113"/>
  <c r="BB160" i="113"/>
  <c r="BA160" i="113"/>
  <c r="AZ160" i="113"/>
  <c r="AY160" i="113"/>
  <c r="AX160" i="113"/>
  <c r="BB159" i="113"/>
  <c r="BA159" i="113"/>
  <c r="AZ159" i="113"/>
  <c r="AY159" i="113"/>
  <c r="AX159" i="113"/>
  <c r="BB158" i="113"/>
  <c r="BA158" i="113"/>
  <c r="AZ158" i="113"/>
  <c r="AY158" i="113"/>
  <c r="AX158" i="113"/>
  <c r="BB154" i="113"/>
  <c r="BA154" i="113"/>
  <c r="AZ154" i="113"/>
  <c r="AY154" i="113"/>
  <c r="AX154" i="113"/>
  <c r="BB153" i="113"/>
  <c r="BA153" i="113"/>
  <c r="AZ153" i="113"/>
  <c r="AY153" i="113"/>
  <c r="AX153" i="113"/>
  <c r="BB150" i="113"/>
  <c r="BA150" i="113"/>
  <c r="AZ150" i="113"/>
  <c r="AY150" i="113"/>
  <c r="AX150" i="113"/>
  <c r="BB149" i="113"/>
  <c r="BA149" i="113"/>
  <c r="AZ149" i="113"/>
  <c r="AY149" i="113"/>
  <c r="AX149" i="113"/>
  <c r="BB146" i="113"/>
  <c r="BA146" i="113"/>
  <c r="AZ146" i="113"/>
  <c r="AY146" i="113"/>
  <c r="AX146" i="113"/>
  <c r="BB145" i="113"/>
  <c r="BA145" i="113"/>
  <c r="AZ145" i="113"/>
  <c r="AY145" i="113"/>
  <c r="AX145" i="113"/>
  <c r="BB141" i="113"/>
  <c r="BA141" i="113"/>
  <c r="AZ141" i="113"/>
  <c r="AY141" i="113"/>
  <c r="AX141" i="113"/>
  <c r="BB140" i="113"/>
  <c r="BA140" i="113"/>
  <c r="AZ140" i="113"/>
  <c r="AY140" i="113"/>
  <c r="AX140" i="113"/>
  <c r="BB139" i="113"/>
  <c r="BA139" i="113"/>
  <c r="AZ139" i="113"/>
  <c r="AY139" i="113"/>
  <c r="AX139" i="113"/>
  <c r="BB138" i="113"/>
  <c r="BA138" i="113"/>
  <c r="AZ138" i="113"/>
  <c r="AY138" i="113"/>
  <c r="AX138" i="113"/>
  <c r="BB135" i="113"/>
  <c r="BA135" i="113"/>
  <c r="AZ135" i="113"/>
  <c r="AY135" i="113"/>
  <c r="AX135" i="113"/>
  <c r="BB133" i="113"/>
  <c r="BA133" i="113"/>
  <c r="AZ133" i="113"/>
  <c r="AY133" i="113"/>
  <c r="AX133" i="113"/>
  <c r="BB132" i="113"/>
  <c r="BA132" i="113"/>
  <c r="AZ132" i="113"/>
  <c r="AY132" i="113"/>
  <c r="AX132" i="113"/>
  <c r="BB131" i="113"/>
  <c r="BA131" i="113"/>
  <c r="AZ131" i="113"/>
  <c r="AY131" i="113"/>
  <c r="AX131" i="113"/>
  <c r="BB130" i="113"/>
  <c r="BA130" i="113"/>
  <c r="AZ130" i="113"/>
  <c r="AY130" i="113"/>
  <c r="AX130" i="113"/>
  <c r="BB129" i="113"/>
  <c r="BA129" i="113"/>
  <c r="AZ129" i="113"/>
  <c r="AY129" i="113"/>
  <c r="AX129" i="113"/>
  <c r="BB128" i="113"/>
  <c r="BA128" i="113"/>
  <c r="AZ128" i="113"/>
  <c r="AY128" i="113"/>
  <c r="AX128" i="113"/>
  <c r="BB120" i="113"/>
  <c r="BA120" i="113"/>
  <c r="AZ120" i="113"/>
  <c r="AY120" i="113"/>
  <c r="AX120" i="113"/>
  <c r="BB119" i="113"/>
  <c r="BA119" i="113"/>
  <c r="AZ119" i="113"/>
  <c r="AY119" i="113"/>
  <c r="AX119" i="113"/>
  <c r="BB110" i="113"/>
  <c r="BA110" i="113"/>
  <c r="AZ110" i="113"/>
  <c r="AY110" i="113"/>
  <c r="AX110" i="113"/>
  <c r="BB109" i="113"/>
  <c r="BA109" i="113"/>
  <c r="AZ109" i="113"/>
  <c r="AY109" i="113"/>
  <c r="AX109" i="113"/>
  <c r="BB108" i="113"/>
  <c r="BA108" i="113"/>
  <c r="AZ108" i="113"/>
  <c r="AY108" i="113"/>
  <c r="AX108" i="113"/>
  <c r="BB107" i="113"/>
  <c r="BA107" i="113"/>
  <c r="AZ107" i="113"/>
  <c r="AY107" i="113"/>
  <c r="AX107" i="113"/>
  <c r="BB106" i="113"/>
  <c r="BA106" i="113"/>
  <c r="AZ106" i="113"/>
  <c r="AY106" i="113"/>
  <c r="AX106" i="113"/>
  <c r="BB105" i="113"/>
  <c r="BA105" i="113"/>
  <c r="AZ105" i="113"/>
  <c r="AY105" i="113"/>
  <c r="AX105" i="113"/>
  <c r="BB104" i="113"/>
  <c r="BA104" i="113"/>
  <c r="AZ104" i="113"/>
  <c r="AY104" i="113"/>
  <c r="AX104" i="113"/>
  <c r="BB101" i="113"/>
  <c r="BA101" i="113"/>
  <c r="AZ101" i="113"/>
  <c r="AY101" i="113"/>
  <c r="AX101" i="113"/>
  <c r="BB100" i="113"/>
  <c r="BA100" i="113"/>
  <c r="AZ100" i="113"/>
  <c r="AY100" i="113"/>
  <c r="AX100" i="113"/>
  <c r="BB97" i="113"/>
  <c r="BA97" i="113"/>
  <c r="AZ97" i="113"/>
  <c r="AY97" i="113"/>
  <c r="AX97" i="113"/>
  <c r="BB96" i="113"/>
  <c r="BA96" i="113"/>
  <c r="AZ96" i="113"/>
  <c r="AY96" i="113"/>
  <c r="AX96" i="113"/>
  <c r="BB95" i="113"/>
  <c r="BA95" i="113"/>
  <c r="AZ95" i="113"/>
  <c r="AY95" i="113"/>
  <c r="AX95" i="113"/>
  <c r="BB91" i="113"/>
  <c r="BA91" i="113"/>
  <c r="AZ91" i="113"/>
  <c r="AY91" i="113"/>
  <c r="AX91" i="113"/>
  <c r="BB90" i="113"/>
  <c r="BA90" i="113"/>
  <c r="AZ90" i="113"/>
  <c r="AY90" i="113"/>
  <c r="AX90" i="113"/>
  <c r="BB89" i="113"/>
  <c r="BA89" i="113"/>
  <c r="AZ89" i="113"/>
  <c r="AY89" i="113"/>
  <c r="AX89" i="113"/>
  <c r="BB86" i="113"/>
  <c r="BA86" i="113"/>
  <c r="AZ86" i="113"/>
  <c r="AY86" i="113"/>
  <c r="AX86" i="113"/>
  <c r="BB85" i="113"/>
  <c r="BA85" i="113"/>
  <c r="AZ85" i="113"/>
  <c r="AY85" i="113"/>
  <c r="AX85" i="113"/>
  <c r="BB84" i="113"/>
  <c r="BA84" i="113"/>
  <c r="AZ84" i="113"/>
  <c r="AY84" i="113"/>
  <c r="AX84" i="113"/>
  <c r="BB81" i="113"/>
  <c r="BA81" i="113"/>
  <c r="AZ81" i="113"/>
  <c r="AY81" i="113"/>
  <c r="AX81" i="113"/>
  <c r="BB80" i="113"/>
  <c r="BA80" i="113"/>
  <c r="AZ80" i="113"/>
  <c r="AY80" i="113"/>
  <c r="AX80" i="113"/>
  <c r="BB79" i="113"/>
  <c r="BA79" i="113"/>
  <c r="AZ79" i="113"/>
  <c r="AY79" i="113"/>
  <c r="AX79" i="113"/>
  <c r="BB78" i="113"/>
  <c r="BA78" i="113"/>
  <c r="AZ78" i="113"/>
  <c r="AY78" i="113"/>
  <c r="AX78" i="113"/>
  <c r="BB77" i="113"/>
  <c r="BA77" i="113"/>
  <c r="AZ77" i="113"/>
  <c r="AY77" i="113"/>
  <c r="AX77" i="113"/>
  <c r="BB76" i="113"/>
  <c r="BA76" i="113"/>
  <c r="AZ76" i="113"/>
  <c r="AY76" i="113"/>
  <c r="AX76" i="113"/>
  <c r="BB72" i="113"/>
  <c r="BA72" i="113"/>
  <c r="AZ72" i="113"/>
  <c r="AY72" i="113"/>
  <c r="AX72" i="113"/>
  <c r="BB71" i="113"/>
  <c r="BA71" i="113"/>
  <c r="AZ71" i="113"/>
  <c r="AY71" i="113"/>
  <c r="AX71" i="113"/>
  <c r="BB70" i="113"/>
  <c r="BA70" i="113"/>
  <c r="AZ70" i="113"/>
  <c r="AY70" i="113"/>
  <c r="AX70" i="113"/>
  <c r="BB67" i="113"/>
  <c r="BA67" i="113"/>
  <c r="AZ67" i="113"/>
  <c r="AY67" i="113"/>
  <c r="AX67" i="113"/>
  <c r="BB66" i="113"/>
  <c r="BA66" i="113"/>
  <c r="AZ66" i="113"/>
  <c r="AY66" i="113"/>
  <c r="AX66" i="113"/>
  <c r="BB63" i="113"/>
  <c r="BA63" i="113"/>
  <c r="AZ63" i="113"/>
  <c r="AY63" i="113"/>
  <c r="AX63" i="113"/>
  <c r="BB62" i="113"/>
  <c r="BA62" i="113"/>
  <c r="AZ62" i="113"/>
  <c r="AY62" i="113"/>
  <c r="AX62" i="113"/>
  <c r="BB61" i="113"/>
  <c r="BA61" i="113"/>
  <c r="AZ61" i="113"/>
  <c r="AY61" i="113"/>
  <c r="AX61" i="113"/>
  <c r="BB58" i="113"/>
  <c r="BA58" i="113"/>
  <c r="AZ58" i="113"/>
  <c r="AY58" i="113"/>
  <c r="AX58" i="113"/>
  <c r="BB57" i="113"/>
  <c r="BA57" i="113"/>
  <c r="AZ57" i="113"/>
  <c r="AY57" i="113"/>
  <c r="AX57" i="113"/>
  <c r="BB56" i="113"/>
  <c r="BA56" i="113"/>
  <c r="AZ56" i="113"/>
  <c r="AY56" i="113"/>
  <c r="AX56" i="113"/>
  <c r="BB52" i="113"/>
  <c r="BA52" i="113"/>
  <c r="AZ52" i="113"/>
  <c r="AY52" i="113"/>
  <c r="AX52" i="113"/>
  <c r="BB51" i="113"/>
  <c r="BA51" i="113"/>
  <c r="AZ51" i="113"/>
  <c r="AY51" i="113"/>
  <c r="AX51" i="113"/>
  <c r="BB50" i="113"/>
  <c r="BA50" i="113"/>
  <c r="AZ50" i="113"/>
  <c r="AY50" i="113"/>
  <c r="AX50" i="113"/>
  <c r="BB49" i="113"/>
  <c r="BA49" i="113"/>
  <c r="AZ49" i="113"/>
  <c r="AY49" i="113"/>
  <c r="AX49" i="113"/>
  <c r="BB46" i="113"/>
  <c r="BA46" i="113"/>
  <c r="AZ46" i="113"/>
  <c r="AY46" i="113"/>
  <c r="AX46" i="113"/>
  <c r="BB45" i="113"/>
  <c r="BA45" i="113"/>
  <c r="AZ45" i="113"/>
  <c r="AY45" i="113"/>
  <c r="AX45" i="113"/>
  <c r="BB44" i="113"/>
  <c r="BA44" i="113"/>
  <c r="AZ44" i="113"/>
  <c r="AY44" i="113"/>
  <c r="AX44" i="113"/>
  <c r="BB43" i="113"/>
  <c r="BA43" i="113"/>
  <c r="AZ43" i="113"/>
  <c r="AY43" i="113"/>
  <c r="AX43" i="113"/>
  <c r="BB34" i="113"/>
  <c r="AY34" i="113"/>
  <c r="BB27" i="113"/>
  <c r="AY27" i="113"/>
  <c r="AY258" i="112"/>
  <c r="AX258" i="112"/>
  <c r="AY257" i="112"/>
  <c r="AX257" i="112"/>
  <c r="AY256" i="112"/>
  <c r="AX256" i="112"/>
  <c r="BB250" i="112"/>
  <c r="BA250" i="112"/>
  <c r="AZ250" i="112"/>
  <c r="AY250" i="112"/>
  <c r="AX250" i="112"/>
  <c r="BB249" i="112"/>
  <c r="BA249" i="112"/>
  <c r="AZ249" i="112"/>
  <c r="AY249" i="112"/>
  <c r="AX249" i="112"/>
  <c r="BB248" i="112"/>
  <c r="BA248" i="112"/>
  <c r="AZ248" i="112"/>
  <c r="AY248" i="112"/>
  <c r="AX248" i="112"/>
  <c r="BB247" i="112"/>
  <c r="BA247" i="112"/>
  <c r="AZ247" i="112"/>
  <c r="AY247" i="112"/>
  <c r="AX247" i="112"/>
  <c r="BB246" i="112"/>
  <c r="BA246" i="112"/>
  <c r="AZ246" i="112"/>
  <c r="AY246" i="112"/>
  <c r="AX246" i="112"/>
  <c r="AY239" i="112"/>
  <c r="AY234" i="112"/>
  <c r="AY233" i="112"/>
  <c r="AY227" i="112"/>
  <c r="AX227" i="112"/>
  <c r="AY226" i="112"/>
  <c r="AX226" i="112"/>
  <c r="AY225" i="112"/>
  <c r="AX225" i="112"/>
  <c r="AY224" i="112"/>
  <c r="AX224" i="112"/>
  <c r="AY223" i="112"/>
  <c r="AX223" i="112"/>
  <c r="AY222" i="112"/>
  <c r="AX222" i="112"/>
  <c r="BB216" i="112"/>
  <c r="BA216" i="112"/>
  <c r="AZ216" i="112"/>
  <c r="AY216" i="112"/>
  <c r="AX216" i="112"/>
  <c r="BB211" i="112"/>
  <c r="BA211" i="112"/>
  <c r="AZ211" i="112"/>
  <c r="AY211" i="112"/>
  <c r="AX211" i="112"/>
  <c r="BB210" i="112"/>
  <c r="BA210" i="112"/>
  <c r="AZ210" i="112"/>
  <c r="AY210" i="112"/>
  <c r="AX210" i="112"/>
  <c r="BB209" i="112"/>
  <c r="BA209" i="112"/>
  <c r="AZ209" i="112"/>
  <c r="AY209" i="112"/>
  <c r="AX209" i="112"/>
  <c r="BB208" i="112"/>
  <c r="BA208" i="112"/>
  <c r="AZ208" i="112"/>
  <c r="AY208" i="112"/>
  <c r="AX208" i="112"/>
  <c r="BB207" i="112"/>
  <c r="BA207" i="112"/>
  <c r="AZ207" i="112"/>
  <c r="AY207" i="112"/>
  <c r="AX207" i="112"/>
  <c r="BB200" i="112"/>
  <c r="BA200" i="112"/>
  <c r="AZ200" i="112"/>
  <c r="AY200" i="112"/>
  <c r="AX200" i="112"/>
  <c r="BB199" i="112"/>
  <c r="BA199" i="112"/>
  <c r="AZ199" i="112"/>
  <c r="AY199" i="112"/>
  <c r="AX199" i="112"/>
  <c r="BB198" i="112"/>
  <c r="BA198" i="112"/>
  <c r="AZ198" i="112"/>
  <c r="AY198" i="112"/>
  <c r="AX198" i="112"/>
  <c r="BB197" i="112"/>
  <c r="BA197" i="112"/>
  <c r="AZ197" i="112"/>
  <c r="AY197" i="112"/>
  <c r="AX197" i="112"/>
  <c r="BB194" i="112"/>
  <c r="BA194" i="112"/>
  <c r="AZ194" i="112"/>
  <c r="AY194" i="112"/>
  <c r="AX194" i="112"/>
  <c r="BB193" i="112"/>
  <c r="BA193" i="112"/>
  <c r="AZ193" i="112"/>
  <c r="AY193" i="112"/>
  <c r="AX193" i="112"/>
  <c r="BB192" i="112"/>
  <c r="BA192" i="112"/>
  <c r="AZ192" i="112"/>
  <c r="AY192" i="112"/>
  <c r="AX192" i="112"/>
  <c r="BB191" i="112"/>
  <c r="BA191" i="112"/>
  <c r="AZ191" i="112"/>
  <c r="AY191" i="112"/>
  <c r="AX191" i="112"/>
  <c r="BB190" i="112"/>
  <c r="BA190" i="112"/>
  <c r="AZ190" i="112"/>
  <c r="AY190" i="112"/>
  <c r="AX190" i="112"/>
  <c r="BB189" i="112"/>
  <c r="BA189" i="112"/>
  <c r="AZ189" i="112"/>
  <c r="AY189" i="112"/>
  <c r="AX189" i="112"/>
  <c r="BB188" i="112"/>
  <c r="BA188" i="112"/>
  <c r="AZ188" i="112"/>
  <c r="AY188" i="112"/>
  <c r="AX188" i="112"/>
  <c r="BB185" i="112"/>
  <c r="BA185" i="112"/>
  <c r="AZ185" i="112"/>
  <c r="AY185" i="112"/>
  <c r="AX185" i="112"/>
  <c r="BB184" i="112"/>
  <c r="BA184" i="112"/>
  <c r="AZ184" i="112"/>
  <c r="AY184" i="112"/>
  <c r="AX184" i="112"/>
  <c r="BB180" i="112"/>
  <c r="BA180" i="112"/>
  <c r="AZ180" i="112"/>
  <c r="AY180" i="112"/>
  <c r="AX180" i="112"/>
  <c r="BB179" i="112"/>
  <c r="BA179" i="112"/>
  <c r="AZ179" i="112"/>
  <c r="AY179" i="112"/>
  <c r="AX179" i="112"/>
  <c r="BB178" i="112"/>
  <c r="BA178" i="112"/>
  <c r="AZ178" i="112"/>
  <c r="AY178" i="112"/>
  <c r="AX178" i="112"/>
  <c r="BB170" i="112"/>
  <c r="BA170" i="112"/>
  <c r="AZ170" i="112"/>
  <c r="AY170" i="112"/>
  <c r="AX170" i="112"/>
  <c r="BB169" i="112"/>
  <c r="BA169" i="112"/>
  <c r="AZ169" i="112"/>
  <c r="AY169" i="112"/>
  <c r="AX169" i="112"/>
  <c r="BB168" i="112"/>
  <c r="BA168" i="112"/>
  <c r="AZ168" i="112"/>
  <c r="AY168" i="112"/>
  <c r="AX168" i="112"/>
  <c r="BB167" i="112"/>
  <c r="BA167" i="112"/>
  <c r="AZ167" i="112"/>
  <c r="AY167" i="112"/>
  <c r="AX167" i="112"/>
  <c r="BB163" i="112"/>
  <c r="BA163" i="112"/>
  <c r="AZ163" i="112"/>
  <c r="AY163" i="112"/>
  <c r="AX163" i="112"/>
  <c r="BB161" i="112"/>
  <c r="BA161" i="112"/>
  <c r="AZ161" i="112"/>
  <c r="AY161" i="112"/>
  <c r="AX161" i="112"/>
  <c r="BB160" i="112"/>
  <c r="BA160" i="112"/>
  <c r="AZ160" i="112"/>
  <c r="AY160" i="112"/>
  <c r="AX160" i="112"/>
  <c r="BB159" i="112"/>
  <c r="BA159" i="112"/>
  <c r="AZ159" i="112"/>
  <c r="AY159" i="112"/>
  <c r="AX159" i="112"/>
  <c r="BB158" i="112"/>
  <c r="BA158" i="112"/>
  <c r="AZ158" i="112"/>
  <c r="AY158" i="112"/>
  <c r="AX158" i="112"/>
  <c r="BB154" i="112"/>
  <c r="BA154" i="112"/>
  <c r="AZ154" i="112"/>
  <c r="AY154" i="112"/>
  <c r="AX154" i="112"/>
  <c r="BB153" i="112"/>
  <c r="BA153" i="112"/>
  <c r="AZ153" i="112"/>
  <c r="AY153" i="112"/>
  <c r="AX153" i="112"/>
  <c r="BB150" i="112"/>
  <c r="BA150" i="112"/>
  <c r="AZ150" i="112"/>
  <c r="AY150" i="112"/>
  <c r="AX150" i="112"/>
  <c r="BB149" i="112"/>
  <c r="BA149" i="112"/>
  <c r="AZ149" i="112"/>
  <c r="AY149" i="112"/>
  <c r="AX149" i="112"/>
  <c r="BB146" i="112"/>
  <c r="BA146" i="112"/>
  <c r="AZ146" i="112"/>
  <c r="AY146" i="112"/>
  <c r="AX146" i="112"/>
  <c r="BB145" i="112"/>
  <c r="BA145" i="112"/>
  <c r="AZ145" i="112"/>
  <c r="AY145" i="112"/>
  <c r="AX145" i="112"/>
  <c r="BB141" i="112"/>
  <c r="BA141" i="112"/>
  <c r="AZ141" i="112"/>
  <c r="AY141" i="112"/>
  <c r="AX141" i="112"/>
  <c r="BB140" i="112"/>
  <c r="BA140" i="112"/>
  <c r="AZ140" i="112"/>
  <c r="AY140" i="112"/>
  <c r="AX140" i="112"/>
  <c r="BB139" i="112"/>
  <c r="BA139" i="112"/>
  <c r="AZ139" i="112"/>
  <c r="AY139" i="112"/>
  <c r="AX139" i="112"/>
  <c r="BB138" i="112"/>
  <c r="BA138" i="112"/>
  <c r="AZ138" i="112"/>
  <c r="AY138" i="112"/>
  <c r="AX138" i="112"/>
  <c r="BB135" i="112"/>
  <c r="BA135" i="112"/>
  <c r="AZ135" i="112"/>
  <c r="AY135" i="112"/>
  <c r="AX135" i="112"/>
  <c r="BB133" i="112"/>
  <c r="BA133" i="112"/>
  <c r="AZ133" i="112"/>
  <c r="AY133" i="112"/>
  <c r="AX133" i="112"/>
  <c r="BB132" i="112"/>
  <c r="BA132" i="112"/>
  <c r="AZ132" i="112"/>
  <c r="AY132" i="112"/>
  <c r="AX132" i="112"/>
  <c r="BB131" i="112"/>
  <c r="BA131" i="112"/>
  <c r="AZ131" i="112"/>
  <c r="AY131" i="112"/>
  <c r="AX131" i="112"/>
  <c r="BB130" i="112"/>
  <c r="BA130" i="112"/>
  <c r="AZ130" i="112"/>
  <c r="AY130" i="112"/>
  <c r="AX130" i="112"/>
  <c r="BB129" i="112"/>
  <c r="BA129" i="112"/>
  <c r="AZ129" i="112"/>
  <c r="AY129" i="112"/>
  <c r="AX129" i="112"/>
  <c r="BB128" i="112"/>
  <c r="BA128" i="112"/>
  <c r="AZ128" i="112"/>
  <c r="AY128" i="112"/>
  <c r="AX128" i="112"/>
  <c r="BB120" i="112"/>
  <c r="BA120" i="112"/>
  <c r="AZ120" i="112"/>
  <c r="AY120" i="112"/>
  <c r="AX120" i="112"/>
  <c r="BB119" i="112"/>
  <c r="BA119" i="112"/>
  <c r="AZ119" i="112"/>
  <c r="AY119" i="112"/>
  <c r="AX119" i="112"/>
  <c r="BB110" i="112"/>
  <c r="BA110" i="112"/>
  <c r="AZ110" i="112"/>
  <c r="AY110" i="112"/>
  <c r="AX110" i="112"/>
  <c r="BB109" i="112"/>
  <c r="BA109" i="112"/>
  <c r="AZ109" i="112"/>
  <c r="AY109" i="112"/>
  <c r="AX109" i="112"/>
  <c r="BB108" i="112"/>
  <c r="BA108" i="112"/>
  <c r="AZ108" i="112"/>
  <c r="AY108" i="112"/>
  <c r="AX108" i="112"/>
  <c r="BB107" i="112"/>
  <c r="BA107" i="112"/>
  <c r="AZ107" i="112"/>
  <c r="AY107" i="112"/>
  <c r="AX107" i="112"/>
  <c r="BB106" i="112"/>
  <c r="BA106" i="112"/>
  <c r="AZ106" i="112"/>
  <c r="AY106" i="112"/>
  <c r="AX106" i="112"/>
  <c r="BB105" i="112"/>
  <c r="BA105" i="112"/>
  <c r="AZ105" i="112"/>
  <c r="AY105" i="112"/>
  <c r="AX105" i="112"/>
  <c r="BB104" i="112"/>
  <c r="BA104" i="112"/>
  <c r="AZ104" i="112"/>
  <c r="AY104" i="112"/>
  <c r="AX104" i="112"/>
  <c r="BB101" i="112"/>
  <c r="BA101" i="112"/>
  <c r="AZ101" i="112"/>
  <c r="AY101" i="112"/>
  <c r="AX101" i="112"/>
  <c r="BB100" i="112"/>
  <c r="BA100" i="112"/>
  <c r="AZ100" i="112"/>
  <c r="AY100" i="112"/>
  <c r="AX100" i="112"/>
  <c r="BB97" i="112"/>
  <c r="BA97" i="112"/>
  <c r="AZ97" i="112"/>
  <c r="AY97" i="112"/>
  <c r="AX97" i="112"/>
  <c r="BB96" i="112"/>
  <c r="BA96" i="112"/>
  <c r="AZ96" i="112"/>
  <c r="AY96" i="112"/>
  <c r="AX96" i="112"/>
  <c r="BB95" i="112"/>
  <c r="BA95" i="112"/>
  <c r="AZ95" i="112"/>
  <c r="AY95" i="112"/>
  <c r="AX95" i="112"/>
  <c r="BB91" i="112"/>
  <c r="BA91" i="112"/>
  <c r="AZ91" i="112"/>
  <c r="AY91" i="112"/>
  <c r="AX91" i="112"/>
  <c r="BB90" i="112"/>
  <c r="BA90" i="112"/>
  <c r="AZ90" i="112"/>
  <c r="AY90" i="112"/>
  <c r="AX90" i="112"/>
  <c r="BB89" i="112"/>
  <c r="BA89" i="112"/>
  <c r="AZ89" i="112"/>
  <c r="AY89" i="112"/>
  <c r="AX89" i="112"/>
  <c r="BB86" i="112"/>
  <c r="BA86" i="112"/>
  <c r="AZ86" i="112"/>
  <c r="AY86" i="112"/>
  <c r="AX86" i="112"/>
  <c r="BB85" i="112"/>
  <c r="BA85" i="112"/>
  <c r="AZ85" i="112"/>
  <c r="AY85" i="112"/>
  <c r="AX85" i="112"/>
  <c r="BB84" i="112"/>
  <c r="BA84" i="112"/>
  <c r="AZ84" i="112"/>
  <c r="AY84" i="112"/>
  <c r="AX84" i="112"/>
  <c r="BB81" i="112"/>
  <c r="BA81" i="112"/>
  <c r="AZ81" i="112"/>
  <c r="AY81" i="112"/>
  <c r="AX81" i="112"/>
  <c r="BB80" i="112"/>
  <c r="BA80" i="112"/>
  <c r="AZ80" i="112"/>
  <c r="AY80" i="112"/>
  <c r="AX80" i="112"/>
  <c r="BB79" i="112"/>
  <c r="BA79" i="112"/>
  <c r="AZ79" i="112"/>
  <c r="AY79" i="112"/>
  <c r="AX79" i="112"/>
  <c r="BB78" i="112"/>
  <c r="BA78" i="112"/>
  <c r="AZ78" i="112"/>
  <c r="AY78" i="112"/>
  <c r="AX78" i="112"/>
  <c r="BB77" i="112"/>
  <c r="BA77" i="112"/>
  <c r="AZ77" i="112"/>
  <c r="AY77" i="112"/>
  <c r="AX77" i="112"/>
  <c r="BB76" i="112"/>
  <c r="BA76" i="112"/>
  <c r="AZ76" i="112"/>
  <c r="AY76" i="112"/>
  <c r="AX76" i="112"/>
  <c r="BB72" i="112"/>
  <c r="BA72" i="112"/>
  <c r="AZ72" i="112"/>
  <c r="AY72" i="112"/>
  <c r="AX72" i="112"/>
  <c r="BB71" i="112"/>
  <c r="BA71" i="112"/>
  <c r="AZ71" i="112"/>
  <c r="AY71" i="112"/>
  <c r="AX71" i="112"/>
  <c r="BB70" i="112"/>
  <c r="BA70" i="112"/>
  <c r="AZ70" i="112"/>
  <c r="AY70" i="112"/>
  <c r="AX70" i="112"/>
  <c r="BB67" i="112"/>
  <c r="BA67" i="112"/>
  <c r="AZ67" i="112"/>
  <c r="AY67" i="112"/>
  <c r="AX67" i="112"/>
  <c r="BB66" i="112"/>
  <c r="BA66" i="112"/>
  <c r="AZ66" i="112"/>
  <c r="AY66" i="112"/>
  <c r="AX66" i="112"/>
  <c r="BB63" i="112"/>
  <c r="BA63" i="112"/>
  <c r="AZ63" i="112"/>
  <c r="AY63" i="112"/>
  <c r="AX63" i="112"/>
  <c r="BB62" i="112"/>
  <c r="BA62" i="112"/>
  <c r="AZ62" i="112"/>
  <c r="AY62" i="112"/>
  <c r="AX62" i="112"/>
  <c r="BB61" i="112"/>
  <c r="BA61" i="112"/>
  <c r="AZ61" i="112"/>
  <c r="AY61" i="112"/>
  <c r="AX61" i="112"/>
  <c r="BB58" i="112"/>
  <c r="BA58" i="112"/>
  <c r="AZ58" i="112"/>
  <c r="AY58" i="112"/>
  <c r="AX58" i="112"/>
  <c r="BB57" i="112"/>
  <c r="BA57" i="112"/>
  <c r="AZ57" i="112"/>
  <c r="AY57" i="112"/>
  <c r="AX57" i="112"/>
  <c r="BB56" i="112"/>
  <c r="BA56" i="112"/>
  <c r="AZ56" i="112"/>
  <c r="AY56" i="112"/>
  <c r="AX56" i="112"/>
  <c r="BB52" i="112"/>
  <c r="BA52" i="112"/>
  <c r="AZ52" i="112"/>
  <c r="AY52" i="112"/>
  <c r="AX52" i="112"/>
  <c r="BB51" i="112"/>
  <c r="BA51" i="112"/>
  <c r="AZ51" i="112"/>
  <c r="AY51" i="112"/>
  <c r="AX51" i="112"/>
  <c r="BB50" i="112"/>
  <c r="BA50" i="112"/>
  <c r="AZ50" i="112"/>
  <c r="AY50" i="112"/>
  <c r="AX50" i="112"/>
  <c r="BB49" i="112"/>
  <c r="BA49" i="112"/>
  <c r="AZ49" i="112"/>
  <c r="AY49" i="112"/>
  <c r="AX49" i="112"/>
  <c r="BB46" i="112"/>
  <c r="BA46" i="112"/>
  <c r="AZ46" i="112"/>
  <c r="AY46" i="112"/>
  <c r="AX46" i="112"/>
  <c r="BB45" i="112"/>
  <c r="BA45" i="112"/>
  <c r="AZ45" i="112"/>
  <c r="AY45" i="112"/>
  <c r="AX45" i="112"/>
  <c r="BB44" i="112"/>
  <c r="BA44" i="112"/>
  <c r="AZ44" i="112"/>
  <c r="AY44" i="112"/>
  <c r="AX44" i="112"/>
  <c r="BB43" i="112"/>
  <c r="BA43" i="112"/>
  <c r="AZ43" i="112"/>
  <c r="AY43" i="112"/>
  <c r="AX43" i="112"/>
  <c r="BB34" i="112"/>
  <c r="AY34" i="112"/>
  <c r="BB27" i="112"/>
  <c r="AY27" i="112"/>
  <c r="AY258" i="109"/>
  <c r="AX258" i="109"/>
  <c r="AY257" i="109"/>
  <c r="AX257" i="109"/>
  <c r="AY256" i="109"/>
  <c r="AX256" i="109"/>
  <c r="BB250" i="109"/>
  <c r="BA250" i="109"/>
  <c r="AZ250" i="109"/>
  <c r="AY250" i="109"/>
  <c r="AX250" i="109"/>
  <c r="BB249" i="109"/>
  <c r="BA249" i="109"/>
  <c r="AZ249" i="109"/>
  <c r="AY249" i="109"/>
  <c r="AX249" i="109"/>
  <c r="BB248" i="109"/>
  <c r="BA248" i="109"/>
  <c r="AZ248" i="109"/>
  <c r="AY248" i="109"/>
  <c r="AX248" i="109"/>
  <c r="BB247" i="109"/>
  <c r="BA247" i="109"/>
  <c r="AZ247" i="109"/>
  <c r="AY247" i="109"/>
  <c r="AX247" i="109"/>
  <c r="BB246" i="109"/>
  <c r="BA246" i="109"/>
  <c r="AZ246" i="109"/>
  <c r="AY246" i="109"/>
  <c r="AX246" i="109"/>
  <c r="AY239" i="109"/>
  <c r="AY234" i="109"/>
  <c r="AY233" i="109"/>
  <c r="AY227" i="109"/>
  <c r="AX227" i="109"/>
  <c r="AY226" i="109"/>
  <c r="AX226" i="109"/>
  <c r="AY225" i="109"/>
  <c r="AX225" i="109"/>
  <c r="AY224" i="109"/>
  <c r="AX224" i="109"/>
  <c r="AY223" i="109"/>
  <c r="AX223" i="109"/>
  <c r="AY222" i="109"/>
  <c r="AX222" i="109"/>
  <c r="BB216" i="109"/>
  <c r="BA216" i="109"/>
  <c r="AZ216" i="109"/>
  <c r="AY216" i="109"/>
  <c r="AX216" i="109"/>
  <c r="BB211" i="109"/>
  <c r="BA211" i="109"/>
  <c r="AZ211" i="109"/>
  <c r="AY211" i="109"/>
  <c r="AX211" i="109"/>
  <c r="BB210" i="109"/>
  <c r="BA210" i="109"/>
  <c r="AZ210" i="109"/>
  <c r="AY210" i="109"/>
  <c r="AX210" i="109"/>
  <c r="BB209" i="109"/>
  <c r="BA209" i="109"/>
  <c r="AZ209" i="109"/>
  <c r="AY209" i="109"/>
  <c r="AX209" i="109"/>
  <c r="BB208" i="109"/>
  <c r="BA208" i="109"/>
  <c r="AZ208" i="109"/>
  <c r="AY208" i="109"/>
  <c r="AX208" i="109"/>
  <c r="BB207" i="109"/>
  <c r="BA207" i="109"/>
  <c r="AZ207" i="109"/>
  <c r="AY207" i="109"/>
  <c r="AX207" i="109"/>
  <c r="BB200" i="109"/>
  <c r="BA200" i="109"/>
  <c r="AZ200" i="109"/>
  <c r="AY200" i="109"/>
  <c r="AX200" i="109"/>
  <c r="BB199" i="109"/>
  <c r="BA199" i="109"/>
  <c r="AZ199" i="109"/>
  <c r="AY199" i="109"/>
  <c r="AX199" i="109"/>
  <c r="BB198" i="109"/>
  <c r="BA198" i="109"/>
  <c r="AZ198" i="109"/>
  <c r="AY198" i="109"/>
  <c r="AX198" i="109"/>
  <c r="BB197" i="109"/>
  <c r="BA197" i="109"/>
  <c r="AZ197" i="109"/>
  <c r="AY197" i="109"/>
  <c r="AX197" i="109"/>
  <c r="BB194" i="109"/>
  <c r="BA194" i="109"/>
  <c r="AZ194" i="109"/>
  <c r="AY194" i="109"/>
  <c r="AX194" i="109"/>
  <c r="BB193" i="109"/>
  <c r="BA193" i="109"/>
  <c r="AZ193" i="109"/>
  <c r="AY193" i="109"/>
  <c r="AX193" i="109"/>
  <c r="BB192" i="109"/>
  <c r="BA192" i="109"/>
  <c r="AZ192" i="109"/>
  <c r="AY192" i="109"/>
  <c r="AX192" i="109"/>
  <c r="BB191" i="109"/>
  <c r="BA191" i="109"/>
  <c r="AZ191" i="109"/>
  <c r="AY191" i="109"/>
  <c r="AX191" i="109"/>
  <c r="BB190" i="109"/>
  <c r="BA190" i="109"/>
  <c r="AZ190" i="109"/>
  <c r="AY190" i="109"/>
  <c r="AX190" i="109"/>
  <c r="BB189" i="109"/>
  <c r="BA189" i="109"/>
  <c r="AZ189" i="109"/>
  <c r="AY189" i="109"/>
  <c r="AX189" i="109"/>
  <c r="BB188" i="109"/>
  <c r="BA188" i="109"/>
  <c r="AZ188" i="109"/>
  <c r="AY188" i="109"/>
  <c r="AX188" i="109"/>
  <c r="BB185" i="109"/>
  <c r="BA185" i="109"/>
  <c r="AZ185" i="109"/>
  <c r="AY185" i="109"/>
  <c r="AX185" i="109"/>
  <c r="BB184" i="109"/>
  <c r="BA184" i="109"/>
  <c r="AZ184" i="109"/>
  <c r="AY184" i="109"/>
  <c r="AX184" i="109"/>
  <c r="BB180" i="109"/>
  <c r="BA180" i="109"/>
  <c r="AZ180" i="109"/>
  <c r="AY180" i="109"/>
  <c r="AX180" i="109"/>
  <c r="BB179" i="109"/>
  <c r="BA179" i="109"/>
  <c r="AZ179" i="109"/>
  <c r="AY179" i="109"/>
  <c r="AX179" i="109"/>
  <c r="BB178" i="109"/>
  <c r="BA178" i="109"/>
  <c r="AZ178" i="109"/>
  <c r="AY178" i="109"/>
  <c r="AX178" i="109"/>
  <c r="BB170" i="109"/>
  <c r="BA170" i="109"/>
  <c r="AZ170" i="109"/>
  <c r="AY170" i="109"/>
  <c r="AX170" i="109"/>
  <c r="BB169" i="109"/>
  <c r="BA169" i="109"/>
  <c r="AZ169" i="109"/>
  <c r="AY169" i="109"/>
  <c r="AX169" i="109"/>
  <c r="BB168" i="109"/>
  <c r="BA168" i="109"/>
  <c r="AZ168" i="109"/>
  <c r="AY168" i="109"/>
  <c r="AX168" i="109"/>
  <c r="BB167" i="109"/>
  <c r="BA167" i="109"/>
  <c r="AZ167" i="109"/>
  <c r="AY167" i="109"/>
  <c r="AX167" i="109"/>
  <c r="BB163" i="109"/>
  <c r="BA163" i="109"/>
  <c r="AZ163" i="109"/>
  <c r="AY163" i="109"/>
  <c r="AX163" i="109"/>
  <c r="BB161" i="109"/>
  <c r="BA161" i="109"/>
  <c r="AZ161" i="109"/>
  <c r="AY161" i="109"/>
  <c r="AX161" i="109"/>
  <c r="BB160" i="109"/>
  <c r="BA160" i="109"/>
  <c r="AZ160" i="109"/>
  <c r="AY160" i="109"/>
  <c r="AX160" i="109"/>
  <c r="BB159" i="109"/>
  <c r="BA159" i="109"/>
  <c r="AZ159" i="109"/>
  <c r="AY159" i="109"/>
  <c r="AX159" i="109"/>
  <c r="BB158" i="109"/>
  <c r="BA158" i="109"/>
  <c r="AZ158" i="109"/>
  <c r="AY158" i="109"/>
  <c r="AX158" i="109"/>
  <c r="BB154" i="109"/>
  <c r="BA154" i="109"/>
  <c r="AZ154" i="109"/>
  <c r="AY154" i="109"/>
  <c r="AX154" i="109"/>
  <c r="BB153" i="109"/>
  <c r="BA153" i="109"/>
  <c r="AZ153" i="109"/>
  <c r="AY153" i="109"/>
  <c r="AX153" i="109"/>
  <c r="BB150" i="109"/>
  <c r="BA150" i="109"/>
  <c r="AZ150" i="109"/>
  <c r="AY150" i="109"/>
  <c r="AX150" i="109"/>
  <c r="BB149" i="109"/>
  <c r="BA149" i="109"/>
  <c r="AZ149" i="109"/>
  <c r="AY149" i="109"/>
  <c r="AX149" i="109"/>
  <c r="BB146" i="109"/>
  <c r="BA146" i="109"/>
  <c r="AZ146" i="109"/>
  <c r="AY146" i="109"/>
  <c r="AX146" i="109"/>
  <c r="BB145" i="109"/>
  <c r="BA145" i="109"/>
  <c r="AZ145" i="109"/>
  <c r="AY145" i="109"/>
  <c r="AX145" i="109"/>
  <c r="BB141" i="109"/>
  <c r="BA141" i="109"/>
  <c r="AZ141" i="109"/>
  <c r="AY141" i="109"/>
  <c r="AX141" i="109"/>
  <c r="BB140" i="109"/>
  <c r="BA140" i="109"/>
  <c r="AZ140" i="109"/>
  <c r="AY140" i="109"/>
  <c r="AX140" i="109"/>
  <c r="BB139" i="109"/>
  <c r="BA139" i="109"/>
  <c r="AZ139" i="109"/>
  <c r="AY139" i="109"/>
  <c r="AX139" i="109"/>
  <c r="BB138" i="109"/>
  <c r="BA138" i="109"/>
  <c r="AZ138" i="109"/>
  <c r="AY138" i="109"/>
  <c r="AX138" i="109"/>
  <c r="BB135" i="109"/>
  <c r="BA135" i="109"/>
  <c r="AZ135" i="109"/>
  <c r="AY135" i="109"/>
  <c r="AX135" i="109"/>
  <c r="BB133" i="109"/>
  <c r="BA133" i="109"/>
  <c r="AZ133" i="109"/>
  <c r="AY133" i="109"/>
  <c r="AX133" i="109"/>
  <c r="BB132" i="109"/>
  <c r="BA132" i="109"/>
  <c r="AZ132" i="109"/>
  <c r="AY132" i="109"/>
  <c r="AX132" i="109"/>
  <c r="BB131" i="109"/>
  <c r="BA131" i="109"/>
  <c r="AZ131" i="109"/>
  <c r="AY131" i="109"/>
  <c r="AX131" i="109"/>
  <c r="BB130" i="109"/>
  <c r="BA130" i="109"/>
  <c r="AZ130" i="109"/>
  <c r="AY130" i="109"/>
  <c r="AX130" i="109"/>
  <c r="BB129" i="109"/>
  <c r="BA129" i="109"/>
  <c r="AZ129" i="109"/>
  <c r="AY129" i="109"/>
  <c r="AX129" i="109"/>
  <c r="BB128" i="109"/>
  <c r="BA128" i="109"/>
  <c r="AZ128" i="109"/>
  <c r="AY128" i="109"/>
  <c r="AX128" i="109"/>
  <c r="BB120" i="109"/>
  <c r="BA120" i="109"/>
  <c r="AZ120" i="109"/>
  <c r="AY120" i="109"/>
  <c r="AX120" i="109"/>
  <c r="BB119" i="109"/>
  <c r="BA119" i="109"/>
  <c r="AZ119" i="109"/>
  <c r="AY119" i="109"/>
  <c r="AX119" i="109"/>
  <c r="BB110" i="109"/>
  <c r="BA110" i="109"/>
  <c r="AZ110" i="109"/>
  <c r="AY110" i="109"/>
  <c r="AX110" i="109"/>
  <c r="BB109" i="109"/>
  <c r="BA109" i="109"/>
  <c r="AZ109" i="109"/>
  <c r="AY109" i="109"/>
  <c r="AX109" i="109"/>
  <c r="BB108" i="109"/>
  <c r="BA108" i="109"/>
  <c r="AZ108" i="109"/>
  <c r="AY108" i="109"/>
  <c r="AX108" i="109"/>
  <c r="BB107" i="109"/>
  <c r="BA107" i="109"/>
  <c r="AZ107" i="109"/>
  <c r="AY107" i="109"/>
  <c r="AX107" i="109"/>
  <c r="BB106" i="109"/>
  <c r="BA106" i="109"/>
  <c r="AZ106" i="109"/>
  <c r="AY106" i="109"/>
  <c r="AX106" i="109"/>
  <c r="BB105" i="109"/>
  <c r="BA105" i="109"/>
  <c r="AZ105" i="109"/>
  <c r="AY105" i="109"/>
  <c r="AX105" i="109"/>
  <c r="BB104" i="109"/>
  <c r="BA104" i="109"/>
  <c r="AZ104" i="109"/>
  <c r="AY104" i="109"/>
  <c r="AX104" i="109"/>
  <c r="BB101" i="109"/>
  <c r="BA101" i="109"/>
  <c r="AZ101" i="109"/>
  <c r="AY101" i="109"/>
  <c r="AX101" i="109"/>
  <c r="BB100" i="109"/>
  <c r="BA100" i="109"/>
  <c r="AZ100" i="109"/>
  <c r="AY100" i="109"/>
  <c r="AX100" i="109"/>
  <c r="BB97" i="109"/>
  <c r="BA97" i="109"/>
  <c r="AZ97" i="109"/>
  <c r="AY97" i="109"/>
  <c r="AX97" i="109"/>
  <c r="BB96" i="109"/>
  <c r="BA96" i="109"/>
  <c r="AZ96" i="109"/>
  <c r="AY96" i="109"/>
  <c r="AX96" i="109"/>
  <c r="BB95" i="109"/>
  <c r="BA95" i="109"/>
  <c r="AZ95" i="109"/>
  <c r="AY95" i="109"/>
  <c r="AX95" i="109"/>
  <c r="BB91" i="109"/>
  <c r="BA91" i="109"/>
  <c r="AZ91" i="109"/>
  <c r="AY91" i="109"/>
  <c r="AX91" i="109"/>
  <c r="BB90" i="109"/>
  <c r="BA90" i="109"/>
  <c r="AZ90" i="109"/>
  <c r="AY90" i="109"/>
  <c r="AX90" i="109"/>
  <c r="BB89" i="109"/>
  <c r="BA89" i="109"/>
  <c r="AZ89" i="109"/>
  <c r="AY89" i="109"/>
  <c r="AX89" i="109"/>
  <c r="BB86" i="109"/>
  <c r="BA86" i="109"/>
  <c r="AZ86" i="109"/>
  <c r="AY86" i="109"/>
  <c r="AX86" i="109"/>
  <c r="BB85" i="109"/>
  <c r="BA85" i="109"/>
  <c r="AZ85" i="109"/>
  <c r="AY85" i="109"/>
  <c r="AX85" i="109"/>
  <c r="BB84" i="109"/>
  <c r="BA84" i="109"/>
  <c r="AZ84" i="109"/>
  <c r="AY84" i="109"/>
  <c r="AX84" i="109"/>
  <c r="BB81" i="109"/>
  <c r="BA81" i="109"/>
  <c r="AZ81" i="109"/>
  <c r="AY81" i="109"/>
  <c r="AX81" i="109"/>
  <c r="BB80" i="109"/>
  <c r="BA80" i="109"/>
  <c r="AZ80" i="109"/>
  <c r="AY80" i="109"/>
  <c r="AX80" i="109"/>
  <c r="BB79" i="109"/>
  <c r="BA79" i="109"/>
  <c r="AZ79" i="109"/>
  <c r="AY79" i="109"/>
  <c r="AX79" i="109"/>
  <c r="BB78" i="109"/>
  <c r="BA78" i="109"/>
  <c r="AZ78" i="109"/>
  <c r="AY78" i="109"/>
  <c r="AX78" i="109"/>
  <c r="BB77" i="109"/>
  <c r="BA77" i="109"/>
  <c r="AZ77" i="109"/>
  <c r="AY77" i="109"/>
  <c r="AX77" i="109"/>
  <c r="BB76" i="109"/>
  <c r="BA76" i="109"/>
  <c r="AZ76" i="109"/>
  <c r="AY76" i="109"/>
  <c r="AX76" i="109"/>
  <c r="BB72" i="109"/>
  <c r="BA72" i="109"/>
  <c r="AZ72" i="109"/>
  <c r="AY72" i="109"/>
  <c r="AX72" i="109"/>
  <c r="BB71" i="109"/>
  <c r="BA71" i="109"/>
  <c r="AZ71" i="109"/>
  <c r="AY71" i="109"/>
  <c r="AX71" i="109"/>
  <c r="BB70" i="109"/>
  <c r="BA70" i="109"/>
  <c r="AZ70" i="109"/>
  <c r="AY70" i="109"/>
  <c r="AX70" i="109"/>
  <c r="BB67" i="109"/>
  <c r="BA67" i="109"/>
  <c r="AZ67" i="109"/>
  <c r="AY67" i="109"/>
  <c r="AX67" i="109"/>
  <c r="BB66" i="109"/>
  <c r="BA66" i="109"/>
  <c r="AZ66" i="109"/>
  <c r="AY66" i="109"/>
  <c r="AX66" i="109"/>
  <c r="BB63" i="109"/>
  <c r="BA63" i="109"/>
  <c r="AZ63" i="109"/>
  <c r="AY63" i="109"/>
  <c r="AX63" i="109"/>
  <c r="BB62" i="109"/>
  <c r="BA62" i="109"/>
  <c r="AZ62" i="109"/>
  <c r="AY62" i="109"/>
  <c r="AX62" i="109"/>
  <c r="BB61" i="109"/>
  <c r="BA61" i="109"/>
  <c r="AZ61" i="109"/>
  <c r="AY61" i="109"/>
  <c r="AX61" i="109"/>
  <c r="BB58" i="109"/>
  <c r="BA58" i="109"/>
  <c r="AZ58" i="109"/>
  <c r="AY58" i="109"/>
  <c r="AX58" i="109"/>
  <c r="BB57" i="109"/>
  <c r="BA57" i="109"/>
  <c r="AZ57" i="109"/>
  <c r="AY57" i="109"/>
  <c r="AX57" i="109"/>
  <c r="BB56" i="109"/>
  <c r="BA56" i="109"/>
  <c r="AZ56" i="109"/>
  <c r="AY56" i="109"/>
  <c r="AX56" i="109"/>
  <c r="BB52" i="109"/>
  <c r="BA52" i="109"/>
  <c r="AZ52" i="109"/>
  <c r="AY52" i="109"/>
  <c r="AX52" i="109"/>
  <c r="BB51" i="109"/>
  <c r="BA51" i="109"/>
  <c r="AZ51" i="109"/>
  <c r="AY51" i="109"/>
  <c r="AX51" i="109"/>
  <c r="BB50" i="109"/>
  <c r="BA50" i="109"/>
  <c r="AZ50" i="109"/>
  <c r="AY50" i="109"/>
  <c r="AX50" i="109"/>
  <c r="BB49" i="109"/>
  <c r="BA49" i="109"/>
  <c r="AZ49" i="109"/>
  <c r="AY49" i="109"/>
  <c r="AX49" i="109"/>
  <c r="BB46" i="109"/>
  <c r="BA46" i="109"/>
  <c r="AZ46" i="109"/>
  <c r="AY46" i="109"/>
  <c r="AX46" i="109"/>
  <c r="BB45" i="109"/>
  <c r="BA45" i="109"/>
  <c r="AZ45" i="109"/>
  <c r="AY45" i="109"/>
  <c r="AX45" i="109"/>
  <c r="BB44" i="109"/>
  <c r="BA44" i="109"/>
  <c r="AZ44" i="109"/>
  <c r="AY44" i="109"/>
  <c r="AX44" i="109"/>
  <c r="BB43" i="109"/>
  <c r="BA43" i="109"/>
  <c r="AZ43" i="109"/>
  <c r="AY43" i="109"/>
  <c r="AX43" i="109"/>
  <c r="BB34" i="109"/>
  <c r="AY34" i="109"/>
  <c r="BB27" i="109"/>
  <c r="AY27" i="109"/>
  <c r="AC250" i="93"/>
  <c r="AC249" i="93"/>
  <c r="AC248" i="93"/>
  <c r="AC247" i="93"/>
  <c r="AC246" i="93"/>
  <c r="AC216" i="93"/>
  <c r="AC211" i="93"/>
  <c r="AC210" i="93"/>
  <c r="AC209" i="93"/>
  <c r="AC208" i="93"/>
  <c r="AC207" i="93"/>
  <c r="AC200" i="93"/>
  <c r="AC199" i="93"/>
  <c r="AC198" i="93"/>
  <c r="AC197" i="93"/>
  <c r="AC194" i="93"/>
  <c r="AC193" i="93"/>
  <c r="AC192" i="93"/>
  <c r="AC191" i="93"/>
  <c r="AC190" i="93"/>
  <c r="AC189" i="93"/>
  <c r="AC188" i="93"/>
  <c r="AC185" i="93"/>
  <c r="AC184" i="93"/>
  <c r="AC180" i="93"/>
  <c r="AC179" i="93"/>
  <c r="AC178" i="93"/>
  <c r="AC170" i="93"/>
  <c r="AC169" i="93"/>
  <c r="AC168" i="93"/>
  <c r="AC167" i="93"/>
  <c r="AC163" i="93"/>
  <c r="AC161" i="93"/>
  <c r="AC160" i="93"/>
  <c r="AC159" i="93"/>
  <c r="AC158" i="93"/>
  <c r="AC154" i="93"/>
  <c r="AC153" i="93"/>
  <c r="AC150" i="93"/>
  <c r="AC149" i="93"/>
  <c r="AC146" i="93"/>
  <c r="AC145" i="93"/>
  <c r="AC141" i="93"/>
  <c r="AC140" i="93"/>
  <c r="AC139" i="93"/>
  <c r="AC138" i="93"/>
  <c r="AC135" i="93"/>
  <c r="AC133" i="93"/>
  <c r="AC132" i="93"/>
  <c r="AC131" i="93"/>
  <c r="AC130" i="93"/>
  <c r="AC129" i="93"/>
  <c r="AC128" i="93"/>
  <c r="AC120" i="93"/>
  <c r="AC119" i="93"/>
  <c r="AC110" i="93"/>
  <c r="AC109" i="93"/>
  <c r="AC108" i="93"/>
  <c r="AC107" i="93"/>
  <c r="AC106" i="93"/>
  <c r="AC105" i="93"/>
  <c r="AC104" i="93"/>
  <c r="AC101" i="93"/>
  <c r="AC100" i="93"/>
  <c r="AC97" i="93"/>
  <c r="AC96" i="93"/>
  <c r="AC95" i="93"/>
  <c r="AC91" i="93"/>
  <c r="AC90" i="93"/>
  <c r="AC89" i="93"/>
  <c r="AC86" i="93"/>
  <c r="AC85" i="93"/>
  <c r="AC84" i="93"/>
  <c r="AC81" i="93"/>
  <c r="AC80" i="93"/>
  <c r="AC79" i="93"/>
  <c r="AC78" i="93"/>
  <c r="AC77" i="93"/>
  <c r="AC76" i="93"/>
  <c r="AC72" i="93"/>
  <c r="AC71" i="93"/>
  <c r="AC70" i="93"/>
  <c r="AC67" i="93"/>
  <c r="AC66" i="93"/>
  <c r="AC63" i="93"/>
  <c r="AC62" i="93"/>
  <c r="AC61" i="93"/>
  <c r="AC58" i="93"/>
  <c r="AC57" i="93"/>
  <c r="AC56" i="93"/>
  <c r="AC52" i="93"/>
  <c r="AC51" i="93"/>
  <c r="AC50" i="93"/>
  <c r="AC49" i="93"/>
  <c r="AC46" i="93"/>
  <c r="AC45" i="93"/>
  <c r="AC44" i="93"/>
  <c r="AC43" i="93"/>
  <c r="W250" i="93"/>
  <c r="W249" i="93"/>
  <c r="W248" i="93"/>
  <c r="W247" i="93"/>
  <c r="W246" i="93"/>
  <c r="W216" i="93"/>
  <c r="W211" i="93"/>
  <c r="W210" i="93"/>
  <c r="W209" i="93"/>
  <c r="W208" i="93"/>
  <c r="W207" i="93"/>
  <c r="W200" i="93"/>
  <c r="W199" i="93"/>
  <c r="W198" i="93"/>
  <c r="W197" i="93"/>
  <c r="W194" i="93"/>
  <c r="W193" i="93"/>
  <c r="W192" i="93"/>
  <c r="W191" i="93"/>
  <c r="W190" i="93"/>
  <c r="W189" i="93"/>
  <c r="W188" i="93"/>
  <c r="W185" i="93"/>
  <c r="W184" i="93"/>
  <c r="W180" i="93"/>
  <c r="W179" i="93"/>
  <c r="W178" i="93"/>
  <c r="W170" i="93"/>
  <c r="W169" i="93"/>
  <c r="W168" i="93"/>
  <c r="W167" i="93"/>
  <c r="W163" i="93"/>
  <c r="W161" i="93"/>
  <c r="W160" i="93"/>
  <c r="W159" i="93"/>
  <c r="W158" i="93"/>
  <c r="W154" i="93"/>
  <c r="W153" i="93"/>
  <c r="W150" i="93"/>
  <c r="W149" i="93"/>
  <c r="W146" i="93"/>
  <c r="W145" i="93"/>
  <c r="W141" i="93"/>
  <c r="W140" i="93"/>
  <c r="W139" i="93"/>
  <c r="W138" i="93"/>
  <c r="W133" i="93"/>
  <c r="W132" i="93"/>
  <c r="W131" i="93"/>
  <c r="W130" i="93"/>
  <c r="W129" i="93"/>
  <c r="W128" i="93"/>
  <c r="W120" i="93"/>
  <c r="W119" i="93"/>
  <c r="W110" i="93"/>
  <c r="W109" i="93"/>
  <c r="W108" i="93"/>
  <c r="W107" i="93"/>
  <c r="W106" i="93"/>
  <c r="W105" i="93"/>
  <c r="W104" i="93"/>
  <c r="W101" i="93"/>
  <c r="W100" i="93"/>
  <c r="W97" i="93"/>
  <c r="W96" i="93"/>
  <c r="W95" i="93"/>
  <c r="W91" i="93"/>
  <c r="W90" i="93"/>
  <c r="W89" i="93"/>
  <c r="W86" i="93"/>
  <c r="W85" i="93"/>
  <c r="W84" i="93"/>
  <c r="W81" i="93"/>
  <c r="W80" i="93"/>
  <c r="W79" i="93"/>
  <c r="W78" i="93"/>
  <c r="W77" i="93"/>
  <c r="W76" i="93"/>
  <c r="W72" i="93"/>
  <c r="W71" i="93"/>
  <c r="W70" i="93"/>
  <c r="W67" i="93"/>
  <c r="W66" i="93"/>
  <c r="W63" i="93"/>
  <c r="W62" i="93"/>
  <c r="W61" i="93"/>
  <c r="W58" i="93"/>
  <c r="W57" i="93"/>
  <c r="W56" i="93"/>
  <c r="W52" i="93"/>
  <c r="W51" i="93"/>
  <c r="W50" i="93"/>
  <c r="W49" i="93"/>
  <c r="W46" i="93"/>
  <c r="W45" i="93"/>
  <c r="W44" i="93"/>
  <c r="BB135" i="107"/>
  <c r="BA135" i="107"/>
  <c r="AZ135" i="107"/>
  <c r="AY135" i="107"/>
  <c r="AX135" i="107"/>
  <c r="BB163" i="107"/>
  <c r="BA163" i="107"/>
  <c r="AZ163" i="107"/>
  <c r="AY163" i="107"/>
  <c r="AX163" i="107"/>
  <c r="BB216" i="107"/>
  <c r="BA216" i="107"/>
  <c r="AZ216" i="107"/>
  <c r="AY216" i="107"/>
  <c r="AX216" i="107"/>
  <c r="BB250" i="107"/>
  <c r="BA250" i="107"/>
  <c r="AZ250" i="107"/>
  <c r="AY250" i="107"/>
  <c r="AX250" i="107"/>
  <c r="BB249" i="107"/>
  <c r="BA249" i="107"/>
  <c r="AZ249" i="107"/>
  <c r="AY249" i="107"/>
  <c r="AX249" i="107"/>
  <c r="BB248" i="107"/>
  <c r="BA248" i="107"/>
  <c r="AZ248" i="107"/>
  <c r="AY248" i="107"/>
  <c r="AX248" i="107"/>
  <c r="BB247" i="107"/>
  <c r="BA247" i="107"/>
  <c r="AZ247" i="107"/>
  <c r="AY247" i="107"/>
  <c r="AX247" i="107"/>
  <c r="BB246" i="107"/>
  <c r="BA246" i="107"/>
  <c r="AZ246" i="107"/>
  <c r="AY246" i="107"/>
  <c r="AX246" i="107"/>
  <c r="BB211" i="107"/>
  <c r="BA211" i="107"/>
  <c r="AZ211" i="107"/>
  <c r="AY211" i="107"/>
  <c r="AX211" i="107"/>
  <c r="BB210" i="107"/>
  <c r="BA210" i="107"/>
  <c r="AZ210" i="107"/>
  <c r="AY210" i="107"/>
  <c r="AX210" i="107"/>
  <c r="BB209" i="107"/>
  <c r="BA209" i="107"/>
  <c r="AZ209" i="107"/>
  <c r="AY209" i="107"/>
  <c r="AX209" i="107"/>
  <c r="BB208" i="107"/>
  <c r="BA208" i="107"/>
  <c r="AZ208" i="107"/>
  <c r="AY208" i="107"/>
  <c r="AX208" i="107"/>
  <c r="BB207" i="107"/>
  <c r="BA207" i="107"/>
  <c r="AZ207" i="107"/>
  <c r="AY207" i="107"/>
  <c r="AX207" i="107"/>
  <c r="BB200" i="107"/>
  <c r="BA200" i="107"/>
  <c r="AZ200" i="107"/>
  <c r="AY200" i="107"/>
  <c r="AX200" i="107"/>
  <c r="BB199" i="107"/>
  <c r="BA199" i="107"/>
  <c r="AZ199" i="107"/>
  <c r="AY199" i="107"/>
  <c r="AX199" i="107"/>
  <c r="BB198" i="107"/>
  <c r="BA198" i="107"/>
  <c r="AZ198" i="107"/>
  <c r="AY198" i="107"/>
  <c r="AX198" i="107"/>
  <c r="BB197" i="107"/>
  <c r="BA197" i="107"/>
  <c r="AZ197" i="107"/>
  <c r="AY197" i="107"/>
  <c r="AX197" i="107"/>
  <c r="BB194" i="107"/>
  <c r="BA194" i="107"/>
  <c r="AZ194" i="107"/>
  <c r="AY194" i="107"/>
  <c r="AX194" i="107"/>
  <c r="BB193" i="107"/>
  <c r="BA193" i="107"/>
  <c r="AZ193" i="107"/>
  <c r="AY193" i="107"/>
  <c r="AX193" i="107"/>
  <c r="BB192" i="107"/>
  <c r="BA192" i="107"/>
  <c r="AZ192" i="107"/>
  <c r="AY192" i="107"/>
  <c r="AX192" i="107"/>
  <c r="BB191" i="107"/>
  <c r="BA191" i="107"/>
  <c r="AZ191" i="107"/>
  <c r="AY191" i="107"/>
  <c r="AX191" i="107"/>
  <c r="BB190" i="107"/>
  <c r="BA190" i="107"/>
  <c r="AZ190" i="107"/>
  <c r="AY190" i="107"/>
  <c r="AX190" i="107"/>
  <c r="BB189" i="107"/>
  <c r="BA189" i="107"/>
  <c r="AZ189" i="107"/>
  <c r="AY189" i="107"/>
  <c r="AX189" i="107"/>
  <c r="BB188" i="107"/>
  <c r="BA188" i="107"/>
  <c r="AZ188" i="107"/>
  <c r="AY188" i="107"/>
  <c r="AX188" i="107"/>
  <c r="BB185" i="107"/>
  <c r="BA185" i="107"/>
  <c r="AZ185" i="107"/>
  <c r="AY185" i="107"/>
  <c r="AX185" i="107"/>
  <c r="BB184" i="107"/>
  <c r="BA184" i="107"/>
  <c r="AZ184" i="107"/>
  <c r="AY184" i="107"/>
  <c r="AX184" i="107"/>
  <c r="BB180" i="107"/>
  <c r="BA180" i="107"/>
  <c r="AZ180" i="107"/>
  <c r="AY180" i="107"/>
  <c r="AX180" i="107"/>
  <c r="BB179" i="107"/>
  <c r="BA179" i="107"/>
  <c r="AZ179" i="107"/>
  <c r="AY179" i="107"/>
  <c r="AX179" i="107"/>
  <c r="BB178" i="107"/>
  <c r="BA178" i="107"/>
  <c r="AZ178" i="107"/>
  <c r="AY178" i="107"/>
  <c r="AX178" i="107"/>
  <c r="BB170" i="107"/>
  <c r="BA170" i="107"/>
  <c r="AZ170" i="107"/>
  <c r="AY170" i="107"/>
  <c r="AX170" i="107"/>
  <c r="BB169" i="107"/>
  <c r="BA169" i="107"/>
  <c r="AZ169" i="107"/>
  <c r="AY169" i="107"/>
  <c r="AX169" i="107"/>
  <c r="BB168" i="107"/>
  <c r="BA168" i="107"/>
  <c r="AZ168" i="107"/>
  <c r="AY168" i="107"/>
  <c r="AX168" i="107"/>
  <c r="BB167" i="107"/>
  <c r="BA167" i="107"/>
  <c r="AZ167" i="107"/>
  <c r="AY167" i="107"/>
  <c r="AX167" i="107"/>
  <c r="BB161" i="107"/>
  <c r="BA161" i="107"/>
  <c r="AZ161" i="107"/>
  <c r="AY161" i="107"/>
  <c r="AX161" i="107"/>
  <c r="BB160" i="107"/>
  <c r="BA160" i="107"/>
  <c r="AZ160" i="107"/>
  <c r="AY160" i="107"/>
  <c r="AX160" i="107"/>
  <c r="BB159" i="107"/>
  <c r="BA159" i="107"/>
  <c r="AZ159" i="107"/>
  <c r="AY159" i="107"/>
  <c r="AX159" i="107"/>
  <c r="BB158" i="107"/>
  <c r="BA158" i="107"/>
  <c r="AZ158" i="107"/>
  <c r="AY158" i="107"/>
  <c r="AX158" i="107"/>
  <c r="BB154" i="107"/>
  <c r="BA154" i="107"/>
  <c r="AZ154" i="107"/>
  <c r="AY154" i="107"/>
  <c r="AX154" i="107"/>
  <c r="BB153" i="107"/>
  <c r="BA153" i="107"/>
  <c r="AZ153" i="107"/>
  <c r="AY153" i="107"/>
  <c r="AX153" i="107"/>
  <c r="BB150" i="107"/>
  <c r="BA150" i="107"/>
  <c r="AZ150" i="107"/>
  <c r="AY150" i="107"/>
  <c r="AX150" i="107"/>
  <c r="BB149" i="107"/>
  <c r="BA149" i="107"/>
  <c r="AZ149" i="107"/>
  <c r="AY149" i="107"/>
  <c r="AX149" i="107"/>
  <c r="BB146" i="107"/>
  <c r="BA146" i="107"/>
  <c r="AZ146" i="107"/>
  <c r="AY146" i="107"/>
  <c r="AX146" i="107"/>
  <c r="BB145" i="107"/>
  <c r="BA145" i="107"/>
  <c r="AZ145" i="107"/>
  <c r="AY145" i="107"/>
  <c r="AX145" i="107"/>
  <c r="BB141" i="107"/>
  <c r="BA141" i="107"/>
  <c r="AZ141" i="107"/>
  <c r="AY141" i="107"/>
  <c r="AX141" i="107"/>
  <c r="BB140" i="107"/>
  <c r="BA140" i="107"/>
  <c r="AZ140" i="107"/>
  <c r="AY140" i="107"/>
  <c r="AX140" i="107"/>
  <c r="BB139" i="107"/>
  <c r="BA139" i="107"/>
  <c r="AZ139" i="107"/>
  <c r="AY139" i="107"/>
  <c r="AX139" i="107"/>
  <c r="BB138" i="107"/>
  <c r="BA138" i="107"/>
  <c r="AZ138" i="107"/>
  <c r="AY138" i="107"/>
  <c r="AX138" i="107"/>
  <c r="BB133" i="107"/>
  <c r="BA133" i="107"/>
  <c r="AZ133" i="107"/>
  <c r="AY133" i="107"/>
  <c r="AX133" i="107"/>
  <c r="BB132" i="107"/>
  <c r="BA132" i="107"/>
  <c r="AZ132" i="107"/>
  <c r="AY132" i="107"/>
  <c r="AX132" i="107"/>
  <c r="BB131" i="107"/>
  <c r="BA131" i="107"/>
  <c r="AZ131" i="107"/>
  <c r="AY131" i="107"/>
  <c r="AX131" i="107"/>
  <c r="BB130" i="107"/>
  <c r="BA130" i="107"/>
  <c r="AZ130" i="107"/>
  <c r="AY130" i="107"/>
  <c r="AX130" i="107"/>
  <c r="BB129" i="107"/>
  <c r="BA129" i="107"/>
  <c r="AZ129" i="107"/>
  <c r="AY129" i="107"/>
  <c r="AX129" i="107"/>
  <c r="BB128" i="107"/>
  <c r="BA128" i="107"/>
  <c r="AZ128" i="107"/>
  <c r="AY128" i="107"/>
  <c r="AX128" i="107"/>
  <c r="BB120" i="107"/>
  <c r="BA120" i="107"/>
  <c r="AZ120" i="107"/>
  <c r="AY120" i="107"/>
  <c r="AX120" i="107"/>
  <c r="BB119" i="107"/>
  <c r="BA119" i="107"/>
  <c r="AZ119" i="107"/>
  <c r="AY119" i="107"/>
  <c r="AX119" i="107"/>
  <c r="BB110" i="107"/>
  <c r="BA110" i="107"/>
  <c r="AZ110" i="107"/>
  <c r="AY110" i="107"/>
  <c r="AX110" i="107"/>
  <c r="BB109" i="107"/>
  <c r="BA109" i="107"/>
  <c r="AZ109" i="107"/>
  <c r="AY109" i="107"/>
  <c r="AX109" i="107"/>
  <c r="BB108" i="107"/>
  <c r="BA108" i="107"/>
  <c r="AZ108" i="107"/>
  <c r="AY108" i="107"/>
  <c r="AX108" i="107"/>
  <c r="BB107" i="107"/>
  <c r="BA107" i="107"/>
  <c r="AZ107" i="107"/>
  <c r="AY107" i="107"/>
  <c r="AX107" i="107"/>
  <c r="BB106" i="107"/>
  <c r="BA106" i="107"/>
  <c r="AZ106" i="107"/>
  <c r="AY106" i="107"/>
  <c r="AX106" i="107"/>
  <c r="BB105" i="107"/>
  <c r="BA105" i="107"/>
  <c r="AZ105" i="107"/>
  <c r="AY105" i="107"/>
  <c r="AX105" i="107"/>
  <c r="BB104" i="107"/>
  <c r="BA104" i="107"/>
  <c r="AZ104" i="107"/>
  <c r="AY104" i="107"/>
  <c r="AX104" i="107"/>
  <c r="BB101" i="107"/>
  <c r="BA101" i="107"/>
  <c r="AZ101" i="107"/>
  <c r="AY101" i="107"/>
  <c r="AX101" i="107"/>
  <c r="BB100" i="107"/>
  <c r="BA100" i="107"/>
  <c r="AZ100" i="107"/>
  <c r="AY100" i="107"/>
  <c r="AX100" i="107"/>
  <c r="BB97" i="107"/>
  <c r="BA97" i="107"/>
  <c r="AZ97" i="107"/>
  <c r="AY97" i="107"/>
  <c r="AX97" i="107"/>
  <c r="BB96" i="107"/>
  <c r="BA96" i="107"/>
  <c r="AZ96" i="107"/>
  <c r="AY96" i="107"/>
  <c r="AX96" i="107"/>
  <c r="BB95" i="107"/>
  <c r="BA95" i="107"/>
  <c r="AZ95" i="107"/>
  <c r="AY95" i="107"/>
  <c r="AX95" i="107"/>
  <c r="BB91" i="107"/>
  <c r="BA91" i="107"/>
  <c r="AZ91" i="107"/>
  <c r="AY91" i="107"/>
  <c r="AX91" i="107"/>
  <c r="BB90" i="107"/>
  <c r="BA90" i="107"/>
  <c r="AZ90" i="107"/>
  <c r="AY90" i="107"/>
  <c r="AX90" i="107"/>
  <c r="BB89" i="107"/>
  <c r="BA89" i="107"/>
  <c r="AZ89" i="107"/>
  <c r="AY89" i="107"/>
  <c r="AX89" i="107"/>
  <c r="BB86" i="107"/>
  <c r="BA86" i="107"/>
  <c r="AZ86" i="107"/>
  <c r="AY86" i="107"/>
  <c r="AX86" i="107"/>
  <c r="BB85" i="107"/>
  <c r="BA85" i="107"/>
  <c r="AZ85" i="107"/>
  <c r="AY85" i="107"/>
  <c r="AX85" i="107"/>
  <c r="BB84" i="107"/>
  <c r="BA84" i="107"/>
  <c r="AZ84" i="107"/>
  <c r="AY84" i="107"/>
  <c r="AX84" i="107"/>
  <c r="BB81" i="107"/>
  <c r="BA81" i="107"/>
  <c r="AZ81" i="107"/>
  <c r="AY81" i="107"/>
  <c r="AX81" i="107"/>
  <c r="BB80" i="107"/>
  <c r="BA80" i="107"/>
  <c r="AZ80" i="107"/>
  <c r="AY80" i="107"/>
  <c r="AX80" i="107"/>
  <c r="BB79" i="107"/>
  <c r="BA79" i="107"/>
  <c r="AZ79" i="107"/>
  <c r="AY79" i="107"/>
  <c r="AX79" i="107"/>
  <c r="BB78" i="107"/>
  <c r="BA78" i="107"/>
  <c r="AZ78" i="107"/>
  <c r="AY78" i="107"/>
  <c r="AX78" i="107"/>
  <c r="BB77" i="107"/>
  <c r="BA77" i="107"/>
  <c r="AZ77" i="107"/>
  <c r="AY77" i="107"/>
  <c r="AX77" i="107"/>
  <c r="BB76" i="107"/>
  <c r="BA76" i="107"/>
  <c r="AZ76" i="107"/>
  <c r="AY76" i="107"/>
  <c r="AX76" i="107"/>
  <c r="BB72" i="107"/>
  <c r="BA72" i="107"/>
  <c r="AZ72" i="107"/>
  <c r="AY72" i="107"/>
  <c r="AX72" i="107"/>
  <c r="BB71" i="107"/>
  <c r="BA71" i="107"/>
  <c r="AZ71" i="107"/>
  <c r="AY71" i="107"/>
  <c r="AX71" i="107"/>
  <c r="BB70" i="107"/>
  <c r="BA70" i="107"/>
  <c r="AZ70" i="107"/>
  <c r="AY70" i="107"/>
  <c r="AX70" i="107"/>
  <c r="BB67" i="107"/>
  <c r="BA67" i="107"/>
  <c r="AZ67" i="107"/>
  <c r="AY67" i="107"/>
  <c r="AX67" i="107"/>
  <c r="BB66" i="107"/>
  <c r="BA66" i="107"/>
  <c r="AZ66" i="107"/>
  <c r="AY66" i="107"/>
  <c r="AX66" i="107"/>
  <c r="BB63" i="107"/>
  <c r="BA63" i="107"/>
  <c r="AZ63" i="107"/>
  <c r="AY63" i="107"/>
  <c r="AX63" i="107"/>
  <c r="BB62" i="107"/>
  <c r="BA62" i="107"/>
  <c r="AZ62" i="107"/>
  <c r="AY62" i="107"/>
  <c r="AX62" i="107"/>
  <c r="BB61" i="107"/>
  <c r="BA61" i="107"/>
  <c r="AZ61" i="107"/>
  <c r="AY61" i="107"/>
  <c r="AX61" i="107"/>
  <c r="BB58" i="107"/>
  <c r="BA58" i="107"/>
  <c r="AZ58" i="107"/>
  <c r="AY58" i="107"/>
  <c r="AX58" i="107"/>
  <c r="BB57" i="107"/>
  <c r="BA57" i="107"/>
  <c r="AZ57" i="107"/>
  <c r="AY57" i="107"/>
  <c r="AX57" i="107"/>
  <c r="BB56" i="107"/>
  <c r="BA56" i="107"/>
  <c r="AZ56" i="107"/>
  <c r="AY56" i="107"/>
  <c r="AX56" i="107"/>
  <c r="BB52" i="107"/>
  <c r="BA52" i="107"/>
  <c r="AZ52" i="107"/>
  <c r="AY52" i="107"/>
  <c r="AX52" i="107"/>
  <c r="BB51" i="107"/>
  <c r="BA51" i="107"/>
  <c r="AZ51" i="107"/>
  <c r="AY51" i="107"/>
  <c r="AX51" i="107"/>
  <c r="BB50" i="107"/>
  <c r="BA50" i="107"/>
  <c r="AZ50" i="107"/>
  <c r="AY50" i="107"/>
  <c r="AX50" i="107"/>
  <c r="BB49" i="107"/>
  <c r="BA49" i="107"/>
  <c r="AZ49" i="107"/>
  <c r="AY49" i="107"/>
  <c r="AX49" i="107"/>
  <c r="BB46" i="107"/>
  <c r="BA46" i="107"/>
  <c r="AZ46" i="107"/>
  <c r="AY46" i="107"/>
  <c r="AX46" i="107"/>
  <c r="BB45" i="107"/>
  <c r="BA45" i="107"/>
  <c r="AZ45" i="107"/>
  <c r="AY45" i="107"/>
  <c r="AX45" i="107"/>
  <c r="BB44" i="107"/>
  <c r="BA44" i="107"/>
  <c r="AZ44" i="107"/>
  <c r="AY44" i="107"/>
  <c r="AX44" i="107"/>
  <c r="W43" i="93"/>
  <c r="AM20" i="113"/>
  <c r="AM18" i="113"/>
  <c r="AM20" i="112"/>
  <c r="AM18" i="112"/>
  <c r="AM20" i="109"/>
  <c r="AM18" i="109"/>
  <c r="AY258" i="107"/>
  <c r="AX258" i="107"/>
  <c r="AY257" i="107"/>
  <c r="AX257" i="107"/>
  <c r="AY256" i="107"/>
  <c r="AX256" i="107"/>
  <c r="AY239" i="107"/>
  <c r="AY234" i="107"/>
  <c r="AY233" i="107"/>
  <c r="AY227" i="107"/>
  <c r="AX227" i="107"/>
  <c r="AY226" i="107"/>
  <c r="AX226" i="107"/>
  <c r="AY225" i="107"/>
  <c r="AX225" i="107"/>
  <c r="AY224" i="107"/>
  <c r="AX224" i="107"/>
  <c r="AY223" i="107"/>
  <c r="AX223" i="107"/>
  <c r="AY222" i="107"/>
  <c r="AX222" i="107"/>
  <c r="BB43" i="107"/>
  <c r="BA43" i="107"/>
  <c r="AZ43" i="107"/>
  <c r="BB34" i="107"/>
  <c r="AY34" i="107"/>
  <c r="BB27" i="107"/>
  <c r="AY27" i="107"/>
  <c r="AM20" i="107"/>
  <c r="AM18" i="107"/>
  <c r="S81" i="19"/>
  <c r="S112" i="19"/>
  <c r="S142" i="19"/>
  <c r="T52" i="19"/>
  <c r="F81" i="19" l="1"/>
  <c r="Y81" i="19" s="1"/>
  <c r="F112" i="19"/>
  <c r="Y112" i="19" s="1"/>
  <c r="F142" i="19"/>
  <c r="Y142" i="19" s="1"/>
  <c r="J52" i="19"/>
  <c r="F51" i="19"/>
  <c r="Y51" i="19" s="1"/>
  <c r="R53" i="19"/>
  <c r="R84" i="19"/>
  <c r="R115" i="19"/>
  <c r="R146" i="19"/>
  <c r="S197" i="107"/>
  <c r="S188" i="107"/>
  <c r="S139" i="107"/>
  <c r="S70" i="107"/>
  <c r="E38" i="116"/>
  <c r="I83" i="100"/>
  <c r="I14" i="29"/>
  <c r="C9" i="29"/>
  <c r="T53" i="19"/>
  <c r="S82" i="19"/>
  <c r="S143" i="19"/>
  <c r="T83" i="19"/>
  <c r="S113" i="19"/>
  <c r="T146" i="19"/>
  <c r="F82" i="19" l="1"/>
  <c r="Y82" i="19" s="1"/>
  <c r="F113" i="19"/>
  <c r="Y113" i="19" s="1"/>
  <c r="J83" i="19"/>
  <c r="J146" i="19"/>
  <c r="J84" i="19"/>
  <c r="J53" i="19"/>
  <c r="R54" i="19"/>
  <c r="R85" i="19"/>
  <c r="R116" i="19"/>
  <c r="R147" i="19"/>
  <c r="B1" i="112"/>
  <c r="B1" i="107"/>
  <c r="B1" i="114"/>
  <c r="B1" i="110"/>
  <c r="B1" i="30"/>
  <c r="B1" i="113"/>
  <c r="B1" i="109"/>
  <c r="B1" i="93"/>
  <c r="B1" i="111"/>
  <c r="B1" i="108"/>
  <c r="B1" i="59"/>
  <c r="S76" i="107"/>
  <c r="E197" i="107"/>
  <c r="B572" i="118"/>
  <c r="P575" i="118"/>
  <c r="Q575" i="118"/>
  <c r="AU594" i="118" s="1"/>
  <c r="AZ594" i="118" s="1"/>
  <c r="D591" i="118"/>
  <c r="I586" i="118" s="1"/>
  <c r="D592" i="118"/>
  <c r="P580" i="118" s="1"/>
  <c r="D593" i="118"/>
  <c r="R585" i="118" s="1"/>
  <c r="S585" i="118" s="1"/>
  <c r="BB593" i="118"/>
  <c r="BC593" i="118"/>
  <c r="BL593" i="118" s="1"/>
  <c r="BD593" i="118"/>
  <c r="BM593" i="118" s="1"/>
  <c r="BE593" i="118"/>
  <c r="BN593" i="118" s="1"/>
  <c r="BF593" i="118"/>
  <c r="BG593" i="118"/>
  <c r="BP593" i="118" s="1"/>
  <c r="BH593" i="118"/>
  <c r="BQ593" i="118" s="1"/>
  <c r="BI593" i="118"/>
  <c r="BO593" i="118"/>
  <c r="X594" i="118"/>
  <c r="AN594" i="118"/>
  <c r="AQ594" i="118"/>
  <c r="AT594" i="118"/>
  <c r="AV594" i="118"/>
  <c r="AW594" i="118"/>
  <c r="AX594" i="118"/>
  <c r="BC594" i="118"/>
  <c r="BL594" i="118"/>
  <c r="BM594" i="118"/>
  <c r="BN594" i="118"/>
  <c r="BO594" i="118"/>
  <c r="BP594" i="118"/>
  <c r="BQ594" i="118"/>
  <c r="AN595" i="118"/>
  <c r="BB595" i="118"/>
  <c r="AN596" i="118"/>
  <c r="BB596" i="118"/>
  <c r="AN597" i="118"/>
  <c r="BB597" i="118"/>
  <c r="AN598" i="118"/>
  <c r="BB598" i="118"/>
  <c r="AN599" i="118"/>
  <c r="BB599" i="118"/>
  <c r="AN600" i="118"/>
  <c r="BB600" i="118"/>
  <c r="AN601" i="118"/>
  <c r="BB601" i="118"/>
  <c r="AN602" i="118"/>
  <c r="BB602" i="118"/>
  <c r="AN603" i="118"/>
  <c r="BB603" i="118"/>
  <c r="AN604" i="118"/>
  <c r="BB604" i="118"/>
  <c r="AN605" i="118"/>
  <c r="BB605" i="118"/>
  <c r="AN606" i="118"/>
  <c r="BB606" i="118"/>
  <c r="AN607" i="118"/>
  <c r="BB607" i="118"/>
  <c r="AN608" i="118"/>
  <c r="BB608" i="118"/>
  <c r="AN609" i="118"/>
  <c r="BB609" i="118"/>
  <c r="AN610" i="118"/>
  <c r="BB610" i="118"/>
  <c r="AN611" i="118"/>
  <c r="BB611" i="118"/>
  <c r="AN612" i="118"/>
  <c r="BB612" i="118"/>
  <c r="AN613" i="118"/>
  <c r="BB613" i="118"/>
  <c r="AN614" i="118"/>
  <c r="BB614" i="118"/>
  <c r="AN615" i="118"/>
  <c r="BB615" i="118"/>
  <c r="AN616" i="118"/>
  <c r="BB616" i="118"/>
  <c r="AN617" i="118"/>
  <c r="BB617" i="118"/>
  <c r="AN618" i="118"/>
  <c r="BB618" i="118"/>
  <c r="AN619" i="118"/>
  <c r="BB619" i="118"/>
  <c r="AN620" i="118"/>
  <c r="BB620" i="118"/>
  <c r="AN621" i="118"/>
  <c r="BB621" i="118"/>
  <c r="AN622" i="118"/>
  <c r="BB622" i="118"/>
  <c r="AN623" i="118"/>
  <c r="BB623" i="118"/>
  <c r="AN624" i="118"/>
  <c r="BB624" i="118"/>
  <c r="AN625" i="118"/>
  <c r="BB625" i="118"/>
  <c r="AN626" i="118"/>
  <c r="BB626" i="118"/>
  <c r="AN627" i="118"/>
  <c r="BB627" i="118"/>
  <c r="AN628" i="118"/>
  <c r="BB628" i="118"/>
  <c r="AN629" i="118"/>
  <c r="BB629" i="118"/>
  <c r="AN630" i="118"/>
  <c r="BB630" i="118"/>
  <c r="AN631" i="118"/>
  <c r="BB631" i="118"/>
  <c r="AN632" i="118"/>
  <c r="BB632" i="118"/>
  <c r="AN633" i="118"/>
  <c r="BB633" i="118"/>
  <c r="AN634" i="118"/>
  <c r="BB634" i="118"/>
  <c r="AN635" i="118"/>
  <c r="BB635" i="118"/>
  <c r="AN636" i="118"/>
  <c r="BB636" i="118"/>
  <c r="AN637" i="118"/>
  <c r="BB637" i="118"/>
  <c r="AN638" i="118"/>
  <c r="BB638" i="118"/>
  <c r="AN639" i="118"/>
  <c r="BB639" i="118"/>
  <c r="AN640" i="118"/>
  <c r="BB640" i="118"/>
  <c r="AN641" i="118"/>
  <c r="BB641" i="118"/>
  <c r="AN642" i="118"/>
  <c r="BB642" i="118"/>
  <c r="AN643" i="118"/>
  <c r="BB643" i="118"/>
  <c r="AN644" i="118"/>
  <c r="BB644" i="118"/>
  <c r="B437" i="118"/>
  <c r="P440" i="118"/>
  <c r="Q440" i="118"/>
  <c r="D456" i="118"/>
  <c r="I451" i="118" s="1"/>
  <c r="D457" i="118"/>
  <c r="P445" i="118" s="1"/>
  <c r="D458" i="118"/>
  <c r="R450" i="118" s="1"/>
  <c r="S450" i="118" s="1"/>
  <c r="BB458" i="118"/>
  <c r="BC458" i="118"/>
  <c r="BD458" i="118"/>
  <c r="BE458" i="118"/>
  <c r="BN458" i="118" s="1"/>
  <c r="BF458" i="118"/>
  <c r="BO458" i="118" s="1"/>
  <c r="BG458" i="118"/>
  <c r="BH458" i="118"/>
  <c r="BI458" i="118"/>
  <c r="BL458" i="118"/>
  <c r="BM458" i="118"/>
  <c r="BP458" i="118"/>
  <c r="BQ458" i="118"/>
  <c r="X459" i="118"/>
  <c r="AN459" i="118"/>
  <c r="AQ459" i="118"/>
  <c r="AX459" i="118"/>
  <c r="BC459" i="118"/>
  <c r="BL459" i="118"/>
  <c r="BM459" i="118"/>
  <c r="BN459" i="118"/>
  <c r="BO459" i="118"/>
  <c r="BP459" i="118"/>
  <c r="BQ459" i="118"/>
  <c r="AN460" i="118"/>
  <c r="BB460" i="118"/>
  <c r="AN461" i="118"/>
  <c r="BB461" i="118"/>
  <c r="AN462" i="118"/>
  <c r="BB462" i="118"/>
  <c r="AN463" i="118"/>
  <c r="BB463" i="118"/>
  <c r="AN464" i="118"/>
  <c r="BB464" i="118"/>
  <c r="AN465" i="118"/>
  <c r="BB465" i="118"/>
  <c r="AN466" i="118"/>
  <c r="BB466" i="118"/>
  <c r="AN467" i="118"/>
  <c r="BB467" i="118"/>
  <c r="AN468" i="118"/>
  <c r="BB468" i="118"/>
  <c r="AN469" i="118"/>
  <c r="BB469" i="118"/>
  <c r="AN470" i="118"/>
  <c r="BB470" i="118"/>
  <c r="AN471" i="118"/>
  <c r="BB471" i="118"/>
  <c r="AN472" i="118"/>
  <c r="BB472" i="118"/>
  <c r="AN473" i="118"/>
  <c r="BB473" i="118"/>
  <c r="AN474" i="118"/>
  <c r="BB474" i="118"/>
  <c r="AN475" i="118"/>
  <c r="BB475" i="118"/>
  <c r="AN476" i="118"/>
  <c r="BB476" i="118"/>
  <c r="AN477" i="118"/>
  <c r="BB477" i="118"/>
  <c r="AN478" i="118"/>
  <c r="BB478" i="118"/>
  <c r="AN479" i="118"/>
  <c r="BB479" i="118"/>
  <c r="AN480" i="118"/>
  <c r="BB480" i="118"/>
  <c r="AN481" i="118"/>
  <c r="BB481" i="118"/>
  <c r="AN482" i="118"/>
  <c r="BB482" i="118"/>
  <c r="AN483" i="118"/>
  <c r="BB483" i="118"/>
  <c r="AN484" i="118"/>
  <c r="BB484" i="118"/>
  <c r="AN485" i="118"/>
  <c r="BB485" i="118"/>
  <c r="AN486" i="118"/>
  <c r="BB486" i="118"/>
  <c r="AN487" i="118"/>
  <c r="BB487" i="118"/>
  <c r="AN488" i="118"/>
  <c r="BB488" i="118"/>
  <c r="AN489" i="118"/>
  <c r="BB489" i="118"/>
  <c r="AN490" i="118"/>
  <c r="BB490" i="118"/>
  <c r="AN491" i="118"/>
  <c r="BB491" i="118"/>
  <c r="AN492" i="118"/>
  <c r="BB492" i="118"/>
  <c r="AN493" i="118"/>
  <c r="BB493" i="118"/>
  <c r="AN494" i="118"/>
  <c r="BB494" i="118"/>
  <c r="AN495" i="118"/>
  <c r="BB495" i="118"/>
  <c r="AN496" i="118"/>
  <c r="BB496" i="118"/>
  <c r="AN497" i="118"/>
  <c r="BB497" i="118"/>
  <c r="AN498" i="118"/>
  <c r="BB498" i="118"/>
  <c r="AN499" i="118"/>
  <c r="BB499" i="118"/>
  <c r="AN500" i="118"/>
  <c r="BB500" i="118"/>
  <c r="AN501" i="118"/>
  <c r="BB501" i="118"/>
  <c r="AN502" i="118"/>
  <c r="BB502" i="118"/>
  <c r="AN503" i="118"/>
  <c r="BB503" i="118"/>
  <c r="AN504" i="118"/>
  <c r="BB504" i="118"/>
  <c r="AN505" i="118"/>
  <c r="BB505" i="118"/>
  <c r="AN506" i="118"/>
  <c r="BB506" i="118"/>
  <c r="AN507" i="118"/>
  <c r="BB507" i="118"/>
  <c r="AN508" i="118"/>
  <c r="BB508" i="118"/>
  <c r="AN509" i="118"/>
  <c r="BB509" i="118"/>
  <c r="B303" i="118"/>
  <c r="P306" i="118"/>
  <c r="Q306" i="118"/>
  <c r="D322" i="118"/>
  <c r="I317" i="118" s="1"/>
  <c r="D323" i="118"/>
  <c r="P311" i="118" s="1"/>
  <c r="D324" i="118"/>
  <c r="R316" i="118" s="1"/>
  <c r="S316" i="118" s="1"/>
  <c r="BB324" i="118"/>
  <c r="BC324" i="118"/>
  <c r="BL324" i="118" s="1"/>
  <c r="BD324" i="118"/>
  <c r="BM324" i="118" s="1"/>
  <c r="BE324" i="118"/>
  <c r="BF324" i="118"/>
  <c r="BO324" i="118" s="1"/>
  <c r="BG324" i="118"/>
  <c r="BP324" i="118" s="1"/>
  <c r="BH324" i="118"/>
  <c r="BQ324" i="118" s="1"/>
  <c r="BI324" i="118"/>
  <c r="BN324" i="118"/>
  <c r="X325" i="118"/>
  <c r="AN325" i="118"/>
  <c r="AQ325" i="118"/>
  <c r="AT325" i="118"/>
  <c r="AY325" i="118"/>
  <c r="BC325" i="118"/>
  <c r="BL325" i="118"/>
  <c r="BM325" i="118"/>
  <c r="BN325" i="118"/>
  <c r="BO325" i="118"/>
  <c r="BP325" i="118"/>
  <c r="BQ325" i="118"/>
  <c r="AN326" i="118"/>
  <c r="BB326" i="118"/>
  <c r="AN327" i="118"/>
  <c r="BB327" i="118"/>
  <c r="AN328" i="118"/>
  <c r="BB328" i="118"/>
  <c r="AN329" i="118"/>
  <c r="BB329" i="118"/>
  <c r="AN330" i="118"/>
  <c r="BB330" i="118"/>
  <c r="AN331" i="118"/>
  <c r="BB331" i="118"/>
  <c r="AN332" i="118"/>
  <c r="BB332" i="118"/>
  <c r="AN333" i="118"/>
  <c r="BB333" i="118"/>
  <c r="AN334" i="118"/>
  <c r="BB334" i="118"/>
  <c r="AN335" i="118"/>
  <c r="BB335" i="118"/>
  <c r="AN336" i="118"/>
  <c r="BB336" i="118"/>
  <c r="AN337" i="118"/>
  <c r="BB337" i="118"/>
  <c r="AN338" i="118"/>
  <c r="BB338" i="118"/>
  <c r="AN339" i="118"/>
  <c r="BB339" i="118"/>
  <c r="AN340" i="118"/>
  <c r="BB340" i="118"/>
  <c r="AN341" i="118"/>
  <c r="BB341" i="118"/>
  <c r="AN342" i="118"/>
  <c r="BB342" i="118"/>
  <c r="AN343" i="118"/>
  <c r="BB343" i="118"/>
  <c r="AN344" i="118"/>
  <c r="BB344" i="118"/>
  <c r="AN345" i="118"/>
  <c r="BB345" i="118"/>
  <c r="AN346" i="118"/>
  <c r="BB346" i="118"/>
  <c r="AN347" i="118"/>
  <c r="BB347" i="118"/>
  <c r="AN348" i="118"/>
  <c r="BB348" i="118"/>
  <c r="AN349" i="118"/>
  <c r="BB349" i="118"/>
  <c r="AN350" i="118"/>
  <c r="BB350" i="118"/>
  <c r="AN351" i="118"/>
  <c r="BB351" i="118"/>
  <c r="AN352" i="118"/>
  <c r="BB352" i="118"/>
  <c r="AN353" i="118"/>
  <c r="BB353" i="118"/>
  <c r="AN354" i="118"/>
  <c r="BB354" i="118"/>
  <c r="AN355" i="118"/>
  <c r="BB355" i="118"/>
  <c r="AN356" i="118"/>
  <c r="BB356" i="118"/>
  <c r="AN357" i="118"/>
  <c r="BB357" i="118"/>
  <c r="AN358" i="118"/>
  <c r="BB358" i="118"/>
  <c r="AN359" i="118"/>
  <c r="BB359" i="118"/>
  <c r="AN360" i="118"/>
  <c r="BB360" i="118"/>
  <c r="AN361" i="118"/>
  <c r="BB361" i="118"/>
  <c r="AN362" i="118"/>
  <c r="BB362" i="118"/>
  <c r="AN363" i="118"/>
  <c r="BB363" i="118"/>
  <c r="AN364" i="118"/>
  <c r="BB364" i="118"/>
  <c r="AN365" i="118"/>
  <c r="BB365" i="118"/>
  <c r="AN366" i="118"/>
  <c r="BB366" i="118"/>
  <c r="AN367" i="118"/>
  <c r="BB367" i="118"/>
  <c r="AN368" i="118"/>
  <c r="BB368" i="118"/>
  <c r="AN369" i="118"/>
  <c r="BB369" i="118"/>
  <c r="AN370" i="118"/>
  <c r="BB370" i="118"/>
  <c r="AN371" i="118"/>
  <c r="BB371" i="118"/>
  <c r="AN372" i="118"/>
  <c r="BB372" i="118"/>
  <c r="AN373" i="118"/>
  <c r="BB373" i="118"/>
  <c r="AN374" i="118"/>
  <c r="BB374" i="118"/>
  <c r="AN375" i="118"/>
  <c r="BB375" i="118"/>
  <c r="B169" i="118"/>
  <c r="P172" i="118"/>
  <c r="Q172" i="118"/>
  <c r="AU191" i="118" s="1"/>
  <c r="D188" i="118"/>
  <c r="I183" i="118" s="1"/>
  <c r="D189" i="118"/>
  <c r="P177" i="118" s="1"/>
  <c r="D190" i="118"/>
  <c r="R182" i="118" s="1"/>
  <c r="S182" i="118" s="1"/>
  <c r="BB190" i="118"/>
  <c r="BC190" i="118"/>
  <c r="BL190" i="118" s="1"/>
  <c r="BD190" i="118"/>
  <c r="BM190" i="118" s="1"/>
  <c r="BE190" i="118"/>
  <c r="BF190" i="118"/>
  <c r="BO190" i="118" s="1"/>
  <c r="BG190" i="118"/>
  <c r="BP190" i="118" s="1"/>
  <c r="BH190" i="118"/>
  <c r="BQ190" i="118" s="1"/>
  <c r="BI190" i="118"/>
  <c r="BN190" i="118"/>
  <c r="X191" i="118"/>
  <c r="AN191" i="118"/>
  <c r="AQ191" i="118"/>
  <c r="BC191" i="118"/>
  <c r="BL191" i="118"/>
  <c r="BM191" i="118"/>
  <c r="BN191" i="118"/>
  <c r="BO191" i="118"/>
  <c r="BP191" i="118"/>
  <c r="BQ191" i="118"/>
  <c r="AN192" i="118"/>
  <c r="BB192" i="118"/>
  <c r="AN193" i="118"/>
  <c r="BB193" i="118"/>
  <c r="AN194" i="118"/>
  <c r="BB194" i="118"/>
  <c r="AN195" i="118"/>
  <c r="BB195" i="118"/>
  <c r="AN196" i="118"/>
  <c r="BB196" i="118"/>
  <c r="AN197" i="118"/>
  <c r="BB197" i="118"/>
  <c r="AN198" i="118"/>
  <c r="BB198" i="118"/>
  <c r="AN199" i="118"/>
  <c r="BB199" i="118"/>
  <c r="AN200" i="118"/>
  <c r="BB200" i="118"/>
  <c r="AN201" i="118"/>
  <c r="BB201" i="118"/>
  <c r="AN202" i="118"/>
  <c r="BB202" i="118"/>
  <c r="AN203" i="118"/>
  <c r="BB203" i="118"/>
  <c r="AN204" i="118"/>
  <c r="BB204" i="118"/>
  <c r="AN205" i="118"/>
  <c r="BB205" i="118"/>
  <c r="AN206" i="118"/>
  <c r="BB206" i="118"/>
  <c r="AN207" i="118"/>
  <c r="BB207" i="118"/>
  <c r="AN208" i="118"/>
  <c r="BB208" i="118"/>
  <c r="AN209" i="118"/>
  <c r="BB209" i="118"/>
  <c r="AN210" i="118"/>
  <c r="BB210" i="118"/>
  <c r="AN211" i="118"/>
  <c r="BB211" i="118"/>
  <c r="AN212" i="118"/>
  <c r="BB212" i="118"/>
  <c r="AN213" i="118"/>
  <c r="BB213" i="118"/>
  <c r="AN214" i="118"/>
  <c r="BB214" i="118"/>
  <c r="AN215" i="118"/>
  <c r="BB215" i="118"/>
  <c r="AN216" i="118"/>
  <c r="BB216" i="118"/>
  <c r="AN217" i="118"/>
  <c r="BB217" i="118"/>
  <c r="AN218" i="118"/>
  <c r="BB218" i="118"/>
  <c r="AN219" i="118"/>
  <c r="BB219" i="118"/>
  <c r="AN220" i="118"/>
  <c r="BB220" i="118"/>
  <c r="AN221" i="118"/>
  <c r="BB221" i="118"/>
  <c r="AN222" i="118"/>
  <c r="BB222" i="118"/>
  <c r="AN223" i="118"/>
  <c r="BB223" i="118"/>
  <c r="AN224" i="118"/>
  <c r="BB224" i="118"/>
  <c r="AN225" i="118"/>
  <c r="BB225" i="118"/>
  <c r="AN226" i="118"/>
  <c r="BB226" i="118"/>
  <c r="AN227" i="118"/>
  <c r="BB227" i="118"/>
  <c r="AN228" i="118"/>
  <c r="BB228" i="118"/>
  <c r="AN229" i="118"/>
  <c r="BB229" i="118"/>
  <c r="AN230" i="118"/>
  <c r="BB230" i="118"/>
  <c r="AN231" i="118"/>
  <c r="BB231" i="118"/>
  <c r="AN232" i="118"/>
  <c r="BB232" i="118"/>
  <c r="AN233" i="118"/>
  <c r="BB233" i="118"/>
  <c r="AN234" i="118"/>
  <c r="BB234" i="118"/>
  <c r="AN235" i="118"/>
  <c r="BB235" i="118"/>
  <c r="AN236" i="118"/>
  <c r="BB236" i="118"/>
  <c r="AN237" i="118"/>
  <c r="BB237" i="118"/>
  <c r="AN238" i="118"/>
  <c r="BB238" i="118"/>
  <c r="AN239" i="118"/>
  <c r="BB239" i="118"/>
  <c r="AN240" i="118"/>
  <c r="BB240" i="118"/>
  <c r="AN241" i="118"/>
  <c r="BB241" i="118"/>
  <c r="B35" i="118"/>
  <c r="P38" i="118"/>
  <c r="Q38" i="118"/>
  <c r="AY57" i="118" s="1"/>
  <c r="D54" i="118"/>
  <c r="I49" i="118" s="1"/>
  <c r="D55" i="118"/>
  <c r="P43" i="118" s="1"/>
  <c r="D56" i="118"/>
  <c r="R48" i="118" s="1"/>
  <c r="S48" i="118" s="1"/>
  <c r="BB56" i="118"/>
  <c r="BC56" i="118"/>
  <c r="BL56" i="118" s="1"/>
  <c r="BD56" i="118"/>
  <c r="BE56" i="118"/>
  <c r="BN56" i="118" s="1"/>
  <c r="BF56" i="118"/>
  <c r="BO56" i="118" s="1"/>
  <c r="BG56" i="118"/>
  <c r="BP56" i="118" s="1"/>
  <c r="BH56" i="118"/>
  <c r="BI56" i="118"/>
  <c r="BM56" i="118"/>
  <c r="BQ56" i="118"/>
  <c r="X57" i="118"/>
  <c r="AN57" i="118"/>
  <c r="AQ57" i="118"/>
  <c r="BC57" i="118"/>
  <c r="BL57" i="118"/>
  <c r="BM57" i="118"/>
  <c r="BN57" i="118"/>
  <c r="BO57" i="118"/>
  <c r="BP57" i="118"/>
  <c r="BQ57" i="118"/>
  <c r="AN58" i="118"/>
  <c r="BB58" i="118"/>
  <c r="AN59" i="118"/>
  <c r="BB59" i="118"/>
  <c r="AN60" i="118"/>
  <c r="BB60" i="118"/>
  <c r="AN61" i="118"/>
  <c r="BB61" i="118"/>
  <c r="AN62" i="118"/>
  <c r="BB62" i="118"/>
  <c r="AN63" i="118"/>
  <c r="BB63" i="118"/>
  <c r="AN64" i="118"/>
  <c r="BB64" i="118"/>
  <c r="AN65" i="118"/>
  <c r="BB65" i="118"/>
  <c r="AN66" i="118"/>
  <c r="BB66" i="118"/>
  <c r="AN67" i="118"/>
  <c r="BB67" i="118"/>
  <c r="AN68" i="118"/>
  <c r="BB68" i="118"/>
  <c r="AN69" i="118"/>
  <c r="BB69" i="118"/>
  <c r="AN70" i="118"/>
  <c r="BB70" i="118"/>
  <c r="AN71" i="118"/>
  <c r="BB71" i="118"/>
  <c r="AN72" i="118"/>
  <c r="BB72" i="118"/>
  <c r="AN73" i="118"/>
  <c r="BB73" i="118"/>
  <c r="AN74" i="118"/>
  <c r="BB74" i="118"/>
  <c r="AN75" i="118"/>
  <c r="BB75" i="118"/>
  <c r="AN76" i="118"/>
  <c r="BB76" i="118"/>
  <c r="AN77" i="118"/>
  <c r="BB77" i="118"/>
  <c r="AN78" i="118"/>
  <c r="BB78" i="118"/>
  <c r="AN79" i="118"/>
  <c r="BB79" i="118"/>
  <c r="AN80" i="118"/>
  <c r="BB80" i="118"/>
  <c r="AN81" i="118"/>
  <c r="BB81" i="118"/>
  <c r="AN82" i="118"/>
  <c r="BB82" i="118"/>
  <c r="AN83" i="118"/>
  <c r="BB83" i="118"/>
  <c r="AN84" i="118"/>
  <c r="BB84" i="118"/>
  <c r="AN85" i="118"/>
  <c r="BB85" i="118"/>
  <c r="AN86" i="118"/>
  <c r="BB86" i="118"/>
  <c r="AN87" i="118"/>
  <c r="BB87" i="118"/>
  <c r="AN88" i="118"/>
  <c r="BB88" i="118"/>
  <c r="AN89" i="118"/>
  <c r="BB89" i="118"/>
  <c r="AN90" i="118"/>
  <c r="BB90" i="118"/>
  <c r="AN91" i="118"/>
  <c r="BB91" i="118"/>
  <c r="AN92" i="118"/>
  <c r="BB92" i="118"/>
  <c r="AN93" i="118"/>
  <c r="BB93" i="118"/>
  <c r="AN94" i="118"/>
  <c r="BB94" i="118"/>
  <c r="AN95" i="118"/>
  <c r="BB95" i="118"/>
  <c r="AN96" i="118"/>
  <c r="BB96" i="118"/>
  <c r="AN97" i="118"/>
  <c r="BB97" i="118"/>
  <c r="AN98" i="118"/>
  <c r="BB98" i="118"/>
  <c r="AN99" i="118"/>
  <c r="BB99" i="118"/>
  <c r="AN100" i="118"/>
  <c r="BB100" i="118"/>
  <c r="AN101" i="118"/>
  <c r="BB101" i="118"/>
  <c r="AN102" i="118"/>
  <c r="BB102" i="118"/>
  <c r="AN103" i="118"/>
  <c r="BB103" i="118"/>
  <c r="AN104" i="118"/>
  <c r="BB104" i="118"/>
  <c r="AN105" i="118"/>
  <c r="BB105" i="118"/>
  <c r="AN106" i="118"/>
  <c r="BB106" i="118"/>
  <c r="AN107" i="118"/>
  <c r="BB107" i="118"/>
  <c r="AY594" i="118" l="1"/>
  <c r="AT57" i="118"/>
  <c r="BR594" i="118"/>
  <c r="R55" i="19"/>
  <c r="R86" i="19"/>
  <c r="R117" i="19"/>
  <c r="R148" i="19"/>
  <c r="AI130" i="109"/>
  <c r="AI131" i="109"/>
  <c r="S130" i="109"/>
  <c r="AC130" i="109"/>
  <c r="S131" i="109"/>
  <c r="E130" i="109"/>
  <c r="E131" i="109"/>
  <c r="N12" i="118"/>
  <c r="L12" i="118"/>
  <c r="R580" i="118"/>
  <c r="R12" i="118"/>
  <c r="P12" i="118"/>
  <c r="AV459" i="118"/>
  <c r="AW459" i="118"/>
  <c r="AT459" i="118"/>
  <c r="AU459" i="118"/>
  <c r="AY459" i="118"/>
  <c r="BR459" i="118"/>
  <c r="R445" i="118"/>
  <c r="AV191" i="118"/>
  <c r="AX191" i="118"/>
  <c r="AW191" i="118"/>
  <c r="AT191" i="118"/>
  <c r="AY191" i="118"/>
  <c r="BR191" i="118"/>
  <c r="AV325" i="118"/>
  <c r="AW325" i="118"/>
  <c r="AU325" i="118"/>
  <c r="AX325" i="118"/>
  <c r="BR325" i="118"/>
  <c r="R311" i="118"/>
  <c r="R177" i="118"/>
  <c r="AV57" i="118"/>
  <c r="AW57" i="118"/>
  <c r="AU57" i="118"/>
  <c r="AX57" i="118"/>
  <c r="BR57" i="118"/>
  <c r="R43" i="118"/>
  <c r="AD130" i="109" l="1"/>
  <c r="R56" i="19"/>
  <c r="R87" i="19"/>
  <c r="R118" i="19"/>
  <c r="R149" i="19"/>
  <c r="AE130" i="109"/>
  <c r="AZ191" i="118"/>
  <c r="AZ325" i="118"/>
  <c r="AZ459" i="118"/>
  <c r="AZ57" i="118"/>
  <c r="E89" i="100"/>
  <c r="E90" i="100"/>
  <c r="E91" i="100"/>
  <c r="E92" i="100"/>
  <c r="E88" i="100"/>
  <c r="C88" i="100"/>
  <c r="C89" i="100"/>
  <c r="C90" i="100"/>
  <c r="C91" i="100"/>
  <c r="C92" i="100"/>
  <c r="R57" i="19" l="1"/>
  <c r="R88" i="19"/>
  <c r="R119" i="19"/>
  <c r="R150" i="19"/>
  <c r="S158" i="113"/>
  <c r="R90" i="100"/>
  <c r="O90" i="100"/>
  <c r="L90" i="100"/>
  <c r="R89" i="100"/>
  <c r="L89" i="100"/>
  <c r="O89" i="100"/>
  <c r="L88" i="100"/>
  <c r="O88" i="100"/>
  <c r="R88" i="100"/>
  <c r="R91" i="100"/>
  <c r="O91" i="100"/>
  <c r="L91" i="100"/>
  <c r="R92" i="100"/>
  <c r="O92" i="100"/>
  <c r="L92" i="100"/>
  <c r="AJ203" i="29"/>
  <c r="J34" i="114"/>
  <c r="J34" i="30"/>
  <c r="C27" i="118"/>
  <c r="C26" i="118"/>
  <c r="C25" i="118"/>
  <c r="C16" i="118"/>
  <c r="F17" i="118"/>
  <c r="G17" i="118"/>
  <c r="D18" i="118"/>
  <c r="F18" i="118"/>
  <c r="G18" i="118"/>
  <c r="D19" i="118"/>
  <c r="G19" i="118"/>
  <c r="D20" i="118"/>
  <c r="G20" i="118"/>
  <c r="D21" i="118"/>
  <c r="G21" i="118"/>
  <c r="D22" i="118"/>
  <c r="G22" i="118"/>
  <c r="D23" i="118"/>
  <c r="G23" i="118"/>
  <c r="B18" i="118"/>
  <c r="B19" i="118"/>
  <c r="B17" i="118"/>
  <c r="C15" i="118"/>
  <c r="C14" i="118"/>
  <c r="C13" i="118"/>
  <c r="C12" i="118"/>
  <c r="C11" i="118"/>
  <c r="C10" i="118"/>
  <c r="C9" i="118"/>
  <c r="C8" i="118"/>
  <c r="C6" i="118"/>
  <c r="C5" i="118"/>
  <c r="Q4" i="118"/>
  <c r="AB8" i="118" s="1"/>
  <c r="O13" i="29" s="1"/>
  <c r="O4" i="118"/>
  <c r="AA8" i="118" s="1"/>
  <c r="N13" i="29" s="1"/>
  <c r="M4" i="118"/>
  <c r="Z8" i="118" s="1"/>
  <c r="M13" i="29" s="1"/>
  <c r="K4" i="118"/>
  <c r="Y8" i="118" s="1"/>
  <c r="L13" i="29" s="1"/>
  <c r="I4" i="118"/>
  <c r="X8" i="118" s="1"/>
  <c r="K13" i="29" s="1"/>
  <c r="J12" i="118"/>
  <c r="D14" i="115"/>
  <c r="R58" i="19" l="1"/>
  <c r="R89" i="19"/>
  <c r="R120" i="19"/>
  <c r="R151" i="19"/>
  <c r="AG204" i="29"/>
  <c r="S145" i="112"/>
  <c r="S146" i="112"/>
  <c r="E146" i="112"/>
  <c r="AC146" i="112"/>
  <c r="S207" i="112"/>
  <c r="E145" i="112"/>
  <c r="Q309" i="118"/>
  <c r="Q578" i="118"/>
  <c r="Q443" i="118"/>
  <c r="U315" i="118"/>
  <c r="U584" i="118"/>
  <c r="U449" i="118"/>
  <c r="W304" i="118"/>
  <c r="W573" i="118"/>
  <c r="W438" i="118"/>
  <c r="Y310" i="118"/>
  <c r="Y579" i="118"/>
  <c r="Y444" i="118"/>
  <c r="AB307" i="118"/>
  <c r="AB576" i="118"/>
  <c r="AB441" i="118"/>
  <c r="Y306" i="118"/>
  <c r="Y575" i="118"/>
  <c r="Y440" i="118"/>
  <c r="Y305" i="118"/>
  <c r="Y574" i="118"/>
  <c r="Y439" i="118"/>
  <c r="U305" i="118"/>
  <c r="U574" i="118"/>
  <c r="U439" i="118"/>
  <c r="P313" i="118"/>
  <c r="P582" i="118"/>
  <c r="P447" i="118"/>
  <c r="U313" i="118"/>
  <c r="U447" i="118"/>
  <c r="U582" i="118"/>
  <c r="W306" i="118"/>
  <c r="W575" i="118"/>
  <c r="W440" i="118"/>
  <c r="AB308" i="118"/>
  <c r="AB577" i="118"/>
  <c r="AB442" i="118"/>
  <c r="Y307" i="118"/>
  <c r="Y576" i="118"/>
  <c r="Y441" i="118"/>
  <c r="AB304" i="118"/>
  <c r="AB573" i="118"/>
  <c r="AB438" i="118"/>
  <c r="W319" i="118"/>
  <c r="W588" i="118"/>
  <c r="W453" i="118"/>
  <c r="Q307" i="118"/>
  <c r="Q576" i="118"/>
  <c r="Q441" i="118"/>
  <c r="U314" i="118"/>
  <c r="U583" i="118"/>
  <c r="U448" i="118"/>
  <c r="V313" i="118"/>
  <c r="V582" i="118"/>
  <c r="V447" i="118"/>
  <c r="W305" i="118"/>
  <c r="W574" i="118"/>
  <c r="W439" i="118"/>
  <c r="AB309" i="118"/>
  <c r="AB443" i="118"/>
  <c r="AB578" i="118"/>
  <c r="Y308" i="118"/>
  <c r="Y577" i="118"/>
  <c r="Y442" i="118"/>
  <c r="AB305" i="118"/>
  <c r="AB574" i="118"/>
  <c r="AB439" i="118"/>
  <c r="AA304" i="118"/>
  <c r="AA573" i="118"/>
  <c r="AA438" i="118"/>
  <c r="Y318" i="118"/>
  <c r="AG331" i="118" s="1"/>
  <c r="Y587" i="118"/>
  <c r="Y452" i="118"/>
  <c r="Q308" i="118"/>
  <c r="AF325" i="118" s="1"/>
  <c r="Q577" i="118"/>
  <c r="Q442" i="118"/>
  <c r="P314" i="118"/>
  <c r="P583" i="118"/>
  <c r="P448" i="118"/>
  <c r="P317" i="118"/>
  <c r="R317" i="118" s="1"/>
  <c r="S317" i="118" s="1"/>
  <c r="P586" i="118"/>
  <c r="R586" i="118" s="1"/>
  <c r="S586" i="118" s="1"/>
  <c r="P451" i="118"/>
  <c r="R451" i="118" s="1"/>
  <c r="S451" i="118" s="1"/>
  <c r="AB310" i="118"/>
  <c r="AB579" i="118"/>
  <c r="AB444" i="118"/>
  <c r="Y309" i="118"/>
  <c r="Y578" i="118"/>
  <c r="Y443" i="118"/>
  <c r="AB306" i="118"/>
  <c r="AB575" i="118"/>
  <c r="AB440" i="118"/>
  <c r="AA305" i="118"/>
  <c r="AA574" i="118"/>
  <c r="AA439" i="118"/>
  <c r="U307" i="118"/>
  <c r="U441" i="118"/>
  <c r="U576" i="118"/>
  <c r="Q39" i="118"/>
  <c r="Q173" i="118"/>
  <c r="U46" i="118"/>
  <c r="U180" i="118"/>
  <c r="V45" i="118"/>
  <c r="R101" i="118" s="1"/>
  <c r="V179" i="118"/>
  <c r="W37" i="118"/>
  <c r="W171" i="118"/>
  <c r="AB41" i="118"/>
  <c r="AB175" i="118"/>
  <c r="Y40" i="118"/>
  <c r="Y174" i="118"/>
  <c r="AB37" i="118"/>
  <c r="AB171" i="118"/>
  <c r="AA36" i="118"/>
  <c r="AA170" i="118"/>
  <c r="Y50" i="118"/>
  <c r="AG59" i="118" s="1"/>
  <c r="Y184" i="118"/>
  <c r="Q40" i="118"/>
  <c r="AF57" i="118" s="1"/>
  <c r="Q174" i="118"/>
  <c r="P46" i="118"/>
  <c r="P180" i="118"/>
  <c r="P49" i="118"/>
  <c r="R49" i="118" s="1"/>
  <c r="S49" i="118" s="1"/>
  <c r="P183" i="118"/>
  <c r="R183" i="118" s="1"/>
  <c r="S183" i="118" s="1"/>
  <c r="AB42" i="118"/>
  <c r="AB176" i="118"/>
  <c r="Y41" i="118"/>
  <c r="Y175" i="118"/>
  <c r="AB38" i="118"/>
  <c r="AB172" i="118"/>
  <c r="AA37" i="118"/>
  <c r="AA171" i="118"/>
  <c r="U39" i="118"/>
  <c r="U173" i="118"/>
  <c r="Q41" i="118"/>
  <c r="Q175" i="118"/>
  <c r="U47" i="118"/>
  <c r="U181" i="118"/>
  <c r="W36" i="118"/>
  <c r="W170" i="118"/>
  <c r="Y42" i="118"/>
  <c r="Y176" i="118"/>
  <c r="AB39" i="118"/>
  <c r="AB173" i="118"/>
  <c r="Y38" i="118"/>
  <c r="Y172" i="118"/>
  <c r="Y37" i="118"/>
  <c r="Y171" i="118"/>
  <c r="U37" i="118"/>
  <c r="U171" i="118"/>
  <c r="P45" i="118"/>
  <c r="P179" i="118"/>
  <c r="U45" i="118"/>
  <c r="U179" i="118"/>
  <c r="W38" i="118"/>
  <c r="W172" i="118"/>
  <c r="AB40" i="118"/>
  <c r="AB174" i="118"/>
  <c r="Y39" i="118"/>
  <c r="Y173" i="118"/>
  <c r="AB36" i="118"/>
  <c r="AB170" i="118"/>
  <c r="W51" i="118"/>
  <c r="W185" i="118"/>
  <c r="K68" i="100"/>
  <c r="R59" i="19" l="1"/>
  <c r="R90" i="19"/>
  <c r="R121" i="19"/>
  <c r="R152" i="19"/>
  <c r="AI159" i="113"/>
  <c r="E159" i="113"/>
  <c r="AC158" i="113"/>
  <c r="AE158" i="113" s="1"/>
  <c r="E160" i="113"/>
  <c r="AI160" i="113"/>
  <c r="AI158" i="113"/>
  <c r="E158" i="113"/>
  <c r="S159" i="113"/>
  <c r="S160" i="113"/>
  <c r="AC159" i="113"/>
  <c r="S143" i="112"/>
  <c r="AG330" i="118"/>
  <c r="AO330" i="118" s="1"/>
  <c r="AG362" i="118"/>
  <c r="AO362" i="118" s="1"/>
  <c r="AG375" i="118"/>
  <c r="AO375" i="118" s="1"/>
  <c r="AG326" i="118"/>
  <c r="AO326" i="118" s="1"/>
  <c r="AG350" i="118"/>
  <c r="AO350" i="118" s="1"/>
  <c r="AG368" i="118"/>
  <c r="AO368" i="118" s="1"/>
  <c r="AG336" i="118"/>
  <c r="AO336" i="118" s="1"/>
  <c r="R100" i="118"/>
  <c r="BM100" i="118" s="1"/>
  <c r="AG100" i="118"/>
  <c r="BQ100" i="118" s="1"/>
  <c r="AG367" i="118"/>
  <c r="AO367" i="118" s="1"/>
  <c r="AG352" i="118"/>
  <c r="AO352" i="118" s="1"/>
  <c r="AG365" i="118"/>
  <c r="AO365" i="118" s="1"/>
  <c r="AG346" i="118"/>
  <c r="AO346" i="118" s="1"/>
  <c r="AG340" i="118"/>
  <c r="AO340" i="118" s="1"/>
  <c r="AG332" i="118"/>
  <c r="AO332" i="118" s="1"/>
  <c r="AG63" i="118"/>
  <c r="AY63" i="118" s="1"/>
  <c r="AG351" i="118"/>
  <c r="AO351" i="118" s="1"/>
  <c r="AG359" i="118"/>
  <c r="AO359" i="118" s="1"/>
  <c r="AG357" i="118"/>
  <c r="AO357" i="118" s="1"/>
  <c r="AG344" i="118"/>
  <c r="AO344" i="118" s="1"/>
  <c r="AG338" i="118"/>
  <c r="BQ338" i="118" s="1"/>
  <c r="AG328" i="118"/>
  <c r="AO328" i="118" s="1"/>
  <c r="AG370" i="118"/>
  <c r="BQ370" i="118" s="1"/>
  <c r="AG360" i="118"/>
  <c r="AO360" i="118" s="1"/>
  <c r="AG373" i="118"/>
  <c r="AO373" i="118" s="1"/>
  <c r="AG348" i="118"/>
  <c r="AO348" i="118" s="1"/>
  <c r="AG342" i="118"/>
  <c r="AO342" i="118" s="1"/>
  <c r="AG334" i="118"/>
  <c r="AO334" i="118" s="1"/>
  <c r="AG498" i="118"/>
  <c r="AO498" i="118" s="1"/>
  <c r="AG474" i="118"/>
  <c r="AO474" i="118" s="1"/>
  <c r="AG485" i="118"/>
  <c r="AO485" i="118" s="1"/>
  <c r="AG468" i="118"/>
  <c r="AO468" i="118" s="1"/>
  <c r="AG483" i="118"/>
  <c r="AO483" i="118" s="1"/>
  <c r="AG499" i="118"/>
  <c r="AO499" i="118" s="1"/>
  <c r="AG500" i="118"/>
  <c r="AO500" i="118" s="1"/>
  <c r="AG464" i="118"/>
  <c r="AG494" i="118"/>
  <c r="AO494" i="118" s="1"/>
  <c r="AG506" i="118"/>
  <c r="AO506" i="118" s="1"/>
  <c r="AG477" i="118"/>
  <c r="AO477" i="118" s="1"/>
  <c r="AG501" i="118"/>
  <c r="AO501" i="118" s="1"/>
  <c r="AG463" i="118"/>
  <c r="AO463" i="118" s="1"/>
  <c r="AG478" i="118"/>
  <c r="AO478" i="118" s="1"/>
  <c r="AG489" i="118"/>
  <c r="AO489" i="118" s="1"/>
  <c r="AG469" i="118"/>
  <c r="AG487" i="118"/>
  <c r="AO487" i="118" s="1"/>
  <c r="AG492" i="118"/>
  <c r="AO492" i="118" s="1"/>
  <c r="AG507" i="118"/>
  <c r="AO507" i="118" s="1"/>
  <c r="AG486" i="118"/>
  <c r="AG502" i="118"/>
  <c r="AO502" i="118" s="1"/>
  <c r="AG476" i="118"/>
  <c r="AO476" i="118" s="1"/>
  <c r="AG460" i="118"/>
  <c r="AO460" i="118" s="1"/>
  <c r="AG509" i="118"/>
  <c r="AO509" i="118" s="1"/>
  <c r="AG471" i="118"/>
  <c r="AO471" i="118" s="1"/>
  <c r="AG480" i="118"/>
  <c r="AG493" i="118"/>
  <c r="AO493" i="118" s="1"/>
  <c r="AG479" i="118"/>
  <c r="AG491" i="118"/>
  <c r="AO491" i="118" s="1"/>
  <c r="AG473" i="118"/>
  <c r="AO473" i="118" s="1"/>
  <c r="AG503" i="118"/>
  <c r="AO503" i="118" s="1"/>
  <c r="AG475" i="118"/>
  <c r="AO475" i="118" s="1"/>
  <c r="AG508" i="118"/>
  <c r="AO508" i="118" s="1"/>
  <c r="AG496" i="118"/>
  <c r="AG467" i="118"/>
  <c r="AO467" i="118" s="1"/>
  <c r="AG461" i="118"/>
  <c r="AG490" i="118"/>
  <c r="AO490" i="118" s="1"/>
  <c r="AG505" i="118"/>
  <c r="AG472" i="118"/>
  <c r="AG481" i="118"/>
  <c r="AG497" i="118"/>
  <c r="AO497" i="118" s="1"/>
  <c r="AG482" i="118"/>
  <c r="AO482" i="118" s="1"/>
  <c r="AG495" i="118"/>
  <c r="AO495" i="118" s="1"/>
  <c r="AG504" i="118"/>
  <c r="AG470" i="118"/>
  <c r="AO470" i="118" s="1"/>
  <c r="AG465" i="118"/>
  <c r="AG484" i="118"/>
  <c r="AO484" i="118" s="1"/>
  <c r="AG488" i="118"/>
  <c r="AG466" i="118"/>
  <c r="AG462" i="118"/>
  <c r="R104" i="118"/>
  <c r="AU104" i="118" s="1"/>
  <c r="AG366" i="118"/>
  <c r="AO366" i="118" s="1"/>
  <c r="AG354" i="118"/>
  <c r="AO354" i="118" s="1"/>
  <c r="AG372" i="118"/>
  <c r="AO372" i="118" s="1"/>
  <c r="AG356" i="118"/>
  <c r="AO356" i="118" s="1"/>
  <c r="AG355" i="118"/>
  <c r="AO355" i="118" s="1"/>
  <c r="AG369" i="118"/>
  <c r="AO369" i="118" s="1"/>
  <c r="AG353" i="118"/>
  <c r="AO353" i="118" s="1"/>
  <c r="AG347" i="118"/>
  <c r="AO347" i="118" s="1"/>
  <c r="AG343" i="118"/>
  <c r="AO343" i="118" s="1"/>
  <c r="AG341" i="118"/>
  <c r="AO341" i="118" s="1"/>
  <c r="AG337" i="118"/>
  <c r="AO337" i="118" s="1"/>
  <c r="AG333" i="118"/>
  <c r="AO333" i="118" s="1"/>
  <c r="AG327" i="118"/>
  <c r="AO327" i="118" s="1"/>
  <c r="AF459" i="118"/>
  <c r="AG599" i="118"/>
  <c r="AO599" i="118" s="1"/>
  <c r="AG610" i="118"/>
  <c r="AO610" i="118" s="1"/>
  <c r="AG617" i="118"/>
  <c r="AO617" i="118" s="1"/>
  <c r="AG638" i="118"/>
  <c r="AO638" i="118" s="1"/>
  <c r="AG609" i="118"/>
  <c r="AG629" i="118"/>
  <c r="AO629" i="118" s="1"/>
  <c r="AG613" i="118"/>
  <c r="AG626" i="118"/>
  <c r="AG637" i="118"/>
  <c r="AG603" i="118"/>
  <c r="AO603" i="118" s="1"/>
  <c r="AG624" i="118"/>
  <c r="AO624" i="118" s="1"/>
  <c r="AG643" i="118"/>
  <c r="AO643" i="118" s="1"/>
  <c r="AG596" i="118"/>
  <c r="AO596" i="118" s="1"/>
  <c r="AG604" i="118"/>
  <c r="AO604" i="118" s="1"/>
  <c r="AG612" i="118"/>
  <c r="AO612" i="118" s="1"/>
  <c r="AG621" i="118"/>
  <c r="AO621" i="118" s="1"/>
  <c r="AG595" i="118"/>
  <c r="AG622" i="118"/>
  <c r="AO622" i="118" s="1"/>
  <c r="AG640" i="118"/>
  <c r="AO640" i="118" s="1"/>
  <c r="AG615" i="118"/>
  <c r="AO615" i="118" s="1"/>
  <c r="AG628" i="118"/>
  <c r="AO628" i="118" s="1"/>
  <c r="AG639" i="118"/>
  <c r="AO639" i="118" s="1"/>
  <c r="AG607" i="118"/>
  <c r="AO607" i="118" s="1"/>
  <c r="AG632" i="118"/>
  <c r="AO632" i="118" s="1"/>
  <c r="AG635" i="118"/>
  <c r="AG600" i="118"/>
  <c r="AG605" i="118"/>
  <c r="AO605" i="118" s="1"/>
  <c r="AG614" i="118"/>
  <c r="AO614" i="118" s="1"/>
  <c r="AG631" i="118"/>
  <c r="AG601" i="118"/>
  <c r="AO601" i="118" s="1"/>
  <c r="AG625" i="118"/>
  <c r="AO625" i="118" s="1"/>
  <c r="AG602" i="118"/>
  <c r="AO602" i="118" s="1"/>
  <c r="AG619" i="118"/>
  <c r="AO619" i="118" s="1"/>
  <c r="AG630" i="118"/>
  <c r="AO630" i="118" s="1"/>
  <c r="AG644" i="118"/>
  <c r="AO644" i="118" s="1"/>
  <c r="AG618" i="118"/>
  <c r="AG634" i="118"/>
  <c r="AG642" i="118"/>
  <c r="AO642" i="118" s="1"/>
  <c r="AG597" i="118"/>
  <c r="AG608" i="118"/>
  <c r="AO608" i="118" s="1"/>
  <c r="AG616" i="118"/>
  <c r="AO616" i="118" s="1"/>
  <c r="AG636" i="118"/>
  <c r="AO636" i="118" s="1"/>
  <c r="AG606" i="118"/>
  <c r="AO606" i="118" s="1"/>
  <c r="AG627" i="118"/>
  <c r="AO627" i="118" s="1"/>
  <c r="AG611" i="118"/>
  <c r="AO611" i="118" s="1"/>
  <c r="AG623" i="118"/>
  <c r="AO623" i="118" s="1"/>
  <c r="AG633" i="118"/>
  <c r="AO633" i="118" s="1"/>
  <c r="AG598" i="118"/>
  <c r="AG620" i="118"/>
  <c r="AO620" i="118" s="1"/>
  <c r="AG641" i="118"/>
  <c r="AO641" i="118" s="1"/>
  <c r="AF594" i="118"/>
  <c r="AG97" i="118"/>
  <c r="AY97" i="118" s="1"/>
  <c r="AG358" i="118"/>
  <c r="BQ358" i="118" s="1"/>
  <c r="AG363" i="118"/>
  <c r="BQ363" i="118" s="1"/>
  <c r="AG364" i="118"/>
  <c r="AY364" i="118" s="1"/>
  <c r="AG371" i="118"/>
  <c r="AO371" i="118" s="1"/>
  <c r="AG374" i="118"/>
  <c r="BQ374" i="118" s="1"/>
  <c r="AG361" i="118"/>
  <c r="AO361" i="118" s="1"/>
  <c r="AG349" i="118"/>
  <c r="BQ349" i="118" s="1"/>
  <c r="AG345" i="118"/>
  <c r="AY345" i="118" s="1"/>
  <c r="AG329" i="118"/>
  <c r="AY329" i="118" s="1"/>
  <c r="AG339" i="118"/>
  <c r="BQ339" i="118" s="1"/>
  <c r="AG335" i="118"/>
  <c r="AY335" i="118" s="1"/>
  <c r="AG67" i="118"/>
  <c r="BQ67" i="118" s="1"/>
  <c r="AG66" i="118"/>
  <c r="AY66" i="118" s="1"/>
  <c r="R103" i="118"/>
  <c r="BM103" i="118" s="1"/>
  <c r="AG95" i="118"/>
  <c r="AO95" i="118" s="1"/>
  <c r="R107" i="118"/>
  <c r="AU107" i="118" s="1"/>
  <c r="R99" i="118"/>
  <c r="AU99" i="118" s="1"/>
  <c r="R106" i="118"/>
  <c r="AU106" i="118" s="1"/>
  <c r="R102" i="118"/>
  <c r="AU102" i="118" s="1"/>
  <c r="R98" i="118"/>
  <c r="AU98" i="118" s="1"/>
  <c r="R105" i="118"/>
  <c r="AU105" i="118" s="1"/>
  <c r="AO59" i="118"/>
  <c r="BQ331" i="118"/>
  <c r="AY331" i="118"/>
  <c r="AG94" i="118"/>
  <c r="BQ94" i="118" s="1"/>
  <c r="AG107" i="118"/>
  <c r="AY107" i="118" s="1"/>
  <c r="AG65" i="118"/>
  <c r="BQ65" i="118" s="1"/>
  <c r="AG81" i="118"/>
  <c r="AY81" i="118" s="1"/>
  <c r="AG83" i="118"/>
  <c r="AO83" i="118" s="1"/>
  <c r="AG84" i="118"/>
  <c r="AY84" i="118" s="1"/>
  <c r="AG104" i="118"/>
  <c r="AO104" i="118" s="1"/>
  <c r="AG79" i="118"/>
  <c r="BQ79" i="118" s="1"/>
  <c r="AG73" i="118"/>
  <c r="BQ73" i="118" s="1"/>
  <c r="AG58" i="118"/>
  <c r="BQ58" i="118" s="1"/>
  <c r="AG96" i="118"/>
  <c r="AY96" i="118" s="1"/>
  <c r="AG93" i="118"/>
  <c r="AY93" i="118" s="1"/>
  <c r="AG60" i="118"/>
  <c r="BQ60" i="118" s="1"/>
  <c r="AO331" i="118"/>
  <c r="BQ360" i="118"/>
  <c r="AG98" i="118"/>
  <c r="AY98" i="118" s="1"/>
  <c r="AG80" i="118"/>
  <c r="AO80" i="118" s="1"/>
  <c r="AG82" i="118"/>
  <c r="AO82" i="118" s="1"/>
  <c r="AG103" i="118"/>
  <c r="AY103" i="118" s="1"/>
  <c r="AG77" i="118"/>
  <c r="AY77" i="118" s="1"/>
  <c r="AG69" i="118"/>
  <c r="AY69" i="118" s="1"/>
  <c r="AG192" i="118"/>
  <c r="AG193" i="118"/>
  <c r="AO193" i="118" s="1"/>
  <c r="AG194" i="118"/>
  <c r="AG196" i="118"/>
  <c r="AG195" i="118"/>
  <c r="AG197" i="118"/>
  <c r="AG198" i="118"/>
  <c r="AO198" i="118" s="1"/>
  <c r="AG199" i="118"/>
  <c r="AG200" i="118"/>
  <c r="AO200" i="118" s="1"/>
  <c r="AG210" i="118"/>
  <c r="AO210" i="118" s="1"/>
  <c r="AG211" i="118"/>
  <c r="AO211" i="118" s="1"/>
  <c r="AG212" i="118"/>
  <c r="AG213" i="118"/>
  <c r="AO213" i="118" s="1"/>
  <c r="AG214" i="118"/>
  <c r="AG215" i="118"/>
  <c r="AO215" i="118" s="1"/>
  <c r="AG216" i="118"/>
  <c r="AG202" i="118"/>
  <c r="AO202" i="118" s="1"/>
  <c r="AG206" i="118"/>
  <c r="AG217" i="118"/>
  <c r="AG218" i="118"/>
  <c r="AG219" i="118"/>
  <c r="AO219" i="118" s="1"/>
  <c r="AG220" i="118"/>
  <c r="AO220" i="118" s="1"/>
  <c r="AG221" i="118"/>
  <c r="AG222" i="118"/>
  <c r="AG201" i="118"/>
  <c r="AG205" i="118"/>
  <c r="AG209" i="118"/>
  <c r="AG207" i="118"/>
  <c r="AG223" i="118"/>
  <c r="AO223" i="118" s="1"/>
  <c r="AG208" i="118"/>
  <c r="AO208" i="118" s="1"/>
  <c r="AG203" i="118"/>
  <c r="AG225" i="118"/>
  <c r="AG226" i="118"/>
  <c r="AO226" i="118" s="1"/>
  <c r="AG227" i="118"/>
  <c r="AG228" i="118"/>
  <c r="AG229" i="118"/>
  <c r="AG230" i="118"/>
  <c r="AO230" i="118" s="1"/>
  <c r="AG231" i="118"/>
  <c r="AG232" i="118"/>
  <c r="AG233" i="118"/>
  <c r="AG234" i="118"/>
  <c r="AO234" i="118" s="1"/>
  <c r="AG235" i="118"/>
  <c r="AG236" i="118"/>
  <c r="AG237" i="118"/>
  <c r="AG238" i="118"/>
  <c r="AO238" i="118" s="1"/>
  <c r="AG239" i="118"/>
  <c r="AG240" i="118"/>
  <c r="AG241" i="118"/>
  <c r="AG204" i="118"/>
  <c r="AO204" i="118" s="1"/>
  <c r="AG224" i="118"/>
  <c r="AG99" i="118"/>
  <c r="BQ99" i="118" s="1"/>
  <c r="AG91" i="118"/>
  <c r="AO91" i="118" s="1"/>
  <c r="AG78" i="118"/>
  <c r="AO78" i="118" s="1"/>
  <c r="AG92" i="118"/>
  <c r="BQ92" i="118" s="1"/>
  <c r="AG75" i="118"/>
  <c r="AO75" i="118" s="1"/>
  <c r="AG106" i="118"/>
  <c r="AO106" i="118" s="1"/>
  <c r="AG102" i="118"/>
  <c r="AY102" i="118" s="1"/>
  <c r="AG89" i="118"/>
  <c r="AO89" i="118" s="1"/>
  <c r="AG74" i="118"/>
  <c r="AO74" i="118" s="1"/>
  <c r="AG72" i="118"/>
  <c r="AO72" i="118" s="1"/>
  <c r="AG62" i="118"/>
  <c r="BQ62" i="118" s="1"/>
  <c r="AG61" i="118"/>
  <c r="AY61" i="118" s="1"/>
  <c r="AF191" i="118"/>
  <c r="AG90" i="118"/>
  <c r="AY90" i="118" s="1"/>
  <c r="AG86" i="118"/>
  <c r="BQ86" i="118" s="1"/>
  <c r="AG87" i="118"/>
  <c r="AG76" i="118"/>
  <c r="AY76" i="118" s="1"/>
  <c r="AG88" i="118"/>
  <c r="AY88" i="118" s="1"/>
  <c r="AG70" i="118"/>
  <c r="AO70" i="118" s="1"/>
  <c r="AG105" i="118"/>
  <c r="AG101" i="118"/>
  <c r="AY101" i="118" s="1"/>
  <c r="AG85" i="118"/>
  <c r="AO85" i="118" s="1"/>
  <c r="AG71" i="118"/>
  <c r="AO71" i="118" s="1"/>
  <c r="AG68" i="118"/>
  <c r="AG64" i="118"/>
  <c r="AO64" i="118" s="1"/>
  <c r="AU101" i="118"/>
  <c r="BM101" i="118"/>
  <c r="BQ59" i="118"/>
  <c r="AY59" i="118"/>
  <c r="F67" i="100"/>
  <c r="I67" i="100"/>
  <c r="E71" i="100"/>
  <c r="H71" i="100"/>
  <c r="K71" i="100"/>
  <c r="O71" i="100"/>
  <c r="C19" i="118" s="1"/>
  <c r="Q71" i="100"/>
  <c r="E19" i="118" s="1"/>
  <c r="F19" i="118"/>
  <c r="N72" i="100"/>
  <c r="R72" i="100" s="1"/>
  <c r="O72" i="100"/>
  <c r="C20" i="118" s="1"/>
  <c r="Q72" i="100"/>
  <c r="E20" i="118" s="1"/>
  <c r="N73" i="100"/>
  <c r="R73" i="100" s="1"/>
  <c r="O73" i="100"/>
  <c r="C21" i="118" s="1"/>
  <c r="Q73" i="100"/>
  <c r="E21" i="118" s="1"/>
  <c r="N74" i="100"/>
  <c r="R74" i="100" s="1"/>
  <c r="O74" i="100"/>
  <c r="C22" i="118" s="1"/>
  <c r="Q74" i="100"/>
  <c r="E22" i="118" s="1"/>
  <c r="F75" i="100"/>
  <c r="I75" i="100"/>
  <c r="N75" i="100"/>
  <c r="R75" i="100" s="1"/>
  <c r="O75" i="100"/>
  <c r="C23" i="118" s="1"/>
  <c r="Q75" i="100"/>
  <c r="E23" i="118" s="1"/>
  <c r="E79" i="100"/>
  <c r="F83" i="100"/>
  <c r="AY330" i="118" l="1"/>
  <c r="BQ330" i="118"/>
  <c r="AD159" i="113"/>
  <c r="AY363" i="118"/>
  <c r="AE159" i="113"/>
  <c r="R60" i="19"/>
  <c r="R91" i="19"/>
  <c r="R122" i="19"/>
  <c r="R153" i="19"/>
  <c r="X441" i="118"/>
  <c r="X39" i="118"/>
  <c r="X307" i="118"/>
  <c r="X173" i="118"/>
  <c r="X576" i="118"/>
  <c r="X575" i="118"/>
  <c r="X440" i="118"/>
  <c r="X38" i="118"/>
  <c r="X172" i="118"/>
  <c r="X306" i="118"/>
  <c r="X444" i="118"/>
  <c r="X176" i="118"/>
  <c r="X310" i="118"/>
  <c r="X579" i="118"/>
  <c r="X42" i="118"/>
  <c r="X174" i="118"/>
  <c r="X308" i="118"/>
  <c r="X577" i="118"/>
  <c r="X442" i="118"/>
  <c r="X40" i="118"/>
  <c r="X443" i="118"/>
  <c r="X175" i="118"/>
  <c r="X309" i="118"/>
  <c r="X578" i="118"/>
  <c r="X41" i="118"/>
  <c r="AO100" i="118"/>
  <c r="AD158" i="113"/>
  <c r="S77" i="100"/>
  <c r="AY362" i="118"/>
  <c r="BM104" i="118"/>
  <c r="AY326" i="118"/>
  <c r="BH326" i="118" s="1"/>
  <c r="BQ336" i="118"/>
  <c r="AO339" i="118"/>
  <c r="AU103" i="118"/>
  <c r="BQ362" i="118"/>
  <c r="AU100" i="118"/>
  <c r="BQ82" i="118"/>
  <c r="AY365" i="118"/>
  <c r="AY336" i="118"/>
  <c r="BQ375" i="118"/>
  <c r="AY374" i="118"/>
  <c r="BQ63" i="118"/>
  <c r="BQ326" i="118"/>
  <c r="AY375" i="118"/>
  <c r="BQ348" i="118"/>
  <c r="AY347" i="118"/>
  <c r="AY106" i="118"/>
  <c r="AO84" i="118"/>
  <c r="BQ354" i="118"/>
  <c r="AY328" i="118"/>
  <c r="BQ346" i="118"/>
  <c r="AY368" i="118"/>
  <c r="BQ334" i="118"/>
  <c r="AO363" i="118"/>
  <c r="AY339" i="118"/>
  <c r="AY341" i="118"/>
  <c r="AO338" i="118"/>
  <c r="AY338" i="118"/>
  <c r="AY100" i="118"/>
  <c r="AY361" i="118"/>
  <c r="AY343" i="118"/>
  <c r="AY351" i="118"/>
  <c r="BQ367" i="118"/>
  <c r="AY340" i="118"/>
  <c r="AY350" i="118"/>
  <c r="BQ359" i="118"/>
  <c r="BQ350" i="118"/>
  <c r="BQ368" i="118"/>
  <c r="BQ373" i="118"/>
  <c r="BQ345" i="118"/>
  <c r="BQ327" i="118"/>
  <c r="AY369" i="118"/>
  <c r="AY359" i="118"/>
  <c r="BQ332" i="118"/>
  <c r="AY334" i="118"/>
  <c r="AY360" i="118"/>
  <c r="BQ355" i="118"/>
  <c r="AO358" i="118"/>
  <c r="BQ351" i="118"/>
  <c r="AY346" i="118"/>
  <c r="AY366" i="118"/>
  <c r="AO349" i="118"/>
  <c r="AG591" i="118"/>
  <c r="BQ329" i="118"/>
  <c r="BQ91" i="118"/>
  <c r="AY352" i="118"/>
  <c r="AY367" i="118"/>
  <c r="AY373" i="118"/>
  <c r="AO345" i="118"/>
  <c r="BQ337" i="118"/>
  <c r="BQ372" i="118"/>
  <c r="AO329" i="118"/>
  <c r="AY358" i="118"/>
  <c r="BQ66" i="118"/>
  <c r="BQ93" i="118"/>
  <c r="AO97" i="118"/>
  <c r="BQ340" i="118"/>
  <c r="AO374" i="118"/>
  <c r="BQ341" i="118"/>
  <c r="BQ369" i="118"/>
  <c r="AY354" i="118"/>
  <c r="BQ328" i="118"/>
  <c r="AY357" i="118"/>
  <c r="AO370" i="118"/>
  <c r="AY370" i="118"/>
  <c r="AY344" i="118"/>
  <c r="AG456" i="118"/>
  <c r="P19" i="118" s="1"/>
  <c r="AO63" i="118"/>
  <c r="BQ97" i="118"/>
  <c r="AY67" i="118"/>
  <c r="AG322" i="118"/>
  <c r="N19" i="118" s="1"/>
  <c r="AY342" i="118"/>
  <c r="AY371" i="118"/>
  <c r="BQ333" i="118"/>
  <c r="BQ353" i="118"/>
  <c r="BQ356" i="118"/>
  <c r="BQ344" i="118"/>
  <c r="BQ335" i="118"/>
  <c r="AY349" i="118"/>
  <c r="BQ364" i="118"/>
  <c r="AO88" i="118"/>
  <c r="AO96" i="118"/>
  <c r="BQ342" i="118"/>
  <c r="BQ347" i="118"/>
  <c r="BQ84" i="118"/>
  <c r="AO107" i="118"/>
  <c r="AY332" i="118"/>
  <c r="BQ365" i="118"/>
  <c r="BQ352" i="118"/>
  <c r="AO335" i="118"/>
  <c r="AY348" i="118"/>
  <c r="AO364" i="118"/>
  <c r="AY333" i="118"/>
  <c r="AY356" i="118"/>
  <c r="BQ357" i="118"/>
  <c r="Z310" i="118"/>
  <c r="Z579" i="118"/>
  <c r="Z444" i="118"/>
  <c r="Z308" i="118"/>
  <c r="Z577" i="118"/>
  <c r="Z442" i="118"/>
  <c r="AA306" i="118"/>
  <c r="AA575" i="118"/>
  <c r="AA440" i="118"/>
  <c r="AY620" i="118"/>
  <c r="BQ620" i="118"/>
  <c r="AY611" i="118"/>
  <c r="BQ611" i="118"/>
  <c r="AY616" i="118"/>
  <c r="BQ616" i="118"/>
  <c r="AY634" i="118"/>
  <c r="BQ634" i="118"/>
  <c r="BQ619" i="118"/>
  <c r="AY619" i="118"/>
  <c r="BQ631" i="118"/>
  <c r="AY631" i="118"/>
  <c r="BQ635" i="118"/>
  <c r="AY635" i="118"/>
  <c r="AY628" i="118"/>
  <c r="BQ628" i="118"/>
  <c r="AO595" i="118"/>
  <c r="BQ595" i="118"/>
  <c r="AY595" i="118"/>
  <c r="BH595" i="118" s="1"/>
  <c r="BQ596" i="118"/>
  <c r="AY596" i="118"/>
  <c r="AY637" i="118"/>
  <c r="BQ637" i="118"/>
  <c r="BQ609" i="118"/>
  <c r="AY609" i="118"/>
  <c r="BQ599" i="118"/>
  <c r="AY599" i="118"/>
  <c r="AY488" i="118"/>
  <c r="BQ488" i="118"/>
  <c r="AY504" i="118"/>
  <c r="BQ504" i="118"/>
  <c r="AO481" i="118"/>
  <c r="BQ481" i="118"/>
  <c r="AY481" i="118"/>
  <c r="AY461" i="118"/>
  <c r="BQ461" i="118"/>
  <c r="BQ475" i="118"/>
  <c r="AY475" i="118"/>
  <c r="BQ479" i="118"/>
  <c r="AY479" i="118"/>
  <c r="AY509" i="118"/>
  <c r="BQ509" i="118"/>
  <c r="AY486" i="118"/>
  <c r="BQ486" i="118"/>
  <c r="AO469" i="118"/>
  <c r="AY469" i="118"/>
  <c r="BQ469" i="118"/>
  <c r="AY501" i="118"/>
  <c r="BQ501" i="118"/>
  <c r="BQ464" i="118"/>
  <c r="AY464" i="118"/>
  <c r="BQ468" i="118"/>
  <c r="AY468" i="118"/>
  <c r="Z307" i="118"/>
  <c r="Z576" i="118"/>
  <c r="Z441" i="118"/>
  <c r="Z306" i="118"/>
  <c r="Z575" i="118"/>
  <c r="Z440" i="118"/>
  <c r="AO67" i="118"/>
  <c r="AY82" i="118"/>
  <c r="BQ361" i="118"/>
  <c r="AY327" i="118"/>
  <c r="BH327" i="118" s="1"/>
  <c r="AY337" i="118"/>
  <c r="BQ343" i="118"/>
  <c r="AY353" i="118"/>
  <c r="AY355" i="118"/>
  <c r="AY372" i="118"/>
  <c r="BQ366" i="118"/>
  <c r="AO637" i="118"/>
  <c r="AO631" i="118"/>
  <c r="AO504" i="118"/>
  <c r="AO488" i="118"/>
  <c r="AO464" i="118"/>
  <c r="AO598" i="118"/>
  <c r="BQ598" i="118"/>
  <c r="AY598" i="118"/>
  <c r="BQ627" i="118"/>
  <c r="AY627" i="118"/>
  <c r="BQ608" i="118"/>
  <c r="AY608" i="118"/>
  <c r="AO618" i="118"/>
  <c r="AY618" i="118"/>
  <c r="BQ618" i="118"/>
  <c r="BQ602" i="118"/>
  <c r="AY602" i="118"/>
  <c r="AY614" i="118"/>
  <c r="BQ614" i="118"/>
  <c r="BQ632" i="118"/>
  <c r="AY632" i="118"/>
  <c r="AY615" i="118"/>
  <c r="BQ615" i="118"/>
  <c r="AY621" i="118"/>
  <c r="BQ621" i="118"/>
  <c r="AY643" i="118"/>
  <c r="BQ643" i="118"/>
  <c r="AO626" i="118"/>
  <c r="BQ626" i="118"/>
  <c r="AY626" i="118"/>
  <c r="AY638" i="118"/>
  <c r="BQ638" i="118"/>
  <c r="AY484" i="118"/>
  <c r="BQ484" i="118"/>
  <c r="AY495" i="118"/>
  <c r="BQ495" i="118"/>
  <c r="AO472" i="118"/>
  <c r="BQ472" i="118"/>
  <c r="AY472" i="118"/>
  <c r="AY467" i="118"/>
  <c r="BQ467" i="118"/>
  <c r="AY503" i="118"/>
  <c r="BQ503" i="118"/>
  <c r="AY493" i="118"/>
  <c r="BQ493" i="118"/>
  <c r="AY460" i="118"/>
  <c r="BH460" i="118" s="1"/>
  <c r="BQ460" i="118"/>
  <c r="AY507" i="118"/>
  <c r="BQ507" i="118"/>
  <c r="AY489" i="118"/>
  <c r="BQ489" i="118"/>
  <c r="AY477" i="118"/>
  <c r="BQ477" i="118"/>
  <c r="AY500" i="118"/>
  <c r="BQ500" i="118"/>
  <c r="AY485" i="118"/>
  <c r="BQ485" i="118"/>
  <c r="AY633" i="118"/>
  <c r="BQ633" i="118"/>
  <c r="BQ606" i="118"/>
  <c r="AY606" i="118"/>
  <c r="AO597" i="118"/>
  <c r="AY597" i="118"/>
  <c r="BQ597" i="118"/>
  <c r="AY644" i="118"/>
  <c r="BQ644" i="118"/>
  <c r="BQ625" i="118"/>
  <c r="AY625" i="118"/>
  <c r="BQ605" i="118"/>
  <c r="AY605" i="118"/>
  <c r="AY607" i="118"/>
  <c r="BQ607" i="118"/>
  <c r="BQ640" i="118"/>
  <c r="AY640" i="118"/>
  <c r="AY612" i="118"/>
  <c r="BQ612" i="118"/>
  <c r="BQ624" i="118"/>
  <c r="AY624" i="118"/>
  <c r="AY613" i="118"/>
  <c r="BQ613" i="118"/>
  <c r="AY617" i="118"/>
  <c r="BQ617" i="118"/>
  <c r="AY462" i="118"/>
  <c r="BQ462" i="118"/>
  <c r="BQ465" i="118"/>
  <c r="AY465" i="118"/>
  <c r="AY482" i="118"/>
  <c r="BQ482" i="118"/>
  <c r="AY505" i="118"/>
  <c r="BQ505" i="118"/>
  <c r="AY496" i="118"/>
  <c r="BQ496" i="118"/>
  <c r="AY473" i="118"/>
  <c r="BQ473" i="118"/>
  <c r="AO480" i="118"/>
  <c r="BQ480" i="118"/>
  <c r="AY480" i="118"/>
  <c r="BQ476" i="118"/>
  <c r="AY476" i="118"/>
  <c r="BQ492" i="118"/>
  <c r="AY492" i="118"/>
  <c r="AY478" i="118"/>
  <c r="BQ478" i="118"/>
  <c r="AY506" i="118"/>
  <c r="BQ506" i="118"/>
  <c r="AY499" i="118"/>
  <c r="BQ499" i="118"/>
  <c r="BQ474" i="118"/>
  <c r="AY474" i="118"/>
  <c r="Z309" i="118"/>
  <c r="Z578" i="118"/>
  <c r="Z443" i="118"/>
  <c r="AY99" i="118"/>
  <c r="AY58" i="118"/>
  <c r="BH58" i="118" s="1"/>
  <c r="BH59" i="118" s="1"/>
  <c r="BM102" i="118"/>
  <c r="BQ371" i="118"/>
  <c r="AO635" i="118"/>
  <c r="AO613" i="118"/>
  <c r="AO634" i="118"/>
  <c r="AO609" i="118"/>
  <c r="AO462" i="118"/>
  <c r="AO505" i="118"/>
  <c r="AO486" i="118"/>
  <c r="AO461" i="118"/>
  <c r="AO496" i="118"/>
  <c r="AO465" i="118"/>
  <c r="AO479" i="118"/>
  <c r="AY641" i="118"/>
  <c r="BQ641" i="118"/>
  <c r="AY623" i="118"/>
  <c r="BQ623" i="118"/>
  <c r="AY636" i="118"/>
  <c r="BQ636" i="118"/>
  <c r="BQ642" i="118"/>
  <c r="AY642" i="118"/>
  <c r="AY630" i="118"/>
  <c r="BQ630" i="118"/>
  <c r="BQ601" i="118"/>
  <c r="AY601" i="118"/>
  <c r="AO600" i="118"/>
  <c r="AY600" i="118"/>
  <c r="BQ600" i="118"/>
  <c r="AY639" i="118"/>
  <c r="BQ639" i="118"/>
  <c r="AY622" i="118"/>
  <c r="BQ622" i="118"/>
  <c r="BQ604" i="118"/>
  <c r="AY604" i="118"/>
  <c r="AY603" i="118"/>
  <c r="BQ603" i="118"/>
  <c r="BQ629" i="118"/>
  <c r="AY629" i="118"/>
  <c r="BQ610" i="118"/>
  <c r="AY610" i="118"/>
  <c r="AO466" i="118"/>
  <c r="AY466" i="118"/>
  <c r="BQ466" i="118"/>
  <c r="AY470" i="118"/>
  <c r="BQ470" i="118"/>
  <c r="AY497" i="118"/>
  <c r="BQ497" i="118"/>
  <c r="BQ490" i="118"/>
  <c r="AY490" i="118"/>
  <c r="AY508" i="118"/>
  <c r="BQ508" i="118"/>
  <c r="AY491" i="118"/>
  <c r="BQ491" i="118"/>
  <c r="BQ471" i="118"/>
  <c r="AY471" i="118"/>
  <c r="AY502" i="118"/>
  <c r="BQ502" i="118"/>
  <c r="AY487" i="118"/>
  <c r="BQ487" i="118"/>
  <c r="AY463" i="118"/>
  <c r="BQ463" i="118"/>
  <c r="AY494" i="118"/>
  <c r="BQ494" i="118"/>
  <c r="AY483" i="118"/>
  <c r="BQ483" i="118"/>
  <c r="BQ498" i="118"/>
  <c r="AY498" i="118"/>
  <c r="AO62" i="118"/>
  <c r="AO77" i="118"/>
  <c r="AY78" i="118"/>
  <c r="BQ83" i="118"/>
  <c r="AO79" i="118"/>
  <c r="AY72" i="118"/>
  <c r="AY73" i="118"/>
  <c r="AO66" i="118"/>
  <c r="BQ106" i="118"/>
  <c r="AY91" i="118"/>
  <c r="AY83" i="118"/>
  <c r="AO101" i="118"/>
  <c r="BQ72" i="118"/>
  <c r="AO73" i="118"/>
  <c r="AY70" i="118"/>
  <c r="AO103" i="118"/>
  <c r="AY80" i="118"/>
  <c r="BM99" i="118"/>
  <c r="BM105" i="118"/>
  <c r="AO86" i="118"/>
  <c r="AO99" i="118"/>
  <c r="BM107" i="118"/>
  <c r="BQ74" i="118"/>
  <c r="BM98" i="118"/>
  <c r="AO58" i="118"/>
  <c r="BQ95" i="118"/>
  <c r="BQ71" i="118"/>
  <c r="AY86" i="118"/>
  <c r="BQ107" i="118"/>
  <c r="BQ96" i="118"/>
  <c r="BQ70" i="118"/>
  <c r="AY95" i="118"/>
  <c r="AY71" i="118"/>
  <c r="AY62" i="118"/>
  <c r="BQ102" i="118"/>
  <c r="AO94" i="118"/>
  <c r="AO93" i="118"/>
  <c r="BM106" i="118"/>
  <c r="AY64" i="118"/>
  <c r="AO69" i="118"/>
  <c r="BQ69" i="118"/>
  <c r="AY94" i="118"/>
  <c r="AO60" i="118"/>
  <c r="BQ80" i="118"/>
  <c r="BQ104" i="118"/>
  <c r="BQ76" i="118"/>
  <c r="AY79" i="118"/>
  <c r="AO65" i="118"/>
  <c r="AO98" i="118"/>
  <c r="BQ89" i="118"/>
  <c r="AY75" i="118"/>
  <c r="AY104" i="118"/>
  <c r="BQ81" i="118"/>
  <c r="BQ64" i="118"/>
  <c r="BQ101" i="118"/>
  <c r="BQ88" i="118"/>
  <c r="AY60" i="118"/>
  <c r="AY65" i="118"/>
  <c r="BQ77" i="118"/>
  <c r="BQ103" i="118"/>
  <c r="BQ98" i="118"/>
  <c r="AO81" i="118"/>
  <c r="AY74" i="118"/>
  <c r="BQ85" i="118"/>
  <c r="BQ75" i="118"/>
  <c r="AO76" i="118"/>
  <c r="BQ90" i="118"/>
  <c r="AO102" i="118"/>
  <c r="Z42" i="118"/>
  <c r="Z176" i="118"/>
  <c r="Z40" i="118"/>
  <c r="Z174" i="118"/>
  <c r="Z41" i="118"/>
  <c r="Z175" i="118"/>
  <c r="AY68" i="118"/>
  <c r="BQ68" i="118"/>
  <c r="AY105" i="118"/>
  <c r="BQ105" i="118"/>
  <c r="AO105" i="118"/>
  <c r="AO87" i="118"/>
  <c r="AY87" i="118"/>
  <c r="BQ87" i="118"/>
  <c r="AO61" i="118"/>
  <c r="AG54" i="118"/>
  <c r="AO92" i="118"/>
  <c r="AY92" i="118"/>
  <c r="AY241" i="118"/>
  <c r="BQ241" i="118"/>
  <c r="AY237" i="118"/>
  <c r="BQ237" i="118"/>
  <c r="AY233" i="118"/>
  <c r="BQ233" i="118"/>
  <c r="AY229" i="118"/>
  <c r="BQ229" i="118"/>
  <c r="AY225" i="118"/>
  <c r="BQ225" i="118"/>
  <c r="AO225" i="118"/>
  <c r="BQ207" i="118"/>
  <c r="AY207" i="118"/>
  <c r="AO207" i="118"/>
  <c r="AY222" i="118"/>
  <c r="BQ222" i="118"/>
  <c r="AO222" i="118"/>
  <c r="AY218" i="118"/>
  <c r="BQ218" i="118"/>
  <c r="AO218" i="118"/>
  <c r="AY216" i="118"/>
  <c r="BQ216" i="118"/>
  <c r="AO216" i="118"/>
  <c r="AY212" i="118"/>
  <c r="BQ212" i="118"/>
  <c r="AO212" i="118"/>
  <c r="AY199" i="118"/>
  <c r="BQ199" i="118"/>
  <c r="AO199" i="118"/>
  <c r="BQ196" i="118"/>
  <c r="AY196" i="118"/>
  <c r="AO196" i="118"/>
  <c r="AG188" i="118"/>
  <c r="L19" i="118" s="1"/>
  <c r="Z39" i="118"/>
  <c r="Z173" i="118"/>
  <c r="Z38" i="118"/>
  <c r="Z172" i="118"/>
  <c r="BQ61" i="118"/>
  <c r="AY89" i="118"/>
  <c r="AO68" i="118"/>
  <c r="AO241" i="118"/>
  <c r="AO237" i="118"/>
  <c r="AO233" i="118"/>
  <c r="AO229" i="118"/>
  <c r="AY240" i="118"/>
  <c r="BQ240" i="118"/>
  <c r="AY236" i="118"/>
  <c r="BQ236" i="118"/>
  <c r="AY232" i="118"/>
  <c r="BQ232" i="118"/>
  <c r="AY228" i="118"/>
  <c r="BQ228" i="118"/>
  <c r="BQ203" i="118"/>
  <c r="AY203" i="118"/>
  <c r="BQ209" i="118"/>
  <c r="AY209" i="118"/>
  <c r="AY221" i="118"/>
  <c r="BQ221" i="118"/>
  <c r="AY217" i="118"/>
  <c r="BQ217" i="118"/>
  <c r="AY215" i="118"/>
  <c r="BQ215" i="118"/>
  <c r="AY211" i="118"/>
  <c r="BQ211" i="118"/>
  <c r="BQ198" i="118"/>
  <c r="AY198" i="118"/>
  <c r="AY194" i="118"/>
  <c r="BQ194" i="118"/>
  <c r="AO203" i="118"/>
  <c r="AO194" i="118"/>
  <c r="BQ224" i="118"/>
  <c r="AY224" i="118"/>
  <c r="AY239" i="118"/>
  <c r="BQ239" i="118"/>
  <c r="AY235" i="118"/>
  <c r="BQ235" i="118"/>
  <c r="AY231" i="118"/>
  <c r="BQ231" i="118"/>
  <c r="AY227" i="118"/>
  <c r="BQ227" i="118"/>
  <c r="BQ208" i="118"/>
  <c r="AY208" i="118"/>
  <c r="BQ205" i="118"/>
  <c r="AY205" i="118"/>
  <c r="AY220" i="118"/>
  <c r="BQ220" i="118"/>
  <c r="BQ206" i="118"/>
  <c r="AY206" i="118"/>
  <c r="AY214" i="118"/>
  <c r="BQ214" i="118"/>
  <c r="AY210" i="118"/>
  <c r="BQ210" i="118"/>
  <c r="BQ197" i="118"/>
  <c r="AY197" i="118"/>
  <c r="AY193" i="118"/>
  <c r="BQ193" i="118"/>
  <c r="AO224" i="118"/>
  <c r="AO239" i="118"/>
  <c r="AO235" i="118"/>
  <c r="AO231" i="118"/>
  <c r="AO227" i="118"/>
  <c r="AO209" i="118"/>
  <c r="AO221" i="118"/>
  <c r="AO217" i="118"/>
  <c r="AO206" i="118"/>
  <c r="AA38" i="118"/>
  <c r="AA172" i="118"/>
  <c r="BQ78" i="118"/>
  <c r="AO90" i="118"/>
  <c r="AY85" i="118"/>
  <c r="BQ204" i="118"/>
  <c r="AY204" i="118"/>
  <c r="AY238" i="118"/>
  <c r="BQ238" i="118"/>
  <c r="AY234" i="118"/>
  <c r="BQ234" i="118"/>
  <c r="AY230" i="118"/>
  <c r="BQ230" i="118"/>
  <c r="AY226" i="118"/>
  <c r="BQ226" i="118"/>
  <c r="AY223" i="118"/>
  <c r="BQ223" i="118"/>
  <c r="BQ201" i="118"/>
  <c r="AY201" i="118"/>
  <c r="AY219" i="118"/>
  <c r="BQ219" i="118"/>
  <c r="BQ202" i="118"/>
  <c r="AY202" i="118"/>
  <c r="AY213" i="118"/>
  <c r="BQ213" i="118"/>
  <c r="AY200" i="118"/>
  <c r="BQ200" i="118"/>
  <c r="BQ195" i="118"/>
  <c r="AY195" i="118"/>
  <c r="AY192" i="118"/>
  <c r="BH192" i="118" s="1"/>
  <c r="BH193" i="118" s="1"/>
  <c r="BQ192" i="118"/>
  <c r="AO240" i="118"/>
  <c r="AO236" i="118"/>
  <c r="AO232" i="118"/>
  <c r="AO228" i="118"/>
  <c r="AO214" i="118"/>
  <c r="AO205" i="118"/>
  <c r="AO201" i="118"/>
  <c r="AO195" i="118"/>
  <c r="AO197" i="118"/>
  <c r="AO192" i="118"/>
  <c r="R19" i="118"/>
  <c r="F23" i="118"/>
  <c r="B23" i="118"/>
  <c r="F22" i="118"/>
  <c r="B22" i="118"/>
  <c r="F21" i="118"/>
  <c r="B21" i="118"/>
  <c r="F20" i="118"/>
  <c r="B20" i="118"/>
  <c r="D35" i="30"/>
  <c r="G40" i="114"/>
  <c r="G39" i="114"/>
  <c r="G38" i="114"/>
  <c r="G37" i="114"/>
  <c r="G36" i="114"/>
  <c r="G35" i="114"/>
  <c r="G34" i="114"/>
  <c r="G40" i="111"/>
  <c r="G39" i="111"/>
  <c r="G38" i="111"/>
  <c r="G37" i="111"/>
  <c r="G36" i="111"/>
  <c r="G35" i="111"/>
  <c r="G34" i="111"/>
  <c r="G40" i="110"/>
  <c r="G39" i="110"/>
  <c r="G38" i="110"/>
  <c r="G37" i="110"/>
  <c r="G36" i="110"/>
  <c r="G35" i="110"/>
  <c r="G34" i="110"/>
  <c r="G35" i="108"/>
  <c r="G34" i="108"/>
  <c r="G40" i="108"/>
  <c r="G39" i="108"/>
  <c r="G38" i="108"/>
  <c r="G37" i="108"/>
  <c r="G36" i="108"/>
  <c r="G35" i="30"/>
  <c r="G36" i="30"/>
  <c r="G37" i="30"/>
  <c r="G38" i="30"/>
  <c r="G39" i="30"/>
  <c r="G40" i="30"/>
  <c r="G34" i="30"/>
  <c r="BH328" i="118" l="1"/>
  <c r="BH329" i="118" s="1"/>
  <c r="BH330" i="118" s="1"/>
  <c r="BH331" i="118" s="1"/>
  <c r="BH332" i="118" s="1"/>
  <c r="BH333" i="118" s="1"/>
  <c r="BH334" i="118" s="1"/>
  <c r="BH335" i="118" s="1"/>
  <c r="BH336" i="118" s="1"/>
  <c r="BH337" i="118" s="1"/>
  <c r="BH338" i="118" s="1"/>
  <c r="BH339" i="118" s="1"/>
  <c r="BH340" i="118" s="1"/>
  <c r="BH341" i="118" s="1"/>
  <c r="BH342" i="118" s="1"/>
  <c r="BH343" i="118" s="1"/>
  <c r="BH344" i="118" s="1"/>
  <c r="BH345" i="118" s="1"/>
  <c r="BH346" i="118" s="1"/>
  <c r="BH347" i="118" s="1"/>
  <c r="BH348" i="118" s="1"/>
  <c r="BH349" i="118" s="1"/>
  <c r="BH350" i="118" s="1"/>
  <c r="BH351" i="118" s="1"/>
  <c r="BH352" i="118" s="1"/>
  <c r="BH353" i="118" s="1"/>
  <c r="BH354" i="118" s="1"/>
  <c r="BH355" i="118" s="1"/>
  <c r="BH356" i="118" s="1"/>
  <c r="BH357" i="118" s="1"/>
  <c r="BH358" i="118" s="1"/>
  <c r="BH359" i="118" s="1"/>
  <c r="BH360" i="118" s="1"/>
  <c r="BH361" i="118" s="1"/>
  <c r="BH362" i="118" s="1"/>
  <c r="BH363" i="118" s="1"/>
  <c r="BH364" i="118" s="1"/>
  <c r="BH365" i="118" s="1"/>
  <c r="BH366" i="118" s="1"/>
  <c r="BH367" i="118" s="1"/>
  <c r="BH368" i="118" s="1"/>
  <c r="BH369" i="118" s="1"/>
  <c r="BH370" i="118" s="1"/>
  <c r="BH371" i="118" s="1"/>
  <c r="BH372" i="118" s="1"/>
  <c r="BH373" i="118" s="1"/>
  <c r="BH374" i="118" s="1"/>
  <c r="BH375" i="118" s="1"/>
  <c r="R61" i="19"/>
  <c r="R92" i="19"/>
  <c r="R123" i="19"/>
  <c r="R154" i="19"/>
  <c r="AO321" i="118"/>
  <c r="AO455" i="118"/>
  <c r="AA310" i="118"/>
  <c r="AA579" i="118"/>
  <c r="AA444" i="118"/>
  <c r="W309" i="118"/>
  <c r="W578" i="118"/>
  <c r="W443" i="118"/>
  <c r="AA307" i="118"/>
  <c r="AA576" i="118"/>
  <c r="AA441" i="118"/>
  <c r="AA309" i="118"/>
  <c r="AA578" i="118"/>
  <c r="AA443" i="118"/>
  <c r="AA308" i="118"/>
  <c r="AA577" i="118"/>
  <c r="AA442" i="118"/>
  <c r="W307" i="118"/>
  <c r="W576" i="118"/>
  <c r="W441" i="118"/>
  <c r="W308" i="118"/>
  <c r="W577" i="118"/>
  <c r="W442" i="118"/>
  <c r="W310" i="118"/>
  <c r="W579" i="118"/>
  <c r="W444" i="118"/>
  <c r="BH461" i="118"/>
  <c r="BH462" i="118" s="1"/>
  <c r="BH463" i="118" s="1"/>
  <c r="BH464" i="118" s="1"/>
  <c r="BH465" i="118" s="1"/>
  <c r="BH466" i="118" s="1"/>
  <c r="BH467" i="118" s="1"/>
  <c r="BH468" i="118" s="1"/>
  <c r="BH469" i="118" s="1"/>
  <c r="BH470" i="118" s="1"/>
  <c r="BH471" i="118" s="1"/>
  <c r="BH472" i="118" s="1"/>
  <c r="BH473" i="118" s="1"/>
  <c r="BH474" i="118" s="1"/>
  <c r="BH475" i="118" s="1"/>
  <c r="BH476" i="118" s="1"/>
  <c r="BH477" i="118" s="1"/>
  <c r="BH478" i="118" s="1"/>
  <c r="BH479" i="118" s="1"/>
  <c r="BH480" i="118" s="1"/>
  <c r="BH481" i="118" s="1"/>
  <c r="BH482" i="118" s="1"/>
  <c r="BH483" i="118" s="1"/>
  <c r="BH484" i="118" s="1"/>
  <c r="BH485" i="118" s="1"/>
  <c r="BH486" i="118" s="1"/>
  <c r="BH487" i="118" s="1"/>
  <c r="BH488" i="118" s="1"/>
  <c r="BH489" i="118" s="1"/>
  <c r="BH490" i="118" s="1"/>
  <c r="BH491" i="118" s="1"/>
  <c r="BH492" i="118" s="1"/>
  <c r="BH493" i="118" s="1"/>
  <c r="BH494" i="118" s="1"/>
  <c r="BH495" i="118" s="1"/>
  <c r="BH496" i="118" s="1"/>
  <c r="BH497" i="118" s="1"/>
  <c r="BH498" i="118" s="1"/>
  <c r="BH499" i="118" s="1"/>
  <c r="BH500" i="118" s="1"/>
  <c r="BH501" i="118" s="1"/>
  <c r="BH502" i="118" s="1"/>
  <c r="BH503" i="118" s="1"/>
  <c r="BH504" i="118" s="1"/>
  <c r="BH505" i="118" s="1"/>
  <c r="BH506" i="118" s="1"/>
  <c r="BH507" i="118" s="1"/>
  <c r="BH508" i="118" s="1"/>
  <c r="BH509" i="118" s="1"/>
  <c r="BH596" i="118"/>
  <c r="BH597" i="118" s="1"/>
  <c r="BH598" i="118" s="1"/>
  <c r="BH599" i="118" s="1"/>
  <c r="BH600" i="118" s="1"/>
  <c r="BH601" i="118" s="1"/>
  <c r="BH602" i="118" s="1"/>
  <c r="BH603" i="118" s="1"/>
  <c r="BH604" i="118" s="1"/>
  <c r="BH605" i="118" s="1"/>
  <c r="BH606" i="118" s="1"/>
  <c r="BH607" i="118" s="1"/>
  <c r="BH608" i="118" s="1"/>
  <c r="BH609" i="118" s="1"/>
  <c r="BH610" i="118" s="1"/>
  <c r="BH611" i="118" s="1"/>
  <c r="BH612" i="118" s="1"/>
  <c r="BH613" i="118" s="1"/>
  <c r="BH614" i="118" s="1"/>
  <c r="BH615" i="118" s="1"/>
  <c r="BH616" i="118" s="1"/>
  <c r="BH617" i="118" s="1"/>
  <c r="BH618" i="118" s="1"/>
  <c r="BH619" i="118" s="1"/>
  <c r="BH620" i="118" s="1"/>
  <c r="BH621" i="118" s="1"/>
  <c r="BH622" i="118" s="1"/>
  <c r="BH623" i="118" s="1"/>
  <c r="BH624" i="118" s="1"/>
  <c r="BH625" i="118" s="1"/>
  <c r="BH626" i="118" s="1"/>
  <c r="BH627" i="118" s="1"/>
  <c r="BH628" i="118" s="1"/>
  <c r="BH629" i="118" s="1"/>
  <c r="BH630" i="118" s="1"/>
  <c r="BH631" i="118" s="1"/>
  <c r="BH632" i="118" s="1"/>
  <c r="BH633" i="118" s="1"/>
  <c r="BH634" i="118" s="1"/>
  <c r="BH635" i="118" s="1"/>
  <c r="BH636" i="118" s="1"/>
  <c r="BH637" i="118" s="1"/>
  <c r="BH638" i="118" s="1"/>
  <c r="BH639" i="118" s="1"/>
  <c r="BH640" i="118" s="1"/>
  <c r="BH641" i="118" s="1"/>
  <c r="BH642" i="118" s="1"/>
  <c r="BH643" i="118" s="1"/>
  <c r="BH644" i="118" s="1"/>
  <c r="AO590" i="118"/>
  <c r="AO53" i="118"/>
  <c r="BH60" i="118"/>
  <c r="BH61" i="118" s="1"/>
  <c r="BH62" i="118" s="1"/>
  <c r="BH63" i="118" s="1"/>
  <c r="BH64" i="118" s="1"/>
  <c r="BH65" i="118" s="1"/>
  <c r="BH66" i="118" s="1"/>
  <c r="BH67" i="118" s="1"/>
  <c r="BH68" i="118" s="1"/>
  <c r="BH69" i="118" s="1"/>
  <c r="BH70" i="118" s="1"/>
  <c r="BH71" i="118" s="1"/>
  <c r="BH72" i="118" s="1"/>
  <c r="BH73" i="118" s="1"/>
  <c r="BH74" i="118" s="1"/>
  <c r="BH75" i="118" s="1"/>
  <c r="BH76" i="118" s="1"/>
  <c r="BH77" i="118" s="1"/>
  <c r="BH78" i="118" s="1"/>
  <c r="BH79" i="118" s="1"/>
  <c r="BH80" i="118" s="1"/>
  <c r="BH81" i="118" s="1"/>
  <c r="BH82" i="118" s="1"/>
  <c r="BH83" i="118" s="1"/>
  <c r="BH84" i="118" s="1"/>
  <c r="BH85" i="118" s="1"/>
  <c r="BH86" i="118" s="1"/>
  <c r="BH87" i="118" s="1"/>
  <c r="BH88" i="118" s="1"/>
  <c r="BH89" i="118" s="1"/>
  <c r="BH90" i="118" s="1"/>
  <c r="BH91" i="118" s="1"/>
  <c r="BH92" i="118" s="1"/>
  <c r="BH93" i="118" s="1"/>
  <c r="BH94" i="118" s="1"/>
  <c r="BH95" i="118" s="1"/>
  <c r="BH96" i="118" s="1"/>
  <c r="BH97" i="118" s="1"/>
  <c r="BH98" i="118" s="1"/>
  <c r="BH99" i="118" s="1"/>
  <c r="BH100" i="118" s="1"/>
  <c r="BH101" i="118" s="1"/>
  <c r="BH102" i="118" s="1"/>
  <c r="BH103" i="118" s="1"/>
  <c r="BH104" i="118" s="1"/>
  <c r="BH105" i="118" s="1"/>
  <c r="BH106" i="118" s="1"/>
  <c r="BH107" i="118" s="1"/>
  <c r="W40" i="118"/>
  <c r="W174" i="118"/>
  <c r="AA40" i="118"/>
  <c r="AA174" i="118"/>
  <c r="AA42" i="118"/>
  <c r="AA176" i="118"/>
  <c r="W42" i="118"/>
  <c r="W176" i="118"/>
  <c r="W39" i="118"/>
  <c r="W173" i="118"/>
  <c r="W41" i="118"/>
  <c r="W175" i="118"/>
  <c r="AO187" i="118"/>
  <c r="AA39" i="118"/>
  <c r="AA173" i="118"/>
  <c r="AA41" i="118"/>
  <c r="AA175" i="118"/>
  <c r="BH194" i="118"/>
  <c r="BH195" i="118" s="1"/>
  <c r="BH196" i="118" s="1"/>
  <c r="BH197" i="118" s="1"/>
  <c r="BH198" i="118" s="1"/>
  <c r="BH199" i="118" s="1"/>
  <c r="BH200" i="118" s="1"/>
  <c r="BH201" i="118" s="1"/>
  <c r="BH202" i="118" s="1"/>
  <c r="BH203" i="118" s="1"/>
  <c r="BH204" i="118" s="1"/>
  <c r="BH205" i="118" s="1"/>
  <c r="BH206" i="118" s="1"/>
  <c r="BH207" i="118" s="1"/>
  <c r="BH208" i="118" s="1"/>
  <c r="BH209" i="118" s="1"/>
  <c r="BH210" i="118" s="1"/>
  <c r="BH211" i="118" s="1"/>
  <c r="BH212" i="118" s="1"/>
  <c r="BH213" i="118" s="1"/>
  <c r="BH214" i="118" s="1"/>
  <c r="BH215" i="118" s="1"/>
  <c r="BH216" i="118" s="1"/>
  <c r="BH217" i="118" s="1"/>
  <c r="BH218" i="118" s="1"/>
  <c r="BH219" i="118" s="1"/>
  <c r="BH220" i="118" s="1"/>
  <c r="BH221" i="118" s="1"/>
  <c r="BH222" i="118" s="1"/>
  <c r="BH223" i="118" s="1"/>
  <c r="BH224" i="118" s="1"/>
  <c r="BH225" i="118" s="1"/>
  <c r="BH226" i="118" s="1"/>
  <c r="BH227" i="118" s="1"/>
  <c r="BH228" i="118" s="1"/>
  <c r="BH229" i="118" s="1"/>
  <c r="BH230" i="118" s="1"/>
  <c r="BH231" i="118" s="1"/>
  <c r="BH232" i="118" s="1"/>
  <c r="BH233" i="118" s="1"/>
  <c r="BH234" i="118" s="1"/>
  <c r="BH235" i="118" s="1"/>
  <c r="BH236" i="118" s="1"/>
  <c r="BH237" i="118" s="1"/>
  <c r="BH238" i="118" s="1"/>
  <c r="BH239" i="118" s="1"/>
  <c r="BH240" i="118" s="1"/>
  <c r="BH241" i="118" s="1"/>
  <c r="R62" i="19" l="1"/>
  <c r="R93" i="19"/>
  <c r="R124" i="19"/>
  <c r="R155" i="19"/>
  <c r="BA116" i="29"/>
  <c r="AZ116" i="29"/>
  <c r="AY116" i="29"/>
  <c r="AX116" i="29"/>
  <c r="AW116" i="29"/>
  <c r="AV116" i="29"/>
  <c r="AU116" i="29"/>
  <c r="AT116" i="29"/>
  <c r="AS116" i="29"/>
  <c r="AR116" i="29"/>
  <c r="BH900" i="29"/>
  <c r="BH727" i="29"/>
  <c r="BH553" i="29"/>
  <c r="BH377" i="29"/>
  <c r="BH203" i="29"/>
  <c r="AY900" i="29"/>
  <c r="AP900" i="29"/>
  <c r="AX898" i="29"/>
  <c r="AY727" i="29"/>
  <c r="AP727" i="29"/>
  <c r="AX725" i="29"/>
  <c r="AY553" i="29"/>
  <c r="AP553" i="29"/>
  <c r="AX551" i="29"/>
  <c r="AY377" i="29"/>
  <c r="AP377" i="29"/>
  <c r="AX375" i="29"/>
  <c r="AY203" i="29"/>
  <c r="K10" i="29"/>
  <c r="K9" i="29"/>
  <c r="F8" i="29" s="1"/>
  <c r="B698" i="29" s="1"/>
  <c r="K8" i="29"/>
  <c r="K7" i="29"/>
  <c r="K6" i="29"/>
  <c r="AV139" i="107"/>
  <c r="AN207" i="107"/>
  <c r="AR247" i="107"/>
  <c r="AR140" i="107"/>
  <c r="AN105" i="107"/>
  <c r="AN85" i="107"/>
  <c r="AV109" i="107"/>
  <c r="AU167" i="107"/>
  <c r="AN256" i="107"/>
  <c r="AV131" i="112"/>
  <c r="AU249" i="107"/>
  <c r="T60" i="19"/>
  <c r="AN76" i="107"/>
  <c r="AR210" i="107"/>
  <c r="AN107" i="107"/>
  <c r="AR61" i="107"/>
  <c r="AN52" i="107"/>
  <c r="AR192" i="107"/>
  <c r="AR150" i="107"/>
  <c r="AU160" i="107"/>
  <c r="AV61" i="107"/>
  <c r="AN86" i="107"/>
  <c r="AU190" i="107"/>
  <c r="AN184" i="107"/>
  <c r="AV57" i="107"/>
  <c r="AR188" i="107"/>
  <c r="AV198" i="107"/>
  <c r="AR132" i="107"/>
  <c r="AN257" i="107"/>
  <c r="AN46" i="107"/>
  <c r="AR57" i="107"/>
  <c r="AU66" i="107"/>
  <c r="AN101" i="107"/>
  <c r="AR91" i="107"/>
  <c r="AU77" i="107"/>
  <c r="AV49" i="107"/>
  <c r="AN97" i="107"/>
  <c r="AV96" i="107"/>
  <c r="AV210" i="107"/>
  <c r="AU216" i="107"/>
  <c r="AV131" i="107"/>
  <c r="AN167" i="107"/>
  <c r="AR163" i="107"/>
  <c r="AU192" i="107"/>
  <c r="AV79" i="107"/>
  <c r="AN141" i="107"/>
  <c r="AN146" i="107"/>
  <c r="AR67" i="107"/>
  <c r="AR70" i="107"/>
  <c r="AV141" i="107"/>
  <c r="AN104" i="107"/>
  <c r="AR89" i="107"/>
  <c r="AR170" i="107"/>
  <c r="AR80" i="107"/>
  <c r="AV105" i="107"/>
  <c r="AU139" i="107"/>
  <c r="AN149" i="107"/>
  <c r="AR96" i="107"/>
  <c r="AV62" i="107"/>
  <c r="AU76" i="107"/>
  <c r="AN72" i="107"/>
  <c r="T55" i="19"/>
  <c r="AV146" i="107"/>
  <c r="AV101" i="107"/>
  <c r="AU246" i="107"/>
  <c r="AN249" i="107"/>
  <c r="AV110" i="107"/>
  <c r="AU101" i="107"/>
  <c r="AU170" i="107"/>
  <c r="AN154" i="107"/>
  <c r="AU128" i="107"/>
  <c r="AV106" i="107"/>
  <c r="AU43" i="107"/>
  <c r="AR101" i="107"/>
  <c r="AV132" i="107"/>
  <c r="AN227" i="107"/>
  <c r="AU154" i="107"/>
  <c r="AR161" i="107"/>
  <c r="AR189" i="107"/>
  <c r="AN178" i="107"/>
  <c r="AR62" i="107"/>
  <c r="AV107" i="107"/>
  <c r="AU146" i="107"/>
  <c r="AR246" i="107"/>
  <c r="AN179" i="107"/>
  <c r="AV70" i="107"/>
  <c r="AV78" i="107"/>
  <c r="AU90" i="107"/>
  <c r="AV158" i="107"/>
  <c r="AR90" i="107"/>
  <c r="T115" i="19"/>
  <c r="AR72" i="107"/>
  <c r="AV120" i="107"/>
  <c r="AR108" i="107"/>
  <c r="AU78" i="107"/>
  <c r="AR105" i="107"/>
  <c r="AR76" i="107"/>
  <c r="AR216" i="107"/>
  <c r="AN90" i="107"/>
  <c r="AV90" i="107"/>
  <c r="AV190" i="107"/>
  <c r="AV207" i="107"/>
  <c r="AU248" i="107"/>
  <c r="AN100" i="107"/>
  <c r="AR149" i="107"/>
  <c r="AU63" i="107"/>
  <c r="AN160" i="107"/>
  <c r="AR85" i="107"/>
  <c r="AU168" i="107"/>
  <c r="AU50" i="107"/>
  <c r="AV100" i="107"/>
  <c r="AN170" i="107"/>
  <c r="AN208" i="107"/>
  <c r="AU84" i="107"/>
  <c r="AN84" i="107"/>
  <c r="AU169" i="107"/>
  <c r="AU184" i="107"/>
  <c r="AR200" i="107"/>
  <c r="AN81" i="107"/>
  <c r="AV159" i="107"/>
  <c r="AN211" i="107"/>
  <c r="AU109" i="107"/>
  <c r="AV154" i="107"/>
  <c r="AN45" i="107"/>
  <c r="AR63" i="107"/>
  <c r="AR145" i="107"/>
  <c r="S61" i="19"/>
  <c r="AV52" i="107"/>
  <c r="T57" i="19"/>
  <c r="AU72" i="107"/>
  <c r="AU207" i="107"/>
  <c r="AR97" i="107"/>
  <c r="AR146" i="107"/>
  <c r="AU191" i="107"/>
  <c r="AU138" i="107"/>
  <c r="AN190" i="107"/>
  <c r="AN224" i="107"/>
  <c r="AV140" i="107"/>
  <c r="AU153" i="107"/>
  <c r="AN44" i="107"/>
  <c r="AV71" i="107"/>
  <c r="AV209" i="107"/>
  <c r="AN51" i="107"/>
  <c r="T145" i="19"/>
  <c r="AV130" i="107"/>
  <c r="AN153" i="107"/>
  <c r="AV86" i="107"/>
  <c r="AU85" i="107"/>
  <c r="AU208" i="107"/>
  <c r="AR52" i="107"/>
  <c r="AU247" i="107"/>
  <c r="AR50" i="107"/>
  <c r="AN222" i="107"/>
  <c r="AN130" i="107"/>
  <c r="AR46" i="107"/>
  <c r="AR71" i="107"/>
  <c r="AR184" i="107"/>
  <c r="AR119" i="107"/>
  <c r="AU120" i="107"/>
  <c r="AV246" i="107"/>
  <c r="AV169" i="107"/>
  <c r="AV46" i="107"/>
  <c r="AV135" i="107"/>
  <c r="AU197" i="107"/>
  <c r="AN197" i="107"/>
  <c r="AN248" i="107"/>
  <c r="AN225" i="107"/>
  <c r="AR131" i="107"/>
  <c r="AV133" i="107"/>
  <c r="AV138" i="107"/>
  <c r="AN120" i="107"/>
  <c r="AN96" i="107"/>
  <c r="AN57" i="107"/>
  <c r="AU185" i="107"/>
  <c r="AV160" i="107"/>
  <c r="AN131" i="112"/>
  <c r="AV95" i="107"/>
  <c r="AV153" i="107"/>
  <c r="AN150" i="107"/>
  <c r="AU198" i="107"/>
  <c r="AR139" i="107"/>
  <c r="AR193" i="107"/>
  <c r="AN43" i="107"/>
  <c r="AN192" i="107"/>
  <c r="AV161" i="107"/>
  <c r="AN129" i="107"/>
  <c r="T56" i="19"/>
  <c r="AU145" i="107"/>
  <c r="AN70" i="107"/>
  <c r="AV167" i="107"/>
  <c r="AU105" i="107"/>
  <c r="AV80" i="107"/>
  <c r="AV129" i="107"/>
  <c r="AR209" i="107"/>
  <c r="AR198" i="107"/>
  <c r="AV193" i="107"/>
  <c r="AR56" i="107"/>
  <c r="AN61" i="107"/>
  <c r="T117" i="19"/>
  <c r="AN191" i="107"/>
  <c r="AU250" i="107"/>
  <c r="AV97" i="107"/>
  <c r="AV58" i="107"/>
  <c r="AU180" i="107"/>
  <c r="AN56" i="107"/>
  <c r="AU71" i="107"/>
  <c r="AV66" i="107"/>
  <c r="AR211" i="107"/>
  <c r="AR167" i="107"/>
  <c r="T119" i="19"/>
  <c r="AN161" i="107"/>
  <c r="AU149" i="107"/>
  <c r="AV145" i="107"/>
  <c r="AN77" i="107"/>
  <c r="AO131" i="112"/>
  <c r="AR84" i="107"/>
  <c r="AU209" i="107"/>
  <c r="AR104" i="107"/>
  <c r="AN159" i="107"/>
  <c r="AU163" i="107"/>
  <c r="AN58" i="107"/>
  <c r="AN132" i="107"/>
  <c r="AU67" i="107"/>
  <c r="AU49" i="107"/>
  <c r="AV168" i="107"/>
  <c r="AV200" i="107"/>
  <c r="AU106" i="107"/>
  <c r="T120" i="19"/>
  <c r="AV191" i="107"/>
  <c r="AU100" i="107"/>
  <c r="AR207" i="107"/>
  <c r="AN80" i="107"/>
  <c r="AR81" i="107"/>
  <c r="AR208" i="107"/>
  <c r="AR250" i="107"/>
  <c r="AN247" i="107"/>
  <c r="AR191" i="107"/>
  <c r="AU150" i="107"/>
  <c r="AU141" i="107"/>
  <c r="AN198" i="107"/>
  <c r="AV149" i="107"/>
  <c r="AV104" i="107"/>
  <c r="AV216" i="107"/>
  <c r="AN250" i="107"/>
  <c r="AN108" i="107"/>
  <c r="AN89" i="107"/>
  <c r="AR199" i="107"/>
  <c r="T118" i="19"/>
  <c r="AU130" i="107"/>
  <c r="AN62" i="107"/>
  <c r="AV180" i="107"/>
  <c r="AU80" i="107"/>
  <c r="AN131" i="107"/>
  <c r="AN109" i="107"/>
  <c r="AN66" i="107"/>
  <c r="AV192" i="107"/>
  <c r="AN140" i="107"/>
  <c r="AN145" i="107"/>
  <c r="AR249" i="107"/>
  <c r="AR138" i="107"/>
  <c r="AU131" i="107"/>
  <c r="AV45" i="107"/>
  <c r="AU79" i="107"/>
  <c r="AR120" i="107"/>
  <c r="AN193" i="107"/>
  <c r="AR154" i="107"/>
  <c r="AR168" i="107"/>
  <c r="AN95" i="107"/>
  <c r="AV211" i="107"/>
  <c r="AR141" i="107"/>
  <c r="AV208" i="107"/>
  <c r="AU51" i="107"/>
  <c r="AU58" i="107"/>
  <c r="AU159" i="107"/>
  <c r="AN188" i="107"/>
  <c r="T149" i="19"/>
  <c r="AV77" i="107"/>
  <c r="AR79" i="107"/>
  <c r="AN139" i="107"/>
  <c r="AR86" i="107"/>
  <c r="AR106" i="107"/>
  <c r="AV199" i="107"/>
  <c r="AR128" i="107"/>
  <c r="AR197" i="107"/>
  <c r="AV185" i="107"/>
  <c r="AN79" i="107"/>
  <c r="AN110" i="107"/>
  <c r="AN223" i="107"/>
  <c r="AN78" i="107"/>
  <c r="AN119" i="107"/>
  <c r="AR77" i="107"/>
  <c r="AU179" i="107"/>
  <c r="AU210" i="107"/>
  <c r="AU61" i="107"/>
  <c r="AU89" i="107"/>
  <c r="AR107" i="107"/>
  <c r="AU104" i="107"/>
  <c r="AN185" i="107"/>
  <c r="AV91" i="107"/>
  <c r="AU62" i="107"/>
  <c r="AV84" i="107"/>
  <c r="AU194" i="107"/>
  <c r="AU56" i="107"/>
  <c r="AU107" i="107"/>
  <c r="AV184" i="107"/>
  <c r="AU70" i="107"/>
  <c r="AU135" i="107"/>
  <c r="AR158" i="107"/>
  <c r="AN169" i="107"/>
  <c r="AV89" i="107"/>
  <c r="AU97" i="107"/>
  <c r="AN180" i="107"/>
  <c r="AR45" i="107"/>
  <c r="AR133" i="107"/>
  <c r="AR109" i="107"/>
  <c r="AV44" i="107"/>
  <c r="AN71" i="107"/>
  <c r="T116" i="19"/>
  <c r="AV188" i="107"/>
  <c r="AV81" i="107"/>
  <c r="AR160" i="107"/>
  <c r="AV249" i="107"/>
  <c r="AU158" i="107"/>
  <c r="AR110" i="107"/>
  <c r="AR180" i="107"/>
  <c r="AN200" i="107"/>
  <c r="AN91" i="107"/>
  <c r="AV194" i="107"/>
  <c r="AU189" i="107"/>
  <c r="AN133" i="107"/>
  <c r="AV63" i="107"/>
  <c r="AU86" i="107"/>
  <c r="S144" i="19"/>
  <c r="T58" i="19"/>
  <c r="AR58" i="107"/>
  <c r="AR185" i="107"/>
  <c r="AR194" i="107"/>
  <c r="AN67" i="107"/>
  <c r="AN49" i="107"/>
  <c r="AU200" i="107"/>
  <c r="AU44" i="107"/>
  <c r="AN128" i="107"/>
  <c r="AV76" i="107"/>
  <c r="AN158" i="107"/>
  <c r="AV250" i="107"/>
  <c r="AV56" i="107"/>
  <c r="AN194" i="107"/>
  <c r="T54" i="19"/>
  <c r="AN50" i="107"/>
  <c r="AV67" i="107"/>
  <c r="AR248" i="107"/>
  <c r="AR178" i="107"/>
  <c r="AU188" i="107"/>
  <c r="AN138" i="107"/>
  <c r="AR179" i="107"/>
  <c r="AU178" i="107"/>
  <c r="AR49" i="107"/>
  <c r="T84" i="19"/>
  <c r="T114" i="19"/>
  <c r="AU132" i="107"/>
  <c r="AV178" i="107"/>
  <c r="AV51" i="107"/>
  <c r="AV247" i="107"/>
  <c r="AR51" i="107"/>
  <c r="AU45" i="107"/>
  <c r="AR190" i="107"/>
  <c r="AN209" i="107"/>
  <c r="AV189" i="107"/>
  <c r="AN189" i="107"/>
  <c r="AU199" i="107"/>
  <c r="AV119" i="107"/>
  <c r="AN226" i="107"/>
  <c r="AR130" i="107"/>
  <c r="AN63" i="107"/>
  <c r="AU211" i="107"/>
  <c r="AV179" i="107"/>
  <c r="AU133" i="107"/>
  <c r="AV170" i="107"/>
  <c r="AU108" i="107"/>
  <c r="AR159" i="107"/>
  <c r="AU46" i="107"/>
  <c r="AV108" i="107"/>
  <c r="AR95" i="107"/>
  <c r="AV72" i="107"/>
  <c r="AR153" i="107"/>
  <c r="T59" i="19"/>
  <c r="AU129" i="107"/>
  <c r="AU52" i="107"/>
  <c r="AN168" i="107"/>
  <c r="AR44" i="107"/>
  <c r="AR66" i="107"/>
  <c r="AN246" i="107"/>
  <c r="AV197" i="107"/>
  <c r="AR43" i="107"/>
  <c r="AU81" i="107"/>
  <c r="AU110" i="107"/>
  <c r="AU95" i="107"/>
  <c r="AU57" i="107"/>
  <c r="AR100" i="107"/>
  <c r="AU193" i="107"/>
  <c r="AR169" i="107"/>
  <c r="AV163" i="107"/>
  <c r="AU91" i="107"/>
  <c r="AV128" i="107"/>
  <c r="AN210" i="107"/>
  <c r="AU119" i="107"/>
  <c r="AR78" i="107"/>
  <c r="AU161" i="107"/>
  <c r="AU140" i="107"/>
  <c r="AN199" i="107"/>
  <c r="AV50" i="107"/>
  <c r="AN258" i="107"/>
  <c r="AU96" i="107"/>
  <c r="AV248" i="107"/>
  <c r="AV150" i="107"/>
  <c r="AR129" i="107"/>
  <c r="AV85" i="107"/>
  <c r="AN106" i="107"/>
  <c r="T89" i="19"/>
  <c r="T122" i="19"/>
  <c r="T121" i="19"/>
  <c r="T87" i="19"/>
  <c r="T86" i="19"/>
  <c r="T90" i="19"/>
  <c r="T91" i="19"/>
  <c r="T88" i="19"/>
  <c r="S62" i="19"/>
  <c r="T85" i="19"/>
  <c r="E106" i="107" l="1"/>
  <c r="AI85" i="107"/>
  <c r="W129" i="107"/>
  <c r="AI150" i="107"/>
  <c r="AI248" i="107"/>
  <c r="AD96" i="107"/>
  <c r="AC96" i="107"/>
  <c r="E258" i="107"/>
  <c r="AI50" i="107"/>
  <c r="E199" i="107"/>
  <c r="AC140" i="107"/>
  <c r="AD140" i="107" s="1"/>
  <c r="AC161" i="107"/>
  <c r="AD161" i="107" s="1"/>
  <c r="W78" i="107"/>
  <c r="X78" i="107"/>
  <c r="AC119" i="107"/>
  <c r="AD119" i="107"/>
  <c r="E210" i="107"/>
  <c r="AI128" i="107"/>
  <c r="AD91" i="107"/>
  <c r="AC91" i="107"/>
  <c r="AI163" i="107"/>
  <c r="W169" i="107"/>
  <c r="X169" i="107"/>
  <c r="AC193" i="107"/>
  <c r="AD193" i="107" s="1"/>
  <c r="W100" i="107"/>
  <c r="X100" i="107"/>
  <c r="AC57" i="107"/>
  <c r="AD57" i="107"/>
  <c r="AC95" i="107"/>
  <c r="AD95" i="107"/>
  <c r="AD110" i="107"/>
  <c r="AC110" i="107"/>
  <c r="AC81" i="107"/>
  <c r="AD81" i="107" s="1"/>
  <c r="W43" i="107"/>
  <c r="AI197" i="107"/>
  <c r="E246" i="107"/>
  <c r="W66" i="107"/>
  <c r="W44" i="107"/>
  <c r="E168" i="107"/>
  <c r="AD52" i="107"/>
  <c r="AC52" i="107"/>
  <c r="AC129" i="107"/>
  <c r="J59" i="19"/>
  <c r="X153" i="107"/>
  <c r="W153" i="107"/>
  <c r="AI72" i="107"/>
  <c r="W95" i="107"/>
  <c r="X95" i="107"/>
  <c r="AI108" i="107"/>
  <c r="AC46" i="107"/>
  <c r="X159" i="107"/>
  <c r="W159" i="107"/>
  <c r="AC108" i="107"/>
  <c r="AD108" i="107" s="1"/>
  <c r="AI170" i="107"/>
  <c r="AC133" i="107"/>
  <c r="AD133" i="107" s="1"/>
  <c r="AI179" i="107"/>
  <c r="AC211" i="107"/>
  <c r="AD211" i="107" s="1"/>
  <c r="E63" i="107"/>
  <c r="X130" i="107"/>
  <c r="W130" i="107"/>
  <c r="E226" i="107"/>
  <c r="AI119" i="107"/>
  <c r="AC199" i="107"/>
  <c r="AD199" i="107"/>
  <c r="E189" i="107"/>
  <c r="AI189" i="107"/>
  <c r="E209" i="107"/>
  <c r="W190" i="107"/>
  <c r="X190" i="107" s="1"/>
  <c r="AC45" i="107"/>
  <c r="W51" i="107"/>
  <c r="X51" i="107"/>
  <c r="AI247" i="107"/>
  <c r="AI51" i="107"/>
  <c r="AI178" i="107"/>
  <c r="AC132" i="107"/>
  <c r="AD132" i="107"/>
  <c r="X49" i="107"/>
  <c r="W49" i="107"/>
  <c r="AD178" i="107"/>
  <c r="AC178" i="107"/>
  <c r="W179" i="107"/>
  <c r="X179" i="107"/>
  <c r="E138" i="107"/>
  <c r="AC188" i="107"/>
  <c r="W178" i="107"/>
  <c r="X178" i="107" s="1"/>
  <c r="X248" i="107"/>
  <c r="W248" i="107"/>
  <c r="AI67" i="107"/>
  <c r="E50" i="107"/>
  <c r="J54" i="19"/>
  <c r="E194" i="107"/>
  <c r="AI56" i="107"/>
  <c r="AI250" i="107"/>
  <c r="E158" i="107"/>
  <c r="AI76" i="107"/>
  <c r="E128" i="107"/>
  <c r="AC44" i="107"/>
  <c r="AD200" i="107"/>
  <c r="AC200" i="107"/>
  <c r="E49" i="107"/>
  <c r="E67" i="107"/>
  <c r="W194" i="107"/>
  <c r="X194" i="107" s="1"/>
  <c r="W185" i="107"/>
  <c r="X185" i="107"/>
  <c r="W58" i="107"/>
  <c r="X58" i="107"/>
  <c r="J58" i="19"/>
  <c r="AD86" i="107"/>
  <c r="AC86" i="107"/>
  <c r="AI63" i="107"/>
  <c r="E133" i="107"/>
  <c r="AC189" i="107"/>
  <c r="AI194" i="107"/>
  <c r="E91" i="107"/>
  <c r="E200" i="107"/>
  <c r="W180" i="107"/>
  <c r="X180" i="107"/>
  <c r="W110" i="107"/>
  <c r="X110" i="107" s="1"/>
  <c r="AC158" i="107"/>
  <c r="AD158" i="107"/>
  <c r="AI249" i="107"/>
  <c r="W160" i="107"/>
  <c r="X160" i="107"/>
  <c r="AI81" i="107"/>
  <c r="AI188" i="107"/>
  <c r="J116" i="19"/>
  <c r="E71" i="107"/>
  <c r="AI44" i="107"/>
  <c r="X109" i="107"/>
  <c r="W109" i="107"/>
  <c r="W133" i="107"/>
  <c r="X133" i="107" s="1"/>
  <c r="W45" i="107"/>
  <c r="E180" i="107"/>
  <c r="AD97" i="107"/>
  <c r="AC97" i="107"/>
  <c r="AI89" i="107"/>
  <c r="E169" i="107"/>
  <c r="W158" i="107"/>
  <c r="X158" i="107"/>
  <c r="AD135" i="107"/>
  <c r="AC135" i="107"/>
  <c r="AC70" i="107"/>
  <c r="AD70" i="107" s="1"/>
  <c r="AI184" i="107"/>
  <c r="AC107" i="107"/>
  <c r="AD107" i="107"/>
  <c r="AC56" i="107"/>
  <c r="AD56" i="107" s="1"/>
  <c r="AC194" i="107"/>
  <c r="AD194" i="107" s="1"/>
  <c r="AI84" i="107"/>
  <c r="AC62" i="107"/>
  <c r="AD62" i="107" s="1"/>
  <c r="AI91" i="107"/>
  <c r="E185" i="107"/>
  <c r="AC104" i="107"/>
  <c r="AD104" i="107" s="1"/>
  <c r="X107" i="107"/>
  <c r="W107" i="107"/>
  <c r="AD89" i="107"/>
  <c r="AC89" i="107"/>
  <c r="AC61" i="107"/>
  <c r="AD61" i="107" s="1"/>
  <c r="AD210" i="107"/>
  <c r="AC210" i="107"/>
  <c r="AC179" i="107"/>
  <c r="W77" i="107"/>
  <c r="X77" i="107"/>
  <c r="E119" i="107"/>
  <c r="E78" i="107"/>
  <c r="E223" i="107"/>
  <c r="E110" i="107"/>
  <c r="E79" i="107"/>
  <c r="AI185" i="107"/>
  <c r="W197" i="107"/>
  <c r="X197" i="107" s="1"/>
  <c r="W128" i="107"/>
  <c r="AI199" i="107"/>
  <c r="W106" i="107"/>
  <c r="X106" i="107" s="1"/>
  <c r="W86" i="107"/>
  <c r="X86" i="107" s="1"/>
  <c r="E139" i="107"/>
  <c r="W79" i="107"/>
  <c r="X79" i="107" s="1"/>
  <c r="AI77" i="107"/>
  <c r="J149" i="19"/>
  <c r="E188" i="107"/>
  <c r="AC159" i="107"/>
  <c r="AD159" i="107"/>
  <c r="AC58" i="107"/>
  <c r="AC51" i="107"/>
  <c r="AI208" i="107"/>
  <c r="X141" i="107"/>
  <c r="W141" i="107"/>
  <c r="AI211" i="107"/>
  <c r="E95" i="107"/>
  <c r="W168" i="107"/>
  <c r="X168" i="107"/>
  <c r="W154" i="107"/>
  <c r="X154" i="107" s="1"/>
  <c r="E193" i="107"/>
  <c r="W120" i="107"/>
  <c r="X120" i="107"/>
  <c r="AC79" i="107"/>
  <c r="AD79" i="107"/>
  <c r="AI45" i="107"/>
  <c r="AD131" i="107"/>
  <c r="AC131" i="107"/>
  <c r="W138" i="107"/>
  <c r="X138" i="107" s="1"/>
  <c r="X249" i="107"/>
  <c r="W249" i="107"/>
  <c r="E145" i="107"/>
  <c r="E140" i="107"/>
  <c r="AI192" i="107"/>
  <c r="E66" i="107"/>
  <c r="E109" i="107"/>
  <c r="E131" i="107"/>
  <c r="AD80" i="107"/>
  <c r="AC80" i="107"/>
  <c r="AI180" i="107"/>
  <c r="E62" i="107"/>
  <c r="AC130" i="107"/>
  <c r="W199" i="107"/>
  <c r="X199" i="107" s="1"/>
  <c r="E89" i="107"/>
  <c r="E108" i="107"/>
  <c r="E250" i="107"/>
  <c r="AI216" i="107"/>
  <c r="AI104" i="107"/>
  <c r="AI149" i="107"/>
  <c r="E198" i="107"/>
  <c r="AD141" i="107"/>
  <c r="AC141" i="107"/>
  <c r="AC150" i="107"/>
  <c r="AD150" i="107" s="1"/>
  <c r="W191" i="107"/>
  <c r="X191" i="107"/>
  <c r="E247" i="107"/>
  <c r="W250" i="107"/>
  <c r="X250" i="107" s="1"/>
  <c r="W208" i="107"/>
  <c r="W81" i="107"/>
  <c r="X81" i="107" s="1"/>
  <c r="E80" i="107"/>
  <c r="W207" i="107"/>
  <c r="X207" i="107"/>
  <c r="AC100" i="107"/>
  <c r="AD100" i="107"/>
  <c r="AI191" i="107"/>
  <c r="J120" i="19"/>
  <c r="AC106" i="107"/>
  <c r="AD106" i="107"/>
  <c r="AI200" i="107"/>
  <c r="AI168" i="107"/>
  <c r="AC49" i="107"/>
  <c r="AD49" i="107" s="1"/>
  <c r="AD67" i="107"/>
  <c r="AC67" i="107"/>
  <c r="E132" i="107"/>
  <c r="E58" i="107"/>
  <c r="AC163" i="107"/>
  <c r="AD163" i="107"/>
  <c r="E159" i="107"/>
  <c r="W104" i="107"/>
  <c r="X104" i="107"/>
  <c r="AC209" i="107"/>
  <c r="AD209" i="107"/>
  <c r="W84" i="107"/>
  <c r="X84" i="107"/>
  <c r="S131" i="112"/>
  <c r="E77" i="107"/>
  <c r="AI145" i="107"/>
  <c r="AD149" i="107"/>
  <c r="AC149" i="107"/>
  <c r="E161" i="107"/>
  <c r="J119" i="19"/>
  <c r="X167" i="107"/>
  <c r="W167" i="107"/>
  <c r="X211" i="107"/>
  <c r="W211" i="107"/>
  <c r="AI66" i="107"/>
  <c r="AD71" i="107"/>
  <c r="AC71" i="107"/>
  <c r="E56" i="107"/>
  <c r="AC180" i="107"/>
  <c r="AD180" i="107" s="1"/>
  <c r="AI58" i="107"/>
  <c r="AI97" i="107"/>
  <c r="AC250" i="107"/>
  <c r="E191" i="107"/>
  <c r="J117" i="19"/>
  <c r="E61" i="107"/>
  <c r="W56" i="107"/>
  <c r="X56" i="107"/>
  <c r="AI193" i="107"/>
  <c r="W198" i="107"/>
  <c r="X198" i="107" s="1"/>
  <c r="X209" i="107"/>
  <c r="W209" i="107"/>
  <c r="AI129" i="107"/>
  <c r="AI80" i="107"/>
  <c r="AC105" i="107"/>
  <c r="AD105" i="107" s="1"/>
  <c r="AI167" i="107"/>
  <c r="E70" i="107"/>
  <c r="AC145" i="107"/>
  <c r="AD145" i="107"/>
  <c r="J56" i="19"/>
  <c r="E129" i="107"/>
  <c r="AI161" i="107"/>
  <c r="E192" i="107"/>
  <c r="E43" i="107"/>
  <c r="W193" i="107"/>
  <c r="X193" i="107" s="1"/>
  <c r="W139" i="107"/>
  <c r="X139" i="107" s="1"/>
  <c r="AC198" i="107"/>
  <c r="E150" i="107"/>
  <c r="AI153" i="107"/>
  <c r="AI95" i="107"/>
  <c r="E131" i="112"/>
  <c r="AI160" i="107"/>
  <c r="AC185" i="107"/>
  <c r="E57" i="107"/>
  <c r="E96" i="107"/>
  <c r="E120" i="107"/>
  <c r="AI138" i="107"/>
  <c r="AI133" i="107"/>
  <c r="X131" i="107"/>
  <c r="W131" i="107"/>
  <c r="E225" i="107"/>
  <c r="E248" i="107"/>
  <c r="AC197" i="107"/>
  <c r="AI135" i="107"/>
  <c r="AI46" i="107"/>
  <c r="AI169" i="107"/>
  <c r="AI246" i="107"/>
  <c r="AC120" i="107"/>
  <c r="AD120" i="107"/>
  <c r="W119" i="107"/>
  <c r="W184" i="107"/>
  <c r="X184" i="107" s="1"/>
  <c r="W71" i="107"/>
  <c r="X71" i="107" s="1"/>
  <c r="W46" i="107"/>
  <c r="X46" i="107"/>
  <c r="E130" i="107"/>
  <c r="E222" i="107"/>
  <c r="W50" i="107"/>
  <c r="AC247" i="107"/>
  <c r="AD247" i="107"/>
  <c r="W52" i="107"/>
  <c r="X52" i="107"/>
  <c r="AD208" i="107"/>
  <c r="AC208" i="107"/>
  <c r="AD85" i="107"/>
  <c r="AC85" i="107"/>
  <c r="AI86" i="107"/>
  <c r="E153" i="107"/>
  <c r="AI130" i="107"/>
  <c r="J145" i="19"/>
  <c r="E51" i="107"/>
  <c r="AI209" i="107"/>
  <c r="AI71" i="107"/>
  <c r="E44" i="107"/>
  <c r="AD153" i="107"/>
  <c r="AC153" i="107"/>
  <c r="AI140" i="107"/>
  <c r="E224" i="107"/>
  <c r="E190" i="107"/>
  <c r="AC138" i="107"/>
  <c r="AD138" i="107" s="1"/>
  <c r="AD191" i="107"/>
  <c r="AC191" i="107"/>
  <c r="W146" i="107"/>
  <c r="X146" i="107" s="1"/>
  <c r="W97" i="107"/>
  <c r="X97" i="107"/>
  <c r="AC207" i="107"/>
  <c r="AD207" i="107"/>
  <c r="AD72" i="107"/>
  <c r="AC72" i="107"/>
  <c r="J57" i="19"/>
  <c r="AI52" i="107"/>
  <c r="W145" i="107"/>
  <c r="X145" i="107" s="1"/>
  <c r="W63" i="107"/>
  <c r="X63" i="107" s="1"/>
  <c r="E45" i="107"/>
  <c r="AI154" i="107"/>
  <c r="AC109" i="107"/>
  <c r="AD109" i="107" s="1"/>
  <c r="E211" i="107"/>
  <c r="AI159" i="107"/>
  <c r="E81" i="107"/>
  <c r="W200" i="107"/>
  <c r="X200" i="107"/>
  <c r="AC184" i="107"/>
  <c r="AD184" i="107"/>
  <c r="AC169" i="107"/>
  <c r="AD169" i="107"/>
  <c r="E84" i="107"/>
  <c r="AC84" i="107"/>
  <c r="AD84" i="107"/>
  <c r="E208" i="107"/>
  <c r="E170" i="107"/>
  <c r="AI100" i="107"/>
  <c r="AC50" i="107"/>
  <c r="AD50" i="107" s="1"/>
  <c r="AC168" i="107"/>
  <c r="AD168" i="107"/>
  <c r="X85" i="107"/>
  <c r="W85" i="107"/>
  <c r="E160" i="107"/>
  <c r="AC63" i="107"/>
  <c r="AD63" i="107" s="1"/>
  <c r="W149" i="107"/>
  <c r="X149" i="107" s="1"/>
  <c r="E100" i="107"/>
  <c r="AC248" i="107"/>
  <c r="AD248" i="107"/>
  <c r="AI207" i="107"/>
  <c r="AI190" i="107"/>
  <c r="AI90" i="107"/>
  <c r="E90" i="107"/>
  <c r="W216" i="107"/>
  <c r="X216" i="107"/>
  <c r="X76" i="107"/>
  <c r="W76" i="107"/>
  <c r="W105" i="107"/>
  <c r="X105" i="107"/>
  <c r="AC78" i="107"/>
  <c r="AD78" i="107" s="1"/>
  <c r="W108" i="107"/>
  <c r="X108" i="107" s="1"/>
  <c r="AI120" i="107"/>
  <c r="W72" i="107"/>
  <c r="X72" i="107"/>
  <c r="W90" i="107"/>
  <c r="X90" i="107"/>
  <c r="AI158" i="107"/>
  <c r="AC90" i="107"/>
  <c r="AD90" i="107" s="1"/>
  <c r="AI78" i="107"/>
  <c r="AI70" i="107"/>
  <c r="E179" i="107"/>
  <c r="W246" i="107"/>
  <c r="X246" i="107" s="1"/>
  <c r="AC146" i="107"/>
  <c r="AI107" i="107"/>
  <c r="X62" i="107"/>
  <c r="W62" i="107"/>
  <c r="E178" i="107"/>
  <c r="W189" i="107"/>
  <c r="W161" i="107"/>
  <c r="X161" i="107" s="1"/>
  <c r="AC154" i="107"/>
  <c r="AD154" i="107"/>
  <c r="E227" i="107"/>
  <c r="AI132" i="107"/>
  <c r="W101" i="107"/>
  <c r="X101" i="107" s="1"/>
  <c r="AC43" i="107"/>
  <c r="AI106" i="107"/>
  <c r="AC128" i="107"/>
  <c r="E154" i="107"/>
  <c r="AC170" i="107"/>
  <c r="AD170" i="107" s="1"/>
  <c r="AC101" i="107"/>
  <c r="AD101" i="107" s="1"/>
  <c r="AI110" i="107"/>
  <c r="E249" i="107"/>
  <c r="AC246" i="107"/>
  <c r="AD246" i="107"/>
  <c r="AI101" i="107"/>
  <c r="AI146" i="107"/>
  <c r="J55" i="19"/>
  <c r="E72" i="107"/>
  <c r="AC76" i="107"/>
  <c r="AD76" i="107" s="1"/>
  <c r="AI62" i="107"/>
  <c r="X96" i="107"/>
  <c r="W96" i="107"/>
  <c r="E149" i="107"/>
  <c r="AC139" i="107"/>
  <c r="AD139" i="107" s="1"/>
  <c r="AI105" i="107"/>
  <c r="W80" i="107"/>
  <c r="X80" i="107"/>
  <c r="W170" i="107"/>
  <c r="X170" i="107" s="1"/>
  <c r="X89" i="107"/>
  <c r="W89" i="107"/>
  <c r="E104" i="107"/>
  <c r="AI141" i="107"/>
  <c r="W70" i="107"/>
  <c r="X70" i="107" s="1"/>
  <c r="X67" i="107"/>
  <c r="W67" i="107"/>
  <c r="E146" i="107"/>
  <c r="E141" i="107"/>
  <c r="AI79" i="107"/>
  <c r="AC192" i="107"/>
  <c r="X163" i="107"/>
  <c r="W163" i="107"/>
  <c r="E167" i="107"/>
  <c r="AI131" i="107"/>
  <c r="AC216" i="107"/>
  <c r="AD216" i="107" s="1"/>
  <c r="AI210" i="107"/>
  <c r="AI96" i="107"/>
  <c r="E97" i="107"/>
  <c r="AI49" i="107"/>
  <c r="AC77" i="107"/>
  <c r="AD77" i="107" s="1"/>
  <c r="W91" i="107"/>
  <c r="X91" i="107"/>
  <c r="E101" i="107"/>
  <c r="AC66" i="107"/>
  <c r="AD66" i="107"/>
  <c r="X57" i="107"/>
  <c r="W57" i="107"/>
  <c r="E46" i="107"/>
  <c r="E257" i="107"/>
  <c r="W132" i="107"/>
  <c r="X132" i="107" s="1"/>
  <c r="AI198" i="107"/>
  <c r="W188" i="107"/>
  <c r="X188" i="107" s="1"/>
  <c r="AI57" i="107"/>
  <c r="E184" i="107"/>
  <c r="AC190" i="107"/>
  <c r="AD190" i="107" s="1"/>
  <c r="E86" i="107"/>
  <c r="AI61" i="107"/>
  <c r="AD160" i="107"/>
  <c r="AC160" i="107"/>
  <c r="W150" i="107"/>
  <c r="X150" i="107" s="1"/>
  <c r="W192" i="107"/>
  <c r="X192" i="107"/>
  <c r="E52" i="107"/>
  <c r="W61" i="107"/>
  <c r="X61" i="107" s="1"/>
  <c r="E107" i="107"/>
  <c r="X210" i="107"/>
  <c r="W210" i="107"/>
  <c r="E76" i="107"/>
  <c r="J60" i="19"/>
  <c r="AC249" i="107"/>
  <c r="AI131" i="112"/>
  <c r="E256" i="107"/>
  <c r="AC167" i="107"/>
  <c r="AD167" i="107" s="1"/>
  <c r="AI109" i="107"/>
  <c r="E85" i="107"/>
  <c r="E105" i="107"/>
  <c r="W140" i="107"/>
  <c r="X140" i="107" s="1"/>
  <c r="W247" i="107"/>
  <c r="E207" i="107"/>
  <c r="AI139" i="107"/>
  <c r="J88" i="19"/>
  <c r="J91" i="19"/>
  <c r="J89" i="19"/>
  <c r="J86" i="19"/>
  <c r="J90" i="19"/>
  <c r="J85" i="19"/>
  <c r="J87" i="19"/>
  <c r="J122" i="19"/>
  <c r="F61" i="19"/>
  <c r="Y61" i="19" s="1"/>
  <c r="J121" i="19"/>
  <c r="R63" i="19"/>
  <c r="R94" i="19"/>
  <c r="R125" i="19"/>
  <c r="R156" i="19"/>
  <c r="J19" i="118"/>
  <c r="E37" i="29"/>
  <c r="O8" i="29" s="1"/>
  <c r="F37" i="29"/>
  <c r="O9" i="29" s="1"/>
  <c r="G37" i="29"/>
  <c r="O10" i="29" s="1"/>
  <c r="C37" i="29"/>
  <c r="O6" i="29" s="1"/>
  <c r="D37" i="29"/>
  <c r="O7" i="29" s="1"/>
  <c r="T150" i="19"/>
  <c r="AN184" i="109"/>
  <c r="S123" i="19"/>
  <c r="S63" i="19"/>
  <c r="T147" i="19"/>
  <c r="AN185" i="109"/>
  <c r="T148" i="19"/>
  <c r="S92" i="19"/>
  <c r="T151" i="19"/>
  <c r="T153" i="19"/>
  <c r="J151" i="19" l="1"/>
  <c r="J148" i="19"/>
  <c r="E185" i="109"/>
  <c r="J147" i="19"/>
  <c r="E184" i="109"/>
  <c r="J150" i="19"/>
  <c r="F92" i="19"/>
  <c r="Y92" i="19" s="1"/>
  <c r="J153" i="19"/>
  <c r="F123" i="19"/>
  <c r="Y123" i="19" s="1"/>
  <c r="F62" i="19"/>
  <c r="Y62" i="19" s="1"/>
  <c r="R64" i="19"/>
  <c r="R65" i="19" s="1"/>
  <c r="R66" i="19" s="1"/>
  <c r="R67" i="19" s="1"/>
  <c r="R95" i="19"/>
  <c r="R96" i="19" s="1"/>
  <c r="R97" i="19" s="1"/>
  <c r="R98" i="19" s="1"/>
  <c r="R126" i="19"/>
  <c r="R127" i="19" s="1"/>
  <c r="R128" i="19" s="1"/>
  <c r="R129" i="19" s="1"/>
  <c r="R157" i="19"/>
  <c r="R158" i="19" s="1"/>
  <c r="R159" i="19" s="1"/>
  <c r="R160" i="19" s="1"/>
  <c r="AP203" i="29"/>
  <c r="K1034" i="29"/>
  <c r="J1034" i="29"/>
  <c r="I1034" i="29"/>
  <c r="G1034" i="29"/>
  <c r="K861" i="29"/>
  <c r="J861" i="29"/>
  <c r="I861" i="29"/>
  <c r="G861" i="29"/>
  <c r="K687" i="29"/>
  <c r="J687" i="29"/>
  <c r="I687" i="29"/>
  <c r="G687" i="29"/>
  <c r="K511" i="29"/>
  <c r="J511" i="29"/>
  <c r="I511" i="29"/>
  <c r="G511" i="29"/>
  <c r="G337" i="29"/>
  <c r="I337" i="29"/>
  <c r="J337" i="29"/>
  <c r="K337" i="29"/>
  <c r="BN1002" i="29"/>
  <c r="BL1002" i="29"/>
  <c r="BN1001" i="29"/>
  <c r="BL1001" i="29"/>
  <c r="BL1000" i="29"/>
  <c r="BL991" i="29"/>
  <c r="BN829" i="29"/>
  <c r="BL829" i="29"/>
  <c r="BN828" i="29"/>
  <c r="BL828" i="29"/>
  <c r="BL827" i="29"/>
  <c r="BL818" i="29"/>
  <c r="BN305" i="29"/>
  <c r="BL305" i="29"/>
  <c r="BN304" i="29"/>
  <c r="BL304" i="29"/>
  <c r="BL303" i="29"/>
  <c r="BL294" i="29"/>
  <c r="BN479" i="29"/>
  <c r="BL479" i="29"/>
  <c r="BN478" i="29"/>
  <c r="BL478" i="29"/>
  <c r="BL477" i="29"/>
  <c r="BL468" i="29"/>
  <c r="AN184" i="112"/>
  <c r="AN185" i="112"/>
  <c r="S93" i="19"/>
  <c r="E185" i="112" l="1"/>
  <c r="E184" i="112"/>
  <c r="F93" i="19"/>
  <c r="Y93" i="19" s="1"/>
  <c r="F63" i="19"/>
  <c r="Y63" i="19" s="1"/>
  <c r="R68" i="19"/>
  <c r="R99" i="19"/>
  <c r="R130" i="19"/>
  <c r="R161" i="19"/>
  <c r="BN655" i="29"/>
  <c r="BL655" i="29"/>
  <c r="BN654" i="29"/>
  <c r="BL654" i="29"/>
  <c r="BL653" i="29"/>
  <c r="BL644" i="29"/>
  <c r="AN185" i="113"/>
  <c r="S94" i="19"/>
  <c r="AN184" i="113"/>
  <c r="E184" i="113" l="1"/>
  <c r="E185" i="113"/>
  <c r="F94" i="19"/>
  <c r="Y94" i="19" s="1"/>
  <c r="C41" i="59"/>
  <c r="C40" i="59"/>
  <c r="AK51" i="29"/>
  <c r="AJ53" i="29" s="1"/>
  <c r="W53" i="29"/>
  <c r="X53" i="29"/>
  <c r="Y53" i="29"/>
  <c r="Z53" i="29"/>
  <c r="AA53" i="29"/>
  <c r="AB53" i="29"/>
  <c r="AC53" i="29"/>
  <c r="AE53" i="29"/>
  <c r="AJ54" i="29" l="1"/>
  <c r="AI60" i="29"/>
  <c r="BP67" i="29"/>
  <c r="BR61" i="29"/>
  <c r="AI69" i="29"/>
  <c r="BP58" i="29"/>
  <c r="BK67" i="29"/>
  <c r="BQ58" i="29"/>
  <c r="BQ67" i="29"/>
  <c r="BK61" i="29"/>
  <c r="AJ61" i="29"/>
  <c r="AM70" i="29" l="1"/>
  <c r="AL70" i="29"/>
  <c r="AI54" i="29"/>
  <c r="AM67" i="29"/>
  <c r="BM58" i="29"/>
  <c r="BL61" i="29"/>
  <c r="BO64" i="29"/>
  <c r="AI58" i="29"/>
  <c r="AI70" i="29"/>
  <c r="BL64" i="29"/>
  <c r="AI61" i="29"/>
  <c r="BQ61" i="29"/>
  <c r="AM58" i="29"/>
  <c r="BO70" i="29"/>
  <c r="BQ70" i="29"/>
  <c r="AJ64" i="29"/>
  <c r="AK61" i="29"/>
  <c r="AJ58" i="29"/>
  <c r="BP64" i="29"/>
  <c r="AI67" i="29"/>
  <c r="AM64" i="29"/>
  <c r="BM70" i="29"/>
  <c r="BO67" i="29"/>
  <c r="BL70" i="29"/>
  <c r="AI63" i="29"/>
  <c r="BL58" i="29"/>
  <c r="AI57" i="29"/>
  <c r="BK58" i="29"/>
  <c r="BO61" i="29"/>
  <c r="AL67" i="29"/>
  <c r="BN70" i="29"/>
  <c r="AJ67" i="29"/>
  <c r="AL61" i="29"/>
  <c r="BN64" i="29"/>
  <c r="AK67" i="29"/>
  <c r="BN67" i="29"/>
  <c r="AK58" i="29"/>
  <c r="BK64" i="29"/>
  <c r="AK70" i="29"/>
  <c r="BR67" i="29"/>
  <c r="AM61" i="29"/>
  <c r="BP70" i="29"/>
  <c r="BM64" i="29"/>
  <c r="AJ70" i="29"/>
  <c r="AI64" i="29"/>
  <c r="BO58" i="29"/>
  <c r="AK64" i="29"/>
  <c r="BM67" i="29"/>
  <c r="BR70" i="29"/>
  <c r="AL58" i="29"/>
  <c r="BM61" i="29"/>
  <c r="BR64" i="29"/>
  <c r="BN61" i="29"/>
  <c r="BQ64" i="29"/>
  <c r="AI66" i="29"/>
  <c r="BR58" i="29"/>
  <c r="AL64" i="29"/>
  <c r="BL67" i="29"/>
  <c r="BN58" i="29"/>
  <c r="BK70" i="29"/>
  <c r="BP61" i="29"/>
  <c r="C11" i="29" l="1"/>
  <c r="C8" i="29"/>
  <c r="B174" i="29" s="1"/>
  <c r="D8" i="29"/>
  <c r="B348" i="29" s="1"/>
  <c r="E8" i="29"/>
  <c r="B524" i="29" s="1"/>
  <c r="AJ55" i="29" l="1"/>
  <c r="BQ55" i="29"/>
  <c r="BR55" i="29"/>
  <c r="AI55" i="29"/>
  <c r="G8" i="29" l="1"/>
  <c r="B871" i="29" s="1"/>
  <c r="Q53" i="29" l="1"/>
  <c r="BO55" i="29" s="1"/>
  <c r="I8" i="114" l="1"/>
  <c r="H8" i="114"/>
  <c r="I7" i="114"/>
  <c r="H7" i="114"/>
  <c r="I6" i="114"/>
  <c r="H6" i="114"/>
  <c r="I5" i="114"/>
  <c r="H5" i="114"/>
  <c r="I4" i="114"/>
  <c r="H4" i="114"/>
  <c r="I8" i="111"/>
  <c r="H8" i="111"/>
  <c r="I7" i="111"/>
  <c r="H7" i="111"/>
  <c r="I6" i="111"/>
  <c r="H6" i="111"/>
  <c r="I5" i="111"/>
  <c r="H5" i="111"/>
  <c r="I4" i="111"/>
  <c r="H4" i="111"/>
  <c r="I8" i="110"/>
  <c r="H8" i="110"/>
  <c r="I7" i="110"/>
  <c r="H7" i="110"/>
  <c r="I6" i="110"/>
  <c r="H6" i="110"/>
  <c r="I5" i="110"/>
  <c r="H5" i="110"/>
  <c r="I4" i="110"/>
  <c r="H4" i="110"/>
  <c r="I8" i="108"/>
  <c r="H8" i="108"/>
  <c r="I7" i="108"/>
  <c r="H7" i="108"/>
  <c r="I6" i="108"/>
  <c r="H6" i="108"/>
  <c r="I5" i="108"/>
  <c r="H5" i="108"/>
  <c r="I4" i="108"/>
  <c r="H4" i="108"/>
  <c r="M962" i="29"/>
  <c r="BL962" i="29" s="1"/>
  <c r="M961" i="29"/>
  <c r="BL961" i="29" s="1"/>
  <c r="M439" i="29"/>
  <c r="BL439" i="29" s="1"/>
  <c r="M438" i="29"/>
  <c r="BL438" i="29" s="1"/>
  <c r="I961" i="29"/>
  <c r="M265" i="29"/>
  <c r="BL265" i="29" s="1"/>
  <c r="M264" i="29"/>
  <c r="BL264" i="29" s="1"/>
  <c r="S159" i="93"/>
  <c r="S160" i="93"/>
  <c r="S161" i="93"/>
  <c r="J53" i="29"/>
  <c r="AK55" i="29" s="1"/>
  <c r="O106" i="29"/>
  <c r="N141" i="29"/>
  <c r="N142" i="29"/>
  <c r="N143" i="29"/>
  <c r="N144" i="29"/>
  <c r="N145" i="29"/>
  <c r="N146" i="29"/>
  <c r="N147" i="29"/>
  <c r="N140" i="29"/>
  <c r="M141" i="29"/>
  <c r="M142" i="29"/>
  <c r="M143" i="29"/>
  <c r="M144" i="29"/>
  <c r="M145" i="29"/>
  <c r="M146" i="29"/>
  <c r="M147" i="29"/>
  <c r="M140" i="29"/>
  <c r="E85" i="114"/>
  <c r="G84" i="114"/>
  <c r="E85" i="111"/>
  <c r="G84" i="111"/>
  <c r="E85" i="110"/>
  <c r="G84" i="110"/>
  <c r="E85" i="108"/>
  <c r="G84" i="108"/>
  <c r="G84" i="30"/>
  <c r="H84" i="30"/>
  <c r="H85" i="30" s="1"/>
  <c r="L1013" i="29"/>
  <c r="L1014" i="29"/>
  <c r="L1015" i="29"/>
  <c r="L1016" i="29"/>
  <c r="L1017" i="29"/>
  <c r="L1018" i="29"/>
  <c r="L1019" i="29"/>
  <c r="L1020" i="29"/>
  <c r="L1021" i="29"/>
  <c r="L1007" i="29"/>
  <c r="L1009" i="29"/>
  <c r="L840" i="29"/>
  <c r="L841" i="29"/>
  <c r="L842" i="29"/>
  <c r="L843" i="29"/>
  <c r="L844" i="29"/>
  <c r="L845" i="29"/>
  <c r="L846" i="29"/>
  <c r="L847" i="29"/>
  <c r="L848" i="29"/>
  <c r="L849" i="29"/>
  <c r="L839" i="29"/>
  <c r="L834" i="29"/>
  <c r="L836" i="29"/>
  <c r="L837" i="29"/>
  <c r="L666" i="29"/>
  <c r="L667" i="29"/>
  <c r="L668" i="29"/>
  <c r="L669" i="29"/>
  <c r="L670" i="29"/>
  <c r="L671" i="29"/>
  <c r="L672" i="29"/>
  <c r="L673" i="29"/>
  <c r="L674" i="29"/>
  <c r="L675" i="29"/>
  <c r="L676" i="29"/>
  <c r="L677" i="29"/>
  <c r="L665" i="29"/>
  <c r="L663" i="29"/>
  <c r="L660" i="29"/>
  <c r="L662" i="29"/>
  <c r="L490" i="29"/>
  <c r="L491" i="29"/>
  <c r="L492" i="29"/>
  <c r="L493" i="29"/>
  <c r="L494" i="29"/>
  <c r="L495" i="29"/>
  <c r="L496" i="29"/>
  <c r="L497" i="29"/>
  <c r="L498" i="29"/>
  <c r="L499" i="29"/>
  <c r="L500" i="29"/>
  <c r="L501" i="29"/>
  <c r="L489" i="29"/>
  <c r="L487" i="29"/>
  <c r="L484" i="29"/>
  <c r="L486" i="29"/>
  <c r="AF106" i="29"/>
  <c r="AB106" i="29"/>
  <c r="X106" i="29"/>
  <c r="T106" i="29"/>
  <c r="X107" i="29"/>
  <c r="AO160" i="107"/>
  <c r="AO161" i="107"/>
  <c r="AO159" i="107"/>
  <c r="S159" i="107" l="1"/>
  <c r="O438" i="29" s="1"/>
  <c r="BN438" i="29" s="1"/>
  <c r="S161" i="107"/>
  <c r="S160" i="107"/>
  <c r="O439" i="29" s="1"/>
  <c r="BN439" i="29" s="1"/>
  <c r="X159" i="93"/>
  <c r="X160" i="93"/>
  <c r="F265" i="29" s="1"/>
  <c r="Q106" i="29"/>
  <c r="K84" i="30"/>
  <c r="F264" i="29"/>
  <c r="H961" i="29"/>
  <c r="O962" i="29"/>
  <c r="BN962" i="29" s="1"/>
  <c r="O961" i="29"/>
  <c r="BN961" i="29" s="1"/>
  <c r="O265" i="29"/>
  <c r="BN265" i="29" s="1"/>
  <c r="U439" i="29"/>
  <c r="AD160" i="93"/>
  <c r="AE160" i="93"/>
  <c r="Y160" i="93"/>
  <c r="AD159" i="93"/>
  <c r="O264" i="29"/>
  <c r="BN264" i="29" s="1"/>
  <c r="Y159" i="93"/>
  <c r="AE159" i="93"/>
  <c r="G274" i="115"/>
  <c r="D266" i="115"/>
  <c r="Y8" i="115" s="1"/>
  <c r="D203" i="115"/>
  <c r="Y7" i="115" s="1"/>
  <c r="D140" i="115"/>
  <c r="Y6" i="115" s="1"/>
  <c r="D77" i="115"/>
  <c r="Y5" i="115" s="1"/>
  <c r="M54" i="100"/>
  <c r="M56" i="100"/>
  <c r="O56" i="100"/>
  <c r="O54" i="100"/>
  <c r="O52" i="100"/>
  <c r="V10" i="115"/>
  <c r="T10" i="115"/>
  <c r="R10" i="115"/>
  <c r="V8" i="115"/>
  <c r="T8" i="115"/>
  <c r="R8" i="115"/>
  <c r="V7" i="115"/>
  <c r="T7" i="115"/>
  <c r="R7" i="115"/>
  <c r="V6" i="115"/>
  <c r="T6" i="115"/>
  <c r="R6" i="115"/>
  <c r="V5" i="115"/>
  <c r="W272" i="115" s="1"/>
  <c r="T5" i="115"/>
  <c r="V272" i="115" s="1"/>
  <c r="R5" i="115"/>
  <c r="U272" i="115" s="1"/>
  <c r="H439" i="29" l="1"/>
  <c r="H438" i="29"/>
  <c r="I265" i="29"/>
  <c r="H265" i="29"/>
  <c r="H264" i="29"/>
  <c r="I264" i="29"/>
  <c r="F439" i="29"/>
  <c r="F438" i="29"/>
  <c r="G265" i="29"/>
  <c r="G264" i="29"/>
  <c r="U83" i="115"/>
  <c r="U146" i="115"/>
  <c r="U209" i="115"/>
  <c r="V83" i="115"/>
  <c r="V146" i="115"/>
  <c r="V209" i="115"/>
  <c r="W83" i="115"/>
  <c r="W146" i="115"/>
  <c r="W209" i="115"/>
  <c r="U438" i="29"/>
  <c r="R322" i="115" l="1"/>
  <c r="R196" i="115"/>
  <c r="R133" i="115"/>
  <c r="R323" i="115" l="1"/>
  <c r="S322" i="115"/>
  <c r="U322" i="115"/>
  <c r="R259" i="115"/>
  <c r="R197" i="115"/>
  <c r="S196" i="115"/>
  <c r="U196" i="115"/>
  <c r="R134" i="115"/>
  <c r="S133" i="115"/>
  <c r="U133" i="115"/>
  <c r="T322" i="115" l="1"/>
  <c r="W322" i="115" s="1"/>
  <c r="X322" i="115" s="1"/>
  <c r="Y322" i="115" s="1"/>
  <c r="Z322" i="115" s="1"/>
  <c r="V322" i="115"/>
  <c r="S323" i="115"/>
  <c r="U323" i="115"/>
  <c r="S259" i="115"/>
  <c r="U259" i="115"/>
  <c r="R260" i="115"/>
  <c r="T196" i="115"/>
  <c r="W196" i="115" s="1"/>
  <c r="X196" i="115" s="1"/>
  <c r="Y196" i="115" s="1"/>
  <c r="Z196" i="115" s="1"/>
  <c r="V196" i="115"/>
  <c r="S197" i="115"/>
  <c r="U197" i="115"/>
  <c r="S134" i="115"/>
  <c r="U134" i="115"/>
  <c r="V133" i="115"/>
  <c r="T133" i="115"/>
  <c r="W133" i="115" s="1"/>
  <c r="X133" i="115" s="1"/>
  <c r="Y133" i="115" s="1"/>
  <c r="Z133" i="115" s="1"/>
  <c r="AA322" i="115" l="1"/>
  <c r="AA196" i="115"/>
  <c r="AA133" i="115"/>
  <c r="T323" i="115"/>
  <c r="W323" i="115" s="1"/>
  <c r="X323" i="115" s="1"/>
  <c r="Y323" i="115" s="1"/>
  <c r="Z323" i="115" s="1"/>
  <c r="V323" i="115"/>
  <c r="S260" i="115"/>
  <c r="U260" i="115"/>
  <c r="V259" i="115"/>
  <c r="T259" i="115"/>
  <c r="W259" i="115" s="1"/>
  <c r="X259" i="115" s="1"/>
  <c r="Y259" i="115" s="1"/>
  <c r="Z259" i="115" s="1"/>
  <c r="T197" i="115"/>
  <c r="W197" i="115" s="1"/>
  <c r="X197" i="115" s="1"/>
  <c r="Y197" i="115" s="1"/>
  <c r="Z197" i="115" s="1"/>
  <c r="V197" i="115"/>
  <c r="V134" i="115"/>
  <c r="T134" i="115"/>
  <c r="W134" i="115" s="1"/>
  <c r="X134" i="115" s="1"/>
  <c r="Y134" i="115" s="1"/>
  <c r="Z134" i="115" s="1"/>
  <c r="AA197" i="115" l="1"/>
  <c r="AA134" i="115"/>
  <c r="AA259" i="115"/>
  <c r="AA323" i="115"/>
  <c r="V260" i="115"/>
  <c r="T260" i="115"/>
  <c r="W260" i="115" s="1"/>
  <c r="X260" i="115" s="1"/>
  <c r="Y260" i="115" s="1"/>
  <c r="Z260" i="115" s="1"/>
  <c r="AA260" i="115" l="1"/>
  <c r="E56" i="100"/>
  <c r="E54" i="100"/>
  <c r="E52" i="100"/>
  <c r="G52" i="100"/>
  <c r="I52" i="100"/>
  <c r="M52" i="100"/>
  <c r="G54" i="100"/>
  <c r="I54" i="100"/>
  <c r="G56" i="100"/>
  <c r="I56" i="100"/>
  <c r="E36" i="100"/>
  <c r="G23" i="115"/>
  <c r="G22" i="115"/>
  <c r="G7" i="115" l="1"/>
  <c r="G6" i="115"/>
  <c r="R24" i="100"/>
  <c r="R25" i="100"/>
  <c r="R26" i="100"/>
  <c r="R27" i="100"/>
  <c r="R23" i="100"/>
  <c r="AD272" i="115" l="1"/>
  <c r="AD146" i="115"/>
  <c r="AD20" i="115"/>
  <c r="AD209" i="115"/>
  <c r="AD83" i="115"/>
  <c r="AF92" i="29"/>
  <c r="AB92" i="29"/>
  <c r="R37" i="100"/>
  <c r="R38" i="100"/>
  <c r="R39" i="100"/>
  <c r="R40" i="100"/>
  <c r="R41" i="100"/>
  <c r="R42" i="100"/>
  <c r="R43" i="100"/>
  <c r="R36" i="100"/>
  <c r="N37" i="100"/>
  <c r="N38" i="100"/>
  <c r="N39" i="100"/>
  <c r="N40" i="100"/>
  <c r="N41" i="100"/>
  <c r="N42" i="100"/>
  <c r="N43" i="100"/>
  <c r="N36" i="100"/>
  <c r="C8" i="116" l="1"/>
  <c r="C3" i="116" s="1"/>
  <c r="C9" i="116"/>
  <c r="D3" i="116" s="1"/>
  <c r="C10" i="116"/>
  <c r="E3" i="116" s="1"/>
  <c r="C11" i="116"/>
  <c r="F3" i="116" s="1"/>
  <c r="C12" i="116"/>
  <c r="G3" i="116" s="1"/>
  <c r="C13" i="116"/>
  <c r="H3" i="116" s="1"/>
  <c r="C14" i="116"/>
  <c r="C7" i="116"/>
  <c r="B3" i="116" s="1"/>
  <c r="D160" i="29"/>
  <c r="D161" i="29"/>
  <c r="D162" i="29"/>
  <c r="D163" i="29"/>
  <c r="D164" i="29"/>
  <c r="D165" i="29"/>
  <c r="D166" i="29"/>
  <c r="D159" i="29"/>
  <c r="L37" i="100"/>
  <c r="L38" i="100"/>
  <c r="L39" i="100"/>
  <c r="L40" i="100"/>
  <c r="L41" i="100"/>
  <c r="L42" i="100"/>
  <c r="L43" i="100"/>
  <c r="L36" i="100"/>
  <c r="J37" i="100"/>
  <c r="J38" i="100"/>
  <c r="J39" i="100"/>
  <c r="J40" i="100"/>
  <c r="J41" i="100"/>
  <c r="J42" i="100"/>
  <c r="J43" i="100"/>
  <c r="J36" i="100"/>
  <c r="J161" i="19" l="1"/>
  <c r="G275" i="115" s="1"/>
  <c r="AE106" i="29"/>
  <c r="I3" i="116"/>
  <c r="AM657" i="29" s="1"/>
  <c r="F15" i="19"/>
  <c r="L309" i="29" s="1"/>
  <c r="F17" i="19"/>
  <c r="Y17" i="19" s="1"/>
  <c r="AL1004" i="29"/>
  <c r="AL831" i="29"/>
  <c r="AL657" i="29"/>
  <c r="AL481" i="29"/>
  <c r="AL307" i="29"/>
  <c r="AH1004" i="29"/>
  <c r="AH831" i="29"/>
  <c r="AH657" i="29"/>
  <c r="AH481" i="29"/>
  <c r="AH307" i="29"/>
  <c r="AI1004" i="29"/>
  <c r="AI831" i="29"/>
  <c r="AI657" i="29"/>
  <c r="AI481" i="29"/>
  <c r="AI307" i="29"/>
  <c r="AK1004" i="29"/>
  <c r="AK831" i="29"/>
  <c r="AK657" i="29"/>
  <c r="AK481" i="29"/>
  <c r="AK307" i="29"/>
  <c r="AG1004" i="29"/>
  <c r="AG831" i="29"/>
  <c r="AG657" i="29"/>
  <c r="AG481" i="29"/>
  <c r="AG307" i="29"/>
  <c r="AF1004" i="29"/>
  <c r="AF831" i="29"/>
  <c r="AF657" i="29"/>
  <c r="AF481" i="29"/>
  <c r="AF307" i="29"/>
  <c r="AJ1004" i="29"/>
  <c r="AJ831" i="29"/>
  <c r="AJ657" i="29"/>
  <c r="AJ481" i="29"/>
  <c r="AJ307" i="29"/>
  <c r="L316" i="29"/>
  <c r="L317" i="29"/>
  <c r="L318" i="29"/>
  <c r="L319" i="29"/>
  <c r="L320" i="29"/>
  <c r="L321" i="29"/>
  <c r="L322" i="29"/>
  <c r="L323" i="29"/>
  <c r="L324" i="29"/>
  <c r="L325" i="29"/>
  <c r="L326" i="29"/>
  <c r="L327" i="29"/>
  <c r="L315" i="29"/>
  <c r="L310" i="29"/>
  <c r="L312" i="29"/>
  <c r="L313" i="29"/>
  <c r="G160" i="29"/>
  <c r="G161" i="29"/>
  <c r="G162" i="29"/>
  <c r="G163" i="29"/>
  <c r="G164" i="29"/>
  <c r="G165" i="29"/>
  <c r="G166" i="29"/>
  <c r="G159" i="29"/>
  <c r="H84" i="114" l="1"/>
  <c r="K84" i="114" s="1"/>
  <c r="H85" i="114"/>
  <c r="AG106" i="29"/>
  <c r="BZ82" i="29"/>
  <c r="AM307" i="29"/>
  <c r="BG899" i="29" s="1"/>
  <c r="L311" i="29"/>
  <c r="AM831" i="29"/>
  <c r="C74" i="29"/>
  <c r="Y15" i="19"/>
  <c r="AM481" i="29"/>
  <c r="AM1004" i="29"/>
  <c r="BC376" i="29"/>
  <c r="BC899" i="29"/>
  <c r="BC202" i="29"/>
  <c r="BC552" i="29"/>
  <c r="BC726" i="29"/>
  <c r="AZ552" i="29"/>
  <c r="AZ202" i="29"/>
  <c r="AZ726" i="29"/>
  <c r="AZ376" i="29"/>
  <c r="AZ899" i="29"/>
  <c r="BB202" i="29"/>
  <c r="BB726" i="29"/>
  <c r="BB552" i="29"/>
  <c r="BB899" i="29"/>
  <c r="BB376" i="29"/>
  <c r="BA899" i="29"/>
  <c r="BA552" i="29"/>
  <c r="BA202" i="29"/>
  <c r="BA726" i="29"/>
  <c r="BA376" i="29"/>
  <c r="BF376" i="29"/>
  <c r="BF726" i="29"/>
  <c r="BF202" i="29"/>
  <c r="BF899" i="29"/>
  <c r="BF552" i="29"/>
  <c r="BD376" i="29"/>
  <c r="BD899" i="29"/>
  <c r="BD552" i="29"/>
  <c r="BD726" i="29"/>
  <c r="BD202" i="29"/>
  <c r="BE202" i="29"/>
  <c r="BE899" i="29"/>
  <c r="BE552" i="29"/>
  <c r="BE376" i="29"/>
  <c r="BE726" i="29"/>
  <c r="BF898" i="29"/>
  <c r="BF725" i="29"/>
  <c r="BF375" i="29"/>
  <c r="BF551" i="29"/>
  <c r="BF201" i="29"/>
  <c r="BE725" i="29"/>
  <c r="BE898" i="29"/>
  <c r="BE201" i="29"/>
  <c r="BE375" i="29"/>
  <c r="BE551" i="29"/>
  <c r="AZ725" i="29"/>
  <c r="AZ201" i="29"/>
  <c r="AZ898" i="29"/>
  <c r="AZ375" i="29"/>
  <c r="AZ551" i="29"/>
  <c r="BD725" i="29"/>
  <c r="BD898" i="29"/>
  <c r="BD201" i="29"/>
  <c r="BD375" i="29"/>
  <c r="BD551" i="29"/>
  <c r="BB898" i="29"/>
  <c r="BB375" i="29"/>
  <c r="BB551" i="29"/>
  <c r="BB725" i="29"/>
  <c r="BB201" i="29"/>
  <c r="BA725" i="29"/>
  <c r="BA898" i="29"/>
  <c r="BA201" i="29"/>
  <c r="BA375" i="29"/>
  <c r="BA551" i="29"/>
  <c r="BG898" i="29"/>
  <c r="BG551" i="29"/>
  <c r="BG725" i="29"/>
  <c r="BG201" i="29"/>
  <c r="BG375" i="29"/>
  <c r="BC551" i="29"/>
  <c r="BC898" i="29"/>
  <c r="BC725" i="29"/>
  <c r="BC201" i="29"/>
  <c r="BC375" i="29"/>
  <c r="U310" i="29"/>
  <c r="P310" i="29"/>
  <c r="L14" i="100"/>
  <c r="BG376" i="29" l="1"/>
  <c r="BG202" i="29"/>
  <c r="BG552" i="29"/>
  <c r="BG726" i="29"/>
  <c r="U15" i="100"/>
  <c r="J163" i="29" l="1"/>
  <c r="H163" i="29"/>
  <c r="A163" i="29"/>
  <c r="F163" i="29"/>
  <c r="E163" i="29"/>
  <c r="C163" i="29"/>
  <c r="F166" i="29"/>
  <c r="E166" i="29"/>
  <c r="J166" i="29"/>
  <c r="H166" i="29"/>
  <c r="C166" i="29"/>
  <c r="A166" i="29"/>
  <c r="J162" i="29"/>
  <c r="H162" i="29"/>
  <c r="C162" i="29"/>
  <c r="A162" i="29"/>
  <c r="F162" i="29"/>
  <c r="E162" i="29"/>
  <c r="J165" i="29"/>
  <c r="H165" i="29"/>
  <c r="C165" i="29"/>
  <c r="A165" i="29"/>
  <c r="F165" i="29"/>
  <c r="E165" i="29"/>
  <c r="J161" i="29"/>
  <c r="H161" i="29"/>
  <c r="C161" i="29"/>
  <c r="A161" i="29"/>
  <c r="F161" i="29"/>
  <c r="E161" i="29"/>
  <c r="J159" i="29"/>
  <c r="H159" i="29"/>
  <c r="A159" i="29"/>
  <c r="F159" i="29"/>
  <c r="E159" i="29"/>
  <c r="C159" i="29"/>
  <c r="A164" i="29"/>
  <c r="F164" i="29"/>
  <c r="E164" i="29"/>
  <c r="J164" i="29"/>
  <c r="H164" i="29"/>
  <c r="C164" i="29"/>
  <c r="A160" i="29"/>
  <c r="F160" i="29"/>
  <c r="E160" i="29"/>
  <c r="J160" i="29"/>
  <c r="H160" i="29"/>
  <c r="C160" i="29"/>
  <c r="AE108" i="29"/>
  <c r="W108" i="29"/>
  <c r="S108" i="29"/>
  <c r="O108" i="29"/>
  <c r="AB107" i="29"/>
  <c r="T107" i="29"/>
  <c r="L107" i="29"/>
  <c r="V105" i="29"/>
  <c r="X105" i="29" s="1"/>
  <c r="R105" i="29"/>
  <c r="T105" i="29" s="1"/>
  <c r="N105" i="29"/>
  <c r="P105" i="29" s="1"/>
  <c r="L105" i="29"/>
  <c r="M129" i="29" s="1"/>
  <c r="V104" i="29"/>
  <c r="X104" i="29" s="1"/>
  <c r="R104" i="29"/>
  <c r="T104" i="29" s="1"/>
  <c r="N104" i="29"/>
  <c r="P104" i="29" s="1"/>
  <c r="L104" i="29"/>
  <c r="M128" i="29" s="1"/>
  <c r="Z103" i="29"/>
  <c r="AB103" i="29" s="1"/>
  <c r="V103" i="29"/>
  <c r="X103" i="29" s="1"/>
  <c r="R103" i="29"/>
  <c r="T103" i="29" s="1"/>
  <c r="N103" i="29"/>
  <c r="P103" i="29" s="1"/>
  <c r="L103" i="29"/>
  <c r="M127" i="29" s="1"/>
  <c r="AD102" i="29"/>
  <c r="AF102" i="29" s="1"/>
  <c r="Z102" i="29"/>
  <c r="AB102" i="29" s="1"/>
  <c r="V102" i="29"/>
  <c r="X102" i="29" s="1"/>
  <c r="R102" i="29"/>
  <c r="T102" i="29" s="1"/>
  <c r="N102" i="29"/>
  <c r="P102" i="29" s="1"/>
  <c r="L102" i="29"/>
  <c r="M126" i="29" s="1"/>
  <c r="AD101" i="29"/>
  <c r="AF101" i="29" s="1"/>
  <c r="Z101" i="29"/>
  <c r="AB101" i="29" s="1"/>
  <c r="V101" i="29"/>
  <c r="X101" i="29" s="1"/>
  <c r="R101" i="29"/>
  <c r="T101" i="29" s="1"/>
  <c r="N101" i="29"/>
  <c r="P101" i="29" s="1"/>
  <c r="L101" i="29"/>
  <c r="M125" i="29" s="1"/>
  <c r="AD100" i="29"/>
  <c r="AF100" i="29" s="1"/>
  <c r="Z100" i="29"/>
  <c r="AB100" i="29" s="1"/>
  <c r="V100" i="29"/>
  <c r="X100" i="29" s="1"/>
  <c r="R100" i="29"/>
  <c r="T100" i="29" s="1"/>
  <c r="N100" i="29"/>
  <c r="P100" i="29" s="1"/>
  <c r="L100" i="29"/>
  <c r="M124" i="29" s="1"/>
  <c r="AD99" i="29"/>
  <c r="AF99" i="29" s="1"/>
  <c r="Z99" i="29"/>
  <c r="AB99" i="29" s="1"/>
  <c r="V99" i="29"/>
  <c r="X99" i="29" s="1"/>
  <c r="R99" i="29"/>
  <c r="T99" i="29" s="1"/>
  <c r="N99" i="29"/>
  <c r="P99" i="29" s="1"/>
  <c r="L99" i="29"/>
  <c r="M123" i="29" s="1"/>
  <c r="AD98" i="29"/>
  <c r="AF98" i="29" s="1"/>
  <c r="Z98" i="29"/>
  <c r="V98" i="29"/>
  <c r="X98" i="29" s="1"/>
  <c r="R98" i="29"/>
  <c r="T98" i="29" s="1"/>
  <c r="N98" i="29"/>
  <c r="P98" i="29" s="1"/>
  <c r="L98" i="29"/>
  <c r="M122" i="29" s="1"/>
  <c r="AD97" i="29"/>
  <c r="AF97" i="29" s="1"/>
  <c r="Z97" i="29"/>
  <c r="AB97" i="29" s="1"/>
  <c r="V97" i="29"/>
  <c r="X97" i="29" s="1"/>
  <c r="R97" i="29"/>
  <c r="T97" i="29" s="1"/>
  <c r="N97" i="29"/>
  <c r="P97" i="29" s="1"/>
  <c r="L97" i="29"/>
  <c r="M121" i="29" s="1"/>
  <c r="AD96" i="29"/>
  <c r="AF96" i="29" s="1"/>
  <c r="Z96" i="29"/>
  <c r="AB96" i="29" s="1"/>
  <c r="V96" i="29"/>
  <c r="X96" i="29" s="1"/>
  <c r="R96" i="29"/>
  <c r="T96" i="29" s="1"/>
  <c r="N96" i="29"/>
  <c r="P96" i="29" s="1"/>
  <c r="L96" i="29"/>
  <c r="M120" i="29" s="1"/>
  <c r="AD95" i="29"/>
  <c r="AF95" i="29" s="1"/>
  <c r="Z95" i="29"/>
  <c r="AB95" i="29" s="1"/>
  <c r="V95" i="29"/>
  <c r="X95" i="29" s="1"/>
  <c r="R95" i="29"/>
  <c r="T95" i="29" s="1"/>
  <c r="N95" i="29"/>
  <c r="P95" i="29" s="1"/>
  <c r="L95" i="29"/>
  <c r="M119" i="29" s="1"/>
  <c r="AD94" i="29"/>
  <c r="AF94" i="29" s="1"/>
  <c r="Z94" i="29"/>
  <c r="AB94" i="29" s="1"/>
  <c r="V94" i="29"/>
  <c r="X94" i="29" s="1"/>
  <c r="R94" i="29"/>
  <c r="T94" i="29" s="1"/>
  <c r="N94" i="29"/>
  <c r="P94" i="29" s="1"/>
  <c r="L94" i="29"/>
  <c r="M118" i="29" s="1"/>
  <c r="Z93" i="29"/>
  <c r="AB93" i="29" s="1"/>
  <c r="V93" i="29"/>
  <c r="X93" i="29" s="1"/>
  <c r="R93" i="29"/>
  <c r="T93" i="29" s="1"/>
  <c r="N93" i="29"/>
  <c r="P93" i="29" s="1"/>
  <c r="L93" i="29"/>
  <c r="M117" i="29" s="1"/>
  <c r="Z91" i="29"/>
  <c r="AB91" i="29" s="1"/>
  <c r="V91" i="29"/>
  <c r="X91" i="29" s="1"/>
  <c r="R91" i="29"/>
  <c r="T91" i="29" s="1"/>
  <c r="N91" i="29"/>
  <c r="P91" i="29" s="1"/>
  <c r="L91" i="29"/>
  <c r="M115" i="29" s="1"/>
  <c r="AD90" i="29"/>
  <c r="AF90" i="29" s="1"/>
  <c r="Z90" i="29"/>
  <c r="AB90" i="29" s="1"/>
  <c r="V90" i="29"/>
  <c r="X90" i="29" s="1"/>
  <c r="R90" i="29"/>
  <c r="T90" i="29" s="1"/>
  <c r="N90" i="29"/>
  <c r="P90" i="29" s="1"/>
  <c r="L90" i="29"/>
  <c r="M114" i="29" s="1"/>
  <c r="N89" i="29"/>
  <c r="P89" i="29" s="1"/>
  <c r="L89" i="29"/>
  <c r="M113" i="29" s="1"/>
  <c r="AD88" i="29"/>
  <c r="AF88" i="29" s="1"/>
  <c r="Z88" i="29"/>
  <c r="AB88" i="29" s="1"/>
  <c r="V88" i="29"/>
  <c r="X88" i="29" s="1"/>
  <c r="R88" i="29"/>
  <c r="T88" i="29" s="1"/>
  <c r="N88" i="29"/>
  <c r="P88" i="29" s="1"/>
  <c r="L88" i="29"/>
  <c r="M112" i="29" s="1"/>
  <c r="N87" i="29"/>
  <c r="P87" i="29" s="1"/>
  <c r="L87" i="29"/>
  <c r="M111" i="29" s="1"/>
  <c r="O142" i="29" l="1"/>
  <c r="P142" i="29" s="1"/>
  <c r="O147" i="29"/>
  <c r="P147" i="29" s="1"/>
  <c r="O146" i="29"/>
  <c r="P146" i="29" s="1"/>
  <c r="O143" i="29"/>
  <c r="P143" i="29" s="1"/>
  <c r="O144" i="29"/>
  <c r="P144" i="29" s="1"/>
  <c r="O145" i="29"/>
  <c r="P145" i="29" s="1"/>
  <c r="O141" i="29"/>
  <c r="P141" i="29" s="1"/>
  <c r="O140" i="29"/>
  <c r="P140" i="29" s="1"/>
  <c r="X1026" i="29"/>
  <c r="X679" i="29"/>
  <c r="X853" i="29"/>
  <c r="X502" i="29"/>
  <c r="X1025" i="29"/>
  <c r="X678" i="29"/>
  <c r="X503" i="29"/>
  <c r="X852" i="29"/>
  <c r="AA98" i="29"/>
  <c r="AB98" i="29"/>
  <c r="X329" i="29"/>
  <c r="X328" i="29"/>
  <c r="AF107" i="29"/>
  <c r="W105" i="29"/>
  <c r="Y105" i="29" s="1"/>
  <c r="W97" i="29"/>
  <c r="AA99" i="29"/>
  <c r="AC99" i="29" s="1"/>
  <c r="S88" i="29"/>
  <c r="O101" i="29"/>
  <c r="Q101" i="29" s="1"/>
  <c r="W100" i="29"/>
  <c r="S90" i="29"/>
  <c r="AE90" i="29"/>
  <c r="AG90" i="29" s="1"/>
  <c r="S93" i="29"/>
  <c r="U93" i="29" s="1"/>
  <c r="W93" i="29"/>
  <c r="AA102" i="29"/>
  <c r="W90" i="29"/>
  <c r="AA90" i="29"/>
  <c r="AA93" i="29"/>
  <c r="AC93" i="29" s="1"/>
  <c r="AA95" i="29"/>
  <c r="O97" i="29"/>
  <c r="Q97" i="29" s="1"/>
  <c r="S98" i="29"/>
  <c r="AA103" i="29"/>
  <c r="AA91" i="29"/>
  <c r="AE94" i="29"/>
  <c r="O95" i="29"/>
  <c r="Q95" i="29" s="1"/>
  <c r="S95" i="29"/>
  <c r="AA101" i="29"/>
  <c r="W103" i="29"/>
  <c r="O94" i="29"/>
  <c r="Q94" i="29" s="1"/>
  <c r="AE95" i="29"/>
  <c r="AE96" i="29"/>
  <c r="AE97" i="29"/>
  <c r="S99" i="29"/>
  <c r="W101" i="29"/>
  <c r="Y101" i="29" s="1"/>
  <c r="S103" i="29"/>
  <c r="AC107" i="29"/>
  <c r="W94" i="29"/>
  <c r="O100" i="29"/>
  <c r="Q100" i="29" s="1"/>
  <c r="S100" i="29"/>
  <c r="W88" i="29"/>
  <c r="W95" i="29"/>
  <c r="S94" i="29"/>
  <c r="AA97" i="29"/>
  <c r="S101" i="29"/>
  <c r="W104" i="29"/>
  <c r="AA94" i="29"/>
  <c r="W96" i="29"/>
  <c r="AE98" i="29"/>
  <c r="O99" i="29"/>
  <c r="Q99" i="29" s="1"/>
  <c r="S104" i="29"/>
  <c r="S96" i="29"/>
  <c r="U96" i="29" s="1"/>
  <c r="W98" i="29"/>
  <c r="AE100" i="29"/>
  <c r="S102" i="29"/>
  <c r="AE102" i="29"/>
  <c r="W91" i="29"/>
  <c r="O96" i="29"/>
  <c r="Q96" i="29" s="1"/>
  <c r="S97" i="29"/>
  <c r="W99" i="29"/>
  <c r="AE99" i="29"/>
  <c r="AA100" i="29"/>
  <c r="AC100" i="29" s="1"/>
  <c r="O102" i="29"/>
  <c r="Q102" i="29" s="1"/>
  <c r="O103" i="29"/>
  <c r="Q103" i="29" s="1"/>
  <c r="AA96" i="29"/>
  <c r="O98" i="29"/>
  <c r="Q98" i="29" s="1"/>
  <c r="W102" i="29"/>
  <c r="P148" i="29" l="1"/>
  <c r="AC98" i="29"/>
  <c r="AG107" i="29"/>
  <c r="Y93" i="29"/>
  <c r="AG98" i="29"/>
  <c r="Y90" i="29"/>
  <c r="U103" i="29"/>
  <c r="U90" i="29"/>
  <c r="AG96" i="29"/>
  <c r="AG100" i="29"/>
  <c r="AG94" i="29"/>
  <c r="AC101" i="29"/>
  <c r="U95" i="29"/>
  <c r="U98" i="29"/>
  <c r="AG95" i="29"/>
  <c r="U102" i="29"/>
  <c r="AC102" i="29"/>
  <c r="Y88" i="29"/>
  <c r="U100" i="29"/>
  <c r="U107" i="29"/>
  <c r="AC96" i="29"/>
  <c r="AC103" i="29"/>
  <c r="Y96" i="29"/>
  <c r="Y94" i="29"/>
  <c r="Y103" i="29"/>
  <c r="AG97" i="29"/>
  <c r="AG102" i="29"/>
  <c r="U101" i="29"/>
  <c r="AC97" i="29"/>
  <c r="Y100" i="29"/>
  <c r="U99" i="29"/>
  <c r="Y107" i="29"/>
  <c r="Y104" i="29"/>
  <c r="Y99" i="29"/>
  <c r="U97" i="29"/>
  <c r="Y91" i="29"/>
  <c r="U104" i="29"/>
  <c r="Y95" i="29"/>
  <c r="Y102" i="29"/>
  <c r="U94" i="29"/>
  <c r="AC94" i="29"/>
  <c r="AG99" i="29"/>
  <c r="AC95" i="29"/>
  <c r="AC90" i="29"/>
  <c r="Y97" i="29"/>
  <c r="AC91" i="29"/>
  <c r="U88" i="29"/>
  <c r="Y98" i="29"/>
  <c r="AR71" i="109"/>
  <c r="AU128" i="109"/>
  <c r="T130" i="19"/>
  <c r="AR194" i="109"/>
  <c r="AR106" i="109"/>
  <c r="AN193" i="109"/>
  <c r="AU249" i="109"/>
  <c r="AR131" i="109"/>
  <c r="AR140" i="109"/>
  <c r="AO160" i="109"/>
  <c r="AR246" i="109"/>
  <c r="AU62" i="109"/>
  <c r="AN77" i="109"/>
  <c r="AU190" i="109"/>
  <c r="AP145" i="109"/>
  <c r="AR129" i="109"/>
  <c r="AV198" i="109"/>
  <c r="AU50" i="109"/>
  <c r="AP248" i="109"/>
  <c r="AR84" i="109"/>
  <c r="AU109" i="109"/>
  <c r="AP101" i="109"/>
  <c r="AU184" i="109"/>
  <c r="AR216" i="109"/>
  <c r="AS154" i="109"/>
  <c r="AP210" i="109"/>
  <c r="AS246" i="109"/>
  <c r="AP249" i="109"/>
  <c r="AN130" i="112"/>
  <c r="AU146" i="113"/>
  <c r="AP91" i="109"/>
  <c r="AO161" i="109"/>
  <c r="AS71" i="109"/>
  <c r="AR198" i="109"/>
  <c r="AN247" i="109"/>
  <c r="AV107" i="109"/>
  <c r="AR104" i="109"/>
  <c r="AU107" i="109"/>
  <c r="AP90" i="109"/>
  <c r="AV154" i="109"/>
  <c r="AS119" i="109"/>
  <c r="AN90" i="109"/>
  <c r="AP167" i="109"/>
  <c r="AS67" i="109"/>
  <c r="AU51" i="109"/>
  <c r="AS107" i="109"/>
  <c r="AV86" i="109"/>
  <c r="AN86" i="109"/>
  <c r="AP185" i="109"/>
  <c r="AV89" i="109"/>
  <c r="AS95" i="109"/>
  <c r="AV145" i="109"/>
  <c r="AR247" i="109"/>
  <c r="AU248" i="109"/>
  <c r="T67" i="19"/>
  <c r="AN44" i="109"/>
  <c r="AV180" i="109"/>
  <c r="AN80" i="109"/>
  <c r="AU133" i="109"/>
  <c r="AN178" i="109"/>
  <c r="AV193" i="109"/>
  <c r="AS133" i="109"/>
  <c r="AN168" i="109"/>
  <c r="AR67" i="109"/>
  <c r="AR128" i="109"/>
  <c r="AR161" i="109"/>
  <c r="AU90" i="109"/>
  <c r="AO146" i="113"/>
  <c r="AU145" i="109"/>
  <c r="AN110" i="109"/>
  <c r="AU178" i="109"/>
  <c r="AS180" i="109"/>
  <c r="AN246" i="109"/>
  <c r="AV249" i="109"/>
  <c r="AU197" i="109"/>
  <c r="AV78" i="109"/>
  <c r="AS184" i="109"/>
  <c r="AP109" i="109"/>
  <c r="AV106" i="109"/>
  <c r="AP194" i="109"/>
  <c r="AS139" i="109"/>
  <c r="AU81" i="109"/>
  <c r="AV58" i="109"/>
  <c r="AR44" i="109"/>
  <c r="AP108" i="109"/>
  <c r="AU159" i="109"/>
  <c r="AV146" i="109"/>
  <c r="AS86" i="109"/>
  <c r="AP56" i="109"/>
  <c r="S124" i="19"/>
  <c r="AN131" i="113"/>
  <c r="AR78" i="109"/>
  <c r="AR63" i="109"/>
  <c r="AU84" i="109"/>
  <c r="AN66" i="109"/>
  <c r="AS101" i="109"/>
  <c r="AN132" i="109"/>
  <c r="AR132" i="109"/>
  <c r="AU246" i="109"/>
  <c r="AP51" i="109"/>
  <c r="AS211" i="109"/>
  <c r="AN129" i="109"/>
  <c r="AU154" i="109"/>
  <c r="AN97" i="109"/>
  <c r="AS70" i="109"/>
  <c r="AU130" i="112"/>
  <c r="AV91" i="109"/>
  <c r="AP71" i="109"/>
  <c r="AS163" i="109"/>
  <c r="AV49" i="109"/>
  <c r="AU188" i="109"/>
  <c r="AP62" i="109"/>
  <c r="AP106" i="109"/>
  <c r="AR146" i="109"/>
  <c r="AV170" i="109"/>
  <c r="AN109" i="109"/>
  <c r="AN210" i="109"/>
  <c r="AN197" i="109"/>
  <c r="AN120" i="109"/>
  <c r="AU52" i="109"/>
  <c r="AN226" i="109"/>
  <c r="AR91" i="109"/>
  <c r="AN107" i="109"/>
  <c r="AP170" i="109"/>
  <c r="AN46" i="109"/>
  <c r="T129" i="19"/>
  <c r="AP159" i="107"/>
  <c r="AS66" i="109"/>
  <c r="AU247" i="109"/>
  <c r="AN72" i="109"/>
  <c r="AS84" i="109"/>
  <c r="AN138" i="109"/>
  <c r="AU119" i="109"/>
  <c r="AV44" i="109"/>
  <c r="AU130" i="109"/>
  <c r="AP89" i="109"/>
  <c r="AV85" i="109"/>
  <c r="AR70" i="109"/>
  <c r="AR43" i="109"/>
  <c r="AR141" i="109"/>
  <c r="AQ160" i="107"/>
  <c r="AV108" i="109"/>
  <c r="AN160" i="109"/>
  <c r="AR61" i="109"/>
  <c r="AR109" i="109"/>
  <c r="AP104" i="109"/>
  <c r="AP150" i="109"/>
  <c r="AV194" i="109"/>
  <c r="AV81" i="109"/>
  <c r="AR160" i="109"/>
  <c r="AN78" i="109"/>
  <c r="AN189" i="109"/>
  <c r="AV97" i="109"/>
  <c r="AS77" i="109"/>
  <c r="AU49" i="109"/>
  <c r="AR86" i="109"/>
  <c r="AP188" i="109"/>
  <c r="AU198" i="109"/>
  <c r="AN76" i="109"/>
  <c r="AV120" i="109"/>
  <c r="AP81" i="109"/>
  <c r="AS193" i="109"/>
  <c r="AN61" i="109"/>
  <c r="AP192" i="109"/>
  <c r="AS210" i="109"/>
  <c r="AR178" i="109"/>
  <c r="AU96" i="109"/>
  <c r="AP169" i="109"/>
  <c r="AN56" i="109"/>
  <c r="AR66" i="109"/>
  <c r="AN119" i="109"/>
  <c r="AR149" i="109"/>
  <c r="AS100" i="109"/>
  <c r="AV101" i="109"/>
  <c r="AN58" i="109"/>
  <c r="AV67" i="109"/>
  <c r="AU141" i="109"/>
  <c r="AV207" i="109"/>
  <c r="AV248" i="109"/>
  <c r="AU132" i="109"/>
  <c r="AP100" i="109"/>
  <c r="AU101" i="109"/>
  <c r="AN192" i="109"/>
  <c r="AV150" i="109"/>
  <c r="T152" i="19"/>
  <c r="AR79" i="109"/>
  <c r="AV95" i="109"/>
  <c r="AS209" i="109"/>
  <c r="AV100" i="109"/>
  <c r="AS153" i="109"/>
  <c r="AP200" i="109"/>
  <c r="AV210" i="109"/>
  <c r="AV189" i="109"/>
  <c r="AV168" i="109"/>
  <c r="AR107" i="109"/>
  <c r="AV192" i="109"/>
  <c r="AN145" i="113"/>
  <c r="AS132" i="109"/>
  <c r="AR209" i="109"/>
  <c r="AU163" i="109"/>
  <c r="AV167" i="109"/>
  <c r="AP86" i="109"/>
  <c r="AP146" i="109"/>
  <c r="AN49" i="109"/>
  <c r="AP149" i="109"/>
  <c r="AU77" i="109"/>
  <c r="AP246" i="109"/>
  <c r="AU85" i="109"/>
  <c r="AR52" i="109"/>
  <c r="AT159" i="107"/>
  <c r="AV128" i="109"/>
  <c r="AN170" i="109"/>
  <c r="AU95" i="109"/>
  <c r="AN169" i="109"/>
  <c r="AR191" i="109"/>
  <c r="AP207" i="109"/>
  <c r="AU167" i="109"/>
  <c r="AR96" i="109"/>
  <c r="AP63" i="109"/>
  <c r="AU210" i="109"/>
  <c r="AV43" i="107"/>
  <c r="AN146" i="113"/>
  <c r="AT160" i="107"/>
  <c r="AN85" i="109"/>
  <c r="AU169" i="109"/>
  <c r="AV160" i="109"/>
  <c r="AS178" i="109"/>
  <c r="AU207" i="109"/>
  <c r="AR188" i="109"/>
  <c r="AP110" i="109"/>
  <c r="AU131" i="109"/>
  <c r="AP57" i="109"/>
  <c r="AQ159" i="107"/>
  <c r="AU150" i="109"/>
  <c r="AP163" i="109"/>
  <c r="AN209" i="109"/>
  <c r="AP250" i="109"/>
  <c r="AP168" i="109"/>
  <c r="AP159" i="109"/>
  <c r="AN96" i="109"/>
  <c r="AR80" i="109"/>
  <c r="AN153" i="109"/>
  <c r="AR189" i="109"/>
  <c r="AO159" i="109"/>
  <c r="AN257" i="109"/>
  <c r="AN222" i="109"/>
  <c r="AU250" i="109"/>
  <c r="AN81" i="109"/>
  <c r="AV77" i="109"/>
  <c r="AV119" i="109"/>
  <c r="AR58" i="109"/>
  <c r="AV62" i="109"/>
  <c r="AN167" i="109"/>
  <c r="AS247" i="109"/>
  <c r="AV79" i="109"/>
  <c r="AV159" i="109"/>
  <c r="AS159" i="107"/>
  <c r="AP198" i="109"/>
  <c r="AU100" i="109"/>
  <c r="AV169" i="109"/>
  <c r="AU146" i="109"/>
  <c r="AP77" i="109"/>
  <c r="AV135" i="109"/>
  <c r="AN149" i="109"/>
  <c r="AS141" i="109"/>
  <c r="AS62" i="109"/>
  <c r="AP120" i="109"/>
  <c r="AP211" i="109"/>
  <c r="AU160" i="109"/>
  <c r="AS109" i="109"/>
  <c r="AR85" i="109"/>
  <c r="AV197" i="109"/>
  <c r="AU194" i="109"/>
  <c r="AR248" i="109"/>
  <c r="AN179" i="109"/>
  <c r="AU139" i="109"/>
  <c r="AN62" i="109"/>
  <c r="AS208" i="109"/>
  <c r="AP78" i="109"/>
  <c r="AV211" i="109"/>
  <c r="AN89" i="109"/>
  <c r="AV185" i="109"/>
  <c r="AS160" i="109"/>
  <c r="AU67" i="109"/>
  <c r="AS97" i="109"/>
  <c r="AU70" i="109"/>
  <c r="AN104" i="109"/>
  <c r="AV149" i="109"/>
  <c r="AV191" i="109"/>
  <c r="AS207" i="109"/>
  <c r="AR145" i="109"/>
  <c r="AV110" i="109"/>
  <c r="AP58" i="109"/>
  <c r="AN71" i="109"/>
  <c r="AU216" i="109"/>
  <c r="AP184" i="109"/>
  <c r="AU191" i="109"/>
  <c r="AS135" i="109"/>
  <c r="AN224" i="109"/>
  <c r="AV52" i="109"/>
  <c r="AV96" i="109"/>
  <c r="AU80" i="109"/>
  <c r="AV131" i="109"/>
  <c r="AS91" i="109"/>
  <c r="AR51" i="109"/>
  <c r="AR100" i="109"/>
  <c r="AS169" i="109"/>
  <c r="AP132" i="109"/>
  <c r="AP76" i="109"/>
  <c r="AS120" i="109"/>
  <c r="AV199" i="109"/>
  <c r="AR139" i="109"/>
  <c r="AN133" i="109"/>
  <c r="AN188" i="109"/>
  <c r="AP105" i="109"/>
  <c r="AV70" i="109"/>
  <c r="AN146" i="109"/>
  <c r="AR179" i="109"/>
  <c r="AR200" i="109"/>
  <c r="AN79" i="109"/>
  <c r="AR193" i="109"/>
  <c r="AV80" i="109"/>
  <c r="AR185" i="109"/>
  <c r="AS106" i="109"/>
  <c r="AP138" i="109"/>
  <c r="AR169" i="109"/>
  <c r="AP80" i="109"/>
  <c r="S125" i="19"/>
  <c r="AP153" i="109"/>
  <c r="AV178" i="109"/>
  <c r="AP209" i="109"/>
  <c r="AU208" i="109"/>
  <c r="AN256" i="109"/>
  <c r="AV200" i="109"/>
  <c r="AS167" i="109"/>
  <c r="AN52" i="109"/>
  <c r="AU91" i="109"/>
  <c r="AU135" i="109"/>
  <c r="AU79" i="109"/>
  <c r="AR163" i="109"/>
  <c r="AU71" i="109"/>
  <c r="AU58" i="109"/>
  <c r="AN180" i="109"/>
  <c r="AR110" i="109"/>
  <c r="AN141" i="109"/>
  <c r="AU45" i="109"/>
  <c r="AR119" i="109"/>
  <c r="AR133" i="109"/>
  <c r="AV109" i="109"/>
  <c r="AR72" i="109"/>
  <c r="AV250" i="109"/>
  <c r="AS72" i="109"/>
  <c r="AU170" i="109"/>
  <c r="AV139" i="109"/>
  <c r="AR138" i="109"/>
  <c r="AV130" i="112"/>
  <c r="AR62" i="109"/>
  <c r="AV90" i="109"/>
  <c r="AP160" i="109"/>
  <c r="AS110" i="109"/>
  <c r="AU200" i="109"/>
  <c r="AR81" i="109"/>
  <c r="AR97" i="109"/>
  <c r="AS76" i="109"/>
  <c r="AN139" i="109"/>
  <c r="AR46" i="109"/>
  <c r="AR210" i="109"/>
  <c r="AR192" i="109"/>
  <c r="AU185" i="109"/>
  <c r="AP158" i="109"/>
  <c r="AU61" i="109"/>
  <c r="AS85" i="109"/>
  <c r="AR199" i="109"/>
  <c r="AN63" i="109"/>
  <c r="AU104" i="109"/>
  <c r="AR180" i="109"/>
  <c r="AP84" i="109"/>
  <c r="AN225" i="109"/>
  <c r="AN106" i="109"/>
  <c r="AU86" i="109"/>
  <c r="AS105" i="109"/>
  <c r="AV84" i="109"/>
  <c r="AP107" i="109"/>
  <c r="AP190" i="109"/>
  <c r="AS160" i="107"/>
  <c r="AV138" i="109"/>
  <c r="AN227" i="109"/>
  <c r="AR168" i="109"/>
  <c r="AS89" i="109"/>
  <c r="AS161" i="109"/>
  <c r="AV131" i="113"/>
  <c r="AN250" i="109"/>
  <c r="AN140" i="109"/>
  <c r="AS158" i="109"/>
  <c r="AS57" i="109"/>
  <c r="AN248" i="109"/>
  <c r="AN200" i="109"/>
  <c r="AR120" i="109"/>
  <c r="AP179" i="109"/>
  <c r="AU192" i="109"/>
  <c r="AU140" i="109"/>
  <c r="AU189" i="109"/>
  <c r="AN91" i="109"/>
  <c r="AV161" i="109"/>
  <c r="AN207" i="109"/>
  <c r="AU89" i="109"/>
  <c r="AS81" i="109"/>
  <c r="AN70" i="109"/>
  <c r="AU78" i="109"/>
  <c r="AN191" i="109"/>
  <c r="AS104" i="109"/>
  <c r="AS145" i="109"/>
  <c r="AP197" i="109"/>
  <c r="AR159" i="109"/>
  <c r="AS150" i="109"/>
  <c r="AR190" i="109"/>
  <c r="AS140" i="109"/>
  <c r="AU46" i="109"/>
  <c r="AN101" i="109"/>
  <c r="AR105" i="109"/>
  <c r="AU129" i="109"/>
  <c r="AR49" i="109"/>
  <c r="AV141" i="109"/>
  <c r="AN249" i="109"/>
  <c r="AU168" i="109"/>
  <c r="AS79" i="109"/>
  <c r="AV27" i="107"/>
  <c r="AP216" i="109"/>
  <c r="AS78" i="109"/>
  <c r="AR211" i="109"/>
  <c r="AS159" i="109"/>
  <c r="AP79" i="109"/>
  <c r="AU66" i="109"/>
  <c r="AR170" i="109"/>
  <c r="AP180" i="109"/>
  <c r="AS108" i="109"/>
  <c r="AN67" i="109"/>
  <c r="AV72" i="109"/>
  <c r="AU211" i="109"/>
  <c r="AN199" i="109"/>
  <c r="AU179" i="109"/>
  <c r="AP154" i="109"/>
  <c r="AP178" i="109"/>
  <c r="AN145" i="109"/>
  <c r="AN50" i="109"/>
  <c r="AU149" i="109"/>
  <c r="AN161" i="109"/>
  <c r="AN51" i="109"/>
  <c r="AU97" i="109"/>
  <c r="AN158" i="109"/>
  <c r="AR76" i="109"/>
  <c r="AV140" i="109"/>
  <c r="AU120" i="109"/>
  <c r="AU72" i="109"/>
  <c r="AV247" i="109"/>
  <c r="AR208" i="109"/>
  <c r="AV163" i="109"/>
  <c r="AV45" i="109"/>
  <c r="AS170" i="109"/>
  <c r="AR207" i="109"/>
  <c r="AN45" i="109"/>
  <c r="AR101" i="109"/>
  <c r="AR90" i="109"/>
  <c r="AS90" i="109"/>
  <c r="AU209" i="109"/>
  <c r="AV208" i="109"/>
  <c r="AV209" i="109"/>
  <c r="AS56" i="109"/>
  <c r="AV190" i="109"/>
  <c r="AU108" i="109"/>
  <c r="AR50" i="109"/>
  <c r="AV130" i="109"/>
  <c r="AP49" i="109"/>
  <c r="AV246" i="109"/>
  <c r="AS248" i="109"/>
  <c r="AR184" i="109"/>
  <c r="AP141" i="109"/>
  <c r="AS50" i="109"/>
  <c r="AR45" i="109"/>
  <c r="AS63" i="109"/>
  <c r="AP85" i="109"/>
  <c r="AP140" i="109"/>
  <c r="AU161" i="109"/>
  <c r="AU110" i="109"/>
  <c r="AN198" i="109"/>
  <c r="AP72" i="109"/>
  <c r="AS52" i="109"/>
  <c r="AS168" i="109"/>
  <c r="AS61" i="109"/>
  <c r="AN130" i="109"/>
  <c r="AN43" i="109"/>
  <c r="AN211" i="109"/>
  <c r="AR154" i="109"/>
  <c r="AR250" i="109"/>
  <c r="AS194" i="109"/>
  <c r="AV132" i="109"/>
  <c r="AP199" i="109"/>
  <c r="AV51" i="109"/>
  <c r="AN95" i="109"/>
  <c r="AN84" i="109"/>
  <c r="AV66" i="109"/>
  <c r="AV57" i="109"/>
  <c r="AS138" i="109"/>
  <c r="AV158" i="109"/>
  <c r="T68" i="19"/>
  <c r="AV153" i="109"/>
  <c r="AP96" i="109"/>
  <c r="AU43" i="109"/>
  <c r="AU106" i="109"/>
  <c r="AV188" i="109"/>
  <c r="AV216" i="109"/>
  <c r="AU158" i="109"/>
  <c r="AN223" i="109"/>
  <c r="AR153" i="109"/>
  <c r="AR150" i="109"/>
  <c r="S110" i="19"/>
  <c r="AN150" i="109"/>
  <c r="AO139" i="109"/>
  <c r="AR77" i="109"/>
  <c r="S79" i="19"/>
  <c r="AS49" i="109"/>
  <c r="AU57" i="109"/>
  <c r="AU180" i="109"/>
  <c r="AS96" i="109"/>
  <c r="AN190" i="109"/>
  <c r="AV50" i="109"/>
  <c r="AV61" i="109"/>
  <c r="AR95" i="109"/>
  <c r="AP139" i="109"/>
  <c r="AP95" i="109"/>
  <c r="AP160" i="107"/>
  <c r="AP67" i="109"/>
  <c r="T99" i="19"/>
  <c r="AV133" i="109"/>
  <c r="AN100" i="109"/>
  <c r="S46" i="19"/>
  <c r="AV71" i="109"/>
  <c r="AR108" i="109"/>
  <c r="AN105" i="109"/>
  <c r="AP193" i="109"/>
  <c r="AP61" i="109"/>
  <c r="AS80" i="109"/>
  <c r="AU56" i="109"/>
  <c r="AV104" i="109"/>
  <c r="AR57" i="109"/>
  <c r="AN258" i="109"/>
  <c r="AN194" i="109"/>
  <c r="AV63" i="109"/>
  <c r="AV184" i="109"/>
  <c r="AR197" i="109"/>
  <c r="S48" i="19"/>
  <c r="AP191" i="109"/>
  <c r="AR249" i="109"/>
  <c r="S108" i="19"/>
  <c r="AU105" i="109"/>
  <c r="AV34" i="107"/>
  <c r="AN128" i="109"/>
  <c r="AN208" i="109"/>
  <c r="AU138" i="109"/>
  <c r="AV76" i="109"/>
  <c r="AP97" i="109"/>
  <c r="AR130" i="109"/>
  <c r="AN108" i="109"/>
  <c r="AP70" i="109"/>
  <c r="AP52" i="109"/>
  <c r="AV46" i="109"/>
  <c r="AU44" i="109"/>
  <c r="AR56" i="109"/>
  <c r="AS216" i="109"/>
  <c r="AP133" i="109"/>
  <c r="AN57" i="109"/>
  <c r="AU76" i="109"/>
  <c r="AN159" i="109"/>
  <c r="AV179" i="109"/>
  <c r="AU199" i="109"/>
  <c r="AV105" i="109"/>
  <c r="T98" i="19"/>
  <c r="S154" i="19"/>
  <c r="AR89" i="109"/>
  <c r="AV56" i="109"/>
  <c r="AR158" i="109"/>
  <c r="AV129" i="109"/>
  <c r="AN131" i="109"/>
  <c r="AU193" i="109"/>
  <c r="AR167" i="109"/>
  <c r="AU63" i="109"/>
  <c r="S77" i="19"/>
  <c r="AP161" i="109"/>
  <c r="AU153" i="109"/>
  <c r="AN154" i="109"/>
  <c r="AS149" i="109"/>
  <c r="E154" i="109" l="1"/>
  <c r="AC153" i="109"/>
  <c r="F77" i="19"/>
  <c r="AD63" i="109"/>
  <c r="AC63" i="109"/>
  <c r="W167" i="109"/>
  <c r="AC193" i="109"/>
  <c r="AD193" i="109"/>
  <c r="AI129" i="109"/>
  <c r="W158" i="109"/>
  <c r="AI56" i="109"/>
  <c r="W89" i="109"/>
  <c r="F154" i="19"/>
  <c r="J98" i="19"/>
  <c r="G148" i="115" s="1"/>
  <c r="AI105" i="109"/>
  <c r="AC199" i="109"/>
  <c r="AI179" i="109"/>
  <c r="E159" i="109"/>
  <c r="AC76" i="109"/>
  <c r="E57" i="109"/>
  <c r="W56" i="109"/>
  <c r="AC44" i="109"/>
  <c r="AI46" i="109"/>
  <c r="E108" i="109"/>
  <c r="W130" i="109"/>
  <c r="X130" i="109"/>
  <c r="AI76" i="109"/>
  <c r="AC138" i="109"/>
  <c r="E208" i="109"/>
  <c r="E128" i="109"/>
  <c r="AI34" i="107"/>
  <c r="AD105" i="109"/>
  <c r="AC105" i="109"/>
  <c r="F108" i="19"/>
  <c r="X249" i="109"/>
  <c r="W249" i="109"/>
  <c r="F48" i="19"/>
  <c r="L485" i="29" s="1"/>
  <c r="W197" i="109"/>
  <c r="AI184" i="109"/>
  <c r="AI63" i="109"/>
  <c r="E194" i="109"/>
  <c r="E258" i="109"/>
  <c r="W57" i="109"/>
  <c r="X57" i="109"/>
  <c r="AI104" i="109"/>
  <c r="AC56" i="109"/>
  <c r="E105" i="109"/>
  <c r="W108" i="109"/>
  <c r="X108" i="109"/>
  <c r="AI71" i="109"/>
  <c r="F46" i="19"/>
  <c r="E100" i="109"/>
  <c r="AI133" i="109"/>
  <c r="J99" i="19"/>
  <c r="Y160" i="107"/>
  <c r="G439" i="29" s="1"/>
  <c r="W95" i="109"/>
  <c r="AI61" i="109"/>
  <c r="AI50" i="109"/>
  <c r="E190" i="109"/>
  <c r="AC180" i="109"/>
  <c r="AD180" i="109"/>
  <c r="AD57" i="109"/>
  <c r="AC57" i="109"/>
  <c r="F79" i="19"/>
  <c r="X77" i="109"/>
  <c r="W77" i="109"/>
  <c r="S139" i="109"/>
  <c r="Y139" i="109" s="1"/>
  <c r="E150" i="109"/>
  <c r="F110" i="19"/>
  <c r="W150" i="109"/>
  <c r="X150" i="109"/>
  <c r="W153" i="109"/>
  <c r="E223" i="109"/>
  <c r="AC158" i="109"/>
  <c r="AI216" i="109"/>
  <c r="AI188" i="109"/>
  <c r="AD106" i="109"/>
  <c r="AC106" i="109"/>
  <c r="AC43" i="109"/>
  <c r="AI153" i="109"/>
  <c r="J68" i="19"/>
  <c r="AI158" i="109"/>
  <c r="AI57" i="109"/>
  <c r="AI66" i="109"/>
  <c r="E84" i="109"/>
  <c r="E95" i="109"/>
  <c r="AI51" i="109"/>
  <c r="AI132" i="109"/>
  <c r="X250" i="109"/>
  <c r="W250" i="109"/>
  <c r="W154" i="109"/>
  <c r="X154" i="109"/>
  <c r="E211" i="109"/>
  <c r="E43" i="109"/>
  <c r="E198" i="109"/>
  <c r="AD110" i="109"/>
  <c r="AC110" i="109"/>
  <c r="AC161" i="109"/>
  <c r="AD161" i="109"/>
  <c r="W45" i="109"/>
  <c r="W184" i="109"/>
  <c r="AI246" i="109"/>
  <c r="X50" i="109"/>
  <c r="W50" i="109"/>
  <c r="AC108" i="109"/>
  <c r="AD108" i="109"/>
  <c r="AI190" i="109"/>
  <c r="AI209" i="109"/>
  <c r="AI208" i="109"/>
  <c r="AC209" i="109"/>
  <c r="AD209" i="109"/>
  <c r="X90" i="109"/>
  <c r="W90" i="109"/>
  <c r="W101" i="109"/>
  <c r="X101" i="109"/>
  <c r="E45" i="109"/>
  <c r="W207" i="109"/>
  <c r="AI45" i="109"/>
  <c r="AI163" i="109"/>
  <c r="W208" i="109"/>
  <c r="X208" i="109"/>
  <c r="AI247" i="109"/>
  <c r="AD72" i="109"/>
  <c r="AC72" i="109"/>
  <c r="AC120" i="109"/>
  <c r="AD120" i="109"/>
  <c r="AI140" i="109"/>
  <c r="W76" i="109"/>
  <c r="E158" i="109"/>
  <c r="AC97" i="109"/>
  <c r="AD97" i="109"/>
  <c r="E51" i="109"/>
  <c r="E161" i="109"/>
  <c r="AC149" i="109"/>
  <c r="E50" i="109"/>
  <c r="E145" i="109"/>
  <c r="AD179" i="109"/>
  <c r="AC179" i="109"/>
  <c r="E199" i="109"/>
  <c r="AC211" i="109"/>
  <c r="AD211" i="109"/>
  <c r="AI72" i="109"/>
  <c r="E67" i="109"/>
  <c r="W170" i="109"/>
  <c r="X170" i="109"/>
  <c r="AC66" i="109"/>
  <c r="X211" i="109"/>
  <c r="W211" i="109"/>
  <c r="AI27" i="107"/>
  <c r="AD168" i="109"/>
  <c r="AC168" i="109"/>
  <c r="E249" i="109"/>
  <c r="AI141" i="109"/>
  <c r="W49" i="109"/>
  <c r="AC129" i="109"/>
  <c r="W105" i="109"/>
  <c r="X105" i="109"/>
  <c r="E101" i="109"/>
  <c r="AC46" i="109"/>
  <c r="W190" i="109"/>
  <c r="X190" i="109"/>
  <c r="W159" i="109"/>
  <c r="X159" i="109"/>
  <c r="E191" i="109"/>
  <c r="AC78" i="109"/>
  <c r="AD78" i="109"/>
  <c r="E70" i="109"/>
  <c r="AC89" i="109"/>
  <c r="E207" i="109"/>
  <c r="AI161" i="109"/>
  <c r="E91" i="109"/>
  <c r="AC189" i="109"/>
  <c r="AD140" i="109"/>
  <c r="AC140" i="109"/>
  <c r="AC192" i="109"/>
  <c r="X120" i="109"/>
  <c r="W120" i="109"/>
  <c r="E200" i="109"/>
  <c r="E248" i="109"/>
  <c r="E140" i="109"/>
  <c r="E250" i="109"/>
  <c r="AI131" i="113"/>
  <c r="X168" i="109"/>
  <c r="W168" i="109"/>
  <c r="E227" i="109"/>
  <c r="AI138" i="109"/>
  <c r="AE160" i="107"/>
  <c r="I439" i="29" s="1"/>
  <c r="AI84" i="109"/>
  <c r="AD86" i="109"/>
  <c r="AC86" i="109"/>
  <c r="E106" i="109"/>
  <c r="E225" i="109"/>
  <c r="X180" i="109"/>
  <c r="W180" i="109"/>
  <c r="AC104" i="109"/>
  <c r="E63" i="109"/>
  <c r="X199" i="109"/>
  <c r="W199" i="109"/>
  <c r="AC61" i="109"/>
  <c r="AD185" i="109"/>
  <c r="AC185" i="109"/>
  <c r="X192" i="109"/>
  <c r="W192" i="109"/>
  <c r="W210" i="109"/>
  <c r="X210" i="109"/>
  <c r="W46" i="109"/>
  <c r="E139" i="109"/>
  <c r="X97" i="109"/>
  <c r="W97" i="109"/>
  <c r="X81" i="109"/>
  <c r="W81" i="109"/>
  <c r="AC200" i="109"/>
  <c r="AI90" i="109"/>
  <c r="W62" i="109"/>
  <c r="X62" i="109"/>
  <c r="AI130" i="112"/>
  <c r="W138" i="109"/>
  <c r="AI139" i="109"/>
  <c r="AC170" i="109"/>
  <c r="AD170" i="109"/>
  <c r="AI250" i="109"/>
  <c r="W72" i="109"/>
  <c r="X72" i="109"/>
  <c r="AI109" i="109"/>
  <c r="X133" i="109"/>
  <c r="W133" i="109"/>
  <c r="W119" i="109"/>
  <c r="AC45" i="109"/>
  <c r="E141" i="109"/>
  <c r="W110" i="109"/>
  <c r="X110" i="109"/>
  <c r="E180" i="109"/>
  <c r="AD58" i="109"/>
  <c r="AC58" i="109"/>
  <c r="AC71" i="109"/>
  <c r="AD71" i="109"/>
  <c r="X163" i="109"/>
  <c r="W163" i="109"/>
  <c r="AD79" i="109"/>
  <c r="AC79" i="109"/>
  <c r="AC135" i="109"/>
  <c r="AD135" i="109"/>
  <c r="AD91" i="109"/>
  <c r="AC91" i="109"/>
  <c r="E52" i="109"/>
  <c r="AI200" i="109"/>
  <c r="E256" i="109"/>
  <c r="AD208" i="109"/>
  <c r="AC208" i="109"/>
  <c r="AI178" i="109"/>
  <c r="F125" i="19"/>
  <c r="W169" i="109"/>
  <c r="X169" i="109"/>
  <c r="X185" i="109"/>
  <c r="W185" i="109"/>
  <c r="AI80" i="109"/>
  <c r="W193" i="109"/>
  <c r="X193" i="109"/>
  <c r="E79" i="109"/>
  <c r="X200" i="109"/>
  <c r="W200" i="109"/>
  <c r="W179" i="109"/>
  <c r="X179" i="109"/>
  <c r="E146" i="109"/>
  <c r="AI70" i="109"/>
  <c r="E188" i="109"/>
  <c r="E133" i="109"/>
  <c r="W139" i="109"/>
  <c r="X139" i="109"/>
  <c r="AI199" i="109"/>
  <c r="W100" i="109"/>
  <c r="X51" i="109"/>
  <c r="W51" i="109"/>
  <c r="AD80" i="109"/>
  <c r="AC80" i="109"/>
  <c r="AI96" i="109"/>
  <c r="AI52" i="109"/>
  <c r="E224" i="109"/>
  <c r="AC191" i="109"/>
  <c r="AC216" i="109"/>
  <c r="E71" i="109"/>
  <c r="AI110" i="109"/>
  <c r="W145" i="109"/>
  <c r="AI191" i="109"/>
  <c r="AI149" i="109"/>
  <c r="E104" i="109"/>
  <c r="AC70" i="109"/>
  <c r="AD67" i="109"/>
  <c r="AC67" i="109"/>
  <c r="AI185" i="109"/>
  <c r="E89" i="109"/>
  <c r="AI211" i="109"/>
  <c r="E62" i="109"/>
  <c r="AE139" i="109"/>
  <c r="AC139" i="109"/>
  <c r="AD139" i="109"/>
  <c r="E179" i="109"/>
  <c r="X248" i="109"/>
  <c r="W248" i="109"/>
  <c r="AC194" i="109"/>
  <c r="AD194" i="109"/>
  <c r="AI197" i="109"/>
  <c r="X85" i="109"/>
  <c r="W85" i="109"/>
  <c r="AD160" i="109"/>
  <c r="AC160" i="109"/>
  <c r="E149" i="109"/>
  <c r="AI135" i="109"/>
  <c r="AC146" i="109"/>
  <c r="AI169" i="109"/>
  <c r="AC100" i="109"/>
  <c r="AE159" i="107"/>
  <c r="I438" i="29" s="1"/>
  <c r="AI159" i="109"/>
  <c r="AI79" i="109"/>
  <c r="E167" i="109"/>
  <c r="AI62" i="109"/>
  <c r="W58" i="109"/>
  <c r="X58" i="109"/>
  <c r="AI119" i="109"/>
  <c r="AI77" i="109"/>
  <c r="E81" i="109"/>
  <c r="AC250" i="109"/>
  <c r="E222" i="109"/>
  <c r="E257" i="109"/>
  <c r="S159" i="109"/>
  <c r="O614" i="29" s="1"/>
  <c r="BN614" i="29" s="1"/>
  <c r="W189" i="109"/>
  <c r="X189" i="109"/>
  <c r="E153" i="109"/>
  <c r="W80" i="109"/>
  <c r="X80" i="109"/>
  <c r="E96" i="109"/>
  <c r="E209" i="109"/>
  <c r="AD150" i="109"/>
  <c r="AC150" i="109"/>
  <c r="AC131" i="109"/>
  <c r="W188" i="109"/>
  <c r="AC207" i="109"/>
  <c r="AI160" i="109"/>
  <c r="AC169" i="109"/>
  <c r="AD169" i="109"/>
  <c r="E85" i="109"/>
  <c r="E146" i="113"/>
  <c r="AI43" i="107"/>
  <c r="AD210" i="109"/>
  <c r="AC210" i="109"/>
  <c r="X96" i="109"/>
  <c r="W96" i="109"/>
  <c r="AC167" i="109"/>
  <c r="W191" i="109"/>
  <c r="X191" i="109"/>
  <c r="E169" i="109"/>
  <c r="AC95" i="109"/>
  <c r="E170" i="109"/>
  <c r="AI128" i="109"/>
  <c r="X52" i="109"/>
  <c r="W52" i="109"/>
  <c r="AC85" i="109"/>
  <c r="AD85" i="109"/>
  <c r="AD77" i="109"/>
  <c r="AC77" i="109"/>
  <c r="E49" i="109"/>
  <c r="AI167" i="109"/>
  <c r="AC163" i="109"/>
  <c r="AD163" i="109"/>
  <c r="X209" i="109"/>
  <c r="W209" i="109"/>
  <c r="E145" i="113"/>
  <c r="AI192" i="109"/>
  <c r="W107" i="109"/>
  <c r="X107" i="109"/>
  <c r="AI168" i="109"/>
  <c r="AI189" i="109"/>
  <c r="AI210" i="109"/>
  <c r="AI100" i="109"/>
  <c r="AI95" i="109"/>
  <c r="X79" i="109"/>
  <c r="W79" i="109"/>
  <c r="J152" i="19"/>
  <c r="AE101" i="29" s="1"/>
  <c r="AG101" i="29" s="1"/>
  <c r="AI150" i="109"/>
  <c r="E192" i="109"/>
  <c r="AC101" i="109"/>
  <c r="AD101" i="109"/>
  <c r="AC132" i="109"/>
  <c r="AD132" i="109"/>
  <c r="AI248" i="109"/>
  <c r="AI207" i="109"/>
  <c r="AC141" i="109"/>
  <c r="AD141" i="109"/>
  <c r="AI67" i="109"/>
  <c r="E58" i="109"/>
  <c r="AI101" i="109"/>
  <c r="W149" i="109"/>
  <c r="E119" i="109"/>
  <c r="W66" i="109"/>
  <c r="E56" i="109"/>
  <c r="AD96" i="109"/>
  <c r="AC96" i="109"/>
  <c r="W178" i="109"/>
  <c r="E61" i="109"/>
  <c r="AI120" i="109"/>
  <c r="E76" i="109"/>
  <c r="AC198" i="109"/>
  <c r="W86" i="109"/>
  <c r="X86" i="109"/>
  <c r="AC49" i="109"/>
  <c r="AI97" i="109"/>
  <c r="E189" i="109"/>
  <c r="E78" i="109"/>
  <c r="W160" i="109"/>
  <c r="X160" i="109"/>
  <c r="AI81" i="109"/>
  <c r="AI194" i="109"/>
  <c r="X109" i="109"/>
  <c r="W109" i="109"/>
  <c r="W61" i="109"/>
  <c r="E160" i="109"/>
  <c r="AI108" i="109"/>
  <c r="X141" i="109"/>
  <c r="W141" i="109"/>
  <c r="W43" i="109"/>
  <c r="W70" i="109"/>
  <c r="AI85" i="109"/>
  <c r="AI44" i="109"/>
  <c r="AC119" i="109"/>
  <c r="E138" i="109"/>
  <c r="E72" i="109"/>
  <c r="AC247" i="109"/>
  <c r="AD247" i="109"/>
  <c r="Y159" i="107"/>
  <c r="G438" i="29" s="1"/>
  <c r="J129" i="19"/>
  <c r="E46" i="109"/>
  <c r="E107" i="109"/>
  <c r="X91" i="109"/>
  <c r="W91" i="109"/>
  <c r="E226" i="109"/>
  <c r="AD52" i="109"/>
  <c r="AC52" i="109"/>
  <c r="E120" i="109"/>
  <c r="E197" i="109"/>
  <c r="E210" i="109"/>
  <c r="E109" i="109"/>
  <c r="AI170" i="109"/>
  <c r="X146" i="109"/>
  <c r="W146" i="109"/>
  <c r="AC188" i="109"/>
  <c r="AI49" i="109"/>
  <c r="AI91" i="109"/>
  <c r="AC130" i="112"/>
  <c r="E97" i="109"/>
  <c r="AD154" i="109"/>
  <c r="AC154" i="109"/>
  <c r="E129" i="109"/>
  <c r="AC246" i="109"/>
  <c r="W132" i="109"/>
  <c r="X132" i="109"/>
  <c r="E132" i="109"/>
  <c r="E66" i="109"/>
  <c r="AC84" i="109"/>
  <c r="W63" i="109"/>
  <c r="X63" i="109"/>
  <c r="X78" i="109"/>
  <c r="W78" i="109"/>
  <c r="E131" i="113"/>
  <c r="F124" i="19"/>
  <c r="AI146" i="109"/>
  <c r="AD159" i="109"/>
  <c r="AE159" i="109"/>
  <c r="I614" i="29" s="1"/>
  <c r="AC159" i="109"/>
  <c r="W44" i="109"/>
  <c r="AI58" i="109"/>
  <c r="AD81" i="109"/>
  <c r="AC81" i="109"/>
  <c r="AI106" i="109"/>
  <c r="AI78" i="109"/>
  <c r="AC197" i="109"/>
  <c r="AI249" i="109"/>
  <c r="E246" i="109"/>
  <c r="AC178" i="109"/>
  <c r="E110" i="109"/>
  <c r="AC145" i="109"/>
  <c r="S146" i="113"/>
  <c r="AC90" i="109"/>
  <c r="AD90" i="109"/>
  <c r="W161" i="109"/>
  <c r="X161" i="109"/>
  <c r="W128" i="109"/>
  <c r="W67" i="109"/>
  <c r="X67" i="109"/>
  <c r="E168" i="109"/>
  <c r="AI193" i="109"/>
  <c r="E178" i="109"/>
  <c r="AD133" i="109"/>
  <c r="AC133" i="109"/>
  <c r="E80" i="109"/>
  <c r="AI180" i="109"/>
  <c r="E44" i="109"/>
  <c r="J67" i="19"/>
  <c r="G85" i="115" s="1"/>
  <c r="AC248" i="109"/>
  <c r="AD248" i="109"/>
  <c r="X247" i="109"/>
  <c r="W247" i="109"/>
  <c r="AI145" i="109"/>
  <c r="AI89" i="109"/>
  <c r="E86" i="109"/>
  <c r="AI86" i="109"/>
  <c r="AD51" i="109"/>
  <c r="AC51" i="109"/>
  <c r="E90" i="109"/>
  <c r="AI154" i="109"/>
  <c r="AD107" i="109"/>
  <c r="AC107" i="109"/>
  <c r="W104" i="109"/>
  <c r="AI107" i="109"/>
  <c r="E247" i="109"/>
  <c r="X198" i="109"/>
  <c r="W198" i="109"/>
  <c r="S161" i="109"/>
  <c r="AC146" i="113"/>
  <c r="E130" i="112"/>
  <c r="W216" i="109"/>
  <c r="AC184" i="109"/>
  <c r="AD109" i="109"/>
  <c r="AC109" i="109"/>
  <c r="W84" i="109"/>
  <c r="AD50" i="109"/>
  <c r="AC50" i="109"/>
  <c r="AI198" i="109"/>
  <c r="W129" i="109"/>
  <c r="AC190" i="109"/>
  <c r="E77" i="109"/>
  <c r="AD62" i="109"/>
  <c r="AC62" i="109"/>
  <c r="W246" i="109"/>
  <c r="S160" i="109"/>
  <c r="AE160" i="109" s="1"/>
  <c r="X140" i="109"/>
  <c r="W140" i="109"/>
  <c r="X131" i="109"/>
  <c r="W131" i="109"/>
  <c r="AC249" i="109"/>
  <c r="E193" i="109"/>
  <c r="X106" i="109"/>
  <c r="W106" i="109"/>
  <c r="W194" i="109"/>
  <c r="X194" i="109"/>
  <c r="J130" i="19"/>
  <c r="H84" i="111" s="1"/>
  <c r="AC128" i="109"/>
  <c r="W71" i="109"/>
  <c r="X71" i="109"/>
  <c r="G149" i="115"/>
  <c r="R89" i="29"/>
  <c r="T89" i="29" s="1"/>
  <c r="Y48" i="19"/>
  <c r="AD103" i="29"/>
  <c r="AF103" i="29" s="1"/>
  <c r="Y154" i="19"/>
  <c r="L1022" i="29"/>
  <c r="Z105" i="29"/>
  <c r="L851" i="29"/>
  <c r="Y125" i="19"/>
  <c r="Y161" i="109"/>
  <c r="S106" i="29"/>
  <c r="U106" i="29" s="1"/>
  <c r="H84" i="108"/>
  <c r="G86" i="115"/>
  <c r="C23" i="98"/>
  <c r="Y4" i="115"/>
  <c r="G5" i="115"/>
  <c r="W20" i="115"/>
  <c r="V20" i="115"/>
  <c r="U20" i="115"/>
  <c r="AN154" i="112"/>
  <c r="AU63" i="112"/>
  <c r="AV129" i="112"/>
  <c r="AV179" i="112"/>
  <c r="AR56" i="112"/>
  <c r="AR130" i="112"/>
  <c r="AN208" i="112"/>
  <c r="AU105" i="112"/>
  <c r="AN194" i="112"/>
  <c r="AV104" i="112"/>
  <c r="AP108" i="112"/>
  <c r="AV133" i="112"/>
  <c r="AV61" i="112"/>
  <c r="AS180" i="112"/>
  <c r="AP77" i="112"/>
  <c r="AN223" i="112"/>
  <c r="AS106" i="112"/>
  <c r="AN84" i="112"/>
  <c r="AP250" i="112"/>
  <c r="AN211" i="112"/>
  <c r="AU110" i="112"/>
  <c r="AR184" i="112"/>
  <c r="AU108" i="112"/>
  <c r="AV208" i="112"/>
  <c r="AR90" i="112"/>
  <c r="AR207" i="112"/>
  <c r="AP208" i="112"/>
  <c r="AU120" i="112"/>
  <c r="AN158" i="112"/>
  <c r="AN161" i="112"/>
  <c r="AS179" i="112"/>
  <c r="AS211" i="112"/>
  <c r="AP170" i="112"/>
  <c r="AV27" i="109"/>
  <c r="AV141" i="112"/>
  <c r="AP105" i="112"/>
  <c r="AP190" i="112"/>
  <c r="AN191" i="112"/>
  <c r="AU89" i="112"/>
  <c r="AU189" i="112"/>
  <c r="AP120" i="112"/>
  <c r="AN140" i="112"/>
  <c r="AR168" i="112"/>
  <c r="AV84" i="112"/>
  <c r="AN225" i="112"/>
  <c r="AN63" i="112"/>
  <c r="AS185" i="112"/>
  <c r="AR210" i="112"/>
  <c r="AP97" i="112"/>
  <c r="AU200" i="112"/>
  <c r="AV130" i="113"/>
  <c r="AS170" i="112"/>
  <c r="AV109" i="112"/>
  <c r="AU45" i="112"/>
  <c r="AN180" i="112"/>
  <c r="AS71" i="112"/>
  <c r="AU79" i="112"/>
  <c r="AU91" i="112"/>
  <c r="AS208" i="112"/>
  <c r="AR169" i="112"/>
  <c r="AV80" i="112"/>
  <c r="AP200" i="112"/>
  <c r="AN146" i="112"/>
  <c r="AR139" i="112"/>
  <c r="AP51" i="112"/>
  <c r="AV96" i="112"/>
  <c r="AU216" i="112"/>
  <c r="AV191" i="112"/>
  <c r="AS67" i="112"/>
  <c r="AV211" i="112"/>
  <c r="AS139" i="112"/>
  <c r="AU194" i="112"/>
  <c r="AR85" i="112"/>
  <c r="AV135" i="112"/>
  <c r="AV62" i="112"/>
  <c r="AV77" i="112"/>
  <c r="AN257" i="112"/>
  <c r="AN153" i="112"/>
  <c r="AN209" i="112"/>
  <c r="AR188" i="112"/>
  <c r="AS169" i="112"/>
  <c r="AS210" i="112"/>
  <c r="AU167" i="112"/>
  <c r="AU95" i="112"/>
  <c r="AR52" i="112"/>
  <c r="AU77" i="112"/>
  <c r="AS163" i="112"/>
  <c r="AV192" i="112"/>
  <c r="AV189" i="112"/>
  <c r="AP79" i="112"/>
  <c r="AN192" i="112"/>
  <c r="AS141" i="112"/>
  <c r="AR149" i="112"/>
  <c r="AS96" i="112"/>
  <c r="AV120" i="112"/>
  <c r="AP86" i="112"/>
  <c r="AN78" i="112"/>
  <c r="AV81" i="112"/>
  <c r="AR61" i="112"/>
  <c r="AR141" i="112"/>
  <c r="AV44" i="112"/>
  <c r="AU247" i="112"/>
  <c r="AN46" i="112"/>
  <c r="AN226" i="112"/>
  <c r="AN197" i="112"/>
  <c r="AP146" i="112"/>
  <c r="AV91" i="112"/>
  <c r="AU154" i="112"/>
  <c r="AP132" i="112"/>
  <c r="AR63" i="112"/>
  <c r="AS81" i="112"/>
  <c r="AU197" i="112"/>
  <c r="AN110" i="112"/>
  <c r="AS90" i="112"/>
  <c r="AR67" i="112"/>
  <c r="AN178" i="112"/>
  <c r="AV180" i="112"/>
  <c r="AS248" i="112"/>
  <c r="AV89" i="112"/>
  <c r="AU51" i="112"/>
  <c r="AU107" i="112"/>
  <c r="AP198" i="112"/>
  <c r="AN130" i="113"/>
  <c r="AU109" i="112"/>
  <c r="AV198" i="112"/>
  <c r="AS62" i="112"/>
  <c r="AP140" i="112"/>
  <c r="AU249" i="112"/>
  <c r="AR194" i="112"/>
  <c r="AR71" i="112"/>
  <c r="AU153" i="112"/>
  <c r="AR167" i="112"/>
  <c r="AR158" i="112"/>
  <c r="AN159" i="112"/>
  <c r="AU44" i="112"/>
  <c r="AP130" i="112"/>
  <c r="AN128" i="112"/>
  <c r="AR197" i="112"/>
  <c r="AN258" i="112"/>
  <c r="AU56" i="112"/>
  <c r="AV71" i="112"/>
  <c r="AV50" i="112"/>
  <c r="AS57" i="112"/>
  <c r="AR77" i="112"/>
  <c r="AR150" i="112"/>
  <c r="AU158" i="112"/>
  <c r="AU106" i="112"/>
  <c r="AV158" i="112"/>
  <c r="AN95" i="112"/>
  <c r="AR250" i="112"/>
  <c r="AN43" i="112"/>
  <c r="AU161" i="112"/>
  <c r="AV246" i="112"/>
  <c r="AS108" i="112"/>
  <c r="AU209" i="112"/>
  <c r="AR101" i="112"/>
  <c r="AV45" i="112"/>
  <c r="AV247" i="112"/>
  <c r="AS120" i="112"/>
  <c r="AU97" i="112"/>
  <c r="AU149" i="112"/>
  <c r="AU179" i="112"/>
  <c r="AV72" i="112"/>
  <c r="AU66" i="112"/>
  <c r="AS168" i="112"/>
  <c r="AR49" i="112"/>
  <c r="AN101" i="112"/>
  <c r="AR159" i="112"/>
  <c r="AU78" i="112"/>
  <c r="AN207" i="112"/>
  <c r="AS140" i="112"/>
  <c r="AR120" i="112"/>
  <c r="AN250" i="112"/>
  <c r="AN227" i="112"/>
  <c r="AS86" i="112"/>
  <c r="AP180" i="112"/>
  <c r="AP199" i="112"/>
  <c r="AU185" i="112"/>
  <c r="AP210" i="112"/>
  <c r="AR97" i="112"/>
  <c r="AV90" i="112"/>
  <c r="AR138" i="112"/>
  <c r="AV250" i="112"/>
  <c r="AP133" i="112"/>
  <c r="AN141" i="112"/>
  <c r="AS58" i="112"/>
  <c r="AP163" i="112"/>
  <c r="AU135" i="112"/>
  <c r="AN52" i="112"/>
  <c r="AU208" i="112"/>
  <c r="AP169" i="112"/>
  <c r="AR193" i="112"/>
  <c r="AR200" i="112"/>
  <c r="AV70" i="112"/>
  <c r="AP139" i="112"/>
  <c r="AR51" i="112"/>
  <c r="AV52" i="112"/>
  <c r="AN71" i="112"/>
  <c r="AV149" i="112"/>
  <c r="AU67" i="112"/>
  <c r="AN62" i="112"/>
  <c r="AN179" i="112"/>
  <c r="AS194" i="112"/>
  <c r="AS160" i="112"/>
  <c r="AU146" i="112"/>
  <c r="AV159" i="112"/>
  <c r="AR58" i="112"/>
  <c r="AN81" i="112"/>
  <c r="AR80" i="112"/>
  <c r="AS150" i="112"/>
  <c r="AU207" i="112"/>
  <c r="AN85" i="112"/>
  <c r="AU210" i="112"/>
  <c r="AR191" i="112"/>
  <c r="AN170" i="112"/>
  <c r="AU85" i="112"/>
  <c r="AN49" i="112"/>
  <c r="AP209" i="112"/>
  <c r="AR107" i="112"/>
  <c r="AV210" i="112"/>
  <c r="AR79" i="112"/>
  <c r="AU101" i="112"/>
  <c r="AV248" i="112"/>
  <c r="AV67" i="112"/>
  <c r="AN119" i="112"/>
  <c r="AU96" i="112"/>
  <c r="AN76" i="112"/>
  <c r="AU49" i="112"/>
  <c r="AR160" i="112"/>
  <c r="AV194" i="112"/>
  <c r="AN160" i="112"/>
  <c r="AR43" i="112"/>
  <c r="AU119" i="112"/>
  <c r="AS247" i="112"/>
  <c r="AN107" i="112"/>
  <c r="AS52" i="112"/>
  <c r="AN210" i="112"/>
  <c r="AR146" i="112"/>
  <c r="AU130" i="113"/>
  <c r="AN129" i="112"/>
  <c r="AN132" i="112"/>
  <c r="AP63" i="112"/>
  <c r="AU159" i="112"/>
  <c r="AU81" i="112"/>
  <c r="AV249" i="112"/>
  <c r="AU145" i="112"/>
  <c r="AR161" i="112"/>
  <c r="AP67" i="112"/>
  <c r="AS133" i="112"/>
  <c r="AN44" i="112"/>
  <c r="AP247" i="112"/>
  <c r="AN86" i="112"/>
  <c r="AN90" i="112"/>
  <c r="AR104" i="112"/>
  <c r="AR198" i="112"/>
  <c r="AR216" i="112"/>
  <c r="AR84" i="112"/>
  <c r="AR129" i="112"/>
  <c r="AU62" i="112"/>
  <c r="AR140" i="112"/>
  <c r="AN193" i="112"/>
  <c r="AP194" i="112"/>
  <c r="AP71" i="112"/>
  <c r="AU193" i="112"/>
  <c r="AV56" i="112"/>
  <c r="AV105" i="112"/>
  <c r="AU76" i="112"/>
  <c r="AV46" i="112"/>
  <c r="AV76" i="112"/>
  <c r="AV34" i="109"/>
  <c r="AP249" i="112"/>
  <c r="AV184" i="112"/>
  <c r="AR57" i="112"/>
  <c r="AN105" i="112"/>
  <c r="AN190" i="112"/>
  <c r="AU57" i="112"/>
  <c r="AP150" i="112"/>
  <c r="AV216" i="112"/>
  <c r="AU43" i="112"/>
  <c r="AV57" i="112"/>
  <c r="AV51" i="112"/>
  <c r="AR154" i="112"/>
  <c r="AN198" i="112"/>
  <c r="AS161" i="112"/>
  <c r="AP50" i="112"/>
  <c r="AV190" i="112"/>
  <c r="AS209" i="112"/>
  <c r="AP101" i="112"/>
  <c r="AV163" i="112"/>
  <c r="AS72" i="112"/>
  <c r="AV140" i="112"/>
  <c r="AS97" i="112"/>
  <c r="AN50" i="112"/>
  <c r="AN199" i="112"/>
  <c r="AN67" i="112"/>
  <c r="AP211" i="112"/>
  <c r="AU168" i="112"/>
  <c r="AU129" i="112"/>
  <c r="AU46" i="112"/>
  <c r="AP159" i="112"/>
  <c r="AS78" i="112"/>
  <c r="AV161" i="112"/>
  <c r="AU140" i="112"/>
  <c r="AN200" i="112"/>
  <c r="AV138" i="112"/>
  <c r="AU86" i="112"/>
  <c r="AR180" i="112"/>
  <c r="AR199" i="112"/>
  <c r="AP192" i="112"/>
  <c r="AR46" i="112"/>
  <c r="AP81" i="112"/>
  <c r="AR62" i="112"/>
  <c r="AV139" i="112"/>
  <c r="AR72" i="112"/>
  <c r="AR133" i="112"/>
  <c r="AR110" i="112"/>
  <c r="AU58" i="112"/>
  <c r="AR163" i="112"/>
  <c r="AS135" i="112"/>
  <c r="AV200" i="112"/>
  <c r="AV178" i="112"/>
  <c r="AP185" i="112"/>
  <c r="AP193" i="112"/>
  <c r="AR179" i="112"/>
  <c r="AN188" i="112"/>
  <c r="AV199" i="112"/>
  <c r="AS80" i="112"/>
  <c r="AN224" i="112"/>
  <c r="AV110" i="112"/>
  <c r="AN104" i="112"/>
  <c r="AV185" i="112"/>
  <c r="AP248" i="112"/>
  <c r="AV197" i="112"/>
  <c r="AU160" i="112"/>
  <c r="AV169" i="112"/>
  <c r="AV79" i="112"/>
  <c r="AP58" i="112"/>
  <c r="AU250" i="112"/>
  <c r="AR189" i="112"/>
  <c r="AP80" i="112"/>
  <c r="AU150" i="112"/>
  <c r="AV160" i="112"/>
  <c r="AP96" i="112"/>
  <c r="AP191" i="112"/>
  <c r="AV128" i="112"/>
  <c r="AS85" i="112"/>
  <c r="AV167" i="112"/>
  <c r="AR209" i="112"/>
  <c r="AP107" i="112"/>
  <c r="AV100" i="112"/>
  <c r="AS101" i="112"/>
  <c r="AV207" i="112"/>
  <c r="AN58" i="112"/>
  <c r="AR66" i="112"/>
  <c r="AR178" i="112"/>
  <c r="AU198" i="112"/>
  <c r="AV97" i="112"/>
  <c r="AP109" i="112"/>
  <c r="AV108" i="112"/>
  <c r="AR70" i="112"/>
  <c r="AN138" i="112"/>
  <c r="AP91" i="112"/>
  <c r="AU52" i="112"/>
  <c r="AN109" i="112"/>
  <c r="AU188" i="112"/>
  <c r="AN97" i="112"/>
  <c r="AU246" i="112"/>
  <c r="AN66" i="112"/>
  <c r="AP78" i="112"/>
  <c r="AV146" i="112"/>
  <c r="AR44" i="112"/>
  <c r="AV106" i="112"/>
  <c r="AN246" i="112"/>
  <c r="AP161" i="112"/>
  <c r="AN168" i="112"/>
  <c r="AU133" i="112"/>
  <c r="AR247" i="112"/>
  <c r="AV86" i="112"/>
  <c r="AV154" i="112"/>
  <c r="AV107" i="112"/>
  <c r="AO161" i="112"/>
  <c r="AU184" i="112"/>
  <c r="AS50" i="112"/>
  <c r="AU190" i="112"/>
  <c r="AR246" i="112"/>
  <c r="AP131" i="112"/>
  <c r="AP106" i="112"/>
  <c r="T161" i="19"/>
  <c r="AS63" i="112"/>
  <c r="AS193" i="112"/>
  <c r="AR89" i="112"/>
  <c r="AU199" i="112"/>
  <c r="AN57" i="112"/>
  <c r="AN108" i="112"/>
  <c r="AU138" i="112"/>
  <c r="AS105" i="112"/>
  <c r="AR249" i="112"/>
  <c r="AV63" i="112"/>
  <c r="AP57" i="112"/>
  <c r="AR108" i="112"/>
  <c r="AN100" i="112"/>
  <c r="AR95" i="112"/>
  <c r="AU180" i="112"/>
  <c r="AN150" i="112"/>
  <c r="AR153" i="112"/>
  <c r="AV188" i="112"/>
  <c r="AV153" i="112"/>
  <c r="AV66" i="112"/>
  <c r="AV132" i="112"/>
  <c r="AP154" i="112"/>
  <c r="AS110" i="112"/>
  <c r="AR45" i="112"/>
  <c r="AR50" i="112"/>
  <c r="AV209" i="112"/>
  <c r="AP90" i="112"/>
  <c r="AN45" i="112"/>
  <c r="AR208" i="112"/>
  <c r="AU72" i="112"/>
  <c r="AR76" i="112"/>
  <c r="AN51" i="112"/>
  <c r="AN145" i="112"/>
  <c r="AU211" i="112"/>
  <c r="AR170" i="112"/>
  <c r="AR211" i="112"/>
  <c r="AN249" i="112"/>
  <c r="AR105" i="112"/>
  <c r="AR190" i="112"/>
  <c r="AN70" i="112"/>
  <c r="AN91" i="112"/>
  <c r="AU192" i="112"/>
  <c r="AN248" i="112"/>
  <c r="AP168" i="112"/>
  <c r="AN106" i="112"/>
  <c r="AU104" i="112"/>
  <c r="AU61" i="112"/>
  <c r="AR192" i="112"/>
  <c r="AN139" i="112"/>
  <c r="AR81" i="112"/>
  <c r="AP62" i="112"/>
  <c r="AU170" i="112"/>
  <c r="AP72" i="112"/>
  <c r="AR119" i="112"/>
  <c r="AP110" i="112"/>
  <c r="AU71" i="112"/>
  <c r="AS79" i="112"/>
  <c r="AS91" i="112"/>
  <c r="AN256" i="112"/>
  <c r="AR185" i="112"/>
  <c r="AN79" i="112"/>
  <c r="AP179" i="112"/>
  <c r="AN133" i="112"/>
  <c r="AR100" i="112"/>
  <c r="AU80" i="112"/>
  <c r="AU191" i="112"/>
  <c r="AR145" i="112"/>
  <c r="AU70" i="112"/>
  <c r="AN89" i="112"/>
  <c r="AU139" i="112"/>
  <c r="AR248" i="112"/>
  <c r="AP85" i="112"/>
  <c r="AN149" i="112"/>
  <c r="AU100" i="112"/>
  <c r="AN167" i="112"/>
  <c r="AV119" i="112"/>
  <c r="AN222" i="112"/>
  <c r="AP189" i="112"/>
  <c r="AN96" i="112"/>
  <c r="AU131" i="112"/>
  <c r="AU169" i="112"/>
  <c r="AV43" i="109"/>
  <c r="AR96" i="112"/>
  <c r="AN169" i="112"/>
  <c r="AP52" i="112"/>
  <c r="AS77" i="112"/>
  <c r="AU163" i="112"/>
  <c r="AV168" i="112"/>
  <c r="AV95" i="112"/>
  <c r="AV150" i="112"/>
  <c r="AU132" i="112"/>
  <c r="AU141" i="112"/>
  <c r="AV101" i="112"/>
  <c r="AN56" i="112"/>
  <c r="AN61" i="112"/>
  <c r="AR86" i="112"/>
  <c r="AN189" i="112"/>
  <c r="AP160" i="112"/>
  <c r="AR109" i="112"/>
  <c r="AP141" i="112"/>
  <c r="AV85" i="112"/>
  <c r="AN72" i="112"/>
  <c r="T160" i="19"/>
  <c r="AR91" i="112"/>
  <c r="AN120" i="112"/>
  <c r="AV170" i="112"/>
  <c r="AV49" i="112"/>
  <c r="AS154" i="112"/>
  <c r="AR132" i="112"/>
  <c r="AU84" i="112"/>
  <c r="AR78" i="112"/>
  <c r="AS159" i="112"/>
  <c r="AV58" i="112"/>
  <c r="AV78" i="112"/>
  <c r="AU178" i="112"/>
  <c r="AU90" i="112"/>
  <c r="AR128" i="112"/>
  <c r="AV193" i="112"/>
  <c r="AN80" i="112"/>
  <c r="AU248" i="112"/>
  <c r="AV145" i="112"/>
  <c r="AS51" i="112"/>
  <c r="AS107" i="112"/>
  <c r="AN247" i="112"/>
  <c r="AS109" i="112"/>
  <c r="AU50" i="112"/>
  <c r="AN77" i="112"/>
  <c r="AO160" i="112"/>
  <c r="AR131" i="112"/>
  <c r="AR106" i="112"/>
  <c r="AU128" i="112"/>
  <c r="AT160" i="112"/>
  <c r="AQ161" i="112"/>
  <c r="S156" i="19"/>
  <c r="AC128" i="112" l="1"/>
  <c r="W106" i="112"/>
  <c r="W131" i="112"/>
  <c r="Y131" i="112"/>
  <c r="X131" i="112"/>
  <c r="S160" i="112"/>
  <c r="O789" i="29" s="1"/>
  <c r="BN789" i="29" s="1"/>
  <c r="E77" i="112"/>
  <c r="AC50" i="112"/>
  <c r="E247" i="112"/>
  <c r="AI145" i="112"/>
  <c r="AC248" i="112"/>
  <c r="E80" i="112"/>
  <c r="AI193" i="112"/>
  <c r="W128" i="112"/>
  <c r="AC90" i="112"/>
  <c r="AC178" i="112"/>
  <c r="AI78" i="112"/>
  <c r="AI58" i="112"/>
  <c r="W78" i="112"/>
  <c r="AC84" i="112"/>
  <c r="W132" i="112"/>
  <c r="AI49" i="112"/>
  <c r="AI170" i="112"/>
  <c r="E120" i="112"/>
  <c r="W91" i="112"/>
  <c r="E72" i="112"/>
  <c r="AI85" i="112"/>
  <c r="W109" i="112"/>
  <c r="E189" i="112"/>
  <c r="W86" i="112"/>
  <c r="E61" i="112"/>
  <c r="E56" i="112"/>
  <c r="AI101" i="112"/>
  <c r="AC141" i="112"/>
  <c r="AC132" i="112"/>
  <c r="AI150" i="112"/>
  <c r="AI95" i="112"/>
  <c r="AI168" i="112"/>
  <c r="AC163" i="112"/>
  <c r="E169" i="112"/>
  <c r="W96" i="112"/>
  <c r="AI43" i="109"/>
  <c r="AC169" i="112"/>
  <c r="AC131" i="112"/>
  <c r="AD131" i="112"/>
  <c r="E96" i="112"/>
  <c r="E222" i="112"/>
  <c r="AI119" i="112"/>
  <c r="E167" i="112"/>
  <c r="AC100" i="112"/>
  <c r="E149" i="112"/>
  <c r="W248" i="112"/>
  <c r="AC139" i="112"/>
  <c r="E89" i="112"/>
  <c r="AC70" i="112"/>
  <c r="W145" i="112"/>
  <c r="X145" i="112"/>
  <c r="AC191" i="112"/>
  <c r="AC80" i="112"/>
  <c r="W100" i="112"/>
  <c r="E133" i="112"/>
  <c r="E79" i="112"/>
  <c r="W185" i="112"/>
  <c r="E256" i="112"/>
  <c r="AC71" i="112"/>
  <c r="W119" i="112"/>
  <c r="AC170" i="112"/>
  <c r="W81" i="112"/>
  <c r="E139" i="112"/>
  <c r="W192" i="112"/>
  <c r="AC61" i="112"/>
  <c r="AC104" i="112"/>
  <c r="E106" i="112"/>
  <c r="E248" i="112"/>
  <c r="AC192" i="112"/>
  <c r="E91" i="112"/>
  <c r="E70" i="112"/>
  <c r="W190" i="112"/>
  <c r="W105" i="112"/>
  <c r="E249" i="112"/>
  <c r="W211" i="112"/>
  <c r="W170" i="112"/>
  <c r="AC211" i="112"/>
  <c r="E51" i="112"/>
  <c r="W76" i="112"/>
  <c r="AC72" i="112"/>
  <c r="W208" i="112"/>
  <c r="E45" i="112"/>
  <c r="AI209" i="112"/>
  <c r="W50" i="112"/>
  <c r="W45" i="112"/>
  <c r="AI132" i="112"/>
  <c r="AI66" i="112"/>
  <c r="AI153" i="112"/>
  <c r="AI188" i="112"/>
  <c r="W153" i="112"/>
  <c r="E150" i="112"/>
  <c r="AC180" i="112"/>
  <c r="W95" i="112"/>
  <c r="E100" i="112"/>
  <c r="W108" i="112"/>
  <c r="AI63" i="112"/>
  <c r="W249" i="112"/>
  <c r="AC138" i="112"/>
  <c r="E108" i="112"/>
  <c r="E57" i="112"/>
  <c r="AC199" i="112"/>
  <c r="W89" i="112"/>
  <c r="W246" i="112"/>
  <c r="AC190" i="112"/>
  <c r="AC184" i="112"/>
  <c r="S161" i="112"/>
  <c r="AI107" i="112"/>
  <c r="AI154" i="112"/>
  <c r="AI86" i="112"/>
  <c r="W247" i="112"/>
  <c r="AC133" i="112"/>
  <c r="E168" i="112"/>
  <c r="E246" i="112"/>
  <c r="AI106" i="112"/>
  <c r="W44" i="112"/>
  <c r="AI146" i="112"/>
  <c r="E66" i="112"/>
  <c r="AC246" i="112"/>
  <c r="E97" i="112"/>
  <c r="AC188" i="112"/>
  <c r="E109" i="112"/>
  <c r="AC52" i="112"/>
  <c r="E138" i="112"/>
  <c r="W70" i="112"/>
  <c r="AI108" i="112"/>
  <c r="AI97" i="112"/>
  <c r="AC198" i="112"/>
  <c r="W178" i="112"/>
  <c r="W66" i="112"/>
  <c r="E58" i="112"/>
  <c r="AI207" i="112"/>
  <c r="AI100" i="112"/>
  <c r="W209" i="112"/>
  <c r="AI167" i="112"/>
  <c r="AI128" i="112"/>
  <c r="AI160" i="112"/>
  <c r="AC150" i="112"/>
  <c r="W189" i="112"/>
  <c r="AC250" i="112"/>
  <c r="AI79" i="112"/>
  <c r="AI169" i="112"/>
  <c r="AC160" i="112"/>
  <c r="AD160" i="112"/>
  <c r="AE160" i="112"/>
  <c r="I789" i="29" s="1"/>
  <c r="AI197" i="112"/>
  <c r="AI185" i="112"/>
  <c r="E104" i="112"/>
  <c r="AI110" i="112"/>
  <c r="E224" i="112"/>
  <c r="AI199" i="112"/>
  <c r="E188" i="112"/>
  <c r="W179" i="112"/>
  <c r="AI178" i="112"/>
  <c r="AI200" i="112"/>
  <c r="W163" i="112"/>
  <c r="AC58" i="112"/>
  <c r="W110" i="112"/>
  <c r="W133" i="112"/>
  <c r="W72" i="112"/>
  <c r="AI139" i="112"/>
  <c r="W62" i="112"/>
  <c r="W46" i="112"/>
  <c r="W199" i="112"/>
  <c r="W180" i="112"/>
  <c r="AC86" i="112"/>
  <c r="AI138" i="112"/>
  <c r="E200" i="112"/>
  <c r="AC140" i="112"/>
  <c r="AI161" i="112"/>
  <c r="AC46" i="112"/>
  <c r="AC129" i="112"/>
  <c r="AC168" i="112"/>
  <c r="E67" i="112"/>
  <c r="E199" i="112"/>
  <c r="E50" i="112"/>
  <c r="AI140" i="112"/>
  <c r="AI163" i="112"/>
  <c r="AI190" i="112"/>
  <c r="E198" i="112"/>
  <c r="W154" i="112"/>
  <c r="AI51" i="112"/>
  <c r="AI57" i="112"/>
  <c r="AC43" i="112"/>
  <c r="AI216" i="112"/>
  <c r="AC57" i="112"/>
  <c r="E190" i="112"/>
  <c r="E105" i="112"/>
  <c r="W57" i="112"/>
  <c r="AI184" i="112"/>
  <c r="AI34" i="109"/>
  <c r="AI76" i="112"/>
  <c r="AI46" i="112"/>
  <c r="AC76" i="112"/>
  <c r="AI105" i="112"/>
  <c r="AI56" i="112"/>
  <c r="AC193" i="112"/>
  <c r="E193" i="112"/>
  <c r="W140" i="112"/>
  <c r="AC62" i="112"/>
  <c r="W129" i="112"/>
  <c r="W84" i="112"/>
  <c r="W216" i="112"/>
  <c r="W198" i="112"/>
  <c r="W104" i="112"/>
  <c r="E90" i="112"/>
  <c r="E86" i="112"/>
  <c r="E44" i="112"/>
  <c r="X161" i="112"/>
  <c r="W161" i="112"/>
  <c r="AC145" i="112"/>
  <c r="AD145" i="112"/>
  <c r="AI249" i="112"/>
  <c r="AC81" i="112"/>
  <c r="AC159" i="112"/>
  <c r="E132" i="112"/>
  <c r="E129" i="112"/>
  <c r="AC130" i="113"/>
  <c r="X146" i="112"/>
  <c r="W146" i="112"/>
  <c r="Y146" i="112"/>
  <c r="E210" i="112"/>
  <c r="E107" i="112"/>
  <c r="AC119" i="112"/>
  <c r="W43" i="112"/>
  <c r="E160" i="112"/>
  <c r="AI194" i="112"/>
  <c r="W160" i="112"/>
  <c r="X160" i="112"/>
  <c r="AC49" i="112"/>
  <c r="E76" i="112"/>
  <c r="AC96" i="112"/>
  <c r="E119" i="112"/>
  <c r="AI67" i="112"/>
  <c r="AI248" i="112"/>
  <c r="AC101" i="112"/>
  <c r="W79" i="112"/>
  <c r="AI210" i="112"/>
  <c r="W107" i="112"/>
  <c r="E49" i="112"/>
  <c r="AC85" i="112"/>
  <c r="E170" i="112"/>
  <c r="W191" i="112"/>
  <c r="AC210" i="112"/>
  <c r="E85" i="112"/>
  <c r="AC207" i="112"/>
  <c r="AD207" i="112"/>
  <c r="W80" i="112"/>
  <c r="E81" i="112"/>
  <c r="W58" i="112"/>
  <c r="AI159" i="112"/>
  <c r="E179" i="112"/>
  <c r="E62" i="112"/>
  <c r="AC67" i="112"/>
  <c r="AI149" i="112"/>
  <c r="E71" i="112"/>
  <c r="AI52" i="112"/>
  <c r="W51" i="112"/>
  <c r="AI70" i="112"/>
  <c r="W200" i="112"/>
  <c r="W193" i="112"/>
  <c r="AC208" i="112"/>
  <c r="E52" i="112"/>
  <c r="AC135" i="112"/>
  <c r="E141" i="112"/>
  <c r="AI250" i="112"/>
  <c r="W138" i="112"/>
  <c r="AI90" i="112"/>
  <c r="W97" i="112"/>
  <c r="AC185" i="112"/>
  <c r="E227" i="112"/>
  <c r="E250" i="112"/>
  <c r="W120" i="112"/>
  <c r="E207" i="112"/>
  <c r="AC78" i="112"/>
  <c r="W159" i="112"/>
  <c r="E101" i="112"/>
  <c r="W49" i="112"/>
  <c r="AC66" i="112"/>
  <c r="AI72" i="112"/>
  <c r="AC179" i="112"/>
  <c r="AC149" i="112"/>
  <c r="AC97" i="112"/>
  <c r="AI247" i="112"/>
  <c r="AI45" i="112"/>
  <c r="W101" i="112"/>
  <c r="AC209" i="112"/>
  <c r="AI246" i="112"/>
  <c r="AC161" i="112"/>
  <c r="AD161" i="112"/>
  <c r="E43" i="112"/>
  <c r="W250" i="112"/>
  <c r="E95" i="112"/>
  <c r="AI158" i="112"/>
  <c r="AC106" i="112"/>
  <c r="AC158" i="112"/>
  <c r="W150" i="112"/>
  <c r="W77" i="112"/>
  <c r="AI50" i="112"/>
  <c r="AI71" i="112"/>
  <c r="AC56" i="112"/>
  <c r="E258" i="112"/>
  <c r="W197" i="112"/>
  <c r="E128" i="112"/>
  <c r="AC44" i="112"/>
  <c r="E159" i="112"/>
  <c r="W158" i="112"/>
  <c r="W167" i="112"/>
  <c r="AC153" i="112"/>
  <c r="W71" i="112"/>
  <c r="W194" i="112"/>
  <c r="AC249" i="112"/>
  <c r="AI198" i="112"/>
  <c r="AC109" i="112"/>
  <c r="E130" i="113"/>
  <c r="AC107" i="112"/>
  <c r="AC51" i="112"/>
  <c r="AI89" i="112"/>
  <c r="AI180" i="112"/>
  <c r="E178" i="112"/>
  <c r="W67" i="112"/>
  <c r="E110" i="112"/>
  <c r="AC197" i="112"/>
  <c r="W63" i="112"/>
  <c r="AC154" i="112"/>
  <c r="AI91" i="112"/>
  <c r="E197" i="112"/>
  <c r="E226" i="112"/>
  <c r="E46" i="112"/>
  <c r="AC247" i="112"/>
  <c r="AI44" i="112"/>
  <c r="W141" i="112"/>
  <c r="W61" i="112"/>
  <c r="AI81" i="112"/>
  <c r="E78" i="112"/>
  <c r="AI120" i="112"/>
  <c r="W149" i="112"/>
  <c r="E192" i="112"/>
  <c r="AI189" i="112"/>
  <c r="AI192" i="112"/>
  <c r="AC77" i="112"/>
  <c r="W52" i="112"/>
  <c r="AC95" i="112"/>
  <c r="AC167" i="112"/>
  <c r="W188" i="112"/>
  <c r="E209" i="112"/>
  <c r="E153" i="112"/>
  <c r="E257" i="112"/>
  <c r="AI77" i="112"/>
  <c r="AI62" i="112"/>
  <c r="AI135" i="112"/>
  <c r="W85" i="112"/>
  <c r="AC194" i="112"/>
  <c r="AI211" i="112"/>
  <c r="AI191" i="112"/>
  <c r="AC216" i="112"/>
  <c r="AI96" i="112"/>
  <c r="W139" i="112"/>
  <c r="AI80" i="112"/>
  <c r="W169" i="112"/>
  <c r="AC91" i="112"/>
  <c r="AC79" i="112"/>
  <c r="E180" i="112"/>
  <c r="AC45" i="112"/>
  <c r="AI109" i="112"/>
  <c r="AI130" i="113"/>
  <c r="AC200" i="112"/>
  <c r="W210" i="112"/>
  <c r="E63" i="112"/>
  <c r="E225" i="112"/>
  <c r="AI84" i="112"/>
  <c r="W168" i="112"/>
  <c r="E140" i="112"/>
  <c r="AC189" i="112"/>
  <c r="AC89" i="112"/>
  <c r="E191" i="112"/>
  <c r="AI141" i="112"/>
  <c r="AI27" i="109"/>
  <c r="E161" i="112"/>
  <c r="E158" i="112"/>
  <c r="AC120" i="112"/>
  <c r="W207" i="112"/>
  <c r="X207" i="112"/>
  <c r="W90" i="112"/>
  <c r="AI208" i="112"/>
  <c r="AC108" i="112"/>
  <c r="W184" i="112"/>
  <c r="AC110" i="112"/>
  <c r="E211" i="112"/>
  <c r="E84" i="112"/>
  <c r="E223" i="112"/>
  <c r="AI61" i="112"/>
  <c r="AI133" i="112"/>
  <c r="AI104" i="112"/>
  <c r="E194" i="112"/>
  <c r="AC105" i="112"/>
  <c r="E208" i="112"/>
  <c r="W130" i="112"/>
  <c r="W56" i="112"/>
  <c r="AI179" i="112"/>
  <c r="AI129" i="112"/>
  <c r="AC63" i="112"/>
  <c r="E154" i="112"/>
  <c r="O615" i="29"/>
  <c r="BN615" i="29" s="1"/>
  <c r="H614" i="29"/>
  <c r="G211" i="115"/>
  <c r="F615" i="29"/>
  <c r="Y159" i="109"/>
  <c r="G614" i="29" s="1"/>
  <c r="L661" i="29"/>
  <c r="Y79" i="19"/>
  <c r="V89" i="29"/>
  <c r="X89" i="29" s="1"/>
  <c r="G212" i="115"/>
  <c r="AA106" i="29"/>
  <c r="AE161" i="109"/>
  <c r="Y160" i="109"/>
  <c r="M615" i="29"/>
  <c r="BL615" i="29" s="1"/>
  <c r="F614" i="29"/>
  <c r="Y46" i="19"/>
  <c r="L483" i="29"/>
  <c r="R87" i="29"/>
  <c r="L659" i="29"/>
  <c r="Y77" i="19"/>
  <c r="V87" i="29"/>
  <c r="Z104" i="29"/>
  <c r="Y124" i="19"/>
  <c r="L850" i="29"/>
  <c r="M614" i="29"/>
  <c r="H615" i="29"/>
  <c r="W106" i="29"/>
  <c r="Y106" i="29" s="1"/>
  <c r="H84" i="110"/>
  <c r="L833" i="29"/>
  <c r="AJ832" i="29" s="1"/>
  <c r="BD728" i="29" s="1"/>
  <c r="Z87" i="29"/>
  <c r="Y108" i="19"/>
  <c r="L835" i="29"/>
  <c r="Y110" i="19"/>
  <c r="Z89" i="29"/>
  <c r="AB89" i="29" s="1"/>
  <c r="AE161" i="112"/>
  <c r="Y160" i="112"/>
  <c r="G789" i="29" s="1"/>
  <c r="F156" i="19"/>
  <c r="H85" i="108"/>
  <c r="K84" i="108"/>
  <c r="H789" i="29"/>
  <c r="AB105" i="29"/>
  <c r="AA105" i="29"/>
  <c r="I615" i="29"/>
  <c r="H85" i="111"/>
  <c r="K84" i="111"/>
  <c r="T9" i="115"/>
  <c r="V9" i="115"/>
  <c r="P20" i="115"/>
  <c r="P272" i="115"/>
  <c r="Q272" i="115" s="1"/>
  <c r="P209" i="115"/>
  <c r="P210" i="115" s="1"/>
  <c r="P83" i="115"/>
  <c r="P146" i="115"/>
  <c r="AU128" i="113"/>
  <c r="AP131" i="113"/>
  <c r="AN247" i="113"/>
  <c r="AV193" i="113"/>
  <c r="AV78" i="113"/>
  <c r="AR132" i="113"/>
  <c r="AR91" i="113"/>
  <c r="AN189" i="113"/>
  <c r="AV101" i="113"/>
  <c r="AV95" i="113"/>
  <c r="AR96" i="113"/>
  <c r="AN167" i="113"/>
  <c r="AU139" i="113"/>
  <c r="AN133" i="113"/>
  <c r="AU71" i="113"/>
  <c r="AN139" i="113"/>
  <c r="AN106" i="113"/>
  <c r="AN70" i="113"/>
  <c r="AR211" i="113"/>
  <c r="AR76" i="113"/>
  <c r="AV209" i="113"/>
  <c r="AV66" i="113"/>
  <c r="AN150" i="113"/>
  <c r="AR108" i="113"/>
  <c r="AN108" i="113"/>
  <c r="AR246" i="113"/>
  <c r="AV107" i="113"/>
  <c r="AU133" i="113"/>
  <c r="AR44" i="113"/>
  <c r="AN97" i="113"/>
  <c r="AN138" i="113"/>
  <c r="AU198" i="113"/>
  <c r="AV207" i="113"/>
  <c r="AV128" i="113"/>
  <c r="AU250" i="113"/>
  <c r="AS160" i="113"/>
  <c r="AN104" i="113"/>
  <c r="AN188" i="113"/>
  <c r="AR163" i="113"/>
  <c r="AR72" i="113"/>
  <c r="AR199" i="113"/>
  <c r="AN200" i="113"/>
  <c r="AU129" i="113"/>
  <c r="AN50" i="113"/>
  <c r="AN198" i="113"/>
  <c r="AU43" i="113"/>
  <c r="AN105" i="113"/>
  <c r="AV76" i="113"/>
  <c r="AV56" i="113"/>
  <c r="AU62" i="113"/>
  <c r="AR198" i="113"/>
  <c r="AN44" i="113"/>
  <c r="AN132" i="113"/>
  <c r="AR146" i="113"/>
  <c r="AU119" i="113"/>
  <c r="AR160" i="113"/>
  <c r="AU96" i="113"/>
  <c r="AU101" i="113"/>
  <c r="AN49" i="113"/>
  <c r="AU210" i="113"/>
  <c r="AR80" i="113"/>
  <c r="AN179" i="113"/>
  <c r="AN71" i="113"/>
  <c r="AR200" i="113"/>
  <c r="AU135" i="113"/>
  <c r="AV90" i="113"/>
  <c r="AN250" i="113"/>
  <c r="AR159" i="113"/>
  <c r="AV72" i="113"/>
  <c r="AV247" i="113"/>
  <c r="AV246" i="113"/>
  <c r="AR250" i="113"/>
  <c r="AU158" i="113"/>
  <c r="AV71" i="113"/>
  <c r="AN128" i="113"/>
  <c r="AR167" i="113"/>
  <c r="AU249" i="113"/>
  <c r="AU107" i="113"/>
  <c r="AN178" i="113"/>
  <c r="AR63" i="113"/>
  <c r="AN226" i="113"/>
  <c r="AR141" i="113"/>
  <c r="AV120" i="113"/>
  <c r="AV192" i="113"/>
  <c r="AU167" i="113"/>
  <c r="AN257" i="113"/>
  <c r="AR85" i="113"/>
  <c r="AU216" i="113"/>
  <c r="AR169" i="113"/>
  <c r="AU45" i="113"/>
  <c r="AR210" i="113"/>
  <c r="AR168" i="113"/>
  <c r="AN191" i="113"/>
  <c r="AN158" i="113"/>
  <c r="AR90" i="113"/>
  <c r="AU110" i="113"/>
  <c r="AV61" i="113"/>
  <c r="AU105" i="113"/>
  <c r="AV179" i="113"/>
  <c r="AQ160" i="112"/>
  <c r="S141" i="19"/>
  <c r="AR106" i="113"/>
  <c r="AV145" i="113"/>
  <c r="AR128" i="113"/>
  <c r="AV58" i="113"/>
  <c r="AV49" i="113"/>
  <c r="AN72" i="113"/>
  <c r="AR86" i="113"/>
  <c r="AU141" i="113"/>
  <c r="AV168" i="113"/>
  <c r="AV43" i="112"/>
  <c r="AN96" i="113"/>
  <c r="AU100" i="113"/>
  <c r="AN89" i="113"/>
  <c r="AU191" i="113"/>
  <c r="AN79" i="113"/>
  <c r="AR119" i="113"/>
  <c r="AR192" i="113"/>
  <c r="AN248" i="113"/>
  <c r="AR190" i="113"/>
  <c r="AR170" i="113"/>
  <c r="AU72" i="113"/>
  <c r="AR50" i="113"/>
  <c r="AV153" i="113"/>
  <c r="AU180" i="113"/>
  <c r="AV63" i="113"/>
  <c r="AN57" i="113"/>
  <c r="AU190" i="113"/>
  <c r="AV154" i="113"/>
  <c r="AN168" i="113"/>
  <c r="AV146" i="113"/>
  <c r="AU188" i="113"/>
  <c r="AR70" i="113"/>
  <c r="AR178" i="113"/>
  <c r="AV100" i="113"/>
  <c r="AV160" i="113"/>
  <c r="AV79" i="113"/>
  <c r="AV110" i="113"/>
  <c r="AR179" i="113"/>
  <c r="AU58" i="113"/>
  <c r="AV139" i="113"/>
  <c r="AR180" i="113"/>
  <c r="AU140" i="113"/>
  <c r="AU168" i="113"/>
  <c r="AV140" i="113"/>
  <c r="AR154" i="113"/>
  <c r="AV216" i="113"/>
  <c r="AR57" i="113"/>
  <c r="AV46" i="113"/>
  <c r="AU193" i="113"/>
  <c r="AR129" i="113"/>
  <c r="AR104" i="113"/>
  <c r="AP161" i="113"/>
  <c r="AV249" i="113"/>
  <c r="AN129" i="113"/>
  <c r="AQ146" i="113"/>
  <c r="AR43" i="113"/>
  <c r="AP160" i="113"/>
  <c r="AN119" i="113"/>
  <c r="AR79" i="113"/>
  <c r="AU85" i="113"/>
  <c r="AN85" i="113"/>
  <c r="AN81" i="113"/>
  <c r="AN62" i="113"/>
  <c r="AV52" i="113"/>
  <c r="AR193" i="113"/>
  <c r="AN141" i="113"/>
  <c r="AR97" i="113"/>
  <c r="AR120" i="113"/>
  <c r="AN101" i="113"/>
  <c r="AU179" i="113"/>
  <c r="AV45" i="113"/>
  <c r="AU161" i="113"/>
  <c r="AN95" i="113"/>
  <c r="AR150" i="113"/>
  <c r="AU56" i="113"/>
  <c r="AU44" i="113"/>
  <c r="AU153" i="113"/>
  <c r="AV198" i="113"/>
  <c r="AU51" i="113"/>
  <c r="AR67" i="113"/>
  <c r="AU154" i="113"/>
  <c r="AN46" i="113"/>
  <c r="AR61" i="113"/>
  <c r="AR149" i="113"/>
  <c r="AU77" i="113"/>
  <c r="AR188" i="113"/>
  <c r="AV77" i="113"/>
  <c r="AU194" i="113"/>
  <c r="AV96" i="113"/>
  <c r="AU91" i="113"/>
  <c r="AV109" i="113"/>
  <c r="AN63" i="113"/>
  <c r="AN140" i="113"/>
  <c r="AV141" i="113"/>
  <c r="AU120" i="113"/>
  <c r="AV208" i="113"/>
  <c r="AN211" i="113"/>
  <c r="AV133" i="113"/>
  <c r="AN208" i="113"/>
  <c r="AV129" i="113"/>
  <c r="AR131" i="113"/>
  <c r="AN77" i="113"/>
  <c r="AU248" i="113"/>
  <c r="AU90" i="113"/>
  <c r="AR78" i="113"/>
  <c r="AV170" i="113"/>
  <c r="AV85" i="113"/>
  <c r="AN61" i="113"/>
  <c r="AU132" i="113"/>
  <c r="AU163" i="113"/>
  <c r="AU169" i="113"/>
  <c r="AN222" i="113"/>
  <c r="AN149" i="113"/>
  <c r="AU70" i="113"/>
  <c r="AU80" i="113"/>
  <c r="AR185" i="113"/>
  <c r="AU170" i="113"/>
  <c r="AU61" i="113"/>
  <c r="AU192" i="113"/>
  <c r="AR105" i="113"/>
  <c r="AU211" i="113"/>
  <c r="AR208" i="113"/>
  <c r="AR45" i="113"/>
  <c r="AV188" i="113"/>
  <c r="AR95" i="113"/>
  <c r="AR249" i="113"/>
  <c r="AU199" i="113"/>
  <c r="AU184" i="113"/>
  <c r="AV86" i="113"/>
  <c r="AN246" i="113"/>
  <c r="AN66" i="113"/>
  <c r="AN109" i="113"/>
  <c r="AV108" i="113"/>
  <c r="AR66" i="113"/>
  <c r="AR209" i="113"/>
  <c r="AU150" i="113"/>
  <c r="AV169" i="113"/>
  <c r="AV197" i="113"/>
  <c r="AN224" i="113"/>
  <c r="AV178" i="113"/>
  <c r="AR110" i="113"/>
  <c r="AR62" i="113"/>
  <c r="AU86" i="113"/>
  <c r="AV161" i="113"/>
  <c r="AN67" i="113"/>
  <c r="AV163" i="113"/>
  <c r="AV51" i="113"/>
  <c r="AU57" i="113"/>
  <c r="AV184" i="113"/>
  <c r="AU76" i="113"/>
  <c r="AN193" i="113"/>
  <c r="AR84" i="113"/>
  <c r="AN90" i="113"/>
  <c r="AR161" i="113"/>
  <c r="AU81" i="113"/>
  <c r="AN210" i="113"/>
  <c r="AN160" i="113"/>
  <c r="AU49" i="113"/>
  <c r="AV67" i="113"/>
  <c r="AV210" i="113"/>
  <c r="AN170" i="113"/>
  <c r="AU207" i="113"/>
  <c r="AR58" i="113"/>
  <c r="AU67" i="113"/>
  <c r="AR51" i="113"/>
  <c r="AU208" i="113"/>
  <c r="AV250" i="113"/>
  <c r="AU185" i="113"/>
  <c r="AN207" i="113"/>
  <c r="AR49" i="113"/>
  <c r="AU149" i="113"/>
  <c r="AR101" i="113"/>
  <c r="AS161" i="113"/>
  <c r="AV158" i="113"/>
  <c r="AR77" i="113"/>
  <c r="AN258" i="113"/>
  <c r="AN159" i="113"/>
  <c r="AR71" i="113"/>
  <c r="AU109" i="113"/>
  <c r="AV89" i="113"/>
  <c r="AN110" i="113"/>
  <c r="AV91" i="113"/>
  <c r="AU247" i="113"/>
  <c r="AV81" i="113"/>
  <c r="AN192" i="113"/>
  <c r="AR52" i="113"/>
  <c r="AN209" i="113"/>
  <c r="AV62" i="113"/>
  <c r="AV211" i="113"/>
  <c r="AR139" i="113"/>
  <c r="AU79" i="113"/>
  <c r="AN225" i="113"/>
  <c r="AU189" i="113"/>
  <c r="AV27" i="112"/>
  <c r="AR207" i="113"/>
  <c r="AU108" i="113"/>
  <c r="AN84" i="113"/>
  <c r="AV104" i="113"/>
  <c r="AR130" i="113"/>
  <c r="AU63" i="113"/>
  <c r="S155" i="19"/>
  <c r="S139" i="19"/>
  <c r="AU50" i="113"/>
  <c r="AN80" i="113"/>
  <c r="AU178" i="113"/>
  <c r="AU84" i="113"/>
  <c r="AN120" i="113"/>
  <c r="AR109" i="113"/>
  <c r="AN56" i="113"/>
  <c r="AV150" i="113"/>
  <c r="AN169" i="113"/>
  <c r="AU131" i="113"/>
  <c r="AV119" i="113"/>
  <c r="AR248" i="113"/>
  <c r="AR145" i="113"/>
  <c r="AR100" i="113"/>
  <c r="AN256" i="113"/>
  <c r="AR81" i="113"/>
  <c r="AU104" i="113"/>
  <c r="AN91" i="113"/>
  <c r="AN249" i="113"/>
  <c r="AN51" i="113"/>
  <c r="AN45" i="113"/>
  <c r="AV132" i="113"/>
  <c r="AR153" i="113"/>
  <c r="AN100" i="113"/>
  <c r="AU138" i="113"/>
  <c r="AR89" i="113"/>
  <c r="AO161" i="113"/>
  <c r="AR247" i="113"/>
  <c r="AV106" i="113"/>
  <c r="AU246" i="113"/>
  <c r="AU52" i="113"/>
  <c r="AV97" i="113"/>
  <c r="AN58" i="113"/>
  <c r="AV167" i="113"/>
  <c r="AR189" i="113"/>
  <c r="AU160" i="113"/>
  <c r="AV185" i="113"/>
  <c r="AV199" i="113"/>
  <c r="AV200" i="113"/>
  <c r="AR133" i="113"/>
  <c r="AR46" i="113"/>
  <c r="AV138" i="113"/>
  <c r="AU46" i="113"/>
  <c r="AN199" i="113"/>
  <c r="AV190" i="113"/>
  <c r="AV57" i="113"/>
  <c r="AN190" i="113"/>
  <c r="AV34" i="112"/>
  <c r="AV105" i="113"/>
  <c r="AR140" i="113"/>
  <c r="AR216" i="113"/>
  <c r="AN86" i="113"/>
  <c r="AU145" i="113"/>
  <c r="AU159" i="113"/>
  <c r="AP146" i="113"/>
  <c r="AN107" i="113"/>
  <c r="AV194" i="113"/>
  <c r="AN76" i="113"/>
  <c r="AV248" i="113"/>
  <c r="AR107" i="113"/>
  <c r="AR191" i="113"/>
  <c r="AV159" i="113"/>
  <c r="AV149" i="113"/>
  <c r="AV70" i="113"/>
  <c r="AN52" i="113"/>
  <c r="AR138" i="113"/>
  <c r="AN227" i="113"/>
  <c r="AU78" i="113"/>
  <c r="AU66" i="113"/>
  <c r="AU97" i="113"/>
  <c r="AU209" i="113"/>
  <c r="AN43" i="113"/>
  <c r="AU106" i="113"/>
  <c r="AV50" i="113"/>
  <c r="AR197" i="113"/>
  <c r="AR158" i="113"/>
  <c r="AR194" i="113"/>
  <c r="AV180" i="113"/>
  <c r="AU197" i="113"/>
  <c r="AN197" i="113"/>
  <c r="AV44" i="113"/>
  <c r="AN78" i="113"/>
  <c r="AV189" i="113"/>
  <c r="AU95" i="113"/>
  <c r="AN153" i="113"/>
  <c r="AV135" i="113"/>
  <c r="AV191" i="113"/>
  <c r="AV80" i="113"/>
  <c r="AN180" i="113"/>
  <c r="AU200" i="113"/>
  <c r="AV84" i="113"/>
  <c r="AU89" i="113"/>
  <c r="AN161" i="113"/>
  <c r="AR184" i="113"/>
  <c r="AN223" i="113"/>
  <c r="AN194" i="113"/>
  <c r="AR56" i="113"/>
  <c r="AN154" i="113"/>
  <c r="AT161" i="112"/>
  <c r="AT161" i="113"/>
  <c r="E154" i="113" l="1"/>
  <c r="W56" i="113"/>
  <c r="E194" i="113"/>
  <c r="E223" i="113"/>
  <c r="W184" i="113"/>
  <c r="E161" i="113"/>
  <c r="AC89" i="113"/>
  <c r="AI84" i="113"/>
  <c r="AC200" i="113"/>
  <c r="E180" i="113"/>
  <c r="AI80" i="113"/>
  <c r="AI191" i="113"/>
  <c r="AI135" i="113"/>
  <c r="E153" i="113"/>
  <c r="AC95" i="113"/>
  <c r="AI189" i="113"/>
  <c r="E78" i="113"/>
  <c r="AI44" i="113"/>
  <c r="E197" i="113"/>
  <c r="AC197" i="113"/>
  <c r="AI180" i="113"/>
  <c r="W194" i="113"/>
  <c r="W158" i="113"/>
  <c r="X158" i="113" s="1"/>
  <c r="W197" i="113"/>
  <c r="AI50" i="113"/>
  <c r="AC106" i="113"/>
  <c r="E43" i="113"/>
  <c r="AC209" i="113"/>
  <c r="AC97" i="113"/>
  <c r="AC66" i="113"/>
  <c r="AC78" i="113"/>
  <c r="E227" i="113"/>
  <c r="W138" i="113"/>
  <c r="E52" i="113"/>
  <c r="AI70" i="113"/>
  <c r="AI149" i="113"/>
  <c r="W191" i="113"/>
  <c r="W107" i="113"/>
  <c r="AI248" i="113"/>
  <c r="E76" i="113"/>
  <c r="AI194" i="113"/>
  <c r="E107" i="113"/>
  <c r="AC145" i="113"/>
  <c r="E86" i="113"/>
  <c r="W216" i="113"/>
  <c r="W140" i="113"/>
  <c r="AI105" i="113"/>
  <c r="AI34" i="112"/>
  <c r="E190" i="113"/>
  <c r="AI57" i="113"/>
  <c r="AI190" i="113"/>
  <c r="E199" i="113"/>
  <c r="AC46" i="113"/>
  <c r="AI138" i="113"/>
  <c r="W46" i="113"/>
  <c r="W133" i="113"/>
  <c r="AI200" i="113"/>
  <c r="AI199" i="113"/>
  <c r="AI185" i="113"/>
  <c r="AE160" i="113"/>
  <c r="I962" i="29" s="1"/>
  <c r="AC160" i="113"/>
  <c r="AD160" i="113" s="1"/>
  <c r="H962" i="29" s="1"/>
  <c r="W189" i="113"/>
  <c r="AI167" i="113"/>
  <c r="E58" i="113"/>
  <c r="AI97" i="113"/>
  <c r="AC52" i="113"/>
  <c r="AC246" i="113"/>
  <c r="AI106" i="113"/>
  <c r="W247" i="113"/>
  <c r="S161" i="113"/>
  <c r="S156" i="113" s="1"/>
  <c r="W89" i="113"/>
  <c r="AC138" i="113"/>
  <c r="E100" i="113"/>
  <c r="W153" i="113"/>
  <c r="AI132" i="113"/>
  <c r="E45" i="113"/>
  <c r="E51" i="113"/>
  <c r="E249" i="113"/>
  <c r="E91" i="113"/>
  <c r="AC104" i="113"/>
  <c r="W81" i="113"/>
  <c r="E256" i="113"/>
  <c r="W100" i="113"/>
  <c r="W145" i="113"/>
  <c r="W248" i="113"/>
  <c r="AI119" i="113"/>
  <c r="AC131" i="113"/>
  <c r="E169" i="113"/>
  <c r="AI150" i="113"/>
  <c r="E56" i="113"/>
  <c r="W109" i="113"/>
  <c r="E120" i="113"/>
  <c r="AC84" i="113"/>
  <c r="AC178" i="113"/>
  <c r="E80" i="113"/>
  <c r="AC50" i="113"/>
  <c r="F139" i="19"/>
  <c r="Y139" i="19" s="1"/>
  <c r="F155" i="19"/>
  <c r="AC63" i="113"/>
  <c r="W130" i="113"/>
  <c r="AI104" i="113"/>
  <c r="E84" i="113"/>
  <c r="AC108" i="113"/>
  <c r="W207" i="113"/>
  <c r="AI27" i="112"/>
  <c r="AC189" i="113"/>
  <c r="E225" i="113"/>
  <c r="AC79" i="113"/>
  <c r="W139" i="113"/>
  <c r="AI211" i="113"/>
  <c r="AI62" i="113"/>
  <c r="E209" i="113"/>
  <c r="W52" i="113"/>
  <c r="E192" i="113"/>
  <c r="AI81" i="113"/>
  <c r="AC247" i="113"/>
  <c r="AI91" i="113"/>
  <c r="E110" i="113"/>
  <c r="AI89" i="113"/>
  <c r="AC109" i="113"/>
  <c r="W71" i="113"/>
  <c r="E258" i="113"/>
  <c r="W77" i="113"/>
  <c r="W101" i="113"/>
  <c r="AC149" i="113"/>
  <c r="W49" i="113"/>
  <c r="E207" i="113"/>
  <c r="AC185" i="113"/>
  <c r="AI250" i="113"/>
  <c r="AC208" i="113"/>
  <c r="W51" i="113"/>
  <c r="AC67" i="113"/>
  <c r="W58" i="113"/>
  <c r="AC207" i="113"/>
  <c r="E170" i="113"/>
  <c r="AI210" i="113"/>
  <c r="AI67" i="113"/>
  <c r="AC49" i="113"/>
  <c r="E210" i="113"/>
  <c r="AC81" i="113"/>
  <c r="W161" i="113"/>
  <c r="X161" i="113"/>
  <c r="E90" i="113"/>
  <c r="W84" i="113"/>
  <c r="E193" i="113"/>
  <c r="AC76" i="113"/>
  <c r="AI184" i="113"/>
  <c r="AC57" i="113"/>
  <c r="AI51" i="113"/>
  <c r="AI163" i="113"/>
  <c r="E67" i="113"/>
  <c r="AI161" i="113"/>
  <c r="AC86" i="113"/>
  <c r="W62" i="113"/>
  <c r="W110" i="113"/>
  <c r="AI178" i="113"/>
  <c r="E224" i="113"/>
  <c r="AI197" i="113"/>
  <c r="AI169" i="113"/>
  <c r="AC150" i="113"/>
  <c r="W209" i="113"/>
  <c r="W66" i="113"/>
  <c r="AI108" i="113"/>
  <c r="E109" i="113"/>
  <c r="E66" i="113"/>
  <c r="E246" i="113"/>
  <c r="AI86" i="113"/>
  <c r="AC184" i="113"/>
  <c r="AC199" i="113"/>
  <c r="W249" i="113"/>
  <c r="W95" i="113"/>
  <c r="AI188" i="113"/>
  <c r="W45" i="113"/>
  <c r="W208" i="113"/>
  <c r="AC211" i="113"/>
  <c r="W105" i="113"/>
  <c r="AC192" i="113"/>
  <c r="AC61" i="113"/>
  <c r="AC170" i="113"/>
  <c r="W185" i="113"/>
  <c r="AC80" i="113"/>
  <c r="AC70" i="113"/>
  <c r="E149" i="113"/>
  <c r="E222" i="113"/>
  <c r="AC169" i="113"/>
  <c r="AC163" i="113"/>
  <c r="AC132" i="113"/>
  <c r="E61" i="113"/>
  <c r="AI85" i="113"/>
  <c r="AI170" i="113"/>
  <c r="W78" i="113"/>
  <c r="AC90" i="113"/>
  <c r="AC248" i="113"/>
  <c r="E77" i="113"/>
  <c r="W131" i="113"/>
  <c r="AI129" i="113"/>
  <c r="E208" i="113"/>
  <c r="AI133" i="113"/>
  <c r="E211" i="113"/>
  <c r="AI208" i="113"/>
  <c r="AC120" i="113"/>
  <c r="AI141" i="113"/>
  <c r="E140" i="113"/>
  <c r="E63" i="113"/>
  <c r="AI109" i="113"/>
  <c r="AC91" i="113"/>
  <c r="AI96" i="113"/>
  <c r="AC194" i="113"/>
  <c r="AI77" i="113"/>
  <c r="W188" i="113"/>
  <c r="AC77" i="113"/>
  <c r="W149" i="113"/>
  <c r="W61" i="113"/>
  <c r="E46" i="113"/>
  <c r="AC154" i="113"/>
  <c r="W67" i="113"/>
  <c r="AC51" i="113"/>
  <c r="AI198" i="113"/>
  <c r="AC153" i="113"/>
  <c r="AC44" i="113"/>
  <c r="AC56" i="113"/>
  <c r="W150" i="113"/>
  <c r="E95" i="113"/>
  <c r="AD161" i="113"/>
  <c r="AC161" i="113"/>
  <c r="AE161" i="113"/>
  <c r="AI45" i="113"/>
  <c r="AC179" i="113"/>
  <c r="E101" i="113"/>
  <c r="W120" i="113"/>
  <c r="W97" i="113"/>
  <c r="E141" i="113"/>
  <c r="W193" i="113"/>
  <c r="AI52" i="113"/>
  <c r="E62" i="113"/>
  <c r="E81" i="113"/>
  <c r="E85" i="113"/>
  <c r="AC85" i="113"/>
  <c r="W79" i="113"/>
  <c r="E119" i="113"/>
  <c r="W43" i="113"/>
  <c r="E129" i="113"/>
  <c r="AI249" i="113"/>
  <c r="W104" i="113"/>
  <c r="W129" i="113"/>
  <c r="AC193" i="113"/>
  <c r="AI46" i="113"/>
  <c r="W57" i="113"/>
  <c r="AI216" i="113"/>
  <c r="W154" i="113"/>
  <c r="AI140" i="113"/>
  <c r="AC168" i="113"/>
  <c r="AC140" i="113"/>
  <c r="W180" i="113"/>
  <c r="AI139" i="113"/>
  <c r="AC58" i="113"/>
  <c r="W179" i="113"/>
  <c r="AI110" i="113"/>
  <c r="AI79" i="113"/>
  <c r="AI100" i="113"/>
  <c r="W178" i="113"/>
  <c r="W70" i="113"/>
  <c r="AC188" i="113"/>
  <c r="AI146" i="113"/>
  <c r="E168" i="113"/>
  <c r="AI154" i="113"/>
  <c r="AC190" i="113"/>
  <c r="E57" i="113"/>
  <c r="AI63" i="113"/>
  <c r="AC180" i="113"/>
  <c r="AI153" i="113"/>
  <c r="W50" i="113"/>
  <c r="AC72" i="113"/>
  <c r="W170" i="113"/>
  <c r="W190" i="113"/>
  <c r="E248" i="113"/>
  <c r="W192" i="113"/>
  <c r="W119" i="113"/>
  <c r="E79" i="113"/>
  <c r="AC191" i="113"/>
  <c r="E89" i="113"/>
  <c r="AC100" i="113"/>
  <c r="E96" i="113"/>
  <c r="AI43" i="112"/>
  <c r="AI168" i="113"/>
  <c r="AC141" i="113"/>
  <c r="W86" i="113"/>
  <c r="E72" i="113"/>
  <c r="AI49" i="113"/>
  <c r="AI58" i="113"/>
  <c r="W128" i="113"/>
  <c r="AI145" i="113"/>
  <c r="W106" i="113"/>
  <c r="F141" i="19"/>
  <c r="AI179" i="113"/>
  <c r="AC105" i="113"/>
  <c r="AI61" i="113"/>
  <c r="AC110" i="113"/>
  <c r="W90" i="113"/>
  <c r="E191" i="113"/>
  <c r="W168" i="113"/>
  <c r="W210" i="113"/>
  <c r="AC45" i="113"/>
  <c r="W169" i="113"/>
  <c r="AC216" i="113"/>
  <c r="W85" i="113"/>
  <c r="E257" i="113"/>
  <c r="AC167" i="113"/>
  <c r="AI192" i="113"/>
  <c r="AI120" i="113"/>
  <c r="W141" i="113"/>
  <c r="E226" i="113"/>
  <c r="W63" i="113"/>
  <c r="E178" i="113"/>
  <c r="AC107" i="113"/>
  <c r="AC249" i="113"/>
  <c r="W167" i="113"/>
  <c r="E128" i="113"/>
  <c r="AI71" i="113"/>
  <c r="W250" i="113"/>
  <c r="AI246" i="113"/>
  <c r="AI247" i="113"/>
  <c r="AI72" i="113"/>
  <c r="W159" i="113"/>
  <c r="X159" i="113" s="1"/>
  <c r="F961" i="29" s="1"/>
  <c r="E250" i="113"/>
  <c r="AI90" i="113"/>
  <c r="AC135" i="113"/>
  <c r="W200" i="113"/>
  <c r="E71" i="113"/>
  <c r="E179" i="113"/>
  <c r="W80" i="113"/>
  <c r="AC210" i="113"/>
  <c r="E49" i="113"/>
  <c r="AC101" i="113"/>
  <c r="AC96" i="113"/>
  <c r="W160" i="113"/>
  <c r="X160" i="113" s="1"/>
  <c r="F962" i="29" s="1"/>
  <c r="Y160" i="113"/>
  <c r="G962" i="29" s="1"/>
  <c r="AC119" i="113"/>
  <c r="Y146" i="113"/>
  <c r="X146" i="113"/>
  <c r="W146" i="113"/>
  <c r="E132" i="113"/>
  <c r="E44" i="113"/>
  <c r="W198" i="113"/>
  <c r="AC62" i="113"/>
  <c r="AI56" i="113"/>
  <c r="AI76" i="113"/>
  <c r="E105" i="113"/>
  <c r="AC43" i="113"/>
  <c r="E198" i="113"/>
  <c r="E50" i="113"/>
  <c r="AC129" i="113"/>
  <c r="E200" i="113"/>
  <c r="W199" i="113"/>
  <c r="W72" i="113"/>
  <c r="W163" i="113"/>
  <c r="E188" i="113"/>
  <c r="E104" i="113"/>
  <c r="AC250" i="113"/>
  <c r="AI128" i="113"/>
  <c r="AI207" i="113"/>
  <c r="AC198" i="113"/>
  <c r="E138" i="113"/>
  <c r="E97" i="113"/>
  <c r="W44" i="113"/>
  <c r="AC133" i="113"/>
  <c r="AI107" i="113"/>
  <c r="W246" i="113"/>
  <c r="E108" i="113"/>
  <c r="W108" i="113"/>
  <c r="E150" i="113"/>
  <c r="AI66" i="113"/>
  <c r="AI209" i="113"/>
  <c r="W76" i="113"/>
  <c r="W211" i="113"/>
  <c r="E70" i="113"/>
  <c r="E106" i="113"/>
  <c r="E139" i="113"/>
  <c r="AC71" i="113"/>
  <c r="E133" i="113"/>
  <c r="AC139" i="113"/>
  <c r="E167" i="113"/>
  <c r="W96" i="113"/>
  <c r="AI95" i="113"/>
  <c r="AI101" i="113"/>
  <c r="E189" i="113"/>
  <c r="W91" i="113"/>
  <c r="W132" i="113"/>
  <c r="AI78" i="113"/>
  <c r="AI193" i="113"/>
  <c r="E247" i="113"/>
  <c r="AC128" i="113"/>
  <c r="AK832" i="29"/>
  <c r="BE728" i="29" s="1"/>
  <c r="K84" i="110"/>
  <c r="H85" i="110"/>
  <c r="V12" i="115"/>
  <c r="V11" i="115" s="1"/>
  <c r="R12" i="115"/>
  <c r="R11" i="115" s="1"/>
  <c r="T12" i="115"/>
  <c r="T11" i="115" s="1"/>
  <c r="M788" i="29"/>
  <c r="Y161" i="112"/>
  <c r="R272" i="115"/>
  <c r="AG658" i="29"/>
  <c r="BA554" i="29" s="1"/>
  <c r="AK658" i="29"/>
  <c r="BE554" i="29" s="1"/>
  <c r="AJ658" i="29"/>
  <c r="BD554" i="29" s="1"/>
  <c r="AI658" i="29"/>
  <c r="BC554" i="29" s="1"/>
  <c r="BP83" i="29"/>
  <c r="AC106" i="29"/>
  <c r="AB87" i="29"/>
  <c r="U141" i="29"/>
  <c r="V141" i="29" s="1"/>
  <c r="U145" i="29"/>
  <c r="V145" i="29" s="1"/>
  <c r="U146" i="29"/>
  <c r="V146" i="29" s="1"/>
  <c r="U147" i="29"/>
  <c r="V147" i="29" s="1"/>
  <c r="U140" i="29"/>
  <c r="V140" i="29" s="1"/>
  <c r="U144" i="29"/>
  <c r="V144" i="29" s="1"/>
  <c r="U143" i="29"/>
  <c r="V143" i="29" s="1"/>
  <c r="U142" i="29"/>
  <c r="V142" i="29" s="1"/>
  <c r="AA104" i="29"/>
  <c r="AB104" i="29"/>
  <c r="Q143" i="29"/>
  <c r="R143" i="29" s="1"/>
  <c r="Q147" i="29"/>
  <c r="R147" i="29" s="1"/>
  <c r="Q145" i="29"/>
  <c r="R145" i="29" s="1"/>
  <c r="Q140" i="29"/>
  <c r="R140" i="29" s="1"/>
  <c r="Q142" i="29"/>
  <c r="R142" i="29" s="1"/>
  <c r="Q146" i="29"/>
  <c r="R146" i="29" s="1"/>
  <c r="T87" i="29"/>
  <c r="Q141" i="29"/>
  <c r="R141" i="29" s="1"/>
  <c r="Q144" i="29"/>
  <c r="R144" i="29" s="1"/>
  <c r="F789" i="29"/>
  <c r="M789" i="29"/>
  <c r="BL614" i="29"/>
  <c r="U614" i="29"/>
  <c r="S147" i="29"/>
  <c r="T147" i="29" s="1"/>
  <c r="S143" i="29"/>
  <c r="T143" i="29" s="1"/>
  <c r="S140" i="29"/>
  <c r="T140" i="29" s="1"/>
  <c r="S145" i="29"/>
  <c r="T145" i="29" s="1"/>
  <c r="X87" i="29"/>
  <c r="S144" i="29"/>
  <c r="T144" i="29" s="1"/>
  <c r="S141" i="29"/>
  <c r="T141" i="29" s="1"/>
  <c r="S146" i="29"/>
  <c r="T146" i="29" s="1"/>
  <c r="S142" i="29"/>
  <c r="T142" i="29" s="1"/>
  <c r="AI482" i="29"/>
  <c r="BC378" i="29" s="1"/>
  <c r="AJ482" i="29"/>
  <c r="BD378" i="29" s="1"/>
  <c r="AH482" i="29"/>
  <c r="BB378" i="29" s="1"/>
  <c r="AK482" i="29"/>
  <c r="BE378" i="29" s="1"/>
  <c r="G615" i="29"/>
  <c r="AC105" i="29"/>
  <c r="AD105" i="29"/>
  <c r="AF105" i="29" s="1"/>
  <c r="L1024" i="29"/>
  <c r="Y156" i="19"/>
  <c r="Q20" i="115"/>
  <c r="R20" i="115" s="1"/>
  <c r="X20" i="115" s="1"/>
  <c r="P147" i="115"/>
  <c r="AC147" i="115" s="1"/>
  <c r="P21" i="115"/>
  <c r="P22" i="115" s="1"/>
  <c r="AC20" i="115"/>
  <c r="AE20" i="115" s="1"/>
  <c r="AV204" i="29" s="1"/>
  <c r="AC210" i="115"/>
  <c r="Q210" i="115"/>
  <c r="R210" i="115" s="1"/>
  <c r="AD210" i="115"/>
  <c r="AC209" i="115"/>
  <c r="AE209" i="115" s="1"/>
  <c r="AV728" i="29" s="1"/>
  <c r="Q209" i="115"/>
  <c r="R209" i="115" s="1"/>
  <c r="Q146" i="115"/>
  <c r="R146" i="115" s="1"/>
  <c r="AC146" i="115"/>
  <c r="AE146" i="115" s="1"/>
  <c r="AV554" i="29" s="1"/>
  <c r="AC272" i="115"/>
  <c r="AE272" i="115" s="1"/>
  <c r="AV901" i="29" s="1"/>
  <c r="P211" i="115"/>
  <c r="P84" i="115"/>
  <c r="Q83" i="115"/>
  <c r="R83" i="115" s="1"/>
  <c r="AC83" i="115"/>
  <c r="AE83" i="115" s="1"/>
  <c r="AV378" i="29" s="1"/>
  <c r="P273" i="115"/>
  <c r="G373" i="29"/>
  <c r="AV27" i="113"/>
  <c r="AV43" i="113"/>
  <c r="AQ161" i="113"/>
  <c r="AV34" i="113"/>
  <c r="Y161" i="113" l="1"/>
  <c r="V148" i="29"/>
  <c r="AI34" i="113"/>
  <c r="AI43" i="113"/>
  <c r="AI27" i="113"/>
  <c r="BL789" i="29"/>
  <c r="U789" i="29"/>
  <c r="U788" i="29"/>
  <c r="BL788" i="29"/>
  <c r="T148" i="29"/>
  <c r="R148" i="29"/>
  <c r="AC104" i="29"/>
  <c r="Y141" i="19"/>
  <c r="L1008" i="29"/>
  <c r="AD89" i="29"/>
  <c r="AF89" i="29" s="1"/>
  <c r="L1023" i="29"/>
  <c r="Y155" i="19"/>
  <c r="AD104" i="29"/>
  <c r="AF104" i="29" s="1"/>
  <c r="S20" i="115"/>
  <c r="T20" i="115" s="1"/>
  <c r="AD147" i="115"/>
  <c r="AE147" i="115" s="1"/>
  <c r="AV555" i="29" s="1"/>
  <c r="AC21" i="115"/>
  <c r="AE210" i="115"/>
  <c r="AV729" i="29" s="1"/>
  <c r="Q147" i="115"/>
  <c r="R147" i="115" s="1"/>
  <c r="U147" i="115" s="1"/>
  <c r="P148" i="115"/>
  <c r="Q21" i="115"/>
  <c r="R21" i="115" s="1"/>
  <c r="AD21" i="115"/>
  <c r="AD22" i="115" s="1"/>
  <c r="Q22" i="115"/>
  <c r="R22" i="115" s="1"/>
  <c r="S22" i="115" s="1"/>
  <c r="T22" i="115" s="1"/>
  <c r="S272" i="115"/>
  <c r="T272" i="115" s="1"/>
  <c r="X272" i="115"/>
  <c r="S146" i="115"/>
  <c r="T146" i="115" s="1"/>
  <c r="X146" i="115"/>
  <c r="S209" i="115"/>
  <c r="T209" i="115" s="1"/>
  <c r="X209" i="115"/>
  <c r="U210" i="115"/>
  <c r="S210" i="115"/>
  <c r="AC84" i="115"/>
  <c r="Q84" i="115"/>
  <c r="R84" i="115" s="1"/>
  <c r="AD84" i="115"/>
  <c r="P85" i="115"/>
  <c r="S83" i="115"/>
  <c r="T83" i="115" s="1"/>
  <c r="X83" i="115"/>
  <c r="AC273" i="115"/>
  <c r="Q273" i="115"/>
  <c r="R273" i="115" s="1"/>
  <c r="AD273" i="115"/>
  <c r="P274" i="115"/>
  <c r="Q211" i="115"/>
  <c r="R211" i="115" s="1"/>
  <c r="AC211" i="115"/>
  <c r="AD211" i="115"/>
  <c r="P212" i="115"/>
  <c r="P23" i="115"/>
  <c r="AC22" i="115"/>
  <c r="W138" i="29"/>
  <c r="U138" i="29"/>
  <c r="O138" i="29"/>
  <c r="F81" i="108"/>
  <c r="S21" i="115" l="1"/>
  <c r="T21" i="115" s="1"/>
  <c r="W21" i="115" s="1"/>
  <c r="Y20" i="115"/>
  <c r="Z20" i="115" s="1"/>
  <c r="AA20" i="115" s="1"/>
  <c r="AU204" i="29" s="1"/>
  <c r="AD148" i="115"/>
  <c r="S147" i="115"/>
  <c r="T147" i="115" s="1"/>
  <c r="W147" i="115" s="1"/>
  <c r="X147" i="115" s="1"/>
  <c r="AE211" i="115"/>
  <c r="AV730" i="29" s="1"/>
  <c r="AE273" i="115"/>
  <c r="AV902" i="29" s="1"/>
  <c r="AE22" i="115"/>
  <c r="AV206" i="29" s="1"/>
  <c r="AE84" i="115"/>
  <c r="AV379" i="29" s="1"/>
  <c r="U21" i="115"/>
  <c r="U22" i="115" s="1"/>
  <c r="P149" i="115"/>
  <c r="Q148" i="115"/>
  <c r="R148" i="115" s="1"/>
  <c r="AC148" i="115"/>
  <c r="Q23" i="115"/>
  <c r="R23" i="115" s="1"/>
  <c r="S23" i="115" s="1"/>
  <c r="T23" i="115" s="1"/>
  <c r="AD23" i="115"/>
  <c r="AE21" i="115"/>
  <c r="AV205" i="29" s="1"/>
  <c r="Y83" i="115"/>
  <c r="Z83" i="115" s="1"/>
  <c r="AA83" i="115" s="1"/>
  <c r="AU378" i="29" s="1"/>
  <c r="U84" i="115"/>
  <c r="S84" i="115"/>
  <c r="Y209" i="115"/>
  <c r="Z209" i="115" s="1"/>
  <c r="AA209" i="115" s="1"/>
  <c r="AU728" i="29" s="1"/>
  <c r="Y272" i="115"/>
  <c r="Z272" i="115" s="1"/>
  <c r="AA272" i="115" s="1"/>
  <c r="AU901" i="29" s="1"/>
  <c r="Q212" i="115"/>
  <c r="R212" i="115" s="1"/>
  <c r="AC212" i="115"/>
  <c r="AD212" i="115"/>
  <c r="P213" i="115"/>
  <c r="S211" i="115"/>
  <c r="U211" i="115"/>
  <c r="U273" i="115"/>
  <c r="S273" i="115"/>
  <c r="Q85" i="115"/>
  <c r="R85" i="115" s="1"/>
  <c r="AC85" i="115"/>
  <c r="AD85" i="115"/>
  <c r="P86" i="115"/>
  <c r="T210" i="115"/>
  <c r="W210" i="115" s="1"/>
  <c r="X210" i="115" s="1"/>
  <c r="V210" i="115"/>
  <c r="Y146" i="115"/>
  <c r="Z146" i="115" s="1"/>
  <c r="AA146" i="115" s="1"/>
  <c r="AU554" i="29" s="1"/>
  <c r="Q274" i="115"/>
  <c r="R274" i="115" s="1"/>
  <c r="AC274" i="115"/>
  <c r="AD274" i="115"/>
  <c r="P275" i="115"/>
  <c r="P24" i="115"/>
  <c r="AC23" i="115"/>
  <c r="V21" i="115" l="1"/>
  <c r="V22" i="115" s="1"/>
  <c r="V147" i="115"/>
  <c r="K85" i="30"/>
  <c r="AB20" i="115"/>
  <c r="BK204" i="29" s="1"/>
  <c r="AA15" i="115"/>
  <c r="AE148" i="115"/>
  <c r="AV556" i="29" s="1"/>
  <c r="X21" i="115"/>
  <c r="Y21" i="115" s="1"/>
  <c r="Z21" i="115" s="1"/>
  <c r="AE274" i="115"/>
  <c r="AV903" i="29" s="1"/>
  <c r="AE23" i="115"/>
  <c r="AV207" i="29" s="1"/>
  <c r="AE85" i="115"/>
  <c r="AV380" i="29" s="1"/>
  <c r="AE212" i="115"/>
  <c r="AV731" i="29" s="1"/>
  <c r="Q24" i="115"/>
  <c r="R24" i="115" s="1"/>
  <c r="S24" i="115" s="1"/>
  <c r="T24" i="115" s="1"/>
  <c r="S148" i="115"/>
  <c r="T148" i="115" s="1"/>
  <c r="W148" i="115" s="1"/>
  <c r="U148" i="115"/>
  <c r="Q149" i="115"/>
  <c r="R149" i="115" s="1"/>
  <c r="AC149" i="115"/>
  <c r="AD149" i="115"/>
  <c r="P150" i="115"/>
  <c r="Y147" i="115"/>
  <c r="Z147" i="115" s="1"/>
  <c r="AC275" i="115"/>
  <c r="Q275" i="115"/>
  <c r="R275" i="115" s="1"/>
  <c r="AD275" i="115"/>
  <c r="P276" i="115"/>
  <c r="V273" i="115"/>
  <c r="T273" i="115"/>
  <c r="W273" i="115" s="1"/>
  <c r="X273" i="115" s="1"/>
  <c r="AB146" i="115"/>
  <c r="BK554" i="29" s="1"/>
  <c r="K85" i="110"/>
  <c r="T84" i="115"/>
  <c r="W84" i="115" s="1"/>
  <c r="X84" i="115" s="1"/>
  <c r="V84" i="115"/>
  <c r="Y210" i="115"/>
  <c r="Z210" i="115" s="1"/>
  <c r="U85" i="115"/>
  <c r="S85" i="115"/>
  <c r="T211" i="115"/>
  <c r="W211" i="115" s="1"/>
  <c r="X211" i="115" s="1"/>
  <c r="V211" i="115"/>
  <c r="AB272" i="115"/>
  <c r="BK901" i="29" s="1"/>
  <c r="K85" i="114"/>
  <c r="AB83" i="115"/>
  <c r="BK378" i="29" s="1"/>
  <c r="K85" i="108"/>
  <c r="S274" i="115"/>
  <c r="U274" i="115"/>
  <c r="AC86" i="115"/>
  <c r="Q86" i="115"/>
  <c r="R86" i="115" s="1"/>
  <c r="AD86" i="115"/>
  <c r="P87" i="115"/>
  <c r="AC213" i="115"/>
  <c r="Q213" i="115"/>
  <c r="R213" i="115" s="1"/>
  <c r="AD213" i="115"/>
  <c r="P214" i="115"/>
  <c r="U212" i="115"/>
  <c r="S212" i="115"/>
  <c r="AB209" i="115"/>
  <c r="BK728" i="29" s="1"/>
  <c r="K85" i="111"/>
  <c r="U23" i="115"/>
  <c r="W22" i="115"/>
  <c r="X22" i="115" s="1"/>
  <c r="AC24" i="115"/>
  <c r="AD24" i="115"/>
  <c r="P25" i="115"/>
  <c r="S128" i="93"/>
  <c r="AO128" i="107"/>
  <c r="K49" i="30" l="1"/>
  <c r="K48" i="30" s="1"/>
  <c r="K46" i="30" s="1"/>
  <c r="S128" i="107"/>
  <c r="AE149" i="115"/>
  <c r="AV557" i="29" s="1"/>
  <c r="X148" i="115"/>
  <c r="AE24" i="115"/>
  <c r="AV208" i="29" s="1"/>
  <c r="AE213" i="115"/>
  <c r="AV732" i="29" s="1"/>
  <c r="AE86" i="115"/>
  <c r="AV381" i="29" s="1"/>
  <c r="AE275" i="115"/>
  <c r="AV904" i="29" s="1"/>
  <c r="V148" i="115"/>
  <c r="S149" i="115"/>
  <c r="U149" i="115"/>
  <c r="Q25" i="115"/>
  <c r="R25" i="115" s="1"/>
  <c r="S25" i="115" s="1"/>
  <c r="T25" i="115" s="1"/>
  <c r="AA21" i="115"/>
  <c r="AU205" i="29" s="1"/>
  <c r="AA210" i="115"/>
  <c r="AU729" i="29" s="1"/>
  <c r="AA147" i="115"/>
  <c r="AU555" i="29" s="1"/>
  <c r="AD150" i="115"/>
  <c r="P151" i="115"/>
  <c r="AC150" i="115"/>
  <c r="Q150" i="115"/>
  <c r="R150" i="115" s="1"/>
  <c r="K49" i="111"/>
  <c r="K48" i="111" s="1"/>
  <c r="J831" i="29" s="1"/>
  <c r="K49" i="110"/>
  <c r="K48" i="110" s="1"/>
  <c r="J657" i="29" s="1"/>
  <c r="Y84" i="115"/>
  <c r="Z84" i="115" s="1"/>
  <c r="Y273" i="115"/>
  <c r="Z273" i="115" s="1"/>
  <c r="T274" i="115"/>
  <c r="W274" i="115" s="1"/>
  <c r="X274" i="115" s="1"/>
  <c r="V274" i="115"/>
  <c r="Q214" i="115"/>
  <c r="R214" i="115" s="1"/>
  <c r="AC214" i="115"/>
  <c r="AD214" i="115"/>
  <c r="P215" i="115"/>
  <c r="U86" i="115"/>
  <c r="S86" i="115"/>
  <c r="S213" i="115"/>
  <c r="U213" i="115"/>
  <c r="AC87" i="115"/>
  <c r="Q87" i="115"/>
  <c r="R87" i="115" s="1"/>
  <c r="AD87" i="115"/>
  <c r="P88" i="115"/>
  <c r="K49" i="108"/>
  <c r="K48" i="108" s="1"/>
  <c r="K46" i="108" s="1"/>
  <c r="Y211" i="115"/>
  <c r="Z211" i="115" s="1"/>
  <c r="S275" i="115"/>
  <c r="U275" i="115"/>
  <c r="T212" i="115"/>
  <c r="W212" i="115" s="1"/>
  <c r="X212" i="115" s="1"/>
  <c r="Y212" i="115" s="1"/>
  <c r="Z212" i="115" s="1"/>
  <c r="V212" i="115"/>
  <c r="V85" i="115"/>
  <c r="T85" i="115"/>
  <c r="W85" i="115" s="1"/>
  <c r="X85" i="115" s="1"/>
  <c r="Q276" i="115"/>
  <c r="R276" i="115" s="1"/>
  <c r="AC276" i="115"/>
  <c r="AD276" i="115"/>
  <c r="P277" i="115"/>
  <c r="U24" i="115"/>
  <c r="Y22" i="115"/>
  <c r="Z22" i="115" s="1"/>
  <c r="V23" i="115"/>
  <c r="W23" i="115"/>
  <c r="X23" i="115" s="1"/>
  <c r="P26" i="115"/>
  <c r="AD25" i="115"/>
  <c r="AC25" i="115"/>
  <c r="Y23" i="115" l="1"/>
  <c r="Z23" i="115" s="1"/>
  <c r="AA23" i="115" s="1"/>
  <c r="AU207" i="29" s="1"/>
  <c r="J307" i="29"/>
  <c r="X128" i="107"/>
  <c r="Y148" i="115"/>
  <c r="Z148" i="115" s="1"/>
  <c r="AA148" i="115" s="1"/>
  <c r="AU556" i="29" s="1"/>
  <c r="AE150" i="115"/>
  <c r="AV558" i="29" s="1"/>
  <c r="AB147" i="115"/>
  <c r="BK555" i="29" s="1"/>
  <c r="AE214" i="115"/>
  <c r="AV733" i="29" s="1"/>
  <c r="AE25" i="115"/>
  <c r="AV209" i="29" s="1"/>
  <c r="AE276" i="115"/>
  <c r="AV905" i="29" s="1"/>
  <c r="Y274" i="115"/>
  <c r="Z274" i="115" s="1"/>
  <c r="AA274" i="115" s="1"/>
  <c r="AU903" i="29" s="1"/>
  <c r="Y85" i="115"/>
  <c r="Z85" i="115" s="1"/>
  <c r="AA85" i="115" s="1"/>
  <c r="AU380" i="29" s="1"/>
  <c r="AE87" i="115"/>
  <c r="AV382" i="29" s="1"/>
  <c r="U150" i="115"/>
  <c r="S150" i="115"/>
  <c r="V149" i="115"/>
  <c r="T149" i="115"/>
  <c r="W149" i="115" s="1"/>
  <c r="X149" i="115" s="1"/>
  <c r="AB210" i="115"/>
  <c r="BK729" i="29" s="1"/>
  <c r="AA22" i="115"/>
  <c r="AU206" i="29" s="1"/>
  <c r="P152" i="115"/>
  <c r="AD151" i="115"/>
  <c r="AC151" i="115"/>
  <c r="Q151" i="115"/>
  <c r="R151" i="115" s="1"/>
  <c r="AA84" i="115"/>
  <c r="AU379" i="29" s="1"/>
  <c r="Q26" i="115"/>
  <c r="R26" i="115" s="1"/>
  <c r="S26" i="115" s="1"/>
  <c r="T26" i="115" s="1"/>
  <c r="AA212" i="115"/>
  <c r="AU731" i="29" s="1"/>
  <c r="AA211" i="115"/>
  <c r="AU730" i="29" s="1"/>
  <c r="AA273" i="115"/>
  <c r="AU902" i="29" s="1"/>
  <c r="AB21" i="115"/>
  <c r="BK205" i="29" s="1"/>
  <c r="AC88" i="115"/>
  <c r="Q88" i="115"/>
  <c r="R88" i="115" s="1"/>
  <c r="AD88" i="115"/>
  <c r="P89" i="115"/>
  <c r="V86" i="115"/>
  <c r="T86" i="115"/>
  <c r="W86" i="115" s="1"/>
  <c r="X86" i="115" s="1"/>
  <c r="Y86" i="115" s="1"/>
  <c r="Z86" i="115" s="1"/>
  <c r="AC277" i="115"/>
  <c r="Q277" i="115"/>
  <c r="R277" i="115" s="1"/>
  <c r="AD277" i="115"/>
  <c r="P278" i="115"/>
  <c r="U276" i="115"/>
  <c r="S276" i="115"/>
  <c r="V213" i="115"/>
  <c r="T213" i="115"/>
  <c r="W213" i="115" s="1"/>
  <c r="X213" i="115" s="1"/>
  <c r="Y213" i="115" s="1"/>
  <c r="Z213" i="115" s="1"/>
  <c r="AC215" i="115"/>
  <c r="Q215" i="115"/>
  <c r="R215" i="115" s="1"/>
  <c r="AD215" i="115"/>
  <c r="P216" i="115"/>
  <c r="S214" i="115"/>
  <c r="U214" i="115"/>
  <c r="T275" i="115"/>
  <c r="W275" i="115" s="1"/>
  <c r="X275" i="115" s="1"/>
  <c r="V275" i="115"/>
  <c r="J481" i="29"/>
  <c r="S87" i="115"/>
  <c r="U87" i="115"/>
  <c r="U25" i="115"/>
  <c r="AD26" i="115"/>
  <c r="AC26" i="115"/>
  <c r="P27" i="115"/>
  <c r="W24" i="115"/>
  <c r="X24" i="115" s="1"/>
  <c r="V24" i="115"/>
  <c r="S145" i="93"/>
  <c r="S246" i="93"/>
  <c r="S89" i="29"/>
  <c r="U89" i="29" s="1"/>
  <c r="J16" i="19"/>
  <c r="J17" i="19"/>
  <c r="J18" i="19"/>
  <c r="J19" i="19"/>
  <c r="J20" i="19"/>
  <c r="D39" i="30"/>
  <c r="T111" i="19"/>
  <c r="T80" i="19"/>
  <c r="T49" i="19"/>
  <c r="T110" i="19"/>
  <c r="AO145" i="107"/>
  <c r="AO246" i="107"/>
  <c r="T47" i="19"/>
  <c r="T113" i="19"/>
  <c r="T82" i="19"/>
  <c r="T51" i="19"/>
  <c r="AP128" i="109"/>
  <c r="T79" i="19"/>
  <c r="T48" i="19"/>
  <c r="T112" i="19"/>
  <c r="T81" i="19"/>
  <c r="T50" i="19"/>
  <c r="J50" i="19" l="1"/>
  <c r="J81" i="19"/>
  <c r="J112" i="19"/>
  <c r="J51" i="19"/>
  <c r="J82" i="19"/>
  <c r="J113" i="19"/>
  <c r="J49" i="19"/>
  <c r="J80" i="19"/>
  <c r="J111" i="19"/>
  <c r="O91" i="29"/>
  <c r="Q91" i="29" s="1"/>
  <c r="O93" i="29"/>
  <c r="Q93" i="29" s="1"/>
  <c r="O90" i="29"/>
  <c r="Q90" i="29" s="1"/>
  <c r="S145" i="107"/>
  <c r="S246" i="107"/>
  <c r="J47" i="19"/>
  <c r="O89" i="29"/>
  <c r="Q89" i="29" s="1"/>
  <c r="O88" i="29"/>
  <c r="Q88" i="29" s="1"/>
  <c r="Y24" i="115"/>
  <c r="Z24" i="115" s="1"/>
  <c r="AA24" i="115" s="1"/>
  <c r="AU208" i="29" s="1"/>
  <c r="Y275" i="115"/>
  <c r="Z275" i="115" s="1"/>
  <c r="AA275" i="115" s="1"/>
  <c r="AU904" i="29" s="1"/>
  <c r="Y149" i="115"/>
  <c r="Z149" i="115" s="1"/>
  <c r="AA149" i="115" s="1"/>
  <c r="AU557" i="29" s="1"/>
  <c r="AE151" i="115"/>
  <c r="AV559" i="29" s="1"/>
  <c r="AE215" i="115"/>
  <c r="AV734" i="29" s="1"/>
  <c r="AB212" i="115"/>
  <c r="BK731" i="29" s="1"/>
  <c r="AB148" i="115"/>
  <c r="BK556" i="29" s="1"/>
  <c r="AB273" i="115"/>
  <c r="BK902" i="29" s="1"/>
  <c r="AE277" i="115"/>
  <c r="AV906" i="29" s="1"/>
  <c r="AE88" i="115"/>
  <c r="AV383" i="29" s="1"/>
  <c r="AE26" i="115"/>
  <c r="AV210" i="29" s="1"/>
  <c r="AB22" i="115"/>
  <c r="BK206" i="29" s="1"/>
  <c r="AB85" i="115"/>
  <c r="BK380" i="29" s="1"/>
  <c r="AB84" i="115"/>
  <c r="BK379" i="29" s="1"/>
  <c r="Q27" i="115"/>
  <c r="R27" i="115" s="1"/>
  <c r="S27" i="115" s="1"/>
  <c r="T27" i="115" s="1"/>
  <c r="AA86" i="115"/>
  <c r="AU381" i="29" s="1"/>
  <c r="U151" i="115"/>
  <c r="S151" i="115"/>
  <c r="T150" i="115"/>
  <c r="W150" i="115" s="1"/>
  <c r="X150" i="115" s="1"/>
  <c r="V150" i="115"/>
  <c r="AB211" i="115"/>
  <c r="BK730" i="29" s="1"/>
  <c r="AB274" i="115"/>
  <c r="BK903" i="29" s="1"/>
  <c r="AB23" i="115"/>
  <c r="BK207" i="29" s="1"/>
  <c r="AA213" i="115"/>
  <c r="AU732" i="29" s="1"/>
  <c r="P153" i="115"/>
  <c r="AC152" i="115"/>
  <c r="AD152" i="115"/>
  <c r="Q152" i="115"/>
  <c r="R152" i="115" s="1"/>
  <c r="AC278" i="115"/>
  <c r="Q278" i="115"/>
  <c r="R278" i="115" s="1"/>
  <c r="AD278" i="115"/>
  <c r="P279" i="115"/>
  <c r="T87" i="115"/>
  <c r="W87" i="115" s="1"/>
  <c r="X87" i="115" s="1"/>
  <c r="V87" i="115"/>
  <c r="V214" i="115"/>
  <c r="T214" i="115"/>
  <c r="W214" i="115" s="1"/>
  <c r="X214" i="115" s="1"/>
  <c r="Y214" i="115" s="1"/>
  <c r="Z214" i="115" s="1"/>
  <c r="U215" i="115"/>
  <c r="S215" i="115"/>
  <c r="T276" i="115"/>
  <c r="W276" i="115" s="1"/>
  <c r="X276" i="115" s="1"/>
  <c r="V276" i="115"/>
  <c r="U88" i="115"/>
  <c r="S88" i="115"/>
  <c r="AC216" i="115"/>
  <c r="Q216" i="115"/>
  <c r="R216" i="115" s="1"/>
  <c r="AD216" i="115"/>
  <c r="P217" i="115"/>
  <c r="U277" i="115"/>
  <c r="S277" i="115"/>
  <c r="AC89" i="115"/>
  <c r="Q89" i="115"/>
  <c r="R89" i="115" s="1"/>
  <c r="AD89" i="115"/>
  <c r="P90" i="115"/>
  <c r="S91" i="29"/>
  <c r="U91" i="29" s="1"/>
  <c r="U26" i="115"/>
  <c r="V25" i="115"/>
  <c r="W25" i="115"/>
  <c r="X25" i="115" s="1"/>
  <c r="P28" i="115"/>
  <c r="AD27" i="115"/>
  <c r="AC27" i="115"/>
  <c r="D30" i="114"/>
  <c r="D30" i="111"/>
  <c r="D30" i="110"/>
  <c r="D30" i="108"/>
  <c r="F26" i="108"/>
  <c r="J40" i="114"/>
  <c r="E40" i="114"/>
  <c r="D40" i="114"/>
  <c r="H40" i="114" s="1"/>
  <c r="J39" i="114"/>
  <c r="E39" i="114"/>
  <c r="D39" i="114"/>
  <c r="H39" i="114" s="1"/>
  <c r="J38" i="114"/>
  <c r="E38" i="114"/>
  <c r="D38" i="114"/>
  <c r="H38" i="114" s="1"/>
  <c r="J37" i="114"/>
  <c r="E37" i="114"/>
  <c r="D37" i="114"/>
  <c r="H37" i="114" s="1"/>
  <c r="J36" i="114"/>
  <c r="E36" i="114"/>
  <c r="D36" i="114"/>
  <c r="H36" i="114" s="1"/>
  <c r="J35" i="114"/>
  <c r="E35" i="114"/>
  <c r="D35" i="114"/>
  <c r="H35" i="114" s="1"/>
  <c r="H34" i="114"/>
  <c r="E34" i="114"/>
  <c r="J40" i="111"/>
  <c r="E40" i="111"/>
  <c r="D40" i="111"/>
  <c r="H40" i="111" s="1"/>
  <c r="J39" i="111"/>
  <c r="E39" i="111"/>
  <c r="D39" i="111"/>
  <c r="H39" i="111" s="1"/>
  <c r="J38" i="111"/>
  <c r="E38" i="111"/>
  <c r="D38" i="111"/>
  <c r="H38" i="111" s="1"/>
  <c r="J37" i="111"/>
  <c r="E37" i="111"/>
  <c r="D37" i="111"/>
  <c r="H37" i="111" s="1"/>
  <c r="J36" i="111"/>
  <c r="E36" i="111"/>
  <c r="D36" i="111"/>
  <c r="H36" i="111" s="1"/>
  <c r="J35" i="111"/>
  <c r="E35" i="111"/>
  <c r="D35" i="111"/>
  <c r="H35" i="111" s="1"/>
  <c r="J34" i="111"/>
  <c r="H34" i="111"/>
  <c r="E34" i="111"/>
  <c r="J40" i="110"/>
  <c r="E40" i="110"/>
  <c r="D40" i="110"/>
  <c r="H40" i="110" s="1"/>
  <c r="J39" i="110"/>
  <c r="E39" i="110"/>
  <c r="D39" i="110"/>
  <c r="H39" i="110" s="1"/>
  <c r="J38" i="110"/>
  <c r="E38" i="110"/>
  <c r="D38" i="110"/>
  <c r="H38" i="110" s="1"/>
  <c r="J37" i="110"/>
  <c r="E37" i="110"/>
  <c r="D37" i="110"/>
  <c r="H37" i="110" s="1"/>
  <c r="J36" i="110"/>
  <c r="E36" i="110"/>
  <c r="D36" i="110"/>
  <c r="H36" i="110" s="1"/>
  <c r="J35" i="110"/>
  <c r="E35" i="110"/>
  <c r="D35" i="110"/>
  <c r="H35" i="110" s="1"/>
  <c r="J34" i="110"/>
  <c r="H34" i="110"/>
  <c r="E34" i="110"/>
  <c r="J40" i="108"/>
  <c r="E40" i="108"/>
  <c r="D40" i="108"/>
  <c r="H40" i="108" s="1"/>
  <c r="J39" i="108"/>
  <c r="E39" i="108"/>
  <c r="D39" i="108"/>
  <c r="H39" i="108" s="1"/>
  <c r="J38" i="108"/>
  <c r="E38" i="108"/>
  <c r="D38" i="108"/>
  <c r="H38" i="108" s="1"/>
  <c r="J37" i="108"/>
  <c r="E37" i="108"/>
  <c r="D37" i="108"/>
  <c r="H37" i="108" s="1"/>
  <c r="J36" i="108"/>
  <c r="E36" i="108"/>
  <c r="D36" i="108"/>
  <c r="H36" i="108" s="1"/>
  <c r="J35" i="108"/>
  <c r="E35" i="108"/>
  <c r="D35" i="108"/>
  <c r="H35" i="108" s="1"/>
  <c r="J34" i="108"/>
  <c r="H34" i="108"/>
  <c r="E34" i="108"/>
  <c r="E35" i="30"/>
  <c r="E36" i="30"/>
  <c r="E37" i="30"/>
  <c r="E38" i="30"/>
  <c r="E39" i="30"/>
  <c r="E40" i="30"/>
  <c r="D38" i="30"/>
  <c r="H38" i="30" s="1"/>
  <c r="H39" i="30"/>
  <c r="D40" i="30"/>
  <c r="H40" i="30" s="1"/>
  <c r="T142" i="19"/>
  <c r="T144" i="19"/>
  <c r="T143" i="19"/>
  <c r="T78" i="19"/>
  <c r="J143" i="19" l="1"/>
  <c r="J144" i="19"/>
  <c r="J142" i="19"/>
  <c r="J78" i="19"/>
  <c r="Y87" i="115"/>
  <c r="Z87" i="115" s="1"/>
  <c r="AA87" i="115" s="1"/>
  <c r="AU382" i="29" s="1"/>
  <c r="Y25" i="115"/>
  <c r="Z25" i="115" s="1"/>
  <c r="AA25" i="115" s="1"/>
  <c r="AU209" i="29" s="1"/>
  <c r="Y276" i="115"/>
  <c r="Z276" i="115" s="1"/>
  <c r="AA276" i="115" s="1"/>
  <c r="AU905" i="29" s="1"/>
  <c r="Y150" i="115"/>
  <c r="Z150" i="115" s="1"/>
  <c r="AA150" i="115" s="1"/>
  <c r="AU558" i="29" s="1"/>
  <c r="AE152" i="115"/>
  <c r="AV560" i="29" s="1"/>
  <c r="AE89" i="115"/>
  <c r="AV384" i="29" s="1"/>
  <c r="AE278" i="115"/>
  <c r="AV907" i="29" s="1"/>
  <c r="AE27" i="115"/>
  <c r="AV211" i="29" s="1"/>
  <c r="AE216" i="115"/>
  <c r="AV735" i="29" s="1"/>
  <c r="AB213" i="115"/>
  <c r="BK732" i="29" s="1"/>
  <c r="AB275" i="115"/>
  <c r="BK904" i="29" s="1"/>
  <c r="AA214" i="115"/>
  <c r="AU733" i="29" s="1"/>
  <c r="Q153" i="115"/>
  <c r="R153" i="115" s="1"/>
  <c r="AD153" i="115"/>
  <c r="P154" i="115"/>
  <c r="AC153" i="115"/>
  <c r="Q28" i="115"/>
  <c r="R28" i="115" s="1"/>
  <c r="S28" i="115" s="1"/>
  <c r="T28" i="115" s="1"/>
  <c r="U152" i="115"/>
  <c r="S152" i="115"/>
  <c r="AB24" i="115"/>
  <c r="BK208" i="29" s="1"/>
  <c r="AB149" i="115"/>
  <c r="BK557" i="29" s="1"/>
  <c r="T151" i="115"/>
  <c r="W151" i="115" s="1"/>
  <c r="X151" i="115" s="1"/>
  <c r="V151" i="115"/>
  <c r="AB86" i="115"/>
  <c r="BK381" i="29" s="1"/>
  <c r="AC90" i="115"/>
  <c r="Q90" i="115"/>
  <c r="R90" i="115" s="1"/>
  <c r="AD90" i="115"/>
  <c r="P91" i="115"/>
  <c r="T277" i="115"/>
  <c r="W277" i="115" s="1"/>
  <c r="X277" i="115" s="1"/>
  <c r="V277" i="115"/>
  <c r="S216" i="115"/>
  <c r="U216" i="115"/>
  <c r="U278" i="115"/>
  <c r="S278" i="115"/>
  <c r="U89" i="115"/>
  <c r="S89" i="115"/>
  <c r="AC217" i="115"/>
  <c r="Q217" i="115"/>
  <c r="R217" i="115" s="1"/>
  <c r="AD217" i="115"/>
  <c r="P218" i="115"/>
  <c r="V88" i="115"/>
  <c r="T88" i="115"/>
  <c r="W88" i="115" s="1"/>
  <c r="X88" i="115" s="1"/>
  <c r="Y88" i="115" s="1"/>
  <c r="Z88" i="115" s="1"/>
  <c r="V215" i="115"/>
  <c r="T215" i="115"/>
  <c r="W215" i="115" s="1"/>
  <c r="X215" i="115" s="1"/>
  <c r="Y215" i="115" s="1"/>
  <c r="Z215" i="115" s="1"/>
  <c r="Q279" i="115"/>
  <c r="R279" i="115" s="1"/>
  <c r="AC279" i="115"/>
  <c r="AD279" i="115"/>
  <c r="P280" i="115"/>
  <c r="U27" i="115"/>
  <c r="P29" i="115"/>
  <c r="AD28" i="115"/>
  <c r="AC28" i="115"/>
  <c r="W26" i="115"/>
  <c r="X26" i="115" s="1"/>
  <c r="V26" i="115"/>
  <c r="S37" i="100"/>
  <c r="S38" i="100"/>
  <c r="S39" i="100"/>
  <c r="S40" i="100"/>
  <c r="S41" i="100"/>
  <c r="S42" i="100"/>
  <c r="S43" i="100"/>
  <c r="S36" i="100"/>
  <c r="E37" i="100"/>
  <c r="E38" i="100"/>
  <c r="E39" i="100"/>
  <c r="E40" i="100"/>
  <c r="E41" i="100"/>
  <c r="E42" i="100"/>
  <c r="E43" i="100"/>
  <c r="T109" i="19"/>
  <c r="J109" i="19" l="1"/>
  <c r="Y26" i="115"/>
  <c r="Z26" i="115" s="1"/>
  <c r="AA26" i="115" s="1"/>
  <c r="AU210" i="29" s="1"/>
  <c r="Y277" i="115"/>
  <c r="Z277" i="115" s="1"/>
  <c r="AA277" i="115" s="1"/>
  <c r="AU906" i="29" s="1"/>
  <c r="Y151" i="115"/>
  <c r="Z151" i="115" s="1"/>
  <c r="AA151" i="115" s="1"/>
  <c r="AU559" i="29" s="1"/>
  <c r="AE217" i="115"/>
  <c r="AV736" i="29" s="1"/>
  <c r="AE90" i="115"/>
  <c r="AV385" i="29" s="1"/>
  <c r="AB276" i="115"/>
  <c r="BK905" i="29" s="1"/>
  <c r="AE279" i="115"/>
  <c r="AV908" i="29" s="1"/>
  <c r="AE28" i="115"/>
  <c r="AV212" i="29" s="1"/>
  <c r="AB87" i="115"/>
  <c r="BK382" i="29" s="1"/>
  <c r="AE153" i="115"/>
  <c r="AV561" i="29" s="1"/>
  <c r="AA215" i="115"/>
  <c r="AU734" i="29" s="1"/>
  <c r="T152" i="115"/>
  <c r="W152" i="115" s="1"/>
  <c r="X152" i="115" s="1"/>
  <c r="V152" i="115"/>
  <c r="U153" i="115"/>
  <c r="S153" i="115"/>
  <c r="Q29" i="115"/>
  <c r="R29" i="115" s="1"/>
  <c r="S29" i="115" s="1"/>
  <c r="T29" i="115" s="1"/>
  <c r="AD154" i="115"/>
  <c r="P155" i="115"/>
  <c r="Q154" i="115"/>
  <c r="R154" i="115" s="1"/>
  <c r="AC154" i="115"/>
  <c r="AA88" i="115"/>
  <c r="AU383" i="29" s="1"/>
  <c r="AB150" i="115"/>
  <c r="BK558" i="29" s="1"/>
  <c r="AB25" i="115"/>
  <c r="BK209" i="29" s="1"/>
  <c r="AB214" i="115"/>
  <c r="BK733" i="29" s="1"/>
  <c r="AC280" i="115"/>
  <c r="Q280" i="115"/>
  <c r="R280" i="115" s="1"/>
  <c r="AD280" i="115"/>
  <c r="P281" i="115"/>
  <c r="AC91" i="115"/>
  <c r="Q91" i="115"/>
  <c r="R91" i="115" s="1"/>
  <c r="AD91" i="115"/>
  <c r="P92" i="115"/>
  <c r="U279" i="115"/>
  <c r="S279" i="115"/>
  <c r="T89" i="115"/>
  <c r="W89" i="115" s="1"/>
  <c r="X89" i="115" s="1"/>
  <c r="V89" i="115"/>
  <c r="U217" i="115"/>
  <c r="S217" i="115"/>
  <c r="T278" i="115"/>
  <c r="W278" i="115" s="1"/>
  <c r="X278" i="115" s="1"/>
  <c r="V278" i="115"/>
  <c r="V216" i="115"/>
  <c r="T216" i="115"/>
  <c r="W216" i="115" s="1"/>
  <c r="X216" i="115" s="1"/>
  <c r="Y216" i="115" s="1"/>
  <c r="Z216" i="115" s="1"/>
  <c r="U90" i="115"/>
  <c r="S90" i="115"/>
  <c r="AC218" i="115"/>
  <c r="Q218" i="115"/>
  <c r="R218" i="115" s="1"/>
  <c r="AD218" i="115"/>
  <c r="P219" i="115"/>
  <c r="V27" i="115"/>
  <c r="W27" i="115"/>
  <c r="X27" i="115" s="1"/>
  <c r="Y27" i="115" s="1"/>
  <c r="Z27" i="115" s="1"/>
  <c r="U28" i="115"/>
  <c r="P30" i="115"/>
  <c r="AC29" i="115"/>
  <c r="AD29" i="115"/>
  <c r="F26" i="30"/>
  <c r="S138" i="93"/>
  <c r="AO138" i="107"/>
  <c r="T140" i="19"/>
  <c r="S138" i="107" l="1"/>
  <c r="Y89" i="115"/>
  <c r="Z89" i="115" s="1"/>
  <c r="Y152" i="115"/>
  <c r="Z152" i="115" s="1"/>
  <c r="AA152" i="115" s="1"/>
  <c r="AU560" i="29" s="1"/>
  <c r="Y278" i="115"/>
  <c r="Z278" i="115" s="1"/>
  <c r="AA278" i="115" s="1"/>
  <c r="AU907" i="29" s="1"/>
  <c r="AB26" i="115"/>
  <c r="BK210" i="29" s="1"/>
  <c r="AE218" i="115"/>
  <c r="AV737" i="29" s="1"/>
  <c r="AE280" i="115"/>
  <c r="AV909" i="29" s="1"/>
  <c r="AE154" i="115"/>
  <c r="AV562" i="29" s="1"/>
  <c r="AE29" i="115"/>
  <c r="AV213" i="29" s="1"/>
  <c r="AB88" i="115"/>
  <c r="BK383" i="29" s="1"/>
  <c r="AB151" i="115"/>
  <c r="BK559" i="29" s="1"/>
  <c r="AB277" i="115"/>
  <c r="BK906" i="29" s="1"/>
  <c r="AE91" i="115"/>
  <c r="AV386" i="29" s="1"/>
  <c r="Q30" i="115"/>
  <c r="R30" i="115" s="1"/>
  <c r="S30" i="115" s="1"/>
  <c r="T30" i="115" s="1"/>
  <c r="AA216" i="115"/>
  <c r="AU735" i="29" s="1"/>
  <c r="S154" i="115"/>
  <c r="U154" i="115"/>
  <c r="AA89" i="115"/>
  <c r="AU384" i="29" s="1"/>
  <c r="Q155" i="115"/>
  <c r="R155" i="115" s="1"/>
  <c r="AD155" i="115"/>
  <c r="P156" i="115"/>
  <c r="AC155" i="115"/>
  <c r="AA27" i="115"/>
  <c r="AU211" i="29" s="1"/>
  <c r="V153" i="115"/>
  <c r="T153" i="115"/>
  <c r="W153" i="115" s="1"/>
  <c r="X153" i="115" s="1"/>
  <c r="AB215" i="115"/>
  <c r="BK734" i="29" s="1"/>
  <c r="AC92" i="115"/>
  <c r="Q92" i="115"/>
  <c r="R92" i="115" s="1"/>
  <c r="AD92" i="115"/>
  <c r="P93" i="115"/>
  <c r="V217" i="115"/>
  <c r="T217" i="115"/>
  <c r="W217" i="115" s="1"/>
  <c r="X217" i="115" s="1"/>
  <c r="S218" i="115"/>
  <c r="U218" i="115"/>
  <c r="AC219" i="115"/>
  <c r="Q219" i="115"/>
  <c r="R219" i="115" s="1"/>
  <c r="AD219" i="115"/>
  <c r="P220" i="115"/>
  <c r="T279" i="115"/>
  <c r="W279" i="115" s="1"/>
  <c r="X279" i="115" s="1"/>
  <c r="V279" i="115"/>
  <c r="S280" i="115"/>
  <c r="U280" i="115"/>
  <c r="V90" i="115"/>
  <c r="T90" i="115"/>
  <c r="W90" i="115" s="1"/>
  <c r="X90" i="115" s="1"/>
  <c r="U91" i="115"/>
  <c r="S91" i="115"/>
  <c r="AC281" i="115"/>
  <c r="Q281" i="115"/>
  <c r="R281" i="115" s="1"/>
  <c r="AD281" i="115"/>
  <c r="P282" i="115"/>
  <c r="V28" i="115"/>
  <c r="W28" i="115"/>
  <c r="X28" i="115" s="1"/>
  <c r="P31" i="115"/>
  <c r="AD30" i="115"/>
  <c r="AC30" i="115"/>
  <c r="U29" i="115"/>
  <c r="Y217" i="115" l="1"/>
  <c r="Z217" i="115" s="1"/>
  <c r="AA217" i="115" s="1"/>
  <c r="AU736" i="29" s="1"/>
  <c r="Y153" i="115"/>
  <c r="Z153" i="115" s="1"/>
  <c r="AA153" i="115" s="1"/>
  <c r="AU561" i="29" s="1"/>
  <c r="Y90" i="115"/>
  <c r="Z90" i="115" s="1"/>
  <c r="AA90" i="115" s="1"/>
  <c r="AU385" i="29" s="1"/>
  <c r="Y28" i="115"/>
  <c r="Z28" i="115" s="1"/>
  <c r="AA28" i="115" s="1"/>
  <c r="AU212" i="29" s="1"/>
  <c r="Y279" i="115"/>
  <c r="Z279" i="115" s="1"/>
  <c r="AA279" i="115" s="1"/>
  <c r="AU908" i="29" s="1"/>
  <c r="AE155" i="115"/>
  <c r="AV563" i="29" s="1"/>
  <c r="AE281" i="115"/>
  <c r="AV910" i="29" s="1"/>
  <c r="AE219" i="115"/>
  <c r="AV738" i="29" s="1"/>
  <c r="AE92" i="115"/>
  <c r="AV387" i="29" s="1"/>
  <c r="AB89" i="115"/>
  <c r="BK384" i="29" s="1"/>
  <c r="AE30" i="115"/>
  <c r="AV214" i="29" s="1"/>
  <c r="Q31" i="115"/>
  <c r="R31" i="115" s="1"/>
  <c r="S31" i="115" s="1"/>
  <c r="T31" i="115" s="1"/>
  <c r="V154" i="115"/>
  <c r="T154" i="115"/>
  <c r="W154" i="115" s="1"/>
  <c r="X154" i="115" s="1"/>
  <c r="Y154" i="115" s="1"/>
  <c r="Z154" i="115" s="1"/>
  <c r="AB27" i="115"/>
  <c r="BK211" i="29" s="1"/>
  <c r="P157" i="115"/>
  <c r="AD156" i="115"/>
  <c r="Q156" i="115"/>
  <c r="R156" i="115" s="1"/>
  <c r="AC156" i="115"/>
  <c r="AB152" i="115"/>
  <c r="BK560" i="29" s="1"/>
  <c r="S155" i="115"/>
  <c r="U155" i="115"/>
  <c r="AB216" i="115"/>
  <c r="BK735" i="29" s="1"/>
  <c r="AB278" i="115"/>
  <c r="BK907" i="29" s="1"/>
  <c r="AC220" i="115"/>
  <c r="Q220" i="115"/>
  <c r="R220" i="115" s="1"/>
  <c r="AD220" i="115"/>
  <c r="P221" i="115"/>
  <c r="AC282" i="115"/>
  <c r="Q282" i="115"/>
  <c r="R282" i="115" s="1"/>
  <c r="AD282" i="115"/>
  <c r="P283" i="115"/>
  <c r="T91" i="115"/>
  <c r="W91" i="115" s="1"/>
  <c r="X91" i="115" s="1"/>
  <c r="V91" i="115"/>
  <c r="T280" i="115"/>
  <c r="W280" i="115" s="1"/>
  <c r="X280" i="115" s="1"/>
  <c r="V280" i="115"/>
  <c r="T218" i="115"/>
  <c r="W218" i="115" s="1"/>
  <c r="X218" i="115" s="1"/>
  <c r="Y218" i="115" s="1"/>
  <c r="Z218" i="115" s="1"/>
  <c r="V218" i="115"/>
  <c r="U92" i="115"/>
  <c r="S92" i="115"/>
  <c r="U281" i="115"/>
  <c r="S281" i="115"/>
  <c r="S219" i="115"/>
  <c r="U219" i="115"/>
  <c r="Q93" i="115"/>
  <c r="R93" i="115" s="1"/>
  <c r="AC93" i="115"/>
  <c r="AD93" i="115"/>
  <c r="P94" i="115"/>
  <c r="U30" i="115"/>
  <c r="W29" i="115"/>
  <c r="X29" i="115" s="1"/>
  <c r="Y29" i="115" s="1"/>
  <c r="Z29" i="115" s="1"/>
  <c r="V29" i="115"/>
  <c r="AD31" i="115"/>
  <c r="P32" i="115"/>
  <c r="AC31" i="115"/>
  <c r="J37" i="30"/>
  <c r="J38" i="30"/>
  <c r="J35" i="30"/>
  <c r="J39" i="30"/>
  <c r="J36" i="30"/>
  <c r="J40" i="30"/>
  <c r="F26" i="114"/>
  <c r="F18" i="114"/>
  <c r="F17" i="114"/>
  <c r="F16" i="114"/>
  <c r="G15" i="114"/>
  <c r="F15" i="114"/>
  <c r="F14" i="114"/>
  <c r="AL900" i="29"/>
  <c r="AL950" i="29"/>
  <c r="AL949" i="29"/>
  <c r="AL948" i="29"/>
  <c r="AL947" i="29"/>
  <c r="AL946" i="29"/>
  <c r="AL945" i="29"/>
  <c r="AL944" i="29"/>
  <c r="AL943" i="29"/>
  <c r="AL942" i="29"/>
  <c r="AL941" i="29"/>
  <c r="AL940" i="29"/>
  <c r="AL939" i="29"/>
  <c r="AL938" i="29"/>
  <c r="AL937" i="29"/>
  <c r="AL936" i="29"/>
  <c r="AL935" i="29"/>
  <c r="AL934" i="29"/>
  <c r="AL933" i="29"/>
  <c r="AL932" i="29"/>
  <c r="AL931" i="29"/>
  <c r="AL930" i="29"/>
  <c r="AL929" i="29"/>
  <c r="AL928" i="29"/>
  <c r="AL927" i="29"/>
  <c r="AL926" i="29"/>
  <c r="AL925" i="29"/>
  <c r="AL924" i="29"/>
  <c r="AL923" i="29"/>
  <c r="AL922" i="29"/>
  <c r="AL921" i="29"/>
  <c r="AL920" i="29"/>
  <c r="AL919" i="29"/>
  <c r="AL918" i="29"/>
  <c r="AL917" i="29"/>
  <c r="AL916" i="29"/>
  <c r="AL915" i="29"/>
  <c r="AL914" i="29"/>
  <c r="AL913" i="29"/>
  <c r="AL912" i="29"/>
  <c r="AL911" i="29"/>
  <c r="AL910" i="29"/>
  <c r="AL909" i="29"/>
  <c r="AL908" i="29"/>
  <c r="AL907" i="29"/>
  <c r="AL906" i="29"/>
  <c r="AL905" i="29"/>
  <c r="AL904" i="29"/>
  <c r="AL903" i="29"/>
  <c r="AL902" i="29"/>
  <c r="AL901" i="29"/>
  <c r="AJ900" i="29"/>
  <c r="M999" i="29"/>
  <c r="BL999" i="29" s="1"/>
  <c r="M998" i="29"/>
  <c r="BL998" i="29" s="1"/>
  <c r="M997" i="29"/>
  <c r="BL997" i="29" s="1"/>
  <c r="M996" i="29"/>
  <c r="BL996" i="29" s="1"/>
  <c r="M995" i="29"/>
  <c r="BL995" i="29" s="1"/>
  <c r="M994" i="29"/>
  <c r="BL994" i="29" s="1"/>
  <c r="M993" i="29"/>
  <c r="BL993" i="29" s="1"/>
  <c r="M992" i="29"/>
  <c r="BL992" i="29" s="1"/>
  <c r="M990" i="29"/>
  <c r="BL990" i="29" s="1"/>
  <c r="M989" i="29"/>
  <c r="BL989" i="29" s="1"/>
  <c r="M988" i="29"/>
  <c r="BL988" i="29" s="1"/>
  <c r="M987" i="29"/>
  <c r="BL987" i="29" s="1"/>
  <c r="M986" i="29"/>
  <c r="BL986" i="29" s="1"/>
  <c r="M985" i="29"/>
  <c r="BL985" i="29" s="1"/>
  <c r="M984" i="29"/>
  <c r="BL984" i="29" s="1"/>
  <c r="M983" i="29"/>
  <c r="BL983" i="29" s="1"/>
  <c r="M982" i="29"/>
  <c r="BL982" i="29" s="1"/>
  <c r="M981" i="29"/>
  <c r="BL981" i="29" s="1"/>
  <c r="M980" i="29"/>
  <c r="BL980" i="29" s="1"/>
  <c r="M979" i="29"/>
  <c r="BL979" i="29" s="1"/>
  <c r="M978" i="29"/>
  <c r="BL978" i="29" s="1"/>
  <c r="M977" i="29"/>
  <c r="BL977" i="29" s="1"/>
  <c r="M976" i="29"/>
  <c r="BL976" i="29" s="1"/>
  <c r="M975" i="29"/>
  <c r="BL975" i="29" s="1"/>
  <c r="M974" i="29"/>
  <c r="BL974" i="29" s="1"/>
  <c r="M973" i="29"/>
  <c r="BL973" i="29" s="1"/>
  <c r="M972" i="29"/>
  <c r="BL972" i="29" s="1"/>
  <c r="M971" i="29"/>
  <c r="BL971" i="29" s="1"/>
  <c r="M970" i="29"/>
  <c r="BL970" i="29" s="1"/>
  <c r="M969" i="29"/>
  <c r="BL969" i="29" s="1"/>
  <c r="M968" i="29"/>
  <c r="BL968" i="29" s="1"/>
  <c r="M967" i="29"/>
  <c r="BL967" i="29" s="1"/>
  <c r="M966" i="29"/>
  <c r="BL966" i="29" s="1"/>
  <c r="M965" i="29"/>
  <c r="BL965" i="29" s="1"/>
  <c r="M964" i="29"/>
  <c r="BL964" i="29" s="1"/>
  <c r="M963" i="29"/>
  <c r="BL963" i="29" s="1"/>
  <c r="M960" i="29"/>
  <c r="BL960" i="29" s="1"/>
  <c r="M959" i="29"/>
  <c r="BL959" i="29" s="1"/>
  <c r="M958" i="29"/>
  <c r="BL958" i="29" s="1"/>
  <c r="M957" i="29"/>
  <c r="BL957" i="29" s="1"/>
  <c r="M956" i="29"/>
  <c r="BL956" i="29" s="1"/>
  <c r="M955" i="29"/>
  <c r="BL955" i="29" s="1"/>
  <c r="M954" i="29"/>
  <c r="BL954" i="29" s="1"/>
  <c r="M953" i="29"/>
  <c r="BL953" i="29" s="1"/>
  <c r="M952" i="29"/>
  <c r="BL952" i="29" s="1"/>
  <c r="M951" i="29"/>
  <c r="BL951" i="29" s="1"/>
  <c r="M950" i="29"/>
  <c r="BL950" i="29" s="1"/>
  <c r="M949" i="29"/>
  <c r="BL949" i="29" s="1"/>
  <c r="M948" i="29"/>
  <c r="BL948" i="29" s="1"/>
  <c r="M947" i="29"/>
  <c r="BL947" i="29" s="1"/>
  <c r="M946" i="29"/>
  <c r="BL946" i="29" s="1"/>
  <c r="M945" i="29"/>
  <c r="BL945" i="29" s="1"/>
  <c r="M944" i="29"/>
  <c r="BL944" i="29" s="1"/>
  <c r="M943" i="29"/>
  <c r="BL943" i="29" s="1"/>
  <c r="M942" i="29"/>
  <c r="BL942" i="29" s="1"/>
  <c r="M941" i="29"/>
  <c r="BL941" i="29" s="1"/>
  <c r="M940" i="29"/>
  <c r="BL940" i="29" s="1"/>
  <c r="M939" i="29"/>
  <c r="BL939" i="29" s="1"/>
  <c r="M938" i="29"/>
  <c r="BL938" i="29" s="1"/>
  <c r="M937" i="29"/>
  <c r="BL937" i="29" s="1"/>
  <c r="M936" i="29"/>
  <c r="BL936" i="29" s="1"/>
  <c r="M935" i="29"/>
  <c r="BL935" i="29" s="1"/>
  <c r="M934" i="29"/>
  <c r="BL934" i="29" s="1"/>
  <c r="M933" i="29"/>
  <c r="BL933" i="29" s="1"/>
  <c r="M932" i="29"/>
  <c r="BL932" i="29" s="1"/>
  <c r="M931" i="29"/>
  <c r="BL931" i="29" s="1"/>
  <c r="M930" i="29"/>
  <c r="BL930" i="29" s="1"/>
  <c r="M929" i="29"/>
  <c r="BL929" i="29" s="1"/>
  <c r="M928" i="29"/>
  <c r="BL928" i="29" s="1"/>
  <c r="M927" i="29"/>
  <c r="BL927" i="29" s="1"/>
  <c r="M926" i="29"/>
  <c r="BL926" i="29" s="1"/>
  <c r="M925" i="29"/>
  <c r="BL925" i="29" s="1"/>
  <c r="M924" i="29"/>
  <c r="BL924" i="29" s="1"/>
  <c r="M923" i="29"/>
  <c r="BL923" i="29" s="1"/>
  <c r="M922" i="29"/>
  <c r="BL922" i="29" s="1"/>
  <c r="M921" i="29"/>
  <c r="BL921" i="29" s="1"/>
  <c r="M920" i="29"/>
  <c r="BL920" i="29" s="1"/>
  <c r="M919" i="29"/>
  <c r="BL919" i="29" s="1"/>
  <c r="M918" i="29"/>
  <c r="BL918" i="29" s="1"/>
  <c r="M917" i="29"/>
  <c r="BL917" i="29" s="1"/>
  <c r="M916" i="29"/>
  <c r="BL916" i="29" s="1"/>
  <c r="M915" i="29"/>
  <c r="BL915" i="29" s="1"/>
  <c r="M914" i="29"/>
  <c r="BL914" i="29" s="1"/>
  <c r="M913" i="29"/>
  <c r="BL913" i="29" s="1"/>
  <c r="M912" i="29"/>
  <c r="BL912" i="29" s="1"/>
  <c r="M911" i="29"/>
  <c r="BL911" i="29" s="1"/>
  <c r="M910" i="29"/>
  <c r="BL910" i="29" s="1"/>
  <c r="M909" i="29"/>
  <c r="BL909" i="29" s="1"/>
  <c r="M908" i="29"/>
  <c r="BL908" i="29" s="1"/>
  <c r="M907" i="29"/>
  <c r="BL907" i="29" s="1"/>
  <c r="M906" i="29"/>
  <c r="BL906" i="29" s="1"/>
  <c r="M905" i="29"/>
  <c r="BL905" i="29" s="1"/>
  <c r="M904" i="29"/>
  <c r="BL904" i="29" s="1"/>
  <c r="M903" i="29"/>
  <c r="BL903" i="29" s="1"/>
  <c r="M902" i="29"/>
  <c r="BL902" i="29" s="1"/>
  <c r="M901" i="29"/>
  <c r="BL901" i="29" s="1"/>
  <c r="M900" i="29"/>
  <c r="BL900" i="29" s="1"/>
  <c r="M899" i="29"/>
  <c r="BL899" i="29" s="1"/>
  <c r="M898" i="29"/>
  <c r="BL898" i="29" s="1"/>
  <c r="M897" i="29"/>
  <c r="BL897" i="29" s="1"/>
  <c r="M896" i="29"/>
  <c r="BL896" i="29" s="1"/>
  <c r="J1032" i="29"/>
  <c r="J1031" i="29"/>
  <c r="J1030" i="29"/>
  <c r="J1029" i="29"/>
  <c r="J1027" i="29"/>
  <c r="J1005" i="29"/>
  <c r="J1003" i="29"/>
  <c r="I994" i="29"/>
  <c r="I993" i="29"/>
  <c r="I992" i="29"/>
  <c r="H994" i="29"/>
  <c r="H993" i="29"/>
  <c r="H992" i="29"/>
  <c r="G994" i="29"/>
  <c r="G993" i="29"/>
  <c r="G992" i="29"/>
  <c r="F994" i="29"/>
  <c r="F993" i="29"/>
  <c r="F992" i="29"/>
  <c r="I897" i="29"/>
  <c r="I896" i="29"/>
  <c r="H897" i="29"/>
  <c r="H896" i="29"/>
  <c r="G897" i="29"/>
  <c r="G896" i="29"/>
  <c r="F897" i="29"/>
  <c r="F896" i="29"/>
  <c r="AM900" i="29"/>
  <c r="U1033" i="29"/>
  <c r="T1033" i="29"/>
  <c r="S1033" i="29"/>
  <c r="R1033" i="29"/>
  <c r="Q1033" i="29"/>
  <c r="P1033" i="29"/>
  <c r="U1032" i="29"/>
  <c r="T1032" i="29"/>
  <c r="S1032" i="29"/>
  <c r="R1032" i="29"/>
  <c r="Q1032" i="29"/>
  <c r="P1032" i="29"/>
  <c r="U1031" i="29"/>
  <c r="T1031" i="29"/>
  <c r="S1031" i="29"/>
  <c r="R1031" i="29"/>
  <c r="Q1031" i="29"/>
  <c r="P1031" i="29"/>
  <c r="U1030" i="29"/>
  <c r="T1030" i="29"/>
  <c r="S1030" i="29"/>
  <c r="R1030" i="29"/>
  <c r="Q1030" i="29"/>
  <c r="P1030" i="29"/>
  <c r="U1029" i="29"/>
  <c r="T1029" i="29"/>
  <c r="S1029" i="29"/>
  <c r="R1029" i="29"/>
  <c r="Q1029" i="29"/>
  <c r="P1029" i="29"/>
  <c r="U1028" i="29"/>
  <c r="T1028" i="29"/>
  <c r="S1028" i="29"/>
  <c r="R1028" i="29"/>
  <c r="Q1028" i="29"/>
  <c r="P1028" i="29"/>
  <c r="AE1027" i="29"/>
  <c r="AD1027" i="29"/>
  <c r="AC1027" i="29"/>
  <c r="AA1027" i="29"/>
  <c r="U1027" i="29"/>
  <c r="T1027" i="29"/>
  <c r="S1027" i="29"/>
  <c r="R1027" i="29"/>
  <c r="Q1027" i="29"/>
  <c r="P1027" i="29"/>
  <c r="U1026" i="29"/>
  <c r="T1026" i="29"/>
  <c r="S1026" i="29"/>
  <c r="R1026" i="29"/>
  <c r="Q1026" i="29"/>
  <c r="P1026" i="29"/>
  <c r="U1025" i="29"/>
  <c r="T1025" i="29"/>
  <c r="S1025" i="29"/>
  <c r="R1025" i="29"/>
  <c r="Q1025" i="29"/>
  <c r="P1025" i="29"/>
  <c r="U1024" i="29"/>
  <c r="T1024" i="29"/>
  <c r="S1024" i="29"/>
  <c r="R1024" i="29"/>
  <c r="Q1024" i="29"/>
  <c r="P1024" i="29"/>
  <c r="U1023" i="29"/>
  <c r="T1023" i="29"/>
  <c r="S1023" i="29"/>
  <c r="R1023" i="29"/>
  <c r="Q1023" i="29"/>
  <c r="P1023" i="29"/>
  <c r="U1022" i="29"/>
  <c r="T1022" i="29"/>
  <c r="S1022" i="29"/>
  <c r="R1022" i="29"/>
  <c r="Q1022" i="29"/>
  <c r="P1022" i="29"/>
  <c r="U1021" i="29"/>
  <c r="T1021" i="29"/>
  <c r="S1021" i="29"/>
  <c r="R1021" i="29"/>
  <c r="Q1021" i="29"/>
  <c r="P1021" i="29"/>
  <c r="U1020" i="29"/>
  <c r="T1020" i="29"/>
  <c r="S1020" i="29"/>
  <c r="R1020" i="29"/>
  <c r="Q1020" i="29"/>
  <c r="P1020" i="29"/>
  <c r="U1019" i="29"/>
  <c r="T1019" i="29"/>
  <c r="S1019" i="29"/>
  <c r="R1019" i="29"/>
  <c r="Q1019" i="29"/>
  <c r="P1019" i="29"/>
  <c r="U1018" i="29"/>
  <c r="T1018" i="29"/>
  <c r="S1018" i="29"/>
  <c r="R1018" i="29"/>
  <c r="Q1018" i="29"/>
  <c r="P1018" i="29"/>
  <c r="U1017" i="29"/>
  <c r="T1017" i="29"/>
  <c r="S1017" i="29"/>
  <c r="R1017" i="29"/>
  <c r="Q1017" i="29"/>
  <c r="P1017" i="29"/>
  <c r="U1016" i="29"/>
  <c r="T1016" i="29"/>
  <c r="S1016" i="29"/>
  <c r="R1016" i="29"/>
  <c r="Q1016" i="29"/>
  <c r="P1016" i="29"/>
  <c r="U1015" i="29"/>
  <c r="T1015" i="29"/>
  <c r="S1015" i="29"/>
  <c r="R1015" i="29"/>
  <c r="Q1015" i="29"/>
  <c r="P1015" i="29"/>
  <c r="U1014" i="29"/>
  <c r="T1014" i="29"/>
  <c r="S1014" i="29"/>
  <c r="R1014" i="29"/>
  <c r="Q1014" i="29"/>
  <c r="P1014" i="29"/>
  <c r="U1013" i="29"/>
  <c r="T1013" i="29"/>
  <c r="S1013" i="29"/>
  <c r="R1013" i="29"/>
  <c r="Q1013" i="29"/>
  <c r="P1013" i="29"/>
  <c r="U1012" i="29"/>
  <c r="T1012" i="29"/>
  <c r="S1012" i="29"/>
  <c r="R1012" i="29"/>
  <c r="Q1012" i="29"/>
  <c r="P1012" i="29"/>
  <c r="U1010" i="29"/>
  <c r="T1010" i="29"/>
  <c r="S1010" i="29"/>
  <c r="R1010" i="29"/>
  <c r="Q1010" i="29"/>
  <c r="P1010" i="29"/>
  <c r="U1009" i="29"/>
  <c r="T1009" i="29"/>
  <c r="S1009" i="29"/>
  <c r="R1009" i="29"/>
  <c r="Q1009" i="29"/>
  <c r="P1009" i="29"/>
  <c r="U1008" i="29"/>
  <c r="T1008" i="29"/>
  <c r="S1008" i="29"/>
  <c r="R1008" i="29"/>
  <c r="Q1008" i="29"/>
  <c r="P1008" i="29"/>
  <c r="U1007" i="29"/>
  <c r="T1007" i="29"/>
  <c r="S1007" i="29"/>
  <c r="R1007" i="29"/>
  <c r="Q1007" i="29"/>
  <c r="P1007" i="29"/>
  <c r="U1006" i="29"/>
  <c r="T1006" i="29"/>
  <c r="S1006" i="29"/>
  <c r="R1006" i="29"/>
  <c r="Q1006" i="29"/>
  <c r="P1006" i="29"/>
  <c r="U1005" i="29"/>
  <c r="T1005" i="29"/>
  <c r="S1005" i="29"/>
  <c r="R1005" i="29"/>
  <c r="Q1005" i="29"/>
  <c r="P1005" i="29"/>
  <c r="U1004" i="29"/>
  <c r="T1004" i="29"/>
  <c r="S1004" i="29"/>
  <c r="R1004" i="29"/>
  <c r="Q1004" i="29"/>
  <c r="P1004" i="29"/>
  <c r="U1003" i="29"/>
  <c r="T1003" i="29"/>
  <c r="S1003" i="29"/>
  <c r="R1003" i="29"/>
  <c r="Q1003" i="29"/>
  <c r="P1003" i="29"/>
  <c r="U991" i="29"/>
  <c r="P8" i="113"/>
  <c r="H8" i="113"/>
  <c r="P7" i="113"/>
  <c r="O7" i="113"/>
  <c r="J7" i="113"/>
  <c r="H7" i="113"/>
  <c r="P6" i="113"/>
  <c r="O6" i="113"/>
  <c r="H6" i="113"/>
  <c r="P5" i="113"/>
  <c r="O5" i="113"/>
  <c r="H5" i="113"/>
  <c r="P4" i="113"/>
  <c r="O4" i="113"/>
  <c r="H4" i="113"/>
  <c r="K110" i="114"/>
  <c r="J1033" i="29" s="1"/>
  <c r="K103" i="114"/>
  <c r="K93" i="114"/>
  <c r="J1028" i="29" s="1"/>
  <c r="E80" i="114"/>
  <c r="E79" i="114"/>
  <c r="E78" i="114"/>
  <c r="E77" i="114"/>
  <c r="E76" i="114"/>
  <c r="E75" i="114"/>
  <c r="E74" i="114"/>
  <c r="E73" i="114"/>
  <c r="E72" i="114"/>
  <c r="E71" i="114"/>
  <c r="E70" i="114"/>
  <c r="E69" i="114"/>
  <c r="E68" i="114"/>
  <c r="E67" i="114"/>
  <c r="E66" i="114"/>
  <c r="E65" i="114"/>
  <c r="E64" i="114"/>
  <c r="E63" i="114"/>
  <c r="K55" i="114"/>
  <c r="F8" i="114"/>
  <c r="G7" i="114"/>
  <c r="F7" i="114"/>
  <c r="E7" i="114"/>
  <c r="F6" i="114"/>
  <c r="E6" i="114"/>
  <c r="F5" i="114"/>
  <c r="E5" i="114"/>
  <c r="F4" i="114"/>
  <c r="E4" i="114"/>
  <c r="O963" i="29"/>
  <c r="BN963" i="29" s="1"/>
  <c r="O960" i="29"/>
  <c r="BN960" i="29" s="1"/>
  <c r="O955" i="29"/>
  <c r="BN955" i="29" s="1"/>
  <c r="G7" i="113"/>
  <c r="G6" i="113"/>
  <c r="G5" i="113"/>
  <c r="G4" i="113"/>
  <c r="F26" i="111"/>
  <c r="F18" i="111"/>
  <c r="F17" i="111"/>
  <c r="F16" i="111"/>
  <c r="G15" i="111"/>
  <c r="F15" i="111"/>
  <c r="F14" i="111"/>
  <c r="AL777" i="29"/>
  <c r="AL776" i="29"/>
  <c r="AL775" i="29"/>
  <c r="AL774" i="29"/>
  <c r="AL773" i="29"/>
  <c r="AL772" i="29"/>
  <c r="AL771" i="29"/>
  <c r="AL770" i="29"/>
  <c r="AL769" i="29"/>
  <c r="AL768" i="29"/>
  <c r="AL767" i="29"/>
  <c r="AL766" i="29"/>
  <c r="AL765" i="29"/>
  <c r="AL764" i="29"/>
  <c r="AL763" i="29"/>
  <c r="AL762" i="29"/>
  <c r="AL761" i="29"/>
  <c r="AL760" i="29"/>
  <c r="AL759" i="29"/>
  <c r="AL758" i="29"/>
  <c r="AL757" i="29"/>
  <c r="AL756" i="29"/>
  <c r="AL755" i="29"/>
  <c r="AL754" i="29"/>
  <c r="AL753" i="29"/>
  <c r="AL752" i="29"/>
  <c r="AL751" i="29"/>
  <c r="AL750" i="29"/>
  <c r="AL749" i="29"/>
  <c r="AL748" i="29"/>
  <c r="AL747" i="29"/>
  <c r="AL746" i="29"/>
  <c r="AL745" i="29"/>
  <c r="AL744" i="29"/>
  <c r="AL743" i="29"/>
  <c r="AL742" i="29"/>
  <c r="AL741" i="29"/>
  <c r="AL740" i="29"/>
  <c r="AL739" i="29"/>
  <c r="AL738" i="29"/>
  <c r="AL737" i="29"/>
  <c r="AL736" i="29"/>
  <c r="AL735" i="29"/>
  <c r="AL734" i="29"/>
  <c r="AL733" i="29"/>
  <c r="AL732" i="29"/>
  <c r="AL731" i="29"/>
  <c r="AL730" i="29"/>
  <c r="AL729" i="29"/>
  <c r="AL728" i="29"/>
  <c r="AJ727" i="29"/>
  <c r="AG728" i="29" s="1"/>
  <c r="M826" i="29"/>
  <c r="BL826" i="29" s="1"/>
  <c r="M825" i="29"/>
  <c r="BL825" i="29" s="1"/>
  <c r="M824" i="29"/>
  <c r="BL824" i="29" s="1"/>
  <c r="M823" i="29"/>
  <c r="BL823" i="29" s="1"/>
  <c r="M822" i="29"/>
  <c r="BL822" i="29" s="1"/>
  <c r="M821" i="29"/>
  <c r="BL821" i="29" s="1"/>
  <c r="M820" i="29"/>
  <c r="BL820" i="29" s="1"/>
  <c r="M819" i="29"/>
  <c r="BL819" i="29" s="1"/>
  <c r="M817" i="29"/>
  <c r="BL817" i="29" s="1"/>
  <c r="M816" i="29"/>
  <c r="BL816" i="29" s="1"/>
  <c r="M815" i="29"/>
  <c r="BL815" i="29" s="1"/>
  <c r="M814" i="29"/>
  <c r="BL814" i="29" s="1"/>
  <c r="M813" i="29"/>
  <c r="BL813" i="29" s="1"/>
  <c r="M812" i="29"/>
  <c r="BL812" i="29" s="1"/>
  <c r="M811" i="29"/>
  <c r="BL811" i="29" s="1"/>
  <c r="M810" i="29"/>
  <c r="BL810" i="29" s="1"/>
  <c r="M809" i="29"/>
  <c r="BL809" i="29" s="1"/>
  <c r="M808" i="29"/>
  <c r="BL808" i="29" s="1"/>
  <c r="M807" i="29"/>
  <c r="BL807" i="29" s="1"/>
  <c r="M806" i="29"/>
  <c r="BL806" i="29" s="1"/>
  <c r="M805" i="29"/>
  <c r="BL805" i="29" s="1"/>
  <c r="M804" i="29"/>
  <c r="BL804" i="29" s="1"/>
  <c r="M803" i="29"/>
  <c r="BL803" i="29" s="1"/>
  <c r="M802" i="29"/>
  <c r="BL802" i="29" s="1"/>
  <c r="M801" i="29"/>
  <c r="BL801" i="29" s="1"/>
  <c r="M800" i="29"/>
  <c r="BL800" i="29" s="1"/>
  <c r="M799" i="29"/>
  <c r="BL799" i="29" s="1"/>
  <c r="M798" i="29"/>
  <c r="BL798" i="29" s="1"/>
  <c r="M797" i="29"/>
  <c r="BL797" i="29" s="1"/>
  <c r="M796" i="29"/>
  <c r="BL796" i="29" s="1"/>
  <c r="M795" i="29"/>
  <c r="BL795" i="29" s="1"/>
  <c r="M794" i="29"/>
  <c r="BL794" i="29" s="1"/>
  <c r="M793" i="29"/>
  <c r="BL793" i="29" s="1"/>
  <c r="M792" i="29"/>
  <c r="BL792" i="29" s="1"/>
  <c r="M791" i="29"/>
  <c r="BL791" i="29" s="1"/>
  <c r="M790" i="29"/>
  <c r="BL790" i="29" s="1"/>
  <c r="M787" i="29"/>
  <c r="BL787" i="29" s="1"/>
  <c r="M786" i="29"/>
  <c r="BL786" i="29" s="1"/>
  <c r="M785" i="29"/>
  <c r="BL785" i="29" s="1"/>
  <c r="M784" i="29"/>
  <c r="BL784" i="29" s="1"/>
  <c r="M783" i="29"/>
  <c r="BL783" i="29" s="1"/>
  <c r="M782" i="29"/>
  <c r="BL782" i="29" s="1"/>
  <c r="M781" i="29"/>
  <c r="BL781" i="29" s="1"/>
  <c r="M780" i="29"/>
  <c r="BL780" i="29" s="1"/>
  <c r="M779" i="29"/>
  <c r="BL779" i="29" s="1"/>
  <c r="M778" i="29"/>
  <c r="BL778" i="29" s="1"/>
  <c r="M777" i="29"/>
  <c r="BL777" i="29" s="1"/>
  <c r="M776" i="29"/>
  <c r="BL776" i="29" s="1"/>
  <c r="M775" i="29"/>
  <c r="BL775" i="29" s="1"/>
  <c r="M774" i="29"/>
  <c r="BL774" i="29" s="1"/>
  <c r="M773" i="29"/>
  <c r="BL773" i="29" s="1"/>
  <c r="M772" i="29"/>
  <c r="BL772" i="29" s="1"/>
  <c r="M771" i="29"/>
  <c r="BL771" i="29" s="1"/>
  <c r="M770" i="29"/>
  <c r="BL770" i="29" s="1"/>
  <c r="M769" i="29"/>
  <c r="BL769" i="29" s="1"/>
  <c r="M768" i="29"/>
  <c r="BL768" i="29" s="1"/>
  <c r="M767" i="29"/>
  <c r="BL767" i="29" s="1"/>
  <c r="M766" i="29"/>
  <c r="BL766" i="29" s="1"/>
  <c r="M765" i="29"/>
  <c r="BL765" i="29" s="1"/>
  <c r="M764" i="29"/>
  <c r="BL764" i="29" s="1"/>
  <c r="M763" i="29"/>
  <c r="BL763" i="29" s="1"/>
  <c r="M762" i="29"/>
  <c r="BL762" i="29" s="1"/>
  <c r="M761" i="29"/>
  <c r="BL761" i="29" s="1"/>
  <c r="M760" i="29"/>
  <c r="BL760" i="29" s="1"/>
  <c r="M759" i="29"/>
  <c r="BL759" i="29" s="1"/>
  <c r="M758" i="29"/>
  <c r="BL758" i="29" s="1"/>
  <c r="M757" i="29"/>
  <c r="BL757" i="29" s="1"/>
  <c r="M756" i="29"/>
  <c r="BL756" i="29" s="1"/>
  <c r="M755" i="29"/>
  <c r="BL755" i="29" s="1"/>
  <c r="M754" i="29"/>
  <c r="BL754" i="29" s="1"/>
  <c r="M753" i="29"/>
  <c r="BL753" i="29" s="1"/>
  <c r="M752" i="29"/>
  <c r="BL752" i="29" s="1"/>
  <c r="M751" i="29"/>
  <c r="BL751" i="29" s="1"/>
  <c r="M750" i="29"/>
  <c r="BL750" i="29" s="1"/>
  <c r="M749" i="29"/>
  <c r="BL749" i="29" s="1"/>
  <c r="M748" i="29"/>
  <c r="BL748" i="29" s="1"/>
  <c r="M747" i="29"/>
  <c r="BL747" i="29" s="1"/>
  <c r="M746" i="29"/>
  <c r="BL746" i="29" s="1"/>
  <c r="M745" i="29"/>
  <c r="BL745" i="29" s="1"/>
  <c r="M744" i="29"/>
  <c r="BL744" i="29" s="1"/>
  <c r="M743" i="29"/>
  <c r="BL743" i="29" s="1"/>
  <c r="M742" i="29"/>
  <c r="BL742" i="29" s="1"/>
  <c r="M741" i="29"/>
  <c r="BL741" i="29" s="1"/>
  <c r="M740" i="29"/>
  <c r="BL740" i="29" s="1"/>
  <c r="M739" i="29"/>
  <c r="BL739" i="29" s="1"/>
  <c r="M738" i="29"/>
  <c r="BL738" i="29" s="1"/>
  <c r="M737" i="29"/>
  <c r="BL737" i="29" s="1"/>
  <c r="M736" i="29"/>
  <c r="BL736" i="29" s="1"/>
  <c r="M735" i="29"/>
  <c r="BL735" i="29" s="1"/>
  <c r="M734" i="29"/>
  <c r="BL734" i="29" s="1"/>
  <c r="M733" i="29"/>
  <c r="BL733" i="29" s="1"/>
  <c r="M732" i="29"/>
  <c r="BL732" i="29" s="1"/>
  <c r="M731" i="29"/>
  <c r="BL731" i="29" s="1"/>
  <c r="M730" i="29"/>
  <c r="BL730" i="29" s="1"/>
  <c r="M729" i="29"/>
  <c r="BL729" i="29" s="1"/>
  <c r="M728" i="29"/>
  <c r="BL728" i="29" s="1"/>
  <c r="M727" i="29"/>
  <c r="BL727" i="29" s="1"/>
  <c r="M726" i="29"/>
  <c r="BL726" i="29" s="1"/>
  <c r="M725" i="29"/>
  <c r="BL725" i="29" s="1"/>
  <c r="M724" i="29"/>
  <c r="BL724" i="29" s="1"/>
  <c r="M723" i="29"/>
  <c r="BL723" i="29" s="1"/>
  <c r="J859" i="29"/>
  <c r="J858" i="29"/>
  <c r="J857" i="29"/>
  <c r="J856" i="29"/>
  <c r="J854" i="29"/>
  <c r="J832" i="29"/>
  <c r="J830" i="29"/>
  <c r="I821" i="29"/>
  <c r="I820" i="29"/>
  <c r="I819" i="29"/>
  <c r="H821" i="29"/>
  <c r="H820" i="29"/>
  <c r="H819" i="29"/>
  <c r="G821" i="29"/>
  <c r="G820" i="29"/>
  <c r="G819" i="29"/>
  <c r="F821" i="29"/>
  <c r="F820" i="29"/>
  <c r="F819" i="29"/>
  <c r="I724" i="29"/>
  <c r="I723" i="29"/>
  <c r="H724" i="29"/>
  <c r="H723" i="29"/>
  <c r="G724" i="29"/>
  <c r="G723" i="29"/>
  <c r="F724" i="29"/>
  <c r="F723" i="29"/>
  <c r="AM727" i="29"/>
  <c r="AL727" i="29"/>
  <c r="U860" i="29"/>
  <c r="T860" i="29"/>
  <c r="S860" i="29"/>
  <c r="R860" i="29"/>
  <c r="Q860" i="29"/>
  <c r="P860" i="29"/>
  <c r="U859" i="29"/>
  <c r="T859" i="29"/>
  <c r="S859" i="29"/>
  <c r="R859" i="29"/>
  <c r="Q859" i="29"/>
  <c r="P859" i="29"/>
  <c r="U858" i="29"/>
  <c r="T858" i="29"/>
  <c r="S858" i="29"/>
  <c r="R858" i="29"/>
  <c r="Q858" i="29"/>
  <c r="P858" i="29"/>
  <c r="U857" i="29"/>
  <c r="T857" i="29"/>
  <c r="S857" i="29"/>
  <c r="R857" i="29"/>
  <c r="Q857" i="29"/>
  <c r="P857" i="29"/>
  <c r="U856" i="29"/>
  <c r="T856" i="29"/>
  <c r="S856" i="29"/>
  <c r="R856" i="29"/>
  <c r="Q856" i="29"/>
  <c r="P856" i="29"/>
  <c r="U855" i="29"/>
  <c r="T855" i="29"/>
  <c r="S855" i="29"/>
  <c r="R855" i="29"/>
  <c r="Q855" i="29"/>
  <c r="P855" i="29"/>
  <c r="AE854" i="29"/>
  <c r="AD854" i="29"/>
  <c r="AC854" i="29"/>
  <c r="AA854" i="29"/>
  <c r="U854" i="29"/>
  <c r="T854" i="29"/>
  <c r="S854" i="29"/>
  <c r="R854" i="29"/>
  <c r="Q854" i="29"/>
  <c r="P854" i="29"/>
  <c r="U853" i="29"/>
  <c r="T853" i="29"/>
  <c r="S853" i="29"/>
  <c r="R853" i="29"/>
  <c r="Q853" i="29"/>
  <c r="P853" i="29"/>
  <c r="U852" i="29"/>
  <c r="T852" i="29"/>
  <c r="S852" i="29"/>
  <c r="R852" i="29"/>
  <c r="Q852" i="29"/>
  <c r="P852" i="29"/>
  <c r="U851" i="29"/>
  <c r="T851" i="29"/>
  <c r="S851" i="29"/>
  <c r="R851" i="29"/>
  <c r="Q851" i="29"/>
  <c r="P851" i="29"/>
  <c r="U850" i="29"/>
  <c r="T850" i="29"/>
  <c r="S850" i="29"/>
  <c r="R850" i="29"/>
  <c r="Q850" i="29"/>
  <c r="P850" i="29"/>
  <c r="U849" i="29"/>
  <c r="T849" i="29"/>
  <c r="S849" i="29"/>
  <c r="R849" i="29"/>
  <c r="Q849" i="29"/>
  <c r="P849" i="29"/>
  <c r="U848" i="29"/>
  <c r="T848" i="29"/>
  <c r="S848" i="29"/>
  <c r="R848" i="29"/>
  <c r="Q848" i="29"/>
  <c r="P848" i="29"/>
  <c r="U847" i="29"/>
  <c r="T847" i="29"/>
  <c r="S847" i="29"/>
  <c r="R847" i="29"/>
  <c r="Q847" i="29"/>
  <c r="P847" i="29"/>
  <c r="U846" i="29"/>
  <c r="T846" i="29"/>
  <c r="S846" i="29"/>
  <c r="R846" i="29"/>
  <c r="Q846" i="29"/>
  <c r="P846" i="29"/>
  <c r="U845" i="29"/>
  <c r="T845" i="29"/>
  <c r="S845" i="29"/>
  <c r="R845" i="29"/>
  <c r="Q845" i="29"/>
  <c r="P845" i="29"/>
  <c r="U844" i="29"/>
  <c r="T844" i="29"/>
  <c r="S844" i="29"/>
  <c r="R844" i="29"/>
  <c r="Q844" i="29"/>
  <c r="P844" i="29"/>
  <c r="U843" i="29"/>
  <c r="T843" i="29"/>
  <c r="S843" i="29"/>
  <c r="R843" i="29"/>
  <c r="Q843" i="29"/>
  <c r="P843" i="29"/>
  <c r="U842" i="29"/>
  <c r="T842" i="29"/>
  <c r="S842" i="29"/>
  <c r="R842" i="29"/>
  <c r="Q842" i="29"/>
  <c r="P842" i="29"/>
  <c r="U841" i="29"/>
  <c r="T841" i="29"/>
  <c r="S841" i="29"/>
  <c r="R841" i="29"/>
  <c r="Q841" i="29"/>
  <c r="P841" i="29"/>
  <c r="U840" i="29"/>
  <c r="T840" i="29"/>
  <c r="S840" i="29"/>
  <c r="R840" i="29"/>
  <c r="Q840" i="29"/>
  <c r="P840" i="29"/>
  <c r="U839" i="29"/>
  <c r="T839" i="29"/>
  <c r="S839" i="29"/>
  <c r="R839" i="29"/>
  <c r="Q839" i="29"/>
  <c r="P839" i="29"/>
  <c r="U837" i="29"/>
  <c r="T837" i="29"/>
  <c r="S837" i="29"/>
  <c r="R837" i="29"/>
  <c r="Q837" i="29"/>
  <c r="P837" i="29"/>
  <c r="U836" i="29"/>
  <c r="T836" i="29"/>
  <c r="S836" i="29"/>
  <c r="R836" i="29"/>
  <c r="Q836" i="29"/>
  <c r="P836" i="29"/>
  <c r="U835" i="29"/>
  <c r="T835" i="29"/>
  <c r="S835" i="29"/>
  <c r="R835" i="29"/>
  <c r="Q835" i="29"/>
  <c r="P835" i="29"/>
  <c r="U834" i="29"/>
  <c r="T834" i="29"/>
  <c r="S834" i="29"/>
  <c r="R834" i="29"/>
  <c r="Q834" i="29"/>
  <c r="P834" i="29"/>
  <c r="U833" i="29"/>
  <c r="T833" i="29"/>
  <c r="S833" i="29"/>
  <c r="R833" i="29"/>
  <c r="Q833" i="29"/>
  <c r="P833" i="29"/>
  <c r="U832" i="29"/>
  <c r="T832" i="29"/>
  <c r="S832" i="29"/>
  <c r="R832" i="29"/>
  <c r="Q832" i="29"/>
  <c r="P832" i="29"/>
  <c r="U831" i="29"/>
  <c r="T831" i="29"/>
  <c r="S831" i="29"/>
  <c r="R831" i="29"/>
  <c r="Q831" i="29"/>
  <c r="P831" i="29"/>
  <c r="U830" i="29"/>
  <c r="T830" i="29"/>
  <c r="S830" i="29"/>
  <c r="R830" i="29"/>
  <c r="Q830" i="29"/>
  <c r="P830" i="29"/>
  <c r="U818" i="29"/>
  <c r="F8" i="111"/>
  <c r="G7" i="111"/>
  <c r="F7" i="111"/>
  <c r="F6" i="111"/>
  <c r="F5" i="111"/>
  <c r="F4" i="111"/>
  <c r="P8" i="112"/>
  <c r="H8" i="112"/>
  <c r="P7" i="112"/>
  <c r="O7" i="112"/>
  <c r="J7" i="112"/>
  <c r="H7" i="112"/>
  <c r="P6" i="112"/>
  <c r="O6" i="112"/>
  <c r="H6" i="112"/>
  <c r="P5" i="112"/>
  <c r="O5" i="112"/>
  <c r="H5" i="112"/>
  <c r="P4" i="112"/>
  <c r="O4" i="112"/>
  <c r="H4" i="112"/>
  <c r="O790" i="29"/>
  <c r="BN790" i="29" s="1"/>
  <c r="O782" i="29"/>
  <c r="BN782" i="29" s="1"/>
  <c r="G7" i="112"/>
  <c r="G6" i="112"/>
  <c r="G5" i="112"/>
  <c r="G4" i="112"/>
  <c r="K110" i="111"/>
  <c r="J860" i="29" s="1"/>
  <c r="K103" i="111"/>
  <c r="K93" i="111"/>
  <c r="J855" i="29" s="1"/>
  <c r="E80" i="111"/>
  <c r="E79" i="111"/>
  <c r="E78" i="111"/>
  <c r="E77" i="111"/>
  <c r="E76" i="111"/>
  <c r="E75" i="111"/>
  <c r="E74" i="111"/>
  <c r="E73" i="111"/>
  <c r="E72" i="111"/>
  <c r="E71" i="111"/>
  <c r="E70" i="111"/>
  <c r="E69" i="111"/>
  <c r="E68" i="111"/>
  <c r="E67" i="111"/>
  <c r="E66" i="111"/>
  <c r="E65" i="111"/>
  <c r="E64" i="111"/>
  <c r="E63" i="111"/>
  <c r="K55" i="111"/>
  <c r="K46" i="111"/>
  <c r="E7" i="111"/>
  <c r="E6" i="111"/>
  <c r="E5" i="111"/>
  <c r="E4" i="111"/>
  <c r="AD678" i="29"/>
  <c r="F8" i="110"/>
  <c r="G7" i="110"/>
  <c r="F7" i="110"/>
  <c r="F6" i="110"/>
  <c r="F5" i="110"/>
  <c r="F4" i="110"/>
  <c r="F26" i="110"/>
  <c r="F18" i="110"/>
  <c r="F17" i="110"/>
  <c r="F16" i="110"/>
  <c r="G15" i="110"/>
  <c r="F15" i="110"/>
  <c r="F14" i="110"/>
  <c r="P8" i="109"/>
  <c r="H8" i="109"/>
  <c r="P7" i="109"/>
  <c r="O7" i="109"/>
  <c r="J7" i="109"/>
  <c r="H7" i="109"/>
  <c r="P6" i="109"/>
  <c r="O6" i="109"/>
  <c r="H6" i="109"/>
  <c r="P5" i="109"/>
  <c r="O5" i="109"/>
  <c r="H5" i="109"/>
  <c r="P4" i="109"/>
  <c r="O4" i="109"/>
  <c r="H4" i="109"/>
  <c r="AM553" i="29"/>
  <c r="AL603" i="29"/>
  <c r="AL602" i="29"/>
  <c r="AL601" i="29"/>
  <c r="AL600" i="29"/>
  <c r="AL599" i="29"/>
  <c r="AL598" i="29"/>
  <c r="AL597" i="29"/>
  <c r="AL596" i="29"/>
  <c r="AL595" i="29"/>
  <c r="AL594" i="29"/>
  <c r="AL593" i="29"/>
  <c r="AL592" i="29"/>
  <c r="AL591" i="29"/>
  <c r="AL590" i="29"/>
  <c r="AL589" i="29"/>
  <c r="AL588" i="29"/>
  <c r="AL587" i="29"/>
  <c r="AL586" i="29"/>
  <c r="AL585" i="29"/>
  <c r="AL584" i="29"/>
  <c r="AL583" i="29"/>
  <c r="AL582" i="29"/>
  <c r="AL581" i="29"/>
  <c r="AL580" i="29"/>
  <c r="AL579" i="29"/>
  <c r="AL578" i="29"/>
  <c r="AL577" i="29"/>
  <c r="AL576" i="29"/>
  <c r="AL575" i="29"/>
  <c r="AL574" i="29"/>
  <c r="AL573" i="29"/>
  <c r="AL572" i="29"/>
  <c r="AL571" i="29"/>
  <c r="AL570" i="29"/>
  <c r="AL569" i="29"/>
  <c r="AL568" i="29"/>
  <c r="AL567" i="29"/>
  <c r="AL566" i="29"/>
  <c r="AL565" i="29"/>
  <c r="AL564" i="29"/>
  <c r="AL563" i="29"/>
  <c r="AL562" i="29"/>
  <c r="AL561" i="29"/>
  <c r="AL560" i="29"/>
  <c r="AL559" i="29"/>
  <c r="AL558" i="29"/>
  <c r="AL557" i="29"/>
  <c r="AL556" i="29"/>
  <c r="AL555" i="29"/>
  <c r="AL554" i="29"/>
  <c r="AJ553" i="29"/>
  <c r="AG554" i="29" s="1"/>
  <c r="M652" i="29"/>
  <c r="BL652" i="29" s="1"/>
  <c r="M651" i="29"/>
  <c r="BL651" i="29" s="1"/>
  <c r="M650" i="29"/>
  <c r="BL650" i="29" s="1"/>
  <c r="M649" i="29"/>
  <c r="BL649" i="29" s="1"/>
  <c r="M648" i="29"/>
  <c r="BL648" i="29" s="1"/>
  <c r="M647" i="29"/>
  <c r="BL647" i="29" s="1"/>
  <c r="M646" i="29"/>
  <c r="BL646" i="29" s="1"/>
  <c r="M645" i="29"/>
  <c r="BL645" i="29" s="1"/>
  <c r="M643" i="29"/>
  <c r="BL643" i="29" s="1"/>
  <c r="M642" i="29"/>
  <c r="BL642" i="29" s="1"/>
  <c r="M641" i="29"/>
  <c r="BL641" i="29" s="1"/>
  <c r="M640" i="29"/>
  <c r="BL640" i="29" s="1"/>
  <c r="M639" i="29"/>
  <c r="BL639" i="29" s="1"/>
  <c r="M638" i="29"/>
  <c r="BL638" i="29" s="1"/>
  <c r="M637" i="29"/>
  <c r="BL637" i="29" s="1"/>
  <c r="M636" i="29"/>
  <c r="BL636" i="29" s="1"/>
  <c r="M635" i="29"/>
  <c r="BL635" i="29" s="1"/>
  <c r="M634" i="29"/>
  <c r="BL634" i="29" s="1"/>
  <c r="M633" i="29"/>
  <c r="BL633" i="29" s="1"/>
  <c r="M632" i="29"/>
  <c r="BL632" i="29" s="1"/>
  <c r="M631" i="29"/>
  <c r="BL631" i="29" s="1"/>
  <c r="M630" i="29"/>
  <c r="BL630" i="29" s="1"/>
  <c r="M629" i="29"/>
  <c r="BL629" i="29" s="1"/>
  <c r="M628" i="29"/>
  <c r="BL628" i="29" s="1"/>
  <c r="M627" i="29"/>
  <c r="BL627" i="29" s="1"/>
  <c r="M626" i="29"/>
  <c r="BL626" i="29" s="1"/>
  <c r="M625" i="29"/>
  <c r="BL625" i="29" s="1"/>
  <c r="M624" i="29"/>
  <c r="BL624" i="29" s="1"/>
  <c r="M623" i="29"/>
  <c r="BL623" i="29" s="1"/>
  <c r="M622" i="29"/>
  <c r="BL622" i="29" s="1"/>
  <c r="M621" i="29"/>
  <c r="BL621" i="29" s="1"/>
  <c r="M620" i="29"/>
  <c r="BL620" i="29" s="1"/>
  <c r="M619" i="29"/>
  <c r="BL619" i="29" s="1"/>
  <c r="M618" i="29"/>
  <c r="BL618" i="29" s="1"/>
  <c r="M617" i="29"/>
  <c r="BL617" i="29" s="1"/>
  <c r="M616" i="29"/>
  <c r="BL616" i="29" s="1"/>
  <c r="M613" i="29"/>
  <c r="BL613" i="29" s="1"/>
  <c r="M612" i="29"/>
  <c r="BL612" i="29" s="1"/>
  <c r="M611" i="29"/>
  <c r="BL611" i="29" s="1"/>
  <c r="M610" i="29"/>
  <c r="BL610" i="29" s="1"/>
  <c r="M609" i="29"/>
  <c r="BL609" i="29" s="1"/>
  <c r="M608" i="29"/>
  <c r="BL608" i="29" s="1"/>
  <c r="M607" i="29"/>
  <c r="BL607" i="29" s="1"/>
  <c r="M606" i="29"/>
  <c r="BL606" i="29" s="1"/>
  <c r="M605" i="29"/>
  <c r="BL605" i="29" s="1"/>
  <c r="M604" i="29"/>
  <c r="BL604" i="29" s="1"/>
  <c r="M603" i="29"/>
  <c r="BL603" i="29" s="1"/>
  <c r="M602" i="29"/>
  <c r="BL602" i="29" s="1"/>
  <c r="M601" i="29"/>
  <c r="BL601" i="29" s="1"/>
  <c r="M600" i="29"/>
  <c r="BL600" i="29" s="1"/>
  <c r="M599" i="29"/>
  <c r="BL599" i="29" s="1"/>
  <c r="M598" i="29"/>
  <c r="BL598" i="29" s="1"/>
  <c r="M597" i="29"/>
  <c r="BL597" i="29" s="1"/>
  <c r="M596" i="29"/>
  <c r="BL596" i="29" s="1"/>
  <c r="M595" i="29"/>
  <c r="BL595" i="29" s="1"/>
  <c r="M594" i="29"/>
  <c r="BL594" i="29" s="1"/>
  <c r="M593" i="29"/>
  <c r="BL593" i="29" s="1"/>
  <c r="M592" i="29"/>
  <c r="BL592" i="29" s="1"/>
  <c r="M591" i="29"/>
  <c r="BL591" i="29" s="1"/>
  <c r="M590" i="29"/>
  <c r="BL590" i="29" s="1"/>
  <c r="M589" i="29"/>
  <c r="BL589" i="29" s="1"/>
  <c r="M588" i="29"/>
  <c r="BL588" i="29" s="1"/>
  <c r="M587" i="29"/>
  <c r="BL587" i="29" s="1"/>
  <c r="M586" i="29"/>
  <c r="BL586" i="29" s="1"/>
  <c r="M585" i="29"/>
  <c r="BL585" i="29" s="1"/>
  <c r="M584" i="29"/>
  <c r="BL584" i="29" s="1"/>
  <c r="M583" i="29"/>
  <c r="BL583" i="29" s="1"/>
  <c r="M582" i="29"/>
  <c r="BL582" i="29" s="1"/>
  <c r="M581" i="29"/>
  <c r="BL581" i="29" s="1"/>
  <c r="M580" i="29"/>
  <c r="BL580" i="29" s="1"/>
  <c r="M579" i="29"/>
  <c r="BL579" i="29" s="1"/>
  <c r="M578" i="29"/>
  <c r="BL578" i="29" s="1"/>
  <c r="M577" i="29"/>
  <c r="BL577" i="29" s="1"/>
  <c r="M576" i="29"/>
  <c r="BL576" i="29" s="1"/>
  <c r="M575" i="29"/>
  <c r="BL575" i="29" s="1"/>
  <c r="M574" i="29"/>
  <c r="BL574" i="29" s="1"/>
  <c r="M573" i="29"/>
  <c r="BL573" i="29" s="1"/>
  <c r="M572" i="29"/>
  <c r="BL572" i="29" s="1"/>
  <c r="M571" i="29"/>
  <c r="BL571" i="29" s="1"/>
  <c r="M570" i="29"/>
  <c r="BL570" i="29" s="1"/>
  <c r="M569" i="29"/>
  <c r="BL569" i="29" s="1"/>
  <c r="M568" i="29"/>
  <c r="BL568" i="29" s="1"/>
  <c r="M567" i="29"/>
  <c r="BL567" i="29" s="1"/>
  <c r="M566" i="29"/>
  <c r="BL566" i="29" s="1"/>
  <c r="M565" i="29"/>
  <c r="BL565" i="29" s="1"/>
  <c r="M564" i="29"/>
  <c r="BL564" i="29" s="1"/>
  <c r="M563" i="29"/>
  <c r="BL563" i="29" s="1"/>
  <c r="M562" i="29"/>
  <c r="BL562" i="29" s="1"/>
  <c r="M561" i="29"/>
  <c r="BL561" i="29" s="1"/>
  <c r="M560" i="29"/>
  <c r="BL560" i="29" s="1"/>
  <c r="M559" i="29"/>
  <c r="BL559" i="29" s="1"/>
  <c r="M558" i="29"/>
  <c r="BL558" i="29" s="1"/>
  <c r="M557" i="29"/>
  <c r="BL557" i="29" s="1"/>
  <c r="M556" i="29"/>
  <c r="BL556" i="29" s="1"/>
  <c r="M555" i="29"/>
  <c r="BL555" i="29" s="1"/>
  <c r="M554" i="29"/>
  <c r="BL554" i="29" s="1"/>
  <c r="M553" i="29"/>
  <c r="BL553" i="29" s="1"/>
  <c r="M552" i="29"/>
  <c r="BL552" i="29" s="1"/>
  <c r="M551" i="29"/>
  <c r="BL551" i="29" s="1"/>
  <c r="M550" i="29"/>
  <c r="BL550" i="29" s="1"/>
  <c r="M549" i="29"/>
  <c r="BL549" i="29" s="1"/>
  <c r="J685" i="29"/>
  <c r="J684" i="29"/>
  <c r="J683" i="29"/>
  <c r="J682" i="29"/>
  <c r="J680" i="29"/>
  <c r="J658" i="29"/>
  <c r="J656" i="29"/>
  <c r="I647" i="29"/>
  <c r="I646" i="29"/>
  <c r="I645" i="29"/>
  <c r="H647" i="29"/>
  <c r="H646" i="29"/>
  <c r="H645" i="29"/>
  <c r="G647" i="29"/>
  <c r="G646" i="29"/>
  <c r="G645" i="29"/>
  <c r="F647" i="29"/>
  <c r="F646" i="29"/>
  <c r="F645" i="29"/>
  <c r="I550" i="29"/>
  <c r="I549" i="29"/>
  <c r="H550" i="29"/>
  <c r="H549" i="29"/>
  <c r="G550" i="29"/>
  <c r="G549" i="29"/>
  <c r="F550" i="29"/>
  <c r="AL553" i="29"/>
  <c r="F549" i="29"/>
  <c r="U686" i="29"/>
  <c r="T686" i="29"/>
  <c r="S686" i="29"/>
  <c r="R686" i="29"/>
  <c r="Q686" i="29"/>
  <c r="P686" i="29"/>
  <c r="U685" i="29"/>
  <c r="T685" i="29"/>
  <c r="S685" i="29"/>
  <c r="R685" i="29"/>
  <c r="Q685" i="29"/>
  <c r="P685" i="29"/>
  <c r="U684" i="29"/>
  <c r="T684" i="29"/>
  <c r="S684" i="29"/>
  <c r="R684" i="29"/>
  <c r="Q684" i="29"/>
  <c r="P684" i="29"/>
  <c r="U683" i="29"/>
  <c r="T683" i="29"/>
  <c r="S683" i="29"/>
  <c r="R683" i="29"/>
  <c r="Q683" i="29"/>
  <c r="P683" i="29"/>
  <c r="U682" i="29"/>
  <c r="T682" i="29"/>
  <c r="S682" i="29"/>
  <c r="R682" i="29"/>
  <c r="Q682" i="29"/>
  <c r="P682" i="29"/>
  <c r="U681" i="29"/>
  <c r="T681" i="29"/>
  <c r="S681" i="29"/>
  <c r="R681" i="29"/>
  <c r="Q681" i="29"/>
  <c r="P681" i="29"/>
  <c r="AE680" i="29"/>
  <c r="AD680" i="29"/>
  <c r="AC680" i="29"/>
  <c r="AA680" i="29"/>
  <c r="U680" i="29"/>
  <c r="T680" i="29"/>
  <c r="S680" i="29"/>
  <c r="R680" i="29"/>
  <c r="Q680" i="29"/>
  <c r="P680" i="29"/>
  <c r="U679" i="29"/>
  <c r="T679" i="29"/>
  <c r="S679" i="29"/>
  <c r="R679" i="29"/>
  <c r="Q679" i="29"/>
  <c r="P679" i="29"/>
  <c r="U678" i="29"/>
  <c r="T678" i="29"/>
  <c r="S678" i="29"/>
  <c r="R678" i="29"/>
  <c r="Q678" i="29"/>
  <c r="P678" i="29"/>
  <c r="U677" i="29"/>
  <c r="T677" i="29"/>
  <c r="S677" i="29"/>
  <c r="R677" i="29"/>
  <c r="Q677" i="29"/>
  <c r="P677" i="29"/>
  <c r="U676" i="29"/>
  <c r="T676" i="29"/>
  <c r="S676" i="29"/>
  <c r="R676" i="29"/>
  <c r="Q676" i="29"/>
  <c r="P676" i="29"/>
  <c r="U675" i="29"/>
  <c r="T675" i="29"/>
  <c r="S675" i="29"/>
  <c r="R675" i="29"/>
  <c r="Q675" i="29"/>
  <c r="P675" i="29"/>
  <c r="U674" i="29"/>
  <c r="T674" i="29"/>
  <c r="S674" i="29"/>
  <c r="R674" i="29"/>
  <c r="Q674" i="29"/>
  <c r="P674" i="29"/>
  <c r="U673" i="29"/>
  <c r="T673" i="29"/>
  <c r="S673" i="29"/>
  <c r="R673" i="29"/>
  <c r="Q673" i="29"/>
  <c r="P673" i="29"/>
  <c r="U672" i="29"/>
  <c r="T672" i="29"/>
  <c r="S672" i="29"/>
  <c r="R672" i="29"/>
  <c r="Q672" i="29"/>
  <c r="P672" i="29"/>
  <c r="U671" i="29"/>
  <c r="T671" i="29"/>
  <c r="S671" i="29"/>
  <c r="R671" i="29"/>
  <c r="Q671" i="29"/>
  <c r="P671" i="29"/>
  <c r="U670" i="29"/>
  <c r="T670" i="29"/>
  <c r="S670" i="29"/>
  <c r="R670" i="29"/>
  <c r="Q670" i="29"/>
  <c r="P670" i="29"/>
  <c r="U669" i="29"/>
  <c r="T669" i="29"/>
  <c r="S669" i="29"/>
  <c r="R669" i="29"/>
  <c r="Q669" i="29"/>
  <c r="P669" i="29"/>
  <c r="U668" i="29"/>
  <c r="T668" i="29"/>
  <c r="S668" i="29"/>
  <c r="R668" i="29"/>
  <c r="Q668" i="29"/>
  <c r="P668" i="29"/>
  <c r="U667" i="29"/>
  <c r="T667" i="29"/>
  <c r="S667" i="29"/>
  <c r="R667" i="29"/>
  <c r="Q667" i="29"/>
  <c r="P667" i="29"/>
  <c r="U666" i="29"/>
  <c r="T666" i="29"/>
  <c r="S666" i="29"/>
  <c r="R666" i="29"/>
  <c r="Q666" i="29"/>
  <c r="P666" i="29"/>
  <c r="U665" i="29"/>
  <c r="T665" i="29"/>
  <c r="S665" i="29"/>
  <c r="R665" i="29"/>
  <c r="Q665" i="29"/>
  <c r="P665" i="29"/>
  <c r="U663" i="29"/>
  <c r="T663" i="29"/>
  <c r="S663" i="29"/>
  <c r="R663" i="29"/>
  <c r="Q663" i="29"/>
  <c r="P663" i="29"/>
  <c r="U662" i="29"/>
  <c r="T662" i="29"/>
  <c r="S662" i="29"/>
  <c r="R662" i="29"/>
  <c r="Q662" i="29"/>
  <c r="P662" i="29"/>
  <c r="U661" i="29"/>
  <c r="T661" i="29"/>
  <c r="S661" i="29"/>
  <c r="R661" i="29"/>
  <c r="Q661" i="29"/>
  <c r="P661" i="29"/>
  <c r="U660" i="29"/>
  <c r="T660" i="29"/>
  <c r="S660" i="29"/>
  <c r="R660" i="29"/>
  <c r="Q660" i="29"/>
  <c r="P660" i="29"/>
  <c r="U659" i="29"/>
  <c r="T659" i="29"/>
  <c r="S659" i="29"/>
  <c r="R659" i="29"/>
  <c r="Q659" i="29"/>
  <c r="P659" i="29"/>
  <c r="U658" i="29"/>
  <c r="T658" i="29"/>
  <c r="S658" i="29"/>
  <c r="R658" i="29"/>
  <c r="Q658" i="29"/>
  <c r="P658" i="29"/>
  <c r="U657" i="29"/>
  <c r="T657" i="29"/>
  <c r="S657" i="29"/>
  <c r="R657" i="29"/>
  <c r="Q657" i="29"/>
  <c r="P657" i="29"/>
  <c r="U656" i="29"/>
  <c r="T656" i="29"/>
  <c r="S656" i="29"/>
  <c r="R656" i="29"/>
  <c r="Q656" i="29"/>
  <c r="P656" i="29"/>
  <c r="U644" i="29"/>
  <c r="K110" i="110"/>
  <c r="J686" i="29" s="1"/>
  <c r="K103" i="110"/>
  <c r="K93" i="110"/>
  <c r="J681" i="29" s="1"/>
  <c r="E80" i="110"/>
  <c r="E79" i="110"/>
  <c r="E78" i="110"/>
  <c r="E77" i="110"/>
  <c r="E76" i="110"/>
  <c r="E75" i="110"/>
  <c r="E74" i="110"/>
  <c r="E73" i="110"/>
  <c r="E72" i="110"/>
  <c r="E71" i="110"/>
  <c r="E70" i="110"/>
  <c r="E69" i="110"/>
  <c r="E68" i="110"/>
  <c r="E67" i="110"/>
  <c r="E66" i="110"/>
  <c r="E65" i="110"/>
  <c r="E64" i="110"/>
  <c r="E63" i="110"/>
  <c r="K55" i="110"/>
  <c r="K46" i="110"/>
  <c r="E7" i="110"/>
  <c r="E6" i="110"/>
  <c r="E5" i="110"/>
  <c r="E4" i="110"/>
  <c r="O604" i="29"/>
  <c r="BN604" i="29" s="1"/>
  <c r="O598" i="29"/>
  <c r="BN598" i="29" s="1"/>
  <c r="G7" i="109"/>
  <c r="G6" i="109"/>
  <c r="G5" i="109"/>
  <c r="G4" i="109"/>
  <c r="AL253" i="29"/>
  <c r="AL252" i="29"/>
  <c r="AL251" i="29"/>
  <c r="AL250" i="29"/>
  <c r="AL249" i="29"/>
  <c r="AL248" i="29"/>
  <c r="AL247" i="29"/>
  <c r="AL246" i="29"/>
  <c r="AL245" i="29"/>
  <c r="AL244" i="29"/>
  <c r="AL243" i="29"/>
  <c r="AL242" i="29"/>
  <c r="AL241" i="29"/>
  <c r="AL240" i="29"/>
  <c r="AL239" i="29"/>
  <c r="AL238" i="29"/>
  <c r="AL237" i="29"/>
  <c r="AL236" i="29"/>
  <c r="AL235" i="29"/>
  <c r="AL234" i="29"/>
  <c r="AL233" i="29"/>
  <c r="AL232" i="29"/>
  <c r="AL231" i="29"/>
  <c r="AL230" i="29"/>
  <c r="AL229" i="29"/>
  <c r="AL228" i="29"/>
  <c r="AL227" i="29"/>
  <c r="AL226" i="29"/>
  <c r="AL225" i="29"/>
  <c r="AL224" i="29"/>
  <c r="AL223" i="29"/>
  <c r="AL222" i="29"/>
  <c r="AL221" i="29"/>
  <c r="AL220" i="29"/>
  <c r="AL219" i="29"/>
  <c r="AL218" i="29"/>
  <c r="AL217" i="29"/>
  <c r="AL216" i="29"/>
  <c r="AL215" i="29"/>
  <c r="AL214" i="29"/>
  <c r="AL213" i="29"/>
  <c r="AL212" i="29"/>
  <c r="AL211" i="29"/>
  <c r="AL210" i="29"/>
  <c r="AL209" i="29"/>
  <c r="AL208" i="29"/>
  <c r="AL207" i="29"/>
  <c r="AL206" i="29"/>
  <c r="AL205" i="29"/>
  <c r="AL204" i="29"/>
  <c r="AL203" i="29"/>
  <c r="F199" i="29"/>
  <c r="M302" i="29"/>
  <c r="BL302" i="29" s="1"/>
  <c r="M301" i="29"/>
  <c r="BL301" i="29" s="1"/>
  <c r="M300" i="29"/>
  <c r="BL300" i="29" s="1"/>
  <c r="M299" i="29"/>
  <c r="BL299" i="29" s="1"/>
  <c r="M298" i="29"/>
  <c r="BL298" i="29" s="1"/>
  <c r="M297" i="29"/>
  <c r="BL297" i="29" s="1"/>
  <c r="M296" i="29"/>
  <c r="BL296" i="29" s="1"/>
  <c r="M295" i="29"/>
  <c r="BL295" i="29" s="1"/>
  <c r="M293" i="29"/>
  <c r="BL293" i="29" s="1"/>
  <c r="M292" i="29"/>
  <c r="BL292" i="29" s="1"/>
  <c r="M291" i="29"/>
  <c r="BL291" i="29" s="1"/>
  <c r="M290" i="29"/>
  <c r="BL290" i="29" s="1"/>
  <c r="M289" i="29"/>
  <c r="BL289" i="29" s="1"/>
  <c r="M288" i="29"/>
  <c r="BL288" i="29" s="1"/>
  <c r="M287" i="29"/>
  <c r="BL287" i="29" s="1"/>
  <c r="M286" i="29"/>
  <c r="BL286" i="29" s="1"/>
  <c r="M285" i="29"/>
  <c r="BL285" i="29" s="1"/>
  <c r="M284" i="29"/>
  <c r="BL284" i="29" s="1"/>
  <c r="M283" i="29"/>
  <c r="BL283" i="29" s="1"/>
  <c r="M282" i="29"/>
  <c r="BL282" i="29" s="1"/>
  <c r="M281" i="29"/>
  <c r="BL281" i="29" s="1"/>
  <c r="M280" i="29"/>
  <c r="BL280" i="29" s="1"/>
  <c r="M279" i="29"/>
  <c r="BL279" i="29" s="1"/>
  <c r="M278" i="29"/>
  <c r="BL278" i="29" s="1"/>
  <c r="M277" i="29"/>
  <c r="BL277" i="29" s="1"/>
  <c r="M276" i="29"/>
  <c r="BL276" i="29" s="1"/>
  <c r="M275" i="29"/>
  <c r="BL275" i="29" s="1"/>
  <c r="M274" i="29"/>
  <c r="BL274" i="29" s="1"/>
  <c r="M273" i="29"/>
  <c r="BL273" i="29" s="1"/>
  <c r="M272" i="29"/>
  <c r="BL272" i="29" s="1"/>
  <c r="M271" i="29"/>
  <c r="BL271" i="29" s="1"/>
  <c r="M270" i="29"/>
  <c r="BL270" i="29" s="1"/>
  <c r="M269" i="29"/>
  <c r="BL269" i="29" s="1"/>
  <c r="M268" i="29"/>
  <c r="BL268" i="29" s="1"/>
  <c r="M267" i="29"/>
  <c r="BL267" i="29" s="1"/>
  <c r="M266" i="29"/>
  <c r="BL266" i="29" s="1"/>
  <c r="M263" i="29"/>
  <c r="BL263" i="29" s="1"/>
  <c r="M262" i="29"/>
  <c r="BL262" i="29" s="1"/>
  <c r="M261" i="29"/>
  <c r="BL261" i="29" s="1"/>
  <c r="M260" i="29"/>
  <c r="BL260" i="29" s="1"/>
  <c r="M259" i="29"/>
  <c r="BL259" i="29" s="1"/>
  <c r="M258" i="29"/>
  <c r="BL258" i="29" s="1"/>
  <c r="M257" i="29"/>
  <c r="BL257" i="29" s="1"/>
  <c r="M256" i="29"/>
  <c r="BL256" i="29" s="1"/>
  <c r="M255" i="29"/>
  <c r="BL255" i="29" s="1"/>
  <c r="M254" i="29"/>
  <c r="BL254" i="29" s="1"/>
  <c r="M253" i="29"/>
  <c r="BL253" i="29" s="1"/>
  <c r="M252" i="29"/>
  <c r="BL252" i="29" s="1"/>
  <c r="M251" i="29"/>
  <c r="BL251" i="29" s="1"/>
  <c r="M250" i="29"/>
  <c r="BL250" i="29" s="1"/>
  <c r="M249" i="29"/>
  <c r="BL249" i="29" s="1"/>
  <c r="M248" i="29"/>
  <c r="BL248" i="29" s="1"/>
  <c r="M247" i="29"/>
  <c r="BL247" i="29" s="1"/>
  <c r="M246" i="29"/>
  <c r="BL246" i="29" s="1"/>
  <c r="M245" i="29"/>
  <c r="BL245" i="29" s="1"/>
  <c r="M244" i="29"/>
  <c r="BL244" i="29" s="1"/>
  <c r="M243" i="29"/>
  <c r="BL243" i="29" s="1"/>
  <c r="M242" i="29"/>
  <c r="BL242" i="29" s="1"/>
  <c r="M241" i="29"/>
  <c r="BL241" i="29" s="1"/>
  <c r="M240" i="29"/>
  <c r="BL240" i="29" s="1"/>
  <c r="M239" i="29"/>
  <c r="BL239" i="29" s="1"/>
  <c r="M238" i="29"/>
  <c r="BL238" i="29" s="1"/>
  <c r="M237" i="29"/>
  <c r="BL237" i="29" s="1"/>
  <c r="M236" i="29"/>
  <c r="BL236" i="29" s="1"/>
  <c r="M235" i="29"/>
  <c r="BL235" i="29" s="1"/>
  <c r="M234" i="29"/>
  <c r="BL234" i="29" s="1"/>
  <c r="M233" i="29"/>
  <c r="BL233" i="29" s="1"/>
  <c r="M232" i="29"/>
  <c r="BL232" i="29" s="1"/>
  <c r="M231" i="29"/>
  <c r="BL231" i="29" s="1"/>
  <c r="M230" i="29"/>
  <c r="BL230" i="29" s="1"/>
  <c r="M229" i="29"/>
  <c r="BL229" i="29" s="1"/>
  <c r="M228" i="29"/>
  <c r="BL228" i="29" s="1"/>
  <c r="M227" i="29"/>
  <c r="BL227" i="29" s="1"/>
  <c r="M226" i="29"/>
  <c r="BL226" i="29" s="1"/>
  <c r="M225" i="29"/>
  <c r="BL225" i="29" s="1"/>
  <c r="M224" i="29"/>
  <c r="BL224" i="29" s="1"/>
  <c r="M223" i="29"/>
  <c r="BL223" i="29" s="1"/>
  <c r="M222" i="29"/>
  <c r="BL222" i="29" s="1"/>
  <c r="M221" i="29"/>
  <c r="BL221" i="29" s="1"/>
  <c r="M220" i="29"/>
  <c r="BL220" i="29" s="1"/>
  <c r="M219" i="29"/>
  <c r="BL219" i="29" s="1"/>
  <c r="M218" i="29"/>
  <c r="BL218" i="29" s="1"/>
  <c r="M217" i="29"/>
  <c r="BL217" i="29" s="1"/>
  <c r="M216" i="29"/>
  <c r="BL216" i="29" s="1"/>
  <c r="M215" i="29"/>
  <c r="BL215" i="29" s="1"/>
  <c r="M214" i="29"/>
  <c r="BL214" i="29" s="1"/>
  <c r="M213" i="29"/>
  <c r="BL213" i="29" s="1"/>
  <c r="M212" i="29"/>
  <c r="BL212" i="29" s="1"/>
  <c r="M211" i="29"/>
  <c r="BL211" i="29" s="1"/>
  <c r="M210" i="29"/>
  <c r="BL210" i="29" s="1"/>
  <c r="M209" i="29"/>
  <c r="BL209" i="29" s="1"/>
  <c r="M208" i="29"/>
  <c r="BL208" i="29" s="1"/>
  <c r="M207" i="29"/>
  <c r="BL207" i="29" s="1"/>
  <c r="M206" i="29"/>
  <c r="BL206" i="29" s="1"/>
  <c r="M205" i="29"/>
  <c r="BL205" i="29" s="1"/>
  <c r="M204" i="29"/>
  <c r="BL204" i="29" s="1"/>
  <c r="M203" i="29"/>
  <c r="BL203" i="29" s="1"/>
  <c r="M202" i="29"/>
  <c r="BL202" i="29" s="1"/>
  <c r="M201" i="29"/>
  <c r="BL201" i="29" s="1"/>
  <c r="M200" i="29"/>
  <c r="BL200" i="29" s="1"/>
  <c r="M199" i="29"/>
  <c r="J335" i="29"/>
  <c r="J334" i="29"/>
  <c r="J333" i="29"/>
  <c r="J332" i="29"/>
  <c r="J330" i="29"/>
  <c r="J308" i="29"/>
  <c r="J306" i="29"/>
  <c r="I297" i="29"/>
  <c r="I296" i="29"/>
  <c r="I295" i="29"/>
  <c r="I200" i="29"/>
  <c r="I199" i="29"/>
  <c r="H297" i="29"/>
  <c r="H296" i="29"/>
  <c r="H295" i="29"/>
  <c r="H200" i="29"/>
  <c r="H199" i="29"/>
  <c r="G297" i="29"/>
  <c r="G296" i="29"/>
  <c r="G295" i="29"/>
  <c r="G200" i="29"/>
  <c r="G199" i="29"/>
  <c r="F297" i="29"/>
  <c r="F296" i="29"/>
  <c r="F295" i="29"/>
  <c r="F200" i="29"/>
  <c r="D1028" i="29"/>
  <c r="D1027" i="29"/>
  <c r="D1005" i="29"/>
  <c r="D1004" i="29"/>
  <c r="D1003" i="29"/>
  <c r="D1000" i="29"/>
  <c r="D999" i="29"/>
  <c r="D998" i="29"/>
  <c r="D997" i="29"/>
  <c r="D996" i="29"/>
  <c r="D995" i="29"/>
  <c r="D855" i="29"/>
  <c r="D854" i="29"/>
  <c r="D832" i="29"/>
  <c r="D831" i="29"/>
  <c r="D830" i="29"/>
  <c r="D827" i="29"/>
  <c r="D826" i="29"/>
  <c r="D825" i="29"/>
  <c r="D824" i="29"/>
  <c r="D823" i="29"/>
  <c r="D822" i="29"/>
  <c r="D681" i="29"/>
  <c r="D680" i="29"/>
  <c r="D658" i="29"/>
  <c r="D657" i="29"/>
  <c r="D656" i="29"/>
  <c r="D653" i="29"/>
  <c r="D652" i="29"/>
  <c r="D651" i="29"/>
  <c r="D650" i="29"/>
  <c r="D649" i="29"/>
  <c r="D648" i="29"/>
  <c r="J509" i="29"/>
  <c r="J508" i="29"/>
  <c r="J507" i="29"/>
  <c r="J506" i="29"/>
  <c r="D505" i="29"/>
  <c r="J504" i="29"/>
  <c r="D504" i="29"/>
  <c r="J482" i="29"/>
  <c r="D482" i="29"/>
  <c r="D481" i="29"/>
  <c r="J480" i="29"/>
  <c r="D480" i="29"/>
  <c r="D477" i="29"/>
  <c r="M476" i="29"/>
  <c r="BL476" i="29" s="1"/>
  <c r="D476" i="29"/>
  <c r="M475" i="29"/>
  <c r="BL475" i="29" s="1"/>
  <c r="D475" i="29"/>
  <c r="M474" i="29"/>
  <c r="BL474" i="29" s="1"/>
  <c r="D474" i="29"/>
  <c r="M473" i="29"/>
  <c r="BL473" i="29" s="1"/>
  <c r="D473" i="29"/>
  <c r="M472" i="29"/>
  <c r="BL472" i="29" s="1"/>
  <c r="D472" i="29"/>
  <c r="M471" i="29"/>
  <c r="BL471" i="29" s="1"/>
  <c r="I471" i="29"/>
  <c r="H471" i="29"/>
  <c r="G471" i="29"/>
  <c r="F471" i="29"/>
  <c r="M470" i="29"/>
  <c r="BL470" i="29" s="1"/>
  <c r="I470" i="29"/>
  <c r="H470" i="29"/>
  <c r="G470" i="29"/>
  <c r="F470" i="29"/>
  <c r="M469" i="29"/>
  <c r="BL469" i="29" s="1"/>
  <c r="I469" i="29"/>
  <c r="H469" i="29"/>
  <c r="G469" i="29"/>
  <c r="F469" i="29"/>
  <c r="M467" i="29"/>
  <c r="BL467" i="29" s="1"/>
  <c r="M466" i="29"/>
  <c r="BL466" i="29" s="1"/>
  <c r="M465" i="29"/>
  <c r="BL465" i="29" s="1"/>
  <c r="M464" i="29"/>
  <c r="BL464" i="29" s="1"/>
  <c r="M463" i="29"/>
  <c r="BL463" i="29" s="1"/>
  <c r="M462" i="29"/>
  <c r="BL462" i="29" s="1"/>
  <c r="M461" i="29"/>
  <c r="BL461" i="29" s="1"/>
  <c r="M460" i="29"/>
  <c r="BL460" i="29" s="1"/>
  <c r="M459" i="29"/>
  <c r="BL459" i="29" s="1"/>
  <c r="M458" i="29"/>
  <c r="BL458" i="29" s="1"/>
  <c r="M457" i="29"/>
  <c r="BL457" i="29" s="1"/>
  <c r="M456" i="29"/>
  <c r="BL456" i="29" s="1"/>
  <c r="M455" i="29"/>
  <c r="BL455" i="29" s="1"/>
  <c r="M454" i="29"/>
  <c r="BL454" i="29" s="1"/>
  <c r="M453" i="29"/>
  <c r="BL453" i="29" s="1"/>
  <c r="M452" i="29"/>
  <c r="BL452" i="29" s="1"/>
  <c r="M451" i="29"/>
  <c r="BL451" i="29" s="1"/>
  <c r="M450" i="29"/>
  <c r="BL450" i="29" s="1"/>
  <c r="M449" i="29"/>
  <c r="BL449" i="29" s="1"/>
  <c r="M448" i="29"/>
  <c r="BL448" i="29" s="1"/>
  <c r="M447" i="29"/>
  <c r="BL447" i="29" s="1"/>
  <c r="M446" i="29"/>
  <c r="BL446" i="29" s="1"/>
  <c r="M445" i="29"/>
  <c r="BL445" i="29" s="1"/>
  <c r="M444" i="29"/>
  <c r="BL444" i="29" s="1"/>
  <c r="M443" i="29"/>
  <c r="BL443" i="29" s="1"/>
  <c r="M442" i="29"/>
  <c r="BL442" i="29" s="1"/>
  <c r="M441" i="29"/>
  <c r="BL441" i="29" s="1"/>
  <c r="M440" i="29"/>
  <c r="BL440" i="29" s="1"/>
  <c r="M437" i="29"/>
  <c r="BL437" i="29" s="1"/>
  <c r="M436" i="29"/>
  <c r="BL436" i="29" s="1"/>
  <c r="M435" i="29"/>
  <c r="BL435" i="29" s="1"/>
  <c r="M434" i="29"/>
  <c r="BL434" i="29" s="1"/>
  <c r="M433" i="29"/>
  <c r="BL433" i="29" s="1"/>
  <c r="M432" i="29"/>
  <c r="BL432" i="29" s="1"/>
  <c r="M431" i="29"/>
  <c r="BL431" i="29" s="1"/>
  <c r="M430" i="29"/>
  <c r="BL430" i="29" s="1"/>
  <c r="M429" i="29"/>
  <c r="BL429" i="29" s="1"/>
  <c r="M428" i="29"/>
  <c r="BL428" i="29" s="1"/>
  <c r="M427" i="29"/>
  <c r="BL427" i="29" s="1"/>
  <c r="M426" i="29"/>
  <c r="BL426" i="29" s="1"/>
  <c r="M425" i="29"/>
  <c r="BL425" i="29" s="1"/>
  <c r="M424" i="29"/>
  <c r="BL424" i="29" s="1"/>
  <c r="M423" i="29"/>
  <c r="BL423" i="29" s="1"/>
  <c r="M422" i="29"/>
  <c r="BL422" i="29" s="1"/>
  <c r="M421" i="29"/>
  <c r="BL421" i="29" s="1"/>
  <c r="M420" i="29"/>
  <c r="BL420" i="29" s="1"/>
  <c r="M419" i="29"/>
  <c r="BL419" i="29" s="1"/>
  <c r="M418" i="29"/>
  <c r="BL418" i="29" s="1"/>
  <c r="M417" i="29"/>
  <c r="BL417" i="29" s="1"/>
  <c r="M416" i="29"/>
  <c r="BL416" i="29" s="1"/>
  <c r="M415" i="29"/>
  <c r="BL415" i="29" s="1"/>
  <c r="M414" i="29"/>
  <c r="BL414" i="29" s="1"/>
  <c r="M413" i="29"/>
  <c r="BL413" i="29" s="1"/>
  <c r="M412" i="29"/>
  <c r="BL412" i="29" s="1"/>
  <c r="M411" i="29"/>
  <c r="BL411" i="29" s="1"/>
  <c r="M410" i="29"/>
  <c r="BL410" i="29" s="1"/>
  <c r="M409" i="29"/>
  <c r="BL409" i="29" s="1"/>
  <c r="M408" i="29"/>
  <c r="BL408" i="29" s="1"/>
  <c r="M407" i="29"/>
  <c r="BL407" i="29" s="1"/>
  <c r="M406" i="29"/>
  <c r="BL406" i="29" s="1"/>
  <c r="M405" i="29"/>
  <c r="BL405" i="29" s="1"/>
  <c r="M404" i="29"/>
  <c r="BL404" i="29" s="1"/>
  <c r="M403" i="29"/>
  <c r="BL403" i="29" s="1"/>
  <c r="M402" i="29"/>
  <c r="BL402" i="29" s="1"/>
  <c r="M401" i="29"/>
  <c r="BL401" i="29" s="1"/>
  <c r="M400" i="29"/>
  <c r="BL400" i="29" s="1"/>
  <c r="M399" i="29"/>
  <c r="BL399" i="29" s="1"/>
  <c r="M398" i="29"/>
  <c r="BL398" i="29" s="1"/>
  <c r="M397" i="29"/>
  <c r="BL397" i="29" s="1"/>
  <c r="M396" i="29"/>
  <c r="BL396" i="29" s="1"/>
  <c r="M395" i="29"/>
  <c r="BL395" i="29" s="1"/>
  <c r="M394" i="29"/>
  <c r="BL394" i="29" s="1"/>
  <c r="M393" i="29"/>
  <c r="BL393" i="29" s="1"/>
  <c r="M392" i="29"/>
  <c r="BL392" i="29" s="1"/>
  <c r="M391" i="29"/>
  <c r="BL391" i="29" s="1"/>
  <c r="M390" i="29"/>
  <c r="BL390" i="29" s="1"/>
  <c r="M389" i="29"/>
  <c r="BL389" i="29" s="1"/>
  <c r="M388" i="29"/>
  <c r="BL388" i="29" s="1"/>
  <c r="M387" i="29"/>
  <c r="BL387" i="29" s="1"/>
  <c r="M386" i="29"/>
  <c r="BL386" i="29" s="1"/>
  <c r="M385" i="29"/>
  <c r="BL385" i="29" s="1"/>
  <c r="M384" i="29"/>
  <c r="BL384" i="29" s="1"/>
  <c r="M383" i="29"/>
  <c r="BL383" i="29" s="1"/>
  <c r="M382" i="29"/>
  <c r="BL382" i="29" s="1"/>
  <c r="M381" i="29"/>
  <c r="BL381" i="29" s="1"/>
  <c r="M380" i="29"/>
  <c r="BL380" i="29" s="1"/>
  <c r="M379" i="29"/>
  <c r="BL379" i="29" s="1"/>
  <c r="M378" i="29"/>
  <c r="BL378" i="29" s="1"/>
  <c r="M377" i="29"/>
  <c r="BL377" i="29" s="1"/>
  <c r="M376" i="29"/>
  <c r="BL376" i="29" s="1"/>
  <c r="M375" i="29"/>
  <c r="BL375" i="29" s="1"/>
  <c r="M374" i="29"/>
  <c r="BL374" i="29" s="1"/>
  <c r="I374" i="29"/>
  <c r="H374" i="29"/>
  <c r="G374" i="29"/>
  <c r="F374" i="29"/>
  <c r="M373" i="29"/>
  <c r="BL373" i="29" s="1"/>
  <c r="I373" i="29"/>
  <c r="H373" i="29"/>
  <c r="F373" i="29"/>
  <c r="D330" i="29"/>
  <c r="D308" i="29"/>
  <c r="D307" i="29"/>
  <c r="D306" i="29"/>
  <c r="AL427" i="29"/>
  <c r="AL426" i="29"/>
  <c r="AL425" i="29"/>
  <c r="AL424" i="29"/>
  <c r="AL423" i="29"/>
  <c r="AL422" i="29"/>
  <c r="AL421" i="29"/>
  <c r="AL420" i="29"/>
  <c r="AL419" i="29"/>
  <c r="AL418" i="29"/>
  <c r="AL417" i="29"/>
  <c r="AL416" i="29"/>
  <c r="AL415" i="29"/>
  <c r="AL414" i="29"/>
  <c r="AL413" i="29"/>
  <c r="AL412" i="29"/>
  <c r="AL411" i="29"/>
  <c r="AL410" i="29"/>
  <c r="AL409" i="29"/>
  <c r="AL408" i="29"/>
  <c r="AL407" i="29"/>
  <c r="AL406" i="29"/>
  <c r="AL405" i="29"/>
  <c r="AL404" i="29"/>
  <c r="AL403" i="29"/>
  <c r="AL402" i="29"/>
  <c r="AL401" i="29"/>
  <c r="AL400" i="29"/>
  <c r="AL399" i="29"/>
  <c r="AL398" i="29"/>
  <c r="AL397" i="29"/>
  <c r="AL396" i="29"/>
  <c r="AL395" i="29"/>
  <c r="AL394" i="29"/>
  <c r="AL393" i="29"/>
  <c r="AL392" i="29"/>
  <c r="AL391" i="29"/>
  <c r="AL390" i="29"/>
  <c r="AL389" i="29"/>
  <c r="AL388" i="29"/>
  <c r="AL387" i="29"/>
  <c r="AL386" i="29"/>
  <c r="AL385" i="29"/>
  <c r="AL384" i="29"/>
  <c r="AL383" i="29"/>
  <c r="AL382" i="29"/>
  <c r="AL381" i="29"/>
  <c r="AL380" i="29"/>
  <c r="AL379" i="29"/>
  <c r="AL378" i="29"/>
  <c r="AM377" i="29"/>
  <c r="AL377" i="29"/>
  <c r="AJ377" i="29"/>
  <c r="F18" i="108"/>
  <c r="F17" i="108"/>
  <c r="F16" i="108"/>
  <c r="G15" i="108"/>
  <c r="F15" i="108"/>
  <c r="F14" i="108"/>
  <c r="F8" i="108"/>
  <c r="G7" i="108"/>
  <c r="F7" i="108"/>
  <c r="F6" i="108"/>
  <c r="F5" i="108"/>
  <c r="F4" i="108"/>
  <c r="P8" i="107"/>
  <c r="P7" i="107"/>
  <c r="P6" i="107"/>
  <c r="P5" i="107"/>
  <c r="P4" i="107"/>
  <c r="H8" i="107"/>
  <c r="J7" i="107"/>
  <c r="H7" i="107"/>
  <c r="H6" i="107"/>
  <c r="H5" i="107"/>
  <c r="H4" i="107"/>
  <c r="U510" i="29"/>
  <c r="T510" i="29"/>
  <c r="S510" i="29"/>
  <c r="R510" i="29"/>
  <c r="Q510" i="29"/>
  <c r="P510" i="29"/>
  <c r="U509" i="29"/>
  <c r="T509" i="29"/>
  <c r="S509" i="29"/>
  <c r="R509" i="29"/>
  <c r="Q509" i="29"/>
  <c r="P509" i="29"/>
  <c r="U508" i="29"/>
  <c r="T508" i="29"/>
  <c r="S508" i="29"/>
  <c r="R508" i="29"/>
  <c r="Q508" i="29"/>
  <c r="P508" i="29"/>
  <c r="U507" i="29"/>
  <c r="T507" i="29"/>
  <c r="S507" i="29"/>
  <c r="R507" i="29"/>
  <c r="Q507" i="29"/>
  <c r="P507" i="29"/>
  <c r="U506" i="29"/>
  <c r="T506" i="29"/>
  <c r="S506" i="29"/>
  <c r="R506" i="29"/>
  <c r="Q506" i="29"/>
  <c r="P506" i="29"/>
  <c r="U505" i="29"/>
  <c r="T505" i="29"/>
  <c r="S505" i="29"/>
  <c r="R505" i="29"/>
  <c r="Q505" i="29"/>
  <c r="P505" i="29"/>
  <c r="AA504" i="29"/>
  <c r="U504" i="29"/>
  <c r="T504" i="29"/>
  <c r="S504" i="29"/>
  <c r="R504" i="29"/>
  <c r="Q504" i="29"/>
  <c r="P504" i="29"/>
  <c r="U503" i="29"/>
  <c r="T503" i="29"/>
  <c r="S503" i="29"/>
  <c r="R503" i="29"/>
  <c r="Q503" i="29"/>
  <c r="P503" i="29"/>
  <c r="U502" i="29"/>
  <c r="T502" i="29"/>
  <c r="S502" i="29"/>
  <c r="R502" i="29"/>
  <c r="Q502" i="29"/>
  <c r="P502" i="29"/>
  <c r="U501" i="29"/>
  <c r="T501" i="29"/>
  <c r="S501" i="29"/>
  <c r="R501" i="29"/>
  <c r="Q501" i="29"/>
  <c r="P501" i="29"/>
  <c r="U500" i="29"/>
  <c r="T500" i="29"/>
  <c r="S500" i="29"/>
  <c r="R500" i="29"/>
  <c r="Q500" i="29"/>
  <c r="P500" i="29"/>
  <c r="U499" i="29"/>
  <c r="T499" i="29"/>
  <c r="S499" i="29"/>
  <c r="R499" i="29"/>
  <c r="Q499" i="29"/>
  <c r="P499" i="29"/>
  <c r="U498" i="29"/>
  <c r="T498" i="29"/>
  <c r="S498" i="29"/>
  <c r="R498" i="29"/>
  <c r="Q498" i="29"/>
  <c r="P498" i="29"/>
  <c r="U497" i="29"/>
  <c r="T497" i="29"/>
  <c r="S497" i="29"/>
  <c r="R497" i="29"/>
  <c r="Q497" i="29"/>
  <c r="P497" i="29"/>
  <c r="U496" i="29"/>
  <c r="T496" i="29"/>
  <c r="S496" i="29"/>
  <c r="R496" i="29"/>
  <c r="Q496" i="29"/>
  <c r="P496" i="29"/>
  <c r="U495" i="29"/>
  <c r="T495" i="29"/>
  <c r="S495" i="29"/>
  <c r="R495" i="29"/>
  <c r="Q495" i="29"/>
  <c r="P495" i="29"/>
  <c r="U494" i="29"/>
  <c r="T494" i="29"/>
  <c r="S494" i="29"/>
  <c r="R494" i="29"/>
  <c r="Q494" i="29"/>
  <c r="P494" i="29"/>
  <c r="U493" i="29"/>
  <c r="T493" i="29"/>
  <c r="S493" i="29"/>
  <c r="R493" i="29"/>
  <c r="Q493" i="29"/>
  <c r="P493" i="29"/>
  <c r="U492" i="29"/>
  <c r="T492" i="29"/>
  <c r="S492" i="29"/>
  <c r="R492" i="29"/>
  <c r="Q492" i="29"/>
  <c r="P492" i="29"/>
  <c r="U491" i="29"/>
  <c r="T491" i="29"/>
  <c r="S491" i="29"/>
  <c r="R491" i="29"/>
  <c r="Q491" i="29"/>
  <c r="P491" i="29"/>
  <c r="U490" i="29"/>
  <c r="T490" i="29"/>
  <c r="S490" i="29"/>
  <c r="R490" i="29"/>
  <c r="Q490" i="29"/>
  <c r="P490" i="29"/>
  <c r="U489" i="29"/>
  <c r="T489" i="29"/>
  <c r="S489" i="29"/>
  <c r="R489" i="29"/>
  <c r="Q489" i="29"/>
  <c r="P489" i="29"/>
  <c r="U487" i="29"/>
  <c r="T487" i="29"/>
  <c r="S487" i="29"/>
  <c r="R487" i="29"/>
  <c r="Q487" i="29"/>
  <c r="P487" i="29"/>
  <c r="U486" i="29"/>
  <c r="T486" i="29"/>
  <c r="S486" i="29"/>
  <c r="R486" i="29"/>
  <c r="Q486" i="29"/>
  <c r="P486" i="29"/>
  <c r="U485" i="29"/>
  <c r="T485" i="29"/>
  <c r="S485" i="29"/>
  <c r="R485" i="29"/>
  <c r="Q485" i="29"/>
  <c r="P485" i="29"/>
  <c r="U484" i="29"/>
  <c r="T484" i="29"/>
  <c r="S484" i="29"/>
  <c r="R484" i="29"/>
  <c r="Q484" i="29"/>
  <c r="P484" i="29"/>
  <c r="U483" i="29"/>
  <c r="T483" i="29"/>
  <c r="S483" i="29"/>
  <c r="R483" i="29"/>
  <c r="Q483" i="29"/>
  <c r="P483" i="29"/>
  <c r="U482" i="29"/>
  <c r="T482" i="29"/>
  <c r="S482" i="29"/>
  <c r="R482" i="29"/>
  <c r="Q482" i="29"/>
  <c r="P482" i="29"/>
  <c r="U481" i="29"/>
  <c r="T481" i="29"/>
  <c r="S481" i="29"/>
  <c r="R481" i="29"/>
  <c r="Q481" i="29"/>
  <c r="P481" i="29"/>
  <c r="U480" i="29"/>
  <c r="T480" i="29"/>
  <c r="S480" i="29"/>
  <c r="R480" i="29"/>
  <c r="Q480" i="29"/>
  <c r="P480" i="29"/>
  <c r="U468" i="29"/>
  <c r="K110" i="108"/>
  <c r="J510" i="29" s="1"/>
  <c r="K103" i="108"/>
  <c r="K93" i="108"/>
  <c r="J505" i="29" s="1"/>
  <c r="D1025" i="29"/>
  <c r="E80" i="108"/>
  <c r="E79" i="108"/>
  <c r="E78" i="108"/>
  <c r="E77" i="108"/>
  <c r="E76" i="108"/>
  <c r="E75" i="108"/>
  <c r="E74" i="108"/>
  <c r="E73" i="108"/>
  <c r="E72" i="108"/>
  <c r="E71" i="108"/>
  <c r="E70" i="108"/>
  <c r="E69" i="108"/>
  <c r="E68" i="108"/>
  <c r="E67" i="108"/>
  <c r="E66" i="108"/>
  <c r="E65" i="108"/>
  <c r="E64" i="108"/>
  <c r="E63" i="108"/>
  <c r="K55" i="108"/>
  <c r="E7" i="108"/>
  <c r="E6" i="108"/>
  <c r="E5" i="108"/>
  <c r="E4" i="108"/>
  <c r="O472" i="29"/>
  <c r="BN472" i="29" s="1"/>
  <c r="O458" i="29"/>
  <c r="BN458" i="29" s="1"/>
  <c r="O451" i="29"/>
  <c r="BN451" i="29" s="1"/>
  <c r="O440" i="29"/>
  <c r="BN440" i="29" s="1"/>
  <c r="O431" i="29"/>
  <c r="BN431" i="29" s="1"/>
  <c r="O428" i="29"/>
  <c r="BN428" i="29" s="1"/>
  <c r="O427" i="29"/>
  <c r="BN427" i="29" s="1"/>
  <c r="O394" i="29"/>
  <c r="BN394" i="29" s="1"/>
  <c r="O391" i="29"/>
  <c r="BN391" i="29" s="1"/>
  <c r="O7" i="107"/>
  <c r="G7" i="107"/>
  <c r="O6" i="107"/>
  <c r="G6" i="107"/>
  <c r="O5" i="107"/>
  <c r="G5" i="107"/>
  <c r="O4" i="107"/>
  <c r="G4" i="107"/>
  <c r="K110" i="30"/>
  <c r="J336" i="29" s="1"/>
  <c r="K103" i="30"/>
  <c r="W135" i="93"/>
  <c r="S258" i="93"/>
  <c r="S257" i="93"/>
  <c r="S256" i="93"/>
  <c r="S250" i="93"/>
  <c r="S249" i="93"/>
  <c r="S248" i="93"/>
  <c r="S247" i="93"/>
  <c r="O298" i="29"/>
  <c r="BN298" i="29" s="1"/>
  <c r="S239" i="93"/>
  <c r="S234" i="93"/>
  <c r="S233" i="93"/>
  <c r="S227" i="93"/>
  <c r="S226" i="93"/>
  <c r="S225" i="93"/>
  <c r="S224" i="93"/>
  <c r="S223" i="93"/>
  <c r="S222" i="93"/>
  <c r="S216" i="93"/>
  <c r="S211" i="93"/>
  <c r="S210" i="93"/>
  <c r="S209" i="93"/>
  <c r="S208" i="93"/>
  <c r="S207" i="93"/>
  <c r="S200" i="93"/>
  <c r="S199" i="93"/>
  <c r="S198" i="93"/>
  <c r="S197" i="93"/>
  <c r="S194" i="93"/>
  <c r="S193" i="93"/>
  <c r="S192" i="93"/>
  <c r="S191" i="93"/>
  <c r="S190" i="93"/>
  <c r="S189" i="93"/>
  <c r="S188" i="93"/>
  <c r="S185" i="93"/>
  <c r="S184" i="93"/>
  <c r="S180" i="93"/>
  <c r="S179" i="93"/>
  <c r="S178" i="93"/>
  <c r="S170" i="93"/>
  <c r="S169" i="93"/>
  <c r="S168" i="93"/>
  <c r="S167" i="93"/>
  <c r="S163" i="93"/>
  <c r="O266" i="29"/>
  <c r="BN266" i="29" s="1"/>
  <c r="S158" i="93"/>
  <c r="S154" i="93"/>
  <c r="S153" i="93"/>
  <c r="S150" i="93"/>
  <c r="S149" i="93"/>
  <c r="S146" i="93"/>
  <c r="O257" i="29"/>
  <c r="BN257" i="29" s="1"/>
  <c r="S141" i="93"/>
  <c r="S140" i="93"/>
  <c r="S139" i="93"/>
  <c r="O253" i="29"/>
  <c r="BN253" i="29" s="1"/>
  <c r="S135" i="93"/>
  <c r="S133" i="93"/>
  <c r="S132" i="93"/>
  <c r="S131" i="93"/>
  <c r="S130" i="93"/>
  <c r="S129" i="93"/>
  <c r="O246" i="29"/>
  <c r="BN246" i="29" s="1"/>
  <c r="S120" i="93"/>
  <c r="S119" i="93"/>
  <c r="S110" i="93"/>
  <c r="S109" i="93"/>
  <c r="S108" i="93"/>
  <c r="S107" i="93"/>
  <c r="S106" i="93"/>
  <c r="S105" i="93"/>
  <c r="S104" i="93"/>
  <c r="S101" i="93"/>
  <c r="S100" i="93"/>
  <c r="S97" i="93"/>
  <c r="S96" i="93"/>
  <c r="S95" i="93"/>
  <c r="S91" i="93"/>
  <c r="S90" i="93"/>
  <c r="S89" i="93"/>
  <c r="S86" i="93"/>
  <c r="S85" i="93"/>
  <c r="S84" i="93"/>
  <c r="S81" i="93"/>
  <c r="S80" i="93"/>
  <c r="S79" i="93"/>
  <c r="S78" i="93"/>
  <c r="S77" i="93"/>
  <c r="S76" i="93"/>
  <c r="S72" i="93"/>
  <c r="S71" i="93"/>
  <c r="S70" i="93"/>
  <c r="S67" i="93"/>
  <c r="S66" i="93"/>
  <c r="S63" i="93"/>
  <c r="S62" i="93"/>
  <c r="S61" i="93"/>
  <c r="S58" i="93"/>
  <c r="S57" i="93"/>
  <c r="S56" i="93"/>
  <c r="S52" i="93"/>
  <c r="S51" i="93"/>
  <c r="S50" i="93"/>
  <c r="S49" i="93"/>
  <c r="S46" i="93"/>
  <c r="S45" i="93"/>
  <c r="AD45" i="93" s="1"/>
  <c r="S44" i="93"/>
  <c r="AD44" i="93" s="1"/>
  <c r="S43" i="93"/>
  <c r="AD43" i="93" s="1"/>
  <c r="S34" i="93"/>
  <c r="S27" i="93"/>
  <c r="AR135" i="107"/>
  <c r="AO200" i="107"/>
  <c r="AO197" i="107"/>
  <c r="AO233" i="107"/>
  <c r="AO80" i="107"/>
  <c r="AO58" i="107"/>
  <c r="AO140" i="107"/>
  <c r="AO57" i="107"/>
  <c r="AO70" i="107"/>
  <c r="AO132" i="107"/>
  <c r="AO211" i="107"/>
  <c r="AO95" i="107"/>
  <c r="AO27" i="107"/>
  <c r="AO130" i="107"/>
  <c r="AO225" i="107"/>
  <c r="AO56" i="107"/>
  <c r="AO90" i="107"/>
  <c r="AO178" i="107"/>
  <c r="AO257" i="107"/>
  <c r="AO77" i="107"/>
  <c r="AO131" i="107"/>
  <c r="AO62" i="107"/>
  <c r="AO184" i="107"/>
  <c r="AO223" i="107"/>
  <c r="AO50" i="107"/>
  <c r="AO49" i="107"/>
  <c r="AO199" i="107"/>
  <c r="AO44" i="107"/>
  <c r="AO97" i="107"/>
  <c r="AO106" i="107"/>
  <c r="AO133" i="107"/>
  <c r="AO72" i="107"/>
  <c r="AO168" i="107"/>
  <c r="AO51" i="107"/>
  <c r="AO79" i="107"/>
  <c r="AO96" i="107"/>
  <c r="AO224" i="107"/>
  <c r="AO192" i="107"/>
  <c r="AO110" i="107"/>
  <c r="AO158" i="107"/>
  <c r="AO185" i="107"/>
  <c r="AO66" i="107"/>
  <c r="AO61" i="107"/>
  <c r="AO207" i="107"/>
  <c r="AO163" i="107"/>
  <c r="AO108" i="107"/>
  <c r="AO85" i="107"/>
  <c r="AO119" i="107"/>
  <c r="AO189" i="107"/>
  <c r="AO208" i="107"/>
  <c r="AO248" i="107"/>
  <c r="AO234" i="107"/>
  <c r="AO179" i="107"/>
  <c r="AO89" i="107"/>
  <c r="AO139" i="107"/>
  <c r="AO150" i="107"/>
  <c r="AO191" i="107"/>
  <c r="AO194" i="107"/>
  <c r="AO227" i="107"/>
  <c r="AO91" i="107"/>
  <c r="AO193" i="107"/>
  <c r="AO249" i="107"/>
  <c r="AO222" i="107"/>
  <c r="AO167" i="107"/>
  <c r="AO52" i="107"/>
  <c r="AO149" i="107"/>
  <c r="AO109" i="107"/>
  <c r="AO188" i="107"/>
  <c r="AO216" i="107"/>
  <c r="AO100" i="107"/>
  <c r="AO190" i="107"/>
  <c r="AO101" i="107"/>
  <c r="AO45" i="107"/>
  <c r="AO239" i="107"/>
  <c r="AO107" i="107"/>
  <c r="AO209" i="107"/>
  <c r="AO141" i="107"/>
  <c r="AO135" i="107"/>
  <c r="AO180" i="107"/>
  <c r="AO71" i="107"/>
  <c r="AO84" i="107"/>
  <c r="AO170" i="107"/>
  <c r="AO76" i="107"/>
  <c r="AO105" i="107"/>
  <c r="AO154" i="107"/>
  <c r="AO146" i="107"/>
  <c r="AO67" i="107"/>
  <c r="AO153" i="107"/>
  <c r="AO258" i="107"/>
  <c r="AO247" i="107"/>
  <c r="AO198" i="107"/>
  <c r="AO46" i="107"/>
  <c r="AO34" i="107"/>
  <c r="AO81" i="107"/>
  <c r="AO120" i="107"/>
  <c r="AO256" i="107"/>
  <c r="AO210" i="107"/>
  <c r="AO78" i="107"/>
  <c r="AO104" i="107"/>
  <c r="AO226" i="107"/>
  <c r="AO43" i="107"/>
  <c r="AO250" i="107"/>
  <c r="AO63" i="107"/>
  <c r="AO129" i="107"/>
  <c r="AO86" i="107"/>
  <c r="AO169" i="107"/>
  <c r="S250" i="107" l="1"/>
  <c r="S49" i="107"/>
  <c r="S56" i="107"/>
  <c r="O383" i="29" s="1"/>
  <c r="BN383" i="29" s="1"/>
  <c r="S62" i="107"/>
  <c r="S81" i="107"/>
  <c r="S89" i="107"/>
  <c r="O403" i="29" s="1"/>
  <c r="BN403" i="29" s="1"/>
  <c r="S96" i="107"/>
  <c r="O407" i="29" s="1"/>
  <c r="BN407" i="29" s="1"/>
  <c r="S104" i="107"/>
  <c r="O411" i="29" s="1"/>
  <c r="BN411" i="29" s="1"/>
  <c r="S108" i="107"/>
  <c r="S120" i="107"/>
  <c r="S131" i="107"/>
  <c r="S153" i="107"/>
  <c r="O435" i="29" s="1"/>
  <c r="BN435" i="29" s="1"/>
  <c r="S163" i="107"/>
  <c r="S170" i="107"/>
  <c r="S184" i="107"/>
  <c r="O449" i="29" s="1"/>
  <c r="BN449" i="29" s="1"/>
  <c r="S190" i="107"/>
  <c r="O453" i="29" s="1"/>
  <c r="BN453" i="29" s="1"/>
  <c r="S194" i="107"/>
  <c r="S200" i="107"/>
  <c r="S210" i="107"/>
  <c r="O465" i="29" s="1"/>
  <c r="BN465" i="29" s="1"/>
  <c r="S223" i="107"/>
  <c r="S227" i="107"/>
  <c r="W135" i="107"/>
  <c r="X135" i="107"/>
  <c r="F426" i="29" s="1"/>
  <c r="S50" i="107"/>
  <c r="O380" i="29" s="1"/>
  <c r="BN380" i="29" s="1"/>
  <c r="S57" i="107"/>
  <c r="S63" i="107"/>
  <c r="S84" i="107"/>
  <c r="O400" i="29" s="1"/>
  <c r="BN400" i="29" s="1"/>
  <c r="S90" i="107"/>
  <c r="S97" i="107"/>
  <c r="S105" i="107"/>
  <c r="S109" i="107"/>
  <c r="S132" i="107"/>
  <c r="S146" i="107"/>
  <c r="S154" i="107"/>
  <c r="S167" i="107"/>
  <c r="O442" i="29" s="1"/>
  <c r="BN442" i="29" s="1"/>
  <c r="S178" i="107"/>
  <c r="O446" i="29" s="1"/>
  <c r="BN446" i="29" s="1"/>
  <c r="S185" i="107"/>
  <c r="S191" i="107"/>
  <c r="S207" i="107"/>
  <c r="O462" i="29" s="1"/>
  <c r="BN462" i="29" s="1"/>
  <c r="S211" i="107"/>
  <c r="S224" i="107"/>
  <c r="S233" i="107"/>
  <c r="O469" i="29" s="1"/>
  <c r="BN469" i="29" s="1"/>
  <c r="S247" i="107"/>
  <c r="O473" i="29" s="1"/>
  <c r="BN473" i="29" s="1"/>
  <c r="S256" i="107"/>
  <c r="S51" i="107"/>
  <c r="S58" i="107"/>
  <c r="S66" i="107"/>
  <c r="S72" i="107"/>
  <c r="S79" i="107"/>
  <c r="S85" i="107"/>
  <c r="S91" i="107"/>
  <c r="O405" i="29" s="1"/>
  <c r="BN405" i="29" s="1"/>
  <c r="S100" i="107"/>
  <c r="O409" i="29" s="1"/>
  <c r="BN409" i="29" s="1"/>
  <c r="S106" i="107"/>
  <c r="S110" i="107"/>
  <c r="S133" i="107"/>
  <c r="O425" i="29" s="1"/>
  <c r="BN425" i="29" s="1"/>
  <c r="S140" i="107"/>
  <c r="S149" i="107"/>
  <c r="O433" i="29" s="1"/>
  <c r="BN433" i="29" s="1"/>
  <c r="S158" i="107"/>
  <c r="S168" i="107"/>
  <c r="S179" i="107"/>
  <c r="S192" i="107"/>
  <c r="S198" i="107"/>
  <c r="S208" i="107"/>
  <c r="O463" i="29" s="1"/>
  <c r="BN463" i="29" s="1"/>
  <c r="S216" i="107"/>
  <c r="S215" i="107" s="1"/>
  <c r="S225" i="107"/>
  <c r="S234" i="107"/>
  <c r="O470" i="29" s="1"/>
  <c r="BN470" i="29" s="1"/>
  <c r="S248" i="107"/>
  <c r="S257" i="107"/>
  <c r="S46" i="107"/>
  <c r="O378" i="29" s="1"/>
  <c r="BN378" i="29" s="1"/>
  <c r="S52" i="107"/>
  <c r="S61" i="107"/>
  <c r="O386" i="29" s="1"/>
  <c r="BN386" i="29" s="1"/>
  <c r="S67" i="107"/>
  <c r="O390" i="29" s="1"/>
  <c r="BN390" i="29" s="1"/>
  <c r="S80" i="107"/>
  <c r="S86" i="107"/>
  <c r="S95" i="107"/>
  <c r="O406" i="29" s="1"/>
  <c r="BN406" i="29" s="1"/>
  <c r="S101" i="107"/>
  <c r="S107" i="107"/>
  <c r="S119" i="107"/>
  <c r="X119" i="107" s="1"/>
  <c r="S130" i="107"/>
  <c r="S135" i="107"/>
  <c r="S141" i="107"/>
  <c r="S150" i="107"/>
  <c r="S169" i="107"/>
  <c r="S180" i="107"/>
  <c r="S189" i="107"/>
  <c r="S193" i="107"/>
  <c r="S199" i="107"/>
  <c r="S209" i="107"/>
  <c r="S222" i="107"/>
  <c r="S226" i="107"/>
  <c r="S239" i="107"/>
  <c r="O471" i="29" s="1"/>
  <c r="BN471" i="29" s="1"/>
  <c r="S249" i="107"/>
  <c r="O475" i="29" s="1"/>
  <c r="BN475" i="29" s="1"/>
  <c r="O213" i="29"/>
  <c r="BN213" i="29" s="1"/>
  <c r="O225" i="29"/>
  <c r="BN225" i="29" s="1"/>
  <c r="O229" i="29"/>
  <c r="BN229" i="29" s="1"/>
  <c r="O233" i="29"/>
  <c r="BN233" i="29" s="1"/>
  <c r="O237" i="29"/>
  <c r="BN237" i="29" s="1"/>
  <c r="O241" i="29"/>
  <c r="BN241" i="29" s="1"/>
  <c r="O245" i="29"/>
  <c r="BN245" i="29" s="1"/>
  <c r="O249" i="29"/>
  <c r="BN249" i="29" s="1"/>
  <c r="O261" i="29"/>
  <c r="BN261" i="29" s="1"/>
  <c r="O267" i="29"/>
  <c r="BN267" i="29" s="1"/>
  <c r="O271" i="29"/>
  <c r="BN271" i="29" s="1"/>
  <c r="O275" i="29"/>
  <c r="BN275" i="29" s="1"/>
  <c r="O279" i="29"/>
  <c r="BN279" i="29" s="1"/>
  <c r="O283" i="29"/>
  <c r="BN283" i="29" s="1"/>
  <c r="O287" i="29"/>
  <c r="BN287" i="29" s="1"/>
  <c r="O291" i="29"/>
  <c r="BN291" i="29" s="1"/>
  <c r="O302" i="29"/>
  <c r="BN302" i="29" s="1"/>
  <c r="O206" i="29"/>
  <c r="BN206" i="29" s="1"/>
  <c r="O210" i="29"/>
  <c r="BN210" i="29" s="1"/>
  <c r="O214" i="29"/>
  <c r="BN214" i="29" s="1"/>
  <c r="O226" i="29"/>
  <c r="BN226" i="29" s="1"/>
  <c r="O230" i="29"/>
  <c r="BN230" i="29" s="1"/>
  <c r="O234" i="29"/>
  <c r="BN234" i="29" s="1"/>
  <c r="O238" i="29"/>
  <c r="BN238" i="29" s="1"/>
  <c r="O242" i="29"/>
  <c r="BN242" i="29" s="1"/>
  <c r="O250" i="29"/>
  <c r="BN250" i="29" s="1"/>
  <c r="O254" i="29"/>
  <c r="BN254" i="29" s="1"/>
  <c r="O258" i="29"/>
  <c r="BN258" i="29" s="1"/>
  <c r="O262" i="29"/>
  <c r="BN262" i="29" s="1"/>
  <c r="O268" i="29"/>
  <c r="BN268" i="29" s="1"/>
  <c r="O272" i="29"/>
  <c r="BN272" i="29" s="1"/>
  <c r="O276" i="29"/>
  <c r="BN276" i="29" s="1"/>
  <c r="O280" i="29"/>
  <c r="BN280" i="29" s="1"/>
  <c r="O284" i="29"/>
  <c r="BN284" i="29" s="1"/>
  <c r="O288" i="29"/>
  <c r="BN288" i="29" s="1"/>
  <c r="O292" i="29"/>
  <c r="BN292" i="29" s="1"/>
  <c r="O295" i="29"/>
  <c r="BN295" i="29" s="1"/>
  <c r="O299" i="29"/>
  <c r="BN299" i="29" s="1"/>
  <c r="O207" i="29"/>
  <c r="BN207" i="29" s="1"/>
  <c r="O211" i="29"/>
  <c r="BN211" i="29" s="1"/>
  <c r="O215" i="29"/>
  <c r="BN215" i="29" s="1"/>
  <c r="O219" i="29"/>
  <c r="BN219" i="29" s="1"/>
  <c r="O223" i="29"/>
  <c r="BN223" i="29" s="1"/>
  <c r="O227" i="29"/>
  <c r="BN227" i="29" s="1"/>
  <c r="O231" i="29"/>
  <c r="BN231" i="29" s="1"/>
  <c r="O235" i="29"/>
  <c r="BN235" i="29" s="1"/>
  <c r="O239" i="29"/>
  <c r="BN239" i="29" s="1"/>
  <c r="O243" i="29"/>
  <c r="BN243" i="29" s="1"/>
  <c r="O251" i="29"/>
  <c r="BN251" i="29" s="1"/>
  <c r="O255" i="29"/>
  <c r="BN255" i="29" s="1"/>
  <c r="O259" i="29"/>
  <c r="BN259" i="29" s="1"/>
  <c r="O269" i="29"/>
  <c r="BN269" i="29" s="1"/>
  <c r="O273" i="29"/>
  <c r="BN273" i="29" s="1"/>
  <c r="O277" i="29"/>
  <c r="BN277" i="29" s="1"/>
  <c r="O281" i="29"/>
  <c r="BN281" i="29" s="1"/>
  <c r="O285" i="29"/>
  <c r="BN285" i="29" s="1"/>
  <c r="O289" i="29"/>
  <c r="BN289" i="29" s="1"/>
  <c r="O296" i="29"/>
  <c r="BN296" i="29" s="1"/>
  <c r="O300" i="29"/>
  <c r="BN300" i="29" s="1"/>
  <c r="AD46" i="93"/>
  <c r="O208" i="29"/>
  <c r="BN208" i="29" s="1"/>
  <c r="O212" i="29"/>
  <c r="BN212" i="29" s="1"/>
  <c r="O216" i="29"/>
  <c r="BN216" i="29" s="1"/>
  <c r="O224" i="29"/>
  <c r="BN224" i="29" s="1"/>
  <c r="O228" i="29"/>
  <c r="BN228" i="29" s="1"/>
  <c r="O232" i="29"/>
  <c r="BN232" i="29" s="1"/>
  <c r="O236" i="29"/>
  <c r="BN236" i="29" s="1"/>
  <c r="O240" i="29"/>
  <c r="BN240" i="29" s="1"/>
  <c r="O244" i="29"/>
  <c r="BN244" i="29" s="1"/>
  <c r="O248" i="29"/>
  <c r="BN248" i="29" s="1"/>
  <c r="O252" i="29"/>
  <c r="BN252" i="29" s="1"/>
  <c r="O256" i="29"/>
  <c r="BN256" i="29" s="1"/>
  <c r="O260" i="29"/>
  <c r="BN260" i="29" s="1"/>
  <c r="O270" i="29"/>
  <c r="BN270" i="29" s="1"/>
  <c r="O274" i="29"/>
  <c r="BN274" i="29" s="1"/>
  <c r="O278" i="29"/>
  <c r="BN278" i="29" s="1"/>
  <c r="O282" i="29"/>
  <c r="BN282" i="29" s="1"/>
  <c r="O286" i="29"/>
  <c r="BN286" i="29" s="1"/>
  <c r="O290" i="29"/>
  <c r="BN290" i="29" s="1"/>
  <c r="S238" i="93"/>
  <c r="O301" i="29"/>
  <c r="BN301" i="29" s="1"/>
  <c r="S78" i="107"/>
  <c r="O222" i="29"/>
  <c r="BN222" i="29" s="1"/>
  <c r="S77" i="107"/>
  <c r="O221" i="29"/>
  <c r="BN221" i="29" s="1"/>
  <c r="O220" i="29"/>
  <c r="BN220" i="29" s="1"/>
  <c r="S71" i="107"/>
  <c r="O218" i="29"/>
  <c r="BN218" i="29" s="1"/>
  <c r="O217" i="29"/>
  <c r="BN217" i="29" s="1"/>
  <c r="S258" i="107"/>
  <c r="Y91" i="115"/>
  <c r="Z91" i="115" s="1"/>
  <c r="AA91" i="115" s="1"/>
  <c r="AU386" i="29" s="1"/>
  <c r="F65" i="114"/>
  <c r="H69" i="114"/>
  <c r="F69" i="114"/>
  <c r="H73" i="114"/>
  <c r="F73" i="114"/>
  <c r="H77" i="114"/>
  <c r="F77" i="114"/>
  <c r="F66" i="114"/>
  <c r="F70" i="114"/>
  <c r="H70" i="114"/>
  <c r="H74" i="114"/>
  <c r="F74" i="114"/>
  <c r="F78" i="114"/>
  <c r="F71" i="114"/>
  <c r="H71" i="114"/>
  <c r="F75" i="114"/>
  <c r="H75" i="114"/>
  <c r="F79" i="114"/>
  <c r="F64" i="114"/>
  <c r="H72" i="114"/>
  <c r="F72" i="114"/>
  <c r="F76" i="114"/>
  <c r="H76" i="114"/>
  <c r="F80" i="114"/>
  <c r="F63" i="111"/>
  <c r="J63" i="111" s="1"/>
  <c r="F67" i="111"/>
  <c r="F71" i="111"/>
  <c r="H71" i="111"/>
  <c r="F75" i="111"/>
  <c r="H75" i="111"/>
  <c r="F79" i="111"/>
  <c r="F64" i="111"/>
  <c r="F68" i="111"/>
  <c r="H72" i="111"/>
  <c r="F72" i="111"/>
  <c r="H76" i="111"/>
  <c r="F76" i="111"/>
  <c r="F80" i="111"/>
  <c r="F65" i="111"/>
  <c r="H69" i="111"/>
  <c r="F69" i="111"/>
  <c r="H73" i="111"/>
  <c r="F73" i="111"/>
  <c r="H77" i="111"/>
  <c r="F77" i="111"/>
  <c r="F66" i="111"/>
  <c r="F70" i="111"/>
  <c r="H70" i="111"/>
  <c r="F74" i="111"/>
  <c r="H74" i="111"/>
  <c r="F78" i="111"/>
  <c r="F65" i="110"/>
  <c r="F69" i="110"/>
  <c r="H69" i="110"/>
  <c r="F73" i="110"/>
  <c r="H73" i="110"/>
  <c r="F77" i="110"/>
  <c r="H77" i="110"/>
  <c r="F66" i="110"/>
  <c r="H70" i="110"/>
  <c r="F70" i="110"/>
  <c r="H74" i="110"/>
  <c r="F74" i="110"/>
  <c r="F78" i="110"/>
  <c r="F63" i="110"/>
  <c r="G63" i="110" s="1"/>
  <c r="F67" i="110"/>
  <c r="H71" i="110"/>
  <c r="F71" i="110"/>
  <c r="H75" i="110"/>
  <c r="F75" i="110"/>
  <c r="F79" i="110"/>
  <c r="F64" i="110"/>
  <c r="F68" i="110"/>
  <c r="F72" i="110"/>
  <c r="H72" i="110"/>
  <c r="F76" i="110"/>
  <c r="H76" i="110"/>
  <c r="F80" i="110"/>
  <c r="F63" i="108"/>
  <c r="G63" i="108" s="1"/>
  <c r="H67" i="108"/>
  <c r="F67" i="108"/>
  <c r="G67" i="108" s="1"/>
  <c r="H71" i="108"/>
  <c r="F71" i="108"/>
  <c r="H75" i="108"/>
  <c r="F75" i="108"/>
  <c r="F79" i="108"/>
  <c r="H64" i="108"/>
  <c r="F64" i="108"/>
  <c r="H68" i="108"/>
  <c r="F68" i="108"/>
  <c r="H72" i="108"/>
  <c r="F72" i="108"/>
  <c r="F76" i="108"/>
  <c r="H76" i="108"/>
  <c r="F80" i="108"/>
  <c r="F65" i="108"/>
  <c r="H65" i="108"/>
  <c r="F69" i="108"/>
  <c r="H69" i="108"/>
  <c r="F73" i="108"/>
  <c r="H73" i="108"/>
  <c r="F77" i="108"/>
  <c r="H77" i="108"/>
  <c r="F66" i="108"/>
  <c r="H66" i="108"/>
  <c r="F70" i="108"/>
  <c r="H70" i="108"/>
  <c r="F74" i="108"/>
  <c r="H74" i="108"/>
  <c r="F78" i="108"/>
  <c r="S129" i="107"/>
  <c r="O247" i="29"/>
  <c r="BN247" i="29" s="1"/>
  <c r="Y280" i="115"/>
  <c r="Z280" i="115" s="1"/>
  <c r="AA280" i="115" s="1"/>
  <c r="AU909" i="29" s="1"/>
  <c r="S43" i="107"/>
  <c r="S34" i="107"/>
  <c r="O374" i="29" s="1"/>
  <c r="O200" i="29"/>
  <c r="BN200" i="29" s="1"/>
  <c r="S27" i="107"/>
  <c r="S26" i="107" s="1"/>
  <c r="D53" i="118"/>
  <c r="S45" i="107"/>
  <c r="O203" i="29"/>
  <c r="BN203" i="29" s="1"/>
  <c r="S44" i="107"/>
  <c r="X44" i="107" s="1"/>
  <c r="O202" i="29"/>
  <c r="BN202" i="29" s="1"/>
  <c r="BL199" i="29"/>
  <c r="O199" i="29"/>
  <c r="BN199" i="29" s="1"/>
  <c r="AB28" i="115"/>
  <c r="BK212" i="29" s="1"/>
  <c r="AE31" i="115"/>
  <c r="AV215" i="29" s="1"/>
  <c r="AE93" i="115"/>
  <c r="AV388" i="29" s="1"/>
  <c r="AB90" i="115"/>
  <c r="BK385" i="29" s="1"/>
  <c r="AE282" i="115"/>
  <c r="AV911" i="29" s="1"/>
  <c r="AE220" i="115"/>
  <c r="AV739" i="29" s="1"/>
  <c r="AE156" i="115"/>
  <c r="AV564" i="29" s="1"/>
  <c r="AA218" i="115"/>
  <c r="AU737" i="29" s="1"/>
  <c r="AA154" i="115"/>
  <c r="AU562" i="29" s="1"/>
  <c r="AA29" i="115"/>
  <c r="AU213" i="29" s="1"/>
  <c r="AB279" i="115"/>
  <c r="BK908" i="29" s="1"/>
  <c r="AB153" i="115"/>
  <c r="BK561" i="29" s="1"/>
  <c r="P158" i="115"/>
  <c r="AC157" i="115"/>
  <c r="Q157" i="115"/>
  <c r="R157" i="115" s="1"/>
  <c r="AD157" i="115"/>
  <c r="AB217" i="115"/>
  <c r="BK736" i="29" s="1"/>
  <c r="U156" i="115"/>
  <c r="S156" i="115"/>
  <c r="Q32" i="115"/>
  <c r="R32" i="115" s="1"/>
  <c r="S32" i="115" s="1"/>
  <c r="T32" i="115" s="1"/>
  <c r="V155" i="115"/>
  <c r="T155" i="115"/>
  <c r="W155" i="115" s="1"/>
  <c r="X155" i="115" s="1"/>
  <c r="J688" i="29"/>
  <c r="BI554" i="29" s="1"/>
  <c r="J512" i="29"/>
  <c r="BI378" i="29" s="1"/>
  <c r="J862" i="29"/>
  <c r="BI728" i="29" s="1"/>
  <c r="U380" i="29"/>
  <c r="U384" i="29"/>
  <c r="U388" i="29"/>
  <c r="U416" i="29"/>
  <c r="U424" i="29"/>
  <c r="U436" i="29"/>
  <c r="U442" i="29"/>
  <c r="U446" i="29"/>
  <c r="U454" i="29"/>
  <c r="U466" i="29"/>
  <c r="U471" i="29"/>
  <c r="U554" i="29"/>
  <c r="U558" i="29"/>
  <c r="U562" i="29"/>
  <c r="U566" i="29"/>
  <c r="U582" i="29"/>
  <c r="U586" i="29"/>
  <c r="U594" i="29"/>
  <c r="U610" i="29"/>
  <c r="U620" i="29"/>
  <c r="U624" i="29"/>
  <c r="U632" i="29"/>
  <c r="U645" i="29"/>
  <c r="U730" i="29"/>
  <c r="U734" i="29"/>
  <c r="U738" i="29"/>
  <c r="U754" i="29"/>
  <c r="U758" i="29"/>
  <c r="U766" i="29"/>
  <c r="U786" i="29"/>
  <c r="U792" i="29"/>
  <c r="U796" i="29"/>
  <c r="U821" i="29"/>
  <c r="U942" i="29"/>
  <c r="U378" i="29"/>
  <c r="U382" i="29"/>
  <c r="U386" i="29"/>
  <c r="U390" i="29"/>
  <c r="U406" i="29"/>
  <c r="U410" i="29"/>
  <c r="U414" i="29"/>
  <c r="U418" i="29"/>
  <c r="U430" i="29"/>
  <c r="U434" i="29"/>
  <c r="U456" i="29"/>
  <c r="U460" i="29"/>
  <c r="U464" i="29"/>
  <c r="U469" i="29"/>
  <c r="U556" i="29"/>
  <c r="U560" i="29"/>
  <c r="U564" i="29"/>
  <c r="U580" i="29"/>
  <c r="U584" i="29"/>
  <c r="U592" i="29"/>
  <c r="U618" i="29"/>
  <c r="U622" i="29"/>
  <c r="U647" i="29"/>
  <c r="U728" i="29"/>
  <c r="U732" i="29"/>
  <c r="U736" i="29"/>
  <c r="U756" i="29"/>
  <c r="U760" i="29"/>
  <c r="U768" i="29"/>
  <c r="U806" i="29"/>
  <c r="U819" i="29"/>
  <c r="U993" i="29"/>
  <c r="U381" i="29"/>
  <c r="U385" i="29"/>
  <c r="U389" i="29"/>
  <c r="U405" i="29"/>
  <c r="U409" i="29"/>
  <c r="U413" i="29"/>
  <c r="U425" i="29"/>
  <c r="U443" i="29"/>
  <c r="U447" i="29"/>
  <c r="U559" i="29"/>
  <c r="U563" i="29"/>
  <c r="U595" i="29"/>
  <c r="U617" i="29"/>
  <c r="U621" i="29"/>
  <c r="U633" i="29"/>
  <c r="U646" i="29"/>
  <c r="U731" i="29"/>
  <c r="U735" i="29"/>
  <c r="U739" i="29"/>
  <c r="U755" i="29"/>
  <c r="U759" i="29"/>
  <c r="U767" i="29"/>
  <c r="U783" i="29"/>
  <c r="U793" i="29"/>
  <c r="U797" i="29"/>
  <c r="U817" i="29"/>
  <c r="U903" i="29"/>
  <c r="U907" i="29"/>
  <c r="U911" i="29"/>
  <c r="U927" i="29"/>
  <c r="U931" i="29"/>
  <c r="U994" i="29"/>
  <c r="U956" i="29"/>
  <c r="U966" i="29"/>
  <c r="U970" i="29"/>
  <c r="U990" i="29"/>
  <c r="U383" i="29"/>
  <c r="U387" i="29"/>
  <c r="U399" i="29"/>
  <c r="U403" i="29"/>
  <c r="U407" i="29"/>
  <c r="U415" i="29"/>
  <c r="U419" i="29"/>
  <c r="U435" i="29"/>
  <c r="U441" i="29"/>
  <c r="U445" i="29"/>
  <c r="U557" i="29"/>
  <c r="U561" i="29"/>
  <c r="U565" i="29"/>
  <c r="U581" i="29"/>
  <c r="U585" i="29"/>
  <c r="U593" i="29"/>
  <c r="U601" i="29"/>
  <c r="U609" i="29"/>
  <c r="U623" i="29"/>
  <c r="U631" i="29"/>
  <c r="U643" i="29"/>
  <c r="U733" i="29"/>
  <c r="U737" i="29"/>
  <c r="U753" i="29"/>
  <c r="U757" i="29"/>
  <c r="U769" i="29"/>
  <c r="U807" i="29"/>
  <c r="U820" i="29"/>
  <c r="U901" i="29"/>
  <c r="U905" i="29"/>
  <c r="U909" i="29"/>
  <c r="U913" i="29"/>
  <c r="U929" i="29"/>
  <c r="U933" i="29"/>
  <c r="U941" i="29"/>
  <c r="U957" i="29"/>
  <c r="U967" i="29"/>
  <c r="U971" i="29"/>
  <c r="U992" i="29"/>
  <c r="V92" i="115"/>
  <c r="T92" i="115"/>
  <c r="W92" i="115" s="1"/>
  <c r="X92" i="115" s="1"/>
  <c r="S282" i="115"/>
  <c r="U282" i="115"/>
  <c r="U220" i="115"/>
  <c r="S220" i="115"/>
  <c r="AC94" i="115"/>
  <c r="Q94" i="115"/>
  <c r="R94" i="115" s="1"/>
  <c r="AD94" i="115"/>
  <c r="P95" i="115"/>
  <c r="U93" i="115"/>
  <c r="S93" i="115"/>
  <c r="Q283" i="115"/>
  <c r="R283" i="115" s="1"/>
  <c r="AC283" i="115"/>
  <c r="AD283" i="115"/>
  <c r="P284" i="115"/>
  <c r="T281" i="115"/>
  <c r="W281" i="115" s="1"/>
  <c r="X281" i="115" s="1"/>
  <c r="V281" i="115"/>
  <c r="AC221" i="115"/>
  <c r="Q221" i="115"/>
  <c r="R221" i="115" s="1"/>
  <c r="AD221" i="115"/>
  <c r="P222" i="115"/>
  <c r="V219" i="115"/>
  <c r="T219" i="115"/>
  <c r="W219" i="115" s="1"/>
  <c r="X219" i="115" s="1"/>
  <c r="O616" i="29"/>
  <c r="BN616" i="29" s="1"/>
  <c r="O437" i="29"/>
  <c r="BN437" i="29" s="1"/>
  <c r="S156" i="107"/>
  <c r="O263" i="29"/>
  <c r="BN263" i="29" s="1"/>
  <c r="S156" i="93"/>
  <c r="D833" i="29"/>
  <c r="D1015" i="29"/>
  <c r="D1023" i="29"/>
  <c r="D1016" i="29"/>
  <c r="D1024" i="29"/>
  <c r="D1008" i="29"/>
  <c r="D840" i="29"/>
  <c r="D844" i="29"/>
  <c r="D848" i="29"/>
  <c r="D837" i="29"/>
  <c r="D1019" i="29"/>
  <c r="D1007" i="29"/>
  <c r="D1012" i="29"/>
  <c r="D1020" i="29"/>
  <c r="D836" i="29"/>
  <c r="D841" i="29"/>
  <c r="D845" i="29"/>
  <c r="D849" i="29"/>
  <c r="V30" i="115"/>
  <c r="W30" i="115"/>
  <c r="X30" i="115" s="1"/>
  <c r="P33" i="115"/>
  <c r="AD32" i="115"/>
  <c r="AC32" i="115"/>
  <c r="U31" i="115"/>
  <c r="AA1025" i="29"/>
  <c r="AA852" i="29"/>
  <c r="AE46" i="93"/>
  <c r="F642" i="29"/>
  <c r="S255" i="93"/>
  <c r="S254" i="93" s="1"/>
  <c r="C84" i="29" s="1"/>
  <c r="S221" i="107"/>
  <c r="S221" i="93"/>
  <c r="S220" i="93" s="1"/>
  <c r="C79" i="29" s="1"/>
  <c r="AH378" i="29"/>
  <c r="AG378" i="29"/>
  <c r="AH204" i="29"/>
  <c r="AI204" i="29" s="1"/>
  <c r="AJ204" i="29" s="1"/>
  <c r="AC1022" i="29"/>
  <c r="AC1018" i="29"/>
  <c r="AC1014" i="29"/>
  <c r="AD1009" i="29"/>
  <c r="AH901" i="29"/>
  <c r="AG901" i="29"/>
  <c r="AD1021" i="29"/>
  <c r="AD1017" i="29"/>
  <c r="AD1013" i="29"/>
  <c r="AD836" i="29"/>
  <c r="AD848" i="29"/>
  <c r="AD844" i="29"/>
  <c r="AC675" i="29"/>
  <c r="AC667" i="29"/>
  <c r="AD674" i="29"/>
  <c r="AD670" i="29"/>
  <c r="AH554" i="29"/>
  <c r="AI554" i="29" s="1"/>
  <c r="AJ554" i="29" s="1"/>
  <c r="AG555" i="29" s="1"/>
  <c r="AH728" i="29"/>
  <c r="AI728" i="29" s="1"/>
  <c r="AJ728" i="29" s="1"/>
  <c r="AG729" i="29" s="1"/>
  <c r="H592" i="29"/>
  <c r="H580" i="29"/>
  <c r="H588" i="29"/>
  <c r="H575" i="29"/>
  <c r="H583" i="29"/>
  <c r="F610" i="29"/>
  <c r="S41" i="93"/>
  <c r="O201" i="29"/>
  <c r="BN201" i="29" s="1"/>
  <c r="G616" i="29"/>
  <c r="H598" i="29"/>
  <c r="I616" i="29"/>
  <c r="I790" i="29"/>
  <c r="AA853" i="29"/>
  <c r="D315" i="29"/>
  <c r="D487" i="29"/>
  <c r="D495" i="29"/>
  <c r="D667" i="29"/>
  <c r="D843" i="29"/>
  <c r="D1014" i="29"/>
  <c r="D319" i="29"/>
  <c r="D489" i="29"/>
  <c r="D497" i="29"/>
  <c r="D671" i="29"/>
  <c r="D847" i="29"/>
  <c r="D1018" i="29"/>
  <c r="D323" i="29"/>
  <c r="D483" i="29"/>
  <c r="D491" i="29"/>
  <c r="D499" i="29"/>
  <c r="D659" i="29"/>
  <c r="D675" i="29"/>
  <c r="D835" i="29"/>
  <c r="D851" i="29"/>
  <c r="D1006" i="29"/>
  <c r="D1022" i="29"/>
  <c r="D311" i="29"/>
  <c r="D327" i="29"/>
  <c r="D485" i="29"/>
  <c r="D493" i="29"/>
  <c r="D501" i="29"/>
  <c r="D663" i="29"/>
  <c r="D839" i="29"/>
  <c r="D1010" i="29"/>
  <c r="D320" i="29"/>
  <c r="D309" i="29"/>
  <c r="D313" i="29"/>
  <c r="D317" i="29"/>
  <c r="D321" i="29"/>
  <c r="D325" i="29"/>
  <c r="D486" i="29"/>
  <c r="D490" i="29"/>
  <c r="D494" i="29"/>
  <c r="D498" i="29"/>
  <c r="D661" i="29"/>
  <c r="D665" i="29"/>
  <c r="D669" i="29"/>
  <c r="D673" i="29"/>
  <c r="D677" i="29"/>
  <c r="D310" i="29"/>
  <c r="D318" i="29"/>
  <c r="D322" i="29"/>
  <c r="D326" i="29"/>
  <c r="D662" i="29"/>
  <c r="D666" i="29"/>
  <c r="D670" i="29"/>
  <c r="D674" i="29"/>
  <c r="D834" i="29"/>
  <c r="D842" i="29"/>
  <c r="D846" i="29"/>
  <c r="D850" i="29"/>
  <c r="D1009" i="29"/>
  <c r="D1013" i="29"/>
  <c r="D1017" i="29"/>
  <c r="D1021" i="29"/>
  <c r="D484" i="29"/>
  <c r="D492" i="29"/>
  <c r="D496" i="29"/>
  <c r="D500" i="29"/>
  <c r="D312" i="29"/>
  <c r="D316" i="29"/>
  <c r="D324" i="29"/>
  <c r="D660" i="29"/>
  <c r="D668" i="29"/>
  <c r="D672" i="29"/>
  <c r="D676" i="29"/>
  <c r="D502" i="29"/>
  <c r="D679" i="29"/>
  <c r="D853" i="29"/>
  <c r="D1026" i="29"/>
  <c r="D503" i="29"/>
  <c r="D678" i="29"/>
  <c r="D852" i="29"/>
  <c r="AA1026" i="29"/>
  <c r="O209" i="29"/>
  <c r="BN209" i="29" s="1"/>
  <c r="S54" i="93"/>
  <c r="S143" i="107"/>
  <c r="S182" i="107"/>
  <c r="S147" i="107"/>
  <c r="G963" i="29"/>
  <c r="F960" i="29"/>
  <c r="I963" i="29"/>
  <c r="I960" i="29"/>
  <c r="G955" i="29"/>
  <c r="F812" i="29"/>
  <c r="G773" i="29"/>
  <c r="G790" i="29"/>
  <c r="O812" i="29"/>
  <c r="BN812" i="29" s="1"/>
  <c r="F781" i="29"/>
  <c r="O781" i="29"/>
  <c r="BN781" i="29" s="1"/>
  <c r="F773" i="29"/>
  <c r="O773" i="29"/>
  <c r="BN773" i="29" s="1"/>
  <c r="F571" i="29"/>
  <c r="H578" i="29"/>
  <c r="G604" i="29"/>
  <c r="H621" i="29"/>
  <c r="H623" i="29"/>
  <c r="F569" i="29"/>
  <c r="H586" i="29"/>
  <c r="I604" i="29"/>
  <c r="F558" i="29"/>
  <c r="F560" i="29"/>
  <c r="F561" i="29"/>
  <c r="H568" i="29"/>
  <c r="F592" i="29"/>
  <c r="F593" i="29"/>
  <c r="I598" i="29"/>
  <c r="H616" i="29"/>
  <c r="F624" i="29"/>
  <c r="F629" i="29"/>
  <c r="F649" i="29"/>
  <c r="O599" i="29"/>
  <c r="BN599" i="29" s="1"/>
  <c r="F632" i="29"/>
  <c r="F556" i="29"/>
  <c r="F580" i="29"/>
  <c r="F581" i="29"/>
  <c r="F588" i="29"/>
  <c r="F589" i="29"/>
  <c r="H595" i="29"/>
  <c r="F598" i="29"/>
  <c r="F599" i="29"/>
  <c r="H602" i="29"/>
  <c r="H606" i="29"/>
  <c r="H612" i="29"/>
  <c r="F616" i="29"/>
  <c r="F637" i="29"/>
  <c r="F639" i="29"/>
  <c r="H569" i="29"/>
  <c r="H604" i="29"/>
  <c r="H626" i="29"/>
  <c r="F628" i="29"/>
  <c r="F631" i="29"/>
  <c r="Y43" i="93"/>
  <c r="AE43" i="93"/>
  <c r="O379" i="29"/>
  <c r="BN379" i="29" s="1"/>
  <c r="O384" i="29"/>
  <c r="BN384" i="29" s="1"/>
  <c r="O385" i="29"/>
  <c r="BN385" i="29" s="1"/>
  <c r="O382" i="29"/>
  <c r="BN382" i="29" s="1"/>
  <c r="O418" i="29"/>
  <c r="BN418" i="29" s="1"/>
  <c r="S117" i="107"/>
  <c r="O408" i="29"/>
  <c r="BN408" i="29" s="1"/>
  <c r="O419" i="29"/>
  <c r="BN419" i="29" s="1"/>
  <c r="O420" i="29"/>
  <c r="BN420" i="29" s="1"/>
  <c r="O461" i="29"/>
  <c r="BN461" i="29" s="1"/>
  <c r="O399" i="29"/>
  <c r="BN399" i="29" s="1"/>
  <c r="O452" i="29"/>
  <c r="BN452" i="29" s="1"/>
  <c r="O421" i="29"/>
  <c r="BN421" i="29" s="1"/>
  <c r="O430" i="29"/>
  <c r="BN430" i="29" s="1"/>
  <c r="O459" i="29"/>
  <c r="BN459" i="29" s="1"/>
  <c r="S232" i="107"/>
  <c r="O381" i="29"/>
  <c r="BN381" i="29" s="1"/>
  <c r="AE49" i="93"/>
  <c r="O205" i="29"/>
  <c r="BN205" i="29" s="1"/>
  <c r="O293" i="29"/>
  <c r="BN293" i="29" s="1"/>
  <c r="S215" i="93"/>
  <c r="O297" i="29"/>
  <c r="BN297" i="29" s="1"/>
  <c r="H963" i="29"/>
  <c r="H960" i="29"/>
  <c r="F963" i="29"/>
  <c r="H773" i="29"/>
  <c r="H790" i="29"/>
  <c r="F790" i="29"/>
  <c r="H812" i="29"/>
  <c r="H641" i="29"/>
  <c r="F652" i="29"/>
  <c r="H556" i="29"/>
  <c r="F557" i="29"/>
  <c r="H563" i="29"/>
  <c r="H571" i="29"/>
  <c r="H574" i="29"/>
  <c r="F575" i="29"/>
  <c r="H581" i="29"/>
  <c r="F583" i="29"/>
  <c r="H589" i="29"/>
  <c r="H591" i="29"/>
  <c r="H593" i="29"/>
  <c r="H601" i="29"/>
  <c r="F604" i="29"/>
  <c r="F612" i="29"/>
  <c r="F621" i="29"/>
  <c r="H624" i="29"/>
  <c r="F563" i="29"/>
  <c r="F577" i="29"/>
  <c r="F595" i="29"/>
  <c r="H610" i="29"/>
  <c r="H620" i="29"/>
  <c r="F626" i="29"/>
  <c r="F636" i="29"/>
  <c r="H642" i="29"/>
  <c r="H557" i="29"/>
  <c r="F572" i="29"/>
  <c r="S26" i="93"/>
  <c r="S32" i="93"/>
  <c r="S31" i="93" s="1"/>
  <c r="U908" i="29"/>
  <c r="U910" i="29"/>
  <c r="U912" i="29"/>
  <c r="U904" i="29"/>
  <c r="U906" i="29"/>
  <c r="U926" i="29"/>
  <c r="U940" i="29"/>
  <c r="U928" i="29"/>
  <c r="U930" i="29"/>
  <c r="U932" i="29"/>
  <c r="U959" i="29"/>
  <c r="U965" i="29"/>
  <c r="U969" i="29"/>
  <c r="U958" i="29"/>
  <c r="U964" i="29"/>
  <c r="U968" i="29"/>
  <c r="U972" i="29"/>
  <c r="U980" i="29"/>
  <c r="F955" i="29"/>
  <c r="U740" i="29"/>
  <c r="U785" i="29"/>
  <c r="U791" i="29"/>
  <c r="U795" i="29"/>
  <c r="U799" i="29"/>
  <c r="U784" i="29"/>
  <c r="U794" i="29"/>
  <c r="U798" i="29"/>
  <c r="G782" i="29"/>
  <c r="H781" i="29"/>
  <c r="F782" i="29"/>
  <c r="AD845" i="29"/>
  <c r="AC849" i="29"/>
  <c r="U579" i="29"/>
  <c r="U583" i="29"/>
  <c r="U591" i="29"/>
  <c r="U611" i="29"/>
  <c r="U619" i="29"/>
  <c r="U612" i="29"/>
  <c r="U625" i="29"/>
  <c r="U642" i="29"/>
  <c r="AC678" i="29"/>
  <c r="AC663" i="29"/>
  <c r="AC671" i="29"/>
  <c r="H558" i="29"/>
  <c r="H560" i="29"/>
  <c r="F564" i="29"/>
  <c r="F566" i="29"/>
  <c r="H572" i="29"/>
  <c r="H573" i="29"/>
  <c r="H577" i="29"/>
  <c r="H584" i="29"/>
  <c r="H561" i="29"/>
  <c r="H564" i="29"/>
  <c r="F573" i="29"/>
  <c r="H566" i="29"/>
  <c r="F568" i="29"/>
  <c r="F574" i="29"/>
  <c r="F578" i="29"/>
  <c r="F584" i="29"/>
  <c r="F586" i="29"/>
  <c r="H590" i="29"/>
  <c r="F591" i="29"/>
  <c r="H600" i="29"/>
  <c r="F601" i="29"/>
  <c r="H605" i="29"/>
  <c r="F606" i="29"/>
  <c r="F608" i="29"/>
  <c r="H617" i="29"/>
  <c r="H619" i="29"/>
  <c r="F620" i="29"/>
  <c r="F623" i="29"/>
  <c r="F630" i="29"/>
  <c r="H633" i="29"/>
  <c r="F635" i="29"/>
  <c r="H640" i="29"/>
  <c r="F641" i="29"/>
  <c r="H650" i="29"/>
  <c r="F651" i="29"/>
  <c r="F590" i="29"/>
  <c r="F600" i="29"/>
  <c r="F605" i="29"/>
  <c r="F617" i="29"/>
  <c r="F619" i="29"/>
  <c r="H632" i="29"/>
  <c r="F633" i="29"/>
  <c r="H639" i="29"/>
  <c r="F640" i="29"/>
  <c r="H649" i="29"/>
  <c r="F650" i="29"/>
  <c r="O204" i="29"/>
  <c r="BN204" i="29" s="1"/>
  <c r="U417" i="29"/>
  <c r="U433" i="29"/>
  <c r="U404" i="29"/>
  <c r="U408" i="29"/>
  <c r="U455" i="29"/>
  <c r="U444" i="29"/>
  <c r="U448" i="29"/>
  <c r="U449" i="29"/>
  <c r="U453" i="29"/>
  <c r="U457" i="29"/>
  <c r="U461" i="29"/>
  <c r="U465" i="29"/>
  <c r="U467" i="29"/>
  <c r="U470" i="29"/>
  <c r="S87" i="93"/>
  <c r="S102" i="93"/>
  <c r="S136" i="93"/>
  <c r="S151" i="93"/>
  <c r="S59" i="93"/>
  <c r="S82" i="93"/>
  <c r="S143" i="93"/>
  <c r="S165" i="93"/>
  <c r="S205" i="93"/>
  <c r="S64" i="93"/>
  <c r="S117" i="93"/>
  <c r="S147" i="93"/>
  <c r="S182" i="93"/>
  <c r="S47" i="93"/>
  <c r="S68" i="93"/>
  <c r="S93" i="93"/>
  <c r="S126" i="93"/>
  <c r="S186" i="93"/>
  <c r="S244" i="93"/>
  <c r="S74" i="93"/>
  <c r="S98" i="93"/>
  <c r="S195" i="93"/>
  <c r="S232" i="93"/>
  <c r="S176" i="93"/>
  <c r="AD62" i="93"/>
  <c r="AD77" i="93"/>
  <c r="AD104" i="93"/>
  <c r="AD138" i="93"/>
  <c r="AD153" i="93"/>
  <c r="AD170" i="93"/>
  <c r="AD247" i="93"/>
  <c r="AD89" i="93"/>
  <c r="AD190" i="93"/>
  <c r="AD120" i="93"/>
  <c r="AD200" i="93"/>
  <c r="AD79" i="93"/>
  <c r="AD91" i="93"/>
  <c r="AD129" i="93"/>
  <c r="AD158" i="93"/>
  <c r="AD179" i="93"/>
  <c r="AE249" i="93"/>
  <c r="AE66" i="93"/>
  <c r="AE85" i="93"/>
  <c r="AE106" i="93"/>
  <c r="AE133" i="93"/>
  <c r="AE140" i="93"/>
  <c r="AE149" i="93"/>
  <c r="AE168" i="93"/>
  <c r="AE188" i="93"/>
  <c r="AE192" i="93"/>
  <c r="AE198" i="93"/>
  <c r="AE208" i="93"/>
  <c r="AE216" i="93"/>
  <c r="AD249" i="93"/>
  <c r="AD61" i="93"/>
  <c r="AD67" i="93"/>
  <c r="AD76" i="93"/>
  <c r="AD80" i="93"/>
  <c r="AD86" i="93"/>
  <c r="AD95" i="93"/>
  <c r="AD101" i="93"/>
  <c r="AD107" i="93"/>
  <c r="AD119" i="93"/>
  <c r="AD130" i="93"/>
  <c r="AD135" i="93"/>
  <c r="AD141" i="93"/>
  <c r="AD150" i="93"/>
  <c r="AD161" i="93"/>
  <c r="AD169" i="93"/>
  <c r="AD180" i="93"/>
  <c r="AD189" i="93"/>
  <c r="AD193" i="93"/>
  <c r="AD199" i="93"/>
  <c r="AD209" i="93"/>
  <c r="AD246" i="93"/>
  <c r="AD250" i="93"/>
  <c r="AD66" i="93"/>
  <c r="AD106" i="93"/>
  <c r="AD140" i="93"/>
  <c r="AD192" i="93"/>
  <c r="AD208" i="93"/>
  <c r="AE72" i="93"/>
  <c r="AE100" i="93"/>
  <c r="AE129" i="93"/>
  <c r="AE158" i="93"/>
  <c r="AE56" i="93"/>
  <c r="AE62" i="93"/>
  <c r="AE70" i="93"/>
  <c r="AE77" i="93"/>
  <c r="AE81" i="93"/>
  <c r="AE89" i="93"/>
  <c r="AE96" i="93"/>
  <c r="AE104" i="93"/>
  <c r="AE108" i="93"/>
  <c r="AE120" i="93"/>
  <c r="AE131" i="93"/>
  <c r="AE138" i="93"/>
  <c r="AE145" i="93"/>
  <c r="AE153" i="93"/>
  <c r="AE163" i="93"/>
  <c r="AE170" i="93"/>
  <c r="AE184" i="93"/>
  <c r="AE190" i="93"/>
  <c r="AE194" i="93"/>
  <c r="AE200" i="93"/>
  <c r="AE210" i="93"/>
  <c r="AE247" i="93"/>
  <c r="AD56" i="93"/>
  <c r="AD70" i="93"/>
  <c r="AD81" i="93"/>
  <c r="AD96" i="93"/>
  <c r="AD108" i="93"/>
  <c r="AD131" i="93"/>
  <c r="AD145" i="93"/>
  <c r="AD163" i="93"/>
  <c r="AD184" i="93"/>
  <c r="AD194" i="93"/>
  <c r="AD210" i="93"/>
  <c r="AE58" i="93"/>
  <c r="AE79" i="93"/>
  <c r="AE91" i="93"/>
  <c r="AE110" i="93"/>
  <c r="AE179" i="93"/>
  <c r="AE50" i="93"/>
  <c r="AD57" i="93"/>
  <c r="AD63" i="93"/>
  <c r="AD71" i="93"/>
  <c r="AD78" i="93"/>
  <c r="AD84" i="93"/>
  <c r="AD90" i="93"/>
  <c r="AD97" i="93"/>
  <c r="AD105" i="93"/>
  <c r="AD109" i="93"/>
  <c r="AD128" i="93"/>
  <c r="AD132" i="93"/>
  <c r="AD139" i="93"/>
  <c r="AD146" i="93"/>
  <c r="AD154" i="93"/>
  <c r="AD167" i="93"/>
  <c r="AD178" i="93"/>
  <c r="AD185" i="93"/>
  <c r="AD191" i="93"/>
  <c r="AD197" i="93"/>
  <c r="AD207" i="93"/>
  <c r="AD211" i="93"/>
  <c r="AD248" i="93"/>
  <c r="AD58" i="93"/>
  <c r="AD72" i="93"/>
  <c r="AD85" i="93"/>
  <c r="AD100" i="93"/>
  <c r="AD110" i="93"/>
  <c r="AD133" i="93"/>
  <c r="AD149" i="93"/>
  <c r="AD168" i="93"/>
  <c r="AD188" i="93"/>
  <c r="AD198" i="93"/>
  <c r="AD216" i="93"/>
  <c r="AE57" i="93"/>
  <c r="AE61" i="93"/>
  <c r="AE63" i="93"/>
  <c r="AE67" i="93"/>
  <c r="AE71" i="93"/>
  <c r="AE76" i="93"/>
  <c r="AE78" i="93"/>
  <c r="AE80" i="93"/>
  <c r="AE84" i="93"/>
  <c r="AE86" i="93"/>
  <c r="AE90" i="93"/>
  <c r="AE95" i="93"/>
  <c r="AE97" i="93"/>
  <c r="AE101" i="93"/>
  <c r="AE105" i="93"/>
  <c r="AE107" i="93"/>
  <c r="AE109" i="93"/>
  <c r="AE119" i="93"/>
  <c r="AE128" i="93"/>
  <c r="AE130" i="93"/>
  <c r="AE132" i="93"/>
  <c r="AE135" i="93"/>
  <c r="AE139" i="93"/>
  <c r="AE141" i="93"/>
  <c r="AE146" i="93"/>
  <c r="AE150" i="93"/>
  <c r="AE154" i="93"/>
  <c r="AE161" i="93"/>
  <c r="AE167" i="93"/>
  <c r="AE169" i="93"/>
  <c r="AE178" i="93"/>
  <c r="AE180" i="93"/>
  <c r="AE185" i="93"/>
  <c r="AE189" i="93"/>
  <c r="AE191" i="93"/>
  <c r="AE193" i="93"/>
  <c r="AE197" i="93"/>
  <c r="AE199" i="93"/>
  <c r="AE207" i="93"/>
  <c r="AE209" i="93"/>
  <c r="AE211" i="93"/>
  <c r="AE246" i="93"/>
  <c r="AE248" i="93"/>
  <c r="AE250" i="93"/>
  <c r="Y106" i="93"/>
  <c r="Y110" i="93"/>
  <c r="Y129" i="93"/>
  <c r="Y133" i="93"/>
  <c r="Y140" i="93"/>
  <c r="Y149" i="93"/>
  <c r="Y158" i="93"/>
  <c r="Y168" i="93"/>
  <c r="Y179" i="93"/>
  <c r="Y188" i="93"/>
  <c r="Y192" i="93"/>
  <c r="Y198" i="93"/>
  <c r="Y208" i="93"/>
  <c r="Y216" i="93"/>
  <c r="AD50" i="93"/>
  <c r="AE51" i="93"/>
  <c r="AD49" i="93"/>
  <c r="AD52" i="93"/>
  <c r="AE52" i="93"/>
  <c r="AD51" i="93"/>
  <c r="AE44" i="93"/>
  <c r="AE45" i="93"/>
  <c r="X46" i="93"/>
  <c r="X52" i="93"/>
  <c r="X61" i="93"/>
  <c r="X67" i="93"/>
  <c r="X76" i="93"/>
  <c r="X80" i="93"/>
  <c r="X43" i="93"/>
  <c r="X86" i="93"/>
  <c r="X95" i="93"/>
  <c r="X101" i="93"/>
  <c r="X107" i="93"/>
  <c r="X119" i="93"/>
  <c r="X130" i="93"/>
  <c r="X135" i="93"/>
  <c r="X141" i="93"/>
  <c r="X246" i="93"/>
  <c r="X44" i="93"/>
  <c r="X50" i="93"/>
  <c r="Y45" i="93"/>
  <c r="X51" i="93"/>
  <c r="Y58" i="93"/>
  <c r="X66" i="93"/>
  <c r="Y72" i="93"/>
  <c r="X79" i="93"/>
  <c r="Y85" i="93"/>
  <c r="X91" i="93"/>
  <c r="Y100" i="93"/>
  <c r="X150" i="93"/>
  <c r="X161" i="93"/>
  <c r="X169" i="93"/>
  <c r="X180" i="93"/>
  <c r="X189" i="93"/>
  <c r="X193" i="93"/>
  <c r="X199" i="93"/>
  <c r="X209" i="93"/>
  <c r="Y49" i="93"/>
  <c r="Y56" i="93"/>
  <c r="Y62" i="93"/>
  <c r="Y70" i="93"/>
  <c r="Y77" i="93"/>
  <c r="Y81" i="93"/>
  <c r="Y89" i="93"/>
  <c r="Y96" i="93"/>
  <c r="Y104" i="93"/>
  <c r="Y108" i="93"/>
  <c r="Y120" i="93"/>
  <c r="Y131" i="93"/>
  <c r="Y138" i="93"/>
  <c r="Y145" i="93"/>
  <c r="Y153" i="93"/>
  <c r="Y163" i="93"/>
  <c r="Y170" i="93"/>
  <c r="Y184" i="93"/>
  <c r="Y190" i="93"/>
  <c r="Y194" i="93"/>
  <c r="Y200" i="93"/>
  <c r="Y210" i="93"/>
  <c r="Y51" i="93"/>
  <c r="Y66" i="93"/>
  <c r="Y79" i="93"/>
  <c r="Y91" i="93"/>
  <c r="X57" i="93"/>
  <c r="X63" i="93"/>
  <c r="X71" i="93"/>
  <c r="X78" i="93"/>
  <c r="X84" i="93"/>
  <c r="X90" i="93"/>
  <c r="X97" i="93"/>
  <c r="X105" i="93"/>
  <c r="X109" i="93"/>
  <c r="X128" i="93"/>
  <c r="X132" i="93"/>
  <c r="X139" i="93"/>
  <c r="X146" i="93"/>
  <c r="X154" i="93"/>
  <c r="X167" i="93"/>
  <c r="X178" i="93"/>
  <c r="X185" i="93"/>
  <c r="X191" i="93"/>
  <c r="X197" i="93"/>
  <c r="X207" i="93"/>
  <c r="X211" i="93"/>
  <c r="X248" i="93"/>
  <c r="X45" i="93"/>
  <c r="X58" i="93"/>
  <c r="X72" i="93"/>
  <c r="X85" i="93"/>
  <c r="X100" i="93"/>
  <c r="Y249" i="93"/>
  <c r="Y44" i="93"/>
  <c r="Y46" i="93"/>
  <c r="Y50" i="93"/>
  <c r="Y52" i="93"/>
  <c r="Y57" i="93"/>
  <c r="Y61" i="93"/>
  <c r="Y63" i="93"/>
  <c r="Y67" i="93"/>
  <c r="Y71" i="93"/>
  <c r="Y76" i="93"/>
  <c r="Y78" i="93"/>
  <c r="Y80" i="93"/>
  <c r="Y84" i="93"/>
  <c r="Y86" i="93"/>
  <c r="Y90" i="93"/>
  <c r="Y95" i="93"/>
  <c r="Y97" i="93"/>
  <c r="Y101" i="93"/>
  <c r="Y105" i="93"/>
  <c r="Y107" i="93"/>
  <c r="Y109" i="93"/>
  <c r="Y119" i="93"/>
  <c r="Y128" i="93"/>
  <c r="Y130" i="93"/>
  <c r="Y132" i="93"/>
  <c r="Y135" i="93"/>
  <c r="Y139" i="93"/>
  <c r="Y141" i="93"/>
  <c r="Y146" i="93"/>
  <c r="Y150" i="93"/>
  <c r="Y154" i="93"/>
  <c r="Y161" i="93"/>
  <c r="Y167" i="93"/>
  <c r="Y169" i="93"/>
  <c r="Y178" i="93"/>
  <c r="Y180" i="93"/>
  <c r="Y185" i="93"/>
  <c r="Y189" i="93"/>
  <c r="Y191" i="93"/>
  <c r="Y193" i="93"/>
  <c r="Y197" i="93"/>
  <c r="Y199" i="93"/>
  <c r="Y207" i="93"/>
  <c r="Y209" i="93"/>
  <c r="Y211" i="93"/>
  <c r="X49" i="93"/>
  <c r="X56" i="93"/>
  <c r="X62" i="93"/>
  <c r="X70" i="93"/>
  <c r="X77" i="93"/>
  <c r="X81" i="93"/>
  <c r="X89" i="93"/>
  <c r="X96" i="93"/>
  <c r="X104" i="93"/>
  <c r="X106" i="93"/>
  <c r="X108" i="93"/>
  <c r="X110" i="93"/>
  <c r="X120" i="93"/>
  <c r="X129" i="93"/>
  <c r="X131" i="93"/>
  <c r="X133" i="93"/>
  <c r="X138" i="93"/>
  <c r="X140" i="93"/>
  <c r="X145" i="93"/>
  <c r="X149" i="93"/>
  <c r="X153" i="93"/>
  <c r="X158" i="93"/>
  <c r="X163" i="93"/>
  <c r="X168" i="93"/>
  <c r="X170" i="93"/>
  <c r="X179" i="93"/>
  <c r="X184" i="93"/>
  <c r="X188" i="93"/>
  <c r="X190" i="93"/>
  <c r="X192" i="93"/>
  <c r="X194" i="93"/>
  <c r="X198" i="93"/>
  <c r="X200" i="93"/>
  <c r="X208" i="93"/>
  <c r="X210" i="93"/>
  <c r="X216" i="93"/>
  <c r="Y247" i="93"/>
  <c r="Y250" i="93"/>
  <c r="Y246" i="93"/>
  <c r="Y248" i="93"/>
  <c r="X247" i="93"/>
  <c r="X249" i="93"/>
  <c r="X250" i="93"/>
  <c r="AO250" i="109"/>
  <c r="AT189" i="107"/>
  <c r="AQ190" i="107"/>
  <c r="AT249" i="107"/>
  <c r="AQ81" i="107"/>
  <c r="AP246" i="107"/>
  <c r="AQ194" i="107"/>
  <c r="AP43" i="107"/>
  <c r="AO188" i="109"/>
  <c r="AS200" i="107"/>
  <c r="AS100" i="107"/>
  <c r="AP106" i="107"/>
  <c r="AS216" i="107"/>
  <c r="AO91" i="109"/>
  <c r="AP150" i="107"/>
  <c r="AP209" i="107"/>
  <c r="AT140" i="107"/>
  <c r="AP132" i="107"/>
  <c r="AP61" i="107"/>
  <c r="AQ79" i="107"/>
  <c r="AP249" i="107"/>
  <c r="AO193" i="109"/>
  <c r="AT44" i="107"/>
  <c r="AT133" i="107"/>
  <c r="AO119" i="109"/>
  <c r="AP85" i="107"/>
  <c r="AS128" i="107"/>
  <c r="AO106" i="109"/>
  <c r="AQ43" i="107"/>
  <c r="AP191" i="107"/>
  <c r="AS191" i="107"/>
  <c r="AT51" i="107"/>
  <c r="AO109" i="109"/>
  <c r="AQ89" i="107"/>
  <c r="AS140" i="107"/>
  <c r="AS138" i="107"/>
  <c r="AO63" i="109"/>
  <c r="AQ158" i="107"/>
  <c r="AT199" i="107"/>
  <c r="AT246" i="107"/>
  <c r="AS97" i="107"/>
  <c r="AQ85" i="107"/>
  <c r="AQ95" i="107"/>
  <c r="AS180" i="107"/>
  <c r="AT105" i="107"/>
  <c r="AS86" i="107"/>
  <c r="AS135" i="107"/>
  <c r="AS150" i="107"/>
  <c r="AO89" i="109"/>
  <c r="AS248" i="107"/>
  <c r="AS109" i="107"/>
  <c r="AQ86" i="107"/>
  <c r="AT95" i="107"/>
  <c r="AQ132" i="107"/>
  <c r="AP184" i="107"/>
  <c r="AQ184" i="107"/>
  <c r="AR135" i="109"/>
  <c r="AT161" i="107"/>
  <c r="AQ45" i="107"/>
  <c r="AS249" i="107"/>
  <c r="AQ139" i="107"/>
  <c r="AO49" i="109"/>
  <c r="AO223" i="109"/>
  <c r="AO249" i="109"/>
  <c r="AP135" i="109"/>
  <c r="AQ70" i="107"/>
  <c r="AO129" i="109"/>
  <c r="AP167" i="107"/>
  <c r="AP81" i="107"/>
  <c r="AT138" i="107"/>
  <c r="AP149" i="107"/>
  <c r="AQ179" i="107"/>
  <c r="AT139" i="107"/>
  <c r="AQ71" i="107"/>
  <c r="AQ250" i="107"/>
  <c r="AS79" i="107"/>
  <c r="AS52" i="107"/>
  <c r="AQ120" i="107"/>
  <c r="AT49" i="107"/>
  <c r="AT97" i="107"/>
  <c r="AS77" i="107"/>
  <c r="AS133" i="107"/>
  <c r="AP95" i="107"/>
  <c r="AT153" i="107"/>
  <c r="AQ248" i="107"/>
  <c r="AP119" i="107"/>
  <c r="AP178" i="107"/>
  <c r="AP250" i="107"/>
  <c r="AT106" i="107"/>
  <c r="AP100" i="107"/>
  <c r="AO141" i="109"/>
  <c r="AO51" i="109"/>
  <c r="AO167" i="109"/>
  <c r="AQ192" i="107"/>
  <c r="AP110" i="107"/>
  <c r="AQ191" i="107"/>
  <c r="AP66" i="107"/>
  <c r="AP248" i="107"/>
  <c r="AT77" i="107"/>
  <c r="AQ84" i="107"/>
  <c r="AO190" i="109"/>
  <c r="AT208" i="107"/>
  <c r="AQ216" i="107"/>
  <c r="AT141" i="107"/>
  <c r="AP91" i="107"/>
  <c r="AS192" i="107"/>
  <c r="AP79" i="107"/>
  <c r="AP194" i="107"/>
  <c r="AP180" i="107"/>
  <c r="AT250" i="107"/>
  <c r="AQ154" i="107"/>
  <c r="AO145" i="109"/>
  <c r="AS119" i="107"/>
  <c r="AO27" i="109"/>
  <c r="AT190" i="107"/>
  <c r="AP56" i="107"/>
  <c r="AS51" i="107"/>
  <c r="AQ167" i="107"/>
  <c r="AO189" i="109"/>
  <c r="AS198" i="107"/>
  <c r="AS85" i="107"/>
  <c r="AT58" i="107"/>
  <c r="AP76" i="107"/>
  <c r="AP141" i="107"/>
  <c r="AO85" i="109"/>
  <c r="AP169" i="107"/>
  <c r="AS179" i="107"/>
  <c r="AO84" i="109"/>
  <c r="AO66" i="109"/>
  <c r="AO46" i="109"/>
  <c r="AS153" i="107"/>
  <c r="AS131" i="107"/>
  <c r="AS247" i="107"/>
  <c r="AQ249" i="107"/>
  <c r="AS197" i="107"/>
  <c r="AP179" i="107"/>
  <c r="AO197" i="109"/>
  <c r="AQ44" i="107"/>
  <c r="AO67" i="109"/>
  <c r="AQ77" i="107"/>
  <c r="AT46" i="107"/>
  <c r="AT178" i="107"/>
  <c r="AT200" i="107"/>
  <c r="AT72" i="107"/>
  <c r="AQ49" i="107"/>
  <c r="AQ90" i="107"/>
  <c r="AQ110" i="107"/>
  <c r="AQ170" i="107"/>
  <c r="AT211" i="107"/>
  <c r="AT119" i="107"/>
  <c r="AT56" i="107"/>
  <c r="AT163" i="107"/>
  <c r="AO77" i="109"/>
  <c r="AS139" i="107"/>
  <c r="AO227" i="109"/>
  <c r="AS167" i="107"/>
  <c r="AO207" i="109"/>
  <c r="AS43" i="107"/>
  <c r="AO97" i="109"/>
  <c r="AO198" i="109"/>
  <c r="AP63" i="107"/>
  <c r="AP46" i="107"/>
  <c r="AT167" i="107"/>
  <c r="AP199" i="107"/>
  <c r="AO163" i="109"/>
  <c r="AP247" i="107"/>
  <c r="AP163" i="107"/>
  <c r="AO170" i="109"/>
  <c r="AT43" i="107"/>
  <c r="AT198" i="107"/>
  <c r="AO192" i="109"/>
  <c r="AT179" i="107"/>
  <c r="AT86" i="107"/>
  <c r="AO179" i="109"/>
  <c r="AT79" i="107"/>
  <c r="AP216" i="107"/>
  <c r="AO130" i="109"/>
  <c r="AT154" i="107"/>
  <c r="AO208" i="109"/>
  <c r="AS67" i="107"/>
  <c r="AS76" i="107"/>
  <c r="AO239" i="109"/>
  <c r="AP97" i="107"/>
  <c r="AQ128" i="107"/>
  <c r="AP198" i="107"/>
  <c r="AO158" i="109"/>
  <c r="AP135" i="107"/>
  <c r="AP108" i="107"/>
  <c r="AT170" i="107"/>
  <c r="AS170" i="107"/>
  <c r="AT192" i="107"/>
  <c r="AP101" i="107"/>
  <c r="AP210" i="107"/>
  <c r="AQ188" i="107"/>
  <c r="AO225" i="109"/>
  <c r="AQ246" i="107"/>
  <c r="AS80" i="107"/>
  <c r="AS178" i="107"/>
  <c r="AQ198" i="107"/>
  <c r="AP51" i="107"/>
  <c r="AO104" i="109"/>
  <c r="AP208" i="107"/>
  <c r="AO81" i="109"/>
  <c r="AS96" i="107"/>
  <c r="AO199" i="109"/>
  <c r="AP170" i="107"/>
  <c r="AP128" i="107"/>
  <c r="AP78" i="107"/>
  <c r="AO248" i="109"/>
  <c r="AQ163" i="107"/>
  <c r="AS46" i="107"/>
  <c r="AP129" i="107"/>
  <c r="AO110" i="109"/>
  <c r="AT169" i="107"/>
  <c r="AP80" i="107"/>
  <c r="AT100" i="107"/>
  <c r="AO78" i="109"/>
  <c r="AQ161" i="107"/>
  <c r="AP89" i="107"/>
  <c r="AS101" i="107"/>
  <c r="AO180" i="109"/>
  <c r="AO211" i="109"/>
  <c r="AT149" i="107"/>
  <c r="AP146" i="107"/>
  <c r="AO79" i="109"/>
  <c r="AT150" i="107"/>
  <c r="AT185" i="107"/>
  <c r="AS84" i="107"/>
  <c r="AP72" i="107"/>
  <c r="AP190" i="107"/>
  <c r="AT191" i="107"/>
  <c r="AQ199" i="107"/>
  <c r="AS120" i="107"/>
  <c r="AP161" i="107"/>
  <c r="AO58" i="109"/>
  <c r="AT210" i="107"/>
  <c r="AS208" i="107"/>
  <c r="AQ106" i="107"/>
  <c r="AO76" i="109"/>
  <c r="AP185" i="107"/>
  <c r="AS70" i="107"/>
  <c r="AT247" i="107"/>
  <c r="AQ185" i="107"/>
  <c r="AQ101" i="107"/>
  <c r="AO132" i="109"/>
  <c r="AS193" i="107"/>
  <c r="AP130" i="107"/>
  <c r="AP57" i="107"/>
  <c r="AQ105" i="107"/>
  <c r="AO120" i="109"/>
  <c r="AT70" i="107"/>
  <c r="AO107" i="109"/>
  <c r="AP197" i="107"/>
  <c r="AP71" i="107"/>
  <c r="AS72" i="107"/>
  <c r="AT120" i="107"/>
  <c r="AT132" i="107"/>
  <c r="AQ56" i="107"/>
  <c r="AO247" i="109"/>
  <c r="AO86" i="109"/>
  <c r="AO45" i="109"/>
  <c r="AP105" i="107"/>
  <c r="AO133" i="109"/>
  <c r="AQ140" i="107"/>
  <c r="AQ104" i="107"/>
  <c r="AS209" i="107"/>
  <c r="AP207" i="107"/>
  <c r="AO178" i="109"/>
  <c r="AO200" i="109"/>
  <c r="AP158" i="107"/>
  <c r="AT109" i="107"/>
  <c r="AS168" i="107"/>
  <c r="AQ247" i="107"/>
  <c r="AP189" i="107"/>
  <c r="AT131" i="107"/>
  <c r="AP133" i="107"/>
  <c r="AS188" i="107"/>
  <c r="AQ180" i="107"/>
  <c r="AT193" i="107"/>
  <c r="AQ97" i="107"/>
  <c r="AT158" i="107"/>
  <c r="AT130" i="107"/>
  <c r="AT91" i="107"/>
  <c r="AP109" i="107"/>
  <c r="AQ80" i="107"/>
  <c r="AT135" i="107"/>
  <c r="AO57" i="109"/>
  <c r="AO52" i="109"/>
  <c r="AQ208" i="107"/>
  <c r="AP58" i="107"/>
  <c r="AS199" i="107"/>
  <c r="AT45" i="107"/>
  <c r="AS185" i="107"/>
  <c r="AT209" i="107"/>
  <c r="AQ145" i="107"/>
  <c r="AO153" i="109"/>
  <c r="AQ133" i="107"/>
  <c r="AQ100" i="107"/>
  <c r="AQ135" i="107"/>
  <c r="AS129" i="107"/>
  <c r="AP145" i="107"/>
  <c r="AO154" i="109"/>
  <c r="AQ168" i="107"/>
  <c r="AS110" i="107"/>
  <c r="AS210" i="107"/>
  <c r="AT180" i="107"/>
  <c r="AO105" i="109"/>
  <c r="AQ169" i="107"/>
  <c r="AP45" i="107"/>
  <c r="AP67" i="107"/>
  <c r="AP211" i="107"/>
  <c r="AT80" i="107"/>
  <c r="AS104" i="107"/>
  <c r="AS146" i="107"/>
  <c r="AP107" i="107"/>
  <c r="AO80" i="109"/>
  <c r="AP62" i="107"/>
  <c r="AT81" i="107"/>
  <c r="AP49" i="107"/>
  <c r="AT66" i="107"/>
  <c r="AP200" i="107"/>
  <c r="AT168" i="107"/>
  <c r="AQ131" i="107"/>
  <c r="AP84" i="107"/>
  <c r="AT85" i="107"/>
  <c r="AS207" i="107"/>
  <c r="AP140" i="107"/>
  <c r="AQ211" i="107"/>
  <c r="AS190" i="107"/>
  <c r="AQ130" i="107"/>
  <c r="AS50" i="107"/>
  <c r="AT194" i="107"/>
  <c r="AQ138" i="107"/>
  <c r="AT52" i="107"/>
  <c r="AO128" i="109"/>
  <c r="AO61" i="109"/>
  <c r="AO257" i="109"/>
  <c r="AQ51" i="107"/>
  <c r="AS66" i="107"/>
  <c r="AO70" i="109"/>
  <c r="AS105" i="107"/>
  <c r="AQ50" i="107"/>
  <c r="AS194" i="107"/>
  <c r="AS90" i="107"/>
  <c r="AQ210" i="107"/>
  <c r="AT71" i="107"/>
  <c r="AO101" i="109"/>
  <c r="AQ46" i="107"/>
  <c r="AQ178" i="107"/>
  <c r="AS141" i="107"/>
  <c r="AP131" i="107"/>
  <c r="AO108" i="109"/>
  <c r="AO56" i="109"/>
  <c r="AO216" i="109"/>
  <c r="AO224" i="109"/>
  <c r="AQ96" i="107"/>
  <c r="AQ66" i="107"/>
  <c r="AT188" i="107"/>
  <c r="AT84" i="107"/>
  <c r="AS158" i="107"/>
  <c r="AS161" i="107"/>
  <c r="AS145" i="107"/>
  <c r="AQ58" i="107"/>
  <c r="AQ207" i="107"/>
  <c r="AO258" i="109"/>
  <c r="AS149" i="107"/>
  <c r="AQ153" i="107"/>
  <c r="AS58" i="107"/>
  <c r="AQ193" i="107"/>
  <c r="AP193" i="107"/>
  <c r="AS61" i="107"/>
  <c r="AQ209" i="107"/>
  <c r="AT50" i="107"/>
  <c r="AQ119" i="107"/>
  <c r="AO184" i="109"/>
  <c r="AT63" i="107"/>
  <c r="AQ78" i="107"/>
  <c r="AO95" i="109"/>
  <c r="AO194" i="109"/>
  <c r="AP120" i="107"/>
  <c r="AS45" i="107"/>
  <c r="AO72" i="109"/>
  <c r="AT61" i="107"/>
  <c r="AP44" i="107"/>
  <c r="AP70" i="107"/>
  <c r="AQ200" i="107"/>
  <c r="AO209" i="109"/>
  <c r="AQ63" i="107"/>
  <c r="AS62" i="107"/>
  <c r="AO138" i="109"/>
  <c r="AQ67" i="107"/>
  <c r="AS154" i="107"/>
  <c r="AS95" i="107"/>
  <c r="AO234" i="109"/>
  <c r="AP168" i="107"/>
  <c r="AS81" i="107"/>
  <c r="AS71" i="107"/>
  <c r="AS57" i="107"/>
  <c r="AO96" i="109"/>
  <c r="AS63" i="107"/>
  <c r="AQ76" i="107"/>
  <c r="AT90" i="107"/>
  <c r="AT197" i="107"/>
  <c r="AQ141" i="107"/>
  <c r="AT207" i="107"/>
  <c r="AP90" i="107"/>
  <c r="AT248" i="107"/>
  <c r="AT110" i="107"/>
  <c r="AS91" i="107"/>
  <c r="AP153" i="107"/>
  <c r="AO71" i="109"/>
  <c r="AO146" i="109"/>
  <c r="AP86" i="107"/>
  <c r="AQ197" i="107"/>
  <c r="AP192" i="107"/>
  <c r="AP188" i="107"/>
  <c r="AQ91" i="107"/>
  <c r="AQ108" i="107"/>
  <c r="AT145" i="107"/>
  <c r="AS250" i="107"/>
  <c r="AO140" i="109"/>
  <c r="AO44" i="109"/>
  <c r="AS78" i="107"/>
  <c r="AQ62" i="107"/>
  <c r="AO226" i="109"/>
  <c r="AT101" i="107"/>
  <c r="AT216" i="107"/>
  <c r="AQ189" i="107"/>
  <c r="AQ146" i="107"/>
  <c r="AQ61" i="107"/>
  <c r="AS211" i="107"/>
  <c r="AP52" i="107"/>
  <c r="AO169" i="109"/>
  <c r="AS56" i="107"/>
  <c r="AT89" i="107"/>
  <c r="AT146" i="107"/>
  <c r="AO210" i="109"/>
  <c r="AT67" i="107"/>
  <c r="AO246" i="109"/>
  <c r="AS163" i="107"/>
  <c r="AO100" i="109"/>
  <c r="AO185" i="109"/>
  <c r="AP154" i="107"/>
  <c r="AQ129" i="107"/>
  <c r="AO135" i="109"/>
  <c r="AO62" i="109"/>
  <c r="AT62" i="107"/>
  <c r="AQ107" i="107"/>
  <c r="AQ150" i="107"/>
  <c r="AS49" i="107"/>
  <c r="AO131" i="109"/>
  <c r="AT108" i="107"/>
  <c r="AS246" i="107"/>
  <c r="AQ109" i="107"/>
  <c r="AQ149" i="107"/>
  <c r="AO191" i="109"/>
  <c r="AS132" i="107"/>
  <c r="AT104" i="107"/>
  <c r="AO150" i="109"/>
  <c r="AS169" i="107"/>
  <c r="AS107" i="107"/>
  <c r="AQ52" i="107"/>
  <c r="AS106" i="107"/>
  <c r="AS184" i="107"/>
  <c r="AT76" i="107"/>
  <c r="AQ57" i="107"/>
  <c r="AQ72" i="107"/>
  <c r="AO50" i="109"/>
  <c r="AT57" i="107"/>
  <c r="AT184" i="107"/>
  <c r="AP104" i="107"/>
  <c r="AO149" i="109"/>
  <c r="AS130" i="107"/>
  <c r="AP77" i="107"/>
  <c r="AP139" i="107"/>
  <c r="AP96" i="107"/>
  <c r="AT107" i="107"/>
  <c r="AP138" i="107"/>
  <c r="AP119" i="109"/>
  <c r="AS108" i="107"/>
  <c r="AO90" i="109"/>
  <c r="AT129" i="107"/>
  <c r="AS89" i="107"/>
  <c r="AT78" i="107"/>
  <c r="AT96" i="107"/>
  <c r="AP50" i="107"/>
  <c r="AS189" i="107"/>
  <c r="AS44" i="107"/>
  <c r="AO168" i="109"/>
  <c r="AT128" i="107"/>
  <c r="S165" i="107" l="1"/>
  <c r="S195" i="107"/>
  <c r="S176" i="107"/>
  <c r="S74" i="107"/>
  <c r="S244" i="107"/>
  <c r="S243" i="107" s="1"/>
  <c r="S205" i="107"/>
  <c r="S204" i="107" s="1"/>
  <c r="S54" i="107"/>
  <c r="S82" i="107"/>
  <c r="S136" i="107"/>
  <c r="S68" i="107"/>
  <c r="S255" i="107"/>
  <c r="S87" i="107"/>
  <c r="S186" i="107"/>
  <c r="S59" i="107"/>
  <c r="O467" i="29"/>
  <c r="BN467" i="29" s="1"/>
  <c r="S47" i="107"/>
  <c r="S64" i="107"/>
  <c r="S98" i="107"/>
  <c r="S126" i="107"/>
  <c r="S102" i="107"/>
  <c r="S151" i="107"/>
  <c r="S250" i="109"/>
  <c r="O476" i="29"/>
  <c r="BN476" i="29" s="1"/>
  <c r="O444" i="29"/>
  <c r="BN444" i="29" s="1"/>
  <c r="S93" i="107"/>
  <c r="S189" i="109"/>
  <c r="S141" i="109"/>
  <c r="S107" i="109"/>
  <c r="S80" i="109"/>
  <c r="S225" i="109"/>
  <c r="S192" i="109"/>
  <c r="S106" i="109"/>
  <c r="S79" i="109"/>
  <c r="S51" i="109"/>
  <c r="S224" i="109"/>
  <c r="S185" i="109"/>
  <c r="S146" i="109"/>
  <c r="S97" i="109"/>
  <c r="S57" i="109"/>
  <c r="S227" i="109"/>
  <c r="S194" i="109"/>
  <c r="S163" i="109"/>
  <c r="S108" i="109"/>
  <c r="S81" i="109"/>
  <c r="S249" i="109"/>
  <c r="S209" i="109"/>
  <c r="S180" i="109"/>
  <c r="S135" i="109"/>
  <c r="Y135" i="109" s="1"/>
  <c r="S101" i="109"/>
  <c r="S67" i="109"/>
  <c r="S179" i="109"/>
  <c r="S140" i="109"/>
  <c r="S72" i="109"/>
  <c r="S211" i="109"/>
  <c r="S132" i="109"/>
  <c r="S90" i="109"/>
  <c r="S50" i="109"/>
  <c r="S190" i="109"/>
  <c r="S62" i="109"/>
  <c r="S239" i="109"/>
  <c r="O647" i="29" s="1"/>
  <c r="BN647" i="29" s="1"/>
  <c r="S199" i="109"/>
  <c r="S169" i="109"/>
  <c r="S248" i="109"/>
  <c r="S208" i="109"/>
  <c r="S168" i="109"/>
  <c r="S133" i="109"/>
  <c r="S91" i="109"/>
  <c r="S247" i="109"/>
  <c r="S109" i="109"/>
  <c r="S210" i="109"/>
  <c r="S96" i="109"/>
  <c r="S226" i="109"/>
  <c r="S193" i="109"/>
  <c r="S150" i="109"/>
  <c r="S86" i="109"/>
  <c r="S52" i="109"/>
  <c r="S198" i="109"/>
  <c r="S110" i="109"/>
  <c r="S85" i="109"/>
  <c r="S58" i="109"/>
  <c r="S191" i="109"/>
  <c r="S154" i="109"/>
  <c r="S105" i="109"/>
  <c r="S63" i="109"/>
  <c r="X135" i="109"/>
  <c r="W135" i="109"/>
  <c r="S200" i="109"/>
  <c r="S170" i="109"/>
  <c r="S120" i="109"/>
  <c r="F252" i="29"/>
  <c r="X189" i="107"/>
  <c r="O414" i="29"/>
  <c r="BN414" i="29" s="1"/>
  <c r="O398" i="29"/>
  <c r="BN398" i="29" s="1"/>
  <c r="O455" i="29"/>
  <c r="BN455" i="29" s="1"/>
  <c r="O413" i="29"/>
  <c r="BN413" i="29" s="1"/>
  <c r="O397" i="29"/>
  <c r="BN397" i="29" s="1"/>
  <c r="AD51" i="107"/>
  <c r="H381" i="29" s="1"/>
  <c r="AD185" i="107"/>
  <c r="H450" i="29" s="1"/>
  <c r="O450" i="29"/>
  <c r="BN450" i="29" s="1"/>
  <c r="O432" i="29"/>
  <c r="BN432" i="29" s="1"/>
  <c r="O457" i="29"/>
  <c r="BN457" i="29" s="1"/>
  <c r="O441" i="29"/>
  <c r="BN441" i="29" s="1"/>
  <c r="O415" i="29"/>
  <c r="BN415" i="29" s="1"/>
  <c r="O464" i="29"/>
  <c r="BN464" i="29" s="1"/>
  <c r="O448" i="29"/>
  <c r="BN448" i="29" s="1"/>
  <c r="Y135" i="107"/>
  <c r="G426" i="29" s="1"/>
  <c r="O426" i="29"/>
  <c r="BN426" i="29" s="1"/>
  <c r="O410" i="29"/>
  <c r="BN410" i="29" s="1"/>
  <c r="AD179" i="107"/>
  <c r="H447" i="29" s="1"/>
  <c r="O447" i="29"/>
  <c r="BN447" i="29" s="1"/>
  <c r="O429" i="29"/>
  <c r="BN429" i="29" s="1"/>
  <c r="O393" i="29"/>
  <c r="BN393" i="29" s="1"/>
  <c r="O466" i="29"/>
  <c r="BN466" i="29" s="1"/>
  <c r="O424" i="29"/>
  <c r="BN424" i="29" s="1"/>
  <c r="O404" i="29"/>
  <c r="BN404" i="29" s="1"/>
  <c r="X50" i="107"/>
  <c r="F380" i="29" s="1"/>
  <c r="O387" i="29"/>
  <c r="BN387" i="29" s="1"/>
  <c r="S238" i="107"/>
  <c r="O460" i="29"/>
  <c r="BN460" i="29" s="1"/>
  <c r="AD130" i="107"/>
  <c r="H422" i="29" s="1"/>
  <c r="O422" i="29"/>
  <c r="BN422" i="29" s="1"/>
  <c r="O474" i="29"/>
  <c r="BN474" i="29" s="1"/>
  <c r="X208" i="107"/>
  <c r="O443" i="29"/>
  <c r="BN443" i="29" s="1"/>
  <c r="X66" i="107"/>
  <c r="F389" i="29" s="1"/>
  <c r="O389" i="29"/>
  <c r="BN389" i="29" s="1"/>
  <c r="X247" i="107"/>
  <c r="O416" i="29"/>
  <c r="BN416" i="29" s="1"/>
  <c r="O423" i="29"/>
  <c r="BN423" i="29" s="1"/>
  <c r="G252" i="29"/>
  <c r="O456" i="29"/>
  <c r="BN456" i="29" s="1"/>
  <c r="O434" i="29"/>
  <c r="BN434" i="29" s="1"/>
  <c r="O402" i="29"/>
  <c r="BN402" i="29" s="1"/>
  <c r="O417" i="29"/>
  <c r="BN417" i="29" s="1"/>
  <c r="O401" i="29"/>
  <c r="BN401" i="29" s="1"/>
  <c r="AD58" i="107"/>
  <c r="H385" i="29" s="1"/>
  <c r="O454" i="29"/>
  <c r="BN454" i="29" s="1"/>
  <c r="O436" i="29"/>
  <c r="BN436" i="29" s="1"/>
  <c r="O412" i="29"/>
  <c r="BN412" i="29" s="1"/>
  <c r="O388" i="29"/>
  <c r="BN388" i="29" s="1"/>
  <c r="O445" i="29"/>
  <c r="BN445" i="29" s="1"/>
  <c r="S78" i="109"/>
  <c r="O396" i="29"/>
  <c r="BN396" i="29" s="1"/>
  <c r="S77" i="109"/>
  <c r="O395" i="29"/>
  <c r="BN395" i="29" s="1"/>
  <c r="S71" i="109"/>
  <c r="O392" i="29"/>
  <c r="BN392" i="29" s="1"/>
  <c r="S258" i="109"/>
  <c r="G63" i="111"/>
  <c r="S76" i="109"/>
  <c r="Y219" i="115"/>
  <c r="Z219" i="115" s="1"/>
  <c r="AA219" i="115" s="1"/>
  <c r="AU738" i="29" s="1"/>
  <c r="Y155" i="115"/>
  <c r="Z155" i="115" s="1"/>
  <c r="AA155" i="115" s="1"/>
  <c r="AU563" i="29" s="1"/>
  <c r="Y92" i="115"/>
  <c r="Z92" i="115" s="1"/>
  <c r="AA92" i="115" s="1"/>
  <c r="AU387" i="29" s="1"/>
  <c r="Y30" i="115"/>
  <c r="Z30" i="115" s="1"/>
  <c r="AA30" i="115" s="1"/>
  <c r="AU214" i="29" s="1"/>
  <c r="AD192" i="107"/>
  <c r="H455" i="29" s="1"/>
  <c r="S167" i="109"/>
  <c r="S119" i="109"/>
  <c r="S149" i="109"/>
  <c r="S197" i="109"/>
  <c r="X197" i="109" s="1"/>
  <c r="S178" i="109"/>
  <c r="S246" i="109"/>
  <c r="S56" i="109"/>
  <c r="S66" i="109"/>
  <c r="S184" i="109"/>
  <c r="S257" i="109"/>
  <c r="S128" i="109"/>
  <c r="X128" i="109" s="1"/>
  <c r="S188" i="109"/>
  <c r="X188" i="109" s="1"/>
  <c r="S61" i="109"/>
  <c r="S49" i="109"/>
  <c r="S207" i="109"/>
  <c r="S100" i="109"/>
  <c r="S89" i="109"/>
  <c r="S138" i="109"/>
  <c r="S223" i="109"/>
  <c r="S234" i="109"/>
  <c r="O646" i="29" s="1"/>
  <c r="BN646" i="29" s="1"/>
  <c r="S104" i="109"/>
  <c r="S95" i="109"/>
  <c r="S84" i="109"/>
  <c r="S153" i="109"/>
  <c r="S145" i="109"/>
  <c r="S70" i="109"/>
  <c r="S158" i="109"/>
  <c r="S164" i="107"/>
  <c r="S116" i="107"/>
  <c r="S115" i="107" s="1"/>
  <c r="S175" i="107"/>
  <c r="S155" i="107"/>
  <c r="S46" i="109"/>
  <c r="X46" i="109" s="1"/>
  <c r="F554" i="29" s="1"/>
  <c r="S216" i="109"/>
  <c r="S231" i="107"/>
  <c r="S220" i="107"/>
  <c r="S254" i="107"/>
  <c r="D84" i="29" s="1"/>
  <c r="S238" i="109"/>
  <c r="AD189" i="107"/>
  <c r="AD250" i="107"/>
  <c r="H476" i="29" s="1"/>
  <c r="AD198" i="107"/>
  <c r="H459" i="29" s="1"/>
  <c r="K44" i="118"/>
  <c r="S32" i="107"/>
  <c r="S129" i="109"/>
  <c r="X129" i="109" s="1"/>
  <c r="AD129" i="107"/>
  <c r="H421" i="29" s="1"/>
  <c r="X129" i="107"/>
  <c r="O373" i="29"/>
  <c r="BN373" i="29" s="1"/>
  <c r="S27" i="109"/>
  <c r="O375" i="29"/>
  <c r="BN375" i="29" s="1"/>
  <c r="D187" i="118"/>
  <c r="K178" i="118" s="1"/>
  <c r="AD197" i="107"/>
  <c r="H458" i="29" s="1"/>
  <c r="AD146" i="107"/>
  <c r="H432" i="29" s="1"/>
  <c r="AD249" i="107"/>
  <c r="H475" i="29" s="1"/>
  <c r="AD188" i="107"/>
  <c r="H451" i="29" s="1"/>
  <c r="AD128" i="107"/>
  <c r="H420" i="29" s="1"/>
  <c r="Y281" i="115"/>
  <c r="Z281" i="115" s="1"/>
  <c r="AA281" i="115" s="1"/>
  <c r="AU910" i="29" s="1"/>
  <c r="Y46" i="107"/>
  <c r="S41" i="107"/>
  <c r="S45" i="109"/>
  <c r="AD45" i="107"/>
  <c r="H377" i="29" s="1"/>
  <c r="S44" i="109"/>
  <c r="X44" i="109" s="1"/>
  <c r="Y44" i="107"/>
  <c r="G376" i="29" s="1"/>
  <c r="Y250" i="107"/>
  <c r="G476" i="29" s="1"/>
  <c r="Y249" i="107"/>
  <c r="G475" i="29" s="1"/>
  <c r="Y246" i="107"/>
  <c r="G472" i="29" s="1"/>
  <c r="Y247" i="107"/>
  <c r="G473" i="29" s="1"/>
  <c r="Y248" i="107"/>
  <c r="G474" i="29" s="1"/>
  <c r="AE246" i="107"/>
  <c r="I472" i="29" s="1"/>
  <c r="AE247" i="107"/>
  <c r="I473" i="29" s="1"/>
  <c r="AE248" i="107"/>
  <c r="I474" i="29" s="1"/>
  <c r="AE249" i="107"/>
  <c r="I475" i="29" s="1"/>
  <c r="AE250" i="107"/>
  <c r="I476" i="29" s="1"/>
  <c r="Y216" i="107"/>
  <c r="G467" i="29" s="1"/>
  <c r="AE216" i="107"/>
  <c r="I467" i="29" s="1"/>
  <c r="Y211" i="107"/>
  <c r="G466" i="29" s="1"/>
  <c r="Y207" i="107"/>
  <c r="G462" i="29" s="1"/>
  <c r="Y210" i="107"/>
  <c r="G465" i="29" s="1"/>
  <c r="Y208" i="107"/>
  <c r="G463" i="29" s="1"/>
  <c r="Y209" i="107"/>
  <c r="G464" i="29" s="1"/>
  <c r="AE210" i="107"/>
  <c r="I465" i="29" s="1"/>
  <c r="AE209" i="107"/>
  <c r="I464" i="29" s="1"/>
  <c r="AE211" i="107"/>
  <c r="I466" i="29" s="1"/>
  <c r="AE208" i="107"/>
  <c r="I463" i="29" s="1"/>
  <c r="AE207" i="107"/>
  <c r="I462" i="29" s="1"/>
  <c r="Y198" i="107"/>
  <c r="G459" i="29" s="1"/>
  <c r="Y199" i="107"/>
  <c r="G460" i="29" s="1"/>
  <c r="Y197" i="107"/>
  <c r="G458" i="29" s="1"/>
  <c r="Y200" i="107"/>
  <c r="G461" i="29" s="1"/>
  <c r="AE197" i="107"/>
  <c r="I458" i="29" s="1"/>
  <c r="AE200" i="107"/>
  <c r="I461" i="29" s="1"/>
  <c r="AE199" i="107"/>
  <c r="AE198" i="107"/>
  <c r="I459" i="29" s="1"/>
  <c r="Y192" i="107"/>
  <c r="G455" i="29" s="1"/>
  <c r="Y189" i="107"/>
  <c r="G452" i="29" s="1"/>
  <c r="Y190" i="107"/>
  <c r="G453" i="29" s="1"/>
  <c r="Y191" i="107"/>
  <c r="G454" i="29" s="1"/>
  <c r="Y188" i="107"/>
  <c r="G451" i="29" s="1"/>
  <c r="Y194" i="107"/>
  <c r="G457" i="29" s="1"/>
  <c r="Y193" i="107"/>
  <c r="G456" i="29" s="1"/>
  <c r="AE188" i="107"/>
  <c r="I451" i="29" s="1"/>
  <c r="AE189" i="107"/>
  <c r="I452" i="29" s="1"/>
  <c r="AE191" i="107"/>
  <c r="I454" i="29" s="1"/>
  <c r="AE194" i="107"/>
  <c r="I457" i="29" s="1"/>
  <c r="AE190" i="107"/>
  <c r="I453" i="29" s="1"/>
  <c r="AE192" i="107"/>
  <c r="I455" i="29" s="1"/>
  <c r="AE193" i="107"/>
  <c r="I456" i="29" s="1"/>
  <c r="Y184" i="107"/>
  <c r="G449" i="29" s="1"/>
  <c r="Y185" i="107"/>
  <c r="G450" i="29" s="1"/>
  <c r="AE185" i="107"/>
  <c r="I450" i="29" s="1"/>
  <c r="AE184" i="107"/>
  <c r="I449" i="29" s="1"/>
  <c r="Y180" i="107"/>
  <c r="G448" i="29" s="1"/>
  <c r="Y178" i="107"/>
  <c r="G446" i="29" s="1"/>
  <c r="Y179" i="107"/>
  <c r="G447" i="29" s="1"/>
  <c r="AE180" i="107"/>
  <c r="I448" i="29" s="1"/>
  <c r="AE178" i="107"/>
  <c r="I446" i="29" s="1"/>
  <c r="AE179" i="107"/>
  <c r="I447" i="29" s="1"/>
  <c r="Y168" i="107"/>
  <c r="G443" i="29" s="1"/>
  <c r="Y169" i="107"/>
  <c r="G444" i="29" s="1"/>
  <c r="Y167" i="107"/>
  <c r="G442" i="29" s="1"/>
  <c r="Y170" i="107"/>
  <c r="G445" i="29" s="1"/>
  <c r="AE167" i="107"/>
  <c r="I442" i="29" s="1"/>
  <c r="AE168" i="107"/>
  <c r="I443" i="29" s="1"/>
  <c r="AE170" i="107"/>
  <c r="I445" i="29" s="1"/>
  <c r="AE169" i="107"/>
  <c r="I444" i="29" s="1"/>
  <c r="Y163" i="107"/>
  <c r="G441" i="29" s="1"/>
  <c r="AE163" i="107"/>
  <c r="I441" i="29" s="1"/>
  <c r="Y158" i="107"/>
  <c r="Y161" i="107"/>
  <c r="G440" i="29" s="1"/>
  <c r="AE158" i="107"/>
  <c r="AE161" i="107"/>
  <c r="I440" i="29" s="1"/>
  <c r="Y154" i="107"/>
  <c r="G436" i="29" s="1"/>
  <c r="Y153" i="107"/>
  <c r="G435" i="29" s="1"/>
  <c r="AE154" i="107"/>
  <c r="I436" i="29" s="1"/>
  <c r="AE153" i="107"/>
  <c r="I435" i="29" s="1"/>
  <c r="Y150" i="107"/>
  <c r="G434" i="29" s="1"/>
  <c r="Y149" i="107"/>
  <c r="G433" i="29" s="1"/>
  <c r="AE150" i="107"/>
  <c r="I434" i="29" s="1"/>
  <c r="AE149" i="107"/>
  <c r="I433" i="29" s="1"/>
  <c r="Y146" i="107"/>
  <c r="G432" i="29" s="1"/>
  <c r="Y145" i="107"/>
  <c r="G431" i="29" s="1"/>
  <c r="AE145" i="107"/>
  <c r="I431" i="29" s="1"/>
  <c r="AE146" i="107"/>
  <c r="I432" i="29" s="1"/>
  <c r="Y140" i="107"/>
  <c r="G429" i="29" s="1"/>
  <c r="Y141" i="107"/>
  <c r="G430" i="29" s="1"/>
  <c r="Y138" i="107"/>
  <c r="G427" i="29" s="1"/>
  <c r="Y139" i="107"/>
  <c r="G428" i="29" s="1"/>
  <c r="AE140" i="107"/>
  <c r="I429" i="29" s="1"/>
  <c r="AE141" i="107"/>
  <c r="I430" i="29" s="1"/>
  <c r="AE139" i="107"/>
  <c r="I428" i="29" s="1"/>
  <c r="AE138" i="107"/>
  <c r="I427" i="29" s="1"/>
  <c r="AE135" i="107"/>
  <c r="I426" i="29" s="1"/>
  <c r="Y132" i="107"/>
  <c r="G424" i="29" s="1"/>
  <c r="Y129" i="107"/>
  <c r="G421" i="29" s="1"/>
  <c r="Y128" i="107"/>
  <c r="G420" i="29" s="1"/>
  <c r="Y133" i="107"/>
  <c r="Y131" i="107"/>
  <c r="G423" i="29" s="1"/>
  <c r="Y130" i="107"/>
  <c r="G422" i="29" s="1"/>
  <c r="AE132" i="107"/>
  <c r="I424" i="29" s="1"/>
  <c r="AE128" i="107"/>
  <c r="I420" i="29" s="1"/>
  <c r="AE129" i="107"/>
  <c r="I421" i="29" s="1"/>
  <c r="AE131" i="107"/>
  <c r="I423" i="29" s="1"/>
  <c r="AE133" i="107"/>
  <c r="I425" i="29" s="1"/>
  <c r="AE130" i="107"/>
  <c r="I422" i="29" s="1"/>
  <c r="Y119" i="107"/>
  <c r="G418" i="29" s="1"/>
  <c r="Y120" i="107"/>
  <c r="G419" i="29" s="1"/>
  <c r="AE119" i="107"/>
  <c r="I418" i="29" s="1"/>
  <c r="AE120" i="107"/>
  <c r="I419" i="29" s="1"/>
  <c r="Y110" i="107"/>
  <c r="G417" i="29" s="1"/>
  <c r="Y109" i="107"/>
  <c r="G416" i="29" s="1"/>
  <c r="Y108" i="107"/>
  <c r="G415" i="29" s="1"/>
  <c r="Y105" i="107"/>
  <c r="G412" i="29" s="1"/>
  <c r="Y106" i="107"/>
  <c r="G413" i="29" s="1"/>
  <c r="Y104" i="107"/>
  <c r="G411" i="29" s="1"/>
  <c r="Y107" i="107"/>
  <c r="G414" i="29" s="1"/>
  <c r="AE110" i="107"/>
  <c r="I417" i="29" s="1"/>
  <c r="AE104" i="107"/>
  <c r="I411" i="29" s="1"/>
  <c r="AE106" i="107"/>
  <c r="I413" i="29" s="1"/>
  <c r="AE107" i="107"/>
  <c r="I414" i="29" s="1"/>
  <c r="AE109" i="107"/>
  <c r="I416" i="29" s="1"/>
  <c r="AE105" i="107"/>
  <c r="I412" i="29" s="1"/>
  <c r="AE108" i="107"/>
  <c r="I415" i="29" s="1"/>
  <c r="Y101" i="107"/>
  <c r="G410" i="29" s="1"/>
  <c r="Y100" i="107"/>
  <c r="G409" i="29" s="1"/>
  <c r="AE100" i="107"/>
  <c r="I409" i="29" s="1"/>
  <c r="AE101" i="107"/>
  <c r="I410" i="29" s="1"/>
  <c r="Y97" i="107"/>
  <c r="G408" i="29" s="1"/>
  <c r="Y96" i="107"/>
  <c r="G407" i="29" s="1"/>
  <c r="Y95" i="107"/>
  <c r="G406" i="29" s="1"/>
  <c r="AE97" i="107"/>
  <c r="I408" i="29" s="1"/>
  <c r="AE96" i="107"/>
  <c r="I407" i="29" s="1"/>
  <c r="AE95" i="107"/>
  <c r="I406" i="29" s="1"/>
  <c r="Y91" i="107"/>
  <c r="G405" i="29" s="1"/>
  <c r="Y89" i="107"/>
  <c r="G403" i="29" s="1"/>
  <c r="Y90" i="107"/>
  <c r="G404" i="29" s="1"/>
  <c r="AE90" i="107"/>
  <c r="I404" i="29" s="1"/>
  <c r="AE91" i="107"/>
  <c r="I405" i="29" s="1"/>
  <c r="AE89" i="107"/>
  <c r="I403" i="29" s="1"/>
  <c r="Y86" i="107"/>
  <c r="G402" i="29" s="1"/>
  <c r="Y85" i="107"/>
  <c r="G401" i="29" s="1"/>
  <c r="Y84" i="107"/>
  <c r="G400" i="29" s="1"/>
  <c r="AE86" i="107"/>
  <c r="I402" i="29" s="1"/>
  <c r="AE85" i="107"/>
  <c r="I401" i="29" s="1"/>
  <c r="AE84" i="107"/>
  <c r="I400" i="29" s="1"/>
  <c r="Y79" i="107"/>
  <c r="G397" i="29" s="1"/>
  <c r="Y81" i="107"/>
  <c r="G399" i="29" s="1"/>
  <c r="Y77" i="107"/>
  <c r="G395" i="29" s="1"/>
  <c r="Y80" i="107"/>
  <c r="G398" i="29" s="1"/>
  <c r="Y78" i="107"/>
  <c r="G396" i="29" s="1"/>
  <c r="Y76" i="107"/>
  <c r="G394" i="29" s="1"/>
  <c r="AE81" i="107"/>
  <c r="I399" i="29" s="1"/>
  <c r="AE80" i="107"/>
  <c r="I398" i="29" s="1"/>
  <c r="AE77" i="107"/>
  <c r="I395" i="29" s="1"/>
  <c r="AE76" i="107"/>
  <c r="I394" i="29" s="1"/>
  <c r="AE78" i="107"/>
  <c r="I396" i="29" s="1"/>
  <c r="AE79" i="107"/>
  <c r="I397" i="29" s="1"/>
  <c r="Y70" i="107"/>
  <c r="G391" i="29" s="1"/>
  <c r="Y72" i="107"/>
  <c r="G393" i="29" s="1"/>
  <c r="Y71" i="107"/>
  <c r="G392" i="29" s="1"/>
  <c r="AE71" i="107"/>
  <c r="I392" i="29" s="1"/>
  <c r="AE70" i="107"/>
  <c r="I391" i="29" s="1"/>
  <c r="AE72" i="107"/>
  <c r="I393" i="29" s="1"/>
  <c r="Y66" i="107"/>
  <c r="G389" i="29" s="1"/>
  <c r="Y67" i="107"/>
  <c r="G390" i="29" s="1"/>
  <c r="AE66" i="107"/>
  <c r="I389" i="29" s="1"/>
  <c r="AE67" i="107"/>
  <c r="I390" i="29" s="1"/>
  <c r="Y63" i="107"/>
  <c r="G388" i="29" s="1"/>
  <c r="Y61" i="107"/>
  <c r="G386" i="29" s="1"/>
  <c r="Y62" i="107"/>
  <c r="G387" i="29" s="1"/>
  <c r="AE61" i="107"/>
  <c r="I386" i="29" s="1"/>
  <c r="AE63" i="107"/>
  <c r="I388" i="29" s="1"/>
  <c r="AE62" i="107"/>
  <c r="I387" i="29" s="1"/>
  <c r="Y57" i="107"/>
  <c r="G384" i="29" s="1"/>
  <c r="Y58" i="107"/>
  <c r="G385" i="29" s="1"/>
  <c r="Y56" i="107"/>
  <c r="G383" i="29" s="1"/>
  <c r="AE58" i="107"/>
  <c r="I385" i="29" s="1"/>
  <c r="AE57" i="107"/>
  <c r="I384" i="29" s="1"/>
  <c r="AE56" i="107"/>
  <c r="I383" i="29" s="1"/>
  <c r="Y50" i="107"/>
  <c r="G380" i="29" s="1"/>
  <c r="Y52" i="107"/>
  <c r="G382" i="29" s="1"/>
  <c r="Y51" i="107"/>
  <c r="G381" i="29" s="1"/>
  <c r="Y49" i="107"/>
  <c r="G379" i="29" s="1"/>
  <c r="AE52" i="107"/>
  <c r="I382" i="29" s="1"/>
  <c r="AE49" i="107"/>
  <c r="I379" i="29" s="1"/>
  <c r="AE51" i="107"/>
  <c r="I381" i="29" s="1"/>
  <c r="AE50" i="107"/>
  <c r="I380" i="29" s="1"/>
  <c r="AE44" i="107"/>
  <c r="I376" i="29" s="1"/>
  <c r="AE46" i="107"/>
  <c r="I378" i="29" s="1"/>
  <c r="AE45" i="107"/>
  <c r="I377" i="29" s="1"/>
  <c r="AE43" i="107"/>
  <c r="I375" i="29" s="1"/>
  <c r="AD44" i="107"/>
  <c r="H376" i="29" s="1"/>
  <c r="AD46" i="107"/>
  <c r="H378" i="29" s="1"/>
  <c r="AD43" i="107"/>
  <c r="X45" i="107"/>
  <c r="X43" i="107"/>
  <c r="Y45" i="107"/>
  <c r="G377" i="29" s="1"/>
  <c r="Y43" i="107"/>
  <c r="G375" i="29" s="1"/>
  <c r="O377" i="29"/>
  <c r="BN377" i="29" s="1"/>
  <c r="H382" i="29"/>
  <c r="I460" i="29"/>
  <c r="H417" i="29"/>
  <c r="H442" i="29"/>
  <c r="H424" i="29"/>
  <c r="H408" i="29"/>
  <c r="H392" i="29"/>
  <c r="H441" i="29"/>
  <c r="H407" i="29"/>
  <c r="H429" i="29"/>
  <c r="H472" i="29"/>
  <c r="H434" i="29"/>
  <c r="H418" i="29"/>
  <c r="H402" i="29"/>
  <c r="H386" i="29"/>
  <c r="H437" i="29"/>
  <c r="H461" i="29"/>
  <c r="H473" i="29"/>
  <c r="H411" i="29"/>
  <c r="H379" i="29"/>
  <c r="H443" i="29"/>
  <c r="H409" i="29"/>
  <c r="H474" i="29"/>
  <c r="H454" i="29"/>
  <c r="H436" i="29"/>
  <c r="H404" i="29"/>
  <c r="H388" i="29"/>
  <c r="H465" i="29"/>
  <c r="H431" i="29"/>
  <c r="H399" i="29"/>
  <c r="H413" i="29"/>
  <c r="H464" i="29"/>
  <c r="H448" i="29"/>
  <c r="H430" i="29"/>
  <c r="H414" i="29"/>
  <c r="H398" i="29"/>
  <c r="H419" i="29"/>
  <c r="H445" i="29"/>
  <c r="H395" i="29"/>
  <c r="H467" i="29"/>
  <c r="H433" i="29"/>
  <c r="H401" i="29"/>
  <c r="H466" i="29"/>
  <c r="H416" i="29"/>
  <c r="H400" i="29"/>
  <c r="H384" i="29"/>
  <c r="H457" i="29"/>
  <c r="H423" i="29"/>
  <c r="H391" i="29"/>
  <c r="H463" i="29"/>
  <c r="H389" i="29"/>
  <c r="H460" i="29"/>
  <c r="H444" i="29"/>
  <c r="H426" i="29"/>
  <c r="H410" i="29"/>
  <c r="H394" i="29"/>
  <c r="H405" i="29"/>
  <c r="H453" i="29"/>
  <c r="H435" i="29"/>
  <c r="H387" i="29"/>
  <c r="H380" i="29"/>
  <c r="H425" i="29"/>
  <c r="H393" i="29"/>
  <c r="H462" i="29"/>
  <c r="H446" i="29"/>
  <c r="H428" i="29"/>
  <c r="H412" i="29"/>
  <c r="H396" i="29"/>
  <c r="H449" i="29"/>
  <c r="H415" i="29"/>
  <c r="H383" i="29"/>
  <c r="H456" i="29"/>
  <c r="H440" i="29"/>
  <c r="H406" i="29"/>
  <c r="H390" i="29"/>
  <c r="H397" i="29"/>
  <c r="H403" i="29"/>
  <c r="H427" i="29"/>
  <c r="H201" i="29"/>
  <c r="I202" i="29"/>
  <c r="H208" i="29"/>
  <c r="I298" i="29"/>
  <c r="I286" i="29"/>
  <c r="I278" i="29"/>
  <c r="I270" i="29"/>
  <c r="I260" i="29"/>
  <c r="I252" i="29"/>
  <c r="I244" i="29"/>
  <c r="I236" i="29"/>
  <c r="I228" i="29"/>
  <c r="I220" i="29"/>
  <c r="I212" i="29"/>
  <c r="H277" i="29"/>
  <c r="H243" i="29"/>
  <c r="H211" i="29"/>
  <c r="H284" i="29"/>
  <c r="H268" i="29"/>
  <c r="H250" i="29"/>
  <c r="H234" i="29"/>
  <c r="H218" i="29"/>
  <c r="I273" i="29"/>
  <c r="I211" i="29"/>
  <c r="H267" i="29"/>
  <c r="H233" i="29"/>
  <c r="I299" i="29"/>
  <c r="I279" i="29"/>
  <c r="I261" i="29"/>
  <c r="I245" i="29"/>
  <c r="I229" i="29"/>
  <c r="I213" i="29"/>
  <c r="I235" i="29"/>
  <c r="H255" i="29"/>
  <c r="H298" i="29"/>
  <c r="H278" i="29"/>
  <c r="H260" i="29"/>
  <c r="H244" i="29"/>
  <c r="H228" i="29"/>
  <c r="H212" i="29"/>
  <c r="I285" i="29"/>
  <c r="I259" i="29"/>
  <c r="I227" i="29"/>
  <c r="H263" i="29"/>
  <c r="H287" i="29"/>
  <c r="H299" i="29"/>
  <c r="H237" i="29"/>
  <c r="I205" i="29"/>
  <c r="I201" i="29"/>
  <c r="H202" i="29"/>
  <c r="H204" i="29"/>
  <c r="H205" i="29"/>
  <c r="I292" i="29"/>
  <c r="I284" i="29"/>
  <c r="I276" i="29"/>
  <c r="I268" i="29"/>
  <c r="I258" i="29"/>
  <c r="I250" i="29"/>
  <c r="I242" i="29"/>
  <c r="I234" i="29"/>
  <c r="I226" i="29"/>
  <c r="I218" i="29"/>
  <c r="I210" i="29"/>
  <c r="H269" i="29"/>
  <c r="H235" i="29"/>
  <c r="H300" i="29"/>
  <c r="H280" i="29"/>
  <c r="H262" i="29"/>
  <c r="H246" i="29"/>
  <c r="H230" i="29"/>
  <c r="H214" i="29"/>
  <c r="I243" i="29"/>
  <c r="H291" i="29"/>
  <c r="H257" i="29"/>
  <c r="H225" i="29"/>
  <c r="I291" i="29"/>
  <c r="I275" i="29"/>
  <c r="I257" i="29"/>
  <c r="I241" i="29"/>
  <c r="I225" i="29"/>
  <c r="I209" i="29"/>
  <c r="I219" i="29"/>
  <c r="H239" i="29"/>
  <c r="H290" i="29"/>
  <c r="H274" i="29"/>
  <c r="H256" i="29"/>
  <c r="H240" i="29"/>
  <c r="H224" i="29"/>
  <c r="H301" i="29"/>
  <c r="I281" i="29"/>
  <c r="I255" i="29"/>
  <c r="I215" i="29"/>
  <c r="H247" i="29"/>
  <c r="H245" i="29"/>
  <c r="H271" i="29"/>
  <c r="H221" i="29"/>
  <c r="I203" i="29"/>
  <c r="H207" i="29"/>
  <c r="I207" i="29"/>
  <c r="I302" i="29"/>
  <c r="I290" i="29"/>
  <c r="I282" i="29"/>
  <c r="I274" i="29"/>
  <c r="I266" i="29"/>
  <c r="I256" i="29"/>
  <c r="I248" i="29"/>
  <c r="I240" i="29"/>
  <c r="I232" i="29"/>
  <c r="I224" i="29"/>
  <c r="I216" i="29"/>
  <c r="H293" i="29"/>
  <c r="H259" i="29"/>
  <c r="H227" i="29"/>
  <c r="H292" i="29"/>
  <c r="H276" i="29"/>
  <c r="H258" i="29"/>
  <c r="H242" i="29"/>
  <c r="H226" i="29"/>
  <c r="H210" i="29"/>
  <c r="I231" i="29"/>
  <c r="H283" i="29"/>
  <c r="H249" i="29"/>
  <c r="H217" i="29"/>
  <c r="I287" i="29"/>
  <c r="I271" i="29"/>
  <c r="I253" i="29"/>
  <c r="I237" i="29"/>
  <c r="I221" i="29"/>
  <c r="I263" i="29"/>
  <c r="H289" i="29"/>
  <c r="H215" i="29"/>
  <c r="H286" i="29"/>
  <c r="H270" i="29"/>
  <c r="H252" i="29"/>
  <c r="H236" i="29"/>
  <c r="H220" i="29"/>
  <c r="I293" i="29"/>
  <c r="I277" i="29"/>
  <c r="I251" i="29"/>
  <c r="I301" i="29"/>
  <c r="H231" i="29"/>
  <c r="H279" i="29"/>
  <c r="H261" i="29"/>
  <c r="H213" i="29"/>
  <c r="I204" i="29"/>
  <c r="H203" i="29"/>
  <c r="I208" i="29"/>
  <c r="H206" i="29"/>
  <c r="I300" i="29"/>
  <c r="I288" i="29"/>
  <c r="I280" i="29"/>
  <c r="I272" i="29"/>
  <c r="I262" i="29"/>
  <c r="I254" i="29"/>
  <c r="I246" i="29"/>
  <c r="I238" i="29"/>
  <c r="I230" i="29"/>
  <c r="I222" i="29"/>
  <c r="I214" i="29"/>
  <c r="H285" i="29"/>
  <c r="H251" i="29"/>
  <c r="H219" i="29"/>
  <c r="H288" i="29"/>
  <c r="H272" i="29"/>
  <c r="H254" i="29"/>
  <c r="H238" i="29"/>
  <c r="H222" i="29"/>
  <c r="I206" i="29"/>
  <c r="I223" i="29"/>
  <c r="H275" i="29"/>
  <c r="H241" i="29"/>
  <c r="H209" i="29"/>
  <c r="I283" i="29"/>
  <c r="I267" i="29"/>
  <c r="I249" i="29"/>
  <c r="I233" i="29"/>
  <c r="I217" i="29"/>
  <c r="I247" i="29"/>
  <c r="H281" i="29"/>
  <c r="H302" i="29"/>
  <c r="H282" i="29"/>
  <c r="H266" i="29"/>
  <c r="H248" i="29"/>
  <c r="H232" i="29"/>
  <c r="H216" i="29"/>
  <c r="I289" i="29"/>
  <c r="I269" i="29"/>
  <c r="I239" i="29"/>
  <c r="H273" i="29"/>
  <c r="H223" i="29"/>
  <c r="H229" i="29"/>
  <c r="H253" i="29"/>
  <c r="F476" i="29"/>
  <c r="F475" i="29"/>
  <c r="F472" i="29"/>
  <c r="F473" i="29"/>
  <c r="F474" i="29"/>
  <c r="G299" i="29"/>
  <c r="G300" i="29"/>
  <c r="F302" i="29"/>
  <c r="G298" i="29"/>
  <c r="G301" i="29"/>
  <c r="F301" i="29"/>
  <c r="G302" i="29"/>
  <c r="F298" i="29"/>
  <c r="F299" i="29"/>
  <c r="F300" i="29"/>
  <c r="F467" i="29"/>
  <c r="G293" i="29"/>
  <c r="F293" i="29"/>
  <c r="F466" i="29"/>
  <c r="F462" i="29"/>
  <c r="F465" i="29"/>
  <c r="F463" i="29"/>
  <c r="F464" i="29"/>
  <c r="G292" i="29"/>
  <c r="F292" i="29"/>
  <c r="G290" i="29"/>
  <c r="F288" i="29"/>
  <c r="G291" i="29"/>
  <c r="F291" i="29"/>
  <c r="F289" i="29"/>
  <c r="G288" i="29"/>
  <c r="F290" i="29"/>
  <c r="G289" i="29"/>
  <c r="F459" i="29"/>
  <c r="F460" i="29"/>
  <c r="F458" i="29"/>
  <c r="F461" i="29"/>
  <c r="F285" i="29"/>
  <c r="F286" i="29"/>
  <c r="G285" i="29"/>
  <c r="G284" i="29"/>
  <c r="F284" i="29"/>
  <c r="G287" i="29"/>
  <c r="F287" i="29"/>
  <c r="G286" i="29"/>
  <c r="F455" i="29"/>
  <c r="F452" i="29"/>
  <c r="F453" i="29"/>
  <c r="F454" i="29"/>
  <c r="F451" i="29"/>
  <c r="F457" i="29"/>
  <c r="F456" i="29"/>
  <c r="F281" i="29"/>
  <c r="G280" i="29"/>
  <c r="F278" i="29"/>
  <c r="G277" i="29"/>
  <c r="F279" i="29"/>
  <c r="F280" i="29"/>
  <c r="G283" i="29"/>
  <c r="G278" i="29"/>
  <c r="F277" i="29"/>
  <c r="G279" i="29"/>
  <c r="F283" i="29"/>
  <c r="G282" i="29"/>
  <c r="F282" i="29"/>
  <c r="G281" i="29"/>
  <c r="F449" i="29"/>
  <c r="F450" i="29"/>
  <c r="F275" i="29"/>
  <c r="G276" i="29"/>
  <c r="F276" i="29"/>
  <c r="G275" i="29"/>
  <c r="F448" i="29"/>
  <c r="F446" i="29"/>
  <c r="F447" i="29"/>
  <c r="F274" i="29"/>
  <c r="G274" i="29"/>
  <c r="F272" i="29"/>
  <c r="F273" i="29"/>
  <c r="G272" i="29"/>
  <c r="G273" i="29"/>
  <c r="F443" i="29"/>
  <c r="F444" i="29"/>
  <c r="F442" i="29"/>
  <c r="F445" i="29"/>
  <c r="G268" i="29"/>
  <c r="G269" i="29"/>
  <c r="F269" i="29"/>
  <c r="F270" i="29"/>
  <c r="F268" i="29"/>
  <c r="G271" i="29"/>
  <c r="F271" i="29"/>
  <c r="G270" i="29"/>
  <c r="F441" i="29"/>
  <c r="G267" i="29"/>
  <c r="F267" i="29"/>
  <c r="F437" i="29"/>
  <c r="F440" i="29"/>
  <c r="G266" i="29"/>
  <c r="F263" i="29"/>
  <c r="F266" i="29"/>
  <c r="G263" i="29"/>
  <c r="F436" i="29"/>
  <c r="F435" i="29"/>
  <c r="G262" i="29"/>
  <c r="F262" i="29"/>
  <c r="G261" i="29"/>
  <c r="F261" i="29"/>
  <c r="F434" i="29"/>
  <c r="F433" i="29"/>
  <c r="F260" i="29"/>
  <c r="G259" i="29"/>
  <c r="G260" i="29"/>
  <c r="F259" i="29"/>
  <c r="F432" i="29"/>
  <c r="F431" i="29"/>
  <c r="G258" i="29"/>
  <c r="F258" i="29"/>
  <c r="F257" i="29"/>
  <c r="G257" i="29"/>
  <c r="F429" i="29"/>
  <c r="F430" i="29"/>
  <c r="F427" i="29"/>
  <c r="F428" i="29"/>
  <c r="F255" i="29"/>
  <c r="G254" i="29"/>
  <c r="G253" i="29"/>
  <c r="F256" i="29"/>
  <c r="G255" i="29"/>
  <c r="F253" i="29"/>
  <c r="G256" i="29"/>
  <c r="F254" i="29"/>
  <c r="F424" i="29"/>
  <c r="F420" i="29"/>
  <c r="F425" i="29"/>
  <c r="F423" i="29"/>
  <c r="F422" i="29"/>
  <c r="G246" i="29"/>
  <c r="F250" i="29"/>
  <c r="F247" i="29"/>
  <c r="F246" i="29"/>
  <c r="G249" i="29"/>
  <c r="F251" i="29"/>
  <c r="G250" i="29"/>
  <c r="G251" i="29"/>
  <c r="F249" i="29"/>
  <c r="G248" i="29"/>
  <c r="F248" i="29"/>
  <c r="G247" i="29"/>
  <c r="F418" i="29"/>
  <c r="F419" i="29"/>
  <c r="F244" i="29"/>
  <c r="F245" i="29"/>
  <c r="G244" i="29"/>
  <c r="G245" i="29"/>
  <c r="F417" i="29"/>
  <c r="F416" i="29"/>
  <c r="F415" i="29"/>
  <c r="F412" i="29"/>
  <c r="F413" i="29"/>
  <c r="F411" i="29"/>
  <c r="F414" i="29"/>
  <c r="F243" i="29"/>
  <c r="G242" i="29"/>
  <c r="F242" i="29"/>
  <c r="F241" i="29"/>
  <c r="G240" i="29"/>
  <c r="F238" i="29"/>
  <c r="G241" i="29"/>
  <c r="F239" i="29"/>
  <c r="G238" i="29"/>
  <c r="G237" i="29"/>
  <c r="G243" i="29"/>
  <c r="F237" i="29"/>
  <c r="F240" i="29"/>
  <c r="G239" i="29"/>
  <c r="F410" i="29"/>
  <c r="F409" i="29"/>
  <c r="F236" i="29"/>
  <c r="F235" i="29"/>
  <c r="G236" i="29"/>
  <c r="G235" i="29"/>
  <c r="F408" i="29"/>
  <c r="F407" i="29"/>
  <c r="F406" i="29"/>
  <c r="F234" i="29"/>
  <c r="G233" i="29"/>
  <c r="F233" i="29"/>
  <c r="G234" i="29"/>
  <c r="G232" i="29"/>
  <c r="F232" i="29"/>
  <c r="F405" i="29"/>
  <c r="F403" i="29"/>
  <c r="F404" i="29"/>
  <c r="G229" i="29"/>
  <c r="F231" i="29"/>
  <c r="F229" i="29"/>
  <c r="G231" i="29"/>
  <c r="G230" i="29"/>
  <c r="F230" i="29"/>
  <c r="F402" i="29"/>
  <c r="F401" i="29"/>
  <c r="F400" i="29"/>
  <c r="F228" i="29"/>
  <c r="G228" i="29"/>
  <c r="F227" i="29"/>
  <c r="G226" i="29"/>
  <c r="F226" i="29"/>
  <c r="G227" i="29"/>
  <c r="F397" i="29"/>
  <c r="F399" i="29"/>
  <c r="F395" i="29"/>
  <c r="F398" i="29"/>
  <c r="F396" i="29"/>
  <c r="F394" i="29"/>
  <c r="G222" i="29"/>
  <c r="G223" i="29"/>
  <c r="G221" i="29"/>
  <c r="F223" i="29"/>
  <c r="F225" i="29"/>
  <c r="F221" i="29"/>
  <c r="G220" i="29"/>
  <c r="F224" i="29"/>
  <c r="G224" i="29"/>
  <c r="F222" i="29"/>
  <c r="G225" i="29"/>
  <c r="F220" i="29"/>
  <c r="F391" i="29"/>
  <c r="F393" i="29"/>
  <c r="F392" i="29"/>
  <c r="F217" i="29"/>
  <c r="G218" i="29"/>
  <c r="F219" i="29"/>
  <c r="F218" i="29"/>
  <c r="G217" i="29"/>
  <c r="G219" i="29"/>
  <c r="F390" i="29"/>
  <c r="F215" i="29"/>
  <c r="G216" i="29"/>
  <c r="F216" i="29"/>
  <c r="G215" i="29"/>
  <c r="F388" i="29"/>
  <c r="F386" i="29"/>
  <c r="F387" i="29"/>
  <c r="G214" i="29"/>
  <c r="G212" i="29"/>
  <c r="F214" i="29"/>
  <c r="F212" i="29"/>
  <c r="G213" i="29"/>
  <c r="F213" i="29"/>
  <c r="F384" i="29"/>
  <c r="F385" i="29"/>
  <c r="F383" i="29"/>
  <c r="G210" i="29"/>
  <c r="F210" i="29"/>
  <c r="G209" i="29"/>
  <c r="G211" i="29"/>
  <c r="F211" i="29"/>
  <c r="F209" i="29"/>
  <c r="F382" i="29"/>
  <c r="F381" i="29"/>
  <c r="F379" i="29"/>
  <c r="G207" i="29"/>
  <c r="F206" i="29"/>
  <c r="F208" i="29"/>
  <c r="G208" i="29"/>
  <c r="G206" i="29"/>
  <c r="G205" i="29"/>
  <c r="F207" i="29"/>
  <c r="F205" i="29"/>
  <c r="F378" i="29"/>
  <c r="F202" i="29"/>
  <c r="F204" i="29"/>
  <c r="F203" i="29"/>
  <c r="G203" i="29"/>
  <c r="F201" i="29"/>
  <c r="G201" i="29"/>
  <c r="G204" i="29"/>
  <c r="G202" i="29"/>
  <c r="F376" i="29"/>
  <c r="O376" i="29"/>
  <c r="BN374" i="29"/>
  <c r="AE94" i="115"/>
  <c r="AV389" i="29" s="1"/>
  <c r="AB154" i="115"/>
  <c r="BK562" i="29" s="1"/>
  <c r="AE221" i="115"/>
  <c r="AV740" i="29" s="1"/>
  <c r="AE157" i="115"/>
  <c r="AV565" i="29" s="1"/>
  <c r="AE32" i="115"/>
  <c r="AV216" i="29" s="1"/>
  <c r="AB280" i="115"/>
  <c r="BK909" i="29" s="1"/>
  <c r="AB29" i="115"/>
  <c r="BK213" i="29" s="1"/>
  <c r="AE283" i="115"/>
  <c r="AV912" i="29" s="1"/>
  <c r="Q158" i="115"/>
  <c r="R158" i="115" s="1"/>
  <c r="AC158" i="115"/>
  <c r="P159" i="115"/>
  <c r="AD158" i="115"/>
  <c r="AB91" i="115"/>
  <c r="BK386" i="29" s="1"/>
  <c r="Q33" i="115"/>
  <c r="R33" i="115" s="1"/>
  <c r="S33" i="115" s="1"/>
  <c r="T33" i="115" s="1"/>
  <c r="T156" i="115"/>
  <c r="W156" i="115" s="1"/>
  <c r="X156" i="115" s="1"/>
  <c r="V156" i="115"/>
  <c r="S157" i="115"/>
  <c r="U157" i="115"/>
  <c r="AB218" i="115"/>
  <c r="BK737" i="29" s="1"/>
  <c r="S221" i="115"/>
  <c r="U221" i="115"/>
  <c r="S94" i="115"/>
  <c r="U94" i="115"/>
  <c r="Q95" i="115"/>
  <c r="R95" i="115" s="1"/>
  <c r="AC95" i="115"/>
  <c r="AD95" i="115"/>
  <c r="P96" i="115"/>
  <c r="V282" i="115"/>
  <c r="T282" i="115"/>
  <c r="W282" i="115" s="1"/>
  <c r="X282" i="115" s="1"/>
  <c r="AC222" i="115"/>
  <c r="Q222" i="115"/>
  <c r="R222" i="115" s="1"/>
  <c r="AD222" i="115"/>
  <c r="P223" i="115"/>
  <c r="S283" i="115"/>
  <c r="U283" i="115"/>
  <c r="T220" i="115"/>
  <c r="W220" i="115" s="1"/>
  <c r="X220" i="115" s="1"/>
  <c r="Y220" i="115" s="1"/>
  <c r="Z220" i="115" s="1"/>
  <c r="V220" i="115"/>
  <c r="AC284" i="115"/>
  <c r="Q284" i="115"/>
  <c r="R284" i="115" s="1"/>
  <c r="AD284" i="115"/>
  <c r="P285" i="115"/>
  <c r="V93" i="115"/>
  <c r="T93" i="115"/>
  <c r="W93" i="115" s="1"/>
  <c r="X93" i="115" s="1"/>
  <c r="Y93" i="115" s="1"/>
  <c r="Z93" i="115" s="1"/>
  <c r="J67" i="108"/>
  <c r="AC679" i="29"/>
  <c r="AD679" i="29"/>
  <c r="AE679" i="29"/>
  <c r="G77" i="114"/>
  <c r="I77" i="114" s="1"/>
  <c r="J77" i="114"/>
  <c r="J79" i="110"/>
  <c r="G79" i="110"/>
  <c r="G80" i="111"/>
  <c r="J80" i="111"/>
  <c r="G79" i="114"/>
  <c r="J79" i="114"/>
  <c r="G69" i="114"/>
  <c r="I69" i="114" s="1"/>
  <c r="J69" i="114"/>
  <c r="G69" i="111"/>
  <c r="I69" i="111" s="1"/>
  <c r="J69" i="111"/>
  <c r="G77" i="110"/>
  <c r="I77" i="110" s="1"/>
  <c r="J77" i="110"/>
  <c r="G69" i="110"/>
  <c r="I69" i="110" s="1"/>
  <c r="J69" i="110"/>
  <c r="G74" i="108"/>
  <c r="I74" i="108" s="1"/>
  <c r="J74" i="108"/>
  <c r="J75" i="114"/>
  <c r="G75" i="114"/>
  <c r="I75" i="114" s="1"/>
  <c r="J75" i="111"/>
  <c r="G75" i="111"/>
  <c r="I75" i="111" s="1"/>
  <c r="G68" i="108"/>
  <c r="I68" i="108" s="1"/>
  <c r="J68" i="108"/>
  <c r="G70" i="114"/>
  <c r="I70" i="114" s="1"/>
  <c r="J70" i="114"/>
  <c r="G66" i="110"/>
  <c r="J66" i="110"/>
  <c r="G80" i="114"/>
  <c r="J80" i="114"/>
  <c r="G72" i="114"/>
  <c r="I72" i="114" s="1"/>
  <c r="J72" i="114"/>
  <c r="G64" i="114"/>
  <c r="J64" i="114"/>
  <c r="J63" i="110"/>
  <c r="G76" i="110"/>
  <c r="I76" i="110" s="1"/>
  <c r="J76" i="110"/>
  <c r="G68" i="110"/>
  <c r="J68" i="110"/>
  <c r="J77" i="108"/>
  <c r="G77" i="108"/>
  <c r="I77" i="108" s="1"/>
  <c r="G71" i="111"/>
  <c r="I71" i="111" s="1"/>
  <c r="J71" i="111"/>
  <c r="J71" i="110"/>
  <c r="G71" i="110"/>
  <c r="I71" i="110" s="1"/>
  <c r="G74" i="114"/>
  <c r="I74" i="114" s="1"/>
  <c r="J74" i="114"/>
  <c r="G78" i="111"/>
  <c r="J78" i="111"/>
  <c r="G66" i="111"/>
  <c r="J66" i="111"/>
  <c r="G70" i="110"/>
  <c r="I70" i="110" s="1"/>
  <c r="J70" i="110"/>
  <c r="G71" i="108"/>
  <c r="I71" i="108" s="1"/>
  <c r="J71" i="108"/>
  <c r="G65" i="114"/>
  <c r="J65" i="114"/>
  <c r="G77" i="111"/>
  <c r="I77" i="111" s="1"/>
  <c r="J77" i="111"/>
  <c r="G78" i="108"/>
  <c r="J78" i="108"/>
  <c r="G67" i="110"/>
  <c r="J67" i="110"/>
  <c r="G76" i="108"/>
  <c r="I76" i="108" s="1"/>
  <c r="J76" i="108"/>
  <c r="G75" i="108"/>
  <c r="I75" i="108" s="1"/>
  <c r="J75" i="108"/>
  <c r="I67" i="108"/>
  <c r="G76" i="111"/>
  <c r="I76" i="111" s="1"/>
  <c r="J76" i="111"/>
  <c r="G68" i="111"/>
  <c r="J68" i="111"/>
  <c r="G69" i="108"/>
  <c r="I69" i="108" s="1"/>
  <c r="J69" i="108"/>
  <c r="G65" i="108"/>
  <c r="I65" i="108" s="1"/>
  <c r="J65" i="108"/>
  <c r="G71" i="114"/>
  <c r="I71" i="114" s="1"/>
  <c r="J71" i="114"/>
  <c r="G79" i="111"/>
  <c r="J79" i="111"/>
  <c r="G72" i="108"/>
  <c r="I72" i="108" s="1"/>
  <c r="J72" i="108"/>
  <c r="J63" i="108"/>
  <c r="J73" i="114"/>
  <c r="G73" i="114"/>
  <c r="I73" i="114" s="1"/>
  <c r="J73" i="111"/>
  <c r="G73" i="111"/>
  <c r="I73" i="111" s="1"/>
  <c r="G65" i="111"/>
  <c r="J65" i="111"/>
  <c r="J73" i="110"/>
  <c r="G73" i="110"/>
  <c r="I73" i="110" s="1"/>
  <c r="G65" i="110"/>
  <c r="J65" i="110"/>
  <c r="G66" i="108"/>
  <c r="I66" i="108" s="1"/>
  <c r="J66" i="108"/>
  <c r="G78" i="114"/>
  <c r="J78" i="114"/>
  <c r="G70" i="111"/>
  <c r="I70" i="111" s="1"/>
  <c r="J70" i="111"/>
  <c r="G74" i="110"/>
  <c r="I74" i="110" s="1"/>
  <c r="J74" i="110"/>
  <c r="G76" i="114"/>
  <c r="I76" i="114" s="1"/>
  <c r="J76" i="114"/>
  <c r="G80" i="110"/>
  <c r="J80" i="110"/>
  <c r="G72" i="110"/>
  <c r="I72" i="110" s="1"/>
  <c r="J72" i="110"/>
  <c r="G64" i="110"/>
  <c r="J64" i="110"/>
  <c r="J75" i="110"/>
  <c r="G75" i="110"/>
  <c r="I75" i="110" s="1"/>
  <c r="G80" i="108"/>
  <c r="J80" i="108"/>
  <c r="G66" i="114"/>
  <c r="J66" i="114"/>
  <c r="G74" i="111"/>
  <c r="I74" i="111" s="1"/>
  <c r="J74" i="111"/>
  <c r="G78" i="110"/>
  <c r="J78" i="110"/>
  <c r="G70" i="108"/>
  <c r="I70" i="108" s="1"/>
  <c r="J70" i="108"/>
  <c r="G67" i="111"/>
  <c r="J67" i="111"/>
  <c r="G64" i="108"/>
  <c r="I64" i="108" s="1"/>
  <c r="J64" i="108"/>
  <c r="G72" i="111"/>
  <c r="I72" i="111" s="1"/>
  <c r="J72" i="111"/>
  <c r="G64" i="111"/>
  <c r="J64" i="111"/>
  <c r="J73" i="108"/>
  <c r="G73" i="108"/>
  <c r="I73" i="108" s="1"/>
  <c r="J79" i="108"/>
  <c r="G79" i="108"/>
  <c r="AA679" i="29"/>
  <c r="AA502" i="29"/>
  <c r="AC1026" i="29"/>
  <c r="AD1025" i="29"/>
  <c r="AC853" i="29"/>
  <c r="AD852" i="29"/>
  <c r="AI901" i="29"/>
  <c r="AJ901" i="29" s="1"/>
  <c r="AG902" i="29" s="1"/>
  <c r="AD33" i="115"/>
  <c r="P34" i="115"/>
  <c r="AC33" i="115"/>
  <c r="W31" i="115"/>
  <c r="X31" i="115" s="1"/>
  <c r="Y31" i="115" s="1"/>
  <c r="Z31" i="115" s="1"/>
  <c r="V31" i="115"/>
  <c r="U32" i="115"/>
  <c r="AA678" i="29"/>
  <c r="AE678" i="29"/>
  <c r="S142" i="107"/>
  <c r="AH555" i="29"/>
  <c r="AI555" i="29" s="1"/>
  <c r="AJ555" i="29" s="1"/>
  <c r="AG556" i="29" s="1"/>
  <c r="AH729" i="29"/>
  <c r="AI729" i="29" s="1"/>
  <c r="AJ729" i="29" s="1"/>
  <c r="AG730" i="29" s="1"/>
  <c r="S73" i="107"/>
  <c r="AE849" i="29"/>
  <c r="AD837" i="29"/>
  <c r="AD849" i="29"/>
  <c r="O8" i="113"/>
  <c r="O8" i="112"/>
  <c r="O8" i="109"/>
  <c r="O8" i="107"/>
  <c r="O303" i="29"/>
  <c r="BN303" i="29" s="1"/>
  <c r="O294" i="29"/>
  <c r="AD1026" i="29"/>
  <c r="AE1026" i="29"/>
  <c r="AE1025" i="29"/>
  <c r="AC1025" i="29"/>
  <c r="AE1024" i="29"/>
  <c r="AD1024" i="29"/>
  <c r="AC1024" i="29"/>
  <c r="AE1020" i="29"/>
  <c r="AD1020" i="29"/>
  <c r="AC1020" i="29"/>
  <c r="AC1016" i="29"/>
  <c r="AE1016" i="29"/>
  <c r="AD1016" i="29"/>
  <c r="AE1008" i="29"/>
  <c r="AD1008" i="29"/>
  <c r="AC1008" i="29"/>
  <c r="AE1018" i="29"/>
  <c r="AE1021" i="29"/>
  <c r="AD1014" i="29"/>
  <c r="AD1023" i="29"/>
  <c r="AE1023" i="29"/>
  <c r="AC1023" i="29"/>
  <c r="AE1019" i="29"/>
  <c r="AC1019" i="29"/>
  <c r="AD1019" i="29"/>
  <c r="AE1015" i="29"/>
  <c r="AC1015" i="29"/>
  <c r="AD1015" i="29"/>
  <c r="AE1007" i="29"/>
  <c r="AC1007" i="29"/>
  <c r="AD1007" i="29"/>
  <c r="AC1017" i="29"/>
  <c r="AC1009" i="29"/>
  <c r="AE1017" i="29"/>
  <c r="AE1022" i="29"/>
  <c r="AE1014" i="29"/>
  <c r="AD1022" i="29"/>
  <c r="AE1013" i="29"/>
  <c r="AC1021" i="29"/>
  <c r="AC1013" i="29"/>
  <c r="AD1018" i="29"/>
  <c r="AE1009" i="29"/>
  <c r="AD853" i="29"/>
  <c r="AE853" i="29"/>
  <c r="AC852" i="29"/>
  <c r="AE852" i="29"/>
  <c r="AC845" i="29"/>
  <c r="AE845" i="29"/>
  <c r="AC841" i="29"/>
  <c r="AE841" i="29"/>
  <c r="AE837" i="29"/>
  <c r="AC837" i="29"/>
  <c r="AC848" i="29"/>
  <c r="AE848" i="29"/>
  <c r="AD841" i="29"/>
  <c r="AE844" i="29"/>
  <c r="AE851" i="29"/>
  <c r="AD851" i="29"/>
  <c r="AC851" i="29"/>
  <c r="AC847" i="29"/>
  <c r="AE847" i="29"/>
  <c r="AD847" i="29"/>
  <c r="AE843" i="29"/>
  <c r="AD843" i="29"/>
  <c r="AC843" i="29"/>
  <c r="AE839" i="29"/>
  <c r="AD839" i="29"/>
  <c r="AC839" i="29"/>
  <c r="AC844" i="29"/>
  <c r="AC836" i="29"/>
  <c r="AE850" i="29"/>
  <c r="AC850" i="29"/>
  <c r="AD850" i="29"/>
  <c r="AE846" i="29"/>
  <c r="AC846" i="29"/>
  <c r="AD846" i="29"/>
  <c r="AE842" i="29"/>
  <c r="AC842" i="29"/>
  <c r="AD842" i="29"/>
  <c r="AE834" i="29"/>
  <c r="AC834" i="29"/>
  <c r="AD834" i="29"/>
  <c r="AE836" i="29"/>
  <c r="AC677" i="29"/>
  <c r="AE677" i="29"/>
  <c r="AD677" i="29"/>
  <c r="AD673" i="29"/>
  <c r="AC673" i="29"/>
  <c r="AE673" i="29"/>
  <c r="AD669" i="29"/>
  <c r="AC669" i="29"/>
  <c r="AE669" i="29"/>
  <c r="AD665" i="29"/>
  <c r="AC665" i="29"/>
  <c r="AE665" i="29"/>
  <c r="AE676" i="29"/>
  <c r="AD676" i="29"/>
  <c r="AC676" i="29"/>
  <c r="AC672" i="29"/>
  <c r="AE672" i="29"/>
  <c r="AD672" i="29"/>
  <c r="AD668" i="29"/>
  <c r="AC668" i="29"/>
  <c r="AE668" i="29"/>
  <c r="AE660" i="29"/>
  <c r="AD660" i="29"/>
  <c r="AC660" i="29"/>
  <c r="AC674" i="29"/>
  <c r="AE671" i="29"/>
  <c r="AE663" i="29"/>
  <c r="AD675" i="29"/>
  <c r="AD671" i="29"/>
  <c r="AD667" i="29"/>
  <c r="AD663" i="29"/>
  <c r="AC670" i="29"/>
  <c r="AE675" i="29"/>
  <c r="AE667" i="29"/>
  <c r="AE674" i="29"/>
  <c r="AE670" i="29"/>
  <c r="H66" i="114"/>
  <c r="H67" i="114"/>
  <c r="H68" i="114"/>
  <c r="H66" i="111"/>
  <c r="H67" i="111"/>
  <c r="H68" i="111"/>
  <c r="H64" i="110"/>
  <c r="H66" i="110"/>
  <c r="H67" i="110"/>
  <c r="H68" i="110"/>
  <c r="J31" i="19"/>
  <c r="J32" i="19"/>
  <c r="J30" i="19"/>
  <c r="J15" i="19"/>
  <c r="G15" i="30"/>
  <c r="F16" i="30"/>
  <c r="F15" i="30"/>
  <c r="T123" i="19"/>
  <c r="T92" i="19"/>
  <c r="T61" i="19"/>
  <c r="T77" i="19"/>
  <c r="AO51" i="112"/>
  <c r="AQ160" i="109"/>
  <c r="AO34" i="109"/>
  <c r="AQ67" i="109"/>
  <c r="AO109" i="112"/>
  <c r="AT44" i="109"/>
  <c r="AO104" i="112"/>
  <c r="AO101" i="112"/>
  <c r="AQ76" i="109"/>
  <c r="AP130" i="109"/>
  <c r="AQ216" i="109"/>
  <c r="AO62" i="112"/>
  <c r="AO81" i="112"/>
  <c r="AO191" i="112"/>
  <c r="AO66" i="112"/>
  <c r="AT109" i="109"/>
  <c r="AT45" i="109"/>
  <c r="AT71" i="109"/>
  <c r="AT72" i="109"/>
  <c r="AT199" i="109"/>
  <c r="AQ110" i="109"/>
  <c r="AT91" i="109"/>
  <c r="AT159" i="112"/>
  <c r="AQ119" i="109"/>
  <c r="AO78" i="112"/>
  <c r="AT128" i="109"/>
  <c r="AQ198" i="109"/>
  <c r="AQ168" i="109"/>
  <c r="AO163" i="112"/>
  <c r="AQ180" i="109"/>
  <c r="AT188" i="109"/>
  <c r="AO225" i="112"/>
  <c r="AQ154" i="109"/>
  <c r="AT208" i="109"/>
  <c r="AO198" i="112"/>
  <c r="AQ95" i="109"/>
  <c r="AT61" i="109"/>
  <c r="AO188" i="112"/>
  <c r="AT70" i="109"/>
  <c r="AS46" i="109"/>
  <c r="AO159" i="112"/>
  <c r="AT192" i="109"/>
  <c r="AQ129" i="109"/>
  <c r="AQ71" i="109"/>
  <c r="AT106" i="109"/>
  <c r="AQ200" i="109"/>
  <c r="AO72" i="112"/>
  <c r="AQ105" i="109"/>
  <c r="AO178" i="112"/>
  <c r="AO120" i="112"/>
  <c r="AQ70" i="109"/>
  <c r="AO145" i="113"/>
  <c r="AT130" i="109"/>
  <c r="AQ43" i="109"/>
  <c r="AP135" i="112"/>
  <c r="AS58" i="109"/>
  <c r="AT194" i="109"/>
  <c r="AO119" i="112"/>
  <c r="AQ145" i="109"/>
  <c r="AO150" i="112"/>
  <c r="AQ179" i="109"/>
  <c r="AQ131" i="109"/>
  <c r="AQ193" i="109"/>
  <c r="AT163" i="109"/>
  <c r="AT76" i="109"/>
  <c r="AT160" i="109"/>
  <c r="AT149" i="109"/>
  <c r="AO154" i="112"/>
  <c r="AQ210" i="109"/>
  <c r="AO84" i="112"/>
  <c r="AQ167" i="109"/>
  <c r="AO57" i="112"/>
  <c r="AO194" i="112"/>
  <c r="AT95" i="109"/>
  <c r="AP66" i="109"/>
  <c r="AQ109" i="109"/>
  <c r="AQ191" i="109"/>
  <c r="AT51" i="109"/>
  <c r="AQ249" i="109"/>
  <c r="AO249" i="112"/>
  <c r="AQ208" i="109"/>
  <c r="AQ138" i="109"/>
  <c r="AQ188" i="109"/>
  <c r="AT141" i="109"/>
  <c r="AQ133" i="109"/>
  <c r="AQ250" i="109"/>
  <c r="AO49" i="112"/>
  <c r="AQ163" i="109"/>
  <c r="AT49" i="109"/>
  <c r="AO170" i="112"/>
  <c r="AT211" i="109"/>
  <c r="AQ211" i="109"/>
  <c r="AT161" i="109"/>
  <c r="AO180" i="112"/>
  <c r="AT56" i="109"/>
  <c r="AQ85" i="109"/>
  <c r="AO43" i="109"/>
  <c r="AO52" i="112"/>
  <c r="AQ57" i="109"/>
  <c r="AT120" i="109"/>
  <c r="AQ130" i="109"/>
  <c r="AO76" i="112"/>
  <c r="AT180" i="109"/>
  <c r="AP131" i="109"/>
  <c r="AO207" i="113"/>
  <c r="AO193" i="112"/>
  <c r="AO77" i="112"/>
  <c r="AQ96" i="109"/>
  <c r="AS192" i="109"/>
  <c r="AS43" i="109"/>
  <c r="AT198" i="109"/>
  <c r="AT86" i="109"/>
  <c r="AT249" i="109"/>
  <c r="AO95" i="112"/>
  <c r="AT97" i="109"/>
  <c r="AS199" i="109"/>
  <c r="AQ78" i="109"/>
  <c r="T46" i="19"/>
  <c r="AQ135" i="112"/>
  <c r="AQ52" i="109"/>
  <c r="AO184" i="112"/>
  <c r="AT185" i="109"/>
  <c r="AQ247" i="109"/>
  <c r="AO63" i="112"/>
  <c r="AQ197" i="109"/>
  <c r="AQ62" i="109"/>
  <c r="AT96" i="109"/>
  <c r="AS188" i="109"/>
  <c r="AT140" i="109"/>
  <c r="AQ185" i="109"/>
  <c r="AO79" i="112"/>
  <c r="AS129" i="109"/>
  <c r="AO45" i="112"/>
  <c r="T108" i="19"/>
  <c r="AQ56" i="109"/>
  <c r="AO96" i="112"/>
  <c r="AO133" i="112"/>
  <c r="AO227" i="112"/>
  <c r="AO248" i="112"/>
  <c r="AQ81" i="109"/>
  <c r="AT207" i="109"/>
  <c r="AO145" i="112"/>
  <c r="AQ107" i="109"/>
  <c r="AQ146" i="109"/>
  <c r="AT110" i="109"/>
  <c r="AS130" i="109"/>
  <c r="AQ153" i="109"/>
  <c r="AT129" i="109"/>
  <c r="AQ101" i="109"/>
  <c r="AQ192" i="109"/>
  <c r="AQ100" i="109"/>
  <c r="AQ248" i="109"/>
  <c r="AO226" i="112"/>
  <c r="AQ135" i="109"/>
  <c r="AS128" i="109"/>
  <c r="AT90" i="109"/>
  <c r="AQ91" i="109"/>
  <c r="AT210" i="109"/>
  <c r="AO250" i="112"/>
  <c r="AO110" i="112"/>
  <c r="AR135" i="112"/>
  <c r="AO50" i="112"/>
  <c r="AO46" i="112"/>
  <c r="AT63" i="109"/>
  <c r="AO108" i="112"/>
  <c r="AO86" i="112"/>
  <c r="AT58" i="109"/>
  <c r="AQ84" i="109"/>
  <c r="AO207" i="112"/>
  <c r="AQ209" i="109"/>
  <c r="AO90" i="112"/>
  <c r="AO258" i="112"/>
  <c r="AT178" i="109"/>
  <c r="AT100" i="109"/>
  <c r="AO100" i="112"/>
  <c r="AQ49" i="109"/>
  <c r="AO185" i="112"/>
  <c r="AO129" i="112"/>
  <c r="AO167" i="112"/>
  <c r="AQ97" i="109"/>
  <c r="AT209" i="109"/>
  <c r="T124" i="19"/>
  <c r="T93" i="19"/>
  <c r="T62" i="19"/>
  <c r="AO138" i="112"/>
  <c r="AT150" i="109"/>
  <c r="AQ141" i="109"/>
  <c r="AO200" i="112"/>
  <c r="AO211" i="112"/>
  <c r="AQ50" i="109"/>
  <c r="AO208" i="112"/>
  <c r="AQ104" i="109"/>
  <c r="AO71" i="112"/>
  <c r="AT131" i="109"/>
  <c r="AQ58" i="109"/>
  <c r="AQ108" i="109"/>
  <c r="AO190" i="112"/>
  <c r="AS179" i="109"/>
  <c r="AT67" i="109"/>
  <c r="AT159" i="109"/>
  <c r="AO135" i="112"/>
  <c r="AP189" i="109"/>
  <c r="AQ66" i="109"/>
  <c r="AO139" i="112"/>
  <c r="AT133" i="109"/>
  <c r="AQ189" i="109"/>
  <c r="AT105" i="109"/>
  <c r="AT46" i="109"/>
  <c r="AQ149" i="109"/>
  <c r="AT104" i="109"/>
  <c r="AQ132" i="109"/>
  <c r="AP188" i="112"/>
  <c r="AP128" i="112"/>
  <c r="AQ44" i="109"/>
  <c r="AO197" i="112"/>
  <c r="AO247" i="112"/>
  <c r="AT107" i="109"/>
  <c r="AT168" i="109"/>
  <c r="AQ169" i="109"/>
  <c r="AO105" i="112"/>
  <c r="AT50" i="109"/>
  <c r="AO192" i="112"/>
  <c r="AS191" i="109"/>
  <c r="AT85" i="109"/>
  <c r="AT62" i="109"/>
  <c r="AQ139" i="109"/>
  <c r="AT246" i="109"/>
  <c r="AS51" i="109"/>
  <c r="AP247" i="109"/>
  <c r="AQ158" i="109"/>
  <c r="AQ190" i="109"/>
  <c r="AQ128" i="109"/>
  <c r="AO222" i="109"/>
  <c r="AT43" i="109"/>
  <c r="AT57" i="109"/>
  <c r="AO158" i="112"/>
  <c r="AT146" i="109"/>
  <c r="AT189" i="109"/>
  <c r="AQ150" i="109"/>
  <c r="AQ120" i="109"/>
  <c r="AT52" i="109"/>
  <c r="AT200" i="109"/>
  <c r="AO153" i="112"/>
  <c r="AO169" i="112"/>
  <c r="AS146" i="109"/>
  <c r="AP46" i="109"/>
  <c r="AQ246" i="109"/>
  <c r="AT139" i="109"/>
  <c r="AQ194" i="109"/>
  <c r="AQ178" i="109"/>
  <c r="AQ90" i="109"/>
  <c r="AQ80" i="109"/>
  <c r="AO189" i="112"/>
  <c r="AP197" i="112"/>
  <c r="AT170" i="109"/>
  <c r="AT78" i="109"/>
  <c r="AQ45" i="109"/>
  <c r="AS44" i="109"/>
  <c r="AQ79" i="109"/>
  <c r="AS190" i="109"/>
  <c r="AQ170" i="109"/>
  <c r="AT101" i="109"/>
  <c r="AO107" i="112"/>
  <c r="T94" i="19"/>
  <c r="T63" i="19"/>
  <c r="T125" i="19"/>
  <c r="AQ77" i="109"/>
  <c r="AO56" i="112"/>
  <c r="AO179" i="112"/>
  <c r="AT135" i="109"/>
  <c r="AQ89" i="109"/>
  <c r="AT167" i="109"/>
  <c r="AO61" i="112"/>
  <c r="AO239" i="112"/>
  <c r="AO209" i="112"/>
  <c r="AO97" i="112"/>
  <c r="AO210" i="112"/>
  <c r="AO85" i="112"/>
  <c r="AT154" i="109"/>
  <c r="AO146" i="112"/>
  <c r="AQ184" i="109"/>
  <c r="AO91" i="112"/>
  <c r="AT89" i="109"/>
  <c r="AT153" i="109"/>
  <c r="AQ61" i="109"/>
  <c r="AT119" i="109"/>
  <c r="AQ199" i="109"/>
  <c r="AT184" i="109"/>
  <c r="AT250" i="109"/>
  <c r="AT81" i="109"/>
  <c r="AQ63" i="109"/>
  <c r="AQ106" i="109"/>
  <c r="AO224" i="112"/>
  <c r="AS185" i="109"/>
  <c r="AT108" i="109"/>
  <c r="AT216" i="109"/>
  <c r="AO130" i="112"/>
  <c r="AT84" i="109"/>
  <c r="AT247" i="109"/>
  <c r="AS131" i="109"/>
  <c r="AT66" i="109"/>
  <c r="AO132" i="112"/>
  <c r="AO140" i="112"/>
  <c r="AS45" i="109"/>
  <c r="AT132" i="109"/>
  <c r="AO256" i="109"/>
  <c r="AP44" i="109"/>
  <c r="AT145" i="109"/>
  <c r="AO67" i="112"/>
  <c r="AQ51" i="109"/>
  <c r="AT190" i="109"/>
  <c r="AS200" i="109"/>
  <c r="AS189" i="109"/>
  <c r="AT193" i="109"/>
  <c r="AQ86" i="109"/>
  <c r="AO141" i="112"/>
  <c r="AT197" i="109"/>
  <c r="AT248" i="109"/>
  <c r="AT158" i="109"/>
  <c r="AT77" i="109"/>
  <c r="AS197" i="109"/>
  <c r="AT179" i="109"/>
  <c r="AS198" i="109"/>
  <c r="AQ207" i="109"/>
  <c r="AP45" i="109"/>
  <c r="AO246" i="112"/>
  <c r="AP43" i="109"/>
  <c r="AQ159" i="109"/>
  <c r="AT169" i="109"/>
  <c r="AP208" i="109"/>
  <c r="AQ72" i="109"/>
  <c r="AT191" i="109"/>
  <c r="AO233" i="109"/>
  <c r="AQ46" i="109"/>
  <c r="AO199" i="112"/>
  <c r="AO106" i="112"/>
  <c r="AO58" i="112"/>
  <c r="AO149" i="112"/>
  <c r="AO128" i="112"/>
  <c r="AO89" i="112"/>
  <c r="AQ161" i="109"/>
  <c r="AO70" i="112"/>
  <c r="AQ140" i="109"/>
  <c r="AO80" i="112"/>
  <c r="AP50" i="109"/>
  <c r="AT79" i="109"/>
  <c r="AP129" i="109"/>
  <c r="AS249" i="109"/>
  <c r="AS250" i="109"/>
  <c r="AO168" i="112"/>
  <c r="AT138" i="109"/>
  <c r="AP129" i="112"/>
  <c r="AT80" i="109"/>
  <c r="J125" i="19" l="1"/>
  <c r="J63" i="19"/>
  <c r="J94" i="19"/>
  <c r="H80" i="110" s="1"/>
  <c r="J62" i="19"/>
  <c r="H79" i="108" s="1"/>
  <c r="J93" i="19"/>
  <c r="H79" i="110" s="1"/>
  <c r="J124" i="19"/>
  <c r="J61" i="19"/>
  <c r="H78" i="108" s="1"/>
  <c r="J92" i="19"/>
  <c r="H78" i="110" s="1"/>
  <c r="J123" i="19"/>
  <c r="O105" i="29"/>
  <c r="Q105" i="29" s="1"/>
  <c r="O104" i="29"/>
  <c r="Q104" i="29" s="1"/>
  <c r="S181" i="107"/>
  <c r="S125" i="107"/>
  <c r="S92" i="107"/>
  <c r="S53" i="107"/>
  <c r="S250" i="112"/>
  <c r="X250" i="112" s="1"/>
  <c r="Y250" i="109"/>
  <c r="O652" i="29"/>
  <c r="BN652" i="29" s="1"/>
  <c r="S170" i="112"/>
  <c r="S191" i="112"/>
  <c r="X191" i="112" s="1"/>
  <c r="S193" i="112"/>
  <c r="S109" i="112"/>
  <c r="S199" i="112"/>
  <c r="X199" i="112" s="1"/>
  <c r="S72" i="112"/>
  <c r="S249" i="112"/>
  <c r="X249" i="112" s="1"/>
  <c r="S194" i="112"/>
  <c r="S79" i="112"/>
  <c r="S80" i="112"/>
  <c r="S200" i="112"/>
  <c r="X200" i="112" s="1"/>
  <c r="S63" i="112"/>
  <c r="S58" i="112"/>
  <c r="S52" i="112"/>
  <c r="S226" i="112"/>
  <c r="S140" i="112"/>
  <c r="S135" i="112"/>
  <c r="AD135" i="112" s="1"/>
  <c r="S81" i="112"/>
  <c r="S227" i="112"/>
  <c r="S106" i="112"/>
  <c r="S107" i="112"/>
  <c r="S86" i="112"/>
  <c r="S91" i="112"/>
  <c r="S248" i="112"/>
  <c r="S132" i="112"/>
  <c r="X132" i="112" s="1"/>
  <c r="S180" i="112"/>
  <c r="X180" i="112" s="1"/>
  <c r="S108" i="112"/>
  <c r="S192" i="112"/>
  <c r="X192" i="112" s="1"/>
  <c r="S141" i="112"/>
  <c r="W135" i="112"/>
  <c r="X135" i="112" s="1"/>
  <c r="S110" i="112"/>
  <c r="S210" i="112"/>
  <c r="S133" i="112"/>
  <c r="S169" i="112"/>
  <c r="S190" i="112"/>
  <c r="S211" i="112"/>
  <c r="S209" i="112"/>
  <c r="S163" i="112"/>
  <c r="S97" i="112"/>
  <c r="S51" i="112"/>
  <c r="AD51" i="112" s="1"/>
  <c r="S225" i="112"/>
  <c r="AE170" i="109"/>
  <c r="Y170" i="109"/>
  <c r="O621" i="29"/>
  <c r="BN621" i="29" s="1"/>
  <c r="F602" i="29"/>
  <c r="Y191" i="109"/>
  <c r="O630" i="29"/>
  <c r="BN630" i="29" s="1"/>
  <c r="Y198" i="109"/>
  <c r="G635" i="29" s="1"/>
  <c r="O635" i="29"/>
  <c r="BN635" i="29" s="1"/>
  <c r="Y193" i="109"/>
  <c r="AE193" i="109"/>
  <c r="O632" i="29"/>
  <c r="BN632" i="29" s="1"/>
  <c r="Y109" i="109"/>
  <c r="AE109" i="109"/>
  <c r="O592" i="29"/>
  <c r="BN592" i="29" s="1"/>
  <c r="AE168" i="109"/>
  <c r="Y168" i="109"/>
  <c r="G619" i="29" s="1"/>
  <c r="O619" i="29"/>
  <c r="BN619" i="29" s="1"/>
  <c r="Y199" i="109"/>
  <c r="O636" i="29"/>
  <c r="BN636" i="29" s="1"/>
  <c r="Y50" i="109"/>
  <c r="G556" i="29" s="1"/>
  <c r="AE50" i="109"/>
  <c r="O556" i="29"/>
  <c r="BN556" i="29" s="1"/>
  <c r="AE72" i="109"/>
  <c r="Y72" i="109"/>
  <c r="O569" i="29"/>
  <c r="BN569" i="29" s="1"/>
  <c r="AE101" i="109"/>
  <c r="Y101" i="109"/>
  <c r="G586" i="29" s="1"/>
  <c r="O586" i="29"/>
  <c r="BN586" i="29" s="1"/>
  <c r="Y249" i="109"/>
  <c r="O651" i="29"/>
  <c r="BN651" i="29" s="1"/>
  <c r="Y194" i="109"/>
  <c r="AE194" i="109"/>
  <c r="O633" i="29"/>
  <c r="BN633" i="29" s="1"/>
  <c r="Y146" i="109"/>
  <c r="G608" i="29" s="1"/>
  <c r="O608" i="29"/>
  <c r="BN608" i="29" s="1"/>
  <c r="AE79" i="109"/>
  <c r="Y79" i="109"/>
  <c r="O573" i="29"/>
  <c r="BN573" i="29" s="1"/>
  <c r="AE80" i="109"/>
  <c r="Y80" i="109"/>
  <c r="O574" i="29"/>
  <c r="BN574" i="29" s="1"/>
  <c r="Y200" i="109"/>
  <c r="O637" i="29"/>
  <c r="BN637" i="29" s="1"/>
  <c r="Y63" i="109"/>
  <c r="AE63" i="109"/>
  <c r="O564" i="29"/>
  <c r="BN564" i="29" s="1"/>
  <c r="AE58" i="109"/>
  <c r="Y58" i="109"/>
  <c r="O561" i="29"/>
  <c r="BN561" i="29" s="1"/>
  <c r="Y52" i="109"/>
  <c r="AE52" i="109"/>
  <c r="O558" i="29"/>
  <c r="BN558" i="29" s="1"/>
  <c r="AE247" i="109"/>
  <c r="I649" i="29" s="1"/>
  <c r="Y247" i="109"/>
  <c r="G649" i="29" s="1"/>
  <c r="O649" i="29"/>
  <c r="BN649" i="29" s="1"/>
  <c r="Y208" i="109"/>
  <c r="G639" i="29" s="1"/>
  <c r="AE208" i="109"/>
  <c r="O639" i="29"/>
  <c r="BN639" i="29" s="1"/>
  <c r="AE90" i="109"/>
  <c r="I580" i="29" s="1"/>
  <c r="Y90" i="109"/>
  <c r="G580" i="29" s="1"/>
  <c r="O580" i="29"/>
  <c r="BN580" i="29" s="1"/>
  <c r="AE140" i="109"/>
  <c r="Y140" i="109"/>
  <c r="O605" i="29"/>
  <c r="BN605" i="29" s="1"/>
  <c r="AE135" i="109"/>
  <c r="O602" i="29"/>
  <c r="BN602" i="29" s="1"/>
  <c r="Y81" i="109"/>
  <c r="AE81" i="109"/>
  <c r="O575" i="29"/>
  <c r="BN575" i="29" s="1"/>
  <c r="Y185" i="109"/>
  <c r="G626" i="29" s="1"/>
  <c r="AE185" i="109"/>
  <c r="O626" i="29"/>
  <c r="BN626" i="29" s="1"/>
  <c r="AE106" i="109"/>
  <c r="Y106" i="109"/>
  <c r="O589" i="29"/>
  <c r="BN589" i="29" s="1"/>
  <c r="Y107" i="109"/>
  <c r="AE107" i="109"/>
  <c r="O590" i="29"/>
  <c r="BN590" i="29" s="1"/>
  <c r="G602" i="29"/>
  <c r="Y105" i="109"/>
  <c r="G588" i="29" s="1"/>
  <c r="AE105" i="109"/>
  <c r="O588" i="29"/>
  <c r="BN588" i="29" s="1"/>
  <c r="AE85" i="109"/>
  <c r="I577" i="29" s="1"/>
  <c r="Y85" i="109"/>
  <c r="G577" i="29" s="1"/>
  <c r="O577" i="29"/>
  <c r="BN577" i="29" s="1"/>
  <c r="AE86" i="109"/>
  <c r="Y86" i="109"/>
  <c r="O578" i="29"/>
  <c r="BN578" i="29" s="1"/>
  <c r="AE96" i="109"/>
  <c r="Y96" i="109"/>
  <c r="G583" i="29" s="1"/>
  <c r="O583" i="29"/>
  <c r="BN583" i="29" s="1"/>
  <c r="Y91" i="109"/>
  <c r="AE91" i="109"/>
  <c r="O581" i="29"/>
  <c r="BN581" i="29" s="1"/>
  <c r="Y248" i="109"/>
  <c r="AE248" i="109"/>
  <c r="O650" i="29"/>
  <c r="BN650" i="29" s="1"/>
  <c r="AE62" i="109"/>
  <c r="I563" i="29" s="1"/>
  <c r="Y62" i="109"/>
  <c r="G563" i="29" s="1"/>
  <c r="O563" i="29"/>
  <c r="BN563" i="29" s="1"/>
  <c r="AE132" i="109"/>
  <c r="I600" i="29" s="1"/>
  <c r="Y132" i="109"/>
  <c r="G600" i="29" s="1"/>
  <c r="O600" i="29"/>
  <c r="BN600" i="29" s="1"/>
  <c r="Y179" i="109"/>
  <c r="G623" i="29" s="1"/>
  <c r="AE179" i="109"/>
  <c r="I623" i="29" s="1"/>
  <c r="O623" i="29"/>
  <c r="BN623" i="29" s="1"/>
  <c r="AE180" i="109"/>
  <c r="Y180" i="109"/>
  <c r="O624" i="29"/>
  <c r="BN624" i="29" s="1"/>
  <c r="Y108" i="109"/>
  <c r="AE108" i="109"/>
  <c r="O591" i="29"/>
  <c r="BN591" i="29" s="1"/>
  <c r="AE57" i="109"/>
  <c r="Y57" i="109"/>
  <c r="G560" i="29" s="1"/>
  <c r="O560" i="29"/>
  <c r="BN560" i="29" s="1"/>
  <c r="Y192" i="109"/>
  <c r="O631" i="29"/>
  <c r="BN631" i="29" s="1"/>
  <c r="AE141" i="109"/>
  <c r="Y141" i="109"/>
  <c r="O606" i="29"/>
  <c r="BN606" i="29" s="1"/>
  <c r="Y120" i="109"/>
  <c r="G595" i="29" s="1"/>
  <c r="AE120" i="109"/>
  <c r="I595" i="29" s="1"/>
  <c r="O595" i="29"/>
  <c r="BN595" i="29" s="1"/>
  <c r="AE154" i="109"/>
  <c r="I612" i="29" s="1"/>
  <c r="Y154" i="109"/>
  <c r="G612" i="29" s="1"/>
  <c r="O612" i="29"/>
  <c r="BN612" i="29" s="1"/>
  <c r="Y110" i="109"/>
  <c r="AE110" i="109"/>
  <c r="O593" i="29"/>
  <c r="BN593" i="29" s="1"/>
  <c r="Y150" i="109"/>
  <c r="G610" i="29" s="1"/>
  <c r="AE150" i="109"/>
  <c r="I610" i="29" s="1"/>
  <c r="O610" i="29"/>
  <c r="BN610" i="29" s="1"/>
  <c r="Y210" i="109"/>
  <c r="AE210" i="109"/>
  <c r="O641" i="29"/>
  <c r="BN641" i="29" s="1"/>
  <c r="Y133" i="109"/>
  <c r="AE133" i="109"/>
  <c r="O601" i="29"/>
  <c r="BN601" i="29" s="1"/>
  <c r="AE169" i="109"/>
  <c r="Y169" i="109"/>
  <c r="O620" i="29"/>
  <c r="BN620" i="29" s="1"/>
  <c r="Y190" i="109"/>
  <c r="O629" i="29"/>
  <c r="BN629" i="29" s="1"/>
  <c r="Y211" i="109"/>
  <c r="AE211" i="109"/>
  <c r="O642" i="29"/>
  <c r="BN642" i="29" s="1"/>
  <c r="Y67" i="109"/>
  <c r="G566" i="29" s="1"/>
  <c r="AE67" i="109"/>
  <c r="I566" i="29" s="1"/>
  <c r="O566" i="29"/>
  <c r="BN566" i="29" s="1"/>
  <c r="Y209" i="109"/>
  <c r="AE209" i="109"/>
  <c r="O640" i="29"/>
  <c r="BN640" i="29" s="1"/>
  <c r="AE163" i="109"/>
  <c r="Y163" i="109"/>
  <c r="O617" i="29"/>
  <c r="BN617" i="29" s="1"/>
  <c r="Y97" i="109"/>
  <c r="AE97" i="109"/>
  <c r="O584" i="29"/>
  <c r="BN584" i="29" s="1"/>
  <c r="AE51" i="109"/>
  <c r="Y51" i="109"/>
  <c r="O557" i="29"/>
  <c r="BN557" i="29" s="1"/>
  <c r="Y189" i="109"/>
  <c r="G628" i="29" s="1"/>
  <c r="O628" i="29"/>
  <c r="BN628" i="29" s="1"/>
  <c r="S78" i="112"/>
  <c r="AE78" i="109"/>
  <c r="Y78" i="109"/>
  <c r="O572" i="29"/>
  <c r="BN572" i="29" s="1"/>
  <c r="S77" i="112"/>
  <c r="Y77" i="109"/>
  <c r="AE77" i="109"/>
  <c r="O571" i="29"/>
  <c r="BN571" i="29" s="1"/>
  <c r="Y71" i="109"/>
  <c r="G568" i="29" s="1"/>
  <c r="AE71" i="109"/>
  <c r="I568" i="29" s="1"/>
  <c r="O568" i="29"/>
  <c r="BN568" i="29" s="1"/>
  <c r="AD76" i="109"/>
  <c r="X76" i="109"/>
  <c r="S76" i="112"/>
  <c r="S74" i="109"/>
  <c r="AE76" i="109"/>
  <c r="Y76" i="109"/>
  <c r="O570" i="29"/>
  <c r="BN570" i="29" s="1"/>
  <c r="S207" i="113"/>
  <c r="S145" i="113"/>
  <c r="F596" i="29"/>
  <c r="F597" i="29"/>
  <c r="F627" i="29"/>
  <c r="F634" i="29"/>
  <c r="X216" i="109"/>
  <c r="AD216" i="109"/>
  <c r="X158" i="109"/>
  <c r="AD158" i="109"/>
  <c r="AD84" i="109"/>
  <c r="X84" i="109"/>
  <c r="AD207" i="109"/>
  <c r="X207" i="109"/>
  <c r="AD56" i="109"/>
  <c r="X56" i="109"/>
  <c r="AD149" i="109"/>
  <c r="X149" i="109"/>
  <c r="X70" i="109"/>
  <c r="AD70" i="109"/>
  <c r="AD95" i="109"/>
  <c r="X95" i="109"/>
  <c r="AD138" i="109"/>
  <c r="X138" i="109"/>
  <c r="AD49" i="109"/>
  <c r="X49" i="109"/>
  <c r="AD246" i="109"/>
  <c r="X246" i="109"/>
  <c r="X119" i="109"/>
  <c r="AD119" i="109"/>
  <c r="X145" i="109"/>
  <c r="AD145" i="109"/>
  <c r="AD104" i="109"/>
  <c r="X104" i="109"/>
  <c r="X89" i="109"/>
  <c r="AD89" i="109"/>
  <c r="AD61" i="109"/>
  <c r="X61" i="109"/>
  <c r="X184" i="109"/>
  <c r="AD184" i="109"/>
  <c r="AD178" i="109"/>
  <c r="X178" i="109"/>
  <c r="X167" i="109"/>
  <c r="AD167" i="109"/>
  <c r="AD153" i="109"/>
  <c r="X153" i="109"/>
  <c r="X100" i="109"/>
  <c r="AD100" i="109"/>
  <c r="X66" i="109"/>
  <c r="AD66" i="109"/>
  <c r="J140" i="19"/>
  <c r="H64" i="111"/>
  <c r="I64" i="111" s="1"/>
  <c r="K64" i="111" s="1"/>
  <c r="K834" i="29" s="1"/>
  <c r="AA88" i="29"/>
  <c r="AC88" i="29" s="1"/>
  <c r="S174" i="107"/>
  <c r="S105" i="29"/>
  <c r="U105" i="29" s="1"/>
  <c r="H80" i="108"/>
  <c r="I80" i="108" s="1"/>
  <c r="K80" i="108" s="1"/>
  <c r="K501" i="29" s="1"/>
  <c r="H63" i="114"/>
  <c r="AE89" i="29"/>
  <c r="AG89" i="29" s="1"/>
  <c r="H65" i="114"/>
  <c r="I65" i="114" s="1"/>
  <c r="K65" i="114" s="1"/>
  <c r="K1008" i="29" s="1"/>
  <c r="H63" i="108"/>
  <c r="I63" i="108" s="1"/>
  <c r="K63" i="108" s="1"/>
  <c r="H63" i="110"/>
  <c r="I63" i="110" s="1"/>
  <c r="K63" i="110" s="1"/>
  <c r="W89" i="29"/>
  <c r="Y89" i="29" s="1"/>
  <c r="H65" i="110"/>
  <c r="H63" i="111"/>
  <c r="I63" i="111" s="1"/>
  <c r="K63" i="111" s="1"/>
  <c r="AA89" i="29"/>
  <c r="AC89" i="29" s="1"/>
  <c r="H65" i="111"/>
  <c r="AD192" i="109"/>
  <c r="H631" i="29" s="1"/>
  <c r="AE192" i="109"/>
  <c r="I631" i="29" s="1"/>
  <c r="S153" i="112"/>
  <c r="S100" i="112"/>
  <c r="S188" i="112"/>
  <c r="X188" i="112" s="1"/>
  <c r="S66" i="112"/>
  <c r="S197" i="112"/>
  <c r="X197" i="112" s="1"/>
  <c r="S158" i="112"/>
  <c r="S84" i="112"/>
  <c r="S128" i="112"/>
  <c r="X128" i="112" s="1"/>
  <c r="S56" i="112"/>
  <c r="S149" i="112"/>
  <c r="S70" i="112"/>
  <c r="S95" i="112"/>
  <c r="S138" i="112"/>
  <c r="S49" i="112"/>
  <c r="S246" i="112"/>
  <c r="S119" i="112"/>
  <c r="S104" i="112"/>
  <c r="S89" i="112"/>
  <c r="S61" i="112"/>
  <c r="S184" i="112"/>
  <c r="S178" i="112"/>
  <c r="S167" i="112"/>
  <c r="AE100" i="109"/>
  <c r="I585" i="29" s="1"/>
  <c r="AE158" i="109"/>
  <c r="I613" i="29" s="1"/>
  <c r="AE207" i="109"/>
  <c r="AE56" i="109"/>
  <c r="I559" i="29" s="1"/>
  <c r="AE95" i="109"/>
  <c r="I582" i="29" s="1"/>
  <c r="AE49" i="109"/>
  <c r="I555" i="29" s="1"/>
  <c r="AE104" i="109"/>
  <c r="I587" i="29" s="1"/>
  <c r="AE184" i="109"/>
  <c r="I625" i="29" s="1"/>
  <c r="AE167" i="109"/>
  <c r="I618" i="29" s="1"/>
  <c r="AD45" i="109"/>
  <c r="H553" i="29" s="1"/>
  <c r="AD200" i="109"/>
  <c r="H637" i="29" s="1"/>
  <c r="AE200" i="109"/>
  <c r="I637" i="29" s="1"/>
  <c r="AD191" i="109"/>
  <c r="AE191" i="109"/>
  <c r="AD131" i="109"/>
  <c r="AE131" i="109"/>
  <c r="S256" i="109"/>
  <c r="S255" i="109" s="1"/>
  <c r="S154" i="112"/>
  <c r="S101" i="112"/>
  <c r="S189" i="112"/>
  <c r="X189" i="112" s="1"/>
  <c r="S67" i="112"/>
  <c r="S198" i="112"/>
  <c r="X198" i="112" s="1"/>
  <c r="S43" i="109"/>
  <c r="Y43" i="109" s="1"/>
  <c r="S222" i="109"/>
  <c r="S221" i="109" s="1"/>
  <c r="S159" i="112"/>
  <c r="S85" i="112"/>
  <c r="S224" i="112"/>
  <c r="S208" i="112"/>
  <c r="S57" i="112"/>
  <c r="S150" i="112"/>
  <c r="S34" i="109"/>
  <c r="S32" i="109" s="1"/>
  <c r="S31" i="109" s="1"/>
  <c r="S233" i="109"/>
  <c r="S232" i="109" s="1"/>
  <c r="S71" i="112"/>
  <c r="S96" i="112"/>
  <c r="S139" i="112"/>
  <c r="S50" i="112"/>
  <c r="S258" i="112"/>
  <c r="S247" i="112"/>
  <c r="S120" i="112"/>
  <c r="Y131" i="109"/>
  <c r="S105" i="112"/>
  <c r="S90" i="112"/>
  <c r="S62" i="112"/>
  <c r="S185" i="112"/>
  <c r="S179" i="112"/>
  <c r="S168" i="112"/>
  <c r="G425" i="29"/>
  <c r="O477" i="29"/>
  <c r="BN477" i="29" s="1"/>
  <c r="AE153" i="109"/>
  <c r="Y153" i="109"/>
  <c r="S151" i="109"/>
  <c r="O611" i="29"/>
  <c r="BN611" i="29" s="1"/>
  <c r="Y100" i="109"/>
  <c r="S98" i="109"/>
  <c r="O585" i="29"/>
  <c r="BN585" i="29" s="1"/>
  <c r="Y188" i="109"/>
  <c r="S186" i="109"/>
  <c r="O627" i="29"/>
  <c r="BN627" i="29" s="1"/>
  <c r="AE66" i="109"/>
  <c r="S64" i="109"/>
  <c r="Y66" i="109"/>
  <c r="O565" i="29"/>
  <c r="BN565" i="29" s="1"/>
  <c r="S195" i="109"/>
  <c r="Y197" i="109"/>
  <c r="O634" i="29"/>
  <c r="BN634" i="29" s="1"/>
  <c r="S40" i="107"/>
  <c r="S39" i="107" s="1"/>
  <c r="O468" i="29"/>
  <c r="BN468" i="29" s="1"/>
  <c r="Y158" i="109"/>
  <c r="S156" i="109"/>
  <c r="S155" i="109" s="1"/>
  <c r="O613" i="29"/>
  <c r="BN613" i="29" s="1"/>
  <c r="AE84" i="109"/>
  <c r="Y84" i="109"/>
  <c r="S82" i="109"/>
  <c r="O576" i="29"/>
  <c r="BN576" i="29" s="1"/>
  <c r="Y207" i="109"/>
  <c r="S205" i="109"/>
  <c r="S204" i="109" s="1"/>
  <c r="O638" i="29"/>
  <c r="BN638" i="29" s="1"/>
  <c r="Y128" i="109"/>
  <c r="O596" i="29"/>
  <c r="BN596" i="29" s="1"/>
  <c r="S54" i="109"/>
  <c r="Y56" i="109"/>
  <c r="O559" i="29"/>
  <c r="BN559" i="29" s="1"/>
  <c r="AE149" i="109"/>
  <c r="Y149" i="109"/>
  <c r="S147" i="109"/>
  <c r="O609" i="29"/>
  <c r="BN609" i="29" s="1"/>
  <c r="S31" i="107"/>
  <c r="D80" i="29" s="1"/>
  <c r="H452" i="29"/>
  <c r="AE70" i="109"/>
  <c r="Y70" i="109"/>
  <c r="S68" i="109"/>
  <c r="O567" i="29"/>
  <c r="BN567" i="29" s="1"/>
  <c r="Y95" i="109"/>
  <c r="S93" i="109"/>
  <c r="O582" i="29"/>
  <c r="BN582" i="29" s="1"/>
  <c r="AE138" i="109"/>
  <c r="Y138" i="109"/>
  <c r="S136" i="109"/>
  <c r="O603" i="29"/>
  <c r="BN603" i="29" s="1"/>
  <c r="Y49" i="109"/>
  <c r="S47" i="109"/>
  <c r="O555" i="29"/>
  <c r="BN555" i="29" s="1"/>
  <c r="AE246" i="109"/>
  <c r="S244" i="109"/>
  <c r="S243" i="109" s="1"/>
  <c r="Y246" i="109"/>
  <c r="O648" i="29"/>
  <c r="BN648" i="29" s="1"/>
  <c r="AE119" i="109"/>
  <c r="S117" i="109"/>
  <c r="S116" i="109" s="1"/>
  <c r="S115" i="109" s="1"/>
  <c r="Y119" i="109"/>
  <c r="O594" i="29"/>
  <c r="BN594" i="29" s="1"/>
  <c r="AE145" i="109"/>
  <c r="Y145" i="109"/>
  <c r="S143" i="109"/>
  <c r="O607" i="29"/>
  <c r="BN607" i="29" s="1"/>
  <c r="Y104" i="109"/>
  <c r="S102" i="109"/>
  <c r="O587" i="29"/>
  <c r="BN587" i="29" s="1"/>
  <c r="AE89" i="109"/>
  <c r="Y89" i="109"/>
  <c r="S87" i="109"/>
  <c r="O579" i="29"/>
  <c r="BN579" i="29" s="1"/>
  <c r="AE61" i="109"/>
  <c r="S59" i="109"/>
  <c r="Y61" i="109"/>
  <c r="O562" i="29"/>
  <c r="BN562" i="29" s="1"/>
  <c r="Y184" i="109"/>
  <c r="S182" i="109"/>
  <c r="O625" i="29"/>
  <c r="BN625" i="29" s="1"/>
  <c r="AE178" i="109"/>
  <c r="S176" i="109"/>
  <c r="S175" i="109" s="1"/>
  <c r="Y178" i="109"/>
  <c r="O622" i="29"/>
  <c r="BN622" i="29" s="1"/>
  <c r="Y167" i="109"/>
  <c r="S165" i="109"/>
  <c r="S164" i="109" s="1"/>
  <c r="O618" i="29"/>
  <c r="BN618" i="29" s="1"/>
  <c r="D79" i="29"/>
  <c r="S239" i="112"/>
  <c r="S238" i="112" s="1"/>
  <c r="S130" i="112"/>
  <c r="X130" i="112" s="1"/>
  <c r="AD190" i="109"/>
  <c r="AE190" i="109"/>
  <c r="AD199" i="109"/>
  <c r="AE199" i="109"/>
  <c r="Y130" i="109"/>
  <c r="S46" i="112"/>
  <c r="X46" i="112" s="1"/>
  <c r="F728" i="29" s="1"/>
  <c r="F421" i="29"/>
  <c r="AE216" i="109"/>
  <c r="S215" i="109"/>
  <c r="Y216" i="109"/>
  <c r="O643" i="29"/>
  <c r="BN643" i="29" s="1"/>
  <c r="G437" i="29"/>
  <c r="Y46" i="109"/>
  <c r="O554" i="29"/>
  <c r="BN554" i="29" s="1"/>
  <c r="F375" i="29"/>
  <c r="F377" i="29"/>
  <c r="I437" i="29"/>
  <c r="I512" i="29" s="1"/>
  <c r="BJ378" i="29" s="1"/>
  <c r="AS378" i="29" s="1"/>
  <c r="AD198" i="109"/>
  <c r="AE198" i="109"/>
  <c r="AD129" i="109"/>
  <c r="AD250" i="109"/>
  <c r="AE250" i="109"/>
  <c r="AD189" i="109"/>
  <c r="AE189" i="109"/>
  <c r="I44" i="118"/>
  <c r="R45" i="118"/>
  <c r="S45" i="118" s="1"/>
  <c r="S129" i="112"/>
  <c r="X129" i="112" s="1"/>
  <c r="Y129" i="109"/>
  <c r="AE129" i="109"/>
  <c r="S126" i="109"/>
  <c r="O597" i="29"/>
  <c r="BN597" i="29" s="1"/>
  <c r="D321" i="118"/>
  <c r="K312" i="118" s="1"/>
  <c r="I312" i="118" s="1"/>
  <c r="O551" i="29"/>
  <c r="BN551" i="29" s="1"/>
  <c r="R179" i="118"/>
  <c r="S179" i="118" s="1"/>
  <c r="V236" i="118" s="1"/>
  <c r="I178" i="118"/>
  <c r="AD249" i="109"/>
  <c r="AE249" i="109"/>
  <c r="AE146" i="109"/>
  <c r="AD146" i="109"/>
  <c r="AE128" i="109"/>
  <c r="AD128" i="109"/>
  <c r="AE188" i="109"/>
  <c r="AD188" i="109"/>
  <c r="AE197" i="109"/>
  <c r="AD197" i="109"/>
  <c r="G378" i="29"/>
  <c r="S26" i="109"/>
  <c r="O549" i="29"/>
  <c r="BN549" i="29" s="1"/>
  <c r="I338" i="29"/>
  <c r="BJ204" i="29" s="1"/>
  <c r="Y282" i="115"/>
  <c r="Z282" i="115" s="1"/>
  <c r="AA282" i="115" s="1"/>
  <c r="AU911" i="29" s="1"/>
  <c r="Y156" i="115"/>
  <c r="Z156" i="115" s="1"/>
  <c r="AA156" i="115" s="1"/>
  <c r="AU564" i="29" s="1"/>
  <c r="S45" i="112"/>
  <c r="AE45" i="109"/>
  <c r="I553" i="29" s="1"/>
  <c r="BN376" i="29"/>
  <c r="Y45" i="109"/>
  <c r="X45" i="109"/>
  <c r="AD46" i="109"/>
  <c r="AE46" i="109"/>
  <c r="X43" i="109"/>
  <c r="AE44" i="109"/>
  <c r="AD44" i="109"/>
  <c r="H375" i="29"/>
  <c r="Y44" i="109"/>
  <c r="G552" i="29" s="1"/>
  <c r="G338" i="29"/>
  <c r="AR204" i="29" s="1"/>
  <c r="O553" i="29"/>
  <c r="F552" i="29"/>
  <c r="O552" i="29"/>
  <c r="AE95" i="115"/>
  <c r="AV390" i="29" s="1"/>
  <c r="AE158" i="115"/>
  <c r="AV566" i="29" s="1"/>
  <c r="AE33" i="115"/>
  <c r="AV217" i="29" s="1"/>
  <c r="AB92" i="115"/>
  <c r="BK387" i="29" s="1"/>
  <c r="AE284" i="115"/>
  <c r="AV913" i="29" s="1"/>
  <c r="AE222" i="115"/>
  <c r="AV741" i="29" s="1"/>
  <c r="AA220" i="115"/>
  <c r="AU739" i="29" s="1"/>
  <c r="T157" i="115"/>
  <c r="W157" i="115" s="1"/>
  <c r="X157" i="115" s="1"/>
  <c r="V157" i="115"/>
  <c r="P160" i="115"/>
  <c r="AC159" i="115"/>
  <c r="Q159" i="115"/>
  <c r="R159" i="115" s="1"/>
  <c r="AD159" i="115"/>
  <c r="Q34" i="115"/>
  <c r="R34" i="115" s="1"/>
  <c r="S34" i="115" s="1"/>
  <c r="T34" i="115" s="1"/>
  <c r="AA93" i="115"/>
  <c r="AU388" i="29" s="1"/>
  <c r="AB30" i="115"/>
  <c r="BK214" i="29" s="1"/>
  <c r="AB155" i="115"/>
  <c r="BK563" i="29" s="1"/>
  <c r="S158" i="115"/>
  <c r="U158" i="115"/>
  <c r="AA31" i="115"/>
  <c r="AU215" i="29" s="1"/>
  <c r="AB219" i="115"/>
  <c r="BK738" i="29" s="1"/>
  <c r="AB281" i="115"/>
  <c r="BK910" i="29" s="1"/>
  <c r="G13" i="30"/>
  <c r="BN294" i="29"/>
  <c r="S284" i="115"/>
  <c r="U284" i="115"/>
  <c r="V283" i="115"/>
  <c r="T283" i="115"/>
  <c r="W283" i="115" s="1"/>
  <c r="X283" i="115" s="1"/>
  <c r="U222" i="115"/>
  <c r="S222" i="115"/>
  <c r="AC96" i="115"/>
  <c r="Q96" i="115"/>
  <c r="R96" i="115" s="1"/>
  <c r="AD96" i="115"/>
  <c r="P97" i="115"/>
  <c r="U95" i="115"/>
  <c r="S95" i="115"/>
  <c r="AC285" i="115"/>
  <c r="Q285" i="115"/>
  <c r="R285" i="115" s="1"/>
  <c r="AD285" i="115"/>
  <c r="P286" i="115"/>
  <c r="AC223" i="115"/>
  <c r="Q223" i="115"/>
  <c r="R223" i="115" s="1"/>
  <c r="AD223" i="115"/>
  <c r="P224" i="115"/>
  <c r="T94" i="115"/>
  <c r="W94" i="115" s="1"/>
  <c r="X94" i="115" s="1"/>
  <c r="V94" i="115"/>
  <c r="V221" i="115"/>
  <c r="T221" i="115"/>
  <c r="W221" i="115" s="1"/>
  <c r="X221" i="115" s="1"/>
  <c r="Y221" i="115" s="1"/>
  <c r="Z221" i="115" s="1"/>
  <c r="O87" i="29"/>
  <c r="Q87" i="29" s="1"/>
  <c r="AH902" i="29"/>
  <c r="AI902" i="29" s="1"/>
  <c r="AJ902" i="29" s="1"/>
  <c r="AG903" i="29" s="1"/>
  <c r="AA503" i="29"/>
  <c r="K75" i="110"/>
  <c r="K672" i="29" s="1"/>
  <c r="K72" i="110"/>
  <c r="K669" i="29" s="1"/>
  <c r="K74" i="110"/>
  <c r="K671" i="29" s="1"/>
  <c r="K66" i="108"/>
  <c r="K486" i="29" s="1"/>
  <c r="X486" i="29" s="1"/>
  <c r="K73" i="110"/>
  <c r="K670" i="29" s="1"/>
  <c r="K73" i="111"/>
  <c r="K844" i="29" s="1"/>
  <c r="K72" i="114"/>
  <c r="K1016" i="29" s="1"/>
  <c r="K68" i="108"/>
  <c r="K489" i="29" s="1"/>
  <c r="X489" i="29" s="1"/>
  <c r="K75" i="114"/>
  <c r="K1019" i="29" s="1"/>
  <c r="K69" i="110"/>
  <c r="K666" i="29" s="1"/>
  <c r="K69" i="111"/>
  <c r="K840" i="29" s="1"/>
  <c r="K72" i="108"/>
  <c r="K493" i="29" s="1"/>
  <c r="K71" i="114"/>
  <c r="K1015" i="29" s="1"/>
  <c r="K69" i="108"/>
  <c r="K76" i="111"/>
  <c r="K847" i="29" s="1"/>
  <c r="K75" i="108"/>
  <c r="K496" i="29" s="1"/>
  <c r="K71" i="108"/>
  <c r="K492" i="29" s="1"/>
  <c r="K74" i="114"/>
  <c r="K1018" i="29" s="1"/>
  <c r="K71" i="111"/>
  <c r="K842" i="29" s="1"/>
  <c r="K67" i="108"/>
  <c r="K487" i="29" s="1"/>
  <c r="K70" i="114"/>
  <c r="K1014" i="29" s="1"/>
  <c r="K75" i="111"/>
  <c r="K846" i="29" s="1"/>
  <c r="K64" i="108"/>
  <c r="K484" i="29" s="1"/>
  <c r="X484" i="29" s="1"/>
  <c r="K70" i="108"/>
  <c r="K491" i="29" s="1"/>
  <c r="K74" i="108"/>
  <c r="K495" i="29" s="1"/>
  <c r="K77" i="110"/>
  <c r="K674" i="29" s="1"/>
  <c r="K69" i="114"/>
  <c r="K1013" i="29" s="1"/>
  <c r="K77" i="114"/>
  <c r="K1021" i="29" s="1"/>
  <c r="K65" i="108"/>
  <c r="K76" i="108"/>
  <c r="K497" i="29" s="1"/>
  <c r="K70" i="110"/>
  <c r="K667" i="29" s="1"/>
  <c r="K71" i="110"/>
  <c r="K668" i="29" s="1"/>
  <c r="I78" i="108"/>
  <c r="K78" i="108" s="1"/>
  <c r="K499" i="29" s="1"/>
  <c r="I68" i="110"/>
  <c r="K68" i="110" s="1"/>
  <c r="K665" i="29" s="1"/>
  <c r="X665" i="29" s="1"/>
  <c r="I64" i="110"/>
  <c r="K64" i="110" s="1"/>
  <c r="K660" i="29" s="1"/>
  <c r="X660" i="29" s="1"/>
  <c r="I65" i="111"/>
  <c r="K65" i="111" s="1"/>
  <c r="K835" i="29" s="1"/>
  <c r="I79" i="108"/>
  <c r="K79" i="108" s="1"/>
  <c r="K500" i="29" s="1"/>
  <c r="I65" i="110"/>
  <c r="K65" i="110" s="1"/>
  <c r="K661" i="29" s="1"/>
  <c r="I79" i="110"/>
  <c r="K79" i="110" s="1"/>
  <c r="K676" i="29" s="1"/>
  <c r="I66" i="111"/>
  <c r="K66" i="111" s="1"/>
  <c r="K836" i="29" s="1"/>
  <c r="X836" i="29" s="1"/>
  <c r="K73" i="108"/>
  <c r="K494" i="29" s="1"/>
  <c r="K72" i="111"/>
  <c r="K843" i="29" s="1"/>
  <c r="K74" i="111"/>
  <c r="K845" i="29" s="1"/>
  <c r="K76" i="114"/>
  <c r="K1020" i="29" s="1"/>
  <c r="K70" i="111"/>
  <c r="K841" i="29" s="1"/>
  <c r="K73" i="114"/>
  <c r="K1017" i="29" s="1"/>
  <c r="K77" i="111"/>
  <c r="K848" i="29" s="1"/>
  <c r="K77" i="108"/>
  <c r="K498" i="29" s="1"/>
  <c r="K76" i="110"/>
  <c r="K673" i="29" s="1"/>
  <c r="I66" i="114"/>
  <c r="K66" i="114" s="1"/>
  <c r="K1009" i="29" s="1"/>
  <c r="X1009" i="29" s="1"/>
  <c r="I67" i="110"/>
  <c r="K67" i="110" s="1"/>
  <c r="K663" i="29" s="1"/>
  <c r="X663" i="29" s="1"/>
  <c r="I78" i="110"/>
  <c r="K78" i="110" s="1"/>
  <c r="K675" i="29" s="1"/>
  <c r="I68" i="111"/>
  <c r="K68" i="111" s="1"/>
  <c r="K839" i="29" s="1"/>
  <c r="X839" i="29" s="1"/>
  <c r="I66" i="110"/>
  <c r="K66" i="110" s="1"/>
  <c r="K662" i="29" s="1"/>
  <c r="I80" i="110"/>
  <c r="K80" i="110" s="1"/>
  <c r="K677" i="29" s="1"/>
  <c r="X677" i="29" s="1"/>
  <c r="I67" i="111"/>
  <c r="K67" i="111" s="1"/>
  <c r="K837" i="29" s="1"/>
  <c r="X837" i="29" s="1"/>
  <c r="AA87" i="29"/>
  <c r="AC87" i="29" s="1"/>
  <c r="W87" i="29"/>
  <c r="Y87" i="29" s="1"/>
  <c r="S87" i="29"/>
  <c r="U87" i="29" s="1"/>
  <c r="AH730" i="29"/>
  <c r="AI730" i="29" s="1"/>
  <c r="AJ730" i="29" s="1"/>
  <c r="AG731" i="29" s="1"/>
  <c r="U33" i="115"/>
  <c r="V32" i="115"/>
  <c r="W32" i="115"/>
  <c r="X32" i="115" s="1"/>
  <c r="P35" i="115"/>
  <c r="AD34" i="115"/>
  <c r="AC34" i="115"/>
  <c r="S124" i="107"/>
  <c r="D78" i="29" s="1"/>
  <c r="S23" i="93"/>
  <c r="AH556" i="29"/>
  <c r="G9" i="29"/>
  <c r="L10" i="29" s="1"/>
  <c r="F9" i="29"/>
  <c r="E9" i="29"/>
  <c r="D9" i="29"/>
  <c r="T156" i="19"/>
  <c r="T154" i="19"/>
  <c r="AO250" i="113"/>
  <c r="AP207" i="113"/>
  <c r="AQ130" i="112"/>
  <c r="AS153" i="112"/>
  <c r="AO131" i="113"/>
  <c r="AQ189" i="112"/>
  <c r="AT62" i="112"/>
  <c r="AO210" i="113"/>
  <c r="AO223" i="112"/>
  <c r="AO163" i="113"/>
  <c r="AT66" i="112"/>
  <c r="AS129" i="112"/>
  <c r="AQ104" i="112"/>
  <c r="AP246" i="112"/>
  <c r="AO149" i="113"/>
  <c r="AO209" i="113"/>
  <c r="AQ105" i="112"/>
  <c r="AP61" i="112"/>
  <c r="AQ247" i="112"/>
  <c r="AS89" i="112"/>
  <c r="AT96" i="112"/>
  <c r="AQ110" i="112"/>
  <c r="AQ78" i="112"/>
  <c r="AQ158" i="112"/>
  <c r="AO225" i="113"/>
  <c r="AO106" i="113"/>
  <c r="AT67" i="112"/>
  <c r="AO80" i="113"/>
  <c r="AT110" i="112"/>
  <c r="AP104" i="112"/>
  <c r="AO49" i="113"/>
  <c r="AP153" i="112"/>
  <c r="AO62" i="113"/>
  <c r="AO199" i="113"/>
  <c r="AT79" i="112"/>
  <c r="AQ185" i="112"/>
  <c r="AO233" i="112"/>
  <c r="AQ146" i="112"/>
  <c r="AT61" i="112"/>
  <c r="AQ154" i="112"/>
  <c r="AO180" i="113"/>
  <c r="AQ70" i="112"/>
  <c r="AO222" i="112"/>
  <c r="AO56" i="113"/>
  <c r="AS100" i="112"/>
  <c r="AO119" i="113"/>
  <c r="AT100" i="112"/>
  <c r="AO89" i="113"/>
  <c r="AT139" i="112"/>
  <c r="AO246" i="113"/>
  <c r="AS95" i="112"/>
  <c r="AQ145" i="112"/>
  <c r="AQ107" i="112"/>
  <c r="AQ150" i="112"/>
  <c r="AT106" i="112"/>
  <c r="AQ77" i="112"/>
  <c r="AP158" i="112"/>
  <c r="AS249" i="112"/>
  <c r="AS44" i="112"/>
  <c r="AQ91" i="112"/>
  <c r="AT170" i="112"/>
  <c r="AT211" i="112"/>
  <c r="AQ84" i="112"/>
  <c r="AO247" i="113"/>
  <c r="AO132" i="113"/>
  <c r="AO133" i="113"/>
  <c r="AO79" i="113"/>
  <c r="AT208" i="112"/>
  <c r="AQ163" i="112"/>
  <c r="AQ246" i="112"/>
  <c r="AQ198" i="112"/>
  <c r="AO27" i="112"/>
  <c r="AQ95" i="112"/>
  <c r="AO169" i="113"/>
  <c r="AQ129" i="112"/>
  <c r="AO63" i="113"/>
  <c r="AQ43" i="112"/>
  <c r="AP56" i="112"/>
  <c r="AO189" i="113"/>
  <c r="AT129" i="112"/>
  <c r="AP130" i="113"/>
  <c r="AP66" i="112"/>
  <c r="AP70" i="112"/>
  <c r="AT246" i="112"/>
  <c r="AT77" i="112"/>
  <c r="AQ197" i="112"/>
  <c r="AO190" i="113"/>
  <c r="AQ57" i="112"/>
  <c r="AO130" i="113"/>
  <c r="AQ191" i="112"/>
  <c r="AS145" i="113"/>
  <c r="AS207" i="113"/>
  <c r="AQ184" i="112"/>
  <c r="AT119" i="112"/>
  <c r="AQ138" i="112"/>
  <c r="AO184" i="113"/>
  <c r="AO198" i="113"/>
  <c r="AO185" i="113"/>
  <c r="AT90" i="112"/>
  <c r="AP95" i="112"/>
  <c r="AT154" i="112"/>
  <c r="AT45" i="112"/>
  <c r="AS49" i="112"/>
  <c r="AS200" i="112"/>
  <c r="AQ96" i="112"/>
  <c r="AO51" i="113"/>
  <c r="AS46" i="112"/>
  <c r="AQ50" i="112"/>
  <c r="T155" i="19"/>
  <c r="AT141" i="112"/>
  <c r="AS132" i="112"/>
  <c r="AQ250" i="112"/>
  <c r="AT209" i="112"/>
  <c r="AQ216" i="112"/>
  <c r="AT63" i="112"/>
  <c r="AT158" i="112"/>
  <c r="AO77" i="113"/>
  <c r="AO91" i="113"/>
  <c r="AQ62" i="112"/>
  <c r="AT51" i="112"/>
  <c r="AO101" i="113"/>
  <c r="AO191" i="113"/>
  <c r="AO216" i="112"/>
  <c r="AS207" i="112"/>
  <c r="AP250" i="113"/>
  <c r="AQ81" i="112"/>
  <c r="AO46" i="113"/>
  <c r="AS70" i="112"/>
  <c r="AP167" i="112"/>
  <c r="AO43" i="112"/>
  <c r="AT188" i="112"/>
  <c r="AP138" i="112"/>
  <c r="AS191" i="112"/>
  <c r="AS76" i="112"/>
  <c r="AT81" i="112"/>
  <c r="AQ49" i="112"/>
  <c r="AQ67" i="112"/>
  <c r="AT46" i="112"/>
  <c r="AQ109" i="112"/>
  <c r="AS135" i="113"/>
  <c r="AT52" i="112"/>
  <c r="AP188" i="113"/>
  <c r="AT109" i="112"/>
  <c r="AO129" i="113"/>
  <c r="AP145" i="113"/>
  <c r="AO208" i="113"/>
  <c r="AO107" i="113"/>
  <c r="AT194" i="112"/>
  <c r="AS104" i="112"/>
  <c r="AT160" i="113"/>
  <c r="AS56" i="112"/>
  <c r="AO188" i="113"/>
  <c r="AO154" i="113"/>
  <c r="AO256" i="112"/>
  <c r="AP199" i="113"/>
  <c r="AS184" i="112"/>
  <c r="AT163" i="112"/>
  <c r="AQ85" i="112"/>
  <c r="AP46" i="112"/>
  <c r="AS192" i="112"/>
  <c r="AQ51" i="112"/>
  <c r="AT145" i="112"/>
  <c r="AO159" i="113"/>
  <c r="AS167" i="112"/>
  <c r="AP76" i="112"/>
  <c r="AQ89" i="112"/>
  <c r="AS190" i="112"/>
  <c r="AQ194" i="112"/>
  <c r="AT49" i="112"/>
  <c r="AO95" i="113"/>
  <c r="AS250" i="112"/>
  <c r="AQ249" i="112"/>
  <c r="AQ56" i="112"/>
  <c r="AQ208" i="112"/>
  <c r="AP49" i="112"/>
  <c r="AQ209" i="112"/>
  <c r="AO44" i="112"/>
  <c r="AS66" i="112"/>
  <c r="AO153" i="113"/>
  <c r="AO160" i="113"/>
  <c r="AO200" i="113"/>
  <c r="AP249" i="113"/>
  <c r="AT167" i="112"/>
  <c r="AT198" i="112"/>
  <c r="AQ140" i="112"/>
  <c r="AT149" i="112"/>
  <c r="AO104" i="113"/>
  <c r="AT207" i="112"/>
  <c r="AS130" i="112"/>
  <c r="AQ132" i="112"/>
  <c r="AT135" i="112"/>
  <c r="AT210" i="112"/>
  <c r="AQ79" i="112"/>
  <c r="AT250" i="112"/>
  <c r="AT184" i="112"/>
  <c r="AP200" i="113"/>
  <c r="AQ100" i="112"/>
  <c r="AQ141" i="112"/>
  <c r="AO227" i="113"/>
  <c r="AT89" i="112"/>
  <c r="AS158" i="112"/>
  <c r="AO120" i="113"/>
  <c r="AP192" i="113"/>
  <c r="AT80" i="112"/>
  <c r="AO81" i="113"/>
  <c r="AO167" i="113"/>
  <c r="AO194" i="113"/>
  <c r="AQ76" i="112"/>
  <c r="AS138" i="112"/>
  <c r="AO158" i="113"/>
  <c r="AT180" i="112"/>
  <c r="AQ63" i="112"/>
  <c r="AT105" i="112"/>
  <c r="AQ199" i="112"/>
  <c r="AO239" i="113"/>
  <c r="AT76" i="112"/>
  <c r="AO52" i="113"/>
  <c r="AO179" i="113"/>
  <c r="AQ101" i="112"/>
  <c r="AQ106" i="112"/>
  <c r="AO150" i="113"/>
  <c r="AO170" i="113"/>
  <c r="AT71" i="112"/>
  <c r="AQ80" i="112"/>
  <c r="AS246" i="112"/>
  <c r="AQ72" i="112"/>
  <c r="AO78" i="113"/>
  <c r="AT130" i="112"/>
  <c r="AS119" i="112"/>
  <c r="AQ71" i="112"/>
  <c r="AQ192" i="112"/>
  <c r="AT169" i="112"/>
  <c r="AQ108" i="112"/>
  <c r="AO90" i="113"/>
  <c r="AT140" i="112"/>
  <c r="AS146" i="112"/>
  <c r="AP128" i="113"/>
  <c r="AS51" i="113"/>
  <c r="AQ133" i="112"/>
  <c r="AQ149" i="112"/>
  <c r="AP198" i="113"/>
  <c r="AQ131" i="112"/>
  <c r="AS131" i="112"/>
  <c r="AQ248" i="112"/>
  <c r="AO139" i="113"/>
  <c r="AO226" i="113"/>
  <c r="AS198" i="112"/>
  <c r="AS199" i="112"/>
  <c r="AT249" i="112"/>
  <c r="AS178" i="112"/>
  <c r="AO197" i="113"/>
  <c r="AO57" i="113"/>
  <c r="AT153" i="112"/>
  <c r="AP189" i="113"/>
  <c r="AQ128" i="112"/>
  <c r="AS45" i="112"/>
  <c r="AQ167" i="112"/>
  <c r="AP84" i="112"/>
  <c r="AS149" i="112"/>
  <c r="AT107" i="112"/>
  <c r="AS128" i="112"/>
  <c r="AO34" i="112"/>
  <c r="AT101" i="112"/>
  <c r="AO76" i="113"/>
  <c r="AT44" i="112"/>
  <c r="AT131" i="112"/>
  <c r="AO109" i="113"/>
  <c r="AQ180" i="112"/>
  <c r="AQ193" i="112"/>
  <c r="AS197" i="112"/>
  <c r="AT179" i="112"/>
  <c r="AO168" i="113"/>
  <c r="AQ168" i="112"/>
  <c r="AQ188" i="112"/>
  <c r="AO193" i="113"/>
  <c r="AO192" i="113"/>
  <c r="AT200" i="112"/>
  <c r="AQ90" i="112"/>
  <c r="AP132" i="113"/>
  <c r="AO96" i="113"/>
  <c r="AT120" i="112"/>
  <c r="AT190" i="112"/>
  <c r="AT248" i="112"/>
  <c r="AT138" i="112"/>
  <c r="AO138" i="113"/>
  <c r="AP45" i="112"/>
  <c r="AQ179" i="112"/>
  <c r="AQ44" i="112"/>
  <c r="AO135" i="113"/>
  <c r="AQ200" i="112"/>
  <c r="AT197" i="112"/>
  <c r="AO67" i="113"/>
  <c r="AT56" i="112"/>
  <c r="AO85" i="113"/>
  <c r="AT247" i="112"/>
  <c r="AP207" i="112"/>
  <c r="AQ52" i="112"/>
  <c r="AP89" i="112"/>
  <c r="AO70" i="113"/>
  <c r="AT185" i="112"/>
  <c r="AP129" i="113"/>
  <c r="AO249" i="113"/>
  <c r="AT97" i="112"/>
  <c r="AQ97" i="112"/>
  <c r="AQ45" i="112"/>
  <c r="AP44" i="112"/>
  <c r="AQ46" i="112"/>
  <c r="AT84" i="112"/>
  <c r="AO141" i="113"/>
  <c r="AP180" i="113"/>
  <c r="AT199" i="112"/>
  <c r="AQ119" i="112"/>
  <c r="AO61" i="113"/>
  <c r="AS61" i="112"/>
  <c r="AQ207" i="112"/>
  <c r="AQ190" i="112"/>
  <c r="AO97" i="113"/>
  <c r="AO84" i="113"/>
  <c r="AQ153" i="112"/>
  <c r="AT150" i="112"/>
  <c r="AQ178" i="112"/>
  <c r="AO248" i="113"/>
  <c r="AO108" i="113"/>
  <c r="AT85" i="112"/>
  <c r="AT193" i="112"/>
  <c r="AQ120" i="112"/>
  <c r="AO128" i="113"/>
  <c r="AT58" i="112"/>
  <c r="AS189" i="112"/>
  <c r="AP135" i="113"/>
  <c r="AQ210" i="112"/>
  <c r="AP197" i="113"/>
  <c r="AO72" i="113"/>
  <c r="AT108" i="112"/>
  <c r="AQ169" i="112"/>
  <c r="AQ86" i="112"/>
  <c r="AT178" i="112"/>
  <c r="AQ61" i="112"/>
  <c r="AP178" i="112"/>
  <c r="AO58" i="113"/>
  <c r="AO66" i="113"/>
  <c r="AO211" i="113"/>
  <c r="AT91" i="112"/>
  <c r="AS145" i="112"/>
  <c r="AT57" i="112"/>
  <c r="AP43" i="112"/>
  <c r="AP100" i="112"/>
  <c r="AS84" i="112"/>
  <c r="AT50" i="112"/>
  <c r="AR135" i="113"/>
  <c r="AP145" i="112"/>
  <c r="AT189" i="112"/>
  <c r="AT70" i="112"/>
  <c r="AP216" i="112"/>
  <c r="AP191" i="113"/>
  <c r="AO50" i="113"/>
  <c r="AQ58" i="112"/>
  <c r="AP149" i="112"/>
  <c r="AT133" i="112"/>
  <c r="AS216" i="112"/>
  <c r="AO86" i="113"/>
  <c r="AO105" i="113"/>
  <c r="AO140" i="113"/>
  <c r="AQ211" i="112"/>
  <c r="AO178" i="113"/>
  <c r="AQ170" i="112"/>
  <c r="AO234" i="112"/>
  <c r="AT192" i="112"/>
  <c r="AQ66" i="112"/>
  <c r="AS188" i="112"/>
  <c r="AT168" i="112"/>
  <c r="AP119" i="112"/>
  <c r="AT86" i="112"/>
  <c r="AT146" i="112"/>
  <c r="AT104" i="112"/>
  <c r="AO100" i="113"/>
  <c r="AQ139" i="112"/>
  <c r="AT72" i="112"/>
  <c r="AT132" i="112"/>
  <c r="AT78" i="112"/>
  <c r="AT191" i="112"/>
  <c r="AQ159" i="112"/>
  <c r="AT216" i="112"/>
  <c r="AP184" i="112"/>
  <c r="AO110" i="113"/>
  <c r="AO71" i="113"/>
  <c r="AT128" i="112"/>
  <c r="AO257" i="112"/>
  <c r="AT95" i="112"/>
  <c r="J155" i="19" l="1"/>
  <c r="J154" i="19"/>
  <c r="J156" i="19"/>
  <c r="H79" i="111"/>
  <c r="I79" i="111" s="1"/>
  <c r="K79" i="111" s="1"/>
  <c r="K850" i="29" s="1"/>
  <c r="AA850" i="29" s="1"/>
  <c r="H78" i="111"/>
  <c r="I78" i="111" s="1"/>
  <c r="K78" i="111" s="1"/>
  <c r="K849" i="29" s="1"/>
  <c r="H80" i="111"/>
  <c r="I80" i="111" s="1"/>
  <c r="K80" i="111" s="1"/>
  <c r="K851" i="29" s="1"/>
  <c r="X851" i="29" s="1"/>
  <c r="H731" i="29"/>
  <c r="X211" i="112"/>
  <c r="AD211" i="112"/>
  <c r="AD210" i="112"/>
  <c r="X210" i="112"/>
  <c r="X141" i="112"/>
  <c r="AD141" i="112"/>
  <c r="F774" i="29"/>
  <c r="X107" i="112"/>
  <c r="AD107" i="112"/>
  <c r="H776" i="29"/>
  <c r="AD58" i="112"/>
  <c r="X58" i="112"/>
  <c r="X79" i="112"/>
  <c r="AD79" i="112"/>
  <c r="F810" i="29"/>
  <c r="AD170" i="112"/>
  <c r="X170" i="112"/>
  <c r="X97" i="112"/>
  <c r="AD97" i="112"/>
  <c r="X110" i="112"/>
  <c r="AD110" i="112"/>
  <c r="F805" i="29"/>
  <c r="X248" i="112"/>
  <c r="AD248" i="112"/>
  <c r="X106" i="112"/>
  <c r="AD106" i="112"/>
  <c r="X140" i="112"/>
  <c r="AD140" i="112"/>
  <c r="AD63" i="112"/>
  <c r="X63" i="112"/>
  <c r="X194" i="112"/>
  <c r="AD194" i="112"/>
  <c r="AD109" i="112"/>
  <c r="X109" i="112"/>
  <c r="AD163" i="112"/>
  <c r="X163" i="112"/>
  <c r="AD169" i="112"/>
  <c r="X169" i="112"/>
  <c r="X108" i="112"/>
  <c r="AD108" i="112"/>
  <c r="X91" i="112"/>
  <c r="AD91" i="112"/>
  <c r="F811" i="29"/>
  <c r="F825" i="29"/>
  <c r="AD193" i="112"/>
  <c r="H806" i="29" s="1"/>
  <c r="X193" i="112"/>
  <c r="AD77" i="112"/>
  <c r="X77" i="112"/>
  <c r="X78" i="112"/>
  <c r="AD78" i="112"/>
  <c r="X209" i="112"/>
  <c r="AD209" i="112"/>
  <c r="AD133" i="112"/>
  <c r="H775" i="29" s="1"/>
  <c r="X133" i="112"/>
  <c r="F798" i="29"/>
  <c r="X86" i="112"/>
  <c r="AD86" i="112"/>
  <c r="X81" i="112"/>
  <c r="AD81" i="112"/>
  <c r="X52" i="112"/>
  <c r="AD52" i="112"/>
  <c r="X80" i="112"/>
  <c r="AD80" i="112"/>
  <c r="X72" i="112"/>
  <c r="AD72" i="112"/>
  <c r="F804" i="29"/>
  <c r="F826" i="29"/>
  <c r="S250" i="113"/>
  <c r="X250" i="113" s="1"/>
  <c r="F999" i="29" s="1"/>
  <c r="G652" i="29"/>
  <c r="Y250" i="112"/>
  <c r="O826" i="29"/>
  <c r="BN826" i="29" s="1"/>
  <c r="AD43" i="109"/>
  <c r="S110" i="113"/>
  <c r="S192" i="113"/>
  <c r="X192" i="113" s="1"/>
  <c r="F978" i="29" s="1"/>
  <c r="S194" i="113"/>
  <c r="S109" i="113"/>
  <c r="S163" i="113"/>
  <c r="S108" i="113"/>
  <c r="S227" i="113"/>
  <c r="S226" i="113"/>
  <c r="S200" i="113"/>
  <c r="X200" i="113" s="1"/>
  <c r="F984" i="29" s="1"/>
  <c r="S249" i="113"/>
  <c r="S193" i="113"/>
  <c r="X193" i="113" s="1"/>
  <c r="F979" i="29" s="1"/>
  <c r="S133" i="113"/>
  <c r="X133" i="113" s="1"/>
  <c r="F948" i="29" s="1"/>
  <c r="W135" i="113"/>
  <c r="S81" i="113"/>
  <c r="AD81" i="113" s="1"/>
  <c r="H922" i="29" s="1"/>
  <c r="S52" i="113"/>
  <c r="S80" i="113"/>
  <c r="S191" i="113"/>
  <c r="X191" i="113" s="1"/>
  <c r="F977" i="29" s="1"/>
  <c r="S211" i="113"/>
  <c r="S210" i="113"/>
  <c r="S141" i="113"/>
  <c r="S132" i="113"/>
  <c r="AD132" i="113" s="1"/>
  <c r="H947" i="29" s="1"/>
  <c r="S107" i="113"/>
  <c r="S135" i="113"/>
  <c r="X135" i="113" s="1"/>
  <c r="F949" i="29" s="1"/>
  <c r="S79" i="113"/>
  <c r="S170" i="113"/>
  <c r="G617" i="29"/>
  <c r="G640" i="29"/>
  <c r="G629" i="29"/>
  <c r="I641" i="29"/>
  <c r="I606" i="29"/>
  <c r="G591" i="29"/>
  <c r="I578" i="29"/>
  <c r="G589" i="29"/>
  <c r="I605" i="29"/>
  <c r="G558" i="29"/>
  <c r="G637" i="29"/>
  <c r="I586" i="29"/>
  <c r="G636" i="29"/>
  <c r="I632" i="29"/>
  <c r="G621" i="29"/>
  <c r="AE97" i="112"/>
  <c r="I758" i="29" s="1"/>
  <c r="Y97" i="112"/>
  <c r="G758" i="29" s="1"/>
  <c r="O758" i="29"/>
  <c r="BN758" i="29" s="1"/>
  <c r="X190" i="112"/>
  <c r="Y190" i="112"/>
  <c r="G803" i="29" s="1"/>
  <c r="O803" i="29"/>
  <c r="BN803" i="29" s="1"/>
  <c r="AE110" i="112"/>
  <c r="Y110" i="112"/>
  <c r="O767" i="29"/>
  <c r="BN767" i="29" s="1"/>
  <c r="Y192" i="112"/>
  <c r="O805" i="29"/>
  <c r="BN805" i="29" s="1"/>
  <c r="Y248" i="112"/>
  <c r="G824" i="29" s="1"/>
  <c r="AE248" i="112"/>
  <c r="O824" i="29"/>
  <c r="BN824" i="29" s="1"/>
  <c r="AE106" i="112"/>
  <c r="Y106" i="112"/>
  <c r="G763" i="29" s="1"/>
  <c r="O763" i="29"/>
  <c r="BN763" i="29" s="1"/>
  <c r="AE140" i="112"/>
  <c r="I779" i="29" s="1"/>
  <c r="Y140" i="112"/>
  <c r="G779" i="29" s="1"/>
  <c r="O779" i="29"/>
  <c r="BN779" i="29" s="1"/>
  <c r="AE63" i="112"/>
  <c r="Y63" i="112"/>
  <c r="G738" i="29" s="1"/>
  <c r="O738" i="29"/>
  <c r="BN738" i="29" s="1"/>
  <c r="AE194" i="112"/>
  <c r="Y194" i="112"/>
  <c r="O807" i="29"/>
  <c r="BN807" i="29" s="1"/>
  <c r="Y109" i="112"/>
  <c r="AE109" i="112"/>
  <c r="O766" i="29"/>
  <c r="BN766" i="29" s="1"/>
  <c r="I584" i="29"/>
  <c r="I617" i="29"/>
  <c r="I642" i="29"/>
  <c r="I601" i="29"/>
  <c r="G641" i="29"/>
  <c r="I560" i="29"/>
  <c r="I581" i="29"/>
  <c r="I583" i="29"/>
  <c r="I588" i="29"/>
  <c r="I590" i="29"/>
  <c r="I589" i="29"/>
  <c r="I602" i="29"/>
  <c r="I639" i="29"/>
  <c r="I564" i="29"/>
  <c r="G573" i="29"/>
  <c r="G651" i="29"/>
  <c r="I556" i="29"/>
  <c r="I592" i="29"/>
  <c r="G632" i="29"/>
  <c r="G630" i="29"/>
  <c r="I621" i="29"/>
  <c r="AE163" i="112"/>
  <c r="Y163" i="112"/>
  <c r="O791" i="29"/>
  <c r="BN791" i="29" s="1"/>
  <c r="Y169" i="112"/>
  <c r="G794" i="29" s="1"/>
  <c r="AE169" i="112"/>
  <c r="O794" i="29"/>
  <c r="BN794" i="29" s="1"/>
  <c r="F776" i="29"/>
  <c r="Y108" i="112"/>
  <c r="AE108" i="112"/>
  <c r="O765" i="29"/>
  <c r="BN765" i="29" s="1"/>
  <c r="Y91" i="112"/>
  <c r="G755" i="29" s="1"/>
  <c r="AE91" i="112"/>
  <c r="I755" i="29" s="1"/>
  <c r="O755" i="29"/>
  <c r="BN755" i="29" s="1"/>
  <c r="Y200" i="112"/>
  <c r="O811" i="29"/>
  <c r="BN811" i="29" s="1"/>
  <c r="Y249" i="112"/>
  <c r="O825" i="29"/>
  <c r="BN825" i="29" s="1"/>
  <c r="Y193" i="112"/>
  <c r="AE193" i="112"/>
  <c r="I806" i="29" s="1"/>
  <c r="O806" i="29"/>
  <c r="BN806" i="29" s="1"/>
  <c r="G557" i="29"/>
  <c r="G584" i="29"/>
  <c r="G642" i="29"/>
  <c r="G620" i="29"/>
  <c r="G601" i="29"/>
  <c r="I593" i="29"/>
  <c r="G631" i="29"/>
  <c r="G624" i="29"/>
  <c r="I650" i="29"/>
  <c r="G581" i="29"/>
  <c r="G590" i="29"/>
  <c r="I575" i="29"/>
  <c r="G561" i="29"/>
  <c r="G564" i="29"/>
  <c r="G574" i="29"/>
  <c r="I573" i="29"/>
  <c r="I633" i="29"/>
  <c r="G569" i="29"/>
  <c r="G592" i="29"/>
  <c r="Y209" i="112"/>
  <c r="G814" i="29" s="1"/>
  <c r="AE209" i="112"/>
  <c r="I814" i="29" s="1"/>
  <c r="O814" i="29"/>
  <c r="BN814" i="29" s="1"/>
  <c r="Y133" i="112"/>
  <c r="AE133" i="112"/>
  <c r="I775" i="29" s="1"/>
  <c r="O775" i="29"/>
  <c r="BN775" i="29" s="1"/>
  <c r="AD180" i="112"/>
  <c r="Y180" i="112"/>
  <c r="G798" i="29" s="1"/>
  <c r="AE180" i="112"/>
  <c r="I798" i="29" s="1"/>
  <c r="O798" i="29"/>
  <c r="BN798" i="29" s="1"/>
  <c r="Y86" i="112"/>
  <c r="G752" i="29" s="1"/>
  <c r="AE86" i="112"/>
  <c r="I752" i="29" s="1"/>
  <c r="O752" i="29"/>
  <c r="BN752" i="29" s="1"/>
  <c r="Y81" i="112"/>
  <c r="AE81" i="112"/>
  <c r="O749" i="29"/>
  <c r="BN749" i="29" s="1"/>
  <c r="AE52" i="112"/>
  <c r="Y52" i="112"/>
  <c r="O732" i="29"/>
  <c r="BN732" i="29" s="1"/>
  <c r="Y80" i="112"/>
  <c r="AE80" i="112"/>
  <c r="O748" i="29"/>
  <c r="BN748" i="29" s="1"/>
  <c r="Y72" i="112"/>
  <c r="G743" i="29" s="1"/>
  <c r="AE72" i="112"/>
  <c r="O743" i="29"/>
  <c r="BN743" i="29" s="1"/>
  <c r="Y191" i="112"/>
  <c r="O804" i="29"/>
  <c r="BN804" i="29" s="1"/>
  <c r="I557" i="29"/>
  <c r="I640" i="29"/>
  <c r="I620" i="29"/>
  <c r="G593" i="29"/>
  <c r="G606" i="29"/>
  <c r="I591" i="29"/>
  <c r="I624" i="29"/>
  <c r="G650" i="29"/>
  <c r="G578" i="29"/>
  <c r="I626" i="29"/>
  <c r="G575" i="29"/>
  <c r="G605" i="29"/>
  <c r="I558" i="29"/>
  <c r="I561" i="29"/>
  <c r="I574" i="29"/>
  <c r="G633" i="29"/>
  <c r="I569" i="29"/>
  <c r="I619" i="29"/>
  <c r="X51" i="112"/>
  <c r="Y51" i="112"/>
  <c r="G731" i="29" s="1"/>
  <c r="AE51" i="112"/>
  <c r="I731" i="29" s="1"/>
  <c r="O731" i="29"/>
  <c r="BN731" i="29" s="1"/>
  <c r="Y211" i="112"/>
  <c r="AE211" i="112"/>
  <c r="O816" i="29"/>
  <c r="BN816" i="29" s="1"/>
  <c r="Y210" i="112"/>
  <c r="AE210" i="112"/>
  <c r="O815" i="29"/>
  <c r="BN815" i="29" s="1"/>
  <c r="AE141" i="112"/>
  <c r="Y141" i="112"/>
  <c r="O780" i="29"/>
  <c r="BN780" i="29" s="1"/>
  <c r="Y132" i="112"/>
  <c r="O774" i="29"/>
  <c r="BN774" i="29" s="1"/>
  <c r="Y107" i="112"/>
  <c r="AE107" i="112"/>
  <c r="O764" i="29"/>
  <c r="BN764" i="29" s="1"/>
  <c r="Y135" i="112"/>
  <c r="AE135" i="112"/>
  <c r="O776" i="29"/>
  <c r="BN776" i="29" s="1"/>
  <c r="AE58" i="112"/>
  <c r="Y58" i="112"/>
  <c r="G735" i="29" s="1"/>
  <c r="O735" i="29"/>
  <c r="BN735" i="29" s="1"/>
  <c r="AE79" i="112"/>
  <c r="Y79" i="112"/>
  <c r="O747" i="29"/>
  <c r="BN747" i="29" s="1"/>
  <c r="Y199" i="112"/>
  <c r="G810" i="29" s="1"/>
  <c r="O810" i="29"/>
  <c r="BN810" i="29" s="1"/>
  <c r="AE170" i="112"/>
  <c r="Y170" i="112"/>
  <c r="O795" i="29"/>
  <c r="BN795" i="29" s="1"/>
  <c r="S78" i="113"/>
  <c r="G572" i="29"/>
  <c r="I572" i="29"/>
  <c r="Y78" i="112"/>
  <c r="AE78" i="112"/>
  <c r="O746" i="29"/>
  <c r="BN746" i="29" s="1"/>
  <c r="S77" i="113"/>
  <c r="I571" i="29"/>
  <c r="G571" i="29"/>
  <c r="AE77" i="112"/>
  <c r="Y77" i="112"/>
  <c r="O745" i="29"/>
  <c r="BN745" i="29" s="1"/>
  <c r="Q108" i="29"/>
  <c r="X207" i="113"/>
  <c r="F985" i="29" s="1"/>
  <c r="AD207" i="113"/>
  <c r="H985" i="29" s="1"/>
  <c r="X145" i="113"/>
  <c r="F954" i="29" s="1"/>
  <c r="AD145" i="113"/>
  <c r="H954" i="29" s="1"/>
  <c r="AD76" i="112"/>
  <c r="X76" i="112"/>
  <c r="F570" i="29"/>
  <c r="H570" i="29"/>
  <c r="S76" i="113"/>
  <c r="G570" i="29"/>
  <c r="I570" i="29"/>
  <c r="Y76" i="112"/>
  <c r="AE76" i="112"/>
  <c r="S74" i="112"/>
  <c r="O744" i="29"/>
  <c r="BN744" i="29" s="1"/>
  <c r="U108" i="29"/>
  <c r="Y108" i="29"/>
  <c r="F771" i="29"/>
  <c r="F801" i="29"/>
  <c r="F802" i="29"/>
  <c r="F808" i="29"/>
  <c r="F772" i="29"/>
  <c r="F809" i="29"/>
  <c r="F770" i="29"/>
  <c r="I638" i="29"/>
  <c r="S143" i="113"/>
  <c r="AE145" i="113"/>
  <c r="I954" i="29" s="1"/>
  <c r="Y145" i="113"/>
  <c r="G954" i="29" s="1"/>
  <c r="O954" i="29"/>
  <c r="BN954" i="29" s="1"/>
  <c r="AE207" i="113"/>
  <c r="I985" i="29" s="1"/>
  <c r="Y207" i="113"/>
  <c r="G985" i="29" s="1"/>
  <c r="O985" i="29"/>
  <c r="BN985" i="29" s="1"/>
  <c r="Y207" i="112"/>
  <c r="AE207" i="112"/>
  <c r="AE145" i="112"/>
  <c r="Y145" i="112"/>
  <c r="H565" i="29"/>
  <c r="F611" i="29"/>
  <c r="F622" i="29"/>
  <c r="F562" i="29"/>
  <c r="F587" i="29"/>
  <c r="H594" i="29"/>
  <c r="F555" i="29"/>
  <c r="F582" i="29"/>
  <c r="F609" i="29"/>
  <c r="F638" i="29"/>
  <c r="H613" i="29"/>
  <c r="F565" i="29"/>
  <c r="H611" i="29"/>
  <c r="H622" i="29"/>
  <c r="H562" i="29"/>
  <c r="H587" i="29"/>
  <c r="F594" i="29"/>
  <c r="H555" i="29"/>
  <c r="H582" i="29"/>
  <c r="H609" i="29"/>
  <c r="H638" i="29"/>
  <c r="F613" i="29"/>
  <c r="H585" i="29"/>
  <c r="H618" i="29"/>
  <c r="H625" i="29"/>
  <c r="H579" i="29"/>
  <c r="H607" i="29"/>
  <c r="F648" i="29"/>
  <c r="F603" i="29"/>
  <c r="H567" i="29"/>
  <c r="F559" i="29"/>
  <c r="F576" i="29"/>
  <c r="H643" i="29"/>
  <c r="F585" i="29"/>
  <c r="F618" i="29"/>
  <c r="F625" i="29"/>
  <c r="F579" i="29"/>
  <c r="F607" i="29"/>
  <c r="H648" i="29"/>
  <c r="H603" i="29"/>
  <c r="F567" i="29"/>
  <c r="H559" i="29"/>
  <c r="H576" i="29"/>
  <c r="F643" i="29"/>
  <c r="AE62" i="112"/>
  <c r="X62" i="112"/>
  <c r="AD62" i="112"/>
  <c r="AE120" i="112"/>
  <c r="I769" i="29" s="1"/>
  <c r="AD120" i="112"/>
  <c r="X120" i="112"/>
  <c r="AD139" i="112"/>
  <c r="X139" i="112"/>
  <c r="X101" i="112"/>
  <c r="AD101" i="112"/>
  <c r="X178" i="112"/>
  <c r="AD178" i="112"/>
  <c r="AD104" i="112"/>
  <c r="X104" i="112"/>
  <c r="X138" i="112"/>
  <c r="AD138" i="112"/>
  <c r="X56" i="112"/>
  <c r="AD56" i="112"/>
  <c r="AD153" i="112"/>
  <c r="X153" i="112"/>
  <c r="AE168" i="112"/>
  <c r="I793" i="29" s="1"/>
  <c r="X168" i="112"/>
  <c r="AD168" i="112"/>
  <c r="X90" i="112"/>
  <c r="AD90" i="112"/>
  <c r="AE247" i="112"/>
  <c r="I823" i="29" s="1"/>
  <c r="X247" i="112"/>
  <c r="AD247" i="112"/>
  <c r="AD96" i="112"/>
  <c r="X96" i="112"/>
  <c r="AE150" i="112"/>
  <c r="I784" i="29" s="1"/>
  <c r="X150" i="112"/>
  <c r="AD150" i="112"/>
  <c r="AD85" i="112"/>
  <c r="X85" i="112"/>
  <c r="AE154" i="112"/>
  <c r="I786" i="29" s="1"/>
  <c r="AD154" i="112"/>
  <c r="X154" i="112"/>
  <c r="X184" i="112"/>
  <c r="AD184" i="112"/>
  <c r="AD119" i="112"/>
  <c r="X119" i="112"/>
  <c r="X95" i="112"/>
  <c r="AD95" i="112"/>
  <c r="X66" i="112"/>
  <c r="AD66" i="112"/>
  <c r="X179" i="112"/>
  <c r="AD179" i="112"/>
  <c r="AE105" i="112"/>
  <c r="I762" i="29" s="1"/>
  <c r="X105" i="112"/>
  <c r="AD105" i="112"/>
  <c r="AE71" i="112"/>
  <c r="I742" i="29" s="1"/>
  <c r="AD71" i="112"/>
  <c r="X71" i="112"/>
  <c r="AE57" i="112"/>
  <c r="I734" i="29" s="1"/>
  <c r="X57" i="112"/>
  <c r="AD57" i="112"/>
  <c r="AE159" i="112"/>
  <c r="I788" i="29" s="1"/>
  <c r="X159" i="112"/>
  <c r="AD159" i="112"/>
  <c r="AE67" i="112"/>
  <c r="I740" i="29" s="1"/>
  <c r="X67" i="112"/>
  <c r="AD67" i="112"/>
  <c r="X61" i="112"/>
  <c r="AD61" i="112"/>
  <c r="X246" i="112"/>
  <c r="AD246" i="112"/>
  <c r="AD70" i="112"/>
  <c r="X70" i="112"/>
  <c r="AD84" i="112"/>
  <c r="X84" i="112"/>
  <c r="X185" i="112"/>
  <c r="AD185" i="112"/>
  <c r="X50" i="112"/>
  <c r="AD50" i="112"/>
  <c r="X208" i="112"/>
  <c r="AD208" i="112"/>
  <c r="AD167" i="112"/>
  <c r="X167" i="112"/>
  <c r="X89" i="112"/>
  <c r="AD89" i="112"/>
  <c r="AD49" i="112"/>
  <c r="X49" i="112"/>
  <c r="AD149" i="112"/>
  <c r="X149" i="112"/>
  <c r="AD158" i="112"/>
  <c r="X158" i="112"/>
  <c r="X100" i="112"/>
  <c r="AD100" i="112"/>
  <c r="AC108" i="29"/>
  <c r="AE88" i="29"/>
  <c r="AG88" i="29" s="1"/>
  <c r="H64" i="114"/>
  <c r="I64" i="114" s="1"/>
  <c r="K64" i="114" s="1"/>
  <c r="K1007" i="29" s="1"/>
  <c r="X1007" i="29" s="1"/>
  <c r="X834" i="29"/>
  <c r="H78" i="114"/>
  <c r="I78" i="114" s="1"/>
  <c r="K78" i="114" s="1"/>
  <c r="K1022" i="29" s="1"/>
  <c r="AA1022" i="29" s="1"/>
  <c r="AE103" i="29"/>
  <c r="AG103" i="29" s="1"/>
  <c r="Y94" i="115"/>
  <c r="Z94" i="115" s="1"/>
  <c r="AA94" i="115" s="1"/>
  <c r="AU389" i="29" s="1"/>
  <c r="Y32" i="115"/>
  <c r="Z32" i="115" s="1"/>
  <c r="AA32" i="115" s="1"/>
  <c r="AU216" i="29" s="1"/>
  <c r="D77" i="29"/>
  <c r="AE43" i="109"/>
  <c r="I551" i="29" s="1"/>
  <c r="O645" i="29"/>
  <c r="BN645" i="29" s="1"/>
  <c r="S23" i="107"/>
  <c r="G13" i="108"/>
  <c r="S41" i="109"/>
  <c r="S40" i="109" s="1"/>
  <c r="O550" i="29"/>
  <c r="BN550" i="29" s="1"/>
  <c r="S142" i="109"/>
  <c r="V194" i="118"/>
  <c r="S184" i="113"/>
  <c r="S119" i="113"/>
  <c r="S95" i="113"/>
  <c r="S128" i="113"/>
  <c r="X128" i="113" s="1"/>
  <c r="F943" i="29" s="1"/>
  <c r="S66" i="113"/>
  <c r="S208" i="113"/>
  <c r="S61" i="113"/>
  <c r="S246" i="113"/>
  <c r="S70" i="113"/>
  <c r="S84" i="113"/>
  <c r="S188" i="113"/>
  <c r="X188" i="113" s="1"/>
  <c r="F974" i="29" s="1"/>
  <c r="S167" i="113"/>
  <c r="S89" i="113"/>
  <c r="S49" i="113"/>
  <c r="S149" i="113"/>
  <c r="S100" i="113"/>
  <c r="S178" i="113"/>
  <c r="S104" i="113"/>
  <c r="S138" i="113"/>
  <c r="S56" i="113"/>
  <c r="S197" i="113"/>
  <c r="X197" i="113" s="1"/>
  <c r="F981" i="29" s="1"/>
  <c r="S153" i="113"/>
  <c r="S185" i="113"/>
  <c r="S120" i="113"/>
  <c r="S96" i="113"/>
  <c r="S67" i="113"/>
  <c r="S62" i="113"/>
  <c r="S247" i="113"/>
  <c r="S71" i="113"/>
  <c r="S85" i="113"/>
  <c r="S189" i="113"/>
  <c r="X189" i="113" s="1"/>
  <c r="F975" i="29" s="1"/>
  <c r="S34" i="112"/>
  <c r="S32" i="112" s="1"/>
  <c r="S31" i="112" s="1"/>
  <c r="S43" i="112"/>
  <c r="O725" i="29" s="1"/>
  <c r="BN725" i="29" s="1"/>
  <c r="AE131" i="112"/>
  <c r="S168" i="113"/>
  <c r="S90" i="113"/>
  <c r="S50" i="113"/>
  <c r="S150" i="113"/>
  <c r="S101" i="113"/>
  <c r="S179" i="113"/>
  <c r="S105" i="113"/>
  <c r="S139" i="113"/>
  <c r="S57" i="113"/>
  <c r="S198" i="113"/>
  <c r="X198" i="113" s="1"/>
  <c r="F982" i="29" s="1"/>
  <c r="S154" i="113"/>
  <c r="AE184" i="112"/>
  <c r="Y184" i="112"/>
  <c r="O799" i="29"/>
  <c r="BN799" i="29" s="1"/>
  <c r="Y119" i="112"/>
  <c r="AE119" i="112"/>
  <c r="O768" i="29"/>
  <c r="BN768" i="29" s="1"/>
  <c r="AE95" i="112"/>
  <c r="Y95" i="112"/>
  <c r="O756" i="29"/>
  <c r="BN756" i="29" s="1"/>
  <c r="Y128" i="112"/>
  <c r="O770" i="29"/>
  <c r="BN770" i="29" s="1"/>
  <c r="AE66" i="112"/>
  <c r="Y66" i="112"/>
  <c r="O739" i="29"/>
  <c r="BN739" i="29" s="1"/>
  <c r="Y61" i="112"/>
  <c r="AE61" i="112"/>
  <c r="O736" i="29"/>
  <c r="BN736" i="29" s="1"/>
  <c r="Y246" i="112"/>
  <c r="AE246" i="112"/>
  <c r="O822" i="29"/>
  <c r="BN822" i="29" s="1"/>
  <c r="Y70" i="112"/>
  <c r="AE70" i="112"/>
  <c r="O741" i="29"/>
  <c r="BN741" i="29" s="1"/>
  <c r="Y84" i="112"/>
  <c r="AE84" i="112"/>
  <c r="O750" i="29"/>
  <c r="BN750" i="29" s="1"/>
  <c r="Y188" i="112"/>
  <c r="O801" i="29"/>
  <c r="BN801" i="29" s="1"/>
  <c r="I607" i="29"/>
  <c r="AE167" i="112"/>
  <c r="Y167" i="112"/>
  <c r="O792" i="29"/>
  <c r="BN792" i="29" s="1"/>
  <c r="AE89" i="112"/>
  <c r="Y89" i="112"/>
  <c r="O753" i="29"/>
  <c r="BN753" i="29" s="1"/>
  <c r="AE49" i="112"/>
  <c r="Y49" i="112"/>
  <c r="O729" i="29"/>
  <c r="BN729" i="29" s="1"/>
  <c r="Y149" i="112"/>
  <c r="AE149" i="112"/>
  <c r="O783" i="29"/>
  <c r="BN783" i="29" s="1"/>
  <c r="Y158" i="112"/>
  <c r="AE158" i="112"/>
  <c r="O787" i="29"/>
  <c r="BN787" i="29" s="1"/>
  <c r="Y100" i="112"/>
  <c r="AE100" i="112"/>
  <c r="O759" i="29"/>
  <c r="BN759" i="29" s="1"/>
  <c r="G596" i="29"/>
  <c r="AE178" i="112"/>
  <c r="Y178" i="112"/>
  <c r="O796" i="29"/>
  <c r="BN796" i="29" s="1"/>
  <c r="AE104" i="112"/>
  <c r="Y104" i="112"/>
  <c r="O761" i="29"/>
  <c r="BN761" i="29" s="1"/>
  <c r="Y138" i="112"/>
  <c r="AE138" i="112"/>
  <c r="O777" i="29"/>
  <c r="BN777" i="29" s="1"/>
  <c r="Y56" i="112"/>
  <c r="AE56" i="112"/>
  <c r="O733" i="29"/>
  <c r="BN733" i="29" s="1"/>
  <c r="Y197" i="112"/>
  <c r="O808" i="29"/>
  <c r="BN808" i="29" s="1"/>
  <c r="Y153" i="112"/>
  <c r="AE153" i="112"/>
  <c r="O785" i="29"/>
  <c r="BN785" i="29" s="1"/>
  <c r="I737" i="29"/>
  <c r="AE130" i="112"/>
  <c r="AD130" i="112"/>
  <c r="S181" i="109"/>
  <c r="S174" i="109" s="1"/>
  <c r="O821" i="29"/>
  <c r="BN821" i="29" s="1"/>
  <c r="S125" i="109"/>
  <c r="S73" i="109"/>
  <c r="S169" i="113"/>
  <c r="S91" i="113"/>
  <c r="S248" i="113"/>
  <c r="S97" i="113"/>
  <c r="S86" i="113"/>
  <c r="S199" i="113"/>
  <c r="X199" i="113" s="1"/>
  <c r="F983" i="29" s="1"/>
  <c r="AD192" i="112"/>
  <c r="AE192" i="112"/>
  <c r="S180" i="113"/>
  <c r="S106" i="113"/>
  <c r="S72" i="113"/>
  <c r="S58" i="113"/>
  <c r="S257" i="112"/>
  <c r="S51" i="113"/>
  <c r="S234" i="112"/>
  <c r="O820" i="29" s="1"/>
  <c r="BN820" i="29" s="1"/>
  <c r="S209" i="113"/>
  <c r="S223" i="112"/>
  <c r="S190" i="113"/>
  <c r="X190" i="113" s="1"/>
  <c r="F976" i="29" s="1"/>
  <c r="AD132" i="112"/>
  <c r="AE132" i="112"/>
  <c r="S63" i="113"/>
  <c r="S140" i="113"/>
  <c r="S225" i="113"/>
  <c r="S44" i="112"/>
  <c r="O726" i="29" s="1"/>
  <c r="G512" i="29"/>
  <c r="AR378" i="29" s="1"/>
  <c r="G625" i="29"/>
  <c r="I562" i="29"/>
  <c r="I579" i="29"/>
  <c r="G567" i="29"/>
  <c r="S92" i="109"/>
  <c r="G611" i="29"/>
  <c r="Y168" i="112"/>
  <c r="S165" i="112"/>
  <c r="S164" i="112" s="1"/>
  <c r="O793" i="29"/>
  <c r="BN793" i="29" s="1"/>
  <c r="AE90" i="112"/>
  <c r="Y90" i="112"/>
  <c r="S87" i="112"/>
  <c r="O754" i="29"/>
  <c r="BN754" i="29" s="1"/>
  <c r="Y247" i="112"/>
  <c r="S244" i="112"/>
  <c r="S243" i="112" s="1"/>
  <c r="O823" i="29"/>
  <c r="BN823" i="29" s="1"/>
  <c r="AE96" i="112"/>
  <c r="S93" i="112"/>
  <c r="Y96" i="112"/>
  <c r="O757" i="29"/>
  <c r="BN757" i="29" s="1"/>
  <c r="Y150" i="112"/>
  <c r="G784" i="29" s="1"/>
  <c r="S147" i="112"/>
  <c r="O784" i="29"/>
  <c r="BN784" i="29" s="1"/>
  <c r="AE85" i="112"/>
  <c r="S82" i="112"/>
  <c r="Y85" i="112"/>
  <c r="O751" i="29"/>
  <c r="BN751" i="29" s="1"/>
  <c r="Y198" i="112"/>
  <c r="S195" i="112"/>
  <c r="O809" i="29"/>
  <c r="BN809" i="29" s="1"/>
  <c r="Y154" i="112"/>
  <c r="G786" i="29" s="1"/>
  <c r="S151" i="112"/>
  <c r="O786" i="29"/>
  <c r="BN786" i="29" s="1"/>
  <c r="I630" i="29"/>
  <c r="G618" i="29"/>
  <c r="I622" i="29"/>
  <c r="G594" i="29"/>
  <c r="G648" i="29"/>
  <c r="G603" i="29"/>
  <c r="G582" i="29"/>
  <c r="I567" i="29"/>
  <c r="G559" i="29"/>
  <c r="G565" i="29"/>
  <c r="G585" i="29"/>
  <c r="I611" i="29"/>
  <c r="AE179" i="112"/>
  <c r="S176" i="112"/>
  <c r="S175" i="112" s="1"/>
  <c r="Y179" i="112"/>
  <c r="O797" i="29"/>
  <c r="BN797" i="29" s="1"/>
  <c r="Y105" i="112"/>
  <c r="S102" i="112"/>
  <c r="O762" i="29"/>
  <c r="BN762" i="29" s="1"/>
  <c r="Y71" i="112"/>
  <c r="S68" i="112"/>
  <c r="O742" i="29"/>
  <c r="BN742" i="29" s="1"/>
  <c r="Y57" i="112"/>
  <c r="S54" i="112"/>
  <c r="O734" i="29"/>
  <c r="BN734" i="29" s="1"/>
  <c r="Y159" i="112"/>
  <c r="S156" i="112"/>
  <c r="S155" i="112" s="1"/>
  <c r="O788" i="29"/>
  <c r="BN788" i="29" s="1"/>
  <c r="Y67" i="112"/>
  <c r="G740" i="29" s="1"/>
  <c r="S64" i="112"/>
  <c r="O740" i="29"/>
  <c r="BN740" i="29" s="1"/>
  <c r="H630" i="29"/>
  <c r="G562" i="29"/>
  <c r="G607" i="29"/>
  <c r="G555" i="29"/>
  <c r="I603" i="29"/>
  <c r="G609" i="29"/>
  <c r="S53" i="109"/>
  <c r="G576" i="29"/>
  <c r="G613" i="29"/>
  <c r="G634" i="29"/>
  <c r="G627" i="29"/>
  <c r="AE185" i="112"/>
  <c r="I800" i="29" s="1"/>
  <c r="Y185" i="112"/>
  <c r="G800" i="29" s="1"/>
  <c r="S182" i="112"/>
  <c r="O800" i="29"/>
  <c r="BN800" i="29" s="1"/>
  <c r="G599" i="29"/>
  <c r="AE50" i="112"/>
  <c r="Y50" i="112"/>
  <c r="S47" i="112"/>
  <c r="O730" i="29"/>
  <c r="BN730" i="29" s="1"/>
  <c r="AE208" i="112"/>
  <c r="S205" i="112"/>
  <c r="S204" i="112" s="1"/>
  <c r="Y208" i="112"/>
  <c r="O813" i="29"/>
  <c r="BN813" i="29" s="1"/>
  <c r="Y189" i="112"/>
  <c r="S186" i="112"/>
  <c r="O802" i="29"/>
  <c r="BN802" i="29" s="1"/>
  <c r="I599" i="29"/>
  <c r="G622" i="29"/>
  <c r="G579" i="29"/>
  <c r="G587" i="29"/>
  <c r="I594" i="29"/>
  <c r="I648" i="29"/>
  <c r="I609" i="29"/>
  <c r="G638" i="29"/>
  <c r="I576" i="29"/>
  <c r="I565" i="29"/>
  <c r="Y62" i="112"/>
  <c r="S59" i="112"/>
  <c r="O737" i="29"/>
  <c r="BN737" i="29" s="1"/>
  <c r="Y120" i="112"/>
  <c r="G769" i="29" s="1"/>
  <c r="S117" i="112"/>
  <c r="S116" i="112" s="1"/>
  <c r="S115" i="112" s="1"/>
  <c r="O769" i="29"/>
  <c r="BN769" i="29" s="1"/>
  <c r="AE139" i="112"/>
  <c r="S136" i="112"/>
  <c r="Y139" i="112"/>
  <c r="O778" i="29"/>
  <c r="BN778" i="29" s="1"/>
  <c r="AE101" i="112"/>
  <c r="I760" i="29" s="1"/>
  <c r="S98" i="112"/>
  <c r="Y101" i="112"/>
  <c r="G760" i="29" s="1"/>
  <c r="O760" i="29"/>
  <c r="BN760" i="29" s="1"/>
  <c r="H599" i="29"/>
  <c r="S131" i="113"/>
  <c r="X131" i="113" s="1"/>
  <c r="F946" i="29" s="1"/>
  <c r="S27" i="112"/>
  <c r="O723" i="29" s="1"/>
  <c r="S233" i="112"/>
  <c r="S222" i="112"/>
  <c r="S221" i="112" s="1"/>
  <c r="S220" i="112" s="1"/>
  <c r="S256" i="112"/>
  <c r="S216" i="112"/>
  <c r="AD191" i="112"/>
  <c r="AE191" i="112"/>
  <c r="AD200" i="112"/>
  <c r="AE200" i="112"/>
  <c r="S130" i="113"/>
  <c r="X130" i="113" s="1"/>
  <c r="F945" i="29" s="1"/>
  <c r="S239" i="113"/>
  <c r="O994" i="29" s="1"/>
  <c r="BN994" i="29" s="1"/>
  <c r="H552" i="29"/>
  <c r="S231" i="109"/>
  <c r="E80" i="29" s="1"/>
  <c r="S220" i="109"/>
  <c r="E79" i="29" s="1"/>
  <c r="S254" i="109"/>
  <c r="O653" i="29" s="1"/>
  <c r="F553" i="29"/>
  <c r="Y130" i="112"/>
  <c r="O772" i="29"/>
  <c r="BN772" i="29" s="1"/>
  <c r="AD199" i="112"/>
  <c r="AE199" i="112"/>
  <c r="S46" i="113"/>
  <c r="X46" i="113" s="1"/>
  <c r="F901" i="29" s="1"/>
  <c r="AD190" i="112"/>
  <c r="AE190" i="112"/>
  <c r="I636" i="29"/>
  <c r="G643" i="29"/>
  <c r="Y46" i="112"/>
  <c r="O728" i="29"/>
  <c r="BN728" i="29" s="1"/>
  <c r="H636" i="29"/>
  <c r="G554" i="29"/>
  <c r="I629" i="29"/>
  <c r="I643" i="29"/>
  <c r="G598" i="29"/>
  <c r="H629" i="29"/>
  <c r="AD129" i="112"/>
  <c r="AD189" i="112"/>
  <c r="AE189" i="112"/>
  <c r="AD198" i="112"/>
  <c r="AE198" i="112"/>
  <c r="AD250" i="112"/>
  <c r="AE250" i="112"/>
  <c r="H652" i="29"/>
  <c r="I628" i="29"/>
  <c r="H597" i="29"/>
  <c r="H628" i="29"/>
  <c r="I635" i="29"/>
  <c r="V69" i="118"/>
  <c r="V79" i="118"/>
  <c r="V68" i="118"/>
  <c r="V61" i="118"/>
  <c r="V83" i="118"/>
  <c r="V86" i="118"/>
  <c r="V103" i="118"/>
  <c r="V81" i="118"/>
  <c r="V97" i="118"/>
  <c r="V58" i="118"/>
  <c r="V106" i="118"/>
  <c r="V93" i="118"/>
  <c r="V73" i="118"/>
  <c r="V62" i="118"/>
  <c r="V82" i="118"/>
  <c r="V95" i="118"/>
  <c r="V100" i="118"/>
  <c r="V60" i="118"/>
  <c r="V87" i="118"/>
  <c r="V59" i="118"/>
  <c r="V98" i="118"/>
  <c r="V75" i="118"/>
  <c r="V99" i="118"/>
  <c r="V94" i="118"/>
  <c r="V71" i="118"/>
  <c r="V107" i="118"/>
  <c r="V104" i="118"/>
  <c r="V102" i="118"/>
  <c r="V89" i="118"/>
  <c r="V92" i="118"/>
  <c r="V96" i="118"/>
  <c r="V80" i="118"/>
  <c r="V70" i="118"/>
  <c r="V63" i="118"/>
  <c r="V77" i="118"/>
  <c r="V66" i="118"/>
  <c r="V72" i="118"/>
  <c r="V91" i="118"/>
  <c r="V90" i="118"/>
  <c r="V67" i="118"/>
  <c r="V78" i="118"/>
  <c r="V64" i="118"/>
  <c r="V101" i="118"/>
  <c r="V84" i="118"/>
  <c r="V88" i="118"/>
  <c r="V65" i="118"/>
  <c r="V76" i="118"/>
  <c r="V74" i="118"/>
  <c r="V105" i="118"/>
  <c r="V85" i="118"/>
  <c r="I652" i="29"/>
  <c r="H635" i="29"/>
  <c r="C28" i="29"/>
  <c r="V218" i="118"/>
  <c r="V220" i="118"/>
  <c r="V227" i="118"/>
  <c r="V209" i="118"/>
  <c r="V232" i="118"/>
  <c r="V214" i="118"/>
  <c r="V223" i="118"/>
  <c r="V222" i="118"/>
  <c r="V235" i="118"/>
  <c r="V192" i="118"/>
  <c r="V212" i="118"/>
  <c r="V219" i="118"/>
  <c r="Y283" i="115"/>
  <c r="Z283" i="115" s="1"/>
  <c r="AA283" i="115" s="1"/>
  <c r="AU912" i="29" s="1"/>
  <c r="V213" i="118"/>
  <c r="V217" i="118"/>
  <c r="V197" i="118"/>
  <c r="V206" i="118"/>
  <c r="V238" i="118"/>
  <c r="S129" i="113"/>
  <c r="X129" i="113" s="1"/>
  <c r="F944" i="29" s="1"/>
  <c r="I597" i="29"/>
  <c r="G597" i="29"/>
  <c r="AE129" i="112"/>
  <c r="Y129" i="112"/>
  <c r="S126" i="112"/>
  <c r="O771" i="29"/>
  <c r="BN771" i="29" s="1"/>
  <c r="V199" i="118"/>
  <c r="V208" i="118"/>
  <c r="V200" i="118"/>
  <c r="V230" i="118"/>
  <c r="V204" i="118"/>
  <c r="V228" i="118"/>
  <c r="V201" i="118"/>
  <c r="V241" i="118"/>
  <c r="V234" i="118"/>
  <c r="V202" i="118"/>
  <c r="V196" i="118"/>
  <c r="V211" i="118"/>
  <c r="V237" i="118"/>
  <c r="V226" i="118"/>
  <c r="V198" i="118"/>
  <c r="V221" i="118"/>
  <c r="V216" i="118"/>
  <c r="V231" i="118"/>
  <c r="V210" i="118"/>
  <c r="V233" i="118"/>
  <c r="V205" i="118"/>
  <c r="V229" i="118"/>
  <c r="V215" i="118"/>
  <c r="V193" i="118"/>
  <c r="V240" i="118"/>
  <c r="V207" i="118"/>
  <c r="V224" i="118"/>
  <c r="V195" i="118"/>
  <c r="V203" i="118"/>
  <c r="V239" i="118"/>
  <c r="V225" i="118"/>
  <c r="R313" i="118"/>
  <c r="S313" i="118" s="1"/>
  <c r="V357" i="118" s="1"/>
  <c r="AD197" i="112"/>
  <c r="AE197" i="112"/>
  <c r="AE128" i="112"/>
  <c r="AD128" i="112"/>
  <c r="AD188" i="112"/>
  <c r="AE188" i="112"/>
  <c r="AE146" i="112"/>
  <c r="AD146" i="112"/>
  <c r="AE249" i="112"/>
  <c r="AD249" i="112"/>
  <c r="I634" i="29"/>
  <c r="I596" i="29"/>
  <c r="H651" i="29"/>
  <c r="H627" i="29"/>
  <c r="H608" i="29"/>
  <c r="I627" i="29"/>
  <c r="I608" i="29"/>
  <c r="H634" i="29"/>
  <c r="H596" i="29"/>
  <c r="I651" i="29"/>
  <c r="D52" i="118"/>
  <c r="AM203" i="29"/>
  <c r="Y157" i="115"/>
  <c r="Z157" i="115" s="1"/>
  <c r="AA157" i="115" s="1"/>
  <c r="AU565" i="29" s="1"/>
  <c r="AE45" i="112"/>
  <c r="AD45" i="112"/>
  <c r="BN553" i="29"/>
  <c r="X43" i="112"/>
  <c r="Y45" i="112"/>
  <c r="G727" i="29" s="1"/>
  <c r="X45" i="112"/>
  <c r="AE46" i="112"/>
  <c r="AD46" i="112"/>
  <c r="AD44" i="112"/>
  <c r="H551" i="29"/>
  <c r="G551" i="29"/>
  <c r="F551" i="29"/>
  <c r="G553" i="29"/>
  <c r="I554" i="29"/>
  <c r="I552" i="29"/>
  <c r="H554" i="29"/>
  <c r="O727" i="29"/>
  <c r="BN552" i="29"/>
  <c r="AE96" i="115"/>
  <c r="AV391" i="29" s="1"/>
  <c r="AB93" i="115"/>
  <c r="BK388" i="29" s="1"/>
  <c r="AE34" i="115"/>
  <c r="AV218" i="29" s="1"/>
  <c r="AE223" i="115"/>
  <c r="AV742" i="29" s="1"/>
  <c r="AE285" i="115"/>
  <c r="AV914" i="29" s="1"/>
  <c r="AE159" i="115"/>
  <c r="AV567" i="29" s="1"/>
  <c r="T158" i="115"/>
  <c r="W158" i="115" s="1"/>
  <c r="X158" i="115" s="1"/>
  <c r="V158" i="115"/>
  <c r="U159" i="115"/>
  <c r="S159" i="115"/>
  <c r="P161" i="115"/>
  <c r="Q160" i="115"/>
  <c r="R160" i="115" s="1"/>
  <c r="AD160" i="115"/>
  <c r="AC160" i="115"/>
  <c r="Q35" i="115"/>
  <c r="R35" i="115" s="1"/>
  <c r="S35" i="115" s="1"/>
  <c r="T35" i="115" s="1"/>
  <c r="AA221" i="115"/>
  <c r="AU740" i="29" s="1"/>
  <c r="AB282" i="115"/>
  <c r="BK911" i="29" s="1"/>
  <c r="AB31" i="115"/>
  <c r="BK215" i="29" s="1"/>
  <c r="AB156" i="115"/>
  <c r="BK564" i="29" s="1"/>
  <c r="AB220" i="115"/>
  <c r="BK739" i="29" s="1"/>
  <c r="X501" i="29"/>
  <c r="L9" i="29"/>
  <c r="F24" i="116" s="1"/>
  <c r="P23" i="59" s="1"/>
  <c r="M9" i="29" s="1"/>
  <c r="F25" i="116"/>
  <c r="C58" i="59" s="1"/>
  <c r="L7" i="29"/>
  <c r="L6" i="29"/>
  <c r="F21" i="116" s="1"/>
  <c r="L8" i="29"/>
  <c r="AC286" i="115"/>
  <c r="Q286" i="115"/>
  <c r="R286" i="115" s="1"/>
  <c r="AD286" i="115"/>
  <c r="P287" i="115"/>
  <c r="S96" i="115"/>
  <c r="U96" i="115"/>
  <c r="Q97" i="115"/>
  <c r="R97" i="115" s="1"/>
  <c r="AC97" i="115"/>
  <c r="AD97" i="115"/>
  <c r="P98" i="115"/>
  <c r="U223" i="115"/>
  <c r="S223" i="115"/>
  <c r="S285" i="115"/>
  <c r="U285" i="115"/>
  <c r="V222" i="115"/>
  <c r="T222" i="115"/>
  <c r="W222" i="115" s="1"/>
  <c r="X222" i="115" s="1"/>
  <c r="Q224" i="115"/>
  <c r="R224" i="115" s="1"/>
  <c r="AC224" i="115"/>
  <c r="AD224" i="115"/>
  <c r="P225" i="115"/>
  <c r="V95" i="115"/>
  <c r="T95" i="115"/>
  <c r="W95" i="115" s="1"/>
  <c r="X95" i="115" s="1"/>
  <c r="V284" i="115"/>
  <c r="T284" i="115"/>
  <c r="W284" i="115" s="1"/>
  <c r="X284" i="115" s="1"/>
  <c r="AA1019" i="29"/>
  <c r="AH903" i="29"/>
  <c r="AI903" i="29" s="1"/>
  <c r="AJ903" i="29" s="1"/>
  <c r="AG904" i="29" s="1"/>
  <c r="AA1017" i="29"/>
  <c r="AA1016" i="29"/>
  <c r="AA835" i="29"/>
  <c r="AA843" i="29"/>
  <c r="AA842" i="29"/>
  <c r="AA840" i="29"/>
  <c r="AA845" i="29"/>
  <c r="AA847" i="29"/>
  <c r="AA841" i="29"/>
  <c r="AA844" i="29"/>
  <c r="AA670" i="29"/>
  <c r="AA661" i="29"/>
  <c r="AA667" i="29"/>
  <c r="AA662" i="29"/>
  <c r="X662" i="29"/>
  <c r="AA666" i="29"/>
  <c r="AA669" i="29"/>
  <c r="K60" i="108"/>
  <c r="AA672" i="29"/>
  <c r="AA1014" i="29"/>
  <c r="AA1015" i="29"/>
  <c r="AA1018" i="29"/>
  <c r="AA671" i="29"/>
  <c r="AA674" i="29"/>
  <c r="AA673" i="29"/>
  <c r="AA846" i="29"/>
  <c r="AA1013" i="29"/>
  <c r="AA668" i="29"/>
  <c r="AA1021" i="29"/>
  <c r="AA848" i="29"/>
  <c r="AA1020" i="29"/>
  <c r="AA676" i="29"/>
  <c r="AA837" i="29"/>
  <c r="AA677" i="29"/>
  <c r="AA1008" i="29"/>
  <c r="AA665" i="29"/>
  <c r="AA839" i="29"/>
  <c r="AA1009" i="29"/>
  <c r="AA675" i="29"/>
  <c r="AA660" i="29"/>
  <c r="AA834" i="29"/>
  <c r="AA836" i="29"/>
  <c r="AA849" i="29"/>
  <c r="AA663" i="29"/>
  <c r="AA851" i="29"/>
  <c r="W33" i="115"/>
  <c r="X33" i="115" s="1"/>
  <c r="V33" i="115"/>
  <c r="U34" i="115"/>
  <c r="P36" i="115"/>
  <c r="AD35" i="115"/>
  <c r="AC35" i="115"/>
  <c r="AD840" i="29"/>
  <c r="AE840" i="29"/>
  <c r="AC840" i="29"/>
  <c r="AD833" i="29"/>
  <c r="AD662" i="29"/>
  <c r="AE662" i="29"/>
  <c r="AC662" i="29"/>
  <c r="AI556" i="29"/>
  <c r="AJ556" i="29" s="1"/>
  <c r="AG557" i="29" s="1"/>
  <c r="AH731" i="29"/>
  <c r="AS89" i="113"/>
  <c r="AP168" i="113"/>
  <c r="AT210" i="113"/>
  <c r="AT107" i="113"/>
  <c r="AP86" i="113"/>
  <c r="AT67" i="113"/>
  <c r="AS49" i="113"/>
  <c r="AQ150" i="113"/>
  <c r="AS95" i="113"/>
  <c r="AQ52" i="113"/>
  <c r="AS70" i="113"/>
  <c r="AT180" i="113"/>
  <c r="AT140" i="113"/>
  <c r="AT158" i="113"/>
  <c r="AQ84" i="113"/>
  <c r="AQ109" i="113"/>
  <c r="AQ62" i="113"/>
  <c r="AP52" i="113"/>
  <c r="AT130" i="113"/>
  <c r="AP104" i="113"/>
  <c r="AQ108" i="113"/>
  <c r="AS81" i="113"/>
  <c r="AT189" i="113"/>
  <c r="AS131" i="113"/>
  <c r="AP62" i="113"/>
  <c r="AS90" i="113"/>
  <c r="AS190" i="113"/>
  <c r="AT52" i="113"/>
  <c r="AQ193" i="113"/>
  <c r="AQ159" i="113"/>
  <c r="AT119" i="113"/>
  <c r="AS67" i="113"/>
  <c r="AT105" i="113"/>
  <c r="AQ135" i="113"/>
  <c r="AS108" i="113"/>
  <c r="AQ77" i="113"/>
  <c r="AT129" i="113"/>
  <c r="AT56" i="113"/>
  <c r="AP159" i="113"/>
  <c r="AQ194" i="113"/>
  <c r="AP46" i="113"/>
  <c r="AP49" i="113"/>
  <c r="AP106" i="113"/>
  <c r="AQ50" i="113"/>
  <c r="AT141" i="113"/>
  <c r="AT97" i="113"/>
  <c r="AP108" i="113"/>
  <c r="AS79" i="113"/>
  <c r="AQ249" i="113"/>
  <c r="AQ189" i="113"/>
  <c r="AT66" i="113"/>
  <c r="AO222" i="113"/>
  <c r="AQ138" i="113"/>
  <c r="AP248" i="113"/>
  <c r="AS52" i="113"/>
  <c r="AP79" i="113"/>
  <c r="AS109" i="113"/>
  <c r="AT49" i="113"/>
  <c r="AQ67" i="113"/>
  <c r="AS91" i="113"/>
  <c r="AT109" i="113"/>
  <c r="AQ56" i="113"/>
  <c r="AS78" i="113"/>
  <c r="AP133" i="113"/>
  <c r="AT194" i="113"/>
  <c r="AP43" i="113"/>
  <c r="AP66" i="113"/>
  <c r="AS191" i="113"/>
  <c r="AQ192" i="113"/>
  <c r="AS50" i="113"/>
  <c r="AP58" i="113"/>
  <c r="AT50" i="113"/>
  <c r="AS77" i="113"/>
  <c r="AS184" i="113"/>
  <c r="AT248" i="113"/>
  <c r="AP119" i="113"/>
  <c r="AS168" i="113"/>
  <c r="AT209" i="113"/>
  <c r="AT80" i="113"/>
  <c r="AQ86" i="113"/>
  <c r="AT211" i="113"/>
  <c r="AS167" i="113"/>
  <c r="AT153" i="113"/>
  <c r="AP149" i="113"/>
  <c r="AQ80" i="113"/>
  <c r="AT45" i="113"/>
  <c r="AT138" i="113"/>
  <c r="AS198" i="113"/>
  <c r="AS72" i="113"/>
  <c r="AQ170" i="113"/>
  <c r="AP77" i="113"/>
  <c r="AS180" i="113"/>
  <c r="AT191" i="113"/>
  <c r="AQ119" i="113"/>
  <c r="AQ248" i="113"/>
  <c r="AS140" i="113"/>
  <c r="AT77" i="113"/>
  <c r="AO258" i="113"/>
  <c r="AP84" i="113"/>
  <c r="AS106" i="113"/>
  <c r="AQ160" i="113"/>
  <c r="AP110" i="113"/>
  <c r="AP158" i="113"/>
  <c r="AS119" i="113"/>
  <c r="AT159" i="113"/>
  <c r="AQ76" i="113"/>
  <c r="AS169" i="113"/>
  <c r="AS150" i="113"/>
  <c r="AT120" i="113"/>
  <c r="AQ145" i="113"/>
  <c r="AO45" i="113"/>
  <c r="AS193" i="113"/>
  <c r="AS120" i="113"/>
  <c r="AQ179" i="113"/>
  <c r="AP70" i="113"/>
  <c r="AQ191" i="113"/>
  <c r="AP167" i="113"/>
  <c r="AS66" i="113"/>
  <c r="AS247" i="113"/>
  <c r="AT185" i="113"/>
  <c r="AP97" i="113"/>
  <c r="AT79" i="113"/>
  <c r="AP185" i="113"/>
  <c r="AS61" i="113"/>
  <c r="AT169" i="113"/>
  <c r="AP170" i="113"/>
  <c r="AQ209" i="113"/>
  <c r="AQ131" i="113"/>
  <c r="AQ106" i="113"/>
  <c r="AT100" i="113"/>
  <c r="AP78" i="113"/>
  <c r="AQ163" i="113"/>
  <c r="AS62" i="113"/>
  <c r="AT170" i="113"/>
  <c r="AT106" i="113"/>
  <c r="AQ78" i="113"/>
  <c r="AP105" i="113"/>
  <c r="AT149" i="113"/>
  <c r="AT190" i="113"/>
  <c r="AS110" i="113"/>
  <c r="AS129" i="113"/>
  <c r="AS105" i="113"/>
  <c r="AT198" i="113"/>
  <c r="AP193" i="113"/>
  <c r="AT249" i="113"/>
  <c r="AS107" i="113"/>
  <c r="AP51" i="113"/>
  <c r="AQ199" i="113"/>
  <c r="AP190" i="113"/>
  <c r="AP140" i="113"/>
  <c r="AT43" i="112"/>
  <c r="AS158" i="113"/>
  <c r="AQ110" i="113"/>
  <c r="AQ95" i="113"/>
  <c r="AT63" i="113"/>
  <c r="AS200" i="113"/>
  <c r="AS197" i="113"/>
  <c r="AS85" i="113"/>
  <c r="AP163" i="113"/>
  <c r="AQ96" i="113"/>
  <c r="AQ128" i="113"/>
  <c r="AQ107" i="113"/>
  <c r="AQ190" i="113"/>
  <c r="AQ104" i="113"/>
  <c r="AS163" i="113"/>
  <c r="AT150" i="113"/>
  <c r="AQ63" i="113"/>
  <c r="AQ246" i="113"/>
  <c r="AP247" i="113"/>
  <c r="AO257" i="113"/>
  <c r="AP109" i="113"/>
  <c r="AT139" i="113"/>
  <c r="AT104" i="113"/>
  <c r="AP120" i="113"/>
  <c r="AQ129" i="113"/>
  <c r="AS248" i="113"/>
  <c r="AQ149" i="113"/>
  <c r="AT46" i="113"/>
  <c r="AP107" i="113"/>
  <c r="AQ158" i="113"/>
  <c r="AP169" i="113"/>
  <c r="AS159" i="113"/>
  <c r="AT132" i="113"/>
  <c r="AQ46" i="113"/>
  <c r="AQ133" i="113"/>
  <c r="AQ51" i="113"/>
  <c r="AS101" i="113"/>
  <c r="AQ79" i="113"/>
  <c r="AT145" i="113"/>
  <c r="AP246" i="113"/>
  <c r="AS96" i="113"/>
  <c r="AQ100" i="113"/>
  <c r="AQ139" i="113"/>
  <c r="AS189" i="113"/>
  <c r="AP72" i="113"/>
  <c r="AP57" i="113"/>
  <c r="AS138" i="113"/>
  <c r="AQ101" i="113"/>
  <c r="AS139" i="113"/>
  <c r="AT163" i="113"/>
  <c r="AP71" i="113"/>
  <c r="AQ81" i="113"/>
  <c r="AQ154" i="113"/>
  <c r="AQ71" i="113"/>
  <c r="AO44" i="113"/>
  <c r="AQ167" i="113"/>
  <c r="AP67" i="113"/>
  <c r="AT62" i="113"/>
  <c r="AS146" i="113"/>
  <c r="AT78" i="113"/>
  <c r="AP141" i="113"/>
  <c r="AT207" i="113"/>
  <c r="AQ90" i="113"/>
  <c r="AT167" i="113"/>
  <c r="AQ85" i="113"/>
  <c r="AS179" i="113"/>
  <c r="AP139" i="113"/>
  <c r="AT246" i="113"/>
  <c r="AT96" i="113"/>
  <c r="AT72" i="113"/>
  <c r="AT193" i="113"/>
  <c r="AT192" i="113"/>
  <c r="AP184" i="113"/>
  <c r="AS56" i="113"/>
  <c r="AQ132" i="113"/>
  <c r="AQ141" i="113"/>
  <c r="AP138" i="113"/>
  <c r="AP63" i="113"/>
  <c r="AT197" i="113"/>
  <c r="AO223" i="113"/>
  <c r="AP96" i="113"/>
  <c r="AS132" i="113"/>
  <c r="AQ97" i="113"/>
  <c r="AS86" i="113"/>
  <c r="AP179" i="113"/>
  <c r="AT90" i="113"/>
  <c r="AQ198" i="113"/>
  <c r="AQ169" i="113"/>
  <c r="AQ250" i="113"/>
  <c r="AQ72" i="113"/>
  <c r="AO233" i="113"/>
  <c r="AS188" i="113"/>
  <c r="AS149" i="113"/>
  <c r="AP210" i="113"/>
  <c r="AS128" i="113"/>
  <c r="AO34" i="113"/>
  <c r="AT135" i="113"/>
  <c r="AQ89" i="113"/>
  <c r="AT188" i="113"/>
  <c r="AP211" i="113"/>
  <c r="AS153" i="113"/>
  <c r="AQ140" i="113"/>
  <c r="AS211" i="113"/>
  <c r="AP154" i="113"/>
  <c r="AP76" i="113"/>
  <c r="AS104" i="113"/>
  <c r="AP80" i="113"/>
  <c r="AT247" i="113"/>
  <c r="AP91" i="113"/>
  <c r="AT70" i="113"/>
  <c r="AP81" i="113"/>
  <c r="AT146" i="113"/>
  <c r="AQ178" i="113"/>
  <c r="AO224" i="113"/>
  <c r="AP208" i="113"/>
  <c r="AQ58" i="113"/>
  <c r="AQ105" i="113"/>
  <c r="AT128" i="113"/>
  <c r="AT154" i="113"/>
  <c r="AT131" i="113"/>
  <c r="AS246" i="113"/>
  <c r="AT71" i="113"/>
  <c r="AP194" i="113"/>
  <c r="AP101" i="113"/>
  <c r="AT85" i="113"/>
  <c r="AQ197" i="113"/>
  <c r="AT110" i="113"/>
  <c r="AP50" i="113"/>
  <c r="AS210" i="113"/>
  <c r="AQ200" i="113"/>
  <c r="AQ91" i="113"/>
  <c r="AS199" i="113"/>
  <c r="AP209" i="113"/>
  <c r="AT81" i="113"/>
  <c r="AQ188" i="113"/>
  <c r="AS209" i="113"/>
  <c r="AO234" i="113"/>
  <c r="AO27" i="113"/>
  <c r="AS46" i="113"/>
  <c r="AT168" i="113"/>
  <c r="AP153" i="113"/>
  <c r="AQ70" i="113"/>
  <c r="AT178" i="113"/>
  <c r="AT76" i="113"/>
  <c r="AT108" i="113"/>
  <c r="AT199" i="113"/>
  <c r="AT86" i="113"/>
  <c r="AS43" i="112"/>
  <c r="AO43" i="113"/>
  <c r="AS192" i="113"/>
  <c r="AT61" i="113"/>
  <c r="AQ66" i="113"/>
  <c r="AS194" i="113"/>
  <c r="AP85" i="113"/>
  <c r="AT101" i="113"/>
  <c r="AP95" i="113"/>
  <c r="AP178" i="113"/>
  <c r="AP56" i="113"/>
  <c r="AS57" i="113"/>
  <c r="AS133" i="113"/>
  <c r="AQ184" i="113"/>
  <c r="AS130" i="113"/>
  <c r="AQ185" i="113"/>
  <c r="AT89" i="113"/>
  <c r="AT184" i="113"/>
  <c r="AT57" i="113"/>
  <c r="AP90" i="113"/>
  <c r="AS80" i="113"/>
  <c r="AQ210" i="113"/>
  <c r="AS84" i="113"/>
  <c r="AQ49" i="113"/>
  <c r="AQ180" i="113"/>
  <c r="AS250" i="113"/>
  <c r="AS97" i="113"/>
  <c r="AT58" i="113"/>
  <c r="AT133" i="113"/>
  <c r="AS45" i="113"/>
  <c r="AP150" i="113"/>
  <c r="AQ61" i="113"/>
  <c r="AP100" i="113"/>
  <c r="AT179" i="113"/>
  <c r="AS154" i="113"/>
  <c r="AS71" i="113"/>
  <c r="AS100" i="113"/>
  <c r="AS58" i="113"/>
  <c r="AS63" i="113"/>
  <c r="AS44" i="113"/>
  <c r="AT95" i="113"/>
  <c r="AS249" i="113"/>
  <c r="AT208" i="113"/>
  <c r="AQ153" i="113"/>
  <c r="AQ168" i="113"/>
  <c r="AT51" i="113"/>
  <c r="AS185" i="113"/>
  <c r="AQ211" i="113"/>
  <c r="AQ120" i="113"/>
  <c r="AS178" i="113"/>
  <c r="AQ207" i="113"/>
  <c r="AQ208" i="113"/>
  <c r="AT250" i="113"/>
  <c r="AT91" i="113"/>
  <c r="AQ247" i="113"/>
  <c r="AQ130" i="113"/>
  <c r="AP89" i="113"/>
  <c r="AS141" i="113"/>
  <c r="AT84" i="113"/>
  <c r="AQ57" i="113"/>
  <c r="AS76" i="113"/>
  <c r="AP61" i="113"/>
  <c r="AT200" i="113"/>
  <c r="AS170" i="113"/>
  <c r="AS208" i="113"/>
  <c r="AE105" i="29" l="1"/>
  <c r="AG105" i="29" s="1"/>
  <c r="H80" i="114"/>
  <c r="I80" i="114" s="1"/>
  <c r="K80" i="114" s="1"/>
  <c r="K1024" i="29" s="1"/>
  <c r="AE104" i="29"/>
  <c r="AG104" i="29" s="1"/>
  <c r="H79" i="114"/>
  <c r="I79" i="114" s="1"/>
  <c r="K79" i="114" s="1"/>
  <c r="K1023" i="29" s="1"/>
  <c r="AA1023" i="29" s="1"/>
  <c r="AD107" i="113"/>
  <c r="H937" i="29" s="1"/>
  <c r="X107" i="113"/>
  <c r="F937" i="29" s="1"/>
  <c r="X211" i="113"/>
  <c r="F989" i="29" s="1"/>
  <c r="AD211" i="113"/>
  <c r="H989" i="29" s="1"/>
  <c r="X194" i="113"/>
  <c r="F980" i="29" s="1"/>
  <c r="AD194" i="113"/>
  <c r="H980" i="29" s="1"/>
  <c r="X77" i="113"/>
  <c r="F918" i="29" s="1"/>
  <c r="AD77" i="113"/>
  <c r="H918" i="29" s="1"/>
  <c r="X170" i="113"/>
  <c r="F968" i="29" s="1"/>
  <c r="AD170" i="113"/>
  <c r="H968" i="29" s="1"/>
  <c r="X108" i="113"/>
  <c r="F938" i="29" s="1"/>
  <c r="AD108" i="113"/>
  <c r="H938" i="29" s="1"/>
  <c r="AD79" i="113"/>
  <c r="H920" i="29" s="1"/>
  <c r="X79" i="113"/>
  <c r="F920" i="29" s="1"/>
  <c r="X141" i="113"/>
  <c r="F953" i="29" s="1"/>
  <c r="AD141" i="113"/>
  <c r="H953" i="29" s="1"/>
  <c r="X80" i="113"/>
  <c r="F921" i="29" s="1"/>
  <c r="AD80" i="113"/>
  <c r="H921" i="29" s="1"/>
  <c r="X163" i="113"/>
  <c r="F964" i="29" s="1"/>
  <c r="AD163" i="113"/>
  <c r="H964" i="29" s="1"/>
  <c r="AD110" i="113"/>
  <c r="H940" i="29" s="1"/>
  <c r="X110" i="113"/>
  <c r="F940" i="29" s="1"/>
  <c r="X78" i="113"/>
  <c r="F919" i="29" s="1"/>
  <c r="AD78" i="113"/>
  <c r="H919" i="29" s="1"/>
  <c r="Y135" i="113"/>
  <c r="G949" i="29" s="1"/>
  <c r="AD135" i="113"/>
  <c r="H949" i="29" s="1"/>
  <c r="X210" i="113"/>
  <c r="F988" i="29" s="1"/>
  <c r="AD210" i="113"/>
  <c r="H988" i="29" s="1"/>
  <c r="AD52" i="113"/>
  <c r="H905" i="29" s="1"/>
  <c r="X52" i="113"/>
  <c r="F905" i="29" s="1"/>
  <c r="AD109" i="113"/>
  <c r="H939" i="29" s="1"/>
  <c r="X109" i="113"/>
  <c r="F939" i="29" s="1"/>
  <c r="H748" i="29"/>
  <c r="H749" i="29"/>
  <c r="F814" i="29"/>
  <c r="H745" i="29"/>
  <c r="F765" i="29"/>
  <c r="H791" i="29"/>
  <c r="F807" i="29"/>
  <c r="F779" i="29"/>
  <c r="F824" i="29"/>
  <c r="H758" i="29"/>
  <c r="H735" i="29"/>
  <c r="H815" i="29"/>
  <c r="F748" i="29"/>
  <c r="F749" i="29"/>
  <c r="F775" i="29"/>
  <c r="H746" i="29"/>
  <c r="F806" i="29"/>
  <c r="H755" i="29"/>
  <c r="F794" i="29"/>
  <c r="F766" i="29"/>
  <c r="F738" i="29"/>
  <c r="H763" i="29"/>
  <c r="F758" i="29"/>
  <c r="H747" i="29"/>
  <c r="H780" i="29"/>
  <c r="H816" i="29"/>
  <c r="H743" i="29"/>
  <c r="H732" i="29"/>
  <c r="H752" i="29"/>
  <c r="F746" i="29"/>
  <c r="F755" i="29"/>
  <c r="H794" i="29"/>
  <c r="H766" i="29"/>
  <c r="H738" i="29"/>
  <c r="F763" i="29"/>
  <c r="H767" i="29"/>
  <c r="F795" i="29"/>
  <c r="F747" i="29"/>
  <c r="H764" i="29"/>
  <c r="F780" i="29"/>
  <c r="F816" i="29"/>
  <c r="F743" i="29"/>
  <c r="F732" i="29"/>
  <c r="F752" i="29"/>
  <c r="H814" i="29"/>
  <c r="F745" i="29"/>
  <c r="H765" i="29"/>
  <c r="F791" i="29"/>
  <c r="H807" i="29"/>
  <c r="H779" i="29"/>
  <c r="H824" i="29"/>
  <c r="F767" i="29"/>
  <c r="H795" i="29"/>
  <c r="F735" i="29"/>
  <c r="F764" i="29"/>
  <c r="F815" i="29"/>
  <c r="G826" i="29"/>
  <c r="Y250" i="113"/>
  <c r="G999" i="29" s="1"/>
  <c r="O999" i="29"/>
  <c r="BN999" i="29" s="1"/>
  <c r="AD43" i="112"/>
  <c r="H725" i="29" s="1"/>
  <c r="I776" i="29"/>
  <c r="G764" i="29"/>
  <c r="G780" i="29"/>
  <c r="G815" i="29"/>
  <c r="I748" i="29"/>
  <c r="I732" i="29"/>
  <c r="G825" i="29"/>
  <c r="G765" i="29"/>
  <c r="G805" i="29"/>
  <c r="Y107" i="113"/>
  <c r="G937" i="29" s="1"/>
  <c r="AE107" i="113"/>
  <c r="I937" i="29" s="1"/>
  <c r="O937" i="29"/>
  <c r="BN937" i="29" s="1"/>
  <c r="Y211" i="113"/>
  <c r="G989" i="29" s="1"/>
  <c r="AE211" i="113"/>
  <c r="I989" i="29" s="1"/>
  <c r="O989" i="29"/>
  <c r="BN989" i="29" s="1"/>
  <c r="X81" i="113"/>
  <c r="F922" i="29" s="1"/>
  <c r="AE81" i="113"/>
  <c r="I922" i="29" s="1"/>
  <c r="Y81" i="113"/>
  <c r="G922" i="29" s="1"/>
  <c r="O922" i="29"/>
  <c r="BN922" i="29" s="1"/>
  <c r="Y133" i="113"/>
  <c r="G948" i="29" s="1"/>
  <c r="O948" i="29"/>
  <c r="BN948" i="29" s="1"/>
  <c r="Y109" i="113"/>
  <c r="G939" i="29" s="1"/>
  <c r="AE109" i="113"/>
  <c r="I939" i="29" s="1"/>
  <c r="O939" i="29"/>
  <c r="BN939" i="29" s="1"/>
  <c r="G795" i="29"/>
  <c r="G776" i="29"/>
  <c r="I780" i="29"/>
  <c r="I743" i="29"/>
  <c r="G748" i="29"/>
  <c r="G775" i="29"/>
  <c r="G807" i="29"/>
  <c r="I738" i="29"/>
  <c r="I824" i="29"/>
  <c r="Y170" i="113"/>
  <c r="G968" i="29" s="1"/>
  <c r="AE170" i="113"/>
  <c r="I968" i="29" s="1"/>
  <c r="O968" i="29"/>
  <c r="BN968" i="29" s="1"/>
  <c r="X132" i="113"/>
  <c r="F947" i="29" s="1"/>
  <c r="Y132" i="113"/>
  <c r="G947" i="29" s="1"/>
  <c r="O947" i="29"/>
  <c r="BN947" i="29" s="1"/>
  <c r="Y191" i="113"/>
  <c r="G977" i="29" s="1"/>
  <c r="O977" i="29"/>
  <c r="BN977" i="29" s="1"/>
  <c r="Y193" i="113"/>
  <c r="G979" i="29" s="1"/>
  <c r="O979" i="29"/>
  <c r="BN979" i="29" s="1"/>
  <c r="AE194" i="113"/>
  <c r="I980" i="29" s="1"/>
  <c r="Y194" i="113"/>
  <c r="G980" i="29" s="1"/>
  <c r="O980" i="29"/>
  <c r="BN980" i="29" s="1"/>
  <c r="I795" i="29"/>
  <c r="G747" i="29"/>
  <c r="I735" i="29"/>
  <c r="G774" i="29"/>
  <c r="I816" i="29"/>
  <c r="I749" i="29"/>
  <c r="H798" i="29"/>
  <c r="G806" i="29"/>
  <c r="G811" i="29"/>
  <c r="G791" i="29"/>
  <c r="I766" i="29"/>
  <c r="I807" i="29"/>
  <c r="G767" i="29"/>
  <c r="F803" i="29"/>
  <c r="Y79" i="113"/>
  <c r="G920" i="29" s="1"/>
  <c r="AE79" i="113"/>
  <c r="I920" i="29" s="1"/>
  <c r="O920" i="29"/>
  <c r="BN920" i="29" s="1"/>
  <c r="Y141" i="113"/>
  <c r="G953" i="29" s="1"/>
  <c r="AE141" i="113"/>
  <c r="I953" i="29" s="1"/>
  <c r="O953" i="29"/>
  <c r="BN953" i="29" s="1"/>
  <c r="AE80" i="113"/>
  <c r="I921" i="29" s="1"/>
  <c r="Y80" i="113"/>
  <c r="G921" i="29" s="1"/>
  <c r="O921" i="29"/>
  <c r="BN921" i="29" s="1"/>
  <c r="X249" i="113"/>
  <c r="F998" i="29" s="1"/>
  <c r="Y249" i="113"/>
  <c r="G998" i="29" s="1"/>
  <c r="O998" i="29"/>
  <c r="BN998" i="29" s="1"/>
  <c r="AE108" i="113"/>
  <c r="I938" i="29" s="1"/>
  <c r="Y108" i="113"/>
  <c r="G938" i="29" s="1"/>
  <c r="O938" i="29"/>
  <c r="BN938" i="29" s="1"/>
  <c r="Y192" i="113"/>
  <c r="G978" i="29" s="1"/>
  <c r="O978" i="29"/>
  <c r="BN978" i="29" s="1"/>
  <c r="I747" i="29"/>
  <c r="I764" i="29"/>
  <c r="I815" i="29"/>
  <c r="G816" i="29"/>
  <c r="F731" i="29"/>
  <c r="G804" i="29"/>
  <c r="G732" i="29"/>
  <c r="G749" i="29"/>
  <c r="I765" i="29"/>
  <c r="I794" i="29"/>
  <c r="I791" i="29"/>
  <c r="G766" i="29"/>
  <c r="I763" i="29"/>
  <c r="I767" i="29"/>
  <c r="AE135" i="113"/>
  <c r="I949" i="29" s="1"/>
  <c r="O949" i="29"/>
  <c r="BN949" i="29" s="1"/>
  <c r="Y210" i="113"/>
  <c r="G988" i="29" s="1"/>
  <c r="AE210" i="113"/>
  <c r="I988" i="29" s="1"/>
  <c r="O988" i="29"/>
  <c r="BN988" i="29" s="1"/>
  <c r="Y52" i="113"/>
  <c r="G905" i="29" s="1"/>
  <c r="AE52" i="113"/>
  <c r="I905" i="29" s="1"/>
  <c r="O905" i="29"/>
  <c r="BN905" i="29" s="1"/>
  <c r="Y200" i="113"/>
  <c r="G984" i="29" s="1"/>
  <c r="O984" i="29"/>
  <c r="BN984" i="29" s="1"/>
  <c r="AE163" i="113"/>
  <c r="I964" i="29" s="1"/>
  <c r="S155" i="113"/>
  <c r="Y163" i="113"/>
  <c r="G964" i="29" s="1"/>
  <c r="O964" i="29"/>
  <c r="BN964" i="29" s="1"/>
  <c r="Y110" i="113"/>
  <c r="G940" i="29" s="1"/>
  <c r="AE110" i="113"/>
  <c r="I940" i="29" s="1"/>
  <c r="O940" i="29"/>
  <c r="BN940" i="29" s="1"/>
  <c r="G746" i="29"/>
  <c r="I746" i="29"/>
  <c r="AE78" i="113"/>
  <c r="I919" i="29" s="1"/>
  <c r="Y78" i="113"/>
  <c r="G919" i="29" s="1"/>
  <c r="O919" i="29"/>
  <c r="BN919" i="29" s="1"/>
  <c r="I745" i="29"/>
  <c r="G745" i="29"/>
  <c r="AE77" i="113"/>
  <c r="I918" i="29" s="1"/>
  <c r="Y77" i="113"/>
  <c r="G918" i="29" s="1"/>
  <c r="O918" i="29"/>
  <c r="BN918" i="29" s="1"/>
  <c r="G16" i="108"/>
  <c r="H19" i="108" s="1"/>
  <c r="AA1007" i="29"/>
  <c r="AE72" i="113"/>
  <c r="I916" i="29" s="1"/>
  <c r="X72" i="113"/>
  <c r="F916" i="29" s="1"/>
  <c r="AD72" i="113"/>
  <c r="H916" i="29" s="1"/>
  <c r="AD248" i="113"/>
  <c r="H997" i="29" s="1"/>
  <c r="X248" i="113"/>
  <c r="F997" i="29" s="1"/>
  <c r="X139" i="113"/>
  <c r="F951" i="29" s="1"/>
  <c r="AD139" i="113"/>
  <c r="H951" i="29" s="1"/>
  <c r="AD150" i="113"/>
  <c r="H957" i="29" s="1"/>
  <c r="X150" i="113"/>
  <c r="F957" i="29" s="1"/>
  <c r="X85" i="113"/>
  <c r="F924" i="29" s="1"/>
  <c r="AD85" i="113"/>
  <c r="H924" i="29" s="1"/>
  <c r="X67" i="113"/>
  <c r="F913" i="29" s="1"/>
  <c r="AD67" i="113"/>
  <c r="H913" i="29" s="1"/>
  <c r="X153" i="113"/>
  <c r="F958" i="29" s="1"/>
  <c r="AD153" i="113"/>
  <c r="H958" i="29" s="1"/>
  <c r="AD104" i="113"/>
  <c r="H934" i="29" s="1"/>
  <c r="X104" i="113"/>
  <c r="F934" i="29" s="1"/>
  <c r="X49" i="113"/>
  <c r="F902" i="29" s="1"/>
  <c r="AD49" i="113"/>
  <c r="H902" i="29" s="1"/>
  <c r="X84" i="113"/>
  <c r="F923" i="29" s="1"/>
  <c r="AD84" i="113"/>
  <c r="H923" i="29" s="1"/>
  <c r="X208" i="113"/>
  <c r="F986" i="29" s="1"/>
  <c r="AD208" i="113"/>
  <c r="H986" i="29" s="1"/>
  <c r="X119" i="113"/>
  <c r="F941" i="29" s="1"/>
  <c r="AD119" i="113"/>
  <c r="H941" i="29" s="1"/>
  <c r="AE140" i="113"/>
  <c r="I952" i="29" s="1"/>
  <c r="AD140" i="113"/>
  <c r="H952" i="29" s="1"/>
  <c r="AE51" i="113"/>
  <c r="I904" i="29" s="1"/>
  <c r="AD51" i="113"/>
  <c r="H904" i="29" s="1"/>
  <c r="X51" i="113"/>
  <c r="F904" i="29" s="1"/>
  <c r="AE106" i="113"/>
  <c r="I936" i="29" s="1"/>
  <c r="X106" i="113"/>
  <c r="F936" i="29" s="1"/>
  <c r="AD106" i="113"/>
  <c r="H936" i="29" s="1"/>
  <c r="AD91" i="113"/>
  <c r="H928" i="29" s="1"/>
  <c r="X91" i="113"/>
  <c r="F928" i="29" s="1"/>
  <c r="AD154" i="113"/>
  <c r="H959" i="29" s="1"/>
  <c r="X154" i="113"/>
  <c r="F959" i="29" s="1"/>
  <c r="X105" i="113"/>
  <c r="F935" i="29" s="1"/>
  <c r="AD105" i="113"/>
  <c r="H935" i="29" s="1"/>
  <c r="X50" i="113"/>
  <c r="F903" i="29" s="1"/>
  <c r="AD50" i="113"/>
  <c r="H903" i="29" s="1"/>
  <c r="X71" i="113"/>
  <c r="F915" i="29" s="1"/>
  <c r="AD71" i="113"/>
  <c r="H915" i="29" s="1"/>
  <c r="X96" i="113"/>
  <c r="F930" i="29" s="1"/>
  <c r="AD96" i="113"/>
  <c r="H930" i="29" s="1"/>
  <c r="AD178" i="113"/>
  <c r="H969" i="29" s="1"/>
  <c r="X178" i="113"/>
  <c r="F969" i="29" s="1"/>
  <c r="AD89" i="113"/>
  <c r="H926" i="29" s="1"/>
  <c r="X89" i="113"/>
  <c r="F926" i="29" s="1"/>
  <c r="AD70" i="113"/>
  <c r="H914" i="29" s="1"/>
  <c r="X70" i="113"/>
  <c r="F914" i="29" s="1"/>
  <c r="X66" i="113"/>
  <c r="F912" i="29" s="1"/>
  <c r="AD66" i="113"/>
  <c r="H912" i="29" s="1"/>
  <c r="X184" i="113"/>
  <c r="F972" i="29" s="1"/>
  <c r="AD184" i="113"/>
  <c r="H972" i="29" s="1"/>
  <c r="AD63" i="113"/>
  <c r="H911" i="29" s="1"/>
  <c r="X63" i="113"/>
  <c r="F911" i="29" s="1"/>
  <c r="AE180" i="113"/>
  <c r="I971" i="29" s="1"/>
  <c r="X180" i="113"/>
  <c r="F971" i="29" s="1"/>
  <c r="AD180" i="113"/>
  <c r="H971" i="29" s="1"/>
  <c r="AD86" i="113"/>
  <c r="H925" i="29" s="1"/>
  <c r="X86" i="113"/>
  <c r="F925" i="29" s="1"/>
  <c r="AE169" i="113"/>
  <c r="I967" i="29" s="1"/>
  <c r="AD169" i="113"/>
  <c r="H967" i="29" s="1"/>
  <c r="X169" i="113"/>
  <c r="F967" i="29" s="1"/>
  <c r="X179" i="113"/>
  <c r="F970" i="29" s="1"/>
  <c r="AD179" i="113"/>
  <c r="H970" i="29" s="1"/>
  <c r="X90" i="113"/>
  <c r="F927" i="29" s="1"/>
  <c r="AD90" i="113"/>
  <c r="H927" i="29" s="1"/>
  <c r="X247" i="113"/>
  <c r="F996" i="29" s="1"/>
  <c r="AD247" i="113"/>
  <c r="H996" i="29" s="1"/>
  <c r="AD120" i="113"/>
  <c r="H942" i="29" s="1"/>
  <c r="X120" i="113"/>
  <c r="F942" i="29" s="1"/>
  <c r="X56" i="113"/>
  <c r="F906" i="29" s="1"/>
  <c r="AD56" i="113"/>
  <c r="H906" i="29" s="1"/>
  <c r="X100" i="113"/>
  <c r="F932" i="29" s="1"/>
  <c r="AD100" i="113"/>
  <c r="H932" i="29" s="1"/>
  <c r="AD167" i="113"/>
  <c r="H965" i="29" s="1"/>
  <c r="X167" i="113"/>
  <c r="F965" i="29" s="1"/>
  <c r="X246" i="113"/>
  <c r="F995" i="29" s="1"/>
  <c r="AD246" i="113"/>
  <c r="H995" i="29" s="1"/>
  <c r="AE209" i="113"/>
  <c r="I987" i="29" s="1"/>
  <c r="X209" i="113"/>
  <c r="F987" i="29" s="1"/>
  <c r="AE58" i="113"/>
  <c r="I908" i="29" s="1"/>
  <c r="X58" i="113"/>
  <c r="F908" i="29" s="1"/>
  <c r="AD58" i="113"/>
  <c r="H908" i="29" s="1"/>
  <c r="AE97" i="113"/>
  <c r="I931" i="29" s="1"/>
  <c r="X97" i="113"/>
  <c r="F931" i="29" s="1"/>
  <c r="AD97" i="113"/>
  <c r="H931" i="29" s="1"/>
  <c r="X57" i="113"/>
  <c r="F907" i="29" s="1"/>
  <c r="AD57" i="113"/>
  <c r="H907" i="29" s="1"/>
  <c r="AD101" i="113"/>
  <c r="H933" i="29" s="1"/>
  <c r="X101" i="113"/>
  <c r="F933" i="29" s="1"/>
  <c r="AD168" i="113"/>
  <c r="H966" i="29" s="1"/>
  <c r="X168" i="113"/>
  <c r="F966" i="29" s="1"/>
  <c r="AD62" i="113"/>
  <c r="H910" i="29" s="1"/>
  <c r="X62" i="113"/>
  <c r="F910" i="29" s="1"/>
  <c r="AD185" i="113"/>
  <c r="H973" i="29" s="1"/>
  <c r="X185" i="113"/>
  <c r="F973" i="29" s="1"/>
  <c r="AD138" i="113"/>
  <c r="H950" i="29" s="1"/>
  <c r="X138" i="113"/>
  <c r="F950" i="29" s="1"/>
  <c r="X149" i="113"/>
  <c r="F956" i="29" s="1"/>
  <c r="AD149" i="113"/>
  <c r="H956" i="29" s="1"/>
  <c r="X61" i="113"/>
  <c r="F909" i="29" s="1"/>
  <c r="AD61" i="113"/>
  <c r="H909" i="29" s="1"/>
  <c r="AD95" i="113"/>
  <c r="H929" i="29" s="1"/>
  <c r="X95" i="113"/>
  <c r="F929" i="29" s="1"/>
  <c r="AD76" i="113"/>
  <c r="H917" i="29" s="1"/>
  <c r="X76" i="113"/>
  <c r="F917" i="29" s="1"/>
  <c r="F744" i="29"/>
  <c r="H744" i="29"/>
  <c r="G744" i="29"/>
  <c r="I744" i="29"/>
  <c r="AE76" i="113"/>
  <c r="I917" i="29" s="1"/>
  <c r="Y76" i="113"/>
  <c r="G917" i="29" s="1"/>
  <c r="S74" i="113"/>
  <c r="O917" i="29"/>
  <c r="BN917" i="29" s="1"/>
  <c r="Y158" i="113"/>
  <c r="G960" i="29" s="1"/>
  <c r="Y159" i="113"/>
  <c r="G961" i="29" s="1"/>
  <c r="F759" i="29"/>
  <c r="H783" i="29"/>
  <c r="F753" i="29"/>
  <c r="F813" i="29"/>
  <c r="F800" i="29"/>
  <c r="H741" i="29"/>
  <c r="F736" i="29"/>
  <c r="H788" i="29"/>
  <c r="F734" i="29"/>
  <c r="H797" i="29"/>
  <c r="H756" i="29"/>
  <c r="H799" i="29"/>
  <c r="F784" i="29"/>
  <c r="H823" i="29"/>
  <c r="F754" i="29"/>
  <c r="F785" i="29"/>
  <c r="H777" i="29"/>
  <c r="H796" i="29"/>
  <c r="F778" i="29"/>
  <c r="G781" i="29"/>
  <c r="F787" i="29"/>
  <c r="F729" i="29"/>
  <c r="F792" i="29"/>
  <c r="H730" i="29"/>
  <c r="F750" i="29"/>
  <c r="H822" i="29"/>
  <c r="H740" i="29"/>
  <c r="F788" i="29"/>
  <c r="H762" i="29"/>
  <c r="F797" i="29"/>
  <c r="F756" i="29"/>
  <c r="F799" i="29"/>
  <c r="F751" i="29"/>
  <c r="F823" i="29"/>
  <c r="H793" i="29"/>
  <c r="H785" i="29"/>
  <c r="F777" i="29"/>
  <c r="F796" i="29"/>
  <c r="H778" i="29"/>
  <c r="H737" i="29"/>
  <c r="I781" i="29"/>
  <c r="H787" i="29"/>
  <c r="H729" i="29"/>
  <c r="H792" i="29"/>
  <c r="F730" i="29"/>
  <c r="H750" i="29"/>
  <c r="F822" i="29"/>
  <c r="F740" i="29"/>
  <c r="F742" i="29"/>
  <c r="F762" i="29"/>
  <c r="H739" i="29"/>
  <c r="F768" i="29"/>
  <c r="F786" i="29"/>
  <c r="H751" i="29"/>
  <c r="F757" i="29"/>
  <c r="F793" i="29"/>
  <c r="H733" i="29"/>
  <c r="F761" i="29"/>
  <c r="H760" i="29"/>
  <c r="F769" i="29"/>
  <c r="F737" i="29"/>
  <c r="I812" i="29"/>
  <c r="H759" i="29"/>
  <c r="F783" i="29"/>
  <c r="H753" i="29"/>
  <c r="H813" i="29"/>
  <c r="H800" i="29"/>
  <c r="F741" i="29"/>
  <c r="H736" i="29"/>
  <c r="H734" i="29"/>
  <c r="H742" i="29"/>
  <c r="F739" i="29"/>
  <c r="H768" i="29"/>
  <c r="H786" i="29"/>
  <c r="H784" i="29"/>
  <c r="H757" i="29"/>
  <c r="H754" i="29"/>
  <c r="F733" i="29"/>
  <c r="H761" i="29"/>
  <c r="F760" i="29"/>
  <c r="H769" i="29"/>
  <c r="G812" i="29"/>
  <c r="AD146" i="113"/>
  <c r="H955" i="29" s="1"/>
  <c r="AE146" i="113"/>
  <c r="I955" i="29" s="1"/>
  <c r="AD216" i="112"/>
  <c r="X216" i="112"/>
  <c r="I782" i="29"/>
  <c r="H782" i="29"/>
  <c r="Y222" i="115"/>
  <c r="Z222" i="115" s="1"/>
  <c r="AA222" i="115" s="1"/>
  <c r="AU741" i="29" s="1"/>
  <c r="Y158" i="115"/>
  <c r="Z158" i="115" s="1"/>
  <c r="AA158" i="115" s="1"/>
  <c r="AU566" i="29" s="1"/>
  <c r="Y95" i="115"/>
  <c r="Z95" i="115" s="1"/>
  <c r="AA95" i="115" s="1"/>
  <c r="AU390" i="29" s="1"/>
  <c r="Y33" i="115"/>
  <c r="Z33" i="115" s="1"/>
  <c r="AA33" i="115" s="1"/>
  <c r="AU217" i="29" s="1"/>
  <c r="Q23" i="59"/>
  <c r="M10" i="29" s="1"/>
  <c r="S124" i="109"/>
  <c r="E78" i="29" s="1"/>
  <c r="D186" i="118"/>
  <c r="R15" i="59" s="1"/>
  <c r="Y43" i="112"/>
  <c r="G725" i="29" s="1"/>
  <c r="AE44" i="112"/>
  <c r="AE43" i="112"/>
  <c r="I725" i="29" s="1"/>
  <c r="O644" i="29"/>
  <c r="BN644" i="29" s="1"/>
  <c r="S125" i="112"/>
  <c r="S26" i="112"/>
  <c r="D455" i="118"/>
  <c r="K446" i="118" s="1"/>
  <c r="I446" i="118" s="1"/>
  <c r="O724" i="29"/>
  <c r="BN724" i="29" s="1"/>
  <c r="S232" i="112"/>
  <c r="S231" i="112" s="1"/>
  <c r="AE132" i="113"/>
  <c r="I947" i="29" s="1"/>
  <c r="S34" i="113"/>
  <c r="S32" i="113" s="1"/>
  <c r="S31" i="113" s="1"/>
  <c r="S43" i="113"/>
  <c r="O898" i="29" s="1"/>
  <c r="BN898" i="29" s="1"/>
  <c r="Y56" i="113"/>
  <c r="G906" i="29" s="1"/>
  <c r="AE56" i="113"/>
  <c r="I906" i="29" s="1"/>
  <c r="O906" i="29"/>
  <c r="BN906" i="29" s="1"/>
  <c r="Y100" i="113"/>
  <c r="G932" i="29" s="1"/>
  <c r="AE100" i="113"/>
  <c r="I932" i="29" s="1"/>
  <c r="O932" i="29"/>
  <c r="BN932" i="29" s="1"/>
  <c r="Y167" i="113"/>
  <c r="G965" i="29" s="1"/>
  <c r="AE167" i="113"/>
  <c r="I965" i="29" s="1"/>
  <c r="O965" i="29"/>
  <c r="BN965" i="29" s="1"/>
  <c r="Y246" i="113"/>
  <c r="G995" i="29" s="1"/>
  <c r="AE246" i="113"/>
  <c r="I995" i="29" s="1"/>
  <c r="O995" i="29"/>
  <c r="BN995" i="29" s="1"/>
  <c r="Y128" i="113"/>
  <c r="G943" i="29" s="1"/>
  <c r="O943" i="29"/>
  <c r="BN943" i="29" s="1"/>
  <c r="G770" i="29"/>
  <c r="AE138" i="113"/>
  <c r="I950" i="29" s="1"/>
  <c r="Y138" i="113"/>
  <c r="G950" i="29" s="1"/>
  <c r="O950" i="29"/>
  <c r="BN950" i="29" s="1"/>
  <c r="AE149" i="113"/>
  <c r="I956" i="29" s="1"/>
  <c r="Y149" i="113"/>
  <c r="G956" i="29" s="1"/>
  <c r="O956" i="29"/>
  <c r="BN956" i="29" s="1"/>
  <c r="Y188" i="113"/>
  <c r="G974" i="29" s="1"/>
  <c r="O974" i="29"/>
  <c r="BN974" i="29" s="1"/>
  <c r="AE61" i="113"/>
  <c r="I909" i="29" s="1"/>
  <c r="Y61" i="113"/>
  <c r="G909" i="29" s="1"/>
  <c r="O909" i="29"/>
  <c r="BN909" i="29" s="1"/>
  <c r="Y95" i="113"/>
  <c r="G929" i="29" s="1"/>
  <c r="AE95" i="113"/>
  <c r="I929" i="29" s="1"/>
  <c r="O929" i="29"/>
  <c r="BN929" i="29" s="1"/>
  <c r="Y153" i="113"/>
  <c r="G958" i="29" s="1"/>
  <c r="AE153" i="113"/>
  <c r="I958" i="29" s="1"/>
  <c r="O958" i="29"/>
  <c r="BN958" i="29" s="1"/>
  <c r="Y104" i="113"/>
  <c r="G934" i="29" s="1"/>
  <c r="AE104" i="113"/>
  <c r="I934" i="29" s="1"/>
  <c r="O934" i="29"/>
  <c r="BN934" i="29" s="1"/>
  <c r="Y49" i="113"/>
  <c r="G902" i="29" s="1"/>
  <c r="AE49" i="113"/>
  <c r="I902" i="29" s="1"/>
  <c r="O902" i="29"/>
  <c r="BN902" i="29" s="1"/>
  <c r="AE84" i="113"/>
  <c r="I923" i="29" s="1"/>
  <c r="Y84" i="113"/>
  <c r="G923" i="29" s="1"/>
  <c r="O923" i="29"/>
  <c r="BN923" i="29" s="1"/>
  <c r="Y208" i="113"/>
  <c r="G986" i="29" s="1"/>
  <c r="AE208" i="113"/>
  <c r="I986" i="29" s="1"/>
  <c r="O986" i="29"/>
  <c r="BN986" i="29" s="1"/>
  <c r="AE119" i="113"/>
  <c r="I941" i="29" s="1"/>
  <c r="Y119" i="113"/>
  <c r="G941" i="29" s="1"/>
  <c r="O941" i="29"/>
  <c r="BN941" i="29" s="1"/>
  <c r="Y197" i="113"/>
  <c r="G981" i="29" s="1"/>
  <c r="O981" i="29"/>
  <c r="BN981" i="29" s="1"/>
  <c r="AE178" i="113"/>
  <c r="I969" i="29" s="1"/>
  <c r="Y178" i="113"/>
  <c r="G969" i="29" s="1"/>
  <c r="O969" i="29"/>
  <c r="BN969" i="29" s="1"/>
  <c r="AE89" i="113"/>
  <c r="I926" i="29" s="1"/>
  <c r="Y89" i="113"/>
  <c r="G926" i="29" s="1"/>
  <c r="O926" i="29"/>
  <c r="BN926" i="29" s="1"/>
  <c r="Y70" i="113"/>
  <c r="G914" i="29" s="1"/>
  <c r="AE70" i="113"/>
  <c r="I914" i="29" s="1"/>
  <c r="O914" i="29"/>
  <c r="BN914" i="29" s="1"/>
  <c r="Y66" i="113"/>
  <c r="G912" i="29" s="1"/>
  <c r="AE66" i="113"/>
  <c r="I912" i="29" s="1"/>
  <c r="O912" i="29"/>
  <c r="BN912" i="29" s="1"/>
  <c r="Y184" i="113"/>
  <c r="G972" i="29" s="1"/>
  <c r="AE184" i="113"/>
  <c r="I972" i="29" s="1"/>
  <c r="O972" i="29"/>
  <c r="BN972" i="29" s="1"/>
  <c r="S44" i="113"/>
  <c r="X44" i="113" s="1"/>
  <c r="F899" i="29" s="1"/>
  <c r="G808" i="29"/>
  <c r="G761" i="29"/>
  <c r="I796" i="29"/>
  <c r="G759" i="29"/>
  <c r="G729" i="29"/>
  <c r="I753" i="29"/>
  <c r="I750" i="29"/>
  <c r="G741" i="29"/>
  <c r="G739" i="29"/>
  <c r="I768" i="29"/>
  <c r="I799" i="29"/>
  <c r="AE139" i="113"/>
  <c r="I951" i="29" s="1"/>
  <c r="Y139" i="113"/>
  <c r="G951" i="29" s="1"/>
  <c r="O951" i="29"/>
  <c r="BN951" i="29" s="1"/>
  <c r="AE150" i="113"/>
  <c r="I957" i="29" s="1"/>
  <c r="Y150" i="113"/>
  <c r="G957" i="29" s="1"/>
  <c r="S147" i="113"/>
  <c r="O957" i="29"/>
  <c r="BN957" i="29" s="1"/>
  <c r="I773" i="29"/>
  <c r="AE85" i="113"/>
  <c r="I924" i="29" s="1"/>
  <c r="Y85" i="113"/>
  <c r="G924" i="29" s="1"/>
  <c r="O924" i="29"/>
  <c r="BN924" i="29" s="1"/>
  <c r="Y67" i="113"/>
  <c r="G913" i="29" s="1"/>
  <c r="AE67" i="113"/>
  <c r="I913" i="29" s="1"/>
  <c r="S64" i="113"/>
  <c r="O913" i="29"/>
  <c r="BN913" i="29" s="1"/>
  <c r="I785" i="29"/>
  <c r="I777" i="29"/>
  <c r="I761" i="29"/>
  <c r="I783" i="29"/>
  <c r="I729" i="29"/>
  <c r="G750" i="29"/>
  <c r="I736" i="29"/>
  <c r="I739" i="29"/>
  <c r="G756" i="29"/>
  <c r="G768" i="29"/>
  <c r="AE154" i="113"/>
  <c r="I959" i="29" s="1"/>
  <c r="S151" i="113"/>
  <c r="Y154" i="113"/>
  <c r="G959" i="29" s="1"/>
  <c r="O959" i="29"/>
  <c r="BN959" i="29" s="1"/>
  <c r="Y105" i="113"/>
  <c r="G935" i="29" s="1"/>
  <c r="AE105" i="113"/>
  <c r="I935" i="29" s="1"/>
  <c r="O935" i="29"/>
  <c r="BN935" i="29" s="1"/>
  <c r="Y50" i="113"/>
  <c r="G903" i="29" s="1"/>
  <c r="AE50" i="113"/>
  <c r="I903" i="29" s="1"/>
  <c r="O903" i="29"/>
  <c r="BN903" i="29" s="1"/>
  <c r="Y71" i="113"/>
  <c r="G915" i="29" s="1"/>
  <c r="AE71" i="113"/>
  <c r="I915" i="29" s="1"/>
  <c r="O915" i="29"/>
  <c r="BN915" i="29" s="1"/>
  <c r="AE96" i="113"/>
  <c r="I930" i="29" s="1"/>
  <c r="Y96" i="113"/>
  <c r="G930" i="29" s="1"/>
  <c r="O930" i="29"/>
  <c r="BN930" i="29" s="1"/>
  <c r="Y216" i="112"/>
  <c r="G817" i="29" s="1"/>
  <c r="AE216" i="112"/>
  <c r="G785" i="29"/>
  <c r="I733" i="29"/>
  <c r="G777" i="29"/>
  <c r="I787" i="29"/>
  <c r="G783" i="29"/>
  <c r="G792" i="29"/>
  <c r="G801" i="29"/>
  <c r="I822" i="29"/>
  <c r="G736" i="29"/>
  <c r="I756" i="29"/>
  <c r="Y198" i="113"/>
  <c r="G982" i="29" s="1"/>
  <c r="O982" i="29"/>
  <c r="BN982" i="29" s="1"/>
  <c r="Y179" i="113"/>
  <c r="G970" i="29" s="1"/>
  <c r="AE179" i="113"/>
  <c r="I970" i="29" s="1"/>
  <c r="O970" i="29"/>
  <c r="BN970" i="29" s="1"/>
  <c r="Y90" i="113"/>
  <c r="G927" i="29" s="1"/>
  <c r="AE90" i="113"/>
  <c r="I927" i="29" s="1"/>
  <c r="O927" i="29"/>
  <c r="BN927" i="29" s="1"/>
  <c r="AE247" i="113"/>
  <c r="I996" i="29" s="1"/>
  <c r="Y247" i="113"/>
  <c r="G996" i="29" s="1"/>
  <c r="O996" i="29"/>
  <c r="BN996" i="29" s="1"/>
  <c r="AE120" i="113"/>
  <c r="I942" i="29" s="1"/>
  <c r="S117" i="113"/>
  <c r="S116" i="113" s="1"/>
  <c r="S115" i="113" s="1"/>
  <c r="Y120" i="113"/>
  <c r="G942" i="29" s="1"/>
  <c r="O942" i="29"/>
  <c r="BN942" i="29" s="1"/>
  <c r="G733" i="29"/>
  <c r="G796" i="29"/>
  <c r="I759" i="29"/>
  <c r="G787" i="29"/>
  <c r="G753" i="29"/>
  <c r="I792" i="29"/>
  <c r="I741" i="29"/>
  <c r="G822" i="29"/>
  <c r="G799" i="29"/>
  <c r="Y57" i="113"/>
  <c r="G907" i="29" s="1"/>
  <c r="AE57" i="113"/>
  <c r="I907" i="29" s="1"/>
  <c r="O907" i="29"/>
  <c r="BN907" i="29" s="1"/>
  <c r="Y101" i="113"/>
  <c r="G933" i="29" s="1"/>
  <c r="AE101" i="113"/>
  <c r="I933" i="29" s="1"/>
  <c r="S98" i="113"/>
  <c r="O933" i="29"/>
  <c r="BN933" i="29" s="1"/>
  <c r="Y168" i="113"/>
  <c r="G966" i="29" s="1"/>
  <c r="AE168" i="113"/>
  <c r="I966" i="29" s="1"/>
  <c r="O966" i="29"/>
  <c r="BN966" i="29" s="1"/>
  <c r="Y189" i="113"/>
  <c r="G975" i="29" s="1"/>
  <c r="O975" i="29"/>
  <c r="BN975" i="29" s="1"/>
  <c r="Y62" i="113"/>
  <c r="G910" i="29" s="1"/>
  <c r="AE62" i="113"/>
  <c r="I910" i="29" s="1"/>
  <c r="O910" i="29"/>
  <c r="BN910" i="29" s="1"/>
  <c r="AE185" i="113"/>
  <c r="I973" i="29" s="1"/>
  <c r="Y185" i="113"/>
  <c r="G973" i="29" s="1"/>
  <c r="S182" i="113"/>
  <c r="O973" i="29"/>
  <c r="BN973" i="29" s="1"/>
  <c r="AD130" i="113"/>
  <c r="H945" i="29" s="1"/>
  <c r="AE130" i="113"/>
  <c r="I945" i="29" s="1"/>
  <c r="AE131" i="113"/>
  <c r="I946" i="29" s="1"/>
  <c r="AD131" i="113"/>
  <c r="H946" i="29" s="1"/>
  <c r="H772" i="29"/>
  <c r="I772" i="29"/>
  <c r="S39" i="109"/>
  <c r="E77" i="29" s="1"/>
  <c r="S41" i="112"/>
  <c r="S40" i="112" s="1"/>
  <c r="Y44" i="112"/>
  <c r="O817" i="29"/>
  <c r="BN817" i="29" s="1"/>
  <c r="S215" i="112"/>
  <c r="S45" i="113"/>
  <c r="AE45" i="113" s="1"/>
  <c r="I900" i="29" s="1"/>
  <c r="AD133" i="113"/>
  <c r="H948" i="29" s="1"/>
  <c r="AE133" i="113"/>
  <c r="I948" i="29" s="1"/>
  <c r="AD193" i="113"/>
  <c r="H979" i="29" s="1"/>
  <c r="AE193" i="113"/>
  <c r="I979" i="29" s="1"/>
  <c r="S224" i="113"/>
  <c r="S258" i="113"/>
  <c r="V344" i="118"/>
  <c r="E84" i="29"/>
  <c r="G778" i="29"/>
  <c r="G737" i="29"/>
  <c r="G730" i="29"/>
  <c r="S181" i="112"/>
  <c r="S174" i="112" s="1"/>
  <c r="G788" i="29"/>
  <c r="G757" i="29"/>
  <c r="G754" i="29"/>
  <c r="G793" i="29"/>
  <c r="X44" i="112"/>
  <c r="I774" i="29"/>
  <c r="AD209" i="113"/>
  <c r="H987" i="29" s="1"/>
  <c r="S205" i="113"/>
  <c r="S204" i="113" s="1"/>
  <c r="Y209" i="113"/>
  <c r="G987" i="29" s="1"/>
  <c r="O987" i="29"/>
  <c r="BN987" i="29" s="1"/>
  <c r="Y58" i="113"/>
  <c r="G908" i="29" s="1"/>
  <c r="S54" i="113"/>
  <c r="O908" i="29"/>
  <c r="BN908" i="29" s="1"/>
  <c r="I805" i="29"/>
  <c r="Y97" i="113"/>
  <c r="G931" i="29" s="1"/>
  <c r="S93" i="113"/>
  <c r="O931" i="29"/>
  <c r="BN931" i="29" s="1"/>
  <c r="G802" i="29"/>
  <c r="I813" i="29"/>
  <c r="I730" i="29"/>
  <c r="G762" i="29"/>
  <c r="I797" i="29"/>
  <c r="G751" i="29"/>
  <c r="S142" i="112"/>
  <c r="S92" i="112"/>
  <c r="G823" i="29"/>
  <c r="I754" i="29"/>
  <c r="H774" i="29"/>
  <c r="Y72" i="113"/>
  <c r="G916" i="29" s="1"/>
  <c r="S68" i="113"/>
  <c r="O916" i="29"/>
  <c r="BN916" i="29" s="1"/>
  <c r="H805" i="29"/>
  <c r="AE248" i="113"/>
  <c r="I997" i="29" s="1"/>
  <c r="Y248" i="113"/>
  <c r="G997" i="29" s="1"/>
  <c r="S244" i="113"/>
  <c r="S243" i="113" s="1"/>
  <c r="O997" i="29"/>
  <c r="BN997" i="29" s="1"/>
  <c r="I778" i="29"/>
  <c r="S53" i="112"/>
  <c r="G742" i="29"/>
  <c r="S73" i="112"/>
  <c r="I757" i="29"/>
  <c r="X140" i="113"/>
  <c r="F952" i="29" s="1"/>
  <c r="Y140" i="113"/>
  <c r="G952" i="29" s="1"/>
  <c r="S136" i="113"/>
  <c r="O952" i="29"/>
  <c r="BN952" i="29" s="1"/>
  <c r="S186" i="113"/>
  <c r="Y190" i="113"/>
  <c r="G976" i="29" s="1"/>
  <c r="O976" i="29"/>
  <c r="BN976" i="29" s="1"/>
  <c r="Y51" i="113"/>
  <c r="G904" i="29" s="1"/>
  <c r="S47" i="113"/>
  <c r="O904" i="29"/>
  <c r="BN904" i="29" s="1"/>
  <c r="Y106" i="113"/>
  <c r="G936" i="29" s="1"/>
  <c r="S102" i="113"/>
  <c r="O936" i="29"/>
  <c r="BN936" i="29" s="1"/>
  <c r="Y199" i="113"/>
  <c r="G983" i="29" s="1"/>
  <c r="S195" i="113"/>
  <c r="O983" i="29"/>
  <c r="BN983" i="29" s="1"/>
  <c r="AE91" i="113"/>
  <c r="I928" i="29" s="1"/>
  <c r="Y91" i="113"/>
  <c r="G928" i="29" s="1"/>
  <c r="S87" i="113"/>
  <c r="O928" i="29"/>
  <c r="BN928" i="29" s="1"/>
  <c r="G813" i="29"/>
  <c r="G734" i="29"/>
  <c r="G797" i="29"/>
  <c r="G809" i="29"/>
  <c r="I751" i="29"/>
  <c r="AE63" i="113"/>
  <c r="I911" i="29" s="1"/>
  <c r="S59" i="113"/>
  <c r="Y63" i="113"/>
  <c r="G911" i="29" s="1"/>
  <c r="O911" i="29"/>
  <c r="BN911" i="29" s="1"/>
  <c r="Y180" i="113"/>
  <c r="G971" i="29" s="1"/>
  <c r="S176" i="113"/>
  <c r="S175" i="113" s="1"/>
  <c r="O971" i="29"/>
  <c r="BN971" i="29" s="1"/>
  <c r="AE86" i="113"/>
  <c r="I925" i="29" s="1"/>
  <c r="S82" i="113"/>
  <c r="Y86" i="113"/>
  <c r="G925" i="29" s="1"/>
  <c r="O925" i="29"/>
  <c r="BN925" i="29" s="1"/>
  <c r="Y169" i="113"/>
  <c r="G967" i="29" s="1"/>
  <c r="S165" i="113"/>
  <c r="S164" i="113" s="1"/>
  <c r="O967" i="29"/>
  <c r="BN967" i="29" s="1"/>
  <c r="O819" i="29"/>
  <c r="BN819" i="29" s="1"/>
  <c r="S238" i="113"/>
  <c r="S257" i="113"/>
  <c r="AD192" i="113"/>
  <c r="H978" i="29" s="1"/>
  <c r="AE192" i="113"/>
  <c r="I978" i="29" s="1"/>
  <c r="S223" i="113"/>
  <c r="S234" i="113"/>
  <c r="O993" i="29" s="1"/>
  <c r="BN993" i="29" s="1"/>
  <c r="F727" i="29"/>
  <c r="S255" i="112"/>
  <c r="Y131" i="113"/>
  <c r="G946" i="29" s="1"/>
  <c r="O946" i="29"/>
  <c r="BN946" i="29" s="1"/>
  <c r="AD200" i="113"/>
  <c r="H984" i="29" s="1"/>
  <c r="AE200" i="113"/>
  <c r="I984" i="29" s="1"/>
  <c r="AE191" i="113"/>
  <c r="I977" i="29" s="1"/>
  <c r="AD191" i="113"/>
  <c r="H977" i="29" s="1"/>
  <c r="S222" i="113"/>
  <c r="S233" i="113"/>
  <c r="O992" i="29" s="1"/>
  <c r="BN992" i="29" s="1"/>
  <c r="S27" i="113"/>
  <c r="D590" i="118" s="1"/>
  <c r="BN653" i="29"/>
  <c r="S23" i="109"/>
  <c r="I811" i="29"/>
  <c r="I804" i="29"/>
  <c r="H811" i="29"/>
  <c r="H804" i="29"/>
  <c r="G772" i="29"/>
  <c r="Y130" i="113"/>
  <c r="G945" i="29" s="1"/>
  <c r="O945" i="29"/>
  <c r="BN945" i="29" s="1"/>
  <c r="AD190" i="113"/>
  <c r="H976" i="29" s="1"/>
  <c r="AE190" i="113"/>
  <c r="I976" i="29" s="1"/>
  <c r="AD199" i="113"/>
  <c r="H983" i="29" s="1"/>
  <c r="AE199" i="113"/>
  <c r="I983" i="29" s="1"/>
  <c r="I803" i="29"/>
  <c r="Y46" i="113"/>
  <c r="G901" i="29" s="1"/>
  <c r="O901" i="29"/>
  <c r="BN901" i="29" s="1"/>
  <c r="H803" i="29"/>
  <c r="O818" i="29"/>
  <c r="BN818" i="29" s="1"/>
  <c r="F79" i="29"/>
  <c r="G728" i="29"/>
  <c r="I810" i="29"/>
  <c r="H810" i="29"/>
  <c r="AD129" i="113"/>
  <c r="H944" i="29" s="1"/>
  <c r="AD250" i="113"/>
  <c r="H999" i="29" s="1"/>
  <c r="AE250" i="113"/>
  <c r="I999" i="29" s="1"/>
  <c r="AD189" i="113"/>
  <c r="H975" i="29" s="1"/>
  <c r="AE189" i="113"/>
  <c r="I975" i="29" s="1"/>
  <c r="AD198" i="113"/>
  <c r="H982" i="29" s="1"/>
  <c r="AE198" i="113"/>
  <c r="I982" i="29" s="1"/>
  <c r="K46" i="118"/>
  <c r="I46" i="118" s="1"/>
  <c r="R14" i="59"/>
  <c r="H809" i="29"/>
  <c r="I826" i="29"/>
  <c r="I802" i="29"/>
  <c r="H826" i="29"/>
  <c r="H802" i="29"/>
  <c r="I809" i="29"/>
  <c r="H771" i="29"/>
  <c r="Y284" i="115"/>
  <c r="Z284" i="115" s="1"/>
  <c r="AA284" i="115" s="1"/>
  <c r="AU913" i="29" s="1"/>
  <c r="I771" i="29"/>
  <c r="G771" i="29"/>
  <c r="AE129" i="113"/>
  <c r="I944" i="29" s="1"/>
  <c r="Y129" i="113"/>
  <c r="G944" i="29" s="1"/>
  <c r="S126" i="113"/>
  <c r="O944" i="29"/>
  <c r="BN944" i="29" s="1"/>
  <c r="V353" i="118"/>
  <c r="V336" i="118"/>
  <c r="V356" i="118"/>
  <c r="V359" i="118"/>
  <c r="V340" i="118"/>
  <c r="V346" i="118"/>
  <c r="V343" i="118"/>
  <c r="V342" i="118"/>
  <c r="V367" i="118"/>
  <c r="V337" i="118"/>
  <c r="V366" i="118"/>
  <c r="V355" i="118"/>
  <c r="V352" i="118"/>
  <c r="V329" i="118"/>
  <c r="V338" i="118"/>
  <c r="V358" i="118"/>
  <c r="V350" i="118"/>
  <c r="V339" i="118"/>
  <c r="V341" i="118"/>
  <c r="V374" i="118"/>
  <c r="V330" i="118"/>
  <c r="V327" i="118"/>
  <c r="V365" i="118"/>
  <c r="V328" i="118"/>
  <c r="V369" i="118"/>
  <c r="V375" i="118"/>
  <c r="V332" i="118"/>
  <c r="V372" i="118"/>
  <c r="V351" i="118"/>
  <c r="V345" i="118"/>
  <c r="V361" i="118"/>
  <c r="V326" i="118"/>
  <c r="V347" i="118"/>
  <c r="V368" i="118"/>
  <c r="V335" i="118"/>
  <c r="V360" i="118"/>
  <c r="V334" i="118"/>
  <c r="V371" i="118"/>
  <c r="V348" i="118"/>
  <c r="V370" i="118"/>
  <c r="V354" i="118"/>
  <c r="V333" i="118"/>
  <c r="V349" i="118"/>
  <c r="V373" i="118"/>
  <c r="V363" i="118"/>
  <c r="V331" i="118"/>
  <c r="V362" i="118"/>
  <c r="V364" i="118"/>
  <c r="AE128" i="113"/>
  <c r="I943" i="29" s="1"/>
  <c r="AD128" i="113"/>
  <c r="H943" i="29" s="1"/>
  <c r="AD188" i="113"/>
  <c r="H974" i="29" s="1"/>
  <c r="AE188" i="113"/>
  <c r="I974" i="29" s="1"/>
  <c r="AD197" i="113"/>
  <c r="H981" i="29" s="1"/>
  <c r="AE197" i="113"/>
  <c r="I981" i="29" s="1"/>
  <c r="AD249" i="113"/>
  <c r="H998" i="29" s="1"/>
  <c r="AE249" i="113"/>
  <c r="I998" i="29" s="1"/>
  <c r="I770" i="29"/>
  <c r="H727" i="29"/>
  <c r="H825" i="29"/>
  <c r="I801" i="29"/>
  <c r="I808" i="29"/>
  <c r="I727" i="29"/>
  <c r="I825" i="29"/>
  <c r="H801" i="29"/>
  <c r="H808" i="29"/>
  <c r="H770" i="29"/>
  <c r="BN723" i="29"/>
  <c r="BN727" i="29"/>
  <c r="G688" i="29"/>
  <c r="AR554" i="29" s="1"/>
  <c r="AE46" i="113"/>
  <c r="I901" i="29" s="1"/>
  <c r="AD46" i="113"/>
  <c r="H901" i="29" s="1"/>
  <c r="X43" i="113"/>
  <c r="F898" i="29" s="1"/>
  <c r="AD44" i="113"/>
  <c r="H899" i="29" s="1"/>
  <c r="I728" i="29"/>
  <c r="F725" i="29"/>
  <c r="I688" i="29"/>
  <c r="BJ554" i="29" s="1"/>
  <c r="AS554" i="29" s="1"/>
  <c r="H726" i="29"/>
  <c r="H728" i="29"/>
  <c r="BN726" i="29"/>
  <c r="AE224" i="115"/>
  <c r="AV743" i="29" s="1"/>
  <c r="AE286" i="115"/>
  <c r="AV915" i="29" s="1"/>
  <c r="AE35" i="115"/>
  <c r="AV219" i="29" s="1"/>
  <c r="AE97" i="115"/>
  <c r="AV392" i="29" s="1"/>
  <c r="AB221" i="115"/>
  <c r="BK740" i="29" s="1"/>
  <c r="AB32" i="115"/>
  <c r="BK216" i="29" s="1"/>
  <c r="AE160" i="115"/>
  <c r="AV568" i="29" s="1"/>
  <c r="AB283" i="115"/>
  <c r="BK912" i="29" s="1"/>
  <c r="U160" i="115"/>
  <c r="S160" i="115"/>
  <c r="AB94" i="115"/>
  <c r="BK389" i="29" s="1"/>
  <c r="AB157" i="115"/>
  <c r="BK565" i="29" s="1"/>
  <c r="Q36" i="115"/>
  <c r="R36" i="115" s="1"/>
  <c r="S36" i="115" s="1"/>
  <c r="T36" i="115" s="1"/>
  <c r="P162" i="115"/>
  <c r="AC161" i="115"/>
  <c r="AD161" i="115"/>
  <c r="Q161" i="115"/>
  <c r="R161" i="115" s="1"/>
  <c r="T159" i="115"/>
  <c r="W159" i="115" s="1"/>
  <c r="X159" i="115" s="1"/>
  <c r="V159" i="115"/>
  <c r="M23" i="59"/>
  <c r="M6" i="29" s="1"/>
  <c r="N6" i="29" s="1"/>
  <c r="C97" i="29"/>
  <c r="U54" i="29"/>
  <c r="V54" i="29" s="1"/>
  <c r="F23" i="116"/>
  <c r="O23" i="59" s="1"/>
  <c r="M8" i="29" s="1"/>
  <c r="F22" i="116"/>
  <c r="N23" i="59" s="1"/>
  <c r="H54" i="29"/>
  <c r="AC225" i="115"/>
  <c r="Q225" i="115"/>
  <c r="R225" i="115" s="1"/>
  <c r="AD225" i="115"/>
  <c r="P226" i="115"/>
  <c r="U224" i="115"/>
  <c r="S224" i="115"/>
  <c r="AC98" i="115"/>
  <c r="Q98" i="115"/>
  <c r="R98" i="115" s="1"/>
  <c r="AD98" i="115"/>
  <c r="P99" i="115"/>
  <c r="S97" i="115"/>
  <c r="U97" i="115"/>
  <c r="V96" i="115"/>
  <c r="T96" i="115"/>
  <c r="W96" i="115" s="1"/>
  <c r="X96" i="115" s="1"/>
  <c r="T285" i="115"/>
  <c r="W285" i="115" s="1"/>
  <c r="X285" i="115" s="1"/>
  <c r="V285" i="115"/>
  <c r="V223" i="115"/>
  <c r="T223" i="115"/>
  <c r="W223" i="115" s="1"/>
  <c r="X223" i="115" s="1"/>
  <c r="Y223" i="115" s="1"/>
  <c r="Z223" i="115" s="1"/>
  <c r="U286" i="115"/>
  <c r="S286" i="115"/>
  <c r="Q287" i="115"/>
  <c r="R287" i="115" s="1"/>
  <c r="AC287" i="115"/>
  <c r="AD287" i="115"/>
  <c r="P288" i="115"/>
  <c r="N109" i="29"/>
  <c r="N131" i="29" s="1"/>
  <c r="AD661" i="29"/>
  <c r="U35" i="115"/>
  <c r="V34" i="115"/>
  <c r="W34" i="115"/>
  <c r="X34" i="115" s="1"/>
  <c r="P37" i="115"/>
  <c r="AD36" i="115"/>
  <c r="AC36" i="115"/>
  <c r="AC661" i="29"/>
  <c r="AE661" i="29"/>
  <c r="AD666" i="29"/>
  <c r="AC666" i="29"/>
  <c r="AE666" i="29"/>
  <c r="AC835" i="29"/>
  <c r="AD835" i="29"/>
  <c r="AD855" i="29" s="1"/>
  <c r="AE835" i="29"/>
  <c r="AH557" i="29"/>
  <c r="AI557" i="29" s="1"/>
  <c r="AJ557" i="29" s="1"/>
  <c r="AG558" i="29" s="1"/>
  <c r="AH904" i="29"/>
  <c r="AI904" i="29" s="1"/>
  <c r="AJ904" i="29" s="1"/>
  <c r="AG905" i="29" s="1"/>
  <c r="AI731" i="29"/>
  <c r="AJ731" i="29" s="1"/>
  <c r="AG732" i="29" s="1"/>
  <c r="AS216" i="113"/>
  <c r="AT43" i="113"/>
  <c r="AQ216" i="113"/>
  <c r="AP216" i="113"/>
  <c r="AS43" i="113"/>
  <c r="AP45" i="113"/>
  <c r="AT216" i="113"/>
  <c r="AQ43" i="113"/>
  <c r="AP44" i="113"/>
  <c r="AT44" i="113"/>
  <c r="AO216" i="113"/>
  <c r="AQ44" i="113"/>
  <c r="AO256" i="113"/>
  <c r="AQ45" i="113"/>
  <c r="X1024" i="29" l="1"/>
  <c r="AA1024" i="29"/>
  <c r="G18" i="108"/>
  <c r="G20" i="108" s="1"/>
  <c r="F25" i="108" s="1"/>
  <c r="AF377" i="29" s="1"/>
  <c r="AD43" i="113"/>
  <c r="H898" i="29" s="1"/>
  <c r="H17" i="108"/>
  <c r="H18" i="108" s="1"/>
  <c r="F817" i="29"/>
  <c r="H817" i="29"/>
  <c r="Y96" i="115"/>
  <c r="Z96" i="115" s="1"/>
  <c r="AA96" i="115" s="1"/>
  <c r="AU391" i="29" s="1"/>
  <c r="Y34" i="115"/>
  <c r="Z34" i="115" s="1"/>
  <c r="AA34" i="115" s="1"/>
  <c r="AU218" i="29" s="1"/>
  <c r="K180" i="118"/>
  <c r="I180" i="118" s="1"/>
  <c r="E30" i="116"/>
  <c r="AV112" i="29"/>
  <c r="O899" i="29"/>
  <c r="BN899" i="29" s="1"/>
  <c r="O900" i="29"/>
  <c r="BN900" i="29" s="1"/>
  <c r="G13" i="110"/>
  <c r="S124" i="112"/>
  <c r="F78" i="29" s="1"/>
  <c r="AE44" i="113"/>
  <c r="I899" i="29" s="1"/>
  <c r="F80" i="29"/>
  <c r="I726" i="29"/>
  <c r="K45" i="118"/>
  <c r="AD45" i="113"/>
  <c r="H900" i="29" s="1"/>
  <c r="X45" i="113"/>
  <c r="F900" i="29" s="1"/>
  <c r="S41" i="113"/>
  <c r="S40" i="113" s="1"/>
  <c r="O896" i="29"/>
  <c r="BN896" i="29" s="1"/>
  <c r="O897" i="29"/>
  <c r="BN897" i="29" s="1"/>
  <c r="S26" i="113"/>
  <c r="S92" i="113"/>
  <c r="AE43" i="113"/>
  <c r="I898" i="29" s="1"/>
  <c r="Y43" i="113"/>
  <c r="G898" i="29" s="1"/>
  <c r="Y44" i="113"/>
  <c r="G899" i="29" s="1"/>
  <c r="I817" i="29"/>
  <c r="S142" i="113"/>
  <c r="S125" i="113"/>
  <c r="G726" i="29"/>
  <c r="G862" i="29" s="1"/>
  <c r="AR728" i="29" s="1"/>
  <c r="S216" i="113"/>
  <c r="S39" i="112"/>
  <c r="F77" i="29" s="1"/>
  <c r="Y45" i="113"/>
  <c r="G900" i="29" s="1"/>
  <c r="F726" i="29"/>
  <c r="S73" i="113"/>
  <c r="S53" i="113"/>
  <c r="S181" i="113"/>
  <c r="S174" i="113" s="1"/>
  <c r="S221" i="113"/>
  <c r="S220" i="113" s="1"/>
  <c r="S256" i="113"/>
  <c r="S255" i="113" s="1"/>
  <c r="S254" i="113" s="1"/>
  <c r="S232" i="113"/>
  <c r="S231" i="113" s="1"/>
  <c r="S254" i="112"/>
  <c r="R447" i="118"/>
  <c r="S447" i="118" s="1"/>
  <c r="V483" i="118" s="1"/>
  <c r="K581" i="118"/>
  <c r="R582" i="118" s="1"/>
  <c r="S582" i="118" s="1"/>
  <c r="I45" i="118"/>
  <c r="Y285" i="115"/>
  <c r="Z285" i="115" s="1"/>
  <c r="AA285" i="115" s="1"/>
  <c r="AU914" i="29" s="1"/>
  <c r="Y159" i="115"/>
  <c r="Z159" i="115" s="1"/>
  <c r="AA159" i="115" s="1"/>
  <c r="AU567" i="29" s="1"/>
  <c r="AE287" i="115"/>
  <c r="AV916" i="29" s="1"/>
  <c r="AB284" i="115"/>
  <c r="BK913" i="29" s="1"/>
  <c r="AE225" i="115"/>
  <c r="AV744" i="29" s="1"/>
  <c r="AE36" i="115"/>
  <c r="AV220" i="29" s="1"/>
  <c r="AE161" i="115"/>
  <c r="AV569" i="29" s="1"/>
  <c r="AE98" i="115"/>
  <c r="AV393" i="29" s="1"/>
  <c r="AB222" i="115"/>
  <c r="BK741" i="29" s="1"/>
  <c r="T160" i="115"/>
  <c r="W160" i="115" s="1"/>
  <c r="X160" i="115" s="1"/>
  <c r="V160" i="115"/>
  <c r="AB33" i="115"/>
  <c r="BK217" i="29" s="1"/>
  <c r="AB95" i="115"/>
  <c r="BK390" i="29" s="1"/>
  <c r="AB158" i="115"/>
  <c r="BK566" i="29" s="1"/>
  <c r="Q37" i="115"/>
  <c r="R37" i="115" s="1"/>
  <c r="S37" i="115" s="1"/>
  <c r="T37" i="115" s="1"/>
  <c r="AA223" i="115"/>
  <c r="AU742" i="29" s="1"/>
  <c r="AC162" i="115"/>
  <c r="Q162" i="115"/>
  <c r="R162" i="115" s="1"/>
  <c r="P163" i="115"/>
  <c r="AD162" i="115"/>
  <c r="S161" i="115"/>
  <c r="U161" i="115"/>
  <c r="I54" i="29"/>
  <c r="I55" i="29"/>
  <c r="Q99" i="115"/>
  <c r="R99" i="115" s="1"/>
  <c r="AC99" i="115"/>
  <c r="AD99" i="115"/>
  <c r="P100" i="115"/>
  <c r="AC288" i="115"/>
  <c r="Q288" i="115"/>
  <c r="R288" i="115" s="1"/>
  <c r="AD288" i="115"/>
  <c r="P289" i="115"/>
  <c r="T224" i="115"/>
  <c r="W224" i="115" s="1"/>
  <c r="X224" i="115" s="1"/>
  <c r="V224" i="115"/>
  <c r="U287" i="115"/>
  <c r="S287" i="115"/>
  <c r="T286" i="115"/>
  <c r="W286" i="115" s="1"/>
  <c r="X286" i="115" s="1"/>
  <c r="V286" i="115"/>
  <c r="S225" i="115"/>
  <c r="U225" i="115"/>
  <c r="T97" i="115"/>
  <c r="W97" i="115" s="1"/>
  <c r="X97" i="115" s="1"/>
  <c r="V97" i="115"/>
  <c r="U98" i="115"/>
  <c r="S98" i="115"/>
  <c r="AC226" i="115"/>
  <c r="Q226" i="115"/>
  <c r="R226" i="115" s="1"/>
  <c r="AD226" i="115"/>
  <c r="P227" i="115"/>
  <c r="O126" i="29"/>
  <c r="N124" i="29"/>
  <c r="O121" i="29"/>
  <c r="O120" i="29"/>
  <c r="N128" i="29"/>
  <c r="O124" i="29"/>
  <c r="O125" i="29"/>
  <c r="O113" i="29"/>
  <c r="N114" i="29"/>
  <c r="O129" i="29"/>
  <c r="O122" i="29"/>
  <c r="N121" i="29"/>
  <c r="N126" i="29"/>
  <c r="N119" i="29"/>
  <c r="N112" i="29"/>
  <c r="N118" i="29"/>
  <c r="O123" i="29"/>
  <c r="O127" i="29"/>
  <c r="N122" i="29"/>
  <c r="O118" i="29"/>
  <c r="N113" i="29"/>
  <c r="O119" i="29"/>
  <c r="O114" i="29"/>
  <c r="O131" i="29"/>
  <c r="N129" i="29"/>
  <c r="O112" i="29"/>
  <c r="N120" i="29"/>
  <c r="N125" i="29"/>
  <c r="O128" i="29"/>
  <c r="N123" i="29"/>
  <c r="N134" i="29"/>
  <c r="N127" i="29"/>
  <c r="O130" i="29"/>
  <c r="N130" i="29"/>
  <c r="W35" i="115"/>
  <c r="X35" i="115" s="1"/>
  <c r="V35" i="115"/>
  <c r="U36" i="115"/>
  <c r="P38" i="115"/>
  <c r="AC37" i="115"/>
  <c r="AD37" i="115"/>
  <c r="AH905" i="29"/>
  <c r="AI905" i="29" s="1"/>
  <c r="AJ905" i="29" s="1"/>
  <c r="AG906" i="29" s="1"/>
  <c r="AH732" i="29"/>
  <c r="AI732" i="29" s="1"/>
  <c r="AJ732" i="29" s="1"/>
  <c r="AG733" i="29" s="1"/>
  <c r="AH558" i="29"/>
  <c r="F136" i="19"/>
  <c r="F105" i="19"/>
  <c r="F74" i="19"/>
  <c r="F43" i="19"/>
  <c r="F12" i="19"/>
  <c r="I7" i="30"/>
  <c r="I6" i="30"/>
  <c r="I5" i="30"/>
  <c r="I4" i="30"/>
  <c r="F7" i="30"/>
  <c r="F6" i="30"/>
  <c r="F5" i="30"/>
  <c r="F4" i="30"/>
  <c r="H4" i="30"/>
  <c r="H5" i="30"/>
  <c r="H6" i="30"/>
  <c r="G7" i="30"/>
  <c r="H7" i="30"/>
  <c r="H7" i="93"/>
  <c r="H6" i="93"/>
  <c r="H5" i="93"/>
  <c r="H4" i="93"/>
  <c r="P7" i="93"/>
  <c r="P6" i="93"/>
  <c r="P5" i="93"/>
  <c r="P4" i="93"/>
  <c r="H7" i="19"/>
  <c r="H6" i="19"/>
  <c r="H5" i="19"/>
  <c r="H4" i="19"/>
  <c r="E7" i="19"/>
  <c r="E6" i="19"/>
  <c r="E5" i="19"/>
  <c r="E4" i="19"/>
  <c r="H4" i="59"/>
  <c r="H7" i="59"/>
  <c r="H6" i="59"/>
  <c r="H5" i="59"/>
  <c r="E7" i="59"/>
  <c r="C7" i="59"/>
  <c r="C6" i="59"/>
  <c r="C5" i="59"/>
  <c r="C4" i="59"/>
  <c r="H8" i="98"/>
  <c r="H7" i="98"/>
  <c r="H6" i="98"/>
  <c r="H5" i="98"/>
  <c r="E8" i="98"/>
  <c r="C8" i="98"/>
  <c r="C7" i="98"/>
  <c r="C6" i="98"/>
  <c r="C5" i="98"/>
  <c r="G25" i="108" l="1"/>
  <c r="H20" i="108"/>
  <c r="H25" i="108"/>
  <c r="AD378" i="29" s="1"/>
  <c r="R46" i="118"/>
  <c r="S46" i="118" s="1"/>
  <c r="V47" i="118" s="1"/>
  <c r="G16" i="110"/>
  <c r="H19" i="110" s="1"/>
  <c r="X216" i="113"/>
  <c r="F990" i="29" s="1"/>
  <c r="AD216" i="113"/>
  <c r="H990" i="29" s="1"/>
  <c r="I862" i="29"/>
  <c r="BJ728" i="29" s="1"/>
  <c r="AS728" i="29" s="1"/>
  <c r="Y224" i="115"/>
  <c r="Z224" i="115" s="1"/>
  <c r="AA224" i="115" s="1"/>
  <c r="AU743" i="29" s="1"/>
  <c r="Y160" i="115"/>
  <c r="Z160" i="115" s="1"/>
  <c r="AA160" i="115" s="1"/>
  <c r="AU568" i="29" s="1"/>
  <c r="Y97" i="115"/>
  <c r="Z97" i="115" s="1"/>
  <c r="AA97" i="115" s="1"/>
  <c r="AU392" i="29" s="1"/>
  <c r="Y35" i="115"/>
  <c r="Z35" i="115" s="1"/>
  <c r="AA35" i="115" s="1"/>
  <c r="AU219" i="29" s="1"/>
  <c r="K179" i="118"/>
  <c r="D320" i="118"/>
  <c r="R16" i="59" s="1"/>
  <c r="F81" i="29"/>
  <c r="S124" i="113"/>
  <c r="G78" i="29" s="1"/>
  <c r="Y216" i="113"/>
  <c r="G990" i="29" s="1"/>
  <c r="G1035" i="29" s="1"/>
  <c r="AR901" i="29" s="1"/>
  <c r="AE216" i="113"/>
  <c r="I990" i="29" s="1"/>
  <c r="I1035" i="29" s="1"/>
  <c r="BJ901" i="29" s="1"/>
  <c r="S215" i="113"/>
  <c r="G80" i="29" s="1"/>
  <c r="O990" i="29"/>
  <c r="BN990" i="29" s="1"/>
  <c r="S39" i="113"/>
  <c r="G77" i="29" s="1"/>
  <c r="O991" i="29"/>
  <c r="BN991" i="29" s="1"/>
  <c r="G79" i="29"/>
  <c r="F84" i="29"/>
  <c r="O827" i="29"/>
  <c r="O1000" i="29"/>
  <c r="G84" i="29"/>
  <c r="V499" i="118"/>
  <c r="V482" i="118"/>
  <c r="V505" i="118"/>
  <c r="V498" i="118"/>
  <c r="V509" i="118"/>
  <c r="V470" i="118"/>
  <c r="V466" i="118"/>
  <c r="V477" i="118"/>
  <c r="V468" i="118"/>
  <c r="V494" i="118"/>
  <c r="V476" i="118"/>
  <c r="V462" i="118"/>
  <c r="V508" i="118"/>
  <c r="V481" i="118"/>
  <c r="V503" i="118"/>
  <c r="V502" i="118"/>
  <c r="V473" i="118"/>
  <c r="V484" i="118"/>
  <c r="V487" i="118"/>
  <c r="V486" i="118"/>
  <c r="V489" i="118"/>
  <c r="V500" i="118"/>
  <c r="V506" i="118"/>
  <c r="V495" i="118"/>
  <c r="V463" i="118"/>
  <c r="V492" i="118"/>
  <c r="V475" i="118"/>
  <c r="V480" i="118"/>
  <c r="V472" i="118"/>
  <c r="V464" i="118"/>
  <c r="V479" i="118"/>
  <c r="V465" i="118"/>
  <c r="V496" i="118"/>
  <c r="V497" i="118"/>
  <c r="V461" i="118"/>
  <c r="V501" i="118"/>
  <c r="V485" i="118"/>
  <c r="V490" i="118"/>
  <c r="V478" i="118"/>
  <c r="V488" i="118"/>
  <c r="V474" i="118"/>
  <c r="V507" i="118"/>
  <c r="V471" i="118"/>
  <c r="V491" i="118"/>
  <c r="V467" i="118"/>
  <c r="V460" i="118"/>
  <c r="V493" i="118"/>
  <c r="V504" i="118"/>
  <c r="V469" i="118"/>
  <c r="I581" i="118"/>
  <c r="V602" i="118"/>
  <c r="V620" i="118"/>
  <c r="V631" i="118"/>
  <c r="V603" i="118"/>
  <c r="V633" i="118"/>
  <c r="V613" i="118"/>
  <c r="V596" i="118"/>
  <c r="V599" i="118"/>
  <c r="V616" i="118"/>
  <c r="V644" i="118"/>
  <c r="V618" i="118"/>
  <c r="V604" i="118"/>
  <c r="V634" i="118"/>
  <c r="V605" i="118"/>
  <c r="V624" i="118"/>
  <c r="V635" i="118"/>
  <c r="V595" i="118"/>
  <c r="V612" i="118"/>
  <c r="V619" i="118"/>
  <c r="V598" i="118"/>
  <c r="V621" i="118"/>
  <c r="V632" i="118"/>
  <c r="V600" i="118"/>
  <c r="V597" i="118"/>
  <c r="V611" i="118"/>
  <c r="V642" i="118"/>
  <c r="V609" i="118"/>
  <c r="V625" i="118"/>
  <c r="V639" i="118"/>
  <c r="V622" i="118"/>
  <c r="V601" i="118"/>
  <c r="V630" i="118"/>
  <c r="V606" i="118"/>
  <c r="V617" i="118"/>
  <c r="V636" i="118"/>
  <c r="V607" i="118"/>
  <c r="V637" i="118"/>
  <c r="V623" i="118"/>
  <c r="V615" i="118"/>
  <c r="V629" i="118"/>
  <c r="V643" i="118"/>
  <c r="V627" i="118"/>
  <c r="V608" i="118"/>
  <c r="V638" i="118"/>
  <c r="V610" i="118"/>
  <c r="V626" i="118"/>
  <c r="V640" i="118"/>
  <c r="V614" i="118"/>
  <c r="V641" i="118"/>
  <c r="V628" i="118"/>
  <c r="Y286" i="115"/>
  <c r="Z286" i="115" s="1"/>
  <c r="AA286" i="115" s="1"/>
  <c r="AU915" i="29" s="1"/>
  <c r="AE37" i="115"/>
  <c r="AV221" i="29" s="1"/>
  <c r="AB285" i="115"/>
  <c r="BK914" i="29" s="1"/>
  <c r="AE162" i="115"/>
  <c r="AV570" i="29" s="1"/>
  <c r="AE226" i="115"/>
  <c r="AV745" i="29" s="1"/>
  <c r="AE288" i="115"/>
  <c r="AV917" i="29" s="1"/>
  <c r="AB96" i="115"/>
  <c r="BK391" i="29" s="1"/>
  <c r="AE99" i="115"/>
  <c r="AV394" i="29" s="1"/>
  <c r="Q38" i="115"/>
  <c r="R38" i="115" s="1"/>
  <c r="S38" i="115" s="1"/>
  <c r="T38" i="115" s="1"/>
  <c r="AD163" i="115"/>
  <c r="P164" i="115"/>
  <c r="AC163" i="115"/>
  <c r="Q163" i="115"/>
  <c r="R163" i="115" s="1"/>
  <c r="U162" i="115"/>
  <c r="S162" i="115"/>
  <c r="AB159" i="115"/>
  <c r="BK567" i="29" s="1"/>
  <c r="AB34" i="115"/>
  <c r="BK218" i="29" s="1"/>
  <c r="T161" i="115"/>
  <c r="W161" i="115" s="1"/>
  <c r="X161" i="115" s="1"/>
  <c r="V161" i="115"/>
  <c r="AB223" i="115"/>
  <c r="BK742" i="29" s="1"/>
  <c r="V55" i="29"/>
  <c r="AJ57" i="29" s="1"/>
  <c r="AC227" i="115"/>
  <c r="Q227" i="115"/>
  <c r="R227" i="115" s="1"/>
  <c r="AD227" i="115"/>
  <c r="P228" i="115"/>
  <c r="V98" i="115"/>
  <c r="T98" i="115"/>
  <c r="W98" i="115" s="1"/>
  <c r="X98" i="115" s="1"/>
  <c r="U288" i="115"/>
  <c r="S288" i="115"/>
  <c r="T225" i="115"/>
  <c r="W225" i="115" s="1"/>
  <c r="X225" i="115" s="1"/>
  <c r="Y225" i="115" s="1"/>
  <c r="Z225" i="115" s="1"/>
  <c r="V225" i="115"/>
  <c r="AC289" i="115"/>
  <c r="Q289" i="115"/>
  <c r="R289" i="115" s="1"/>
  <c r="AD289" i="115"/>
  <c r="P290" i="115"/>
  <c r="S226" i="115"/>
  <c r="U226" i="115"/>
  <c r="T287" i="115"/>
  <c r="W287" i="115" s="1"/>
  <c r="X287" i="115" s="1"/>
  <c r="V287" i="115"/>
  <c r="AC100" i="115"/>
  <c r="Q100" i="115"/>
  <c r="R100" i="115" s="1"/>
  <c r="AD100" i="115"/>
  <c r="P101" i="115"/>
  <c r="S99" i="115"/>
  <c r="U99" i="115"/>
  <c r="V36" i="115"/>
  <c r="W36" i="115"/>
  <c r="X36" i="115" s="1"/>
  <c r="P39" i="115"/>
  <c r="AD38" i="115"/>
  <c r="AC38" i="115"/>
  <c r="U37" i="115"/>
  <c r="AI558" i="29"/>
  <c r="AJ558" i="29" s="1"/>
  <c r="AG559" i="29" s="1"/>
  <c r="AH906" i="29"/>
  <c r="AI906" i="29" s="1"/>
  <c r="AJ906" i="29" s="1"/>
  <c r="AG907" i="29" s="1"/>
  <c r="AH733" i="29"/>
  <c r="I25" i="108" l="1"/>
  <c r="AC378" i="29" s="1"/>
  <c r="W69" i="118"/>
  <c r="W97" i="118"/>
  <c r="AV97" i="118" s="1"/>
  <c r="W98" i="118"/>
  <c r="AV98" i="118" s="1"/>
  <c r="W104" i="118"/>
  <c r="AV104" i="118" s="1"/>
  <c r="W64" i="118"/>
  <c r="AV64" i="118" s="1"/>
  <c r="W88" i="118"/>
  <c r="AV88" i="118" s="1"/>
  <c r="W95" i="118"/>
  <c r="AV95" i="118" s="1"/>
  <c r="W75" i="118"/>
  <c r="BN75" i="118" s="1"/>
  <c r="W68" i="118"/>
  <c r="BN68" i="118" s="1"/>
  <c r="W74" i="118"/>
  <c r="BN74" i="118" s="1"/>
  <c r="W80" i="118"/>
  <c r="AV80" i="118" s="1"/>
  <c r="W71" i="118"/>
  <c r="AV71" i="118" s="1"/>
  <c r="W83" i="118"/>
  <c r="BN83" i="118" s="1"/>
  <c r="W81" i="118"/>
  <c r="BN81" i="118" s="1"/>
  <c r="W85" i="118"/>
  <c r="BN85" i="118" s="1"/>
  <c r="W92" i="118"/>
  <c r="AV92" i="118" s="1"/>
  <c r="W59" i="118"/>
  <c r="BN59" i="118" s="1"/>
  <c r="W103" i="118"/>
  <c r="BN103" i="118" s="1"/>
  <c r="W99" i="118"/>
  <c r="AV99" i="118" s="1"/>
  <c r="W66" i="118"/>
  <c r="BN66" i="118" s="1"/>
  <c r="W106" i="118"/>
  <c r="BN106" i="118" s="1"/>
  <c r="W107" i="118"/>
  <c r="BN107" i="118" s="1"/>
  <c r="W102" i="118"/>
  <c r="BN102" i="118" s="1"/>
  <c r="W70" i="118"/>
  <c r="AV70" i="118" s="1"/>
  <c r="W72" i="118"/>
  <c r="AV72" i="118" s="1"/>
  <c r="W58" i="118"/>
  <c r="BN58" i="118" s="1"/>
  <c r="W77" i="118"/>
  <c r="AV77" i="118" s="1"/>
  <c r="R44" i="118"/>
  <c r="W86" i="118"/>
  <c r="BN86" i="118" s="1"/>
  <c r="W101" i="118"/>
  <c r="BN101" i="118" s="1"/>
  <c r="W67" i="118"/>
  <c r="BN67" i="118" s="1"/>
  <c r="W100" i="118"/>
  <c r="BN100" i="118" s="1"/>
  <c r="W84" i="118"/>
  <c r="AV84" i="118" s="1"/>
  <c r="W62" i="118"/>
  <c r="AV62" i="118" s="1"/>
  <c r="W94" i="118"/>
  <c r="BN94" i="118" s="1"/>
  <c r="W65" i="118"/>
  <c r="BN65" i="118" s="1"/>
  <c r="W89" i="118"/>
  <c r="AV89" i="118" s="1"/>
  <c r="W105" i="118"/>
  <c r="AV105" i="118" s="1"/>
  <c r="W91" i="118"/>
  <c r="AV91" i="118" s="1"/>
  <c r="W73" i="118"/>
  <c r="BN73" i="118" s="1"/>
  <c r="W76" i="118"/>
  <c r="BN76" i="118" s="1"/>
  <c r="W93" i="118"/>
  <c r="BN93" i="118" s="1"/>
  <c r="W61" i="118"/>
  <c r="BN61" i="118" s="1"/>
  <c r="W96" i="118"/>
  <c r="BN96" i="118" s="1"/>
  <c r="W78" i="118"/>
  <c r="BN78" i="118" s="1"/>
  <c r="W60" i="118"/>
  <c r="AV60" i="118" s="1"/>
  <c r="W90" i="118"/>
  <c r="BN90" i="118" s="1"/>
  <c r="W63" i="118"/>
  <c r="BN63" i="118" s="1"/>
  <c r="W79" i="118"/>
  <c r="AV79" i="118" s="1"/>
  <c r="W82" i="118"/>
  <c r="BN82" i="118" s="1"/>
  <c r="W87" i="118"/>
  <c r="BN87" i="118" s="1"/>
  <c r="I179" i="118"/>
  <c r="R180" i="118"/>
  <c r="R178" i="118" s="1"/>
  <c r="S178" i="118" s="1"/>
  <c r="G18" i="110"/>
  <c r="G20" i="110" s="1"/>
  <c r="F25" i="110" s="1"/>
  <c r="AF553" i="29" s="1"/>
  <c r="AK553" i="29" s="1"/>
  <c r="H17" i="110"/>
  <c r="H18" i="110" s="1"/>
  <c r="Y98" i="115"/>
  <c r="Z98" i="115" s="1"/>
  <c r="AA98" i="115" s="1"/>
  <c r="AU393" i="29" s="1"/>
  <c r="Y36" i="115"/>
  <c r="Z36" i="115" s="1"/>
  <c r="AA36" i="115" s="1"/>
  <c r="AU220" i="29" s="1"/>
  <c r="K314" i="118"/>
  <c r="K313" i="118" s="1"/>
  <c r="BN1000" i="29"/>
  <c r="S23" i="113"/>
  <c r="G13" i="114"/>
  <c r="BN827" i="29"/>
  <c r="S23" i="112"/>
  <c r="G13" i="111"/>
  <c r="Y287" i="115"/>
  <c r="Z287" i="115" s="1"/>
  <c r="AA287" i="115" s="1"/>
  <c r="AU916" i="29" s="1"/>
  <c r="Y161" i="115"/>
  <c r="Z161" i="115" s="1"/>
  <c r="AA161" i="115" s="1"/>
  <c r="AU569" i="29" s="1"/>
  <c r="BN98" i="118"/>
  <c r="BN64" i="118"/>
  <c r="AV86" i="118"/>
  <c r="BN69" i="118"/>
  <c r="AV69" i="118"/>
  <c r="BN89" i="118"/>
  <c r="AV68" i="118"/>
  <c r="AV59" i="118"/>
  <c r="AV83" i="118"/>
  <c r="R96" i="118"/>
  <c r="R85" i="118"/>
  <c r="R91" i="118"/>
  <c r="R88" i="118"/>
  <c r="R95" i="118"/>
  <c r="R86" i="118"/>
  <c r="R84" i="118"/>
  <c r="R83" i="118"/>
  <c r="R90" i="118"/>
  <c r="R97" i="118"/>
  <c r="R87" i="118"/>
  <c r="R89" i="118"/>
  <c r="R92" i="118"/>
  <c r="R93" i="118"/>
  <c r="R94" i="118"/>
  <c r="AE163" i="115"/>
  <c r="AV571" i="29" s="1"/>
  <c r="AE38" i="115"/>
  <c r="AV222" i="29" s="1"/>
  <c r="AE227" i="115"/>
  <c r="AV746" i="29" s="1"/>
  <c r="AE100" i="115"/>
  <c r="AV395" i="29" s="1"/>
  <c r="AE289" i="115"/>
  <c r="AV918" i="29" s="1"/>
  <c r="AA225" i="115"/>
  <c r="AU744" i="29" s="1"/>
  <c r="Q39" i="115"/>
  <c r="R39" i="115" s="1"/>
  <c r="S39" i="115" s="1"/>
  <c r="T39" i="115" s="1"/>
  <c r="AB35" i="115"/>
  <c r="BK219" i="29" s="1"/>
  <c r="AB224" i="115"/>
  <c r="BK743" i="29" s="1"/>
  <c r="AD164" i="115"/>
  <c r="P165" i="115"/>
  <c r="Q164" i="115"/>
  <c r="R164" i="115" s="1"/>
  <c r="AC164" i="115"/>
  <c r="T162" i="115"/>
  <c r="W162" i="115" s="1"/>
  <c r="X162" i="115" s="1"/>
  <c r="Y162" i="115" s="1"/>
  <c r="Z162" i="115" s="1"/>
  <c r="V162" i="115"/>
  <c r="S163" i="115"/>
  <c r="U163" i="115"/>
  <c r="AB97" i="115"/>
  <c r="BK392" i="29" s="1"/>
  <c r="AB160" i="115"/>
  <c r="BK568" i="29" s="1"/>
  <c r="AB286" i="115"/>
  <c r="BK915" i="29" s="1"/>
  <c r="S100" i="115"/>
  <c r="U100" i="115"/>
  <c r="T226" i="115"/>
  <c r="W226" i="115" s="1"/>
  <c r="X226" i="115" s="1"/>
  <c r="V226" i="115"/>
  <c r="U289" i="115"/>
  <c r="S289" i="115"/>
  <c r="T288" i="115"/>
  <c r="W288" i="115" s="1"/>
  <c r="X288" i="115" s="1"/>
  <c r="V288" i="115"/>
  <c r="Q101" i="115"/>
  <c r="R101" i="115" s="1"/>
  <c r="AC101" i="115"/>
  <c r="AD101" i="115"/>
  <c r="P102" i="115"/>
  <c r="AC290" i="115"/>
  <c r="Q290" i="115"/>
  <c r="R290" i="115" s="1"/>
  <c r="AD290" i="115"/>
  <c r="P291" i="115"/>
  <c r="S227" i="115"/>
  <c r="U227" i="115"/>
  <c r="V99" i="115"/>
  <c r="T99" i="115"/>
  <c r="W99" i="115" s="1"/>
  <c r="X99" i="115" s="1"/>
  <c r="Y99" i="115" s="1"/>
  <c r="Z99" i="115" s="1"/>
  <c r="Q228" i="115"/>
  <c r="R228" i="115" s="1"/>
  <c r="AC228" i="115"/>
  <c r="AD228" i="115"/>
  <c r="P229" i="115"/>
  <c r="AD39" i="115"/>
  <c r="P40" i="115"/>
  <c r="AC39" i="115"/>
  <c r="W37" i="115"/>
  <c r="X37" i="115" s="1"/>
  <c r="V37" i="115"/>
  <c r="U38" i="115"/>
  <c r="AH559" i="29"/>
  <c r="AI559" i="29" s="1"/>
  <c r="AJ559" i="29" s="1"/>
  <c r="AG560" i="29" s="1"/>
  <c r="AI733" i="29"/>
  <c r="AJ733" i="29" s="1"/>
  <c r="AG734" i="29" s="1"/>
  <c r="AH907" i="29"/>
  <c r="AV58" i="118" l="1"/>
  <c r="BE58" i="118" s="1"/>
  <c r="BN84" i="118"/>
  <c r="AV78" i="118"/>
  <c r="AV106" i="118"/>
  <c r="AV103" i="118"/>
  <c r="BN72" i="118"/>
  <c r="BN79" i="118"/>
  <c r="AV76" i="118"/>
  <c r="AV74" i="118"/>
  <c r="BN60" i="118"/>
  <c r="AV93" i="118"/>
  <c r="BN62" i="118"/>
  <c r="BN97" i="118"/>
  <c r="AV101" i="118"/>
  <c r="AV107" i="118"/>
  <c r="BN105" i="118"/>
  <c r="BN88" i="118"/>
  <c r="AV81" i="118"/>
  <c r="AV82" i="118"/>
  <c r="BN70" i="118"/>
  <c r="AV85" i="118"/>
  <c r="BN80" i="118"/>
  <c r="AV63" i="118"/>
  <c r="BN99" i="118"/>
  <c r="BN92" i="118"/>
  <c r="AV100" i="118"/>
  <c r="BN95" i="118"/>
  <c r="BN104" i="118"/>
  <c r="AV75" i="118"/>
  <c r="AV66" i="118"/>
  <c r="BN71" i="118"/>
  <c r="AV73" i="118"/>
  <c r="BN77" i="118"/>
  <c r="AV102" i="118"/>
  <c r="AV96" i="118"/>
  <c r="AV65" i="118"/>
  <c r="S44" i="118"/>
  <c r="R47" i="118"/>
  <c r="S43" i="118" s="1"/>
  <c r="AV94" i="118"/>
  <c r="AV87" i="118"/>
  <c r="AV90" i="118"/>
  <c r="AV61" i="118"/>
  <c r="AV67" i="118"/>
  <c r="BN91" i="118"/>
  <c r="R314" i="118"/>
  <c r="S314" i="118" s="1"/>
  <c r="V315" i="118" s="1"/>
  <c r="H20" i="110"/>
  <c r="H25" i="110"/>
  <c r="AD554" i="29" s="1"/>
  <c r="G25" i="110"/>
  <c r="Y226" i="115"/>
  <c r="Z226" i="115" s="1"/>
  <c r="AA226" i="115" s="1"/>
  <c r="AU745" i="29" s="1"/>
  <c r="Y37" i="115"/>
  <c r="Z37" i="115" s="1"/>
  <c r="AA37" i="115" s="1"/>
  <c r="AU221" i="29" s="1"/>
  <c r="R181" i="118"/>
  <c r="S177" i="118" s="1"/>
  <c r="Q191" i="118" s="1"/>
  <c r="S180" i="118"/>
  <c r="V181" i="118" s="1"/>
  <c r="W224" i="118" s="1"/>
  <c r="AV224" i="118" s="1"/>
  <c r="I314" i="118"/>
  <c r="I313" i="118"/>
  <c r="D589" i="118"/>
  <c r="G16" i="114"/>
  <c r="H17" i="114" s="1"/>
  <c r="G16" i="111"/>
  <c r="D454" i="118"/>
  <c r="Y288" i="115"/>
  <c r="Z288" i="115" s="1"/>
  <c r="AA288" i="115" s="1"/>
  <c r="AU917" i="29" s="1"/>
  <c r="R234" i="118"/>
  <c r="R232" i="118"/>
  <c r="R235" i="118"/>
  <c r="R238" i="118"/>
  <c r="R236" i="118"/>
  <c r="R239" i="118"/>
  <c r="R233" i="118"/>
  <c r="R240" i="118"/>
  <c r="R241" i="118"/>
  <c r="R237" i="118"/>
  <c r="BM85" i="118"/>
  <c r="AU85" i="118"/>
  <c r="BM83" i="118"/>
  <c r="AU83" i="118"/>
  <c r="AU96" i="118"/>
  <c r="BM96" i="118"/>
  <c r="BM92" i="118"/>
  <c r="AU92" i="118"/>
  <c r="BM89" i="118"/>
  <c r="AU89" i="118"/>
  <c r="AU91" i="118"/>
  <c r="BM91" i="118"/>
  <c r="BE59" i="118"/>
  <c r="BE60" i="118" s="1"/>
  <c r="BM94" i="118"/>
  <c r="AU94" i="118"/>
  <c r="AU88" i="118"/>
  <c r="BM88" i="118"/>
  <c r="BM93" i="118"/>
  <c r="AU93" i="118"/>
  <c r="AU97" i="118"/>
  <c r="BM97" i="118"/>
  <c r="AU84" i="118"/>
  <c r="BM84" i="118"/>
  <c r="BM95" i="118"/>
  <c r="AU95" i="118"/>
  <c r="BM87" i="118"/>
  <c r="AU87" i="118"/>
  <c r="AU90" i="118"/>
  <c r="BM90" i="118"/>
  <c r="AU86" i="118"/>
  <c r="BM86" i="118"/>
  <c r="R196" i="118"/>
  <c r="R211" i="118"/>
  <c r="R226" i="118"/>
  <c r="R202" i="118"/>
  <c r="R220" i="118"/>
  <c r="R194" i="118"/>
  <c r="R212" i="118"/>
  <c r="R227" i="118"/>
  <c r="R228" i="118"/>
  <c r="R222" i="118"/>
  <c r="R200" i="118"/>
  <c r="R219" i="118"/>
  <c r="R229" i="118"/>
  <c r="R206" i="118"/>
  <c r="R224" i="118"/>
  <c r="R198" i="118"/>
  <c r="R217" i="118"/>
  <c r="R195" i="118"/>
  <c r="R197" i="118"/>
  <c r="R208" i="118"/>
  <c r="U191" i="118"/>
  <c r="S192" i="118" s="1"/>
  <c r="R205" i="118"/>
  <c r="R223" i="118"/>
  <c r="R193" i="118"/>
  <c r="R210" i="118"/>
  <c r="R213" i="118"/>
  <c r="R203" i="118"/>
  <c r="R221" i="118"/>
  <c r="R216" i="118"/>
  <c r="R218" i="118"/>
  <c r="R201" i="118"/>
  <c r="R192" i="118"/>
  <c r="R209" i="118"/>
  <c r="R214" i="118"/>
  <c r="R199" i="118"/>
  <c r="R215" i="118"/>
  <c r="R230" i="118"/>
  <c r="R207" i="118"/>
  <c r="R225" i="118"/>
  <c r="R231" i="118"/>
  <c r="R204" i="118"/>
  <c r="AE101" i="115"/>
  <c r="AV396" i="29" s="1"/>
  <c r="AB36" i="115"/>
  <c r="BK220" i="29" s="1"/>
  <c r="AE290" i="115"/>
  <c r="AV919" i="29" s="1"/>
  <c r="AE39" i="115"/>
  <c r="AV223" i="29" s="1"/>
  <c r="AE228" i="115"/>
  <c r="AV747" i="29" s="1"/>
  <c r="AB287" i="115"/>
  <c r="BK916" i="29" s="1"/>
  <c r="AE164" i="115"/>
  <c r="AV572" i="29" s="1"/>
  <c r="Q40" i="115"/>
  <c r="R40" i="115" s="1"/>
  <c r="S40" i="115" s="1"/>
  <c r="T40" i="115" s="1"/>
  <c r="AA99" i="115"/>
  <c r="AU394" i="29" s="1"/>
  <c r="V163" i="115"/>
  <c r="T163" i="115"/>
  <c r="W163" i="115" s="1"/>
  <c r="X163" i="115" s="1"/>
  <c r="P166" i="115"/>
  <c r="Q165" i="115"/>
  <c r="R165" i="115" s="1"/>
  <c r="AD165" i="115"/>
  <c r="AC165" i="115"/>
  <c r="AA162" i="115"/>
  <c r="AU570" i="29" s="1"/>
  <c r="AB98" i="115"/>
  <c r="BK393" i="29" s="1"/>
  <c r="S164" i="115"/>
  <c r="U164" i="115"/>
  <c r="AB161" i="115"/>
  <c r="BK569" i="29" s="1"/>
  <c r="AB225" i="115"/>
  <c r="BK744" i="29" s="1"/>
  <c r="U290" i="115"/>
  <c r="S290" i="115"/>
  <c r="Q229" i="115"/>
  <c r="R229" i="115" s="1"/>
  <c r="AC229" i="115"/>
  <c r="AD229" i="115"/>
  <c r="P230" i="115"/>
  <c r="S228" i="115"/>
  <c r="U228" i="115"/>
  <c r="AC102" i="115"/>
  <c r="Q102" i="115"/>
  <c r="R102" i="115" s="1"/>
  <c r="AD102" i="115"/>
  <c r="P103" i="115"/>
  <c r="S101" i="115"/>
  <c r="U101" i="115"/>
  <c r="V100" i="115"/>
  <c r="T100" i="115"/>
  <c r="W100" i="115" s="1"/>
  <c r="X100" i="115" s="1"/>
  <c r="Y100" i="115" s="1"/>
  <c r="Z100" i="115" s="1"/>
  <c r="T227" i="115"/>
  <c r="W227" i="115" s="1"/>
  <c r="X227" i="115" s="1"/>
  <c r="Y227" i="115" s="1"/>
  <c r="Z227" i="115" s="1"/>
  <c r="V227" i="115"/>
  <c r="Q291" i="115"/>
  <c r="R291" i="115" s="1"/>
  <c r="AC291" i="115"/>
  <c r="AD291" i="115"/>
  <c r="P292" i="115"/>
  <c r="T289" i="115"/>
  <c r="W289" i="115" s="1"/>
  <c r="X289" i="115" s="1"/>
  <c r="V289" i="115"/>
  <c r="V38" i="115"/>
  <c r="W38" i="115"/>
  <c r="X38" i="115" s="1"/>
  <c r="AC40" i="115"/>
  <c r="P41" i="115"/>
  <c r="AD40" i="115"/>
  <c r="U39" i="115"/>
  <c r="AI907" i="29"/>
  <c r="AJ907" i="29" s="1"/>
  <c r="AG908" i="29" s="1"/>
  <c r="AH734" i="29"/>
  <c r="AI734" i="29" s="1"/>
  <c r="AJ734" i="29" s="1"/>
  <c r="AG735" i="29" s="1"/>
  <c r="AH560" i="29"/>
  <c r="R312" i="118" l="1"/>
  <c r="R315" i="118" s="1"/>
  <c r="S311" i="118" s="1"/>
  <c r="BE61" i="118"/>
  <c r="BE62" i="118" s="1"/>
  <c r="BE63" i="118" s="1"/>
  <c r="BE64" i="118" s="1"/>
  <c r="BE65" i="118" s="1"/>
  <c r="BE66" i="118" s="1"/>
  <c r="BE67" i="118" s="1"/>
  <c r="BE68" i="118" s="1"/>
  <c r="BE69" i="118" s="1"/>
  <c r="BE70" i="118" s="1"/>
  <c r="BE71" i="118" s="1"/>
  <c r="BE72" i="118" s="1"/>
  <c r="BE73" i="118" s="1"/>
  <c r="BE74" i="118" s="1"/>
  <c r="BE75" i="118" s="1"/>
  <c r="BE76" i="118" s="1"/>
  <c r="BE77" i="118" s="1"/>
  <c r="BE78" i="118" s="1"/>
  <c r="BE79" i="118" s="1"/>
  <c r="BE80" i="118" s="1"/>
  <c r="BE81" i="118" s="1"/>
  <c r="BE82" i="118" s="1"/>
  <c r="BE83" i="118" s="1"/>
  <c r="BE84" i="118" s="1"/>
  <c r="BE85" i="118" s="1"/>
  <c r="BE86" i="118" s="1"/>
  <c r="BE87" i="118" s="1"/>
  <c r="BE88" i="118" s="1"/>
  <c r="BE89" i="118" s="1"/>
  <c r="BE90" i="118" s="1"/>
  <c r="BE91" i="118" s="1"/>
  <c r="BE92" i="118" s="1"/>
  <c r="BE93" i="118" s="1"/>
  <c r="BE94" i="118" s="1"/>
  <c r="BE95" i="118" s="1"/>
  <c r="BE96" i="118" s="1"/>
  <c r="BE97" i="118" s="1"/>
  <c r="BE98" i="118" s="1"/>
  <c r="BE99" i="118" s="1"/>
  <c r="BE100" i="118" s="1"/>
  <c r="BE101" i="118" s="1"/>
  <c r="BE102" i="118" s="1"/>
  <c r="BE103" i="118" s="1"/>
  <c r="BE104" i="118" s="1"/>
  <c r="BE105" i="118" s="1"/>
  <c r="BE106" i="118" s="1"/>
  <c r="BE107" i="118" s="1"/>
  <c r="AC38" i="118"/>
  <c r="Q57" i="118"/>
  <c r="AC42" i="118"/>
  <c r="J9" i="118"/>
  <c r="AC39" i="118"/>
  <c r="AC40" i="118"/>
  <c r="AC41" i="118"/>
  <c r="S50" i="118"/>
  <c r="R65" i="118"/>
  <c r="R81" i="118"/>
  <c r="R77" i="118"/>
  <c r="R59" i="118"/>
  <c r="R70" i="118"/>
  <c r="R73" i="118"/>
  <c r="R79" i="118"/>
  <c r="R58" i="118"/>
  <c r="R66" i="118"/>
  <c r="R78" i="118"/>
  <c r="R72" i="118"/>
  <c r="R60" i="118"/>
  <c r="U57" i="118"/>
  <c r="S58" i="118" s="1"/>
  <c r="R62" i="118"/>
  <c r="R82" i="118"/>
  <c r="R71" i="118"/>
  <c r="R67" i="118"/>
  <c r="R64" i="118"/>
  <c r="R80" i="118"/>
  <c r="R76" i="118"/>
  <c r="R68" i="118"/>
  <c r="R69" i="118"/>
  <c r="R63" i="118"/>
  <c r="R61" i="118"/>
  <c r="R74" i="118"/>
  <c r="R75" i="118"/>
  <c r="R50" i="118"/>
  <c r="S40" i="118" s="1"/>
  <c r="W355" i="118"/>
  <c r="AV355" i="118" s="1"/>
  <c r="W368" i="118"/>
  <c r="AV368" i="118" s="1"/>
  <c r="W328" i="118"/>
  <c r="BN328" i="118" s="1"/>
  <c r="W359" i="118"/>
  <c r="BN359" i="118" s="1"/>
  <c r="W372" i="118"/>
  <c r="AV372" i="118" s="1"/>
  <c r="W335" i="118"/>
  <c r="AV335" i="118" s="1"/>
  <c r="W345" i="118"/>
  <c r="BN345" i="118" s="1"/>
  <c r="W360" i="118"/>
  <c r="AV360" i="118" s="1"/>
  <c r="W350" i="118"/>
  <c r="BN350" i="118" s="1"/>
  <c r="W337" i="118"/>
  <c r="BN337" i="118" s="1"/>
  <c r="W332" i="118"/>
  <c r="AV332" i="118" s="1"/>
  <c r="W361" i="118"/>
  <c r="BN361" i="118" s="1"/>
  <c r="W349" i="118"/>
  <c r="BN349" i="118" s="1"/>
  <c r="W369" i="118"/>
  <c r="BN369" i="118" s="1"/>
  <c r="W357" i="118"/>
  <c r="AV357" i="118" s="1"/>
  <c r="W329" i="118"/>
  <c r="AV329" i="118" s="1"/>
  <c r="W358" i="118"/>
  <c r="BN358" i="118" s="1"/>
  <c r="W371" i="118"/>
  <c r="BN371" i="118" s="1"/>
  <c r="W333" i="118"/>
  <c r="BN333" i="118" s="1"/>
  <c r="W348" i="118"/>
  <c r="BN348" i="118" s="1"/>
  <c r="W373" i="118"/>
  <c r="BN373" i="118" s="1"/>
  <c r="W341" i="118"/>
  <c r="BN341" i="118" s="1"/>
  <c r="W347" i="118"/>
  <c r="BN347" i="118" s="1"/>
  <c r="W363" i="118"/>
  <c r="AV363" i="118" s="1"/>
  <c r="W374" i="118"/>
  <c r="BN374" i="118" s="1"/>
  <c r="W330" i="118"/>
  <c r="AV330" i="118" s="1"/>
  <c r="W351" i="118"/>
  <c r="BN351" i="118" s="1"/>
  <c r="W364" i="118"/>
  <c r="AV364" i="118" s="1"/>
  <c r="W375" i="118"/>
  <c r="AV375" i="118" s="1"/>
  <c r="W334" i="118"/>
  <c r="AV334" i="118" s="1"/>
  <c r="W352" i="118"/>
  <c r="BN352" i="118" s="1"/>
  <c r="W365" i="118"/>
  <c r="BN365" i="118" s="1"/>
  <c r="W342" i="118"/>
  <c r="BN342" i="118" s="1"/>
  <c r="W356" i="118"/>
  <c r="BN356" i="118" s="1"/>
  <c r="W343" i="118"/>
  <c r="AV343" i="118" s="1"/>
  <c r="W370" i="118"/>
  <c r="AV370" i="118" s="1"/>
  <c r="W344" i="118"/>
  <c r="BN344" i="118" s="1"/>
  <c r="W339" i="118"/>
  <c r="AV339" i="118" s="1"/>
  <c r="W346" i="118"/>
  <c r="AV346" i="118" s="1"/>
  <c r="W362" i="118"/>
  <c r="BN362" i="118" s="1"/>
  <c r="W336" i="118"/>
  <c r="AV336" i="118" s="1"/>
  <c r="W353" i="118"/>
  <c r="AV353" i="118" s="1"/>
  <c r="W366" i="118"/>
  <c r="AV366" i="118" s="1"/>
  <c r="W327" i="118"/>
  <c r="BN327" i="118" s="1"/>
  <c r="W338" i="118"/>
  <c r="BN338" i="118" s="1"/>
  <c r="W354" i="118"/>
  <c r="BN354" i="118" s="1"/>
  <c r="W367" i="118"/>
  <c r="BN367" i="118" s="1"/>
  <c r="W326" i="118"/>
  <c r="AV326" i="118" s="1"/>
  <c r="BE326" i="118" s="1"/>
  <c r="W340" i="118"/>
  <c r="BN340" i="118" s="1"/>
  <c r="W331" i="118"/>
  <c r="BN331" i="118" s="1"/>
  <c r="I25" i="110"/>
  <c r="AC554" i="29" s="1"/>
  <c r="AE554" i="29" s="1"/>
  <c r="AF554" i="29" s="1"/>
  <c r="AD555" i="29" s="1"/>
  <c r="H17" i="111"/>
  <c r="H18" i="111" s="1"/>
  <c r="Y38" i="115"/>
  <c r="Z38" i="115" s="1"/>
  <c r="AA38" i="115" s="1"/>
  <c r="AU222" i="29" s="1"/>
  <c r="W227" i="118"/>
  <c r="BN227" i="118" s="1"/>
  <c r="S184" i="118"/>
  <c r="AC172" i="118"/>
  <c r="AC175" i="118"/>
  <c r="AC176" i="118"/>
  <c r="L9" i="118"/>
  <c r="AC174" i="118"/>
  <c r="R184" i="118"/>
  <c r="S174" i="118" s="1"/>
  <c r="AC173" i="118"/>
  <c r="W198" i="118"/>
  <c r="BN198" i="118" s="1"/>
  <c r="W222" i="118"/>
  <c r="BN222" i="118" s="1"/>
  <c r="W195" i="118"/>
  <c r="AV195" i="118" s="1"/>
  <c r="BN224" i="118"/>
  <c r="W228" i="118"/>
  <c r="BN228" i="118" s="1"/>
  <c r="W211" i="118"/>
  <c r="BN211" i="118" s="1"/>
  <c r="W209" i="118"/>
  <c r="BN209" i="118" s="1"/>
  <c r="W208" i="118"/>
  <c r="AV208" i="118" s="1"/>
  <c r="W215" i="118"/>
  <c r="BN215" i="118" s="1"/>
  <c r="W199" i="118"/>
  <c r="BN199" i="118" s="1"/>
  <c r="W206" i="118"/>
  <c r="AV206" i="118" s="1"/>
  <c r="W202" i="118"/>
  <c r="BN202" i="118" s="1"/>
  <c r="W240" i="118"/>
  <c r="AV240" i="118" s="1"/>
  <c r="W231" i="118"/>
  <c r="BN231" i="118" s="1"/>
  <c r="W225" i="118"/>
  <c r="AV225" i="118" s="1"/>
  <c r="W241" i="118"/>
  <c r="BN241" i="118" s="1"/>
  <c r="W205" i="118"/>
  <c r="BN205" i="118" s="1"/>
  <c r="W210" i="118"/>
  <c r="BN210" i="118" s="1"/>
  <c r="W226" i="118"/>
  <c r="AV226" i="118" s="1"/>
  <c r="W233" i="118"/>
  <c r="AV233" i="118" s="1"/>
  <c r="W234" i="118"/>
  <c r="BN234" i="118" s="1"/>
  <c r="W200" i="118"/>
  <c r="AV200" i="118" s="1"/>
  <c r="W214" i="118"/>
  <c r="BN214" i="118" s="1"/>
  <c r="W197" i="118"/>
  <c r="AV197" i="118" s="1"/>
  <c r="W235" i="118"/>
  <c r="AV235" i="118" s="1"/>
  <c r="W223" i="118"/>
  <c r="AV223" i="118" s="1"/>
  <c r="W232" i="118"/>
  <c r="AV232" i="118" s="1"/>
  <c r="W221" i="118"/>
  <c r="BN221" i="118" s="1"/>
  <c r="W203" i="118"/>
  <c r="AV203" i="118" s="1"/>
  <c r="W219" i="118"/>
  <c r="AV219" i="118" s="1"/>
  <c r="W193" i="118"/>
  <c r="BN193" i="118" s="1"/>
  <c r="W229" i="118"/>
  <c r="BN229" i="118" s="1"/>
  <c r="W201" i="118"/>
  <c r="BN201" i="118" s="1"/>
  <c r="W213" i="118"/>
  <c r="AV213" i="118" s="1"/>
  <c r="W204" i="118"/>
  <c r="AV204" i="118" s="1"/>
  <c r="W237" i="118"/>
  <c r="BN237" i="118" s="1"/>
  <c r="W236" i="118"/>
  <c r="AV236" i="118" s="1"/>
  <c r="W196" i="118"/>
  <c r="AV196" i="118" s="1"/>
  <c r="W218" i="118"/>
  <c r="AV218" i="118" s="1"/>
  <c r="W192" i="118"/>
  <c r="BN192" i="118" s="1"/>
  <c r="W217" i="118"/>
  <c r="BN217" i="118" s="1"/>
  <c r="W194" i="118"/>
  <c r="AV194" i="118" s="1"/>
  <c r="W212" i="118"/>
  <c r="AV212" i="118" s="1"/>
  <c r="W216" i="118"/>
  <c r="AV216" i="118" s="1"/>
  <c r="W230" i="118"/>
  <c r="AV230" i="118" s="1"/>
  <c r="W220" i="118"/>
  <c r="AV220" i="118" s="1"/>
  <c r="W207" i="118"/>
  <c r="AV207" i="118" s="1"/>
  <c r="W238" i="118"/>
  <c r="AV238" i="118" s="1"/>
  <c r="W239" i="118"/>
  <c r="AV239" i="118" s="1"/>
  <c r="R17" i="59"/>
  <c r="K448" i="118"/>
  <c r="H19" i="111"/>
  <c r="G18" i="111"/>
  <c r="G20" i="111" s="1"/>
  <c r="F25" i="111" s="1"/>
  <c r="H18" i="114"/>
  <c r="G18" i="114"/>
  <c r="G20" i="114" s="1"/>
  <c r="H19" i="114"/>
  <c r="K583" i="118"/>
  <c r="R18" i="59"/>
  <c r="AU240" i="118"/>
  <c r="BM240" i="118"/>
  <c r="AU238" i="118"/>
  <c r="BM238" i="118"/>
  <c r="BM233" i="118"/>
  <c r="AU233" i="118"/>
  <c r="AU235" i="118"/>
  <c r="BM235" i="118"/>
  <c r="R375" i="118"/>
  <c r="R370" i="118"/>
  <c r="R366" i="118"/>
  <c r="R367" i="118"/>
  <c r="R374" i="118"/>
  <c r="R373" i="118"/>
  <c r="R369" i="118"/>
  <c r="R372" i="118"/>
  <c r="R368" i="118"/>
  <c r="R371" i="118"/>
  <c r="AU237" i="118"/>
  <c r="BM237" i="118"/>
  <c r="AU239" i="118"/>
  <c r="BM239" i="118"/>
  <c r="BM232" i="118"/>
  <c r="AU232" i="118"/>
  <c r="AU241" i="118"/>
  <c r="BM241" i="118"/>
  <c r="BM236" i="118"/>
  <c r="AU236" i="118"/>
  <c r="BM234" i="118"/>
  <c r="AU234" i="118"/>
  <c r="Y289" i="115"/>
  <c r="Z289" i="115" s="1"/>
  <c r="AA289" i="115" s="1"/>
  <c r="AU918" i="29" s="1"/>
  <c r="Y163" i="115"/>
  <c r="Z163" i="115" s="1"/>
  <c r="AA163" i="115" s="1"/>
  <c r="AU571" i="29" s="1"/>
  <c r="R353" i="118"/>
  <c r="R355" i="118"/>
  <c r="R362" i="118"/>
  <c r="R351" i="118"/>
  <c r="R364" i="118"/>
  <c r="R360" i="118"/>
  <c r="R365" i="118"/>
  <c r="R354" i="118"/>
  <c r="R358" i="118"/>
  <c r="R352" i="118"/>
  <c r="R357" i="118"/>
  <c r="R359" i="118"/>
  <c r="R356" i="118"/>
  <c r="R361" i="118"/>
  <c r="R363" i="118"/>
  <c r="T192" i="118"/>
  <c r="U192" i="118" s="1"/>
  <c r="S193" i="118" s="1"/>
  <c r="T193" i="118" s="1"/>
  <c r="U193" i="118" s="1"/>
  <c r="S194" i="118" s="1"/>
  <c r="T194" i="118" s="1"/>
  <c r="U194" i="118" s="1"/>
  <c r="S195" i="118" s="1"/>
  <c r="T195" i="118" s="1"/>
  <c r="U195" i="118" s="1"/>
  <c r="S196" i="118" s="1"/>
  <c r="T196" i="118" s="1"/>
  <c r="U196" i="118" s="1"/>
  <c r="S197" i="118" s="1"/>
  <c r="T197" i="118" s="1"/>
  <c r="U197" i="118" s="1"/>
  <c r="S198" i="118" s="1"/>
  <c r="T198" i="118" s="1"/>
  <c r="U198" i="118" s="1"/>
  <c r="S199" i="118" s="1"/>
  <c r="T199" i="118" s="1"/>
  <c r="U199" i="118" s="1"/>
  <c r="S200" i="118" s="1"/>
  <c r="T200" i="118" s="1"/>
  <c r="U200" i="118" s="1"/>
  <c r="S201" i="118" s="1"/>
  <c r="T201" i="118" s="1"/>
  <c r="U201" i="118" s="1"/>
  <c r="S202" i="118" s="1"/>
  <c r="T202" i="118" s="1"/>
  <c r="U202" i="118" s="1"/>
  <c r="S203" i="118" s="1"/>
  <c r="T203" i="118" s="1"/>
  <c r="U203" i="118" s="1"/>
  <c r="S204" i="118" s="1"/>
  <c r="T204" i="118" s="1"/>
  <c r="U204" i="118" s="1"/>
  <c r="S205" i="118" s="1"/>
  <c r="T205" i="118" s="1"/>
  <c r="U205" i="118" s="1"/>
  <c r="S206" i="118" s="1"/>
  <c r="T206" i="118" s="1"/>
  <c r="U206" i="118" s="1"/>
  <c r="S207" i="118" s="1"/>
  <c r="T207" i="118" s="1"/>
  <c r="U207" i="118" s="1"/>
  <c r="S208" i="118" s="1"/>
  <c r="T208" i="118" s="1"/>
  <c r="U208" i="118" s="1"/>
  <c r="S209" i="118" s="1"/>
  <c r="T209" i="118" s="1"/>
  <c r="U209" i="118" s="1"/>
  <c r="S210" i="118" s="1"/>
  <c r="T210" i="118" s="1"/>
  <c r="U210" i="118" s="1"/>
  <c r="S211" i="118" s="1"/>
  <c r="T211" i="118" s="1"/>
  <c r="U211" i="118" s="1"/>
  <c r="S212" i="118" s="1"/>
  <c r="T212" i="118" s="1"/>
  <c r="U212" i="118" s="1"/>
  <c r="S213" i="118" s="1"/>
  <c r="T213" i="118" s="1"/>
  <c r="U213" i="118" s="1"/>
  <c r="S214" i="118" s="1"/>
  <c r="T214" i="118" s="1"/>
  <c r="U214" i="118" s="1"/>
  <c r="S215" i="118" s="1"/>
  <c r="T215" i="118" s="1"/>
  <c r="U215" i="118" s="1"/>
  <c r="S216" i="118" s="1"/>
  <c r="T216" i="118" s="1"/>
  <c r="U216" i="118" s="1"/>
  <c r="S217" i="118" s="1"/>
  <c r="T217" i="118" s="1"/>
  <c r="U217" i="118" s="1"/>
  <c r="S218" i="118" s="1"/>
  <c r="T218" i="118" s="1"/>
  <c r="U218" i="118" s="1"/>
  <c r="S219" i="118" s="1"/>
  <c r="T219" i="118" s="1"/>
  <c r="U219" i="118" s="1"/>
  <c r="S220" i="118" s="1"/>
  <c r="T220" i="118" s="1"/>
  <c r="U220" i="118" s="1"/>
  <c r="S221" i="118" s="1"/>
  <c r="T221" i="118" s="1"/>
  <c r="U221" i="118" s="1"/>
  <c r="S222" i="118" s="1"/>
  <c r="T222" i="118" s="1"/>
  <c r="U222" i="118" s="1"/>
  <c r="S223" i="118" s="1"/>
  <c r="T223" i="118" s="1"/>
  <c r="U223" i="118" s="1"/>
  <c r="S224" i="118" s="1"/>
  <c r="T224" i="118" s="1"/>
  <c r="U224" i="118" s="1"/>
  <c r="S225" i="118" s="1"/>
  <c r="T225" i="118" s="1"/>
  <c r="U225" i="118" s="1"/>
  <c r="S226" i="118" s="1"/>
  <c r="T226" i="118" s="1"/>
  <c r="U226" i="118" s="1"/>
  <c r="S227" i="118" s="1"/>
  <c r="T227" i="118" s="1"/>
  <c r="U227" i="118" s="1"/>
  <c r="S228" i="118" s="1"/>
  <c r="T228" i="118" s="1"/>
  <c r="U228" i="118" s="1"/>
  <c r="S229" i="118" s="1"/>
  <c r="T229" i="118" s="1"/>
  <c r="U229" i="118" s="1"/>
  <c r="S230" i="118" s="1"/>
  <c r="T230" i="118" s="1"/>
  <c r="U230" i="118" s="1"/>
  <c r="S231" i="118" s="1"/>
  <c r="T231" i="118" s="1"/>
  <c r="U231" i="118" s="1"/>
  <c r="S232" i="118" s="1"/>
  <c r="T232" i="118" s="1"/>
  <c r="U232" i="118" s="1"/>
  <c r="S233" i="118" s="1"/>
  <c r="T233" i="118" s="1"/>
  <c r="U233" i="118" s="1"/>
  <c r="S234" i="118" s="1"/>
  <c r="T234" i="118" s="1"/>
  <c r="U234" i="118" s="1"/>
  <c r="S235" i="118" s="1"/>
  <c r="T235" i="118" s="1"/>
  <c r="U235" i="118" s="1"/>
  <c r="S236" i="118" s="1"/>
  <c r="T236" i="118" s="1"/>
  <c r="U236" i="118" s="1"/>
  <c r="S237" i="118" s="1"/>
  <c r="T237" i="118" s="1"/>
  <c r="U237" i="118" s="1"/>
  <c r="S238" i="118" s="1"/>
  <c r="T238" i="118" s="1"/>
  <c r="U238" i="118" s="1"/>
  <c r="S239" i="118" s="1"/>
  <c r="T239" i="118" s="1"/>
  <c r="U239" i="118" s="1"/>
  <c r="S240" i="118" s="1"/>
  <c r="T240" i="118" s="1"/>
  <c r="U240" i="118" s="1"/>
  <c r="S241" i="118" s="1"/>
  <c r="T241" i="118" s="1"/>
  <c r="U241" i="118" s="1"/>
  <c r="BM204" i="118"/>
  <c r="AU204" i="118"/>
  <c r="BM209" i="118"/>
  <c r="AU209" i="118"/>
  <c r="BM216" i="118"/>
  <c r="AU216" i="118"/>
  <c r="BM210" i="118"/>
  <c r="AU210" i="118"/>
  <c r="AU217" i="118"/>
  <c r="BM217" i="118"/>
  <c r="AU229" i="118"/>
  <c r="BM229" i="118"/>
  <c r="BM228" i="118"/>
  <c r="AU228" i="118"/>
  <c r="BM220" i="118"/>
  <c r="AU220" i="118"/>
  <c r="AU196" i="118"/>
  <c r="BM196" i="118"/>
  <c r="BM231" i="118"/>
  <c r="AU231" i="118"/>
  <c r="BM215" i="118"/>
  <c r="AU215" i="118"/>
  <c r="Q188" i="118"/>
  <c r="AU192" i="118"/>
  <c r="BD192" i="118" s="1"/>
  <c r="BM192" i="118"/>
  <c r="AU221" i="118"/>
  <c r="BM221" i="118"/>
  <c r="AU193" i="118"/>
  <c r="BM193" i="118"/>
  <c r="BM208" i="118"/>
  <c r="AU208" i="118"/>
  <c r="BM198" i="118"/>
  <c r="AU198" i="118"/>
  <c r="AU219" i="118"/>
  <c r="BM219" i="118"/>
  <c r="BM227" i="118"/>
  <c r="AU227" i="118"/>
  <c r="AU202" i="118"/>
  <c r="BM202" i="118"/>
  <c r="AU230" i="118"/>
  <c r="BM230" i="118"/>
  <c r="AU225" i="118"/>
  <c r="BM225" i="118"/>
  <c r="AU199" i="118"/>
  <c r="BM199" i="118"/>
  <c r="AU201" i="118"/>
  <c r="BM201" i="118"/>
  <c r="AU203" i="118"/>
  <c r="BM203" i="118"/>
  <c r="AU223" i="118"/>
  <c r="BM223" i="118"/>
  <c r="AU197" i="118"/>
  <c r="BM197" i="118"/>
  <c r="BM224" i="118"/>
  <c r="AU224" i="118"/>
  <c r="BM200" i="118"/>
  <c r="AU200" i="118"/>
  <c r="BM212" i="118"/>
  <c r="AU212" i="118"/>
  <c r="BM226" i="118"/>
  <c r="AU226" i="118"/>
  <c r="N192" i="118"/>
  <c r="P192" i="118"/>
  <c r="BM207" i="118"/>
  <c r="AU207" i="118"/>
  <c r="AU214" i="118"/>
  <c r="BM214" i="118"/>
  <c r="BM218" i="118"/>
  <c r="AU218" i="118"/>
  <c r="BM213" i="118"/>
  <c r="AU213" i="118"/>
  <c r="AU205" i="118"/>
  <c r="BM205" i="118"/>
  <c r="BM195" i="118"/>
  <c r="AU195" i="118"/>
  <c r="BM206" i="118"/>
  <c r="AU206" i="118"/>
  <c r="AU222" i="118"/>
  <c r="BM222" i="118"/>
  <c r="AU194" i="118"/>
  <c r="BM194" i="118"/>
  <c r="AU211" i="118"/>
  <c r="BM211" i="118"/>
  <c r="AB162" i="115"/>
  <c r="BK570" i="29" s="1"/>
  <c r="AE165" i="115"/>
  <c r="AV573" i="29" s="1"/>
  <c r="AE291" i="115"/>
  <c r="AV920" i="29" s="1"/>
  <c r="AE229" i="115"/>
  <c r="AV748" i="29" s="1"/>
  <c r="AE40" i="115"/>
  <c r="AV224" i="29" s="1"/>
  <c r="AE102" i="115"/>
  <c r="AV397" i="29" s="1"/>
  <c r="AA100" i="115"/>
  <c r="AU395" i="29" s="1"/>
  <c r="AB226" i="115"/>
  <c r="BK745" i="29" s="1"/>
  <c r="AB37" i="115"/>
  <c r="BK221" i="29" s="1"/>
  <c r="AC166" i="115"/>
  <c r="Q166" i="115"/>
  <c r="R166" i="115" s="1"/>
  <c r="AD166" i="115"/>
  <c r="P167" i="115"/>
  <c r="AA227" i="115"/>
  <c r="AU746" i="29" s="1"/>
  <c r="V164" i="115"/>
  <c r="T164" i="115"/>
  <c r="W164" i="115" s="1"/>
  <c r="X164" i="115" s="1"/>
  <c r="AB288" i="115"/>
  <c r="BK917" i="29" s="1"/>
  <c r="Q41" i="115"/>
  <c r="R41" i="115" s="1"/>
  <c r="S41" i="115" s="1"/>
  <c r="T41" i="115" s="1"/>
  <c r="U165" i="115"/>
  <c r="S165" i="115"/>
  <c r="AB99" i="115"/>
  <c r="BK394" i="29" s="1"/>
  <c r="AC292" i="115"/>
  <c r="Q292" i="115"/>
  <c r="R292" i="115" s="1"/>
  <c r="AD292" i="115"/>
  <c r="P293" i="115"/>
  <c r="V228" i="115"/>
  <c r="T228" i="115"/>
  <c r="W228" i="115" s="1"/>
  <c r="X228" i="115" s="1"/>
  <c r="T101" i="115"/>
  <c r="W101" i="115" s="1"/>
  <c r="X101" i="115" s="1"/>
  <c r="V101" i="115"/>
  <c r="U102" i="115"/>
  <c r="S102" i="115"/>
  <c r="AC230" i="115"/>
  <c r="Q230" i="115"/>
  <c r="R230" i="115" s="1"/>
  <c r="AD230" i="115"/>
  <c r="P231" i="115"/>
  <c r="U229" i="115"/>
  <c r="S229" i="115"/>
  <c r="Q103" i="115"/>
  <c r="R103" i="115" s="1"/>
  <c r="AC103" i="115"/>
  <c r="AD103" i="115"/>
  <c r="P104" i="115"/>
  <c r="T290" i="115"/>
  <c r="W290" i="115" s="1"/>
  <c r="X290" i="115" s="1"/>
  <c r="V290" i="115"/>
  <c r="U291" i="115"/>
  <c r="S291" i="115"/>
  <c r="U40" i="115"/>
  <c r="W39" i="115"/>
  <c r="X39" i="115" s="1"/>
  <c r="V39" i="115"/>
  <c r="AD41" i="115"/>
  <c r="AC41" i="115"/>
  <c r="P42" i="115"/>
  <c r="AH735" i="29"/>
  <c r="AI735" i="29" s="1"/>
  <c r="AJ735" i="29" s="1"/>
  <c r="AG736" i="29" s="1"/>
  <c r="AH908" i="29"/>
  <c r="AI908" i="29" s="1"/>
  <c r="AJ908" i="29" s="1"/>
  <c r="AG909" i="29" s="1"/>
  <c r="AI560" i="29"/>
  <c r="AJ560" i="29" s="1"/>
  <c r="AG561" i="29" s="1"/>
  <c r="U262" i="29"/>
  <c r="U260" i="29"/>
  <c r="U219" i="29"/>
  <c r="R318" i="118" l="1"/>
  <c r="S308" i="118" s="1"/>
  <c r="S312" i="118"/>
  <c r="R339" i="118" s="1"/>
  <c r="AU339" i="118" s="1"/>
  <c r="AV350" i="118"/>
  <c r="BN375" i="118"/>
  <c r="AV340" i="118"/>
  <c r="AV373" i="118"/>
  <c r="BN336" i="118"/>
  <c r="BN355" i="118"/>
  <c r="AV344" i="118"/>
  <c r="AV374" i="118"/>
  <c r="AV338" i="118"/>
  <c r="AV342" i="118"/>
  <c r="AV358" i="118"/>
  <c r="BN372" i="118"/>
  <c r="AV349" i="118"/>
  <c r="BN368" i="118"/>
  <c r="BN335" i="118"/>
  <c r="AV331" i="118"/>
  <c r="AV337" i="118"/>
  <c r="AC555" i="29"/>
  <c r="AE555" i="29" s="1"/>
  <c r="AF555" i="29" s="1"/>
  <c r="BM61" i="118"/>
  <c r="AU61" i="118"/>
  <c r="BM76" i="118"/>
  <c r="AU76" i="118"/>
  <c r="BM71" i="118"/>
  <c r="AU71" i="118"/>
  <c r="BM60" i="118"/>
  <c r="AU60" i="118"/>
  <c r="T58" i="118"/>
  <c r="U58" i="118" s="1"/>
  <c r="S59" i="118" s="1"/>
  <c r="T59" i="118" s="1"/>
  <c r="U59" i="118" s="1"/>
  <c r="S60" i="118" s="1"/>
  <c r="T60" i="118" s="1"/>
  <c r="U60" i="118" s="1"/>
  <c r="S61" i="118" s="1"/>
  <c r="T61" i="118" s="1"/>
  <c r="U61" i="118" s="1"/>
  <c r="S62" i="118" s="1"/>
  <c r="T62" i="118" s="1"/>
  <c r="U62" i="118" s="1"/>
  <c r="S63" i="118" s="1"/>
  <c r="T63" i="118" s="1"/>
  <c r="U63" i="118" s="1"/>
  <c r="S64" i="118" s="1"/>
  <c r="T64" i="118" s="1"/>
  <c r="U64" i="118" s="1"/>
  <c r="S65" i="118" s="1"/>
  <c r="T65" i="118" s="1"/>
  <c r="U65" i="118" s="1"/>
  <c r="S66" i="118" s="1"/>
  <c r="T66" i="118" s="1"/>
  <c r="U66" i="118" s="1"/>
  <c r="S67" i="118" s="1"/>
  <c r="T67" i="118" s="1"/>
  <c r="U67" i="118" s="1"/>
  <c r="S68" i="118" s="1"/>
  <c r="T68" i="118" s="1"/>
  <c r="U68" i="118" s="1"/>
  <c r="S69" i="118" s="1"/>
  <c r="T69" i="118" s="1"/>
  <c r="U69" i="118" s="1"/>
  <c r="S70" i="118" s="1"/>
  <c r="T70" i="118" s="1"/>
  <c r="U70" i="118" s="1"/>
  <c r="S71" i="118" s="1"/>
  <c r="T71" i="118" s="1"/>
  <c r="U71" i="118" s="1"/>
  <c r="S72" i="118" s="1"/>
  <c r="T72" i="118" s="1"/>
  <c r="U72" i="118" s="1"/>
  <c r="S73" i="118" s="1"/>
  <c r="T73" i="118" s="1"/>
  <c r="U73" i="118" s="1"/>
  <c r="S74" i="118" s="1"/>
  <c r="T74" i="118" s="1"/>
  <c r="U74" i="118" s="1"/>
  <c r="S75" i="118" s="1"/>
  <c r="T75" i="118" s="1"/>
  <c r="U75" i="118" s="1"/>
  <c r="S76" i="118" s="1"/>
  <c r="T76" i="118" s="1"/>
  <c r="U76" i="118" s="1"/>
  <c r="S77" i="118" s="1"/>
  <c r="T77" i="118" s="1"/>
  <c r="U77" i="118" s="1"/>
  <c r="S78" i="118" s="1"/>
  <c r="T78" i="118" s="1"/>
  <c r="U78" i="118" s="1"/>
  <c r="S79" i="118" s="1"/>
  <c r="T79" i="118" s="1"/>
  <c r="U79" i="118" s="1"/>
  <c r="S80" i="118" s="1"/>
  <c r="T80" i="118" s="1"/>
  <c r="U80" i="118" s="1"/>
  <c r="S81" i="118" s="1"/>
  <c r="T81" i="118" s="1"/>
  <c r="U81" i="118" s="1"/>
  <c r="S82" i="118" s="1"/>
  <c r="T82" i="118" s="1"/>
  <c r="U82" i="118" s="1"/>
  <c r="S83" i="118" s="1"/>
  <c r="T83" i="118" s="1"/>
  <c r="U83" i="118" s="1"/>
  <c r="S84" i="118" s="1"/>
  <c r="T84" i="118" s="1"/>
  <c r="U84" i="118" s="1"/>
  <c r="S85" i="118" s="1"/>
  <c r="T85" i="118" s="1"/>
  <c r="U85" i="118" s="1"/>
  <c r="S86" i="118" s="1"/>
  <c r="T86" i="118" s="1"/>
  <c r="U86" i="118" s="1"/>
  <c r="S87" i="118" s="1"/>
  <c r="T87" i="118" s="1"/>
  <c r="U87" i="118" s="1"/>
  <c r="S88" i="118" s="1"/>
  <c r="T88" i="118" s="1"/>
  <c r="U88" i="118" s="1"/>
  <c r="S89" i="118" s="1"/>
  <c r="T89" i="118" s="1"/>
  <c r="U89" i="118" s="1"/>
  <c r="S90" i="118" s="1"/>
  <c r="T90" i="118" s="1"/>
  <c r="U90" i="118" s="1"/>
  <c r="S91" i="118" s="1"/>
  <c r="T91" i="118" s="1"/>
  <c r="U91" i="118" s="1"/>
  <c r="S92" i="118" s="1"/>
  <c r="T92" i="118" s="1"/>
  <c r="U92" i="118" s="1"/>
  <c r="S93" i="118" s="1"/>
  <c r="T93" i="118" s="1"/>
  <c r="U93" i="118" s="1"/>
  <c r="S94" i="118" s="1"/>
  <c r="T94" i="118" s="1"/>
  <c r="U94" i="118" s="1"/>
  <c r="S95" i="118" s="1"/>
  <c r="T95" i="118" s="1"/>
  <c r="U95" i="118" s="1"/>
  <c r="S96" i="118" s="1"/>
  <c r="T96" i="118" s="1"/>
  <c r="U96" i="118" s="1"/>
  <c r="S97" i="118" s="1"/>
  <c r="T97" i="118" s="1"/>
  <c r="U97" i="118" s="1"/>
  <c r="S98" i="118" s="1"/>
  <c r="T98" i="118" s="1"/>
  <c r="U98" i="118" s="1"/>
  <c r="S99" i="118" s="1"/>
  <c r="T99" i="118" s="1"/>
  <c r="U99" i="118" s="1"/>
  <c r="S100" i="118" s="1"/>
  <c r="T100" i="118" s="1"/>
  <c r="U100" i="118" s="1"/>
  <c r="S101" i="118" s="1"/>
  <c r="T101" i="118" s="1"/>
  <c r="U101" i="118" s="1"/>
  <c r="S102" i="118" s="1"/>
  <c r="T102" i="118" s="1"/>
  <c r="U102" i="118" s="1"/>
  <c r="S103" i="118" s="1"/>
  <c r="T103" i="118" s="1"/>
  <c r="U103" i="118" s="1"/>
  <c r="S104" i="118" s="1"/>
  <c r="T104" i="118" s="1"/>
  <c r="U104" i="118" s="1"/>
  <c r="S105" i="118" s="1"/>
  <c r="T105" i="118" s="1"/>
  <c r="U105" i="118" s="1"/>
  <c r="S106" i="118" s="1"/>
  <c r="T106" i="118" s="1"/>
  <c r="U106" i="118" s="1"/>
  <c r="S107" i="118" s="1"/>
  <c r="T107" i="118" s="1"/>
  <c r="U107" i="118" s="1"/>
  <c r="BM58" i="118"/>
  <c r="AU58" i="118"/>
  <c r="BD58" i="118" s="1"/>
  <c r="Q54" i="118"/>
  <c r="AU59" i="118"/>
  <c r="BM59" i="118"/>
  <c r="BM80" i="118"/>
  <c r="AU80" i="118"/>
  <c r="AU72" i="118"/>
  <c r="BM72" i="118"/>
  <c r="AU77" i="118"/>
  <c r="BM77" i="118"/>
  <c r="AU75" i="118"/>
  <c r="BM75" i="118"/>
  <c r="AU69" i="118"/>
  <c r="BM69" i="118"/>
  <c r="BM64" i="118"/>
  <c r="AU64" i="118"/>
  <c r="AU62" i="118"/>
  <c r="BM62" i="118"/>
  <c r="BM78" i="118"/>
  <c r="AU78" i="118"/>
  <c r="AU73" i="118"/>
  <c r="BM73" i="118"/>
  <c r="AU81" i="118"/>
  <c r="BM81" i="118"/>
  <c r="N58" i="118"/>
  <c r="P58" i="118"/>
  <c r="AU63" i="118"/>
  <c r="BM63" i="118"/>
  <c r="BM82" i="118"/>
  <c r="AU82" i="118"/>
  <c r="BM79" i="118"/>
  <c r="AU79" i="118"/>
  <c r="AU74" i="118"/>
  <c r="BM74" i="118"/>
  <c r="BM68" i="118"/>
  <c r="AU68" i="118"/>
  <c r="AU67" i="118"/>
  <c r="BM67" i="118"/>
  <c r="BM66" i="118"/>
  <c r="AU66" i="118"/>
  <c r="BM70" i="118"/>
  <c r="AU70" i="118"/>
  <c r="AU65" i="118"/>
  <c r="BM65" i="118"/>
  <c r="BN339" i="118"/>
  <c r="BN353" i="118"/>
  <c r="AV354" i="118"/>
  <c r="BN334" i="118"/>
  <c r="AV356" i="118"/>
  <c r="AV371" i="118"/>
  <c r="AV341" i="118"/>
  <c r="BN330" i="118"/>
  <c r="AV369" i="118"/>
  <c r="BN326" i="118"/>
  <c r="BN364" i="118"/>
  <c r="BN329" i="118"/>
  <c r="BN360" i="118"/>
  <c r="AV362" i="118"/>
  <c r="AV347" i="118"/>
  <c r="AV333" i="118"/>
  <c r="BN357" i="118"/>
  <c r="AV351" i="118"/>
  <c r="BN363" i="118"/>
  <c r="BN370" i="118"/>
  <c r="AV359" i="118"/>
  <c r="AV361" i="118"/>
  <c r="AV348" i="118"/>
  <c r="AV327" i="118"/>
  <c r="BE327" i="118" s="1"/>
  <c r="AV365" i="118"/>
  <c r="BN346" i="118"/>
  <c r="BN366" i="118"/>
  <c r="AV367" i="118"/>
  <c r="AV352" i="118"/>
  <c r="BN343" i="118"/>
  <c r="AV328" i="118"/>
  <c r="AV345" i="118"/>
  <c r="BN332" i="118"/>
  <c r="R327" i="118"/>
  <c r="AU327" i="118" s="1"/>
  <c r="R350" i="118"/>
  <c r="BM350" i="118" s="1"/>
  <c r="R330" i="118"/>
  <c r="BM330" i="118" s="1"/>
  <c r="R337" i="118"/>
  <c r="BM337" i="118" s="1"/>
  <c r="R332" i="118"/>
  <c r="AU332" i="118" s="1"/>
  <c r="BN195" i="118"/>
  <c r="R346" i="118"/>
  <c r="BM346" i="118" s="1"/>
  <c r="AV227" i="118"/>
  <c r="BN203" i="118"/>
  <c r="Y228" i="115"/>
  <c r="Z228" i="115" s="1"/>
  <c r="AA228" i="115" s="1"/>
  <c r="AU747" i="29" s="1"/>
  <c r="Y164" i="115"/>
  <c r="Z164" i="115" s="1"/>
  <c r="AA164" i="115" s="1"/>
  <c r="AU572" i="29" s="1"/>
  <c r="Y101" i="115"/>
  <c r="Z101" i="115" s="1"/>
  <c r="AA101" i="115" s="1"/>
  <c r="AU396" i="29" s="1"/>
  <c r="BN235" i="118"/>
  <c r="AV234" i="118"/>
  <c r="AV198" i="118"/>
  <c r="AV228" i="118"/>
  <c r="AV217" i="118"/>
  <c r="AV215" i="118"/>
  <c r="BN240" i="118"/>
  <c r="Y39" i="115"/>
  <c r="Z39" i="115" s="1"/>
  <c r="AA39" i="115" s="1"/>
  <c r="AU223" i="29" s="1"/>
  <c r="AV199" i="118"/>
  <c r="BN230" i="118"/>
  <c r="BN206" i="118"/>
  <c r="BN204" i="118"/>
  <c r="AV214" i="118"/>
  <c r="AV209" i="118"/>
  <c r="BN226" i="118"/>
  <c r="BN232" i="118"/>
  <c r="AV201" i="118"/>
  <c r="AV205" i="118"/>
  <c r="BN212" i="118"/>
  <c r="BN218" i="118"/>
  <c r="AV193" i="118"/>
  <c r="BN225" i="118"/>
  <c r="BN239" i="118"/>
  <c r="BN236" i="118"/>
  <c r="AV229" i="118"/>
  <c r="BN208" i="118"/>
  <c r="BN197" i="118"/>
  <c r="AV222" i="118"/>
  <c r="AV241" i="118"/>
  <c r="BN200" i="118"/>
  <c r="BN223" i="118"/>
  <c r="AV210" i="118"/>
  <c r="AV211" i="118"/>
  <c r="BN220" i="118"/>
  <c r="BN207" i="118"/>
  <c r="BN219" i="118"/>
  <c r="BN233" i="118"/>
  <c r="AV202" i="118"/>
  <c r="BN194" i="118"/>
  <c r="BN213" i="118"/>
  <c r="AV231" i="118"/>
  <c r="BN196" i="118"/>
  <c r="AV237" i="118"/>
  <c r="AV221" i="118"/>
  <c r="BN238" i="118"/>
  <c r="AV192" i="118"/>
  <c r="BE192" i="118" s="1"/>
  <c r="BN216" i="118"/>
  <c r="H20" i="111"/>
  <c r="AF727" i="29"/>
  <c r="H25" i="111"/>
  <c r="G25" i="111"/>
  <c r="H20" i="114"/>
  <c r="F25" i="114"/>
  <c r="K447" i="118"/>
  <c r="R448" i="118" s="1"/>
  <c r="I448" i="118"/>
  <c r="I583" i="118"/>
  <c r="K582" i="118"/>
  <c r="R583" i="118" s="1"/>
  <c r="Y290" i="115"/>
  <c r="Z290" i="115" s="1"/>
  <c r="AA290" i="115" s="1"/>
  <c r="AU919" i="29" s="1"/>
  <c r="BM372" i="118"/>
  <c r="AU372" i="118"/>
  <c r="BM367" i="118"/>
  <c r="AU367" i="118"/>
  <c r="BM369" i="118"/>
  <c r="AU369" i="118"/>
  <c r="BM366" i="118"/>
  <c r="AU366" i="118"/>
  <c r="BM371" i="118"/>
  <c r="AU371" i="118"/>
  <c r="BM373" i="118"/>
  <c r="AU373" i="118"/>
  <c r="AU370" i="118"/>
  <c r="BM370" i="118"/>
  <c r="R504" i="118"/>
  <c r="R509" i="118"/>
  <c r="R507" i="118"/>
  <c r="R508" i="118"/>
  <c r="R502" i="118"/>
  <c r="R501" i="118"/>
  <c r="R506" i="118"/>
  <c r="R500" i="118"/>
  <c r="R505" i="118"/>
  <c r="R503" i="118"/>
  <c r="AU368" i="118"/>
  <c r="BM368" i="118"/>
  <c r="AU374" i="118"/>
  <c r="BM374" i="118"/>
  <c r="BM375" i="118"/>
  <c r="AU375" i="118"/>
  <c r="R489" i="118"/>
  <c r="R486" i="118"/>
  <c r="R494" i="118"/>
  <c r="R493" i="118"/>
  <c r="R491" i="118"/>
  <c r="R498" i="118"/>
  <c r="R487" i="118"/>
  <c r="R485" i="118"/>
  <c r="R497" i="118"/>
  <c r="R499" i="118"/>
  <c r="R488" i="118"/>
  <c r="R496" i="118"/>
  <c r="R490" i="118"/>
  <c r="R492" i="118"/>
  <c r="R495" i="118"/>
  <c r="AU363" i="118"/>
  <c r="BM363" i="118"/>
  <c r="BM357" i="118"/>
  <c r="AU357" i="118"/>
  <c r="BM339" i="118"/>
  <c r="AU361" i="118"/>
  <c r="BM361" i="118"/>
  <c r="BM352" i="118"/>
  <c r="AU352" i="118"/>
  <c r="BM365" i="118"/>
  <c r="AU365" i="118"/>
  <c r="AU362" i="118"/>
  <c r="BM362" i="118"/>
  <c r="BM356" i="118"/>
  <c r="AU356" i="118"/>
  <c r="AU358" i="118"/>
  <c r="BM358" i="118"/>
  <c r="AU360" i="118"/>
  <c r="BM360" i="118"/>
  <c r="BM364" i="118"/>
  <c r="AU364" i="118"/>
  <c r="BM355" i="118"/>
  <c r="AU355" i="118"/>
  <c r="BM359" i="118"/>
  <c r="AU359" i="118"/>
  <c r="AU354" i="118"/>
  <c r="BM354" i="118"/>
  <c r="AU351" i="118"/>
  <c r="BM351" i="118"/>
  <c r="AU353" i="118"/>
  <c r="BM353" i="118"/>
  <c r="Q325" i="118"/>
  <c r="AC307" i="118"/>
  <c r="AC310" i="118"/>
  <c r="S318" i="118"/>
  <c r="AC306" i="118"/>
  <c r="AC309" i="118"/>
  <c r="AC308" i="118"/>
  <c r="N9" i="118"/>
  <c r="Y58" i="118"/>
  <c r="AA58" i="118"/>
  <c r="AB58" i="118" s="1"/>
  <c r="X192" i="118"/>
  <c r="BD193" i="118"/>
  <c r="BD194" i="118" s="1"/>
  <c r="BD195" i="118" s="1"/>
  <c r="BD196" i="118" s="1"/>
  <c r="BD197" i="118" s="1"/>
  <c r="BD198" i="118" s="1"/>
  <c r="BD199" i="118" s="1"/>
  <c r="BD200" i="118" s="1"/>
  <c r="BD201" i="118" s="1"/>
  <c r="BD202" i="118" s="1"/>
  <c r="BD203" i="118" s="1"/>
  <c r="BD204" i="118" s="1"/>
  <c r="BD205" i="118" s="1"/>
  <c r="BD206" i="118" s="1"/>
  <c r="BD207" i="118" s="1"/>
  <c r="BD208" i="118" s="1"/>
  <c r="BD209" i="118" s="1"/>
  <c r="BD210" i="118" s="1"/>
  <c r="BD211" i="118" s="1"/>
  <c r="BD212" i="118" s="1"/>
  <c r="BD213" i="118" s="1"/>
  <c r="BD214" i="118" s="1"/>
  <c r="BD215" i="118" s="1"/>
  <c r="BD216" i="118" s="1"/>
  <c r="BD217" i="118" s="1"/>
  <c r="BD218" i="118" s="1"/>
  <c r="BD219" i="118" s="1"/>
  <c r="BD220" i="118" s="1"/>
  <c r="BD221" i="118" s="1"/>
  <c r="BD222" i="118" s="1"/>
  <c r="BD223" i="118" s="1"/>
  <c r="BD224" i="118" s="1"/>
  <c r="BD225" i="118" s="1"/>
  <c r="BD226" i="118" s="1"/>
  <c r="BD227" i="118" s="1"/>
  <c r="BD228" i="118" s="1"/>
  <c r="BD229" i="118" s="1"/>
  <c r="BD230" i="118" s="1"/>
  <c r="BD231" i="118" s="1"/>
  <c r="BD232" i="118" s="1"/>
  <c r="BD233" i="118" s="1"/>
  <c r="BD234" i="118" s="1"/>
  <c r="BD235" i="118" s="1"/>
  <c r="BD236" i="118" s="1"/>
  <c r="BD237" i="118" s="1"/>
  <c r="BD238" i="118" s="1"/>
  <c r="BD239" i="118" s="1"/>
  <c r="BD240" i="118" s="1"/>
  <c r="BD241" i="118" s="1"/>
  <c r="AE230" i="115"/>
  <c r="AV749" i="29" s="1"/>
  <c r="AE41" i="115"/>
  <c r="AV225" i="29" s="1"/>
  <c r="AE103" i="115"/>
  <c r="AV398" i="29" s="1"/>
  <c r="AE292" i="115"/>
  <c r="AV921" i="29" s="1"/>
  <c r="AE166" i="115"/>
  <c r="AV574" i="29" s="1"/>
  <c r="AB289" i="115"/>
  <c r="BK918" i="29" s="1"/>
  <c r="V165" i="115"/>
  <c r="T165" i="115"/>
  <c r="W165" i="115" s="1"/>
  <c r="X165" i="115" s="1"/>
  <c r="Q167" i="115"/>
  <c r="R167" i="115" s="1"/>
  <c r="AD167" i="115"/>
  <c r="P168" i="115"/>
  <c r="AC167" i="115"/>
  <c r="Q42" i="115"/>
  <c r="R42" i="115" s="1"/>
  <c r="S42" i="115" s="1"/>
  <c r="T42" i="115" s="1"/>
  <c r="AB38" i="115"/>
  <c r="BK222" i="29" s="1"/>
  <c r="AB227" i="115"/>
  <c r="BK746" i="29" s="1"/>
  <c r="AB163" i="115"/>
  <c r="BK571" i="29" s="1"/>
  <c r="U166" i="115"/>
  <c r="S166" i="115"/>
  <c r="AB100" i="115"/>
  <c r="BK395" i="29" s="1"/>
  <c r="T291" i="115"/>
  <c r="W291" i="115" s="1"/>
  <c r="X291" i="115" s="1"/>
  <c r="V291" i="115"/>
  <c r="U230" i="115"/>
  <c r="S230" i="115"/>
  <c r="AC231" i="115"/>
  <c r="Q231" i="115"/>
  <c r="R231" i="115" s="1"/>
  <c r="AD231" i="115"/>
  <c r="P232" i="115"/>
  <c r="AC104" i="115"/>
  <c r="Q104" i="115"/>
  <c r="R104" i="115" s="1"/>
  <c r="AD104" i="115"/>
  <c r="P105" i="115"/>
  <c r="U103" i="115"/>
  <c r="S103" i="115"/>
  <c r="T102" i="115"/>
  <c r="W102" i="115" s="1"/>
  <c r="X102" i="115" s="1"/>
  <c r="V102" i="115"/>
  <c r="S292" i="115"/>
  <c r="U292" i="115"/>
  <c r="T229" i="115"/>
  <c r="W229" i="115" s="1"/>
  <c r="X229" i="115" s="1"/>
  <c r="V229" i="115"/>
  <c r="AC293" i="115"/>
  <c r="Q293" i="115"/>
  <c r="R293" i="115" s="1"/>
  <c r="AD293" i="115"/>
  <c r="P294" i="115"/>
  <c r="AC42" i="115"/>
  <c r="P43" i="115"/>
  <c r="AD42" i="115"/>
  <c r="U41" i="115"/>
  <c r="V40" i="115"/>
  <c r="W40" i="115"/>
  <c r="X40" i="115" s="1"/>
  <c r="Y40" i="115" s="1"/>
  <c r="Z40" i="115" s="1"/>
  <c r="AH909" i="29"/>
  <c r="AI909" i="29" s="1"/>
  <c r="AJ909" i="29" s="1"/>
  <c r="AG910" i="29" s="1"/>
  <c r="AH736" i="29"/>
  <c r="AI736" i="29" s="1"/>
  <c r="AJ736" i="29" s="1"/>
  <c r="AG737" i="29" s="1"/>
  <c r="AH561" i="29"/>
  <c r="G152" i="29"/>
  <c r="R343" i="118" l="1"/>
  <c r="BM343" i="118" s="1"/>
  <c r="R334" i="118"/>
  <c r="AU334" i="118" s="1"/>
  <c r="R338" i="118"/>
  <c r="AU338" i="118" s="1"/>
  <c r="R342" i="118"/>
  <c r="AU342" i="118" s="1"/>
  <c r="R326" i="118"/>
  <c r="BM326" i="118" s="1"/>
  <c r="R348" i="118"/>
  <c r="BM348" i="118" s="1"/>
  <c r="R345" i="118"/>
  <c r="BM345" i="118" s="1"/>
  <c r="R335" i="118"/>
  <c r="BM335" i="118" s="1"/>
  <c r="U325" i="118"/>
  <c r="S326" i="118" s="1"/>
  <c r="R329" i="118"/>
  <c r="AU329" i="118" s="1"/>
  <c r="R347" i="118"/>
  <c r="BM347" i="118" s="1"/>
  <c r="R336" i="118"/>
  <c r="BM336" i="118" s="1"/>
  <c r="R340" i="118"/>
  <c r="BM340" i="118" s="1"/>
  <c r="R349" i="118"/>
  <c r="AU349" i="118" s="1"/>
  <c r="R341" i="118"/>
  <c r="AU341" i="118" s="1"/>
  <c r="R328" i="118"/>
  <c r="AU328" i="118" s="1"/>
  <c r="R331" i="118"/>
  <c r="BM331" i="118" s="1"/>
  <c r="R344" i="118"/>
  <c r="AU344" i="118" s="1"/>
  <c r="R333" i="118"/>
  <c r="AU333" i="118" s="1"/>
  <c r="BD59" i="118"/>
  <c r="BD60" i="118" s="1"/>
  <c r="BD61" i="118" s="1"/>
  <c r="BD62" i="118" s="1"/>
  <c r="BD63" i="118" s="1"/>
  <c r="BD64" i="118" s="1"/>
  <c r="BD65" i="118" s="1"/>
  <c r="BD66" i="118" s="1"/>
  <c r="BD67" i="118" s="1"/>
  <c r="BD68" i="118" s="1"/>
  <c r="BD69" i="118" s="1"/>
  <c r="BD70" i="118" s="1"/>
  <c r="BD71" i="118" s="1"/>
  <c r="BD72" i="118" s="1"/>
  <c r="BD73" i="118" s="1"/>
  <c r="BD74" i="118" s="1"/>
  <c r="BD75" i="118" s="1"/>
  <c r="BD76" i="118" s="1"/>
  <c r="BD77" i="118" s="1"/>
  <c r="BD78" i="118" s="1"/>
  <c r="BD79" i="118" s="1"/>
  <c r="BD80" i="118" s="1"/>
  <c r="BD81" i="118" s="1"/>
  <c r="BD82" i="118" s="1"/>
  <c r="BD83" i="118" s="1"/>
  <c r="BD84" i="118" s="1"/>
  <c r="BD85" i="118" s="1"/>
  <c r="BD86" i="118" s="1"/>
  <c r="BD87" i="118" s="1"/>
  <c r="BD88" i="118" s="1"/>
  <c r="BD89" i="118" s="1"/>
  <c r="BD90" i="118" s="1"/>
  <c r="BD91" i="118" s="1"/>
  <c r="BD92" i="118" s="1"/>
  <c r="BD93" i="118" s="1"/>
  <c r="BD94" i="118" s="1"/>
  <c r="BD95" i="118" s="1"/>
  <c r="BD96" i="118" s="1"/>
  <c r="BD97" i="118" s="1"/>
  <c r="BD98" i="118" s="1"/>
  <c r="BD99" i="118" s="1"/>
  <c r="BD100" i="118" s="1"/>
  <c r="BD101" i="118" s="1"/>
  <c r="BD102" i="118" s="1"/>
  <c r="BD103" i="118" s="1"/>
  <c r="BD104" i="118" s="1"/>
  <c r="BD105" i="118" s="1"/>
  <c r="BD106" i="118" s="1"/>
  <c r="BD107" i="118" s="1"/>
  <c r="X58" i="118"/>
  <c r="AH58" i="118" s="1"/>
  <c r="BE328" i="118"/>
  <c r="BE329" i="118" s="1"/>
  <c r="BE330" i="118" s="1"/>
  <c r="BE331" i="118" s="1"/>
  <c r="BE332" i="118" s="1"/>
  <c r="BE333" i="118" s="1"/>
  <c r="BE334" i="118" s="1"/>
  <c r="BE335" i="118" s="1"/>
  <c r="BE336" i="118" s="1"/>
  <c r="BE337" i="118" s="1"/>
  <c r="BE338" i="118" s="1"/>
  <c r="BE339" i="118" s="1"/>
  <c r="BE340" i="118" s="1"/>
  <c r="BE341" i="118" s="1"/>
  <c r="BE342" i="118" s="1"/>
  <c r="BE343" i="118" s="1"/>
  <c r="BE344" i="118" s="1"/>
  <c r="BE345" i="118" s="1"/>
  <c r="BE346" i="118" s="1"/>
  <c r="BE347" i="118" s="1"/>
  <c r="BE348" i="118" s="1"/>
  <c r="BE349" i="118" s="1"/>
  <c r="BE350" i="118" s="1"/>
  <c r="BE351" i="118" s="1"/>
  <c r="BE352" i="118" s="1"/>
  <c r="BE353" i="118" s="1"/>
  <c r="BE354" i="118" s="1"/>
  <c r="BE355" i="118" s="1"/>
  <c r="BE356" i="118" s="1"/>
  <c r="BE357" i="118" s="1"/>
  <c r="BE358" i="118" s="1"/>
  <c r="BE359" i="118" s="1"/>
  <c r="BE360" i="118" s="1"/>
  <c r="BE361" i="118" s="1"/>
  <c r="BE362" i="118" s="1"/>
  <c r="BE363" i="118" s="1"/>
  <c r="BE364" i="118" s="1"/>
  <c r="BE365" i="118" s="1"/>
  <c r="BE366" i="118" s="1"/>
  <c r="BE367" i="118" s="1"/>
  <c r="BE368" i="118" s="1"/>
  <c r="BE369" i="118" s="1"/>
  <c r="BE370" i="118" s="1"/>
  <c r="BE371" i="118" s="1"/>
  <c r="BE372" i="118" s="1"/>
  <c r="BE373" i="118" s="1"/>
  <c r="BE374" i="118" s="1"/>
  <c r="BE375" i="118" s="1"/>
  <c r="BM327" i="118"/>
  <c r="T326" i="118"/>
  <c r="U326" i="118" s="1"/>
  <c r="S327" i="118" s="1"/>
  <c r="T327" i="118" s="1"/>
  <c r="U327" i="118" s="1"/>
  <c r="S328" i="118" s="1"/>
  <c r="AU350" i="118"/>
  <c r="AU337" i="118"/>
  <c r="AU330" i="118"/>
  <c r="BM334" i="118"/>
  <c r="BM332" i="118"/>
  <c r="AU343" i="118"/>
  <c r="AU346" i="118"/>
  <c r="Y229" i="115"/>
  <c r="Z229" i="115" s="1"/>
  <c r="AA229" i="115" s="1"/>
  <c r="AU748" i="29" s="1"/>
  <c r="Y102" i="115"/>
  <c r="Z102" i="115" s="1"/>
  <c r="AA102" i="115" s="1"/>
  <c r="AU397" i="29" s="1"/>
  <c r="BE193" i="118"/>
  <c r="BE194" i="118" s="1"/>
  <c r="BE195" i="118" s="1"/>
  <c r="BE196" i="118" s="1"/>
  <c r="BE197" i="118" s="1"/>
  <c r="BE198" i="118" s="1"/>
  <c r="BE199" i="118" s="1"/>
  <c r="BE200" i="118" s="1"/>
  <c r="BE201" i="118" s="1"/>
  <c r="BE202" i="118" s="1"/>
  <c r="BE203" i="118" s="1"/>
  <c r="BE204" i="118" s="1"/>
  <c r="BE205" i="118" s="1"/>
  <c r="BE206" i="118" s="1"/>
  <c r="BE207" i="118" s="1"/>
  <c r="BE208" i="118" s="1"/>
  <c r="BE209" i="118" s="1"/>
  <c r="BE210" i="118" s="1"/>
  <c r="BE211" i="118" s="1"/>
  <c r="BE212" i="118" s="1"/>
  <c r="BE213" i="118" s="1"/>
  <c r="BE214" i="118" s="1"/>
  <c r="BE215" i="118" s="1"/>
  <c r="BE216" i="118" s="1"/>
  <c r="BE217" i="118" s="1"/>
  <c r="BE218" i="118" s="1"/>
  <c r="BE219" i="118" s="1"/>
  <c r="BE220" i="118" s="1"/>
  <c r="BE221" i="118" s="1"/>
  <c r="BE222" i="118" s="1"/>
  <c r="BE223" i="118" s="1"/>
  <c r="BE224" i="118" s="1"/>
  <c r="BE225" i="118" s="1"/>
  <c r="BE226" i="118" s="1"/>
  <c r="BE227" i="118" s="1"/>
  <c r="BE228" i="118" s="1"/>
  <c r="BE229" i="118" s="1"/>
  <c r="BE230" i="118" s="1"/>
  <c r="BE231" i="118" s="1"/>
  <c r="BE232" i="118" s="1"/>
  <c r="BE233" i="118" s="1"/>
  <c r="BE234" i="118" s="1"/>
  <c r="BE235" i="118" s="1"/>
  <c r="BE236" i="118" s="1"/>
  <c r="BE237" i="118" s="1"/>
  <c r="BE238" i="118" s="1"/>
  <c r="BE239" i="118" s="1"/>
  <c r="BE240" i="118" s="1"/>
  <c r="BE241" i="118" s="1"/>
  <c r="I582" i="118"/>
  <c r="I447" i="118"/>
  <c r="I25" i="111"/>
  <c r="AC728" i="29" s="1"/>
  <c r="AF900" i="29"/>
  <c r="H25" i="114"/>
  <c r="G25" i="114"/>
  <c r="AK727" i="29"/>
  <c r="AD728" i="29"/>
  <c r="Y291" i="115"/>
  <c r="Z291" i="115" s="1"/>
  <c r="AA291" i="115" s="1"/>
  <c r="AU920" i="29" s="1"/>
  <c r="R637" i="118"/>
  <c r="R638" i="118"/>
  <c r="R639" i="118"/>
  <c r="R641" i="118"/>
  <c r="R636" i="118"/>
  <c r="R642" i="118"/>
  <c r="R635" i="118"/>
  <c r="R640" i="118"/>
  <c r="R643" i="118"/>
  <c r="R644" i="118"/>
  <c r="BM503" i="118"/>
  <c r="AU503" i="118"/>
  <c r="AU501" i="118"/>
  <c r="BM501" i="118"/>
  <c r="AU509" i="118"/>
  <c r="BM509" i="118"/>
  <c r="AU505" i="118"/>
  <c r="BM505" i="118"/>
  <c r="BM502" i="118"/>
  <c r="AU502" i="118"/>
  <c r="AU504" i="118"/>
  <c r="BM504" i="118"/>
  <c r="BM500" i="118"/>
  <c r="AU500" i="118"/>
  <c r="BM508" i="118"/>
  <c r="AU508" i="118"/>
  <c r="BM506" i="118"/>
  <c r="AU506" i="118"/>
  <c r="AU507" i="118"/>
  <c r="BM507" i="118"/>
  <c r="Y165" i="115"/>
  <c r="Z165" i="115" s="1"/>
  <c r="AA165" i="115" s="1"/>
  <c r="AU573" i="29" s="1"/>
  <c r="BM492" i="118"/>
  <c r="AU492" i="118"/>
  <c r="BM496" i="118"/>
  <c r="AU496" i="118"/>
  <c r="BM497" i="118"/>
  <c r="AU497" i="118"/>
  <c r="BM493" i="118"/>
  <c r="AU493" i="118"/>
  <c r="BM489" i="118"/>
  <c r="AU489" i="118"/>
  <c r="AU488" i="118"/>
  <c r="BM488" i="118"/>
  <c r="AU499" i="118"/>
  <c r="BM499" i="118"/>
  <c r="AU487" i="118"/>
  <c r="BM487" i="118"/>
  <c r="BM491" i="118"/>
  <c r="AU491" i="118"/>
  <c r="AU494" i="118"/>
  <c r="BM494" i="118"/>
  <c r="AU495" i="118"/>
  <c r="BM495" i="118"/>
  <c r="AU490" i="118"/>
  <c r="BM490" i="118"/>
  <c r="AU498" i="118"/>
  <c r="BM498" i="118"/>
  <c r="AU485" i="118"/>
  <c r="BM485" i="118"/>
  <c r="BM486" i="118"/>
  <c r="AU486" i="118"/>
  <c r="R634" i="118"/>
  <c r="R629" i="118"/>
  <c r="R623" i="118"/>
  <c r="R627" i="118"/>
  <c r="R628" i="118"/>
  <c r="R622" i="118"/>
  <c r="R632" i="118"/>
  <c r="R620" i="118"/>
  <c r="R621" i="118"/>
  <c r="R631" i="118"/>
  <c r="R626" i="118"/>
  <c r="R624" i="118"/>
  <c r="R625" i="118"/>
  <c r="R630" i="118"/>
  <c r="R633" i="118"/>
  <c r="AD556" i="29"/>
  <c r="AC556" i="29"/>
  <c r="N326" i="118"/>
  <c r="P326" i="118"/>
  <c r="AC58" i="118"/>
  <c r="AW58" i="118"/>
  <c r="BF58" i="118" s="1"/>
  <c r="Z58" i="118"/>
  <c r="AQ58" i="118"/>
  <c r="BO58" i="118"/>
  <c r="Y192" i="118"/>
  <c r="AC192" i="118" s="1"/>
  <c r="AA192" i="118"/>
  <c r="AB192" i="118" s="1"/>
  <c r="AE167" i="115"/>
  <c r="AV575" i="29" s="1"/>
  <c r="AE231" i="115"/>
  <c r="AV750" i="29" s="1"/>
  <c r="AE42" i="115"/>
  <c r="AV226" i="29" s="1"/>
  <c r="AE293" i="115"/>
  <c r="AV922" i="29" s="1"/>
  <c r="AE104" i="115"/>
  <c r="AV399" i="29" s="1"/>
  <c r="V166" i="115"/>
  <c r="T166" i="115"/>
  <c r="W166" i="115" s="1"/>
  <c r="X166" i="115" s="1"/>
  <c r="AA40" i="115"/>
  <c r="AU224" i="29" s="1"/>
  <c r="Q43" i="115"/>
  <c r="R43" i="115" s="1"/>
  <c r="S43" i="115" s="1"/>
  <c r="T43" i="115" s="1"/>
  <c r="P169" i="115"/>
  <c r="AC168" i="115"/>
  <c r="AD168" i="115"/>
  <c r="Q168" i="115"/>
  <c r="R168" i="115" s="1"/>
  <c r="AB39" i="115"/>
  <c r="BK223" i="29" s="1"/>
  <c r="AB290" i="115"/>
  <c r="BK919" i="29" s="1"/>
  <c r="AB101" i="115"/>
  <c r="BK396" i="29" s="1"/>
  <c r="U167" i="115"/>
  <c r="S167" i="115"/>
  <c r="AB164" i="115"/>
  <c r="BK572" i="29" s="1"/>
  <c r="AB228" i="115"/>
  <c r="BK747" i="29" s="1"/>
  <c r="AX204" i="29"/>
  <c r="AX728" i="29"/>
  <c r="AX554" i="29"/>
  <c r="AX378" i="29"/>
  <c r="AC294" i="115"/>
  <c r="Q294" i="115"/>
  <c r="R294" i="115" s="1"/>
  <c r="AD294" i="115"/>
  <c r="P295" i="115"/>
  <c r="T292" i="115"/>
  <c r="W292" i="115" s="1"/>
  <c r="X292" i="115" s="1"/>
  <c r="V292" i="115"/>
  <c r="T103" i="115"/>
  <c r="W103" i="115" s="1"/>
  <c r="X103" i="115" s="1"/>
  <c r="Y103" i="115" s="1"/>
  <c r="Z103" i="115" s="1"/>
  <c r="V103" i="115"/>
  <c r="S231" i="115"/>
  <c r="U231" i="115"/>
  <c r="T230" i="115"/>
  <c r="W230" i="115" s="1"/>
  <c r="X230" i="115" s="1"/>
  <c r="Y230" i="115" s="1"/>
  <c r="Z230" i="115" s="1"/>
  <c r="V230" i="115"/>
  <c r="U104" i="115"/>
  <c r="S104" i="115"/>
  <c r="AC232" i="115"/>
  <c r="Q232" i="115"/>
  <c r="R232" i="115" s="1"/>
  <c r="AD232" i="115"/>
  <c r="P233" i="115"/>
  <c r="S293" i="115"/>
  <c r="U293" i="115"/>
  <c r="AC105" i="115"/>
  <c r="Q105" i="115"/>
  <c r="R105" i="115" s="1"/>
  <c r="AD105" i="115"/>
  <c r="P106" i="115"/>
  <c r="U42" i="115"/>
  <c r="W41" i="115"/>
  <c r="X41" i="115" s="1"/>
  <c r="Y41" i="115" s="1"/>
  <c r="Z41" i="115" s="1"/>
  <c r="V41" i="115"/>
  <c r="P44" i="115"/>
  <c r="AC43" i="115"/>
  <c r="AD43" i="115"/>
  <c r="P53" i="29"/>
  <c r="AH910" i="29"/>
  <c r="AH737" i="29"/>
  <c r="AI561" i="29"/>
  <c r="AJ561" i="29" s="1"/>
  <c r="AG562" i="29" s="1"/>
  <c r="BM342" i="118" l="1"/>
  <c r="AU326" i="118"/>
  <c r="BD326" i="118" s="1"/>
  <c r="BD327" i="118" s="1"/>
  <c r="BD328" i="118" s="1"/>
  <c r="BD329" i="118" s="1"/>
  <c r="BD330" i="118" s="1"/>
  <c r="AU345" i="118"/>
  <c r="BM338" i="118"/>
  <c r="BM329" i="118"/>
  <c r="AU348" i="118"/>
  <c r="BM349" i="118"/>
  <c r="AU331" i="118"/>
  <c r="AU347" i="118"/>
  <c r="BM344" i="118"/>
  <c r="BM333" i="118"/>
  <c r="AU340" i="118"/>
  <c r="BM328" i="118"/>
  <c r="AU335" i="118"/>
  <c r="AU336" i="118"/>
  <c r="T328" i="118"/>
  <c r="U328" i="118" s="1"/>
  <c r="S329" i="118" s="1"/>
  <c r="T329" i="118" s="1"/>
  <c r="U329" i="118" s="1"/>
  <c r="S330" i="118" s="1"/>
  <c r="T330" i="118" s="1"/>
  <c r="U330" i="118" s="1"/>
  <c r="S331" i="118" s="1"/>
  <c r="T331" i="118" s="1"/>
  <c r="U331" i="118" s="1"/>
  <c r="S332" i="118" s="1"/>
  <c r="T332" i="118" s="1"/>
  <c r="U332" i="118" s="1"/>
  <c r="S333" i="118" s="1"/>
  <c r="T333" i="118" s="1"/>
  <c r="U333" i="118" s="1"/>
  <c r="S334" i="118" s="1"/>
  <c r="T334" i="118" s="1"/>
  <c r="U334" i="118" s="1"/>
  <c r="S335" i="118" s="1"/>
  <c r="T335" i="118" s="1"/>
  <c r="U335" i="118" s="1"/>
  <c r="S336" i="118" s="1"/>
  <c r="T336" i="118" s="1"/>
  <c r="U336" i="118" s="1"/>
  <c r="S337" i="118" s="1"/>
  <c r="T337" i="118" s="1"/>
  <c r="U337" i="118" s="1"/>
  <c r="S338" i="118" s="1"/>
  <c r="T338" i="118" s="1"/>
  <c r="U338" i="118" s="1"/>
  <c r="S339" i="118" s="1"/>
  <c r="T339" i="118" s="1"/>
  <c r="U339" i="118" s="1"/>
  <c r="S340" i="118" s="1"/>
  <c r="T340" i="118" s="1"/>
  <c r="U340" i="118" s="1"/>
  <c r="S341" i="118" s="1"/>
  <c r="T341" i="118" s="1"/>
  <c r="U341" i="118" s="1"/>
  <c r="S342" i="118" s="1"/>
  <c r="T342" i="118" s="1"/>
  <c r="U342" i="118" s="1"/>
  <c r="S343" i="118" s="1"/>
  <c r="T343" i="118" s="1"/>
  <c r="U343" i="118" s="1"/>
  <c r="S344" i="118" s="1"/>
  <c r="T344" i="118" s="1"/>
  <c r="U344" i="118" s="1"/>
  <c r="S345" i="118" s="1"/>
  <c r="T345" i="118" s="1"/>
  <c r="U345" i="118" s="1"/>
  <c r="S346" i="118" s="1"/>
  <c r="T346" i="118" s="1"/>
  <c r="U346" i="118" s="1"/>
  <c r="S347" i="118" s="1"/>
  <c r="T347" i="118" s="1"/>
  <c r="U347" i="118" s="1"/>
  <c r="S348" i="118" s="1"/>
  <c r="T348" i="118" s="1"/>
  <c r="U348" i="118" s="1"/>
  <c r="S349" i="118" s="1"/>
  <c r="T349" i="118" s="1"/>
  <c r="U349" i="118" s="1"/>
  <c r="S350" i="118" s="1"/>
  <c r="T350" i="118" s="1"/>
  <c r="U350" i="118" s="1"/>
  <c r="S351" i="118" s="1"/>
  <c r="T351" i="118" s="1"/>
  <c r="U351" i="118" s="1"/>
  <c r="S352" i="118" s="1"/>
  <c r="T352" i="118" s="1"/>
  <c r="U352" i="118" s="1"/>
  <c r="S353" i="118" s="1"/>
  <c r="T353" i="118" s="1"/>
  <c r="U353" i="118" s="1"/>
  <c r="S354" i="118" s="1"/>
  <c r="T354" i="118" s="1"/>
  <c r="U354" i="118" s="1"/>
  <c r="S355" i="118" s="1"/>
  <c r="T355" i="118" s="1"/>
  <c r="U355" i="118" s="1"/>
  <c r="S356" i="118" s="1"/>
  <c r="T356" i="118" s="1"/>
  <c r="U356" i="118" s="1"/>
  <c r="S357" i="118" s="1"/>
  <c r="T357" i="118" s="1"/>
  <c r="U357" i="118" s="1"/>
  <c r="S358" i="118" s="1"/>
  <c r="T358" i="118" s="1"/>
  <c r="U358" i="118" s="1"/>
  <c r="S359" i="118" s="1"/>
  <c r="T359" i="118" s="1"/>
  <c r="U359" i="118" s="1"/>
  <c r="S360" i="118" s="1"/>
  <c r="T360" i="118" s="1"/>
  <c r="U360" i="118" s="1"/>
  <c r="S361" i="118" s="1"/>
  <c r="T361" i="118" s="1"/>
  <c r="U361" i="118" s="1"/>
  <c r="S362" i="118" s="1"/>
  <c r="T362" i="118" s="1"/>
  <c r="U362" i="118" s="1"/>
  <c r="S363" i="118" s="1"/>
  <c r="T363" i="118" s="1"/>
  <c r="U363" i="118" s="1"/>
  <c r="S364" i="118" s="1"/>
  <c r="T364" i="118" s="1"/>
  <c r="U364" i="118" s="1"/>
  <c r="S365" i="118" s="1"/>
  <c r="T365" i="118" s="1"/>
  <c r="U365" i="118" s="1"/>
  <c r="S366" i="118" s="1"/>
  <c r="T366" i="118" s="1"/>
  <c r="U366" i="118" s="1"/>
  <c r="S367" i="118" s="1"/>
  <c r="T367" i="118" s="1"/>
  <c r="U367" i="118" s="1"/>
  <c r="S368" i="118" s="1"/>
  <c r="T368" i="118" s="1"/>
  <c r="U368" i="118" s="1"/>
  <c r="S369" i="118" s="1"/>
  <c r="T369" i="118" s="1"/>
  <c r="U369" i="118" s="1"/>
  <c r="S370" i="118" s="1"/>
  <c r="T370" i="118" s="1"/>
  <c r="U370" i="118" s="1"/>
  <c r="S371" i="118" s="1"/>
  <c r="T371" i="118" s="1"/>
  <c r="U371" i="118" s="1"/>
  <c r="S372" i="118" s="1"/>
  <c r="T372" i="118" s="1"/>
  <c r="U372" i="118" s="1"/>
  <c r="S373" i="118" s="1"/>
  <c r="T373" i="118" s="1"/>
  <c r="U373" i="118" s="1"/>
  <c r="S374" i="118" s="1"/>
  <c r="T374" i="118" s="1"/>
  <c r="U374" i="118" s="1"/>
  <c r="S375" i="118" s="1"/>
  <c r="T375" i="118" s="1"/>
  <c r="U375" i="118" s="1"/>
  <c r="Q322" i="118"/>
  <c r="BM341" i="118"/>
  <c r="I25" i="114"/>
  <c r="AC901" i="29" s="1"/>
  <c r="AE728" i="29"/>
  <c r="AF728" i="29" s="1"/>
  <c r="AD729" i="29" s="1"/>
  <c r="S448" i="118"/>
  <c r="V449" i="118" s="1"/>
  <c r="R446" i="118"/>
  <c r="AK900" i="29"/>
  <c r="AD901" i="29"/>
  <c r="R581" i="118"/>
  <c r="S583" i="118"/>
  <c r="V584" i="118" s="1"/>
  <c r="BM640" i="118"/>
  <c r="AU640" i="118"/>
  <c r="AU641" i="118"/>
  <c r="BM641" i="118"/>
  <c r="AU635" i="118"/>
  <c r="BM635" i="118"/>
  <c r="AU639" i="118"/>
  <c r="BM639" i="118"/>
  <c r="AU644" i="118"/>
  <c r="BM644" i="118"/>
  <c r="AU642" i="118"/>
  <c r="BM642" i="118"/>
  <c r="BM638" i="118"/>
  <c r="AU638" i="118"/>
  <c r="AU643" i="118"/>
  <c r="BM643" i="118"/>
  <c r="AU636" i="118"/>
  <c r="BM636" i="118"/>
  <c r="AU637" i="118"/>
  <c r="BM637" i="118"/>
  <c r="Y166" i="115"/>
  <c r="Z166" i="115" s="1"/>
  <c r="AA166" i="115" s="1"/>
  <c r="AU574" i="29" s="1"/>
  <c r="Y292" i="115"/>
  <c r="Z292" i="115" s="1"/>
  <c r="AA292" i="115" s="1"/>
  <c r="AU921" i="29" s="1"/>
  <c r="AU624" i="118"/>
  <c r="BM624" i="118"/>
  <c r="AU621" i="118"/>
  <c r="BM621" i="118"/>
  <c r="BM622" i="118"/>
  <c r="AU622" i="118"/>
  <c r="AU633" i="118"/>
  <c r="BM633" i="118"/>
  <c r="BM631" i="118"/>
  <c r="AU631" i="118"/>
  <c r="BM632" i="118"/>
  <c r="AU632" i="118"/>
  <c r="AU627" i="118"/>
  <c r="BM627" i="118"/>
  <c r="BM629" i="118"/>
  <c r="AU629" i="118"/>
  <c r="AU630" i="118"/>
  <c r="BM630" i="118"/>
  <c r="BM625" i="118"/>
  <c r="AU625" i="118"/>
  <c r="BM626" i="118"/>
  <c r="AU626" i="118"/>
  <c r="AU620" i="118"/>
  <c r="BM620" i="118"/>
  <c r="AU628" i="118"/>
  <c r="BM628" i="118"/>
  <c r="BM623" i="118"/>
  <c r="AU623" i="118"/>
  <c r="BM634" i="118"/>
  <c r="AU634" i="118"/>
  <c r="AE556" i="29"/>
  <c r="AF556" i="29" s="1"/>
  <c r="X326" i="118"/>
  <c r="AA326" i="118" s="1"/>
  <c r="AB326" i="118" s="1"/>
  <c r="AD58" i="118"/>
  <c r="AX58" i="118"/>
  <c r="BG58" i="118" s="1"/>
  <c r="BP58" i="118"/>
  <c r="O58" i="118"/>
  <c r="O192" i="118"/>
  <c r="AE192" i="118" s="1"/>
  <c r="AF192" i="118" s="1"/>
  <c r="AX192" i="118"/>
  <c r="BG192" i="118" s="1"/>
  <c r="AD192" i="118"/>
  <c r="BP192" i="118"/>
  <c r="AH192" i="118"/>
  <c r="BO192" i="118"/>
  <c r="Z192" i="118"/>
  <c r="AW192" i="118"/>
  <c r="BF192" i="118" s="1"/>
  <c r="AQ192" i="118"/>
  <c r="AE168" i="115"/>
  <c r="AV576" i="29" s="1"/>
  <c r="AE43" i="115"/>
  <c r="AV227" i="29" s="1"/>
  <c r="AE294" i="115"/>
  <c r="AV923" i="29" s="1"/>
  <c r="AB229" i="115"/>
  <c r="BK748" i="29" s="1"/>
  <c r="AE105" i="115"/>
  <c r="AV400" i="29" s="1"/>
  <c r="AE232" i="115"/>
  <c r="AV751" i="29" s="1"/>
  <c r="AB291" i="115"/>
  <c r="BK920" i="29" s="1"/>
  <c r="AB40" i="115"/>
  <c r="BK224" i="29" s="1"/>
  <c r="Q44" i="115"/>
  <c r="R44" i="115" s="1"/>
  <c r="S44" i="115" s="1"/>
  <c r="T44" i="115" s="1"/>
  <c r="AA103" i="115"/>
  <c r="AU398" i="29" s="1"/>
  <c r="AB165" i="115"/>
  <c r="BK573" i="29" s="1"/>
  <c r="P170" i="115"/>
  <c r="Q169" i="115"/>
  <c r="R169" i="115" s="1"/>
  <c r="AD169" i="115"/>
  <c r="AC169" i="115"/>
  <c r="AA230" i="115"/>
  <c r="AU749" i="29" s="1"/>
  <c r="S168" i="115"/>
  <c r="U168" i="115"/>
  <c r="AA41" i="115"/>
  <c r="AU225" i="29" s="1"/>
  <c r="V167" i="115"/>
  <c r="T167" i="115"/>
  <c r="W167" i="115" s="1"/>
  <c r="X167" i="115" s="1"/>
  <c r="Y167" i="115" s="1"/>
  <c r="Z167" i="115" s="1"/>
  <c r="AB102" i="115"/>
  <c r="BK397" i="29" s="1"/>
  <c r="S105" i="115"/>
  <c r="U105" i="115"/>
  <c r="V104" i="115"/>
  <c r="T104" i="115"/>
  <c r="W104" i="115" s="1"/>
  <c r="X104" i="115" s="1"/>
  <c r="Y104" i="115" s="1"/>
  <c r="Z104" i="115" s="1"/>
  <c r="AC106" i="115"/>
  <c r="Q106" i="115"/>
  <c r="R106" i="115" s="1"/>
  <c r="AD106" i="115"/>
  <c r="P107" i="115"/>
  <c r="T231" i="115"/>
  <c r="W231" i="115" s="1"/>
  <c r="X231" i="115" s="1"/>
  <c r="V231" i="115"/>
  <c r="V293" i="115"/>
  <c r="T293" i="115"/>
  <c r="W293" i="115" s="1"/>
  <c r="X293" i="115" s="1"/>
  <c r="U232" i="115"/>
  <c r="S232" i="115"/>
  <c r="U294" i="115"/>
  <c r="S294" i="115"/>
  <c r="Q233" i="115"/>
  <c r="R233" i="115" s="1"/>
  <c r="AC233" i="115"/>
  <c r="AD233" i="115"/>
  <c r="P234" i="115"/>
  <c r="Q295" i="115"/>
  <c r="R295" i="115" s="1"/>
  <c r="AC295" i="115"/>
  <c r="AD295" i="115"/>
  <c r="P296" i="115"/>
  <c r="AC44" i="115"/>
  <c r="P45" i="115"/>
  <c r="AD44" i="115"/>
  <c r="V42" i="115"/>
  <c r="W42" i="115"/>
  <c r="X42" i="115" s="1"/>
  <c r="Y42" i="115" s="1"/>
  <c r="Z42" i="115" s="1"/>
  <c r="U43" i="115"/>
  <c r="BN55" i="29"/>
  <c r="AH562" i="29"/>
  <c r="AI562" i="29" s="1"/>
  <c r="AJ562" i="29" s="1"/>
  <c r="AG563" i="29" s="1"/>
  <c r="AI910" i="29"/>
  <c r="AJ910" i="29" s="1"/>
  <c r="AG911" i="29" s="1"/>
  <c r="AI737" i="29"/>
  <c r="AJ737" i="29" s="1"/>
  <c r="AG738" i="29" s="1"/>
  <c r="D81" i="29"/>
  <c r="G81" i="29"/>
  <c r="E81" i="29"/>
  <c r="K93" i="30"/>
  <c r="J331" i="29" s="1"/>
  <c r="J338" i="29" s="1"/>
  <c r="BI204" i="29" s="1"/>
  <c r="BD331" i="118" l="1"/>
  <c r="BD332" i="118" s="1"/>
  <c r="BD333" i="118" s="1"/>
  <c r="BD334" i="118" s="1"/>
  <c r="BD335" i="118" s="1"/>
  <c r="BD336" i="118" s="1"/>
  <c r="BD337" i="118" s="1"/>
  <c r="BD338" i="118" s="1"/>
  <c r="BD339" i="118" s="1"/>
  <c r="BD340" i="118" s="1"/>
  <c r="BD341" i="118" s="1"/>
  <c r="BD342" i="118" s="1"/>
  <c r="BD343" i="118" s="1"/>
  <c r="BD344" i="118" s="1"/>
  <c r="BD345" i="118" s="1"/>
  <c r="BD346" i="118" s="1"/>
  <c r="BD347" i="118" s="1"/>
  <c r="BD348" i="118" s="1"/>
  <c r="BD349" i="118" s="1"/>
  <c r="BD350" i="118" s="1"/>
  <c r="BD351" i="118" s="1"/>
  <c r="BD352" i="118" s="1"/>
  <c r="BD353" i="118" s="1"/>
  <c r="BD354" i="118" s="1"/>
  <c r="BD355" i="118" s="1"/>
  <c r="BD356" i="118" s="1"/>
  <c r="BD357" i="118" s="1"/>
  <c r="BD358" i="118" s="1"/>
  <c r="BD359" i="118" s="1"/>
  <c r="BD360" i="118" s="1"/>
  <c r="BD361" i="118" s="1"/>
  <c r="BD362" i="118" s="1"/>
  <c r="BD363" i="118" s="1"/>
  <c r="BD364" i="118" s="1"/>
  <c r="BD365" i="118" s="1"/>
  <c r="BD366" i="118" s="1"/>
  <c r="BD367" i="118" s="1"/>
  <c r="BD368" i="118" s="1"/>
  <c r="BD369" i="118" s="1"/>
  <c r="BD370" i="118" s="1"/>
  <c r="BD371" i="118" s="1"/>
  <c r="BD372" i="118" s="1"/>
  <c r="BD373" i="118" s="1"/>
  <c r="BD374" i="118" s="1"/>
  <c r="BD375" i="118" s="1"/>
  <c r="Y231" i="115"/>
  <c r="Z231" i="115" s="1"/>
  <c r="AA231" i="115" s="1"/>
  <c r="AU750" i="29" s="1"/>
  <c r="AC729" i="29"/>
  <c r="AE729" i="29" s="1"/>
  <c r="AF729" i="29" s="1"/>
  <c r="AC730" i="29" s="1"/>
  <c r="AE901" i="29"/>
  <c r="AF901" i="29" s="1"/>
  <c r="AC902" i="29" s="1"/>
  <c r="W607" i="118"/>
  <c r="W631" i="118"/>
  <c r="W640" i="118"/>
  <c r="W632" i="118"/>
  <c r="W638" i="118"/>
  <c r="W622" i="118"/>
  <c r="W637" i="118"/>
  <c r="W620" i="118"/>
  <c r="W614" i="118"/>
  <c r="W609" i="118"/>
  <c r="W612" i="118"/>
  <c r="W598" i="118"/>
  <c r="W611" i="118"/>
  <c r="W596" i="118"/>
  <c r="W621" i="118"/>
  <c r="W595" i="118"/>
  <c r="W626" i="118"/>
  <c r="W597" i="118"/>
  <c r="W644" i="118"/>
  <c r="W601" i="118"/>
  <c r="W642" i="118"/>
  <c r="W605" i="118"/>
  <c r="W641" i="118"/>
  <c r="W624" i="118"/>
  <c r="W617" i="118"/>
  <c r="W623" i="118"/>
  <c r="W616" i="118"/>
  <c r="W602" i="118"/>
  <c r="W615" i="118"/>
  <c r="W600" i="118"/>
  <c r="W635" i="118"/>
  <c r="W599" i="118"/>
  <c r="W639" i="118"/>
  <c r="W606" i="118"/>
  <c r="W627" i="118"/>
  <c r="W613" i="118"/>
  <c r="W633" i="118"/>
  <c r="W636" i="118"/>
  <c r="W629" i="118"/>
  <c r="W634" i="118"/>
  <c r="W628" i="118"/>
  <c r="W630" i="118"/>
  <c r="W619" i="118"/>
  <c r="W610" i="118"/>
  <c r="W618" i="118"/>
  <c r="W604" i="118"/>
  <c r="W643" i="118"/>
  <c r="W608" i="118"/>
  <c r="W625" i="118"/>
  <c r="W603" i="118"/>
  <c r="S446" i="118"/>
  <c r="R449" i="118"/>
  <c r="S445" i="118" s="1"/>
  <c r="S581" i="118"/>
  <c r="R584" i="118"/>
  <c r="S580" i="118" s="1"/>
  <c r="W490" i="118"/>
  <c r="W484" i="118"/>
  <c r="W508" i="118"/>
  <c r="W499" i="118"/>
  <c r="W504" i="118"/>
  <c r="W509" i="118"/>
  <c r="W476" i="118"/>
  <c r="W500" i="118"/>
  <c r="W503" i="118"/>
  <c r="W469" i="118"/>
  <c r="W478" i="118"/>
  <c r="W493" i="118"/>
  <c r="W465" i="118"/>
  <c r="W496" i="118"/>
  <c r="W492" i="118"/>
  <c r="W477" i="118"/>
  <c r="W501" i="118"/>
  <c r="W502" i="118"/>
  <c r="W482" i="118"/>
  <c r="W491" i="118"/>
  <c r="W505" i="118"/>
  <c r="W463" i="118"/>
  <c r="W485" i="118"/>
  <c r="W495" i="118"/>
  <c r="W488" i="118"/>
  <c r="W462" i="118"/>
  <c r="W481" i="118"/>
  <c r="W486" i="118"/>
  <c r="W480" i="118"/>
  <c r="W472" i="118"/>
  <c r="W498" i="118"/>
  <c r="W506" i="118"/>
  <c r="W467" i="118"/>
  <c r="W474" i="118"/>
  <c r="W475" i="118"/>
  <c r="W487" i="118"/>
  <c r="W468" i="118"/>
  <c r="W479" i="118"/>
  <c r="W489" i="118"/>
  <c r="W497" i="118"/>
  <c r="W460" i="118"/>
  <c r="W494" i="118"/>
  <c r="W483" i="118"/>
  <c r="W461" i="118"/>
  <c r="W470" i="118"/>
  <c r="W464" i="118"/>
  <c r="W507" i="118"/>
  <c r="W466" i="118"/>
  <c r="W473" i="118"/>
  <c r="W471" i="118"/>
  <c r="Y293" i="115"/>
  <c r="Z293" i="115" s="1"/>
  <c r="AA293" i="115" s="1"/>
  <c r="AU922" i="29" s="1"/>
  <c r="AD557" i="29"/>
  <c r="AC557" i="29"/>
  <c r="Y326" i="118"/>
  <c r="AH326" i="118" s="1"/>
  <c r="AE58" i="118"/>
  <c r="AF58" i="118" s="1"/>
  <c r="Q58" i="118"/>
  <c r="AT58" i="118"/>
  <c r="AK58" i="118"/>
  <c r="AL58" i="118" s="1"/>
  <c r="BL58" i="118"/>
  <c r="BR58" i="118" s="1"/>
  <c r="AP58" i="118"/>
  <c r="AM58" i="118"/>
  <c r="AI58" i="118"/>
  <c r="AJ58" i="118" s="1"/>
  <c r="Q192" i="118"/>
  <c r="AK192" i="118"/>
  <c r="AL192" i="118" s="1"/>
  <c r="AP192" i="118"/>
  <c r="AT192" i="118"/>
  <c r="BL192" i="118"/>
  <c r="BR192" i="118" s="1"/>
  <c r="AM192" i="118"/>
  <c r="AI192" i="118"/>
  <c r="AJ192" i="118" s="1"/>
  <c r="AE169" i="115"/>
  <c r="AV577" i="29" s="1"/>
  <c r="AE233" i="115"/>
  <c r="AV752" i="29" s="1"/>
  <c r="AE106" i="115"/>
  <c r="AV401" i="29" s="1"/>
  <c r="AE295" i="115"/>
  <c r="AV924" i="29" s="1"/>
  <c r="AB292" i="115"/>
  <c r="BK921" i="29" s="1"/>
  <c r="AE44" i="115"/>
  <c r="AV228" i="29" s="1"/>
  <c r="Q45" i="115"/>
  <c r="R45" i="115" s="1"/>
  <c r="S45" i="115" s="1"/>
  <c r="T45" i="115" s="1"/>
  <c r="AA42" i="115"/>
  <c r="AU226" i="29" s="1"/>
  <c r="U169" i="115"/>
  <c r="S169" i="115"/>
  <c r="AB103" i="115"/>
  <c r="BK398" i="29" s="1"/>
  <c r="AB41" i="115"/>
  <c r="BK225" i="29" s="1"/>
  <c r="T168" i="115"/>
  <c r="W168" i="115" s="1"/>
  <c r="X168" i="115" s="1"/>
  <c r="V168" i="115"/>
  <c r="AB230" i="115"/>
  <c r="BK749" i="29" s="1"/>
  <c r="AC170" i="115"/>
  <c r="P171" i="115"/>
  <c r="Q170" i="115"/>
  <c r="R170" i="115" s="1"/>
  <c r="AD170" i="115"/>
  <c r="AA104" i="115"/>
  <c r="AU399" i="29" s="1"/>
  <c r="AA167" i="115"/>
  <c r="AU575" i="29" s="1"/>
  <c r="AB166" i="115"/>
  <c r="BK574" i="29" s="1"/>
  <c r="AS204" i="29"/>
  <c r="AC234" i="115"/>
  <c r="Q234" i="115"/>
  <c r="R234" i="115" s="1"/>
  <c r="AD234" i="115"/>
  <c r="P235" i="115"/>
  <c r="U233" i="115"/>
  <c r="S233" i="115"/>
  <c r="T232" i="115"/>
  <c r="W232" i="115" s="1"/>
  <c r="X232" i="115" s="1"/>
  <c r="V232" i="115"/>
  <c r="T294" i="115"/>
  <c r="W294" i="115" s="1"/>
  <c r="X294" i="115" s="1"/>
  <c r="V294" i="115"/>
  <c r="S106" i="115"/>
  <c r="U106" i="115"/>
  <c r="AC296" i="115"/>
  <c r="Q296" i="115"/>
  <c r="R296" i="115" s="1"/>
  <c r="AD296" i="115"/>
  <c r="P297" i="115"/>
  <c r="S295" i="115"/>
  <c r="U295" i="115"/>
  <c r="Q107" i="115"/>
  <c r="R107" i="115" s="1"/>
  <c r="AC107" i="115"/>
  <c r="AD107" i="115"/>
  <c r="P108" i="115"/>
  <c r="V105" i="115"/>
  <c r="T105" i="115"/>
  <c r="W105" i="115" s="1"/>
  <c r="X105" i="115" s="1"/>
  <c r="AD45" i="115"/>
  <c r="AC45" i="115"/>
  <c r="P46" i="115"/>
  <c r="U44" i="115"/>
  <c r="W43" i="115"/>
  <c r="X43" i="115" s="1"/>
  <c r="V43" i="115"/>
  <c r="AH911" i="29"/>
  <c r="AI911" i="29" s="1"/>
  <c r="AJ911" i="29" s="1"/>
  <c r="AG912" i="29" s="1"/>
  <c r="AH563" i="29"/>
  <c r="AH738" i="29"/>
  <c r="AI738" i="29" s="1"/>
  <c r="AJ738" i="29" s="1"/>
  <c r="AG739" i="29" s="1"/>
  <c r="E7" i="30"/>
  <c r="E6" i="30"/>
  <c r="E5" i="30"/>
  <c r="E4" i="30"/>
  <c r="O7" i="93"/>
  <c r="O6" i="93"/>
  <c r="O5" i="93"/>
  <c r="O4" i="93"/>
  <c r="J7" i="93"/>
  <c r="G7" i="93"/>
  <c r="G6" i="93"/>
  <c r="G5" i="93"/>
  <c r="G4" i="93"/>
  <c r="B8" i="98"/>
  <c r="B7" i="98"/>
  <c r="B6" i="98"/>
  <c r="B5" i="98"/>
  <c r="G7" i="59"/>
  <c r="G6" i="59"/>
  <c r="G5" i="59"/>
  <c r="G4" i="59"/>
  <c r="G8" i="98"/>
  <c r="G7" i="98"/>
  <c r="G6" i="98"/>
  <c r="G5" i="98"/>
  <c r="B7" i="59"/>
  <c r="B6" i="59"/>
  <c r="B5" i="59"/>
  <c r="B4" i="59"/>
  <c r="G7" i="19"/>
  <c r="G6" i="19"/>
  <c r="G5" i="19"/>
  <c r="G4" i="19"/>
  <c r="B7" i="19"/>
  <c r="B6" i="19"/>
  <c r="B5" i="19"/>
  <c r="B4" i="19"/>
  <c r="F16" i="59"/>
  <c r="F143" i="19" l="1"/>
  <c r="Y143" i="19" s="1"/>
  <c r="F144" i="19"/>
  <c r="Y144" i="19" s="1"/>
  <c r="Y232" i="115"/>
  <c r="Z232" i="115" s="1"/>
  <c r="AA232" i="115" s="1"/>
  <c r="AU751" i="29" s="1"/>
  <c r="Y105" i="115"/>
  <c r="Z105" i="115" s="1"/>
  <c r="AA105" i="115" s="1"/>
  <c r="AU400" i="29" s="1"/>
  <c r="Y43" i="115"/>
  <c r="Z43" i="115" s="1"/>
  <c r="AD730" i="29"/>
  <c r="AE730" i="29" s="1"/>
  <c r="AF730" i="29" s="1"/>
  <c r="AD731" i="29" s="1"/>
  <c r="AD902" i="29"/>
  <c r="AE902" i="29" s="1"/>
  <c r="AF902" i="29" s="1"/>
  <c r="R452" i="118"/>
  <c r="S442" i="118" s="1"/>
  <c r="AV507" i="118"/>
  <c r="BN507" i="118"/>
  <c r="AV489" i="118"/>
  <c r="BN489" i="118"/>
  <c r="AV471" i="118"/>
  <c r="BN471" i="118"/>
  <c r="AV464" i="118"/>
  <c r="BN464" i="118"/>
  <c r="BN494" i="118"/>
  <c r="AV494" i="118"/>
  <c r="AV479" i="118"/>
  <c r="BN479" i="118"/>
  <c r="BN474" i="118"/>
  <c r="AV474" i="118"/>
  <c r="AV472" i="118"/>
  <c r="BN472" i="118"/>
  <c r="AV462" i="118"/>
  <c r="BN462" i="118"/>
  <c r="BN463" i="118"/>
  <c r="AV463" i="118"/>
  <c r="BN502" i="118"/>
  <c r="AV502" i="118"/>
  <c r="AV496" i="118"/>
  <c r="BN496" i="118"/>
  <c r="AV469" i="118"/>
  <c r="BN469" i="118"/>
  <c r="BN509" i="118"/>
  <c r="AV509" i="118"/>
  <c r="AV484" i="118"/>
  <c r="BN484" i="118"/>
  <c r="U594" i="118"/>
  <c r="S595" i="118" s="1"/>
  <c r="R608" i="118"/>
  <c r="R604" i="118"/>
  <c r="R609" i="118"/>
  <c r="R606" i="118"/>
  <c r="R596" i="118"/>
  <c r="R607" i="118"/>
  <c r="R617" i="118"/>
  <c r="R598" i="118"/>
  <c r="R614" i="118"/>
  <c r="R595" i="118"/>
  <c r="R616" i="118"/>
  <c r="R618" i="118"/>
  <c r="R602" i="118"/>
  <c r="R615" i="118"/>
  <c r="R619" i="118"/>
  <c r="R605" i="118"/>
  <c r="R601" i="118"/>
  <c r="R612" i="118"/>
  <c r="R599" i="118"/>
  <c r="R613" i="118"/>
  <c r="R603" i="118"/>
  <c r="R597" i="118"/>
  <c r="R610" i="118"/>
  <c r="R600" i="118"/>
  <c r="R611" i="118"/>
  <c r="BN603" i="118"/>
  <c r="AV603" i="118"/>
  <c r="AV604" i="118"/>
  <c r="BN604" i="118"/>
  <c r="BN630" i="118"/>
  <c r="AV630" i="118"/>
  <c r="BN636" i="118"/>
  <c r="AV636" i="118"/>
  <c r="AV606" i="118"/>
  <c r="BN606" i="118"/>
  <c r="AV600" i="118"/>
  <c r="BN600" i="118"/>
  <c r="AV623" i="118"/>
  <c r="BN623" i="118"/>
  <c r="BN605" i="118"/>
  <c r="AV605" i="118"/>
  <c r="AV597" i="118"/>
  <c r="BN597" i="118"/>
  <c r="AV596" i="118"/>
  <c r="BN596" i="118"/>
  <c r="AV609" i="118"/>
  <c r="BN609" i="118"/>
  <c r="AV622" i="118"/>
  <c r="BN622" i="118"/>
  <c r="AV631" i="118"/>
  <c r="BN631" i="118"/>
  <c r="BN473" i="118"/>
  <c r="AV473" i="118"/>
  <c r="AV460" i="118"/>
  <c r="BE460" i="118" s="1"/>
  <c r="BN460" i="118"/>
  <c r="AV467" i="118"/>
  <c r="BN467" i="118"/>
  <c r="AV480" i="118"/>
  <c r="BN480" i="118"/>
  <c r="BN488" i="118"/>
  <c r="AV488" i="118"/>
  <c r="AV505" i="118"/>
  <c r="BN505" i="118"/>
  <c r="BN501" i="118"/>
  <c r="AV501" i="118"/>
  <c r="BN465" i="118"/>
  <c r="AV465" i="118"/>
  <c r="BN503" i="118"/>
  <c r="AV503" i="118"/>
  <c r="BN504" i="118"/>
  <c r="AV504" i="118"/>
  <c r="AV490" i="118"/>
  <c r="BN490" i="118"/>
  <c r="AV625" i="118"/>
  <c r="BN625" i="118"/>
  <c r="BN618" i="118"/>
  <c r="AV618" i="118"/>
  <c r="BN628" i="118"/>
  <c r="AV628" i="118"/>
  <c r="AV633" i="118"/>
  <c r="BN633" i="118"/>
  <c r="AV639" i="118"/>
  <c r="BN639" i="118"/>
  <c r="BN615" i="118"/>
  <c r="AV615" i="118"/>
  <c r="BN617" i="118"/>
  <c r="AV617" i="118"/>
  <c r="BN642" i="118"/>
  <c r="AV642" i="118"/>
  <c r="BN626" i="118"/>
  <c r="AV626" i="118"/>
  <c r="AV611" i="118"/>
  <c r="BN611" i="118"/>
  <c r="BN614" i="118"/>
  <c r="AV614" i="118"/>
  <c r="BN638" i="118"/>
  <c r="AV638" i="118"/>
  <c r="AV607" i="118"/>
  <c r="BN607" i="118"/>
  <c r="AV470" i="118"/>
  <c r="BN470" i="118"/>
  <c r="BN468" i="118"/>
  <c r="AV468" i="118"/>
  <c r="AV466" i="118"/>
  <c r="BN466" i="118"/>
  <c r="AV461" i="118"/>
  <c r="BN461" i="118"/>
  <c r="AV497" i="118"/>
  <c r="BN497" i="118"/>
  <c r="BN487" i="118"/>
  <c r="AV487" i="118"/>
  <c r="AV506" i="118"/>
  <c r="BN506" i="118"/>
  <c r="BN486" i="118"/>
  <c r="AV486" i="118"/>
  <c r="BN495" i="118"/>
  <c r="AV495" i="118"/>
  <c r="BN491" i="118"/>
  <c r="AV491" i="118"/>
  <c r="BN477" i="118"/>
  <c r="AV477" i="118"/>
  <c r="BN493" i="118"/>
  <c r="AV493" i="118"/>
  <c r="AV500" i="118"/>
  <c r="BN500" i="118"/>
  <c r="AV499" i="118"/>
  <c r="BN499" i="118"/>
  <c r="R587" i="118"/>
  <c r="S577" i="118" s="1"/>
  <c r="P9" i="118"/>
  <c r="AC444" i="118"/>
  <c r="AC440" i="118"/>
  <c r="S452" i="118"/>
  <c r="Q459" i="118"/>
  <c r="AC442" i="118"/>
  <c r="AC441" i="118"/>
  <c r="AC443" i="118"/>
  <c r="AV608" i="118"/>
  <c r="BN608" i="118"/>
  <c r="AV610" i="118"/>
  <c r="BN610" i="118"/>
  <c r="BN634" i="118"/>
  <c r="AV634" i="118"/>
  <c r="AV613" i="118"/>
  <c r="BN613" i="118"/>
  <c r="AV599" i="118"/>
  <c r="BN599" i="118"/>
  <c r="AV602" i="118"/>
  <c r="BN602" i="118"/>
  <c r="BN624" i="118"/>
  <c r="AV624" i="118"/>
  <c r="AV601" i="118"/>
  <c r="BN601" i="118"/>
  <c r="AV595" i="118"/>
  <c r="BE595" i="118" s="1"/>
  <c r="BN595" i="118"/>
  <c r="BN598" i="118"/>
  <c r="AV598" i="118"/>
  <c r="BN620" i="118"/>
  <c r="AV620" i="118"/>
  <c r="AV632" i="118"/>
  <c r="BN632" i="118"/>
  <c r="AV483" i="118"/>
  <c r="BN483" i="118"/>
  <c r="AV475" i="118"/>
  <c r="BN475" i="118"/>
  <c r="BN498" i="118"/>
  <c r="AV498" i="118"/>
  <c r="AV481" i="118"/>
  <c r="BN481" i="118"/>
  <c r="AV485" i="118"/>
  <c r="BN485" i="118"/>
  <c r="AV482" i="118"/>
  <c r="BN482" i="118"/>
  <c r="BN492" i="118"/>
  <c r="AV492" i="118"/>
  <c r="AV478" i="118"/>
  <c r="BN478" i="118"/>
  <c r="AV476" i="118"/>
  <c r="BN476" i="118"/>
  <c r="BN508" i="118"/>
  <c r="AV508" i="118"/>
  <c r="AC578" i="118"/>
  <c r="AC579" i="118"/>
  <c r="AC575" i="118"/>
  <c r="R9" i="118"/>
  <c r="S587" i="118"/>
  <c r="Q594" i="118"/>
  <c r="AC576" i="118"/>
  <c r="AC577" i="118"/>
  <c r="R477" i="118"/>
  <c r="R478" i="118"/>
  <c r="R464" i="118"/>
  <c r="R470" i="118"/>
  <c r="R465" i="118"/>
  <c r="R483" i="118"/>
  <c r="R482" i="118"/>
  <c r="R469" i="118"/>
  <c r="R484" i="118"/>
  <c r="R476" i="118"/>
  <c r="R475" i="118"/>
  <c r="R480" i="118"/>
  <c r="R466" i="118"/>
  <c r="R462" i="118"/>
  <c r="U459" i="118"/>
  <c r="S460" i="118" s="1"/>
  <c r="R461" i="118"/>
  <c r="R463" i="118"/>
  <c r="R467" i="118"/>
  <c r="R479" i="118"/>
  <c r="R472" i="118"/>
  <c r="R468" i="118"/>
  <c r="R474" i="118"/>
  <c r="R473" i="118"/>
  <c r="R460" i="118"/>
  <c r="R471" i="118"/>
  <c r="R481" i="118"/>
  <c r="BN643" i="118"/>
  <c r="AV643" i="118"/>
  <c r="AV619" i="118"/>
  <c r="BN619" i="118"/>
  <c r="AV629" i="118"/>
  <c r="BN629" i="118"/>
  <c r="BN627" i="118"/>
  <c r="AV627" i="118"/>
  <c r="AV635" i="118"/>
  <c r="BN635" i="118"/>
  <c r="BN616" i="118"/>
  <c r="AV616" i="118"/>
  <c r="AV641" i="118"/>
  <c r="BN641" i="118"/>
  <c r="AV644" i="118"/>
  <c r="BN644" i="118"/>
  <c r="BN621" i="118"/>
  <c r="AV621" i="118"/>
  <c r="AV612" i="118"/>
  <c r="BN612" i="118"/>
  <c r="AV637" i="118"/>
  <c r="BN637" i="118"/>
  <c r="BN640" i="118"/>
  <c r="AV640" i="118"/>
  <c r="Y294" i="115"/>
  <c r="Z294" i="115" s="1"/>
  <c r="AA294" i="115" s="1"/>
  <c r="AU923" i="29" s="1"/>
  <c r="Y168" i="115"/>
  <c r="Z168" i="115" s="1"/>
  <c r="AA168" i="115" s="1"/>
  <c r="AU576" i="29" s="1"/>
  <c r="BO326" i="118"/>
  <c r="AE557" i="29"/>
  <c r="AF557" i="29" s="1"/>
  <c r="Z326" i="118"/>
  <c r="AW326" i="118"/>
  <c r="BF326" i="118" s="1"/>
  <c r="AC326" i="118"/>
  <c r="O326" i="118" s="1"/>
  <c r="AQ326" i="118"/>
  <c r="N59" i="118"/>
  <c r="P59" i="118"/>
  <c r="BC58" i="118"/>
  <c r="AZ58" i="118"/>
  <c r="BI58" i="118" s="1"/>
  <c r="AZ192" i="118"/>
  <c r="BI192" i="118" s="1"/>
  <c r="BC192" i="118"/>
  <c r="N193" i="118"/>
  <c r="P193" i="118"/>
  <c r="AE234" i="115"/>
  <c r="AV753" i="29" s="1"/>
  <c r="AE107" i="115"/>
  <c r="AV402" i="29" s="1"/>
  <c r="AB231" i="115"/>
  <c r="BK750" i="29" s="1"/>
  <c r="AB104" i="115"/>
  <c r="BK399" i="29" s="1"/>
  <c r="AE170" i="115"/>
  <c r="AV578" i="29" s="1"/>
  <c r="AE45" i="115"/>
  <c r="AV229" i="29" s="1"/>
  <c r="AE296" i="115"/>
  <c r="AV925" i="29" s="1"/>
  <c r="Q171" i="115"/>
  <c r="R171" i="115" s="1"/>
  <c r="AC171" i="115"/>
  <c r="AD171" i="115"/>
  <c r="P172" i="115"/>
  <c r="AA43" i="115"/>
  <c r="AU227" i="29" s="1"/>
  <c r="AB42" i="115"/>
  <c r="BK226" i="29" s="1"/>
  <c r="AB167" i="115"/>
  <c r="BK575" i="29" s="1"/>
  <c r="V169" i="115"/>
  <c r="T169" i="115"/>
  <c r="W169" i="115" s="1"/>
  <c r="X169" i="115" s="1"/>
  <c r="Q46" i="115"/>
  <c r="R46" i="115" s="1"/>
  <c r="S46" i="115" s="1"/>
  <c r="T46" i="115" s="1"/>
  <c r="AB293" i="115"/>
  <c r="BK922" i="29" s="1"/>
  <c r="U170" i="115"/>
  <c r="S170" i="115"/>
  <c r="AC297" i="115"/>
  <c r="Q297" i="115"/>
  <c r="R297" i="115" s="1"/>
  <c r="AD297" i="115"/>
  <c r="P298" i="115"/>
  <c r="T233" i="115"/>
  <c r="W233" i="115" s="1"/>
  <c r="X233" i="115" s="1"/>
  <c r="Y233" i="115" s="1"/>
  <c r="Z233" i="115" s="1"/>
  <c r="V233" i="115"/>
  <c r="AC108" i="115"/>
  <c r="Q108" i="115"/>
  <c r="R108" i="115" s="1"/>
  <c r="AD108" i="115"/>
  <c r="P109" i="115"/>
  <c r="S107" i="115"/>
  <c r="U107" i="115"/>
  <c r="V106" i="115"/>
  <c r="T106" i="115"/>
  <c r="W106" i="115" s="1"/>
  <c r="X106" i="115" s="1"/>
  <c r="S234" i="115"/>
  <c r="U234" i="115"/>
  <c r="V295" i="115"/>
  <c r="T295" i="115"/>
  <c r="W295" i="115" s="1"/>
  <c r="X295" i="115" s="1"/>
  <c r="U296" i="115"/>
  <c r="S296" i="115"/>
  <c r="AC235" i="115"/>
  <c r="Q235" i="115"/>
  <c r="R235" i="115" s="1"/>
  <c r="AD235" i="115"/>
  <c r="P236" i="115"/>
  <c r="U45" i="115"/>
  <c r="V44" i="115"/>
  <c r="W44" i="115"/>
  <c r="X44" i="115" s="1"/>
  <c r="AC46" i="115"/>
  <c r="P47" i="115"/>
  <c r="AD46" i="115"/>
  <c r="AH912" i="29"/>
  <c r="AI912" i="29" s="1"/>
  <c r="AJ912" i="29" s="1"/>
  <c r="AG913" i="29" s="1"/>
  <c r="AI563" i="29"/>
  <c r="AJ563" i="29" s="1"/>
  <c r="AG564" i="29" s="1"/>
  <c r="AH739" i="29"/>
  <c r="AI739" i="29" s="1"/>
  <c r="AJ739" i="29" s="1"/>
  <c r="AG740" i="29" s="1"/>
  <c r="D152" i="29"/>
  <c r="L1012" i="29" l="1"/>
  <c r="AD93" i="29"/>
  <c r="F68" i="114"/>
  <c r="L1010" i="29"/>
  <c r="AD91" i="29"/>
  <c r="F67" i="114"/>
  <c r="Y106" i="115"/>
  <c r="Z106" i="115" s="1"/>
  <c r="AA106" i="115" s="1"/>
  <c r="AU401" i="29" s="1"/>
  <c r="Y44" i="115"/>
  <c r="Z44" i="115" s="1"/>
  <c r="AA44" i="115" s="1"/>
  <c r="AU228" i="29" s="1"/>
  <c r="AU471" i="118"/>
  <c r="BM471" i="118"/>
  <c r="BM463" i="118"/>
  <c r="AU463" i="118"/>
  <c r="AU484" i="118"/>
  <c r="BM484" i="118"/>
  <c r="AU477" i="118"/>
  <c r="BM477" i="118"/>
  <c r="Q456" i="118"/>
  <c r="AU460" i="118"/>
  <c r="BD460" i="118" s="1"/>
  <c r="BM460" i="118"/>
  <c r="T460" i="118"/>
  <c r="U460" i="118" s="1"/>
  <c r="S461" i="118" s="1"/>
  <c r="T461" i="118" s="1"/>
  <c r="U461" i="118" s="1"/>
  <c r="S462" i="118" s="1"/>
  <c r="T462" i="118" s="1"/>
  <c r="U462" i="118" s="1"/>
  <c r="S463" i="118" s="1"/>
  <c r="T463" i="118" s="1"/>
  <c r="U463" i="118" s="1"/>
  <c r="S464" i="118" s="1"/>
  <c r="T464" i="118" s="1"/>
  <c r="U464" i="118" s="1"/>
  <c r="S465" i="118" s="1"/>
  <c r="T465" i="118" s="1"/>
  <c r="U465" i="118" s="1"/>
  <c r="S466" i="118" s="1"/>
  <c r="T466" i="118" s="1"/>
  <c r="U466" i="118" s="1"/>
  <c r="S467" i="118" s="1"/>
  <c r="T467" i="118" s="1"/>
  <c r="U467" i="118" s="1"/>
  <c r="S468" i="118" s="1"/>
  <c r="T468" i="118" s="1"/>
  <c r="U468" i="118" s="1"/>
  <c r="S469" i="118" s="1"/>
  <c r="T469" i="118" s="1"/>
  <c r="U469" i="118" s="1"/>
  <c r="S470" i="118" s="1"/>
  <c r="T470" i="118" s="1"/>
  <c r="U470" i="118" s="1"/>
  <c r="S471" i="118" s="1"/>
  <c r="T471" i="118" s="1"/>
  <c r="U471" i="118" s="1"/>
  <c r="S472" i="118" s="1"/>
  <c r="T472" i="118" s="1"/>
  <c r="U472" i="118" s="1"/>
  <c r="S473" i="118" s="1"/>
  <c r="T473" i="118" s="1"/>
  <c r="U473" i="118" s="1"/>
  <c r="S474" i="118" s="1"/>
  <c r="T474" i="118" s="1"/>
  <c r="U474" i="118" s="1"/>
  <c r="S475" i="118" s="1"/>
  <c r="T475" i="118" s="1"/>
  <c r="U475" i="118" s="1"/>
  <c r="S476" i="118" s="1"/>
  <c r="T476" i="118" s="1"/>
  <c r="U476" i="118" s="1"/>
  <c r="S477" i="118" s="1"/>
  <c r="T477" i="118" s="1"/>
  <c r="U477" i="118" s="1"/>
  <c r="S478" i="118" s="1"/>
  <c r="T478" i="118" s="1"/>
  <c r="U478" i="118" s="1"/>
  <c r="S479" i="118" s="1"/>
  <c r="T479" i="118" s="1"/>
  <c r="U479" i="118" s="1"/>
  <c r="S480" i="118" s="1"/>
  <c r="T480" i="118" s="1"/>
  <c r="U480" i="118" s="1"/>
  <c r="S481" i="118" s="1"/>
  <c r="T481" i="118" s="1"/>
  <c r="U481" i="118" s="1"/>
  <c r="S482" i="118" s="1"/>
  <c r="T482" i="118" s="1"/>
  <c r="U482" i="118" s="1"/>
  <c r="S483" i="118" s="1"/>
  <c r="T483" i="118" s="1"/>
  <c r="U483" i="118" s="1"/>
  <c r="S484" i="118" s="1"/>
  <c r="T484" i="118" s="1"/>
  <c r="U484" i="118" s="1"/>
  <c r="S485" i="118" s="1"/>
  <c r="T485" i="118" s="1"/>
  <c r="U485" i="118" s="1"/>
  <c r="S486" i="118" s="1"/>
  <c r="T486" i="118" s="1"/>
  <c r="U486" i="118" s="1"/>
  <c r="S487" i="118" s="1"/>
  <c r="T487" i="118" s="1"/>
  <c r="U487" i="118" s="1"/>
  <c r="S488" i="118" s="1"/>
  <c r="T488" i="118" s="1"/>
  <c r="U488" i="118" s="1"/>
  <c r="S489" i="118" s="1"/>
  <c r="T489" i="118" s="1"/>
  <c r="U489" i="118" s="1"/>
  <c r="S490" i="118" s="1"/>
  <c r="T490" i="118" s="1"/>
  <c r="U490" i="118" s="1"/>
  <c r="S491" i="118" s="1"/>
  <c r="T491" i="118" s="1"/>
  <c r="U491" i="118" s="1"/>
  <c r="S492" i="118" s="1"/>
  <c r="T492" i="118" s="1"/>
  <c r="U492" i="118" s="1"/>
  <c r="S493" i="118" s="1"/>
  <c r="T493" i="118" s="1"/>
  <c r="U493" i="118" s="1"/>
  <c r="S494" i="118" s="1"/>
  <c r="T494" i="118" s="1"/>
  <c r="U494" i="118" s="1"/>
  <c r="S495" i="118" s="1"/>
  <c r="T495" i="118" s="1"/>
  <c r="U495" i="118" s="1"/>
  <c r="S496" i="118" s="1"/>
  <c r="T496" i="118" s="1"/>
  <c r="U496" i="118" s="1"/>
  <c r="S497" i="118" s="1"/>
  <c r="T497" i="118" s="1"/>
  <c r="U497" i="118" s="1"/>
  <c r="S498" i="118" s="1"/>
  <c r="T498" i="118" s="1"/>
  <c r="U498" i="118" s="1"/>
  <c r="S499" i="118" s="1"/>
  <c r="T499" i="118" s="1"/>
  <c r="U499" i="118" s="1"/>
  <c r="S500" i="118" s="1"/>
  <c r="T500" i="118" s="1"/>
  <c r="U500" i="118" s="1"/>
  <c r="S501" i="118" s="1"/>
  <c r="T501" i="118" s="1"/>
  <c r="U501" i="118" s="1"/>
  <c r="S502" i="118" s="1"/>
  <c r="T502" i="118" s="1"/>
  <c r="U502" i="118" s="1"/>
  <c r="S503" i="118" s="1"/>
  <c r="T503" i="118" s="1"/>
  <c r="U503" i="118" s="1"/>
  <c r="S504" i="118" s="1"/>
  <c r="T504" i="118" s="1"/>
  <c r="U504" i="118" s="1"/>
  <c r="S505" i="118" s="1"/>
  <c r="T505" i="118" s="1"/>
  <c r="U505" i="118" s="1"/>
  <c r="S506" i="118" s="1"/>
  <c r="T506" i="118" s="1"/>
  <c r="U506" i="118" s="1"/>
  <c r="S507" i="118" s="1"/>
  <c r="T507" i="118" s="1"/>
  <c r="U507" i="118" s="1"/>
  <c r="S508" i="118" s="1"/>
  <c r="T508" i="118" s="1"/>
  <c r="U508" i="118" s="1"/>
  <c r="S509" i="118" s="1"/>
  <c r="T509" i="118" s="1"/>
  <c r="U509" i="118" s="1"/>
  <c r="BM472" i="118"/>
  <c r="AU472" i="118"/>
  <c r="AU461" i="118"/>
  <c r="BM461" i="118"/>
  <c r="BM480" i="118"/>
  <c r="AU480" i="118"/>
  <c r="BM469" i="118"/>
  <c r="AU469" i="118"/>
  <c r="AU470" i="118"/>
  <c r="BM470" i="118"/>
  <c r="AC903" i="29"/>
  <c r="AD903" i="29"/>
  <c r="BE596" i="118"/>
  <c r="BE597" i="118" s="1"/>
  <c r="BE598" i="118" s="1"/>
  <c r="BE599" i="118" s="1"/>
  <c r="BE600" i="118" s="1"/>
  <c r="BE601" i="118" s="1"/>
  <c r="BE602" i="118" s="1"/>
  <c r="BE603" i="118" s="1"/>
  <c r="BE604" i="118" s="1"/>
  <c r="BE605" i="118" s="1"/>
  <c r="BE606" i="118" s="1"/>
  <c r="BE607" i="118" s="1"/>
  <c r="BE608" i="118" s="1"/>
  <c r="BE609" i="118" s="1"/>
  <c r="BE610" i="118" s="1"/>
  <c r="BE611" i="118" s="1"/>
  <c r="BE612" i="118" s="1"/>
  <c r="BE613" i="118" s="1"/>
  <c r="BE614" i="118" s="1"/>
  <c r="BE615" i="118" s="1"/>
  <c r="BE616" i="118" s="1"/>
  <c r="BE617" i="118" s="1"/>
  <c r="BE618" i="118" s="1"/>
  <c r="BE619" i="118" s="1"/>
  <c r="BE620" i="118" s="1"/>
  <c r="BE621" i="118" s="1"/>
  <c r="BE622" i="118" s="1"/>
  <c r="BE623" i="118" s="1"/>
  <c r="BE624" i="118" s="1"/>
  <c r="BE625" i="118" s="1"/>
  <c r="BE626" i="118" s="1"/>
  <c r="BE627" i="118" s="1"/>
  <c r="BE628" i="118" s="1"/>
  <c r="BE629" i="118" s="1"/>
  <c r="BE630" i="118" s="1"/>
  <c r="BE631" i="118" s="1"/>
  <c r="BE632" i="118" s="1"/>
  <c r="BE633" i="118" s="1"/>
  <c r="BE634" i="118" s="1"/>
  <c r="BE635" i="118" s="1"/>
  <c r="BE636" i="118" s="1"/>
  <c r="BE637" i="118" s="1"/>
  <c r="BE638" i="118" s="1"/>
  <c r="BE639" i="118" s="1"/>
  <c r="BE640" i="118" s="1"/>
  <c r="BE641" i="118" s="1"/>
  <c r="BE642" i="118" s="1"/>
  <c r="BE643" i="118" s="1"/>
  <c r="BE644" i="118" s="1"/>
  <c r="N460" i="118"/>
  <c r="P460" i="118"/>
  <c r="BM611" i="118"/>
  <c r="AU611" i="118"/>
  <c r="AU603" i="118"/>
  <c r="BM603" i="118"/>
  <c r="AU601" i="118"/>
  <c r="BM601" i="118"/>
  <c r="AU602" i="118"/>
  <c r="BM602" i="118"/>
  <c r="AU614" i="118"/>
  <c r="BM614" i="118"/>
  <c r="BM596" i="118"/>
  <c r="AU596" i="118"/>
  <c r="AU608" i="118"/>
  <c r="BM608" i="118"/>
  <c r="AU473" i="118"/>
  <c r="BM473" i="118"/>
  <c r="AU475" i="118"/>
  <c r="BM475" i="118"/>
  <c r="BM464" i="118"/>
  <c r="AU464" i="118"/>
  <c r="BM600" i="118"/>
  <c r="AU600" i="118"/>
  <c r="AU613" i="118"/>
  <c r="BM613" i="118"/>
  <c r="AU605" i="118"/>
  <c r="BM605" i="118"/>
  <c r="AU618" i="118"/>
  <c r="BM618" i="118"/>
  <c r="AU598" i="118"/>
  <c r="BM598" i="118"/>
  <c r="AU606" i="118"/>
  <c r="BM606" i="118"/>
  <c r="BM479" i="118"/>
  <c r="AU479" i="118"/>
  <c r="AU482" i="118"/>
  <c r="BM482" i="118"/>
  <c r="AU481" i="118"/>
  <c r="BM481" i="118"/>
  <c r="AU474" i="118"/>
  <c r="BM474" i="118"/>
  <c r="AU467" i="118"/>
  <c r="BM467" i="118"/>
  <c r="BM462" i="118"/>
  <c r="AU462" i="118"/>
  <c r="AU476" i="118"/>
  <c r="BM476" i="118"/>
  <c r="BM483" i="118"/>
  <c r="AU483" i="118"/>
  <c r="AU478" i="118"/>
  <c r="BM478" i="118"/>
  <c r="N595" i="118"/>
  <c r="P595" i="118"/>
  <c r="AU610" i="118"/>
  <c r="BM610" i="118"/>
  <c r="AU599" i="118"/>
  <c r="BM599" i="118"/>
  <c r="AU619" i="118"/>
  <c r="BM619" i="118"/>
  <c r="AU616" i="118"/>
  <c r="BM616" i="118"/>
  <c r="AU617" i="118"/>
  <c r="BM617" i="118"/>
  <c r="AU609" i="118"/>
  <c r="BM609" i="118"/>
  <c r="AU468" i="118"/>
  <c r="BM468" i="118"/>
  <c r="AU466" i="118"/>
  <c r="BM466" i="118"/>
  <c r="AU465" i="118"/>
  <c r="BM465" i="118"/>
  <c r="BE461" i="118"/>
  <c r="BE462" i="118" s="1"/>
  <c r="BE463" i="118" s="1"/>
  <c r="BE464" i="118" s="1"/>
  <c r="BE465" i="118" s="1"/>
  <c r="BE466" i="118" s="1"/>
  <c r="BE467" i="118" s="1"/>
  <c r="BE468" i="118" s="1"/>
  <c r="BE469" i="118" s="1"/>
  <c r="BE470" i="118" s="1"/>
  <c r="BE471" i="118" s="1"/>
  <c r="BE472" i="118" s="1"/>
  <c r="BE473" i="118" s="1"/>
  <c r="BE474" i="118" s="1"/>
  <c r="BE475" i="118" s="1"/>
  <c r="BE476" i="118" s="1"/>
  <c r="BE477" i="118" s="1"/>
  <c r="BE478" i="118" s="1"/>
  <c r="BE479" i="118" s="1"/>
  <c r="BE480" i="118" s="1"/>
  <c r="BE481" i="118" s="1"/>
  <c r="BE482" i="118" s="1"/>
  <c r="BE483" i="118" s="1"/>
  <c r="BE484" i="118" s="1"/>
  <c r="BE485" i="118" s="1"/>
  <c r="BE486" i="118" s="1"/>
  <c r="BE487" i="118" s="1"/>
  <c r="BE488" i="118" s="1"/>
  <c r="BE489" i="118" s="1"/>
  <c r="BE490" i="118" s="1"/>
  <c r="BE491" i="118" s="1"/>
  <c r="BE492" i="118" s="1"/>
  <c r="BE493" i="118" s="1"/>
  <c r="BE494" i="118" s="1"/>
  <c r="BE495" i="118" s="1"/>
  <c r="BE496" i="118" s="1"/>
  <c r="BE497" i="118" s="1"/>
  <c r="BE498" i="118" s="1"/>
  <c r="BE499" i="118" s="1"/>
  <c r="BE500" i="118" s="1"/>
  <c r="BE501" i="118" s="1"/>
  <c r="BE502" i="118" s="1"/>
  <c r="BE503" i="118" s="1"/>
  <c r="BE504" i="118" s="1"/>
  <c r="BE505" i="118" s="1"/>
  <c r="BE506" i="118" s="1"/>
  <c r="BE507" i="118" s="1"/>
  <c r="BE508" i="118" s="1"/>
  <c r="BE509" i="118" s="1"/>
  <c r="AU597" i="118"/>
  <c r="BM597" i="118"/>
  <c r="BM612" i="118"/>
  <c r="AU612" i="118"/>
  <c r="AU615" i="118"/>
  <c r="BM615" i="118"/>
  <c r="AU595" i="118"/>
  <c r="BD595" i="118" s="1"/>
  <c r="T595" i="118"/>
  <c r="U595" i="118" s="1"/>
  <c r="S596" i="118" s="1"/>
  <c r="T596" i="118" s="1"/>
  <c r="U596" i="118" s="1"/>
  <c r="S597" i="118" s="1"/>
  <c r="T597" i="118" s="1"/>
  <c r="U597" i="118" s="1"/>
  <c r="S598" i="118" s="1"/>
  <c r="T598" i="118" s="1"/>
  <c r="U598" i="118" s="1"/>
  <c r="S599" i="118" s="1"/>
  <c r="T599" i="118" s="1"/>
  <c r="U599" i="118" s="1"/>
  <c r="S600" i="118" s="1"/>
  <c r="T600" i="118" s="1"/>
  <c r="U600" i="118" s="1"/>
  <c r="S601" i="118" s="1"/>
  <c r="T601" i="118" s="1"/>
  <c r="U601" i="118" s="1"/>
  <c r="S602" i="118" s="1"/>
  <c r="T602" i="118" s="1"/>
  <c r="U602" i="118" s="1"/>
  <c r="S603" i="118" s="1"/>
  <c r="T603" i="118" s="1"/>
  <c r="U603" i="118" s="1"/>
  <c r="S604" i="118" s="1"/>
  <c r="T604" i="118" s="1"/>
  <c r="U604" i="118" s="1"/>
  <c r="S605" i="118" s="1"/>
  <c r="T605" i="118" s="1"/>
  <c r="U605" i="118" s="1"/>
  <c r="S606" i="118" s="1"/>
  <c r="T606" i="118" s="1"/>
  <c r="U606" i="118" s="1"/>
  <c r="S607" i="118" s="1"/>
  <c r="T607" i="118" s="1"/>
  <c r="U607" i="118" s="1"/>
  <c r="S608" i="118" s="1"/>
  <c r="T608" i="118" s="1"/>
  <c r="U608" i="118" s="1"/>
  <c r="S609" i="118" s="1"/>
  <c r="T609" i="118" s="1"/>
  <c r="U609" i="118" s="1"/>
  <c r="S610" i="118" s="1"/>
  <c r="T610" i="118" s="1"/>
  <c r="U610" i="118" s="1"/>
  <c r="S611" i="118" s="1"/>
  <c r="T611" i="118" s="1"/>
  <c r="U611" i="118" s="1"/>
  <c r="S612" i="118" s="1"/>
  <c r="T612" i="118" s="1"/>
  <c r="U612" i="118" s="1"/>
  <c r="S613" i="118" s="1"/>
  <c r="T613" i="118" s="1"/>
  <c r="U613" i="118" s="1"/>
  <c r="S614" i="118" s="1"/>
  <c r="T614" i="118" s="1"/>
  <c r="U614" i="118" s="1"/>
  <c r="S615" i="118" s="1"/>
  <c r="T615" i="118" s="1"/>
  <c r="U615" i="118" s="1"/>
  <c r="S616" i="118" s="1"/>
  <c r="T616" i="118" s="1"/>
  <c r="U616" i="118" s="1"/>
  <c r="S617" i="118" s="1"/>
  <c r="T617" i="118" s="1"/>
  <c r="U617" i="118" s="1"/>
  <c r="S618" i="118" s="1"/>
  <c r="T618" i="118" s="1"/>
  <c r="U618" i="118" s="1"/>
  <c r="S619" i="118" s="1"/>
  <c r="T619" i="118" s="1"/>
  <c r="U619" i="118" s="1"/>
  <c r="S620" i="118" s="1"/>
  <c r="T620" i="118" s="1"/>
  <c r="U620" i="118" s="1"/>
  <c r="S621" i="118" s="1"/>
  <c r="T621" i="118" s="1"/>
  <c r="U621" i="118" s="1"/>
  <c r="S622" i="118" s="1"/>
  <c r="T622" i="118" s="1"/>
  <c r="U622" i="118" s="1"/>
  <c r="S623" i="118" s="1"/>
  <c r="T623" i="118" s="1"/>
  <c r="U623" i="118" s="1"/>
  <c r="S624" i="118" s="1"/>
  <c r="T624" i="118" s="1"/>
  <c r="U624" i="118" s="1"/>
  <c r="S625" i="118" s="1"/>
  <c r="T625" i="118" s="1"/>
  <c r="U625" i="118" s="1"/>
  <c r="S626" i="118" s="1"/>
  <c r="T626" i="118" s="1"/>
  <c r="U626" i="118" s="1"/>
  <c r="S627" i="118" s="1"/>
  <c r="T627" i="118" s="1"/>
  <c r="U627" i="118" s="1"/>
  <c r="S628" i="118" s="1"/>
  <c r="T628" i="118" s="1"/>
  <c r="U628" i="118" s="1"/>
  <c r="S629" i="118" s="1"/>
  <c r="T629" i="118" s="1"/>
  <c r="U629" i="118" s="1"/>
  <c r="S630" i="118" s="1"/>
  <c r="T630" i="118" s="1"/>
  <c r="U630" i="118" s="1"/>
  <c r="S631" i="118" s="1"/>
  <c r="T631" i="118" s="1"/>
  <c r="U631" i="118" s="1"/>
  <c r="S632" i="118" s="1"/>
  <c r="T632" i="118" s="1"/>
  <c r="U632" i="118" s="1"/>
  <c r="S633" i="118" s="1"/>
  <c r="T633" i="118" s="1"/>
  <c r="U633" i="118" s="1"/>
  <c r="S634" i="118" s="1"/>
  <c r="T634" i="118" s="1"/>
  <c r="U634" i="118" s="1"/>
  <c r="S635" i="118" s="1"/>
  <c r="T635" i="118" s="1"/>
  <c r="U635" i="118" s="1"/>
  <c r="S636" i="118" s="1"/>
  <c r="T636" i="118" s="1"/>
  <c r="U636" i="118" s="1"/>
  <c r="S637" i="118" s="1"/>
  <c r="T637" i="118" s="1"/>
  <c r="U637" i="118" s="1"/>
  <c r="S638" i="118" s="1"/>
  <c r="T638" i="118" s="1"/>
  <c r="U638" i="118" s="1"/>
  <c r="S639" i="118" s="1"/>
  <c r="T639" i="118" s="1"/>
  <c r="U639" i="118" s="1"/>
  <c r="S640" i="118" s="1"/>
  <c r="T640" i="118" s="1"/>
  <c r="U640" i="118" s="1"/>
  <c r="S641" i="118" s="1"/>
  <c r="T641" i="118" s="1"/>
  <c r="U641" i="118" s="1"/>
  <c r="S642" i="118" s="1"/>
  <c r="T642" i="118" s="1"/>
  <c r="U642" i="118" s="1"/>
  <c r="S643" i="118" s="1"/>
  <c r="T643" i="118" s="1"/>
  <c r="U643" i="118" s="1"/>
  <c r="S644" i="118" s="1"/>
  <c r="T644" i="118" s="1"/>
  <c r="U644" i="118" s="1"/>
  <c r="Q591" i="118"/>
  <c r="BM595" i="118"/>
  <c r="AU607" i="118"/>
  <c r="BM607" i="118"/>
  <c r="BM604" i="118"/>
  <c r="AU604" i="118"/>
  <c r="Y295" i="115"/>
  <c r="Z295" i="115" s="1"/>
  <c r="AA295" i="115" s="1"/>
  <c r="AU924" i="29" s="1"/>
  <c r="Y169" i="115"/>
  <c r="Z169" i="115" s="1"/>
  <c r="AA169" i="115" s="1"/>
  <c r="AU577" i="29" s="1"/>
  <c r="AC731" i="29"/>
  <c r="AE731" i="29" s="1"/>
  <c r="AF731" i="29" s="1"/>
  <c r="AD732" i="29" s="1"/>
  <c r="AC558" i="29"/>
  <c r="AD558" i="29"/>
  <c r="AD326" i="118"/>
  <c r="BP326" i="118"/>
  <c r="AX326" i="118"/>
  <c r="BG326" i="118" s="1"/>
  <c r="Q326" i="118"/>
  <c r="AI326" i="118"/>
  <c r="AJ326" i="118" s="1"/>
  <c r="BL326" i="118"/>
  <c r="AE326" i="118"/>
  <c r="AF326" i="118" s="1"/>
  <c r="AP326" i="118"/>
  <c r="AT326" i="118"/>
  <c r="AK326" i="118"/>
  <c r="AL326" i="118" s="1"/>
  <c r="AM326" i="118"/>
  <c r="X59" i="118"/>
  <c r="X193" i="118"/>
  <c r="AE108" i="115"/>
  <c r="AV403" i="29" s="1"/>
  <c r="AE297" i="115"/>
  <c r="AV926" i="29" s="1"/>
  <c r="AB168" i="115"/>
  <c r="BK576" i="29" s="1"/>
  <c r="AE171" i="115"/>
  <c r="AV579" i="29" s="1"/>
  <c r="AE46" i="115"/>
  <c r="AV230" i="29" s="1"/>
  <c r="AB232" i="115"/>
  <c r="BK751" i="29" s="1"/>
  <c r="AE235" i="115"/>
  <c r="AV754" i="29" s="1"/>
  <c r="AB43" i="115"/>
  <c r="BK227" i="29" s="1"/>
  <c r="AA233" i="115"/>
  <c r="AU752" i="29" s="1"/>
  <c r="U171" i="115"/>
  <c r="S171" i="115"/>
  <c r="Q47" i="115"/>
  <c r="R47" i="115" s="1"/>
  <c r="S47" i="115" s="1"/>
  <c r="T47" i="115" s="1"/>
  <c r="T170" i="115"/>
  <c r="W170" i="115" s="1"/>
  <c r="X170" i="115" s="1"/>
  <c r="Y170" i="115" s="1"/>
  <c r="Z170" i="115" s="1"/>
  <c r="V170" i="115"/>
  <c r="AC172" i="115"/>
  <c r="P173" i="115"/>
  <c r="Q172" i="115"/>
  <c r="R172" i="115" s="1"/>
  <c r="AD172" i="115"/>
  <c r="AB105" i="115"/>
  <c r="BK400" i="29" s="1"/>
  <c r="AB294" i="115"/>
  <c r="BK923" i="29" s="1"/>
  <c r="AC236" i="115"/>
  <c r="Q236" i="115"/>
  <c r="R236" i="115" s="1"/>
  <c r="AD236" i="115"/>
  <c r="P237" i="115"/>
  <c r="V296" i="115"/>
  <c r="T296" i="115"/>
  <c r="W296" i="115" s="1"/>
  <c r="X296" i="115" s="1"/>
  <c r="V234" i="115"/>
  <c r="T234" i="115"/>
  <c r="W234" i="115" s="1"/>
  <c r="X234" i="115" s="1"/>
  <c r="Y234" i="115" s="1"/>
  <c r="Z234" i="115" s="1"/>
  <c r="V107" i="115"/>
  <c r="T107" i="115"/>
  <c r="W107" i="115" s="1"/>
  <c r="X107" i="115" s="1"/>
  <c r="Y107" i="115" s="1"/>
  <c r="Z107" i="115" s="1"/>
  <c r="S108" i="115"/>
  <c r="U108" i="115"/>
  <c r="Q109" i="115"/>
  <c r="R109" i="115" s="1"/>
  <c r="AC109" i="115"/>
  <c r="AD109" i="115"/>
  <c r="P110" i="115"/>
  <c r="U297" i="115"/>
  <c r="S297" i="115"/>
  <c r="U235" i="115"/>
  <c r="S235" i="115"/>
  <c r="AC298" i="115"/>
  <c r="Q298" i="115"/>
  <c r="R298" i="115" s="1"/>
  <c r="AD298" i="115"/>
  <c r="P299" i="115"/>
  <c r="P48" i="115"/>
  <c r="AD47" i="115"/>
  <c r="AC47" i="115"/>
  <c r="U46" i="115"/>
  <c r="W45" i="115"/>
  <c r="X45" i="115" s="1"/>
  <c r="V45" i="115"/>
  <c r="AH913" i="29"/>
  <c r="AI913" i="29" s="1"/>
  <c r="AJ913" i="29" s="1"/>
  <c r="AG914" i="29" s="1"/>
  <c r="AH564" i="29"/>
  <c r="AI564" i="29" s="1"/>
  <c r="AJ564" i="29" s="1"/>
  <c r="AG565" i="29" s="1"/>
  <c r="AH740" i="29"/>
  <c r="AD1010" i="29" l="1"/>
  <c r="AC1010" i="29"/>
  <c r="AE1010" i="29"/>
  <c r="G68" i="114"/>
  <c r="I68" i="114" s="1"/>
  <c r="J68" i="114"/>
  <c r="G67" i="114"/>
  <c r="I67" i="114" s="1"/>
  <c r="J67" i="114"/>
  <c r="AF93" i="29"/>
  <c r="AE93" i="29"/>
  <c r="N117" i="29" s="1"/>
  <c r="AF91" i="29"/>
  <c r="AE91" i="29"/>
  <c r="N115" i="29" s="1"/>
  <c r="AD1012" i="29"/>
  <c r="AC1012" i="29"/>
  <c r="AE1012" i="29"/>
  <c r="Y45" i="115"/>
  <c r="Z45" i="115" s="1"/>
  <c r="AA45" i="115" s="1"/>
  <c r="AU229" i="29" s="1"/>
  <c r="BD596" i="118"/>
  <c r="BD597" i="118" s="1"/>
  <c r="BD598" i="118" s="1"/>
  <c r="BD599" i="118" s="1"/>
  <c r="BD600" i="118" s="1"/>
  <c r="BD601" i="118" s="1"/>
  <c r="BD602" i="118" s="1"/>
  <c r="BD603" i="118" s="1"/>
  <c r="BD604" i="118" s="1"/>
  <c r="BD605" i="118" s="1"/>
  <c r="BD606" i="118" s="1"/>
  <c r="BD607" i="118" s="1"/>
  <c r="BD608" i="118" s="1"/>
  <c r="BD609" i="118" s="1"/>
  <c r="BD610" i="118" s="1"/>
  <c r="BD611" i="118" s="1"/>
  <c r="BD612" i="118" s="1"/>
  <c r="BD613" i="118" s="1"/>
  <c r="BD614" i="118" s="1"/>
  <c r="BD615" i="118" s="1"/>
  <c r="BD616" i="118" s="1"/>
  <c r="BD617" i="118" s="1"/>
  <c r="BD618" i="118" s="1"/>
  <c r="BD619" i="118" s="1"/>
  <c r="BD620" i="118" s="1"/>
  <c r="BD621" i="118" s="1"/>
  <c r="BD622" i="118" s="1"/>
  <c r="BD623" i="118" s="1"/>
  <c r="BD624" i="118" s="1"/>
  <c r="BD625" i="118" s="1"/>
  <c r="BD626" i="118" s="1"/>
  <c r="BD627" i="118" s="1"/>
  <c r="BD628" i="118" s="1"/>
  <c r="BD629" i="118" s="1"/>
  <c r="BD630" i="118" s="1"/>
  <c r="BD631" i="118" s="1"/>
  <c r="BD632" i="118" s="1"/>
  <c r="BD633" i="118" s="1"/>
  <c r="BD634" i="118" s="1"/>
  <c r="BD635" i="118" s="1"/>
  <c r="BD636" i="118" s="1"/>
  <c r="BD637" i="118" s="1"/>
  <c r="BD638" i="118" s="1"/>
  <c r="BD639" i="118" s="1"/>
  <c r="BD640" i="118" s="1"/>
  <c r="BD641" i="118" s="1"/>
  <c r="BD642" i="118" s="1"/>
  <c r="BD643" i="118" s="1"/>
  <c r="BD644" i="118" s="1"/>
  <c r="AE903" i="29"/>
  <c r="AF903" i="29" s="1"/>
  <c r="X595" i="118"/>
  <c r="X460" i="118"/>
  <c r="BD461" i="118"/>
  <c r="BD462" i="118" s="1"/>
  <c r="BD463" i="118" s="1"/>
  <c r="BD464" i="118" s="1"/>
  <c r="BD465" i="118" s="1"/>
  <c r="BD466" i="118" s="1"/>
  <c r="BD467" i="118" s="1"/>
  <c r="BD468" i="118" s="1"/>
  <c r="BD469" i="118" s="1"/>
  <c r="BD470" i="118" s="1"/>
  <c r="BD471" i="118" s="1"/>
  <c r="BD472" i="118" s="1"/>
  <c r="BD473" i="118" s="1"/>
  <c r="BD474" i="118" s="1"/>
  <c r="BD475" i="118" s="1"/>
  <c r="BD476" i="118" s="1"/>
  <c r="BD477" i="118" s="1"/>
  <c r="BD478" i="118" s="1"/>
  <c r="BD479" i="118" s="1"/>
  <c r="BD480" i="118" s="1"/>
  <c r="BD481" i="118" s="1"/>
  <c r="BD482" i="118" s="1"/>
  <c r="BD483" i="118" s="1"/>
  <c r="BD484" i="118" s="1"/>
  <c r="BD485" i="118" s="1"/>
  <c r="BD486" i="118" s="1"/>
  <c r="BD487" i="118" s="1"/>
  <c r="BD488" i="118" s="1"/>
  <c r="BD489" i="118" s="1"/>
  <c r="BD490" i="118" s="1"/>
  <c r="BD491" i="118" s="1"/>
  <c r="BD492" i="118" s="1"/>
  <c r="BD493" i="118" s="1"/>
  <c r="BD494" i="118" s="1"/>
  <c r="BD495" i="118" s="1"/>
  <c r="BD496" i="118" s="1"/>
  <c r="BD497" i="118" s="1"/>
  <c r="BD498" i="118" s="1"/>
  <c r="BD499" i="118" s="1"/>
  <c r="BD500" i="118" s="1"/>
  <c r="BD501" i="118" s="1"/>
  <c r="BD502" i="118" s="1"/>
  <c r="BD503" i="118" s="1"/>
  <c r="BD504" i="118" s="1"/>
  <c r="BD505" i="118" s="1"/>
  <c r="BD506" i="118" s="1"/>
  <c r="BD507" i="118" s="1"/>
  <c r="BD508" i="118" s="1"/>
  <c r="BD509" i="118" s="1"/>
  <c r="Y296" i="115"/>
  <c r="Z296" i="115" s="1"/>
  <c r="AA296" i="115" s="1"/>
  <c r="AU925" i="29" s="1"/>
  <c r="BR326" i="118"/>
  <c r="AC732" i="29"/>
  <c r="AE732" i="29" s="1"/>
  <c r="AF732" i="29" s="1"/>
  <c r="AE558" i="29"/>
  <c r="AF558" i="29" s="1"/>
  <c r="AC559" i="29" s="1"/>
  <c r="AZ326" i="118"/>
  <c r="BI326" i="118" s="1"/>
  <c r="BC326" i="118"/>
  <c r="N327" i="118"/>
  <c r="P327" i="118"/>
  <c r="Y59" i="118"/>
  <c r="AH59" i="118" s="1"/>
  <c r="AA59" i="118"/>
  <c r="AB59" i="118" s="1"/>
  <c r="Y193" i="118"/>
  <c r="AC193" i="118" s="1"/>
  <c r="O193" i="118" s="1"/>
  <c r="AA193" i="118"/>
  <c r="AB193" i="118" s="1"/>
  <c r="AB295" i="115"/>
  <c r="BK924" i="29" s="1"/>
  <c r="AE172" i="115"/>
  <c r="AV580" i="29" s="1"/>
  <c r="AE109" i="115"/>
  <c r="AV404" i="29" s="1"/>
  <c r="AE298" i="115"/>
  <c r="AV927" i="29" s="1"/>
  <c r="AE236" i="115"/>
  <c r="AV755" i="29" s="1"/>
  <c r="AB169" i="115"/>
  <c r="BK577" i="29" s="1"/>
  <c r="AE47" i="115"/>
  <c r="AV231" i="29" s="1"/>
  <c r="Q173" i="115"/>
  <c r="R173" i="115" s="1"/>
  <c r="AD173" i="115"/>
  <c r="P174" i="115"/>
  <c r="AC173" i="115"/>
  <c r="AA170" i="115"/>
  <c r="AU578" i="29" s="1"/>
  <c r="AB106" i="115"/>
  <c r="BK401" i="29" s="1"/>
  <c r="AB233" i="115"/>
  <c r="BK752" i="29" s="1"/>
  <c r="AA107" i="115"/>
  <c r="AU402" i="29" s="1"/>
  <c r="AA234" i="115"/>
  <c r="AU753" i="29" s="1"/>
  <c r="T171" i="115"/>
  <c r="W171" i="115" s="1"/>
  <c r="X171" i="115" s="1"/>
  <c r="V171" i="115"/>
  <c r="Q48" i="115"/>
  <c r="R48" i="115" s="1"/>
  <c r="S48" i="115" s="1"/>
  <c r="T48" i="115" s="1"/>
  <c r="U172" i="115"/>
  <c r="S172" i="115"/>
  <c r="AB44" i="115"/>
  <c r="BK228" i="29" s="1"/>
  <c r="Q299" i="115"/>
  <c r="R299" i="115" s="1"/>
  <c r="AC299" i="115"/>
  <c r="AD299" i="115"/>
  <c r="P300" i="115"/>
  <c r="AC110" i="115"/>
  <c r="Q110" i="115"/>
  <c r="R110" i="115" s="1"/>
  <c r="AD110" i="115"/>
  <c r="P111" i="115"/>
  <c r="U109" i="115"/>
  <c r="S109" i="115"/>
  <c r="U236" i="115"/>
  <c r="S236" i="115"/>
  <c r="AC237" i="115"/>
  <c r="Q237" i="115"/>
  <c r="R237" i="115" s="1"/>
  <c r="AD237" i="115"/>
  <c r="P238" i="115"/>
  <c r="V235" i="115"/>
  <c r="T235" i="115"/>
  <c r="W235" i="115" s="1"/>
  <c r="X235" i="115" s="1"/>
  <c r="T297" i="115"/>
  <c r="W297" i="115" s="1"/>
  <c r="X297" i="115" s="1"/>
  <c r="V297" i="115"/>
  <c r="T108" i="115"/>
  <c r="W108" i="115" s="1"/>
  <c r="X108" i="115" s="1"/>
  <c r="V108" i="115"/>
  <c r="S298" i="115"/>
  <c r="U298" i="115"/>
  <c r="AC48" i="115"/>
  <c r="P49" i="115"/>
  <c r="AD48" i="115"/>
  <c r="V46" i="115"/>
  <c r="W46" i="115"/>
  <c r="X46" i="115" s="1"/>
  <c r="Y46" i="115" s="1"/>
  <c r="Z46" i="115" s="1"/>
  <c r="U47" i="115"/>
  <c r="AH914" i="29"/>
  <c r="AI914" i="29" s="1"/>
  <c r="AJ914" i="29" s="1"/>
  <c r="AG915" i="29" s="1"/>
  <c r="AI740" i="29"/>
  <c r="AJ740" i="29" s="1"/>
  <c r="AG741" i="29" s="1"/>
  <c r="AH565" i="29"/>
  <c r="I37" i="29"/>
  <c r="O54" i="29" s="1"/>
  <c r="F17" i="59"/>
  <c r="F14" i="59"/>
  <c r="D158" i="29"/>
  <c r="D157" i="29"/>
  <c r="G154" i="29"/>
  <c r="AG93" i="29" l="1"/>
  <c r="O117" i="29" s="1"/>
  <c r="K68" i="114"/>
  <c r="K1012" i="29" s="1"/>
  <c r="AG91" i="29"/>
  <c r="O115" i="29" s="1"/>
  <c r="K67" i="114"/>
  <c r="K1010" i="29" s="1"/>
  <c r="Y235" i="115"/>
  <c r="Z235" i="115" s="1"/>
  <c r="AA235" i="115" s="1"/>
  <c r="AU754" i="29" s="1"/>
  <c r="Y108" i="115"/>
  <c r="Z108" i="115" s="1"/>
  <c r="AA108" i="115" s="1"/>
  <c r="AU403" i="29" s="1"/>
  <c r="AA460" i="118"/>
  <c r="AB460" i="118" s="1"/>
  <c r="Y460" i="118"/>
  <c r="AH460" i="118" s="1"/>
  <c r="AA595" i="118"/>
  <c r="AB595" i="118" s="1"/>
  <c r="Y595" i="118"/>
  <c r="AC595" i="118" s="1"/>
  <c r="AD904" i="29"/>
  <c r="AC904" i="29"/>
  <c r="AM562" i="29"/>
  <c r="AM555" i="29"/>
  <c r="AK555" i="29" s="1"/>
  <c r="AO555" i="29" s="1"/>
  <c r="AM559" i="29"/>
  <c r="AK559" i="29" s="1"/>
  <c r="AO559" i="29" s="1"/>
  <c r="AM563" i="29"/>
  <c r="AM567" i="29"/>
  <c r="AM571" i="29"/>
  <c r="AM575" i="29"/>
  <c r="AM579" i="29"/>
  <c r="AM583" i="29"/>
  <c r="AM587" i="29"/>
  <c r="AM591" i="29"/>
  <c r="AM595" i="29"/>
  <c r="AM599" i="29"/>
  <c r="AM603" i="29"/>
  <c r="AM554" i="29"/>
  <c r="AK554" i="29" s="1"/>
  <c r="AO554" i="29" s="1"/>
  <c r="AM557" i="29"/>
  <c r="AK557" i="29" s="1"/>
  <c r="AO557" i="29" s="1"/>
  <c r="AM561" i="29"/>
  <c r="AM565" i="29"/>
  <c r="AM573" i="29"/>
  <c r="AM581" i="29"/>
  <c r="AM589" i="29"/>
  <c r="AM597" i="29"/>
  <c r="AM378" i="29"/>
  <c r="AM570" i="29"/>
  <c r="AM578" i="29"/>
  <c r="AM586" i="29"/>
  <c r="AM594" i="29"/>
  <c r="AM602" i="29"/>
  <c r="AM556" i="29"/>
  <c r="AK556" i="29" s="1"/>
  <c r="AO556" i="29" s="1"/>
  <c r="AM560" i="29"/>
  <c r="AM564" i="29"/>
  <c r="AM568" i="29"/>
  <c r="AM572" i="29"/>
  <c r="AM576" i="29"/>
  <c r="AM580" i="29"/>
  <c r="AM584" i="29"/>
  <c r="AM588" i="29"/>
  <c r="AM592" i="29"/>
  <c r="AM596" i="29"/>
  <c r="AM600" i="29"/>
  <c r="AM569" i="29"/>
  <c r="AM577" i="29"/>
  <c r="AM585" i="29"/>
  <c r="AM593" i="29"/>
  <c r="AM601" i="29"/>
  <c r="AM558" i="29"/>
  <c r="AK558" i="29" s="1"/>
  <c r="AO558" i="29" s="1"/>
  <c r="AM566" i="29"/>
  <c r="AM574" i="29"/>
  <c r="AM582" i="29"/>
  <c r="AM590" i="29"/>
  <c r="AM598" i="29"/>
  <c r="AM905" i="29"/>
  <c r="AM921" i="29"/>
  <c r="AM945" i="29"/>
  <c r="AM914" i="29"/>
  <c r="AM930" i="29"/>
  <c r="AM946" i="29"/>
  <c r="AM901" i="29"/>
  <c r="AK901" i="29" s="1"/>
  <c r="AO901" i="29" s="1"/>
  <c r="AM915" i="29"/>
  <c r="AM935" i="29"/>
  <c r="AM908" i="29"/>
  <c r="AM924" i="29"/>
  <c r="AM940" i="29"/>
  <c r="AM941" i="29"/>
  <c r="AM738" i="29"/>
  <c r="AM754" i="29"/>
  <c r="AM770" i="29"/>
  <c r="AM735" i="29"/>
  <c r="AM751" i="29"/>
  <c r="AM767" i="29"/>
  <c r="AM736" i="29"/>
  <c r="AM752" i="29"/>
  <c r="AM768" i="29"/>
  <c r="AM733" i="29"/>
  <c r="AM749" i="29"/>
  <c r="AM765" i="29"/>
  <c r="AM909" i="29"/>
  <c r="AM925" i="29"/>
  <c r="AM902" i="29"/>
  <c r="AK902" i="29" s="1"/>
  <c r="AO902" i="29" s="1"/>
  <c r="AM918" i="29"/>
  <c r="AM934" i="29"/>
  <c r="AM950" i="29"/>
  <c r="AM903" i="29"/>
  <c r="AK903" i="29" s="1"/>
  <c r="AO903" i="29" s="1"/>
  <c r="AM919" i="29"/>
  <c r="AM939" i="29"/>
  <c r="AM912" i="29"/>
  <c r="AM928" i="29"/>
  <c r="AM944" i="29"/>
  <c r="AM949" i="29"/>
  <c r="AM742" i="29"/>
  <c r="AM758" i="29"/>
  <c r="AM774" i="29"/>
  <c r="AM739" i="29"/>
  <c r="AM755" i="29"/>
  <c r="AM771" i="29"/>
  <c r="AM740" i="29"/>
  <c r="AM756" i="29"/>
  <c r="AM772" i="29"/>
  <c r="AM737" i="29"/>
  <c r="AM753" i="29"/>
  <c r="AM769" i="29"/>
  <c r="AM913" i="29"/>
  <c r="AM929" i="29"/>
  <c r="AM906" i="29"/>
  <c r="AM922" i="29"/>
  <c r="AM938" i="29"/>
  <c r="AM931" i="29"/>
  <c r="AM907" i="29"/>
  <c r="AM923" i="29"/>
  <c r="AM947" i="29"/>
  <c r="AM916" i="29"/>
  <c r="AM932" i="29"/>
  <c r="AM948" i="29"/>
  <c r="AM730" i="29"/>
  <c r="AK730" i="29" s="1"/>
  <c r="AO730" i="29" s="1"/>
  <c r="AM746" i="29"/>
  <c r="AM762" i="29"/>
  <c r="AM728" i="29"/>
  <c r="AK728" i="29" s="1"/>
  <c r="AM743" i="29"/>
  <c r="AM759" i="29"/>
  <c r="AM775" i="29"/>
  <c r="AM744" i="29"/>
  <c r="AM760" i="29"/>
  <c r="AM776" i="29"/>
  <c r="AM741" i="29"/>
  <c r="AM757" i="29"/>
  <c r="AM773" i="29"/>
  <c r="AM917" i="29"/>
  <c r="AM937" i="29"/>
  <c r="AM910" i="29"/>
  <c r="AM926" i="29"/>
  <c r="AM942" i="29"/>
  <c r="AM943" i="29"/>
  <c r="AM911" i="29"/>
  <c r="AM927" i="29"/>
  <c r="AM904" i="29"/>
  <c r="AM920" i="29"/>
  <c r="AM936" i="29"/>
  <c r="AM933" i="29"/>
  <c r="AM734" i="29"/>
  <c r="AM750" i="29"/>
  <c r="AM766" i="29"/>
  <c r="AM731" i="29"/>
  <c r="AK731" i="29" s="1"/>
  <c r="AO731" i="29" s="1"/>
  <c r="AM747" i="29"/>
  <c r="AM763" i="29"/>
  <c r="AM732" i="29"/>
  <c r="AK732" i="29" s="1"/>
  <c r="AO732" i="29" s="1"/>
  <c r="AM748" i="29"/>
  <c r="AM764" i="29"/>
  <c r="AM729" i="29"/>
  <c r="AK729" i="29" s="1"/>
  <c r="AO729" i="29" s="1"/>
  <c r="AM745" i="29"/>
  <c r="AM761" i="29"/>
  <c r="AM777" i="29"/>
  <c r="Y297" i="115"/>
  <c r="Z297" i="115" s="1"/>
  <c r="AA297" i="115" s="1"/>
  <c r="AU926" i="29" s="1"/>
  <c r="Y171" i="115"/>
  <c r="Z171" i="115" s="1"/>
  <c r="AD733" i="29"/>
  <c r="AC733" i="29"/>
  <c r="AD559" i="29"/>
  <c r="AE559" i="29" s="1"/>
  <c r="AF559" i="29" s="1"/>
  <c r="X327" i="118"/>
  <c r="AC59" i="118"/>
  <c r="BO59" i="118"/>
  <c r="AW59" i="118"/>
  <c r="BF59" i="118" s="1"/>
  <c r="AQ59" i="118"/>
  <c r="Z59" i="118"/>
  <c r="Q193" i="118"/>
  <c r="AP193" i="118"/>
  <c r="AT193" i="118"/>
  <c r="BL193" i="118"/>
  <c r="AK193" i="118"/>
  <c r="AL193" i="118" s="1"/>
  <c r="AM193" i="118"/>
  <c r="AI193" i="118"/>
  <c r="AJ193" i="118" s="1"/>
  <c r="AX193" i="118"/>
  <c r="BG193" i="118" s="1"/>
  <c r="AD193" i="118"/>
  <c r="BP193" i="118"/>
  <c r="AH193" i="118"/>
  <c r="BO193" i="118"/>
  <c r="AQ193" i="118"/>
  <c r="AW193" i="118"/>
  <c r="BF193" i="118" s="1"/>
  <c r="AE193" i="118"/>
  <c r="AF193" i="118" s="1"/>
  <c r="Z193" i="118"/>
  <c r="AE110" i="115"/>
  <c r="AV405" i="29" s="1"/>
  <c r="AE299" i="115"/>
  <c r="AV928" i="29" s="1"/>
  <c r="AE48" i="115"/>
  <c r="AV232" i="29" s="1"/>
  <c r="AE237" i="115"/>
  <c r="AV756" i="29" s="1"/>
  <c r="AE173" i="115"/>
  <c r="AV581" i="29" s="1"/>
  <c r="AB296" i="115"/>
  <c r="BK925" i="29" s="1"/>
  <c r="AA171" i="115"/>
  <c r="AU579" i="29" s="1"/>
  <c r="Q49" i="115"/>
  <c r="R49" i="115" s="1"/>
  <c r="S49" i="115" s="1"/>
  <c r="T49" i="115" s="1"/>
  <c r="T172" i="115"/>
  <c r="W172" i="115" s="1"/>
  <c r="X172" i="115" s="1"/>
  <c r="V172" i="115"/>
  <c r="AB45" i="115"/>
  <c r="BK229" i="29" s="1"/>
  <c r="Q174" i="115"/>
  <c r="R174" i="115" s="1"/>
  <c r="AC174" i="115"/>
  <c r="AD174" i="115"/>
  <c r="P175" i="115"/>
  <c r="AA46" i="115"/>
  <c r="AU230" i="29" s="1"/>
  <c r="AB234" i="115"/>
  <c r="BK753" i="29" s="1"/>
  <c r="AB107" i="115"/>
  <c r="BK402" i="29" s="1"/>
  <c r="AB170" i="115"/>
  <c r="BK578" i="29" s="1"/>
  <c r="S173" i="115"/>
  <c r="U173" i="115"/>
  <c r="AO722" i="29"/>
  <c r="AO895" i="29"/>
  <c r="AO372" i="29"/>
  <c r="AO548" i="29"/>
  <c r="AO198" i="29"/>
  <c r="AM204" i="29"/>
  <c r="BL893" i="29"/>
  <c r="BL720" i="29"/>
  <c r="BL196" i="29"/>
  <c r="BL370" i="29"/>
  <c r="BL546" i="29"/>
  <c r="N991" i="29"/>
  <c r="BM991" i="29" s="1"/>
  <c r="N829" i="29"/>
  <c r="BM829" i="29" s="1"/>
  <c r="N654" i="29"/>
  <c r="BM654" i="29" s="1"/>
  <c r="N477" i="29"/>
  <c r="BM477" i="29" s="1"/>
  <c r="N1001" i="29"/>
  <c r="BM1001" i="29" s="1"/>
  <c r="N827" i="29"/>
  <c r="BM827" i="29" s="1"/>
  <c r="N644" i="29"/>
  <c r="BM644" i="29" s="1"/>
  <c r="N479" i="29"/>
  <c r="BM479" i="29" s="1"/>
  <c r="N1002" i="29"/>
  <c r="BM1002" i="29" s="1"/>
  <c r="N653" i="29"/>
  <c r="BM653" i="29" s="1"/>
  <c r="N1000" i="29"/>
  <c r="BM1000" i="29" s="1"/>
  <c r="N478" i="29"/>
  <c r="BM478" i="29" s="1"/>
  <c r="N294" i="29"/>
  <c r="BM294" i="29" s="1"/>
  <c r="N304" i="29"/>
  <c r="BM304" i="29" s="1"/>
  <c r="N305" i="29"/>
  <c r="BM305" i="29" s="1"/>
  <c r="N818" i="29"/>
  <c r="BM818" i="29" s="1"/>
  <c r="N655" i="29"/>
  <c r="BM655" i="29" s="1"/>
  <c r="N303" i="29"/>
  <c r="BM303" i="29" s="1"/>
  <c r="N828" i="29"/>
  <c r="BM828" i="29" s="1"/>
  <c r="N468" i="29"/>
  <c r="BM468" i="29" s="1"/>
  <c r="N439" i="29"/>
  <c r="BM439" i="29" s="1"/>
  <c r="N961" i="29"/>
  <c r="N438" i="29"/>
  <c r="BM438" i="29" s="1"/>
  <c r="N962" i="29"/>
  <c r="N789" i="29"/>
  <c r="BM789" i="29" s="1"/>
  <c r="N265" i="29"/>
  <c r="BM265" i="29" s="1"/>
  <c r="N788" i="29"/>
  <c r="BM788" i="29" s="1"/>
  <c r="N264" i="29"/>
  <c r="BM264" i="29" s="1"/>
  <c r="N615" i="29"/>
  <c r="BM615" i="29" s="1"/>
  <c r="N614" i="29"/>
  <c r="BM614" i="29" s="1"/>
  <c r="N400" i="29"/>
  <c r="N412" i="29"/>
  <c r="N432" i="29"/>
  <c r="BM432" i="29" s="1"/>
  <c r="N442" i="29"/>
  <c r="BM442" i="29" s="1"/>
  <c r="N450" i="29"/>
  <c r="N458" i="29"/>
  <c r="N466" i="29"/>
  <c r="BM466" i="29" s="1"/>
  <c r="N473" i="29"/>
  <c r="N216" i="29"/>
  <c r="BM216" i="29" s="1"/>
  <c r="N232" i="29"/>
  <c r="BM232" i="29" s="1"/>
  <c r="N248" i="29"/>
  <c r="BM248" i="29" s="1"/>
  <c r="N266" i="29"/>
  <c r="BM266" i="29" s="1"/>
  <c r="N282" i="29"/>
  <c r="BM282" i="29" s="1"/>
  <c r="N299" i="29"/>
  <c r="BM299" i="29" s="1"/>
  <c r="N616" i="29"/>
  <c r="BM616" i="29" s="1"/>
  <c r="N624" i="29"/>
  <c r="BM624" i="29" s="1"/>
  <c r="N632" i="29"/>
  <c r="BM632" i="29" s="1"/>
  <c r="N640" i="29"/>
  <c r="N649" i="29"/>
  <c r="N730" i="29"/>
  <c r="BM730" i="29" s="1"/>
  <c r="N738" i="29"/>
  <c r="BM738" i="29" s="1"/>
  <c r="N746" i="29"/>
  <c r="N754" i="29"/>
  <c r="BM754" i="29" s="1"/>
  <c r="N762" i="29"/>
  <c r="N816" i="29"/>
  <c r="N825" i="29"/>
  <c r="N910" i="29"/>
  <c r="BM910" i="29" s="1"/>
  <c r="N926" i="29"/>
  <c r="BM926" i="29" s="1"/>
  <c r="N422" i="29"/>
  <c r="N430" i="29"/>
  <c r="BM430" i="29" s="1"/>
  <c r="N444" i="29"/>
  <c r="BM444" i="29" s="1"/>
  <c r="N472" i="29"/>
  <c r="N206" i="29"/>
  <c r="BM206" i="29" s="1"/>
  <c r="N222" i="29"/>
  <c r="BM222" i="29" s="1"/>
  <c r="N238" i="29"/>
  <c r="BM238" i="29" s="1"/>
  <c r="N254" i="29"/>
  <c r="BM254" i="29" s="1"/>
  <c r="N272" i="29"/>
  <c r="BM272" i="29" s="1"/>
  <c r="N288" i="29"/>
  <c r="BM288" i="29" s="1"/>
  <c r="N552" i="29"/>
  <c r="N560" i="29"/>
  <c r="BM560" i="29" s="1"/>
  <c r="N568" i="29"/>
  <c r="N576" i="29"/>
  <c r="N584" i="29"/>
  <c r="BM584" i="29" s="1"/>
  <c r="N592" i="29"/>
  <c r="BM592" i="29" s="1"/>
  <c r="N612" i="29"/>
  <c r="BM612" i="29" s="1"/>
  <c r="N622" i="29"/>
  <c r="BM622" i="29" s="1"/>
  <c r="N630" i="29"/>
  <c r="N642" i="29"/>
  <c r="BM642" i="29" s="1"/>
  <c r="N651" i="29"/>
  <c r="N728" i="29"/>
  <c r="BM728" i="29" s="1"/>
  <c r="N736" i="29"/>
  <c r="BM736" i="29" s="1"/>
  <c r="N790" i="29"/>
  <c r="BM790" i="29" s="1"/>
  <c r="N823" i="29"/>
  <c r="N900" i="29"/>
  <c r="N916" i="29"/>
  <c r="N932" i="29"/>
  <c r="BM932" i="29" s="1"/>
  <c r="N948" i="29"/>
  <c r="N972" i="29"/>
  <c r="BM972" i="29" s="1"/>
  <c r="N984" i="29"/>
  <c r="N997" i="29"/>
  <c r="N377" i="29"/>
  <c r="N385" i="29"/>
  <c r="BM385" i="29" s="1"/>
  <c r="N393" i="29"/>
  <c r="N401" i="29"/>
  <c r="N409" i="29"/>
  <c r="BM409" i="29" s="1"/>
  <c r="N421" i="29"/>
  <c r="BM421" i="29" s="1"/>
  <c r="N429" i="29"/>
  <c r="N443" i="29"/>
  <c r="BM443" i="29" s="1"/>
  <c r="N455" i="29"/>
  <c r="BM455" i="29" s="1"/>
  <c r="N213" i="29"/>
  <c r="BM213" i="29" s="1"/>
  <c r="N229" i="29"/>
  <c r="BM229" i="29" s="1"/>
  <c r="N245" i="29"/>
  <c r="BM245" i="29" s="1"/>
  <c r="N261" i="29"/>
  <c r="BM261" i="29" s="1"/>
  <c r="N279" i="29"/>
  <c r="BM279" i="29" s="1"/>
  <c r="N296" i="29"/>
  <c r="BM296" i="29" s="1"/>
  <c r="N555" i="29"/>
  <c r="N563" i="29"/>
  <c r="BM563" i="29" s="1"/>
  <c r="N575" i="29"/>
  <c r="N591" i="29"/>
  <c r="BM591" i="29" s="1"/>
  <c r="N599" i="29"/>
  <c r="N611" i="29"/>
  <c r="BM611" i="29" s="1"/>
  <c r="N621" i="29"/>
  <c r="BM621" i="29" s="1"/>
  <c r="N793" i="29"/>
  <c r="BM793" i="29" s="1"/>
  <c r="N801" i="29"/>
  <c r="N809" i="29"/>
  <c r="N817" i="29"/>
  <c r="BM817" i="29" s="1"/>
  <c r="N826" i="29"/>
  <c r="N903" i="29"/>
  <c r="BM903" i="29" s="1"/>
  <c r="N911" i="29"/>
  <c r="BM911" i="29" s="1"/>
  <c r="N919" i="29"/>
  <c r="N927" i="29"/>
  <c r="BM927" i="29" s="1"/>
  <c r="N935" i="29"/>
  <c r="N943" i="29"/>
  <c r="N969" i="29"/>
  <c r="BM969" i="29" s="1"/>
  <c r="N994" i="29"/>
  <c r="BM994" i="29" s="1"/>
  <c r="N952" i="29"/>
  <c r="N982" i="29"/>
  <c r="N990" i="29"/>
  <c r="BM990" i="29" s="1"/>
  <c r="N999" i="29"/>
  <c r="N383" i="29"/>
  <c r="BM383" i="29" s="1"/>
  <c r="N391" i="29"/>
  <c r="N399" i="29"/>
  <c r="BM399" i="29" s="1"/>
  <c r="N407" i="29"/>
  <c r="BM407" i="29" s="1"/>
  <c r="N431" i="29"/>
  <c r="BM431" i="29" s="1"/>
  <c r="N441" i="29"/>
  <c r="BM441" i="29" s="1"/>
  <c r="N453" i="29"/>
  <c r="BM453" i="29" s="1"/>
  <c r="N470" i="29"/>
  <c r="BM470" i="29" s="1"/>
  <c r="N207" i="29"/>
  <c r="BM207" i="29" s="1"/>
  <c r="N223" i="29"/>
  <c r="BM223" i="29" s="1"/>
  <c r="N239" i="29"/>
  <c r="BM239" i="29" s="1"/>
  <c r="N255" i="29"/>
  <c r="BM255" i="29" s="1"/>
  <c r="N273" i="29"/>
  <c r="BM273" i="29" s="1"/>
  <c r="N289" i="29"/>
  <c r="BM289" i="29" s="1"/>
  <c r="N725" i="29"/>
  <c r="N733" i="29"/>
  <c r="BM733" i="29" s="1"/>
  <c r="N741" i="29"/>
  <c r="N749" i="29"/>
  <c r="N757" i="29"/>
  <c r="BM757" i="29" s="1"/>
  <c r="N765" i="29"/>
  <c r="N773" i="29"/>
  <c r="N781" i="29"/>
  <c r="N799" i="29"/>
  <c r="BM799" i="29" s="1"/>
  <c r="N897" i="29"/>
  <c r="N905" i="29"/>
  <c r="BM905" i="29" s="1"/>
  <c r="N913" i="29"/>
  <c r="BM913" i="29" s="1"/>
  <c r="N921" i="29"/>
  <c r="N929" i="29"/>
  <c r="BM929" i="29" s="1"/>
  <c r="N937" i="29"/>
  <c r="N945" i="29"/>
  <c r="N953" i="29"/>
  <c r="N380" i="29"/>
  <c r="BM380" i="29" s="1"/>
  <c r="N388" i="29"/>
  <c r="BM388" i="29" s="1"/>
  <c r="N404" i="29"/>
  <c r="BM404" i="29" s="1"/>
  <c r="N424" i="29"/>
  <c r="BM424" i="29" s="1"/>
  <c r="N204" i="29"/>
  <c r="BM204" i="29" s="1"/>
  <c r="N220" i="29"/>
  <c r="BM220" i="29" s="1"/>
  <c r="N236" i="29"/>
  <c r="BM236" i="29" s="1"/>
  <c r="N252" i="29"/>
  <c r="BM252" i="29" s="1"/>
  <c r="N270" i="29"/>
  <c r="BM270" i="29" s="1"/>
  <c r="N286" i="29"/>
  <c r="BM286" i="29" s="1"/>
  <c r="N550" i="29"/>
  <c r="N558" i="29"/>
  <c r="BM558" i="29" s="1"/>
  <c r="N566" i="29"/>
  <c r="BM566" i="29" s="1"/>
  <c r="N574" i="29"/>
  <c r="N582" i="29"/>
  <c r="BM582" i="29" s="1"/>
  <c r="N590" i="29"/>
  <c r="N598" i="29"/>
  <c r="N606" i="29"/>
  <c r="N774" i="29"/>
  <c r="N782" i="29"/>
  <c r="N792" i="29"/>
  <c r="BM792" i="29" s="1"/>
  <c r="N800" i="29"/>
  <c r="N808" i="29"/>
  <c r="N898" i="29"/>
  <c r="N914" i="29"/>
  <c r="N950" i="29"/>
  <c r="N392" i="29"/>
  <c r="N408" i="29"/>
  <c r="BM408" i="29" s="1"/>
  <c r="N416" i="29"/>
  <c r="BM416" i="29" s="1"/>
  <c r="N436" i="29"/>
  <c r="BM436" i="29" s="1"/>
  <c r="N446" i="29"/>
  <c r="BM446" i="29" s="1"/>
  <c r="N454" i="29"/>
  <c r="BM454" i="29" s="1"/>
  <c r="N462" i="29"/>
  <c r="N471" i="29"/>
  <c r="BM471" i="29" s="1"/>
  <c r="N475" i="29"/>
  <c r="N208" i="29"/>
  <c r="BM208" i="29" s="1"/>
  <c r="N224" i="29"/>
  <c r="BM224" i="29" s="1"/>
  <c r="N240" i="29"/>
  <c r="BM240" i="29" s="1"/>
  <c r="N256" i="29"/>
  <c r="BM256" i="29" s="1"/>
  <c r="N274" i="29"/>
  <c r="BM274" i="29" s="1"/>
  <c r="N290" i="29"/>
  <c r="BM290" i="29" s="1"/>
  <c r="N620" i="29"/>
  <c r="BM620" i="29" s="1"/>
  <c r="N628" i="29"/>
  <c r="N636" i="29"/>
  <c r="N645" i="29"/>
  <c r="BM645" i="29" s="1"/>
  <c r="N726" i="29"/>
  <c r="N734" i="29"/>
  <c r="BM734" i="29" s="1"/>
  <c r="N742" i="29"/>
  <c r="N750" i="29"/>
  <c r="N758" i="29"/>
  <c r="BM758" i="29" s="1"/>
  <c r="N766" i="29"/>
  <c r="BM766" i="29" s="1"/>
  <c r="N821" i="29"/>
  <c r="BM821" i="29" s="1"/>
  <c r="N902" i="29"/>
  <c r="N918" i="29"/>
  <c r="N954" i="29"/>
  <c r="N426" i="29"/>
  <c r="N434" i="29"/>
  <c r="BM434" i="29" s="1"/>
  <c r="N476" i="29"/>
  <c r="N214" i="29"/>
  <c r="BM214" i="29" s="1"/>
  <c r="N230" i="29"/>
  <c r="BM230" i="29" s="1"/>
  <c r="N246" i="29"/>
  <c r="BM246" i="29" s="1"/>
  <c r="N262" i="29"/>
  <c r="BM262" i="29" s="1"/>
  <c r="N280" i="29"/>
  <c r="BM280" i="29" s="1"/>
  <c r="N297" i="29"/>
  <c r="BM297" i="29" s="1"/>
  <c r="N556" i="29"/>
  <c r="BM556" i="29" s="1"/>
  <c r="N564" i="29"/>
  <c r="BM564" i="29" s="1"/>
  <c r="N572" i="29"/>
  <c r="N580" i="29"/>
  <c r="BM580" i="29" s="1"/>
  <c r="N588" i="29"/>
  <c r="N618" i="29"/>
  <c r="BM618" i="29" s="1"/>
  <c r="N626" i="29"/>
  <c r="N634" i="29"/>
  <c r="N647" i="29"/>
  <c r="BM647" i="29" s="1"/>
  <c r="N724" i="29"/>
  <c r="N732" i="29"/>
  <c r="BM732" i="29" s="1"/>
  <c r="N744" i="29"/>
  <c r="N780" i="29"/>
  <c r="N798" i="29"/>
  <c r="BM798" i="29" s="1"/>
  <c r="N896" i="29"/>
  <c r="N908" i="29"/>
  <c r="BM908" i="29" s="1"/>
  <c r="N924" i="29"/>
  <c r="N940" i="29"/>
  <c r="BM940" i="29" s="1"/>
  <c r="N964" i="29"/>
  <c r="BM964" i="29" s="1"/>
  <c r="N980" i="29"/>
  <c r="BM980" i="29" s="1"/>
  <c r="N373" i="29"/>
  <c r="N381" i="29"/>
  <c r="BM381" i="29" s="1"/>
  <c r="N389" i="29"/>
  <c r="BM389" i="29" s="1"/>
  <c r="N397" i="29"/>
  <c r="N405" i="29"/>
  <c r="BM405" i="29" s="1"/>
  <c r="N413" i="29"/>
  <c r="BM413" i="29" s="1"/>
  <c r="N425" i="29"/>
  <c r="BM425" i="29" s="1"/>
  <c r="N437" i="29"/>
  <c r="BM437" i="29" s="1"/>
  <c r="N447" i="29"/>
  <c r="BM447" i="29" s="1"/>
  <c r="N463" i="29"/>
  <c r="N205" i="29"/>
  <c r="BM205" i="29" s="1"/>
  <c r="N221" i="29"/>
  <c r="BM221" i="29" s="1"/>
  <c r="N237" i="29"/>
  <c r="BM237" i="29" s="1"/>
  <c r="N253" i="29"/>
  <c r="BM253" i="29" s="1"/>
  <c r="N271" i="29"/>
  <c r="BM271" i="29" s="1"/>
  <c r="N287" i="29"/>
  <c r="BM287" i="29" s="1"/>
  <c r="N551" i="29"/>
  <c r="N559" i="29"/>
  <c r="BM559" i="29" s="1"/>
  <c r="N567" i="29"/>
  <c r="N583" i="29"/>
  <c r="BM583" i="29" s="1"/>
  <c r="N595" i="29"/>
  <c r="BM595" i="29" s="1"/>
  <c r="N603" i="29"/>
  <c r="N617" i="29"/>
  <c r="BM617" i="29" s="1"/>
  <c r="N787" i="29"/>
  <c r="BM787" i="29" s="1"/>
  <c r="N797" i="29"/>
  <c r="BM797" i="29" s="1"/>
  <c r="N805" i="29"/>
  <c r="N813" i="29"/>
  <c r="N822" i="29"/>
  <c r="N899" i="29"/>
  <c r="N907" i="29"/>
  <c r="BM907" i="29" s="1"/>
  <c r="N915" i="29"/>
  <c r="N923" i="29"/>
  <c r="N931" i="29"/>
  <c r="BM931" i="29" s="1"/>
  <c r="N939" i="29"/>
  <c r="N947" i="29"/>
  <c r="N959" i="29"/>
  <c r="BM959" i="29" s="1"/>
  <c r="N977" i="29"/>
  <c r="N989" i="29"/>
  <c r="N998" i="29"/>
  <c r="N956" i="29"/>
  <c r="BM956" i="29" s="1"/>
  <c r="N986" i="29"/>
  <c r="N995" i="29"/>
  <c r="N379" i="29"/>
  <c r="N387" i="29"/>
  <c r="BM387" i="29" s="1"/>
  <c r="N395" i="29"/>
  <c r="N403" i="29"/>
  <c r="BM403" i="29" s="1"/>
  <c r="N423" i="29"/>
  <c r="BM423" i="29" s="1"/>
  <c r="N435" i="29"/>
  <c r="BM435" i="29" s="1"/>
  <c r="N445" i="29"/>
  <c r="BM445" i="29" s="1"/>
  <c r="N461" i="29"/>
  <c r="BM461" i="29" s="1"/>
  <c r="N199" i="29"/>
  <c r="N215" i="29"/>
  <c r="BM215" i="29" s="1"/>
  <c r="N231" i="29"/>
  <c r="BM231" i="29" s="1"/>
  <c r="N247" i="29"/>
  <c r="BM247" i="29" s="1"/>
  <c r="N263" i="29"/>
  <c r="BM263" i="29" s="1"/>
  <c r="N281" i="29"/>
  <c r="BM281" i="29" s="1"/>
  <c r="N298" i="29"/>
  <c r="BM298" i="29" s="1"/>
  <c r="N569" i="29"/>
  <c r="N613" i="29"/>
  <c r="BM613" i="29" s="1"/>
  <c r="N729" i="29"/>
  <c r="N737" i="29"/>
  <c r="BM737" i="29" s="1"/>
  <c r="N745" i="29"/>
  <c r="N753" i="29"/>
  <c r="BM753" i="29" s="1"/>
  <c r="N761" i="29"/>
  <c r="N769" i="29"/>
  <c r="BM769" i="29" s="1"/>
  <c r="N777" i="29"/>
  <c r="N791" i="29"/>
  <c r="BM791" i="29" s="1"/>
  <c r="N824" i="29"/>
  <c r="N901" i="29"/>
  <c r="BM901" i="29" s="1"/>
  <c r="N909" i="29"/>
  <c r="BM909" i="29" s="1"/>
  <c r="N917" i="29"/>
  <c r="N925" i="29"/>
  <c r="N933" i="29"/>
  <c r="BM933" i="29" s="1"/>
  <c r="N941" i="29"/>
  <c r="BM941" i="29" s="1"/>
  <c r="N949" i="29"/>
  <c r="N957" i="29"/>
  <c r="BM957" i="29" s="1"/>
  <c r="N996" i="29"/>
  <c r="N384" i="29"/>
  <c r="BM384" i="29" s="1"/>
  <c r="N396" i="29"/>
  <c r="N420" i="29"/>
  <c r="BM420" i="29" s="1"/>
  <c r="N428" i="29"/>
  <c r="N200" i="29"/>
  <c r="BM200" i="29" s="1"/>
  <c r="N212" i="29"/>
  <c r="BM212" i="29" s="1"/>
  <c r="N228" i="29"/>
  <c r="BM228" i="29" s="1"/>
  <c r="N244" i="29"/>
  <c r="BM244" i="29" s="1"/>
  <c r="N260" i="29"/>
  <c r="BM260" i="29" s="1"/>
  <c r="N278" i="29"/>
  <c r="BM278" i="29" s="1"/>
  <c r="N295" i="29"/>
  <c r="BM295" i="29" s="1"/>
  <c r="N554" i="29"/>
  <c r="BM554" i="29" s="1"/>
  <c r="N562" i="29"/>
  <c r="BM562" i="29" s="1"/>
  <c r="N570" i="29"/>
  <c r="N578" i="29"/>
  <c r="N586" i="29"/>
  <c r="BM586" i="29" s="1"/>
  <c r="N594" i="29"/>
  <c r="BM594" i="29" s="1"/>
  <c r="N602" i="29"/>
  <c r="N610" i="29"/>
  <c r="BM610" i="29" s="1"/>
  <c r="N770" i="29"/>
  <c r="BM770" i="29" s="1"/>
  <c r="N778" i="29"/>
  <c r="N786" i="29"/>
  <c r="BM786" i="29" s="1"/>
  <c r="N796" i="29"/>
  <c r="BM796" i="29" s="1"/>
  <c r="N804" i="29"/>
  <c r="N812" i="29"/>
  <c r="N906" i="29"/>
  <c r="BM906" i="29" s="1"/>
  <c r="N922" i="29"/>
  <c r="N934" i="29"/>
  <c r="N942" i="29"/>
  <c r="BM942" i="29" s="1"/>
  <c r="N944" i="29"/>
  <c r="N378" i="29"/>
  <c r="BM378" i="29" s="1"/>
  <c r="N386" i="29"/>
  <c r="BM386" i="29" s="1"/>
  <c r="N394" i="29"/>
  <c r="N402" i="29"/>
  <c r="N410" i="29"/>
  <c r="BM410" i="29" s="1"/>
  <c r="N376" i="29"/>
  <c r="N398" i="29"/>
  <c r="N418" i="29"/>
  <c r="BM418" i="29" s="1"/>
  <c r="N440" i="29"/>
  <c r="BM440" i="29" s="1"/>
  <c r="N474" i="29"/>
  <c r="N226" i="29"/>
  <c r="BM226" i="29" s="1"/>
  <c r="N258" i="29"/>
  <c r="N292" i="29"/>
  <c r="BM292" i="29" s="1"/>
  <c r="N596" i="29"/>
  <c r="BM596" i="29" s="1"/>
  <c r="N604" i="29"/>
  <c r="N638" i="29"/>
  <c r="N748" i="29"/>
  <c r="N756" i="29"/>
  <c r="BM756" i="29" s="1"/>
  <c r="N764" i="29"/>
  <c r="N772" i="29"/>
  <c r="N794" i="29"/>
  <c r="BM794" i="29" s="1"/>
  <c r="N904" i="29"/>
  <c r="BM904" i="29" s="1"/>
  <c r="N936" i="29"/>
  <c r="N976" i="29"/>
  <c r="N993" i="29"/>
  <c r="BM993" i="29" s="1"/>
  <c r="N417" i="29"/>
  <c r="BM417" i="29" s="1"/>
  <c r="N467" i="29"/>
  <c r="BM467" i="29" s="1"/>
  <c r="N217" i="29"/>
  <c r="BM217" i="29" s="1"/>
  <c r="N249" i="29"/>
  <c r="BM249" i="29" s="1"/>
  <c r="N283" i="29"/>
  <c r="BM283" i="29" s="1"/>
  <c r="N579" i="29"/>
  <c r="BM579" i="29" s="1"/>
  <c r="N625" i="29"/>
  <c r="BM625" i="29" s="1"/>
  <c r="N633" i="29"/>
  <c r="BM633" i="29" s="1"/>
  <c r="N641" i="29"/>
  <c r="N650" i="29"/>
  <c r="N727" i="29"/>
  <c r="N735" i="29"/>
  <c r="BM735" i="29" s="1"/>
  <c r="N743" i="29"/>
  <c r="N751" i="29"/>
  <c r="N759" i="29"/>
  <c r="BM759" i="29" s="1"/>
  <c r="N767" i="29"/>
  <c r="BM767" i="29" s="1"/>
  <c r="N775" i="29"/>
  <c r="N783" i="29"/>
  <c r="BM783" i="29" s="1"/>
  <c r="N981" i="29"/>
  <c r="N375" i="29"/>
  <c r="N411" i="29"/>
  <c r="BM411" i="29" s="1"/>
  <c r="N419" i="29"/>
  <c r="BM419" i="29" s="1"/>
  <c r="N227" i="29"/>
  <c r="BM227" i="29" s="1"/>
  <c r="N259" i="29"/>
  <c r="BM259" i="29" s="1"/>
  <c r="N293" i="29"/>
  <c r="BM293" i="29" s="1"/>
  <c r="N573" i="29"/>
  <c r="N581" i="29"/>
  <c r="BM581" i="29" s="1"/>
  <c r="N589" i="29"/>
  <c r="N597" i="29"/>
  <c r="N605" i="29"/>
  <c r="N803" i="29"/>
  <c r="N811" i="29"/>
  <c r="N820" i="29"/>
  <c r="BM820" i="29" s="1"/>
  <c r="N946" i="29"/>
  <c r="N390" i="29"/>
  <c r="BM390" i="29" s="1"/>
  <c r="N448" i="29"/>
  <c r="BM448" i="29" s="1"/>
  <c r="N456" i="29"/>
  <c r="BM456" i="29" s="1"/>
  <c r="N464" i="29"/>
  <c r="BM464" i="29" s="1"/>
  <c r="N202" i="29"/>
  <c r="BM202" i="29" s="1"/>
  <c r="N234" i="29"/>
  <c r="BM234" i="29" s="1"/>
  <c r="N268" i="29"/>
  <c r="BM268" i="29" s="1"/>
  <c r="N301" i="29"/>
  <c r="BM301" i="29" s="1"/>
  <c r="N802" i="29"/>
  <c r="N810" i="29"/>
  <c r="N819" i="29"/>
  <c r="BM819" i="29" s="1"/>
  <c r="N912" i="29"/>
  <c r="BM912" i="29" s="1"/>
  <c r="N225" i="29"/>
  <c r="BM225" i="29" s="1"/>
  <c r="N257" i="29"/>
  <c r="BM257" i="29" s="1"/>
  <c r="N291" i="29"/>
  <c r="BM291" i="29" s="1"/>
  <c r="N587" i="29"/>
  <c r="BM587" i="29" s="1"/>
  <c r="N607" i="29"/>
  <c r="N955" i="29"/>
  <c r="N966" i="29"/>
  <c r="BM966" i="29" s="1"/>
  <c r="N974" i="29"/>
  <c r="N427" i="29"/>
  <c r="BM427" i="29" s="1"/>
  <c r="N449" i="29"/>
  <c r="BM449" i="29" s="1"/>
  <c r="N203" i="29"/>
  <c r="BM203" i="29" s="1"/>
  <c r="N235" i="29"/>
  <c r="BM235" i="29" s="1"/>
  <c r="N269" i="29"/>
  <c r="BM269" i="29" s="1"/>
  <c r="N302" i="29"/>
  <c r="BM302" i="29" s="1"/>
  <c r="N553" i="29"/>
  <c r="N561" i="29"/>
  <c r="BM561" i="29" s="1"/>
  <c r="N623" i="29"/>
  <c r="BM623" i="29" s="1"/>
  <c r="N631" i="29"/>
  <c r="BM631" i="29" s="1"/>
  <c r="N639" i="29"/>
  <c r="N648" i="29"/>
  <c r="N963" i="29"/>
  <c r="BM963" i="29" s="1"/>
  <c r="N971" i="29"/>
  <c r="BM971" i="29" s="1"/>
  <c r="N979" i="29"/>
  <c r="N987" i="29"/>
  <c r="N938" i="29"/>
  <c r="N382" i="29"/>
  <c r="BM382" i="29" s="1"/>
  <c r="N414" i="29"/>
  <c r="BM414" i="29" s="1"/>
  <c r="N210" i="29"/>
  <c r="BM210" i="29" s="1"/>
  <c r="N242" i="29"/>
  <c r="BM242" i="29" s="1"/>
  <c r="N276" i="29"/>
  <c r="BM276" i="29" s="1"/>
  <c r="N600" i="29"/>
  <c r="N608" i="29"/>
  <c r="N752" i="29"/>
  <c r="N760" i="29"/>
  <c r="BM760" i="29" s="1"/>
  <c r="N768" i="29"/>
  <c r="BM768" i="29" s="1"/>
  <c r="N776" i="29"/>
  <c r="N920" i="29"/>
  <c r="N958" i="29"/>
  <c r="BM958" i="29" s="1"/>
  <c r="N988" i="29"/>
  <c r="N451" i="29"/>
  <c r="N201" i="29"/>
  <c r="BM201" i="29" s="1"/>
  <c r="N233" i="29"/>
  <c r="BM233" i="29" s="1"/>
  <c r="N267" i="29"/>
  <c r="BM267" i="29" s="1"/>
  <c r="N300" i="29"/>
  <c r="BM300" i="29" s="1"/>
  <c r="N629" i="29"/>
  <c r="N637" i="29"/>
  <c r="N646" i="29"/>
  <c r="BM646" i="29" s="1"/>
  <c r="N723" i="29"/>
  <c r="N731" i="29"/>
  <c r="BM731" i="29" s="1"/>
  <c r="N739" i="29"/>
  <c r="BM739" i="29" s="1"/>
  <c r="N747" i="29"/>
  <c r="N755" i="29"/>
  <c r="BM755" i="29" s="1"/>
  <c r="N763" i="29"/>
  <c r="N771" i="29"/>
  <c r="N779" i="29"/>
  <c r="N965" i="29"/>
  <c r="BM965" i="29" s="1"/>
  <c r="N985" i="29"/>
  <c r="N415" i="29"/>
  <c r="BM415" i="29" s="1"/>
  <c r="N457" i="29"/>
  <c r="BM457" i="29" s="1"/>
  <c r="N211" i="29"/>
  <c r="BM211" i="29" s="1"/>
  <c r="N243" i="29"/>
  <c r="BM243" i="29" s="1"/>
  <c r="N277" i="29"/>
  <c r="BM277" i="29" s="1"/>
  <c r="N577" i="29"/>
  <c r="N585" i="29"/>
  <c r="BM585" i="29" s="1"/>
  <c r="N593" i="29"/>
  <c r="BM593" i="29" s="1"/>
  <c r="N601" i="29"/>
  <c r="BM601" i="29" s="1"/>
  <c r="N609" i="29"/>
  <c r="BM609" i="29" s="1"/>
  <c r="N785" i="29"/>
  <c r="BM785" i="29" s="1"/>
  <c r="N807" i="29"/>
  <c r="BM807" i="29" s="1"/>
  <c r="N815" i="29"/>
  <c r="N930" i="29"/>
  <c r="BM930" i="29" s="1"/>
  <c r="N374" i="29"/>
  <c r="N406" i="29"/>
  <c r="BM406" i="29" s="1"/>
  <c r="N452" i="29"/>
  <c r="N460" i="29"/>
  <c r="BM460" i="29" s="1"/>
  <c r="N469" i="29"/>
  <c r="BM469" i="29" s="1"/>
  <c r="N218" i="29"/>
  <c r="N250" i="29"/>
  <c r="BM250" i="29" s="1"/>
  <c r="N284" i="29"/>
  <c r="BM284" i="29" s="1"/>
  <c r="N740" i="29"/>
  <c r="BM740" i="29" s="1"/>
  <c r="N784" i="29"/>
  <c r="BM784" i="29" s="1"/>
  <c r="N806" i="29"/>
  <c r="BM806" i="29" s="1"/>
  <c r="N814" i="29"/>
  <c r="N928" i="29"/>
  <c r="BM928" i="29" s="1"/>
  <c r="N968" i="29"/>
  <c r="BM968" i="29" s="1"/>
  <c r="N433" i="29"/>
  <c r="BM433" i="29" s="1"/>
  <c r="N459" i="29"/>
  <c r="N209" i="29"/>
  <c r="BM209" i="29" s="1"/>
  <c r="N241" i="29"/>
  <c r="BM241" i="29" s="1"/>
  <c r="N275" i="29"/>
  <c r="BM275" i="29" s="1"/>
  <c r="N571" i="29"/>
  <c r="N951" i="29"/>
  <c r="N973" i="29"/>
  <c r="N960" i="29"/>
  <c r="BM960" i="29" s="1"/>
  <c r="N970" i="29"/>
  <c r="BM970" i="29" s="1"/>
  <c r="N978" i="29"/>
  <c r="N465" i="29"/>
  <c r="BM465" i="29" s="1"/>
  <c r="N219" i="29"/>
  <c r="BM219" i="29" s="1"/>
  <c r="N251" i="29"/>
  <c r="BM251" i="29" s="1"/>
  <c r="N285" i="29"/>
  <c r="BM285" i="29" s="1"/>
  <c r="N549" i="29"/>
  <c r="N557" i="29"/>
  <c r="BM557" i="29" s="1"/>
  <c r="N565" i="29"/>
  <c r="BM565" i="29" s="1"/>
  <c r="N619" i="29"/>
  <c r="BM619" i="29" s="1"/>
  <c r="N627" i="29"/>
  <c r="N635" i="29"/>
  <c r="N643" i="29"/>
  <c r="BM643" i="29" s="1"/>
  <c r="N652" i="29"/>
  <c r="N795" i="29"/>
  <c r="BM795" i="29" s="1"/>
  <c r="N967" i="29"/>
  <c r="BM967" i="29" s="1"/>
  <c r="N975" i="29"/>
  <c r="N983" i="29"/>
  <c r="N992" i="29"/>
  <c r="BM992" i="29" s="1"/>
  <c r="U237" i="115"/>
  <c r="S237" i="115"/>
  <c r="V109" i="115"/>
  <c r="T109" i="115"/>
  <c r="W109" i="115" s="1"/>
  <c r="X109" i="115" s="1"/>
  <c r="Y109" i="115" s="1"/>
  <c r="Z109" i="115" s="1"/>
  <c r="AC238" i="115"/>
  <c r="Q238" i="115"/>
  <c r="R238" i="115" s="1"/>
  <c r="AD238" i="115"/>
  <c r="P239" i="115"/>
  <c r="S110" i="115"/>
  <c r="U110" i="115"/>
  <c r="T298" i="115"/>
  <c r="W298" i="115" s="1"/>
  <c r="X298" i="115" s="1"/>
  <c r="V298" i="115"/>
  <c r="V236" i="115"/>
  <c r="T236" i="115"/>
  <c r="W236" i="115" s="1"/>
  <c r="X236" i="115" s="1"/>
  <c r="Y236" i="115" s="1"/>
  <c r="Z236" i="115" s="1"/>
  <c r="Q111" i="115"/>
  <c r="R111" i="115" s="1"/>
  <c r="AC111" i="115"/>
  <c r="AD111" i="115"/>
  <c r="P112" i="115"/>
  <c r="AC300" i="115"/>
  <c r="Q300" i="115"/>
  <c r="R300" i="115" s="1"/>
  <c r="AD300" i="115"/>
  <c r="P301" i="115"/>
  <c r="S299" i="115"/>
  <c r="U299" i="115"/>
  <c r="G157" i="29"/>
  <c r="G158" i="29"/>
  <c r="AX201" i="29" s="1"/>
  <c r="D167" i="29"/>
  <c r="AD49" i="115"/>
  <c r="AC49" i="115"/>
  <c r="P50" i="115"/>
  <c r="U48" i="115"/>
  <c r="W47" i="115"/>
  <c r="X47" i="115" s="1"/>
  <c r="Y47" i="115" s="1"/>
  <c r="Z47" i="115" s="1"/>
  <c r="V47" i="115"/>
  <c r="AH741" i="29"/>
  <c r="AI741" i="29" s="1"/>
  <c r="AJ741" i="29" s="1"/>
  <c r="AG742" i="29" s="1"/>
  <c r="AH915" i="29"/>
  <c r="AI915" i="29" s="1"/>
  <c r="AJ915" i="29" s="1"/>
  <c r="AG916" i="29" s="1"/>
  <c r="K485" i="29"/>
  <c r="U790" i="29"/>
  <c r="U616" i="29"/>
  <c r="U440" i="29"/>
  <c r="U787" i="29"/>
  <c r="U963" i="29"/>
  <c r="AI565" i="29"/>
  <c r="AJ565" i="29" s="1"/>
  <c r="AG566" i="29" s="1"/>
  <c r="D75" i="29"/>
  <c r="AM404" i="29"/>
  <c r="AM408" i="29"/>
  <c r="AM412" i="29"/>
  <c r="AM416" i="29"/>
  <c r="AM420" i="29"/>
  <c r="AM424" i="29"/>
  <c r="AM232" i="29"/>
  <c r="AM236" i="29"/>
  <c r="AM240" i="29"/>
  <c r="AM244" i="29"/>
  <c r="AM248" i="29"/>
  <c r="AM252" i="29"/>
  <c r="AM403" i="29"/>
  <c r="AM407" i="29"/>
  <c r="AM411" i="29"/>
  <c r="AM415" i="29"/>
  <c r="AM419" i="29"/>
  <c r="AM423" i="29"/>
  <c r="AM427" i="29"/>
  <c r="AM231" i="29"/>
  <c r="AM235" i="29"/>
  <c r="AM239" i="29"/>
  <c r="AM243" i="29"/>
  <c r="AM247" i="29"/>
  <c r="AM251" i="29"/>
  <c r="AM406" i="29"/>
  <c r="AM414" i="29"/>
  <c r="AM422" i="29"/>
  <c r="AM230" i="29"/>
  <c r="AM238" i="29"/>
  <c r="AM246" i="29"/>
  <c r="AM409" i="29"/>
  <c r="AM417" i="29"/>
  <c r="AM425" i="29"/>
  <c r="AM233" i="29"/>
  <c r="AM241" i="29"/>
  <c r="AM249" i="29"/>
  <c r="AM410" i="29"/>
  <c r="AM418" i="29"/>
  <c r="AM426" i="29"/>
  <c r="AM234" i="29"/>
  <c r="AM242" i="29"/>
  <c r="AM250" i="29"/>
  <c r="AM405" i="29"/>
  <c r="AM413" i="29"/>
  <c r="AM421" i="29"/>
  <c r="AM229" i="29"/>
  <c r="AM237" i="29"/>
  <c r="AM245" i="29"/>
  <c r="AM253" i="29"/>
  <c r="F15" i="59"/>
  <c r="E28" i="116" s="1"/>
  <c r="AK904" i="29" l="1"/>
  <c r="AO904" i="29" s="1"/>
  <c r="X1010" i="29"/>
  <c r="AA1010" i="29"/>
  <c r="X1012" i="29"/>
  <c r="AA1012" i="29"/>
  <c r="BM816" i="29"/>
  <c r="U816" i="29"/>
  <c r="BM939" i="29"/>
  <c r="U939" i="29"/>
  <c r="BM805" i="29"/>
  <c r="U805" i="29"/>
  <c r="BM600" i="29"/>
  <c r="U600" i="29"/>
  <c r="BM979" i="29"/>
  <c r="U979" i="29"/>
  <c r="BM775" i="29"/>
  <c r="U775" i="29"/>
  <c r="BM641" i="29"/>
  <c r="U641" i="29"/>
  <c r="BM765" i="29"/>
  <c r="U765" i="29"/>
  <c r="BM630" i="29"/>
  <c r="U630" i="29"/>
  <c r="BM637" i="29"/>
  <c r="U637" i="29"/>
  <c r="BM590" i="29"/>
  <c r="U590" i="29"/>
  <c r="AH595" i="118"/>
  <c r="O595" i="118"/>
  <c r="AM595" i="118" s="1"/>
  <c r="AD595" i="118"/>
  <c r="BP595" i="118"/>
  <c r="AX595" i="118"/>
  <c r="BG595" i="118" s="1"/>
  <c r="BM978" i="29"/>
  <c r="U978" i="29"/>
  <c r="BM989" i="29"/>
  <c r="U989" i="29"/>
  <c r="AE904" i="29"/>
  <c r="AF904" i="29" s="1"/>
  <c r="AW595" i="118"/>
  <c r="BF595" i="118" s="1"/>
  <c r="AQ595" i="118"/>
  <c r="Z595" i="118"/>
  <c r="BO595" i="118"/>
  <c r="AC460" i="118"/>
  <c r="AW460" i="118"/>
  <c r="BF460" i="118" s="1"/>
  <c r="Z460" i="118"/>
  <c r="BO460" i="118"/>
  <c r="AQ460" i="118"/>
  <c r="BM938" i="29"/>
  <c r="U938" i="29"/>
  <c r="BM948" i="29"/>
  <c r="U948" i="29"/>
  <c r="BM815" i="29"/>
  <c r="U815" i="29"/>
  <c r="BM811" i="29"/>
  <c r="U811" i="29"/>
  <c r="BM947" i="29"/>
  <c r="U947" i="29"/>
  <c r="BM774" i="29"/>
  <c r="U774" i="29"/>
  <c r="BM764" i="29"/>
  <c r="U764" i="29"/>
  <c r="BM937" i="29"/>
  <c r="U937" i="29"/>
  <c r="BM988" i="29"/>
  <c r="U988" i="29"/>
  <c r="BM804" i="29"/>
  <c r="U804" i="29"/>
  <c r="BM977" i="29"/>
  <c r="U977" i="29"/>
  <c r="BM984" i="29"/>
  <c r="U984" i="29"/>
  <c r="BM810" i="29"/>
  <c r="U810" i="29"/>
  <c r="BM589" i="29"/>
  <c r="U589" i="29"/>
  <c r="BM922" i="29"/>
  <c r="U922" i="29"/>
  <c r="BM636" i="29"/>
  <c r="U636" i="29"/>
  <c r="BM953" i="29"/>
  <c r="U953" i="29"/>
  <c r="BM575" i="29"/>
  <c r="U575" i="29"/>
  <c r="BM640" i="29"/>
  <c r="U640" i="29"/>
  <c r="BM763" i="29"/>
  <c r="U763" i="29"/>
  <c r="BM629" i="29"/>
  <c r="U629" i="29"/>
  <c r="BM803" i="29"/>
  <c r="U803" i="29"/>
  <c r="BM976" i="29"/>
  <c r="U976" i="29"/>
  <c r="BM749" i="29"/>
  <c r="U749" i="29"/>
  <c r="BM983" i="29"/>
  <c r="U983" i="29"/>
  <c r="BM987" i="29"/>
  <c r="U987" i="29"/>
  <c r="BM936" i="29"/>
  <c r="U936" i="29"/>
  <c r="BM606" i="29"/>
  <c r="U606" i="29"/>
  <c r="BM814" i="29"/>
  <c r="U814" i="29"/>
  <c r="BM780" i="29"/>
  <c r="U780" i="29"/>
  <c r="BM635" i="29"/>
  <c r="U635" i="29"/>
  <c r="BM452" i="29"/>
  <c r="U452" i="29"/>
  <c r="BM748" i="29"/>
  <c r="U748" i="29"/>
  <c r="BM921" i="29"/>
  <c r="U921" i="29"/>
  <c r="BM412" i="29"/>
  <c r="U412" i="29"/>
  <c r="BM802" i="29"/>
  <c r="U802" i="29"/>
  <c r="BM813" i="29"/>
  <c r="U813" i="29"/>
  <c r="BM628" i="29"/>
  <c r="U628" i="29"/>
  <c r="BM982" i="29"/>
  <c r="U982" i="29"/>
  <c r="BM809" i="29"/>
  <c r="U809" i="29"/>
  <c r="BM422" i="29"/>
  <c r="U422" i="29"/>
  <c r="BM605" i="29"/>
  <c r="U605" i="29"/>
  <c r="BM398" i="29"/>
  <c r="U398" i="29"/>
  <c r="BM569" i="29"/>
  <c r="U569" i="29"/>
  <c r="BM463" i="29"/>
  <c r="U463" i="29"/>
  <c r="BM574" i="29"/>
  <c r="U574" i="29"/>
  <c r="BM952" i="29"/>
  <c r="U952" i="29"/>
  <c r="BM935" i="29"/>
  <c r="U935" i="29"/>
  <c r="BM762" i="29"/>
  <c r="U762" i="29"/>
  <c r="BM975" i="29"/>
  <c r="U975" i="29"/>
  <c r="BM459" i="29"/>
  <c r="U459" i="29"/>
  <c r="BM779" i="29"/>
  <c r="U779" i="29"/>
  <c r="BM639" i="29"/>
  <c r="U639" i="29"/>
  <c r="BM743" i="29"/>
  <c r="U743" i="29"/>
  <c r="BM986" i="29"/>
  <c r="U986" i="29"/>
  <c r="BM588" i="29"/>
  <c r="U588" i="29"/>
  <c r="BM429" i="29"/>
  <c r="U429" i="29"/>
  <c r="BM393" i="29"/>
  <c r="U393" i="29"/>
  <c r="BM916" i="29"/>
  <c r="U916" i="29"/>
  <c r="U960" i="29"/>
  <c r="Y298" i="115"/>
  <c r="Z298" i="115" s="1"/>
  <c r="BM962" i="29"/>
  <c r="U962" i="29"/>
  <c r="BM961" i="29"/>
  <c r="U961" i="29"/>
  <c r="BM951" i="29"/>
  <c r="U951" i="29"/>
  <c r="BM974" i="29"/>
  <c r="U974" i="29"/>
  <c r="BM946" i="29"/>
  <c r="U946" i="29"/>
  <c r="BM995" i="29"/>
  <c r="U995" i="29"/>
  <c r="BM918" i="29"/>
  <c r="U918" i="29"/>
  <c r="BM950" i="29"/>
  <c r="U950" i="29"/>
  <c r="BM997" i="29"/>
  <c r="U997" i="29"/>
  <c r="BM934" i="29"/>
  <c r="U934" i="29"/>
  <c r="BM996" i="29"/>
  <c r="U996" i="29"/>
  <c r="BM924" i="29"/>
  <c r="U924" i="29"/>
  <c r="BM914" i="29"/>
  <c r="U914" i="29"/>
  <c r="BM897" i="29"/>
  <c r="U897" i="29"/>
  <c r="BM999" i="29"/>
  <c r="U999" i="29"/>
  <c r="BM955" i="29"/>
  <c r="U955" i="29"/>
  <c r="BM925" i="29"/>
  <c r="U925" i="29"/>
  <c r="BM923" i="29"/>
  <c r="U923" i="29"/>
  <c r="BM919" i="29"/>
  <c r="U919" i="29"/>
  <c r="BM973" i="29"/>
  <c r="U973" i="29"/>
  <c r="BM985" i="29"/>
  <c r="U985" i="29"/>
  <c r="BM920" i="29"/>
  <c r="U920" i="29"/>
  <c r="BM981" i="29"/>
  <c r="U981" i="29"/>
  <c r="BM944" i="29"/>
  <c r="U944" i="29"/>
  <c r="BM949" i="29"/>
  <c r="U949" i="29"/>
  <c r="BM917" i="29"/>
  <c r="U917" i="29"/>
  <c r="BM998" i="29"/>
  <c r="U998" i="29"/>
  <c r="BM915" i="29"/>
  <c r="U915" i="29"/>
  <c r="BM954" i="29"/>
  <c r="U954" i="29"/>
  <c r="BM945" i="29"/>
  <c r="U945" i="29"/>
  <c r="BM943" i="29"/>
  <c r="U943" i="29"/>
  <c r="BM776" i="29"/>
  <c r="U776" i="29"/>
  <c r="BM751" i="29"/>
  <c r="U751" i="29"/>
  <c r="BM812" i="29"/>
  <c r="U812" i="29"/>
  <c r="BM778" i="29"/>
  <c r="U778" i="29"/>
  <c r="BM777" i="29"/>
  <c r="U777" i="29"/>
  <c r="BM745" i="29"/>
  <c r="U745" i="29"/>
  <c r="BM724" i="29"/>
  <c r="U724" i="29"/>
  <c r="BM800" i="29"/>
  <c r="U800" i="29"/>
  <c r="BM773" i="29"/>
  <c r="U773" i="29"/>
  <c r="BM741" i="29"/>
  <c r="U741" i="29"/>
  <c r="BM801" i="29"/>
  <c r="U801" i="29"/>
  <c r="BM747" i="29"/>
  <c r="U747" i="29"/>
  <c r="BM750" i="29"/>
  <c r="U750" i="29"/>
  <c r="BM826" i="29"/>
  <c r="U826" i="29"/>
  <c r="BM771" i="29"/>
  <c r="U771" i="29"/>
  <c r="BM824" i="29"/>
  <c r="U824" i="29"/>
  <c r="BM761" i="29"/>
  <c r="U761" i="29"/>
  <c r="BM822" i="29"/>
  <c r="U822" i="29"/>
  <c r="BM744" i="29"/>
  <c r="U744" i="29"/>
  <c r="BM742" i="29"/>
  <c r="U742" i="29"/>
  <c r="BM782" i="29"/>
  <c r="U782" i="29"/>
  <c r="BM825" i="29"/>
  <c r="U825" i="29"/>
  <c r="BM746" i="29"/>
  <c r="U746" i="29"/>
  <c r="BM752" i="29"/>
  <c r="U752" i="29"/>
  <c r="BM772" i="29"/>
  <c r="U772" i="29"/>
  <c r="BM808" i="29"/>
  <c r="U808" i="29"/>
  <c r="BM781" i="29"/>
  <c r="U781" i="29"/>
  <c r="BM823" i="29"/>
  <c r="U823" i="29"/>
  <c r="BM599" i="29"/>
  <c r="U599" i="29"/>
  <c r="BM598" i="29"/>
  <c r="U598" i="29"/>
  <c r="BM652" i="29"/>
  <c r="U652" i="29"/>
  <c r="BM608" i="29"/>
  <c r="U608" i="29"/>
  <c r="BM648" i="29"/>
  <c r="U648" i="29"/>
  <c r="BM573" i="29"/>
  <c r="U573" i="29"/>
  <c r="BM650" i="29"/>
  <c r="U650" i="29"/>
  <c r="BM604" i="29"/>
  <c r="U604" i="29"/>
  <c r="BM603" i="29"/>
  <c r="U603" i="29"/>
  <c r="BM571" i="29"/>
  <c r="U571" i="29"/>
  <c r="BM577" i="29"/>
  <c r="U577" i="29"/>
  <c r="BM597" i="29"/>
  <c r="U597" i="29"/>
  <c r="BM649" i="29"/>
  <c r="U649" i="29"/>
  <c r="BM578" i="29"/>
  <c r="U578" i="29"/>
  <c r="BM634" i="29"/>
  <c r="U634" i="29"/>
  <c r="BM576" i="29"/>
  <c r="U576" i="29"/>
  <c r="BM627" i="29"/>
  <c r="U627" i="29"/>
  <c r="BM607" i="29"/>
  <c r="U607" i="29"/>
  <c r="BM638" i="29"/>
  <c r="U638" i="29"/>
  <c r="BM602" i="29"/>
  <c r="U602" i="29"/>
  <c r="BM570" i="29"/>
  <c r="U570" i="29"/>
  <c r="BM567" i="29"/>
  <c r="U567" i="29"/>
  <c r="BM626" i="29"/>
  <c r="U626" i="29"/>
  <c r="BM572" i="29"/>
  <c r="U572" i="29"/>
  <c r="BM550" i="29"/>
  <c r="U550" i="29"/>
  <c r="BM651" i="29"/>
  <c r="U651" i="29"/>
  <c r="BM568" i="29"/>
  <c r="U568" i="29"/>
  <c r="AO728" i="29"/>
  <c r="BM374" i="29"/>
  <c r="U374" i="29"/>
  <c r="BM451" i="29"/>
  <c r="U451" i="29"/>
  <c r="BM394" i="29"/>
  <c r="U394" i="29"/>
  <c r="BM476" i="29"/>
  <c r="U476" i="29"/>
  <c r="BM401" i="29"/>
  <c r="U401" i="29"/>
  <c r="BM472" i="29"/>
  <c r="U472" i="29"/>
  <c r="BM473" i="29"/>
  <c r="U473" i="29"/>
  <c r="BM474" i="29"/>
  <c r="U474" i="29"/>
  <c r="BM428" i="29"/>
  <c r="U428" i="29"/>
  <c r="BM395" i="29"/>
  <c r="U395" i="29"/>
  <c r="BM462" i="29"/>
  <c r="U462" i="29"/>
  <c r="BM397" i="29"/>
  <c r="U397" i="29"/>
  <c r="BM426" i="29"/>
  <c r="U426" i="29"/>
  <c r="BM458" i="29"/>
  <c r="U458" i="29"/>
  <c r="BM402" i="29"/>
  <c r="U402" i="29"/>
  <c r="BM396" i="29"/>
  <c r="U396" i="29"/>
  <c r="BM475" i="29"/>
  <c r="U475" i="29"/>
  <c r="BM392" i="29"/>
  <c r="U392" i="29"/>
  <c r="BM391" i="29"/>
  <c r="U391" i="29"/>
  <c r="BM450" i="29"/>
  <c r="U450" i="29"/>
  <c r="BM400" i="29"/>
  <c r="U400" i="29"/>
  <c r="BM258" i="29"/>
  <c r="U258" i="29"/>
  <c r="BM218" i="29"/>
  <c r="U218" i="29"/>
  <c r="Y172" i="115"/>
  <c r="Z172" i="115" s="1"/>
  <c r="AA172" i="115" s="1"/>
  <c r="AU580" i="29" s="1"/>
  <c r="BM729" i="29"/>
  <c r="U729" i="29"/>
  <c r="BM379" i="29"/>
  <c r="U379" i="29"/>
  <c r="BM555" i="29"/>
  <c r="U555" i="29"/>
  <c r="BM902" i="29"/>
  <c r="U902" i="29"/>
  <c r="BM900" i="29"/>
  <c r="U900" i="29"/>
  <c r="BM727" i="29"/>
  <c r="U727" i="29"/>
  <c r="BM377" i="29"/>
  <c r="U377" i="29"/>
  <c r="BM553" i="29"/>
  <c r="U553" i="29"/>
  <c r="BM199" i="29"/>
  <c r="U199" i="29"/>
  <c r="BM726" i="29"/>
  <c r="U726" i="29"/>
  <c r="BM376" i="29"/>
  <c r="U376" i="29"/>
  <c r="BM899" i="29"/>
  <c r="U899" i="29"/>
  <c r="BM552" i="29"/>
  <c r="U552" i="29"/>
  <c r="AK733" i="29"/>
  <c r="AO733" i="29" s="1"/>
  <c r="AE733" i="29"/>
  <c r="AF733" i="29" s="1"/>
  <c r="AC560" i="29"/>
  <c r="AK560" i="29" s="1"/>
  <c r="AO560" i="29" s="1"/>
  <c r="AD560" i="29"/>
  <c r="Y327" i="118"/>
  <c r="AA327" i="118"/>
  <c r="AB327" i="118" s="1"/>
  <c r="BM898" i="29"/>
  <c r="U898" i="29"/>
  <c r="BM896" i="29"/>
  <c r="U896" i="29"/>
  <c r="BM725" i="29"/>
  <c r="U725" i="29"/>
  <c r="BM723" i="29"/>
  <c r="U723" i="29"/>
  <c r="BM551" i="29"/>
  <c r="U551" i="29"/>
  <c r="BM549" i="29"/>
  <c r="U549" i="29"/>
  <c r="BM373" i="29"/>
  <c r="U373" i="29"/>
  <c r="BM375" i="29"/>
  <c r="U375" i="29"/>
  <c r="BR193" i="118"/>
  <c r="AD59" i="118"/>
  <c r="BP59" i="118"/>
  <c r="AX59" i="118"/>
  <c r="BG59" i="118" s="1"/>
  <c r="O59" i="118"/>
  <c r="AZ193" i="118"/>
  <c r="BI193" i="118" s="1"/>
  <c r="BC193" i="118"/>
  <c r="N194" i="118"/>
  <c r="P194" i="118"/>
  <c r="AE174" i="115"/>
  <c r="AV582" i="29" s="1"/>
  <c r="AE49" i="115"/>
  <c r="AV233" i="29" s="1"/>
  <c r="AE238" i="115"/>
  <c r="AV757" i="29" s="1"/>
  <c r="AE300" i="115"/>
  <c r="AV929" i="29" s="1"/>
  <c r="AB235" i="115"/>
  <c r="BK754" i="29" s="1"/>
  <c r="AE111" i="115"/>
  <c r="AV406" i="29" s="1"/>
  <c r="AA236" i="115"/>
  <c r="AU755" i="29" s="1"/>
  <c r="AC175" i="115"/>
  <c r="Q175" i="115"/>
  <c r="R175" i="115" s="1"/>
  <c r="P176" i="115"/>
  <c r="AD175" i="115"/>
  <c r="AB46" i="115"/>
  <c r="BK230" i="29" s="1"/>
  <c r="AB297" i="115"/>
  <c r="BK926" i="29" s="1"/>
  <c r="AB171" i="115"/>
  <c r="BK579" i="29" s="1"/>
  <c r="V173" i="115"/>
  <c r="T173" i="115"/>
  <c r="W173" i="115" s="1"/>
  <c r="X173" i="115" s="1"/>
  <c r="AA47" i="115"/>
  <c r="AU231" i="29" s="1"/>
  <c r="I165" i="29"/>
  <c r="I161" i="29"/>
  <c r="I164" i="29"/>
  <c r="I160" i="29"/>
  <c r="I163" i="29"/>
  <c r="I166" i="29"/>
  <c r="I162" i="29"/>
  <c r="AA109" i="115"/>
  <c r="AU404" i="29" s="1"/>
  <c r="Q50" i="115"/>
  <c r="R50" i="115" s="1"/>
  <c r="S50" i="115" s="1"/>
  <c r="T50" i="115" s="1"/>
  <c r="AA298" i="115"/>
  <c r="AU927" i="29" s="1"/>
  <c r="AB108" i="115"/>
  <c r="BK403" i="29" s="1"/>
  <c r="U174" i="115"/>
  <c r="S174" i="115"/>
  <c r="AN901" i="29"/>
  <c r="AN728" i="29"/>
  <c r="AN554" i="29"/>
  <c r="AN378" i="29"/>
  <c r="AN902" i="29"/>
  <c r="AN204" i="29"/>
  <c r="I158" i="29"/>
  <c r="J154" i="29"/>
  <c r="BM893" i="29"/>
  <c r="BM720" i="29"/>
  <c r="BM196" i="29"/>
  <c r="CM437" i="29" s="1"/>
  <c r="BM370" i="29"/>
  <c r="BM546" i="29"/>
  <c r="CW292" i="29"/>
  <c r="DK1002" i="29"/>
  <c r="CU1002" i="29"/>
  <c r="CE1002" i="29"/>
  <c r="BO1002" i="29"/>
  <c r="DL1001" i="29"/>
  <c r="CV1001" i="29"/>
  <c r="CF1001" i="29"/>
  <c r="BP1001" i="29"/>
  <c r="DJ1000" i="29"/>
  <c r="DB1000" i="29"/>
  <c r="CT1000" i="29"/>
  <c r="CL1000" i="29"/>
  <c r="CD1000" i="29"/>
  <c r="BV1000" i="29"/>
  <c r="DI991" i="29"/>
  <c r="DC991" i="29"/>
  <c r="CX991" i="29"/>
  <c r="CS991" i="29"/>
  <c r="CM991" i="29"/>
  <c r="CH991" i="29"/>
  <c r="CC991" i="29"/>
  <c r="BW991" i="29"/>
  <c r="BR991" i="29"/>
  <c r="DC1002" i="29"/>
  <c r="CM1002" i="29"/>
  <c r="BW1002" i="29"/>
  <c r="DD1001" i="29"/>
  <c r="CN1001" i="29"/>
  <c r="BX1001" i="29"/>
  <c r="DF1000" i="29"/>
  <c r="CX1000" i="29"/>
  <c r="CP1000" i="29"/>
  <c r="CH1000" i="29"/>
  <c r="BZ1000" i="29"/>
  <c r="BR1000" i="29"/>
  <c r="DK991" i="29"/>
  <c r="DF991" i="29"/>
  <c r="DA991" i="29"/>
  <c r="CU991" i="29"/>
  <c r="CP991" i="29"/>
  <c r="CK991" i="29"/>
  <c r="CE991" i="29"/>
  <c r="BZ991" i="29"/>
  <c r="BU991" i="29"/>
  <c r="BO991" i="29"/>
  <c r="DH1002" i="29"/>
  <c r="CB1002" i="29"/>
  <c r="DI1001" i="29"/>
  <c r="CC1001" i="29"/>
  <c r="DI1000" i="29"/>
  <c r="CS1000" i="29"/>
  <c r="CC1000" i="29"/>
  <c r="DE991" i="29"/>
  <c r="CT991" i="29"/>
  <c r="CI991" i="29"/>
  <c r="BY991" i="29"/>
  <c r="CR1002" i="29"/>
  <c r="CS1001" i="29"/>
  <c r="DA1000" i="29"/>
  <c r="CK1000" i="29"/>
  <c r="BU1000" i="29"/>
  <c r="DJ991" i="29"/>
  <c r="CY991" i="29"/>
  <c r="CO991" i="29"/>
  <c r="CD991" i="29"/>
  <c r="BS991" i="29"/>
  <c r="CZ1002" i="29"/>
  <c r="CO1000" i="29"/>
  <c r="DB991" i="29"/>
  <c r="CG991" i="29"/>
  <c r="BT1002" i="29"/>
  <c r="CK1001" i="29"/>
  <c r="DE1000" i="29"/>
  <c r="BY1000" i="29"/>
  <c r="CQ991" i="29"/>
  <c r="BV991" i="29"/>
  <c r="CJ1002" i="29"/>
  <c r="BU1001" i="29"/>
  <c r="CG1000" i="29"/>
  <c r="DG991" i="29"/>
  <c r="BQ991" i="29"/>
  <c r="BQ1000" i="29"/>
  <c r="CW991" i="29"/>
  <c r="CW1000" i="29"/>
  <c r="CA991" i="29"/>
  <c r="DI829" i="29"/>
  <c r="DA829" i="29"/>
  <c r="CS829" i="29"/>
  <c r="CK829" i="29"/>
  <c r="CC829" i="29"/>
  <c r="BU829" i="29"/>
  <c r="DH828" i="29"/>
  <c r="CR828" i="29"/>
  <c r="CB828" i="29"/>
  <c r="DG827" i="29"/>
  <c r="CY827" i="29"/>
  <c r="CQ827" i="29"/>
  <c r="CI827" i="29"/>
  <c r="CA827" i="29"/>
  <c r="BS827" i="29"/>
  <c r="DJ818" i="29"/>
  <c r="DB818" i="29"/>
  <c r="CT818" i="29"/>
  <c r="CL818" i="29"/>
  <c r="CD818" i="29"/>
  <c r="BV818" i="29"/>
  <c r="CL991" i="29"/>
  <c r="DG829" i="29"/>
  <c r="CY829" i="29"/>
  <c r="CQ829" i="29"/>
  <c r="CI829" i="29"/>
  <c r="CA829" i="29"/>
  <c r="BS829" i="29"/>
  <c r="DB828" i="29"/>
  <c r="CL828" i="29"/>
  <c r="BV828" i="29"/>
  <c r="DE827" i="29"/>
  <c r="CW827" i="29"/>
  <c r="CO827" i="29"/>
  <c r="CG827" i="29"/>
  <c r="BY827" i="29"/>
  <c r="BQ827" i="29"/>
  <c r="DI818" i="29"/>
  <c r="DA818" i="29"/>
  <c r="CS818" i="29"/>
  <c r="CK818" i="29"/>
  <c r="CC818" i="29"/>
  <c r="BU818" i="29"/>
  <c r="CW829" i="29"/>
  <c r="CG829" i="29"/>
  <c r="BQ829" i="29"/>
  <c r="DJ828" i="29"/>
  <c r="CD828" i="29"/>
  <c r="DK827" i="29"/>
  <c r="CU827" i="29"/>
  <c r="CE827" i="29"/>
  <c r="BO827" i="29"/>
  <c r="DE818" i="29"/>
  <c r="CO818" i="29"/>
  <c r="BY818" i="29"/>
  <c r="DA1001" i="29"/>
  <c r="DE829" i="29"/>
  <c r="CO829" i="29"/>
  <c r="BY829" i="29"/>
  <c r="CT828" i="29"/>
  <c r="DC827" i="29"/>
  <c r="CM827" i="29"/>
  <c r="BW827" i="29"/>
  <c r="CW818" i="29"/>
  <c r="CG818" i="29"/>
  <c r="BQ818" i="29"/>
  <c r="CM829" i="29"/>
  <c r="BT828" i="29"/>
  <c r="DA827" i="29"/>
  <c r="BU827" i="29"/>
  <c r="CH818" i="29"/>
  <c r="DC829" i="29"/>
  <c r="BW829" i="29"/>
  <c r="CZ828" i="29"/>
  <c r="CK827" i="29"/>
  <c r="CX818" i="29"/>
  <c r="BR818" i="29"/>
  <c r="DK829" i="29"/>
  <c r="CP818" i="29"/>
  <c r="CC304" i="29"/>
  <c r="CS303" i="29"/>
  <c r="CZ479" i="29"/>
  <c r="CI479" i="29"/>
  <c r="DA478" i="29"/>
  <c r="CJ478" i="29"/>
  <c r="DI477" i="29"/>
  <c r="CW477" i="29"/>
  <c r="CL477" i="29"/>
  <c r="CC477" i="29"/>
  <c r="BQ477" i="29"/>
  <c r="DD468" i="29"/>
  <c r="CO468" i="29"/>
  <c r="CA468" i="29"/>
  <c r="CE829" i="29"/>
  <c r="CJ828" i="29"/>
  <c r="CS827" i="29"/>
  <c r="CQ479" i="29"/>
  <c r="BT479" i="29"/>
  <c r="CS478" i="29"/>
  <c r="BU478" i="29"/>
  <c r="DB477" i="29"/>
  <c r="CS477" i="29"/>
  <c r="CG477" i="29"/>
  <c r="BV477" i="29"/>
  <c r="CV468" i="29"/>
  <c r="CI468" i="29"/>
  <c r="BT468" i="29"/>
  <c r="CU829" i="29"/>
  <c r="BZ818" i="29"/>
  <c r="CA479" i="29"/>
  <c r="CC478" i="29"/>
  <c r="CT477" i="29"/>
  <c r="BY477" i="29"/>
  <c r="CN468" i="29"/>
  <c r="DI827" i="29"/>
  <c r="CY479" i="29"/>
  <c r="CZ478" i="29"/>
  <c r="DE477" i="29"/>
  <c r="CK477" i="29"/>
  <c r="DA468" i="29"/>
  <c r="BY468" i="29"/>
  <c r="BO829" i="29"/>
  <c r="DF818" i="29"/>
  <c r="CJ479" i="29"/>
  <c r="DA477" i="29"/>
  <c r="BS468" i="29"/>
  <c r="CC827" i="29"/>
  <c r="BS479" i="29"/>
  <c r="DI478" i="29"/>
  <c r="CO477" i="29"/>
  <c r="DK468" i="29"/>
  <c r="CK478" i="29"/>
  <c r="CD477" i="29"/>
  <c r="CU468" i="29"/>
  <c r="DG479" i="29"/>
  <c r="BT478" i="29"/>
  <c r="DJ477" i="29"/>
  <c r="BU477" i="29"/>
  <c r="CF468" i="29"/>
  <c r="DJ829" i="29"/>
  <c r="DL818" i="29"/>
  <c r="DL991" i="29"/>
  <c r="BT991" i="29"/>
  <c r="CJ991" i="29"/>
  <c r="CZ991" i="29"/>
  <c r="CB1001" i="29"/>
  <c r="BS1002" i="29"/>
  <c r="CY1002" i="29"/>
  <c r="DK1001" i="29"/>
  <c r="CU1001" i="29"/>
  <c r="CE1001" i="29"/>
  <c r="BO1001" i="29"/>
  <c r="CX1001" i="29"/>
  <c r="CH1001" i="29"/>
  <c r="BR1001" i="29"/>
  <c r="CO1001" i="29"/>
  <c r="DF1002" i="29"/>
  <c r="CP1002" i="29"/>
  <c r="BZ1002" i="29"/>
  <c r="DE1002" i="29"/>
  <c r="CO1002" i="29"/>
  <c r="BY1002" i="29"/>
  <c r="BX1002" i="29"/>
  <c r="DD1002" i="29"/>
  <c r="BS1000" i="29"/>
  <c r="CI1000" i="29"/>
  <c r="CY1000" i="29"/>
  <c r="BT1000" i="29"/>
  <c r="CJ1000" i="29"/>
  <c r="CZ1000" i="29"/>
  <c r="DL478" i="29"/>
  <c r="DL828" i="29"/>
  <c r="DL1000" i="29"/>
  <c r="CB991" i="29"/>
  <c r="CR991" i="29"/>
  <c r="DH991" i="29"/>
  <c r="CR1001" i="29"/>
  <c r="CI1002" i="29"/>
  <c r="DC1001" i="29"/>
  <c r="CM1001" i="29"/>
  <c r="BW1001" i="29"/>
  <c r="DF1001" i="29"/>
  <c r="CP1001" i="29"/>
  <c r="BZ1001" i="29"/>
  <c r="BY1001" i="29"/>
  <c r="DE1001" i="29"/>
  <c r="CX1002" i="29"/>
  <c r="CH1002" i="29"/>
  <c r="BR1002" i="29"/>
  <c r="CW1002" i="29"/>
  <c r="CG1002" i="29"/>
  <c r="BQ1002" i="29"/>
  <c r="CN1002" i="29"/>
  <c r="CA1000" i="29"/>
  <c r="CQ1000" i="29"/>
  <c r="DG1000" i="29"/>
  <c r="CB1000" i="29"/>
  <c r="CR1000" i="29"/>
  <c r="DH1000" i="29"/>
  <c r="DL468" i="29"/>
  <c r="DG1002" i="29"/>
  <c r="BX991" i="29"/>
  <c r="DD991" i="29"/>
  <c r="CA1002" i="29"/>
  <c r="DG1001" i="29"/>
  <c r="CA1001" i="29"/>
  <c r="CT1001" i="29"/>
  <c r="BQ1001" i="29"/>
  <c r="DB1002" i="29"/>
  <c r="BV1002" i="29"/>
  <c r="CK1002" i="29"/>
  <c r="CF1002" i="29"/>
  <c r="CM1000" i="29"/>
  <c r="CN1000" i="29"/>
  <c r="BO818" i="29"/>
  <c r="CE818" i="29"/>
  <c r="CU818" i="29"/>
  <c r="DK818" i="29"/>
  <c r="BX818" i="29"/>
  <c r="CN818" i="29"/>
  <c r="DD818" i="29"/>
  <c r="BP828" i="29"/>
  <c r="CV828" i="29"/>
  <c r="DK828" i="29"/>
  <c r="CU828" i="29"/>
  <c r="CE828" i="29"/>
  <c r="BO828" i="29"/>
  <c r="CW828" i="29"/>
  <c r="CG828" i="29"/>
  <c r="BQ828" i="29"/>
  <c r="CP828" i="29"/>
  <c r="BR827" i="29"/>
  <c r="CH827" i="29"/>
  <c r="CX827" i="29"/>
  <c r="BP829" i="29"/>
  <c r="CF829" i="29"/>
  <c r="CV829" i="29"/>
  <c r="DL829" i="29"/>
  <c r="BP827" i="29"/>
  <c r="CF827" i="29"/>
  <c r="CV827" i="29"/>
  <c r="BR829" i="29"/>
  <c r="CH829" i="29"/>
  <c r="CX829" i="29"/>
  <c r="BZ477" i="29"/>
  <c r="DF477" i="29"/>
  <c r="CB479" i="29"/>
  <c r="CO303" i="29"/>
  <c r="CT303" i="29"/>
  <c r="CB305" i="29"/>
  <c r="DA303" i="29"/>
  <c r="DD294" i="29"/>
  <c r="CI294" i="29"/>
  <c r="BQ294" i="29"/>
  <c r="DA304" i="29"/>
  <c r="CH303" i="29"/>
  <c r="BT304" i="29"/>
  <c r="CE294" i="29"/>
  <c r="BZ303" i="29"/>
  <c r="CV294" i="29"/>
  <c r="DL827" i="29"/>
  <c r="CN991" i="29"/>
  <c r="CJ1001" i="29"/>
  <c r="CQ1001" i="29"/>
  <c r="DJ1001" i="29"/>
  <c r="CD1001" i="29"/>
  <c r="CW1001" i="29"/>
  <c r="CL1002" i="29"/>
  <c r="DA1002" i="29"/>
  <c r="BU1002" i="29"/>
  <c r="DL1002" i="29"/>
  <c r="BW1000" i="29"/>
  <c r="DC1000" i="29"/>
  <c r="BX1000" i="29"/>
  <c r="DD1000" i="29"/>
  <c r="BW818" i="29"/>
  <c r="CM818" i="29"/>
  <c r="DC818" i="29"/>
  <c r="BP818" i="29"/>
  <c r="CF818" i="29"/>
  <c r="CV818" i="29"/>
  <c r="CF828" i="29"/>
  <c r="DC828" i="29"/>
  <c r="CM828" i="29"/>
  <c r="BW828" i="29"/>
  <c r="DE828" i="29"/>
  <c r="CO828" i="29"/>
  <c r="BY828" i="29"/>
  <c r="BZ828" i="29"/>
  <c r="DF828" i="29"/>
  <c r="BZ827" i="29"/>
  <c r="CP827" i="29"/>
  <c r="DF827" i="29"/>
  <c r="BX829" i="29"/>
  <c r="CN829" i="29"/>
  <c r="DD829" i="29"/>
  <c r="BX827" i="29"/>
  <c r="CN827" i="29"/>
  <c r="DD827" i="29"/>
  <c r="BZ829" i="29"/>
  <c r="CP829" i="29"/>
  <c r="DF829" i="29"/>
  <c r="DL477" i="29"/>
  <c r="CP477" i="29"/>
  <c r="CR478" i="29"/>
  <c r="DH479" i="29"/>
  <c r="DE303" i="29"/>
  <c r="BY303" i="29"/>
  <c r="DJ303" i="29"/>
  <c r="CD303" i="29"/>
  <c r="DH305" i="29"/>
  <c r="CR304" i="29"/>
  <c r="BU303" i="29"/>
  <c r="CS294" i="29"/>
  <c r="BY294" i="29"/>
  <c r="CQ305" i="29"/>
  <c r="BU304" i="29"/>
  <c r="CJ305" i="29"/>
  <c r="CC303" i="29"/>
  <c r="CZ294" i="29"/>
  <c r="CS304" i="29"/>
  <c r="CA294" i="29"/>
  <c r="CP303" i="29"/>
  <c r="DA294" i="29"/>
  <c r="BR294" i="29"/>
  <c r="DK479" i="29"/>
  <c r="CF991" i="29"/>
  <c r="BT1001" i="29"/>
  <c r="BS1001" i="29"/>
  <c r="CG1001" i="29"/>
  <c r="DI1002" i="29"/>
  <c r="CV1002" i="29"/>
  <c r="BO1000" i="29"/>
  <c r="CV1000" i="29"/>
  <c r="CI818" i="29"/>
  <c r="CB818" i="29"/>
  <c r="DH818" i="29"/>
  <c r="BX828" i="29"/>
  <c r="DG828" i="29"/>
  <c r="CA828" i="29"/>
  <c r="CS828" i="29"/>
  <c r="BR828" i="29"/>
  <c r="CL827" i="29"/>
  <c r="BT829" i="29"/>
  <c r="CZ829" i="29"/>
  <c r="BT827" i="29"/>
  <c r="CZ827" i="29"/>
  <c r="CL829" i="29"/>
  <c r="DI468" i="29"/>
  <c r="CB478" i="29"/>
  <c r="CG303" i="29"/>
  <c r="DH304" i="29"/>
  <c r="CY294" i="29"/>
  <c r="DG305" i="29"/>
  <c r="BR303" i="29"/>
  <c r="DI303" i="29"/>
  <c r="DK294" i="29"/>
  <c r="CI305" i="29"/>
  <c r="CK294" i="29"/>
  <c r="BO294" i="29"/>
  <c r="CZ305" i="29"/>
  <c r="DB294" i="29"/>
  <c r="CL294" i="29"/>
  <c r="BT294" i="29"/>
  <c r="CM294" i="29"/>
  <c r="DH294" i="29"/>
  <c r="DL303" i="29"/>
  <c r="BX304" i="29"/>
  <c r="DD304" i="29"/>
  <c r="CM305" i="29"/>
  <c r="DC304" i="29"/>
  <c r="CM304" i="29"/>
  <c r="BW304" i="29"/>
  <c r="DF304" i="29"/>
  <c r="CP304" i="29"/>
  <c r="BZ304" i="29"/>
  <c r="BY304" i="29"/>
  <c r="DE304" i="29"/>
  <c r="CX305" i="29"/>
  <c r="CH305" i="29"/>
  <c r="BR305" i="29"/>
  <c r="CW305" i="29"/>
  <c r="CG305" i="29"/>
  <c r="BQ305" i="29"/>
  <c r="CN305" i="29"/>
  <c r="CA303" i="29"/>
  <c r="CQ303" i="29"/>
  <c r="DG303" i="29"/>
  <c r="CB303" i="29"/>
  <c r="CR303" i="29"/>
  <c r="DH303" i="29"/>
  <c r="CJ468" i="29"/>
  <c r="DB468" i="29"/>
  <c r="CL468" i="29"/>
  <c r="BV468" i="29"/>
  <c r="CW468" i="29"/>
  <c r="CB468" i="29"/>
  <c r="BX468" i="29"/>
  <c r="CZ468" i="29"/>
  <c r="CN478" i="29"/>
  <c r="BW479" i="29"/>
  <c r="DC479" i="29"/>
  <c r="DK478" i="29"/>
  <c r="CU478" i="29"/>
  <c r="CE478" i="29"/>
  <c r="BO478" i="29"/>
  <c r="CX478" i="29"/>
  <c r="CH478" i="29"/>
  <c r="BR478" i="29"/>
  <c r="CO478" i="29"/>
  <c r="DF479" i="29"/>
  <c r="CP479" i="29"/>
  <c r="BZ479" i="29"/>
  <c r="DE479" i="29"/>
  <c r="CO479" i="29"/>
  <c r="BY479" i="29"/>
  <c r="BX479" i="29"/>
  <c r="DD479" i="29"/>
  <c r="BS477" i="29"/>
  <c r="CI477" i="29"/>
  <c r="CY477" i="29"/>
  <c r="BT477" i="29"/>
  <c r="CJ477" i="29"/>
  <c r="CZ477" i="29"/>
  <c r="CQ1002" i="29"/>
  <c r="CY1001" i="29"/>
  <c r="CL1001" i="29"/>
  <c r="CT1002" i="29"/>
  <c r="CC1002" i="29"/>
  <c r="CU1000" i="29"/>
  <c r="BP1000" i="29"/>
  <c r="BS818" i="29"/>
  <c r="CY818" i="29"/>
  <c r="CR818" i="29"/>
  <c r="DD828" i="29"/>
  <c r="CQ828" i="29"/>
  <c r="DI828" i="29"/>
  <c r="CC828" i="29"/>
  <c r="CX828" i="29"/>
  <c r="BV827" i="29"/>
  <c r="DB827" i="29"/>
  <c r="CJ829" i="29"/>
  <c r="CJ827" i="29"/>
  <c r="BV829" i="29"/>
  <c r="DB829" i="29"/>
  <c r="CH477" i="29"/>
  <c r="CR479" i="29"/>
  <c r="CL303" i="29"/>
  <c r="CK303" i="29"/>
  <c r="CC294" i="29"/>
  <c r="CK304" i="29"/>
  <c r="BV294" i="29"/>
  <c r="BS305" i="29"/>
  <c r="BZ294" i="29"/>
  <c r="BW294" i="29"/>
  <c r="CY305" i="29"/>
  <c r="DK305" i="29"/>
  <c r="DJ294" i="29"/>
  <c r="CT294" i="29"/>
  <c r="CD294" i="29"/>
  <c r="CB294" i="29"/>
  <c r="CW294" i="29"/>
  <c r="DL304" i="29"/>
  <c r="CN304" i="29"/>
  <c r="BW305" i="29"/>
  <c r="DC305" i="29"/>
  <c r="DK304" i="29"/>
  <c r="CU304" i="29"/>
  <c r="CE304" i="29"/>
  <c r="BO304" i="29"/>
  <c r="CX304" i="29"/>
  <c r="CH304" i="29"/>
  <c r="BR304" i="29"/>
  <c r="CO304" i="29"/>
  <c r="DF305" i="29"/>
  <c r="CP305" i="29"/>
  <c r="BZ305" i="29"/>
  <c r="DE305" i="29"/>
  <c r="CO305" i="29"/>
  <c r="BY305" i="29"/>
  <c r="BX305" i="29"/>
  <c r="DD305" i="29"/>
  <c r="BS303" i="29"/>
  <c r="CI303" i="29"/>
  <c r="CY303" i="29"/>
  <c r="BT303" i="29"/>
  <c r="CJ303" i="29"/>
  <c r="CZ303" i="29"/>
  <c r="BU468" i="29"/>
  <c r="CY468" i="29"/>
  <c r="DJ468" i="29"/>
  <c r="CT468" i="29"/>
  <c r="CD468" i="29"/>
  <c r="DH468" i="29"/>
  <c r="CM468" i="29"/>
  <c r="BQ468" i="29"/>
  <c r="CK468" i="29"/>
  <c r="BX478" i="29"/>
  <c r="DD478" i="29"/>
  <c r="CM479" i="29"/>
  <c r="DC478" i="29"/>
  <c r="CM478" i="29"/>
  <c r="BW478" i="29"/>
  <c r="DF478" i="29"/>
  <c r="CP478" i="29"/>
  <c r="BZ478" i="29"/>
  <c r="BY478" i="29"/>
  <c r="DE478" i="29"/>
  <c r="CX479" i="29"/>
  <c r="CH479" i="29"/>
  <c r="BR479" i="29"/>
  <c r="CW479" i="29"/>
  <c r="CG479" i="29"/>
  <c r="BQ479" i="29"/>
  <c r="CN479" i="29"/>
  <c r="CA477" i="29"/>
  <c r="CQ477" i="29"/>
  <c r="DG477" i="29"/>
  <c r="CB477" i="29"/>
  <c r="CR477" i="29"/>
  <c r="DH477" i="29"/>
  <c r="BP991" i="29"/>
  <c r="CI1001" i="29"/>
  <c r="BV1001" i="29"/>
  <c r="CD1002" i="29"/>
  <c r="BP1002" i="29"/>
  <c r="DK1000" i="29"/>
  <c r="CF1000" i="29"/>
  <c r="CA818" i="29"/>
  <c r="DG818" i="29"/>
  <c r="BT818" i="29"/>
  <c r="CZ818" i="29"/>
  <c r="CI828" i="29"/>
  <c r="DA828" i="29"/>
  <c r="BU828" i="29"/>
  <c r="CD827" i="29"/>
  <c r="DJ827" i="29"/>
  <c r="CR829" i="29"/>
  <c r="CR827" i="29"/>
  <c r="CD829" i="29"/>
  <c r="CX477" i="29"/>
  <c r="DH1001" i="29"/>
  <c r="DJ1002" i="29"/>
  <c r="BS828" i="29"/>
  <c r="CA305" i="29"/>
  <c r="CU294" i="29"/>
  <c r="DL294" i="29"/>
  <c r="CS1002" i="29"/>
  <c r="CQ818" i="29"/>
  <c r="CJ818" i="29"/>
  <c r="CK828" i="29"/>
  <c r="CT827" i="29"/>
  <c r="CB827" i="29"/>
  <c r="CW303" i="29"/>
  <c r="CR305" i="29"/>
  <c r="DI294" i="29"/>
  <c r="CX303" i="29"/>
  <c r="DG294" i="29"/>
  <c r="DE294" i="29"/>
  <c r="CQ294" i="29"/>
  <c r="CP294" i="29"/>
  <c r="CG294" i="29"/>
  <c r="BP304" i="29"/>
  <c r="CE305" i="29"/>
  <c r="CQ304" i="29"/>
  <c r="DJ304" i="29"/>
  <c r="CD304" i="29"/>
  <c r="CW304" i="29"/>
  <c r="CL305" i="29"/>
  <c r="DA305" i="29"/>
  <c r="BU305" i="29"/>
  <c r="DL305" i="29"/>
  <c r="BW303" i="29"/>
  <c r="DC303" i="29"/>
  <c r="BX303" i="29"/>
  <c r="DD303" i="29"/>
  <c r="CB829" i="29"/>
  <c r="BR477" i="29"/>
  <c r="DB303" i="29"/>
  <c r="CN294" i="29"/>
  <c r="CO294" i="29"/>
  <c r="BT305" i="29"/>
  <c r="CJ294" i="29"/>
  <c r="CX294" i="29"/>
  <c r="CR294" i="29"/>
  <c r="BO305" i="29"/>
  <c r="CI304" i="29"/>
  <c r="CT304" i="29"/>
  <c r="CG304" i="29"/>
  <c r="CD305" i="29"/>
  <c r="CK305" i="29"/>
  <c r="CV305" i="29"/>
  <c r="CM303" i="29"/>
  <c r="CF303" i="29"/>
  <c r="CQ468" i="29"/>
  <c r="CH468" i="29"/>
  <c r="CR468" i="29"/>
  <c r="CE468" i="29"/>
  <c r="CV478" i="29"/>
  <c r="CQ478" i="29"/>
  <c r="DJ478" i="29"/>
  <c r="CD478" i="29"/>
  <c r="CW478" i="29"/>
  <c r="CL479" i="29"/>
  <c r="DA479" i="29"/>
  <c r="BU479" i="29"/>
  <c r="DL479" i="29"/>
  <c r="BW477" i="29"/>
  <c r="DC477" i="29"/>
  <c r="BX477" i="29"/>
  <c r="DD477" i="29"/>
  <c r="CZ1001" i="29"/>
  <c r="CE1000" i="29"/>
  <c r="CY828" i="29"/>
  <c r="DH829" i="29"/>
  <c r="DH478" i="29"/>
  <c r="BV303" i="29"/>
  <c r="BU294" i="29"/>
  <c r="CZ304" i="29"/>
  <c r="CJ304" i="29"/>
  <c r="CH294" i="29"/>
  <c r="DC294" i="29"/>
  <c r="CU305" i="29"/>
  <c r="CA304" i="29"/>
  <c r="CL304" i="29"/>
  <c r="DJ305" i="29"/>
  <c r="BV305" i="29"/>
  <c r="CC305" i="29"/>
  <c r="CU303" i="29"/>
  <c r="CN303" i="29"/>
  <c r="DE468" i="29"/>
  <c r="DF468" i="29"/>
  <c r="BZ468" i="29"/>
  <c r="CG468" i="29"/>
  <c r="CS468" i="29"/>
  <c r="BO479" i="29"/>
  <c r="CI478" i="29"/>
  <c r="DB478" i="29"/>
  <c r="BV478" i="29"/>
  <c r="DJ479" i="29"/>
  <c r="CD479" i="29"/>
  <c r="CS479" i="29"/>
  <c r="BP479" i="29"/>
  <c r="CE477" i="29"/>
  <c r="DK477" i="29"/>
  <c r="CF477" i="29"/>
  <c r="CN828" i="29"/>
  <c r="CH828" i="29"/>
  <c r="DH827" i="29"/>
  <c r="BQ303" i="29"/>
  <c r="CB304" i="29"/>
  <c r="DF303" i="29"/>
  <c r="BS294" i="29"/>
  <c r="BP294" i="29"/>
  <c r="CF304" i="29"/>
  <c r="DG304" i="29"/>
  <c r="BS304" i="29"/>
  <c r="BV304" i="29"/>
  <c r="DB305" i="29"/>
  <c r="DI305" i="29"/>
  <c r="BP305" i="29"/>
  <c r="BO303" i="29"/>
  <c r="DK303" i="29"/>
  <c r="CV303" i="29"/>
  <c r="BO468" i="29"/>
  <c r="CX468" i="29"/>
  <c r="BR468" i="29"/>
  <c r="BW468" i="29"/>
  <c r="DG468" i="29"/>
  <c r="BP478" i="29"/>
  <c r="CE479" i="29"/>
  <c r="DG478" i="29"/>
  <c r="CA478" i="29"/>
  <c r="CT478" i="29"/>
  <c r="BQ478" i="29"/>
  <c r="DB479" i="29"/>
  <c r="BV479" i="29"/>
  <c r="CK479" i="29"/>
  <c r="CF479" i="29"/>
  <c r="CM477" i="29"/>
  <c r="CN477" i="29"/>
  <c r="CV991" i="29"/>
  <c r="DB1001" i="29"/>
  <c r="CT829" i="29"/>
  <c r="CF294" i="29"/>
  <c r="DI304" i="29"/>
  <c r="DF294" i="29"/>
  <c r="BX294" i="29"/>
  <c r="CV304" i="29"/>
  <c r="CY304" i="29"/>
  <c r="DB304" i="29"/>
  <c r="BQ304" i="29"/>
  <c r="CT305" i="29"/>
  <c r="CS305" i="29"/>
  <c r="CF305" i="29"/>
  <c r="CE303" i="29"/>
  <c r="BP303" i="29"/>
  <c r="CC468" i="29"/>
  <c r="CP468" i="29"/>
  <c r="DC468" i="29"/>
  <c r="BP468" i="29"/>
  <c r="CF478" i="29"/>
  <c r="CU479" i="29"/>
  <c r="CY478" i="29"/>
  <c r="BS478" i="29"/>
  <c r="CL478" i="29"/>
  <c r="CG478" i="29"/>
  <c r="CT479" i="29"/>
  <c r="DI479" i="29"/>
  <c r="CC479" i="29"/>
  <c r="CV479" i="29"/>
  <c r="BO477" i="29"/>
  <c r="CU477" i="29"/>
  <c r="BP477" i="29"/>
  <c r="CV477" i="29"/>
  <c r="DG655" i="29"/>
  <c r="CY655" i="29"/>
  <c r="CQ655" i="29"/>
  <c r="CI655" i="29"/>
  <c r="CA655" i="29"/>
  <c r="BS655" i="29"/>
  <c r="CX654" i="29"/>
  <c r="CD654" i="29"/>
  <c r="DG653" i="29"/>
  <c r="CY653" i="29"/>
  <c r="CQ653" i="29"/>
  <c r="CI653" i="29"/>
  <c r="CA653" i="29"/>
  <c r="BS653" i="29"/>
  <c r="DI644" i="29"/>
  <c r="CX644" i="29"/>
  <c r="CN644" i="29"/>
  <c r="CC644" i="29"/>
  <c r="BR644" i="29"/>
  <c r="DK655" i="29"/>
  <c r="DD644" i="29"/>
  <c r="CH644" i="29"/>
  <c r="DA655" i="29"/>
  <c r="CC655" i="29"/>
  <c r="DF654" i="29"/>
  <c r="DA653" i="29"/>
  <c r="CK653" i="29"/>
  <c r="BU653" i="29"/>
  <c r="DA644" i="29"/>
  <c r="CF644" i="29"/>
  <c r="DE655" i="29"/>
  <c r="CW655" i="29"/>
  <c r="CO655" i="29"/>
  <c r="CG655" i="29"/>
  <c r="BY655" i="29"/>
  <c r="BQ655" i="29"/>
  <c r="CT654" i="29"/>
  <c r="BZ654" i="29"/>
  <c r="DE653" i="29"/>
  <c r="CW653" i="29"/>
  <c r="CO653" i="29"/>
  <c r="CG653" i="29"/>
  <c r="BY653" i="29"/>
  <c r="BQ653" i="29"/>
  <c r="DF644" i="29"/>
  <c r="CV644" i="29"/>
  <c r="CK644" i="29"/>
  <c r="BZ644" i="29"/>
  <c r="BP644" i="29"/>
  <c r="DC655" i="29"/>
  <c r="CU655" i="29"/>
  <c r="CM655" i="29"/>
  <c r="CE655" i="29"/>
  <c r="BW655" i="29"/>
  <c r="BO655" i="29"/>
  <c r="DJ654" i="29"/>
  <c r="CP654" i="29"/>
  <c r="BR654" i="29"/>
  <c r="DK653" i="29"/>
  <c r="DC653" i="29"/>
  <c r="CU653" i="29"/>
  <c r="CM653" i="29"/>
  <c r="CE653" i="29"/>
  <c r="BW653" i="29"/>
  <c r="BO653" i="29"/>
  <c r="CS644" i="29"/>
  <c r="BX644" i="29"/>
  <c r="DI655" i="29"/>
  <c r="CS655" i="29"/>
  <c r="CK655" i="29"/>
  <c r="BU655" i="29"/>
  <c r="CH654" i="29"/>
  <c r="DI653" i="29"/>
  <c r="CS653" i="29"/>
  <c r="CC653" i="29"/>
  <c r="DL644" i="29"/>
  <c r="CP644" i="29"/>
  <c r="BU644" i="29"/>
  <c r="DJ653" i="29"/>
  <c r="BY644" i="29"/>
  <c r="CT644" i="29"/>
  <c r="DI654" i="29"/>
  <c r="CS654" i="29"/>
  <c r="CC654" i="29"/>
  <c r="DK654" i="29"/>
  <c r="CU654" i="29"/>
  <c r="CE654" i="29"/>
  <c r="BO654" i="29"/>
  <c r="CN654" i="29"/>
  <c r="DH654" i="29"/>
  <c r="CB654" i="29"/>
  <c r="DB654" i="29"/>
  <c r="CY644" i="29"/>
  <c r="CI644" i="29"/>
  <c r="BS644" i="29"/>
  <c r="CB644" i="29"/>
  <c r="CW644" i="29"/>
  <c r="BP653" i="29"/>
  <c r="CF653" i="29"/>
  <c r="CV653" i="29"/>
  <c r="DL653" i="29"/>
  <c r="CD655" i="29"/>
  <c r="CT655" i="29"/>
  <c r="DJ655" i="29"/>
  <c r="CD653" i="29"/>
  <c r="CT653" i="29"/>
  <c r="BP655" i="29"/>
  <c r="CF655" i="29"/>
  <c r="CV655" i="29"/>
  <c r="CJ653" i="29"/>
  <c r="BR655" i="29"/>
  <c r="CX655" i="29"/>
  <c r="CH653" i="29"/>
  <c r="CX653" i="29"/>
  <c r="CJ655" i="29"/>
  <c r="CZ655" i="29"/>
  <c r="DJ644" i="29"/>
  <c r="DE644" i="29"/>
  <c r="DA654" i="29"/>
  <c r="BU654" i="29"/>
  <c r="CM654" i="29"/>
  <c r="DD654" i="29"/>
  <c r="CR654" i="29"/>
  <c r="DG644" i="29"/>
  <c r="CA644" i="29"/>
  <c r="CL644" i="29"/>
  <c r="CN653" i="29"/>
  <c r="BV655" i="29"/>
  <c r="DB655" i="29"/>
  <c r="CL653" i="29"/>
  <c r="BX655" i="29"/>
  <c r="DD655" i="29"/>
  <c r="DL655" i="29"/>
  <c r="CD644" i="29"/>
  <c r="CZ644" i="29"/>
  <c r="DE654" i="29"/>
  <c r="CO654" i="29"/>
  <c r="BY654" i="29"/>
  <c r="DG654" i="29"/>
  <c r="CQ654" i="29"/>
  <c r="CA654" i="29"/>
  <c r="DL654" i="29"/>
  <c r="CF654" i="29"/>
  <c r="CZ654" i="29"/>
  <c r="BT654" i="29"/>
  <c r="DK644" i="29"/>
  <c r="CU644" i="29"/>
  <c r="CE644" i="29"/>
  <c r="BO644" i="29"/>
  <c r="CG644" i="29"/>
  <c r="DB644" i="29"/>
  <c r="BT653" i="29"/>
  <c r="CZ653" i="29"/>
  <c r="CH655" i="29"/>
  <c r="BR653" i="29"/>
  <c r="BT655" i="29"/>
  <c r="CJ644" i="29"/>
  <c r="CK654" i="29"/>
  <c r="DC654" i="29"/>
  <c r="BW654" i="29"/>
  <c r="BX654" i="29"/>
  <c r="BV654" i="29"/>
  <c r="CQ644" i="29"/>
  <c r="BQ644" i="29"/>
  <c r="DH644" i="29"/>
  <c r="BX653" i="29"/>
  <c r="DD653" i="29"/>
  <c r="CL655" i="29"/>
  <c r="BV653" i="29"/>
  <c r="DB653" i="29"/>
  <c r="CN655" i="29"/>
  <c r="BT644" i="29"/>
  <c r="CY654" i="29"/>
  <c r="BP654" i="29"/>
  <c r="CM644" i="29"/>
  <c r="BZ655" i="29"/>
  <c r="DF653" i="29"/>
  <c r="CI654" i="29"/>
  <c r="CB653" i="29"/>
  <c r="CB655" i="29"/>
  <c r="CG654" i="29"/>
  <c r="BS654" i="29"/>
  <c r="CL654" i="29"/>
  <c r="BV644" i="29"/>
  <c r="CR653" i="29"/>
  <c r="DF655" i="29"/>
  <c r="BZ653" i="29"/>
  <c r="CR655" i="29"/>
  <c r="BQ654" i="29"/>
  <c r="CV654" i="29"/>
  <c r="DC644" i="29"/>
  <c r="CR644" i="29"/>
  <c r="DH653" i="29"/>
  <c r="CP653" i="29"/>
  <c r="DH655" i="29"/>
  <c r="CO644" i="29"/>
  <c r="CW654" i="29"/>
  <c r="CJ654" i="29"/>
  <c r="BW644" i="29"/>
  <c r="CP655" i="29"/>
  <c r="DL439" i="29"/>
  <c r="DK439" i="29"/>
  <c r="CU439" i="29"/>
  <c r="CF439" i="29"/>
  <c r="DF439" i="29"/>
  <c r="CI439" i="29"/>
  <c r="CW439" i="29"/>
  <c r="CS439" i="29"/>
  <c r="CQ439" i="29"/>
  <c r="CZ439" i="29"/>
  <c r="BS439" i="29"/>
  <c r="BW439" i="29"/>
  <c r="CN439" i="29"/>
  <c r="CC789" i="29"/>
  <c r="BS789" i="29"/>
  <c r="CR789" i="29"/>
  <c r="DG789" i="29"/>
  <c r="CP789" i="29"/>
  <c r="DK789" i="29"/>
  <c r="CS789" i="29"/>
  <c r="CM789" i="29"/>
  <c r="CT789" i="29"/>
  <c r="DD789" i="29"/>
  <c r="BV789" i="29"/>
  <c r="BO789" i="29"/>
  <c r="CZ264" i="29"/>
  <c r="DK264" i="29"/>
  <c r="CX264" i="29"/>
  <c r="DI264" i="29"/>
  <c r="DC264" i="29"/>
  <c r="CP264" i="29"/>
  <c r="CS264" i="29"/>
  <c r="DB264" i="29"/>
  <c r="CY264" i="29"/>
  <c r="DE264" i="29"/>
  <c r="BU264" i="29"/>
  <c r="DH264" i="29"/>
  <c r="DA264" i="29"/>
  <c r="CX614" i="29"/>
  <c r="DC614" i="29"/>
  <c r="CE614" i="29"/>
  <c r="BZ614" i="29"/>
  <c r="DK614" i="29"/>
  <c r="CL614" i="29"/>
  <c r="CD614" i="29"/>
  <c r="CF614" i="29"/>
  <c r="CZ614" i="29"/>
  <c r="DE614" i="29"/>
  <c r="DJ614" i="29"/>
  <c r="DB614" i="29"/>
  <c r="DH961" i="29"/>
  <c r="CS961" i="29"/>
  <c r="CM961" i="29"/>
  <c r="CG961" i="29"/>
  <c r="DD961" i="29"/>
  <c r="DE961" i="29"/>
  <c r="CF961" i="29"/>
  <c r="BS961" i="29"/>
  <c r="CN961" i="29"/>
  <c r="CO961" i="29"/>
  <c r="BP961" i="29"/>
  <c r="CJ961" i="29"/>
  <c r="CC961" i="29"/>
  <c r="DG265" i="29"/>
  <c r="DJ265" i="29"/>
  <c r="CS265" i="29"/>
  <c r="CZ265" i="29"/>
  <c r="CL265" i="29"/>
  <c r="BU265" i="29"/>
  <c r="CI265" i="29"/>
  <c r="CG265" i="29"/>
  <c r="BZ265" i="29"/>
  <c r="DE265" i="29"/>
  <c r="CW265" i="29"/>
  <c r="CH265" i="29"/>
  <c r="DL615" i="29"/>
  <c r="CJ615" i="29"/>
  <c r="CF615" i="29"/>
  <c r="BP615" i="29"/>
  <c r="CO615" i="29"/>
  <c r="DI615" i="29"/>
  <c r="DF615" i="29"/>
  <c r="DK615" i="29"/>
  <c r="CG615" i="29"/>
  <c r="DG615" i="29"/>
  <c r="CL615" i="29"/>
  <c r="CR615" i="29"/>
  <c r="CW615" i="29"/>
  <c r="CP962" i="29"/>
  <c r="DD962" i="29"/>
  <c r="BS962" i="29"/>
  <c r="CV962" i="29"/>
  <c r="DK962" i="29"/>
  <c r="CW962" i="29"/>
  <c r="BW962" i="29"/>
  <c r="CO962" i="29"/>
  <c r="BP962" i="29"/>
  <c r="CM962" i="29"/>
  <c r="BR962" i="29"/>
  <c r="CB962" i="29"/>
  <c r="DA438" i="29"/>
  <c r="CF438" i="29"/>
  <c r="BS438" i="29"/>
  <c r="BV438" i="29"/>
  <c r="DG438" i="29"/>
  <c r="CO438" i="29"/>
  <c r="CH438" i="29"/>
  <c r="BW438" i="29"/>
  <c r="CP438" i="29"/>
  <c r="CJ438" i="29"/>
  <c r="DK438" i="29"/>
  <c r="BR438" i="29"/>
  <c r="DD438" i="29"/>
  <c r="CB788" i="29"/>
  <c r="DB788" i="29"/>
  <c r="CG788" i="29"/>
  <c r="CI788" i="29"/>
  <c r="DF788" i="29"/>
  <c r="DC788" i="29"/>
  <c r="DA788" i="29"/>
  <c r="CQ788" i="29"/>
  <c r="CP788" i="29"/>
  <c r="CV788" i="29"/>
  <c r="BU788" i="29"/>
  <c r="CD788" i="29"/>
  <c r="DC439" i="29"/>
  <c r="CV439" i="29"/>
  <c r="BQ439" i="29"/>
  <c r="DA439" i="29"/>
  <c r="CP439" i="29"/>
  <c r="BP439" i="29"/>
  <c r="CX439" i="29"/>
  <c r="BX439" i="29"/>
  <c r="DB439" i="29"/>
  <c r="DE439" i="29"/>
  <c r="BO439" i="29"/>
  <c r="CB439" i="29"/>
  <c r="CK439" i="29"/>
  <c r="CF789" i="29"/>
  <c r="CX789" i="29"/>
  <c r="BW789" i="29"/>
  <c r="BP789" i="29"/>
  <c r="BZ789" i="29"/>
  <c r="CO789" i="29"/>
  <c r="CQ789" i="29"/>
  <c r="CU789" i="29"/>
  <c r="DH789" i="29"/>
  <c r="DB789" i="29"/>
  <c r="CJ789" i="29"/>
  <c r="CI789" i="29"/>
  <c r="CO264" i="29"/>
  <c r="CU264" i="29"/>
  <c r="CH264" i="29"/>
  <c r="CC264" i="29"/>
  <c r="CM264" i="29"/>
  <c r="BZ264" i="29"/>
  <c r="CW264" i="29"/>
  <c r="BV264" i="29"/>
  <c r="DJ264" i="29"/>
  <c r="CQ264" i="29"/>
  <c r="CA264" i="29"/>
  <c r="DG264" i="29"/>
  <c r="CB264" i="29"/>
  <c r="CM614" i="29"/>
  <c r="CS614" i="29"/>
  <c r="DF614" i="29"/>
  <c r="BQ614" i="29"/>
  <c r="CP614" i="29"/>
  <c r="DD614" i="29"/>
  <c r="CY614" i="29"/>
  <c r="CO614" i="29"/>
  <c r="CJ614" i="29"/>
  <c r="CW614" i="29"/>
  <c r="DH614" i="29"/>
  <c r="CB614" i="29"/>
  <c r="DJ961" i="29"/>
  <c r="BY961" i="29"/>
  <c r="DL961" i="29"/>
  <c r="BW961" i="29"/>
  <c r="CI961" i="29"/>
  <c r="BV961" i="29"/>
  <c r="DF961" i="29"/>
  <c r="DC961" i="29"/>
  <c r="BR961" i="29"/>
  <c r="DA961" i="29"/>
  <c r="CH961" i="29"/>
  <c r="BO961" i="29"/>
  <c r="CN265" i="29"/>
  <c r="CT265" i="29"/>
  <c r="CC265" i="29"/>
  <c r="BT265" i="29"/>
  <c r="BV265" i="29"/>
  <c r="CU265" i="29"/>
  <c r="DD265" i="29"/>
  <c r="CM265" i="29"/>
  <c r="BY265" i="29"/>
  <c r="BQ265" i="29"/>
  <c r="DC265" i="29"/>
  <c r="CO265" i="29"/>
  <c r="DE615" i="29"/>
  <c r="CC615" i="29"/>
  <c r="BR615" i="29"/>
  <c r="DJ615" i="29"/>
  <c r="CH615" i="29"/>
  <c r="DA615" i="29"/>
  <c r="CZ615" i="29"/>
  <c r="CU615" i="29"/>
  <c r="DB615" i="29"/>
  <c r="CQ615" i="29"/>
  <c r="DH615" i="29"/>
  <c r="CI615" i="29"/>
  <c r="BS615" i="29"/>
  <c r="CF962" i="29"/>
  <c r="CU962" i="29"/>
  <c r="DB962" i="29"/>
  <c r="BZ962" i="29"/>
  <c r="DF962" i="29"/>
  <c r="CG962" i="29"/>
  <c r="CE962" i="29"/>
  <c r="BY962" i="29"/>
  <c r="CT962" i="29"/>
  <c r="CL962" i="29"/>
  <c r="BU962" i="29"/>
  <c r="CK962" i="29"/>
  <c r="CS438" i="29"/>
  <c r="CG438" i="29"/>
  <c r="CZ438" i="29"/>
  <c r="CW438" i="29"/>
  <c r="CQ438" i="29"/>
  <c r="BT438" i="29"/>
  <c r="CV438" i="29"/>
  <c r="CM438" i="29"/>
  <c r="BZ438" i="29"/>
  <c r="CC438" i="29"/>
  <c r="BO438" i="29"/>
  <c r="CU438" i="29"/>
  <c r="DI438" i="29"/>
  <c r="CW788" i="29"/>
  <c r="BY788" i="29"/>
  <c r="BQ788" i="29"/>
  <c r="BS788" i="29"/>
  <c r="CK788" i="29"/>
  <c r="CE788" i="29"/>
  <c r="BZ788" i="29"/>
  <c r="BW788" i="29"/>
  <c r="BT788" i="29"/>
  <c r="DJ788" i="29"/>
  <c r="DG788" i="29"/>
  <c r="CN788" i="29"/>
  <c r="CO439" i="29"/>
  <c r="CG439" i="29"/>
  <c r="CM439" i="29"/>
  <c r="BY439" i="29"/>
  <c r="BZ439" i="29"/>
  <c r="CR439" i="29"/>
  <c r="CH439" i="29"/>
  <c r="CE439" i="29"/>
  <c r="BV439" i="29"/>
  <c r="CT439" i="29"/>
  <c r="CL439" i="29"/>
  <c r="DJ439" i="29"/>
  <c r="CN789" i="29"/>
  <c r="DI789" i="29"/>
  <c r="CH789" i="29"/>
  <c r="CZ789" i="29"/>
  <c r="BX789" i="29"/>
  <c r="DC789" i="29"/>
  <c r="BT789" i="29"/>
  <c r="DJ789" i="29"/>
  <c r="CV789" i="29"/>
  <c r="BQ789" i="29"/>
  <c r="CB789" i="29"/>
  <c r="DL789" i="29"/>
  <c r="CL789" i="29"/>
  <c r="CJ264" i="29"/>
  <c r="CE264" i="29"/>
  <c r="BR264" i="29"/>
  <c r="BQ264" i="29"/>
  <c r="BW264" i="29"/>
  <c r="DD264" i="29"/>
  <c r="CR264" i="29"/>
  <c r="BP264" i="29"/>
  <c r="DL264" i="29"/>
  <c r="CT264" i="29"/>
  <c r="CL264" i="29"/>
  <c r="BS264" i="29"/>
  <c r="DG614" i="29"/>
  <c r="CC614" i="29"/>
  <c r="BW614" i="29"/>
  <c r="CU614" i="29"/>
  <c r="CH614" i="29"/>
  <c r="BU614" i="29"/>
  <c r="CN614" i="29"/>
  <c r="CA614" i="29"/>
  <c r="BV614" i="29"/>
  <c r="BP614" i="29"/>
  <c r="CV614" i="29"/>
  <c r="CT614" i="29"/>
  <c r="BY614" i="29"/>
  <c r="CT961" i="29"/>
  <c r="CZ961" i="29"/>
  <c r="CA961" i="29"/>
  <c r="DB961" i="29"/>
  <c r="BQ961" i="29"/>
  <c r="CU961" i="29"/>
  <c r="DI961" i="29"/>
  <c r="CW961" i="29"/>
  <c r="CB961" i="29"/>
  <c r="CY961" i="29"/>
  <c r="CX961" i="29"/>
  <c r="CE961" i="29"/>
  <c r="DL265" i="29"/>
  <c r="CQ265" i="29"/>
  <c r="CD265" i="29"/>
  <c r="DK265" i="29"/>
  <c r="BX265" i="29"/>
  <c r="DA265" i="29"/>
  <c r="BO265" i="29"/>
  <c r="CX265" i="29"/>
  <c r="CB265" i="29"/>
  <c r="DH265" i="29"/>
  <c r="CR265" i="29"/>
  <c r="BS265" i="29"/>
  <c r="BW265" i="29"/>
  <c r="CX615" i="29"/>
  <c r="BU615" i="29"/>
  <c r="CS615" i="29"/>
  <c r="DD615" i="29"/>
  <c r="BZ615" i="29"/>
  <c r="CN615" i="29"/>
  <c r="CK615" i="29"/>
  <c r="CE615" i="29"/>
  <c r="DC615" i="29"/>
  <c r="CA615" i="29"/>
  <c r="CM615" i="29"/>
  <c r="CB615" i="29"/>
  <c r="DJ962" i="29"/>
  <c r="BV962" i="29"/>
  <c r="CJ962" i="29"/>
  <c r="CI962" i="29"/>
  <c r="CQ962" i="29"/>
  <c r="CD962" i="29"/>
  <c r="BQ962" i="29"/>
  <c r="DG962" i="29"/>
  <c r="DC962" i="29"/>
  <c r="DI962" i="29"/>
  <c r="CS962" i="29"/>
  <c r="CZ962" i="29"/>
  <c r="BX962" i="29"/>
  <c r="BQ438" i="29"/>
  <c r="CY438" i="29"/>
  <c r="CD438" i="29"/>
  <c r="BU438" i="29"/>
  <c r="CA438" i="29"/>
  <c r="CK438" i="29"/>
  <c r="CN438" i="29"/>
  <c r="CT438" i="29"/>
  <c r="BX438" i="29"/>
  <c r="CB438" i="29"/>
  <c r="BY438" i="29"/>
  <c r="DE438" i="29"/>
  <c r="DE788" i="29"/>
  <c r="CJ788" i="29"/>
  <c r="CL788" i="29"/>
  <c r="CT788" i="29"/>
  <c r="CX788" i="29"/>
  <c r="BP788" i="29"/>
  <c r="DI788" i="29"/>
  <c r="CO788" i="29"/>
  <c r="CS788" i="29"/>
  <c r="CU788" i="29"/>
  <c r="CA788" i="29"/>
  <c r="BO788" i="29"/>
  <c r="CF788" i="29"/>
  <c r="CA439" i="29"/>
  <c r="BT439" i="29"/>
  <c r="DH439" i="29"/>
  <c r="CJ439" i="29"/>
  <c r="DD439" i="29"/>
  <c r="BU439" i="29"/>
  <c r="BR439" i="29"/>
  <c r="DG439" i="29"/>
  <c r="CC439" i="29"/>
  <c r="DI439" i="29"/>
  <c r="CY439" i="29"/>
  <c r="CD439" i="29"/>
  <c r="DA789" i="29"/>
  <c r="CY789" i="29"/>
  <c r="BR789" i="29"/>
  <c r="CE789" i="29"/>
  <c r="DF789" i="29"/>
  <c r="CG789" i="29"/>
  <c r="CK789" i="29"/>
  <c r="CD789" i="29"/>
  <c r="BU789" i="29"/>
  <c r="BY789" i="29"/>
  <c r="CA789" i="29"/>
  <c r="CW789" i="29"/>
  <c r="DE789" i="29"/>
  <c r="BT264" i="29"/>
  <c r="BO264" i="29"/>
  <c r="CN264" i="29"/>
  <c r="BY264" i="29"/>
  <c r="DF264" i="29"/>
  <c r="BX264" i="29"/>
  <c r="CI264" i="29"/>
  <c r="CG264" i="29"/>
  <c r="CK264" i="29"/>
  <c r="CV264" i="29"/>
  <c r="CF264" i="29"/>
  <c r="CD264" i="29"/>
  <c r="DI614" i="29"/>
  <c r="BS614" i="29"/>
  <c r="DA614" i="29"/>
  <c r="CK614" i="29"/>
  <c r="BO614" i="29"/>
  <c r="BR614" i="29"/>
  <c r="BX614" i="29"/>
  <c r="DL614" i="29"/>
  <c r="CQ614" i="29"/>
  <c r="CI614" i="29"/>
  <c r="BT614" i="29"/>
  <c r="CG614" i="29"/>
  <c r="CR614" i="29"/>
  <c r="CD961" i="29"/>
  <c r="BX961" i="29"/>
  <c r="BZ961" i="29"/>
  <c r="CL961" i="29"/>
  <c r="CK961" i="29"/>
  <c r="DK961" i="29"/>
  <c r="BU961" i="29"/>
  <c r="CP961" i="29"/>
  <c r="BT961" i="29"/>
  <c r="CV961" i="29"/>
  <c r="DG961" i="29"/>
  <c r="CQ961" i="29"/>
  <c r="CA265" i="29"/>
  <c r="CF265" i="29"/>
  <c r="DI265" i="29"/>
  <c r="CE265" i="29"/>
  <c r="DB265" i="29"/>
  <c r="CK265" i="29"/>
  <c r="CJ265" i="29"/>
  <c r="BR265" i="29"/>
  <c r="CV265" i="29"/>
  <c r="DF265" i="29"/>
  <c r="CP265" i="29"/>
  <c r="BP265" i="29"/>
  <c r="CY265" i="29"/>
  <c r="CP615" i="29"/>
  <c r="CT615" i="29"/>
  <c r="CD615" i="29"/>
  <c r="CV615" i="29"/>
  <c r="BT615" i="29"/>
  <c r="BY615" i="29"/>
  <c r="BX615" i="29"/>
  <c r="BO615" i="29"/>
  <c r="BV615" i="29"/>
  <c r="BQ615" i="29"/>
  <c r="BW615" i="29"/>
  <c r="CY615" i="29"/>
  <c r="CY962" i="29"/>
  <c r="DL962" i="29"/>
  <c r="CA962" i="29"/>
  <c r="BO962" i="29"/>
  <c r="BT962" i="29"/>
  <c r="CN962" i="29"/>
  <c r="CR962" i="29"/>
  <c r="DE962" i="29"/>
  <c r="CH962" i="29"/>
  <c r="CC962" i="29"/>
  <c r="DH962" i="29"/>
  <c r="DA962" i="29"/>
  <c r="CX962" i="29"/>
  <c r="DH438" i="29"/>
  <c r="CI438" i="29"/>
  <c r="CX438" i="29"/>
  <c r="CL438" i="29"/>
  <c r="DJ438" i="29"/>
  <c r="DL438" i="29"/>
  <c r="DC438" i="29"/>
  <c r="CR438" i="29"/>
  <c r="CE438" i="29"/>
  <c r="DB438" i="29"/>
  <c r="BP438" i="29"/>
  <c r="DF438" i="29"/>
  <c r="CR788" i="29"/>
  <c r="BV788" i="29"/>
  <c r="DH788" i="29"/>
  <c r="CY788" i="29"/>
  <c r="CC788" i="29"/>
  <c r="CZ788" i="29"/>
  <c r="CH788" i="29"/>
  <c r="DK788" i="29"/>
  <c r="BR788" i="29"/>
  <c r="DD788" i="29"/>
  <c r="BX788" i="29"/>
  <c r="DL788" i="29"/>
  <c r="CM788" i="29"/>
  <c r="DK726" i="29"/>
  <c r="BX726" i="29"/>
  <c r="CJ726" i="29"/>
  <c r="BY726" i="29"/>
  <c r="CC726" i="29"/>
  <c r="BO726" i="29"/>
  <c r="BR726" i="29"/>
  <c r="DL726" i="29"/>
  <c r="DE726" i="29"/>
  <c r="DJ726" i="29"/>
  <c r="CT726" i="29"/>
  <c r="CW726" i="29"/>
  <c r="CL726" i="29"/>
  <c r="BV730" i="29"/>
  <c r="CF730" i="29"/>
  <c r="BT730" i="29"/>
  <c r="DJ730" i="29"/>
  <c r="CS730" i="29"/>
  <c r="CQ730" i="29"/>
  <c r="CX730" i="29"/>
  <c r="CI730" i="29"/>
  <c r="CW730" i="29"/>
  <c r="CP730" i="29"/>
  <c r="DD730" i="29"/>
  <c r="CR730" i="29"/>
  <c r="DG734" i="29"/>
  <c r="CU734" i="29"/>
  <c r="CI734" i="29"/>
  <c r="DA734" i="29"/>
  <c r="DD734" i="29"/>
  <c r="CX734" i="29"/>
  <c r="BQ734" i="29"/>
  <c r="DH734" i="29"/>
  <c r="DL734" i="29"/>
  <c r="BV734" i="29"/>
  <c r="CA734" i="29"/>
  <c r="CD734" i="29"/>
  <c r="DI734" i="29"/>
  <c r="BT738" i="29"/>
  <c r="CM738" i="29"/>
  <c r="CE738" i="29"/>
  <c r="CL738" i="29"/>
  <c r="CC738" i="29"/>
  <c r="DJ738" i="29"/>
  <c r="CK738" i="29"/>
  <c r="CA738" i="29"/>
  <c r="BU738" i="29"/>
  <c r="CS738" i="29"/>
  <c r="DD738" i="29"/>
  <c r="BX738" i="29"/>
  <c r="DC742" i="29"/>
  <c r="DH742" i="29"/>
  <c r="BS742" i="29"/>
  <c r="CJ742" i="29"/>
  <c r="CE742" i="29"/>
  <c r="CL742" i="29"/>
  <c r="BU742" i="29"/>
  <c r="CT742" i="29"/>
  <c r="CC742" i="29"/>
  <c r="CW742" i="29"/>
  <c r="CG742" i="29"/>
  <c r="BZ742" i="29"/>
  <c r="CP742" i="29"/>
  <c r="BV746" i="29"/>
  <c r="CY746" i="29"/>
  <c r="CU746" i="29"/>
  <c r="DI746" i="29"/>
  <c r="CI746" i="29"/>
  <c r="DD746" i="29"/>
  <c r="CW746" i="29"/>
  <c r="CX746" i="29"/>
  <c r="CR746" i="29"/>
  <c r="BZ746" i="29"/>
  <c r="CB746" i="29"/>
  <c r="BY746" i="29"/>
  <c r="DC750" i="29"/>
  <c r="CE750" i="29"/>
  <c r="CT750" i="29"/>
  <c r="DL750" i="29"/>
  <c r="BV750" i="29"/>
  <c r="CA750" i="29"/>
  <c r="DH750" i="29"/>
  <c r="CY750" i="29"/>
  <c r="BY750" i="29"/>
  <c r="BR750" i="29"/>
  <c r="CH750" i="29"/>
  <c r="CW750" i="29"/>
  <c r="CB754" i="29"/>
  <c r="CU754" i="29"/>
  <c r="BW754" i="29"/>
  <c r="CL754" i="29"/>
  <c r="BU754" i="29"/>
  <c r="DJ754" i="29"/>
  <c r="CS754" i="29"/>
  <c r="CA754" i="29"/>
  <c r="BQ754" i="29"/>
  <c r="CG754" i="29"/>
  <c r="BX754" i="29"/>
  <c r="CP754" i="29"/>
  <c r="DL758" i="29"/>
  <c r="CU758" i="29"/>
  <c r="BZ758" i="29"/>
  <c r="DC758" i="29"/>
  <c r="CH758" i="29"/>
  <c r="DB758" i="29"/>
  <c r="DG758" i="29"/>
  <c r="BQ758" i="29"/>
  <c r="CI758" i="29"/>
  <c r="CY758" i="29"/>
  <c r="CV758" i="29"/>
  <c r="DD758" i="29"/>
  <c r="BT758" i="29"/>
  <c r="DB762" i="29"/>
  <c r="CG762" i="29"/>
  <c r="DJ762" i="29"/>
  <c r="CO762" i="29"/>
  <c r="BS762" i="29"/>
  <c r="BW762" i="29"/>
  <c r="CC762" i="29"/>
  <c r="BO762" i="29"/>
  <c r="CE762" i="29"/>
  <c r="BP762" i="29"/>
  <c r="CN762" i="29"/>
  <c r="CR762" i="29"/>
  <c r="DL766" i="29"/>
  <c r="CU766" i="29"/>
  <c r="BZ766" i="29"/>
  <c r="DC766" i="29"/>
  <c r="CH766" i="29"/>
  <c r="DB766" i="29"/>
  <c r="DG766" i="29"/>
  <c r="BQ766" i="29"/>
  <c r="CI766" i="29"/>
  <c r="CY766" i="29"/>
  <c r="CV766" i="29"/>
  <c r="CR766" i="29"/>
  <c r="CB766" i="29"/>
  <c r="DE770" i="29"/>
  <c r="CI770" i="29"/>
  <c r="BZ770" i="29"/>
  <c r="CW770" i="29"/>
  <c r="BX770" i="29"/>
  <c r="BP770" i="29"/>
  <c r="BU770" i="29"/>
  <c r="BO770" i="29"/>
  <c r="CU770" i="29"/>
  <c r="DH770" i="29"/>
  <c r="BS770" i="29"/>
  <c r="DL770" i="29"/>
  <c r="DJ774" i="29"/>
  <c r="CH774" i="29"/>
  <c r="CY774" i="29"/>
  <c r="BW774" i="29"/>
  <c r="CB774" i="29"/>
  <c r="BT774" i="29"/>
  <c r="BR774" i="29"/>
  <c r="DI774" i="29"/>
  <c r="CL774" i="29"/>
  <c r="CA774" i="29"/>
  <c r="BQ774" i="29"/>
  <c r="BU774" i="29"/>
  <c r="CG774" i="29"/>
  <c r="DB778" i="29"/>
  <c r="CE778" i="29"/>
  <c r="DE778" i="29"/>
  <c r="CI778" i="29"/>
  <c r="CH778" i="29"/>
  <c r="BQ778" i="29"/>
  <c r="BV778" i="29"/>
  <c r="CK778" i="29"/>
  <c r="CU778" i="29"/>
  <c r="CB778" i="29"/>
  <c r="CP778" i="29"/>
  <c r="BO778" i="29"/>
  <c r="DK782" i="29"/>
  <c r="CI782" i="29"/>
  <c r="CZ782" i="29"/>
  <c r="BX782" i="29"/>
  <c r="BW782" i="29"/>
  <c r="BO782" i="29"/>
  <c r="DJ782" i="29"/>
  <c r="DA782" i="29"/>
  <c r="CV782" i="29"/>
  <c r="DB782" i="29"/>
  <c r="CL782" i="29"/>
  <c r="BY782" i="29"/>
  <c r="CG782" i="29"/>
  <c r="CH786" i="29"/>
  <c r="CM786" i="29"/>
  <c r="CJ786" i="29"/>
  <c r="DK786" i="29"/>
  <c r="CE786" i="29"/>
  <c r="BP786" i="29"/>
  <c r="CN786" i="29"/>
  <c r="CA786" i="29"/>
  <c r="DE786" i="29"/>
  <c r="CT786" i="29"/>
  <c r="CO786" i="29"/>
  <c r="BX786" i="29"/>
  <c r="DL792" i="29"/>
  <c r="CU792" i="29"/>
  <c r="BZ792" i="29"/>
  <c r="DC792" i="29"/>
  <c r="CH792" i="29"/>
  <c r="DJ792" i="29"/>
  <c r="BS792" i="29"/>
  <c r="BY792" i="29"/>
  <c r="BV792" i="29"/>
  <c r="CW792" i="29"/>
  <c r="CZ792" i="29"/>
  <c r="CN792" i="29"/>
  <c r="CV792" i="29"/>
  <c r="DF796" i="29"/>
  <c r="CK796" i="29"/>
  <c r="BO796" i="29"/>
  <c r="CS796" i="29"/>
  <c r="BW796" i="29"/>
  <c r="CI796" i="29"/>
  <c r="CO796" i="29"/>
  <c r="CL796" i="29"/>
  <c r="BV796" i="29"/>
  <c r="BT796" i="29"/>
  <c r="CR796" i="29"/>
  <c r="CN796" i="29"/>
  <c r="DK800" i="29"/>
  <c r="CI800" i="29"/>
  <c r="CZ800" i="29"/>
  <c r="BX800" i="29"/>
  <c r="BZ800" i="29"/>
  <c r="BS800" i="29"/>
  <c r="BO800" i="29"/>
  <c r="DE800" i="29"/>
  <c r="CQ800" i="29"/>
  <c r="BQ800" i="29"/>
  <c r="CA800" i="29"/>
  <c r="CS800" i="29"/>
  <c r="DI800" i="29"/>
  <c r="CU804" i="29"/>
  <c r="DK804" i="29"/>
  <c r="BT804" i="29"/>
  <c r="BW804" i="29"/>
  <c r="CB804" i="29"/>
  <c r="CW804" i="29"/>
  <c r="DB804" i="29"/>
  <c r="CO804" i="29"/>
  <c r="DL804" i="29"/>
  <c r="CL804" i="29"/>
  <c r="DG804" i="29"/>
  <c r="CV804" i="29"/>
  <c r="DL808" i="29"/>
  <c r="CD808" i="29"/>
  <c r="CY808" i="29"/>
  <c r="BT808" i="29"/>
  <c r="DB808" i="29"/>
  <c r="BR808" i="29"/>
  <c r="CN808" i="29"/>
  <c r="CE808" i="29"/>
  <c r="DA808" i="29"/>
  <c r="BV808" i="29"/>
  <c r="CL808" i="29"/>
  <c r="CW808" i="29"/>
  <c r="BS808" i="29"/>
  <c r="BW812" i="29"/>
  <c r="BP812" i="29"/>
  <c r="BS812" i="29"/>
  <c r="DE812" i="29"/>
  <c r="CJ812" i="29"/>
  <c r="CW812" i="29"/>
  <c r="BZ812" i="29"/>
  <c r="DD812" i="29"/>
  <c r="CT812" i="29"/>
  <c r="BR812" i="29"/>
  <c r="CP812" i="29"/>
  <c r="CS812" i="29"/>
  <c r="DK816" i="29"/>
  <c r="BZ816" i="29"/>
  <c r="CP816" i="29"/>
  <c r="CU816" i="29"/>
  <c r="BS816" i="29"/>
  <c r="CV816" i="29"/>
  <c r="CC816" i="29"/>
  <c r="CL816" i="29"/>
  <c r="CX816" i="29"/>
  <c r="DE816" i="29"/>
  <c r="CO816" i="29"/>
  <c r="CR816" i="29"/>
  <c r="CW816" i="29"/>
  <c r="CK821" i="29"/>
  <c r="CT821" i="29"/>
  <c r="CD821" i="29"/>
  <c r="DL821" i="29"/>
  <c r="DA821" i="29"/>
  <c r="CB821" i="29"/>
  <c r="DG821" i="29"/>
  <c r="CL821" i="29"/>
  <c r="DI821" i="29"/>
  <c r="DD821" i="29"/>
  <c r="CH821" i="29"/>
  <c r="CR821" i="29"/>
  <c r="DJ825" i="29"/>
  <c r="CG825" i="29"/>
  <c r="DC825" i="29"/>
  <c r="BW825" i="29"/>
  <c r="CA825" i="29"/>
  <c r="DA825" i="29"/>
  <c r="CC825" i="29"/>
  <c r="CZ825" i="29"/>
  <c r="DB825" i="29"/>
  <c r="CN825" i="29"/>
  <c r="CV825" i="29"/>
  <c r="CP825" i="29"/>
  <c r="DB898" i="29"/>
  <c r="CG898" i="29"/>
  <c r="DK898" i="29"/>
  <c r="CP898" i="29"/>
  <c r="BU898" i="29"/>
  <c r="CI898" i="29"/>
  <c r="CO898" i="29"/>
  <c r="CM898" i="29"/>
  <c r="CH898" i="29"/>
  <c r="BX898" i="29"/>
  <c r="CF898" i="29"/>
  <c r="DH898" i="29"/>
  <c r="DL902" i="29"/>
  <c r="CS902" i="29"/>
  <c r="BW902" i="29"/>
  <c r="CW902" i="29"/>
  <c r="CA902" i="29"/>
  <c r="CU902" i="29"/>
  <c r="DK902" i="29"/>
  <c r="BU902" i="29"/>
  <c r="CO902" i="29"/>
  <c r="CI902" i="29"/>
  <c r="CV902" i="29"/>
  <c r="BT902" i="29"/>
  <c r="CB902" i="29"/>
  <c r="CU906" i="29"/>
  <c r="BY906" i="29"/>
  <c r="CT906" i="29"/>
  <c r="BW906" i="29"/>
  <c r="CA906" i="29"/>
  <c r="CG906" i="29"/>
  <c r="DE906" i="29"/>
  <c r="CK906" i="29"/>
  <c r="BP906" i="29"/>
  <c r="CV906" i="29"/>
  <c r="CZ906" i="29"/>
  <c r="CS906" i="29"/>
  <c r="DL910" i="29"/>
  <c r="CU910" i="29"/>
  <c r="BZ910" i="29"/>
  <c r="DE910" i="29"/>
  <c r="CI910" i="29"/>
  <c r="DI910" i="29"/>
  <c r="BR910" i="29"/>
  <c r="BW910" i="29"/>
  <c r="CG910" i="29"/>
  <c r="CA910" i="29"/>
  <c r="DD910" i="29"/>
  <c r="CB910" i="29"/>
  <c r="BT910" i="29"/>
  <c r="CD914" i="29"/>
  <c r="BP914" i="29"/>
  <c r="DL914" i="29"/>
  <c r="CT914" i="29"/>
  <c r="CK914" i="29"/>
  <c r="BO914" i="29"/>
  <c r="DJ914" i="29"/>
  <c r="BT914" i="29"/>
  <c r="DE914" i="29"/>
  <c r="BR914" i="29"/>
  <c r="CG914" i="29"/>
  <c r="CM914" i="29"/>
  <c r="DB918" i="29"/>
  <c r="CF918" i="29"/>
  <c r="CP918" i="29"/>
  <c r="CK918" i="29"/>
  <c r="DF918" i="29"/>
  <c r="DI918" i="29"/>
  <c r="CN918" i="29"/>
  <c r="CU918" i="29"/>
  <c r="CX918" i="29"/>
  <c r="BX918" i="29"/>
  <c r="CJ918" i="29"/>
  <c r="DC918" i="29"/>
  <c r="BR918" i="29"/>
  <c r="CU922" i="29"/>
  <c r="BS922" i="29"/>
  <c r="CM922" i="29"/>
  <c r="DF922" i="29"/>
  <c r="CY922" i="29"/>
  <c r="CI922" i="29"/>
  <c r="CB922" i="29"/>
  <c r="CC922" i="29"/>
  <c r="DA922" i="29"/>
  <c r="CV922" i="29"/>
  <c r="DE922" i="29"/>
  <c r="CF922" i="29"/>
  <c r="DK926" i="29"/>
  <c r="DG926" i="29"/>
  <c r="CP926" i="29"/>
  <c r="CZ926" i="29"/>
  <c r="CW926" i="29"/>
  <c r="BX926" i="29"/>
  <c r="DE926" i="29"/>
  <c r="CI926" i="29"/>
  <c r="DL926" i="29"/>
  <c r="BP926" i="29"/>
  <c r="CM926" i="29"/>
  <c r="CK926" i="29"/>
  <c r="CD926" i="29"/>
  <c r="CR930" i="29"/>
  <c r="BO930" i="29"/>
  <c r="CP930" i="29"/>
  <c r="DH930" i="29"/>
  <c r="DC930" i="29"/>
  <c r="BX930" i="29"/>
  <c r="CU930" i="29"/>
  <c r="CC930" i="29"/>
  <c r="DA930" i="29"/>
  <c r="CV930" i="29"/>
  <c r="DE930" i="29"/>
  <c r="CG930" i="29"/>
  <c r="CQ934" i="29"/>
  <c r="DG934" i="29"/>
  <c r="BU934" i="29"/>
  <c r="CH934" i="29"/>
  <c r="BT934" i="29"/>
  <c r="DJ934" i="29"/>
  <c r="BW934" i="29"/>
  <c r="CW934" i="29"/>
  <c r="DL934" i="29"/>
  <c r="CX934" i="29"/>
  <c r="DH934" i="29"/>
  <c r="DE934" i="29"/>
  <c r="CA934" i="29"/>
  <c r="CU938" i="29"/>
  <c r="BS938" i="29"/>
  <c r="CM938" i="29"/>
  <c r="DK938" i="29"/>
  <c r="DF938" i="29"/>
  <c r="CP938" i="29"/>
  <c r="CY938" i="29"/>
  <c r="CC938" i="29"/>
  <c r="DA938" i="29"/>
  <c r="CV938" i="29"/>
  <c r="DE938" i="29"/>
  <c r="CF938" i="29"/>
  <c r="CU942" i="29"/>
  <c r="CV942" i="29"/>
  <c r="CO942" i="29"/>
  <c r="DH942" i="29"/>
  <c r="CQ942" i="29"/>
  <c r="BQ942" i="29"/>
  <c r="CB942" i="29"/>
  <c r="DA942" i="29"/>
  <c r="BT942" i="29"/>
  <c r="DC942" i="29"/>
  <c r="BS942" i="29"/>
  <c r="DI942" i="29"/>
  <c r="CR942" i="29"/>
  <c r="CU946" i="29"/>
  <c r="BS946" i="29"/>
  <c r="CM946" i="29"/>
  <c r="DF946" i="29"/>
  <c r="DD946" i="29"/>
  <c r="BT946" i="29"/>
  <c r="BW946" i="29"/>
  <c r="CC946" i="29"/>
  <c r="DA946" i="29"/>
  <c r="CV946" i="29"/>
  <c r="DE946" i="29"/>
  <c r="CG946" i="29"/>
  <c r="DK950" i="29"/>
  <c r="DF950" i="29"/>
  <c r="CU950" i="29"/>
  <c r="DA950" i="29"/>
  <c r="CD950" i="29"/>
  <c r="DG950" i="29"/>
  <c r="CC950" i="29"/>
  <c r="CR950" i="29"/>
  <c r="CG950" i="29"/>
  <c r="CW950" i="29"/>
  <c r="BY950" i="29"/>
  <c r="CV950" i="29"/>
  <c r="DD950" i="29"/>
  <c r="BO954" i="29"/>
  <c r="CP954" i="29"/>
  <c r="DC954" i="29"/>
  <c r="CM954" i="29"/>
  <c r="DJ954" i="29"/>
  <c r="BS954" i="29"/>
  <c r="DA954" i="29"/>
  <c r="CV954" i="29"/>
  <c r="DE954" i="29"/>
  <c r="CF954" i="29"/>
  <c r="DL958" i="29"/>
  <c r="DK958" i="29"/>
  <c r="CQ958" i="29"/>
  <c r="DF958" i="29"/>
  <c r="CK958" i="29"/>
  <c r="DC958" i="29"/>
  <c r="DI958" i="29"/>
  <c r="CN958" i="29"/>
  <c r="CL958" i="29"/>
  <c r="CA958" i="29"/>
  <c r="CB958" i="29"/>
  <c r="BY958" i="29"/>
  <c r="CO958" i="29"/>
  <c r="CV964" i="29"/>
  <c r="BT964" i="29"/>
  <c r="CK964" i="29"/>
  <c r="DE964" i="29"/>
  <c r="CN964" i="29"/>
  <c r="BR964" i="29"/>
  <c r="CF964" i="29"/>
  <c r="BS964" i="29"/>
  <c r="CQ964" i="29"/>
  <c r="DH964" i="29"/>
  <c r="CU964" i="29"/>
  <c r="DC964" i="29"/>
  <c r="DF968" i="29"/>
  <c r="DI968" i="29"/>
  <c r="CP968" i="29"/>
  <c r="DD968" i="29"/>
  <c r="DC968" i="29"/>
  <c r="CJ968" i="29"/>
  <c r="CX968" i="29"/>
  <c r="BO968" i="29"/>
  <c r="DH968" i="29"/>
  <c r="BX968" i="29"/>
  <c r="CD968" i="29"/>
  <c r="DG968" i="29"/>
  <c r="CC968" i="29"/>
  <c r="CX972" i="29"/>
  <c r="BU972" i="29"/>
  <c r="CN972" i="29"/>
  <c r="CZ972" i="29"/>
  <c r="CD972" i="29"/>
  <c r="CO972" i="29"/>
  <c r="BP972" i="29"/>
  <c r="BS972" i="29"/>
  <c r="CQ972" i="29"/>
  <c r="DH972" i="29"/>
  <c r="DK972" i="29"/>
  <c r="CM972" i="29"/>
  <c r="CL976" i="29"/>
  <c r="CY976" i="29"/>
  <c r="CD976" i="29"/>
  <c r="BX976" i="29"/>
  <c r="CQ976" i="29"/>
  <c r="BT976" i="29"/>
  <c r="CR976" i="29"/>
  <c r="BO976" i="29"/>
  <c r="BR976" i="29"/>
  <c r="DA976" i="29"/>
  <c r="DL976" i="29"/>
  <c r="DC976" i="29"/>
  <c r="CW976" i="29"/>
  <c r="CW980" i="29"/>
  <c r="BQ980" i="29"/>
  <c r="CK980" i="29"/>
  <c r="CL980" i="29"/>
  <c r="CD980" i="29"/>
  <c r="CP980" i="29"/>
  <c r="CM980" i="29"/>
  <c r="CZ980" i="29"/>
  <c r="DK980" i="29"/>
  <c r="CA980" i="29"/>
  <c r="CQ980" i="29"/>
  <c r="CY980" i="29"/>
  <c r="DL984" i="29"/>
  <c r="CC984" i="29"/>
  <c r="CH984" i="29"/>
  <c r="CT984" i="29"/>
  <c r="DJ984" i="29"/>
  <c r="CP984" i="29"/>
  <c r="BQ984" i="29"/>
  <c r="DA984" i="29"/>
  <c r="CB984" i="29"/>
  <c r="BV984" i="29"/>
  <c r="CR984" i="29"/>
  <c r="DF984" i="29"/>
  <c r="DB984" i="29"/>
  <c r="CF988" i="29"/>
  <c r="BV988" i="29"/>
  <c r="BU988" i="29"/>
  <c r="DG988" i="29"/>
  <c r="CO988" i="29"/>
  <c r="CL988" i="29"/>
  <c r="CZ988" i="29"/>
  <c r="BQ988" i="29"/>
  <c r="DI988" i="29"/>
  <c r="CJ988" i="29"/>
  <c r="CX988" i="29"/>
  <c r="CU988" i="29"/>
  <c r="DK993" i="29"/>
  <c r="BX993" i="29"/>
  <c r="CD993" i="29"/>
  <c r="DH993" i="29"/>
  <c r="BW993" i="29"/>
  <c r="CJ993" i="29"/>
  <c r="BQ993" i="29"/>
  <c r="CU993" i="29"/>
  <c r="BV993" i="29"/>
  <c r="CS993" i="29"/>
  <c r="DI993" i="29"/>
  <c r="CE993" i="29"/>
  <c r="CV993" i="29"/>
  <c r="BO997" i="29"/>
  <c r="DC997" i="29"/>
  <c r="CD997" i="29"/>
  <c r="CR997" i="29"/>
  <c r="CU997" i="29"/>
  <c r="DE997" i="29"/>
  <c r="BW997" i="29"/>
  <c r="DF997" i="29"/>
  <c r="CI997" i="29"/>
  <c r="CC997" i="29"/>
  <c r="BR997" i="29"/>
  <c r="CH997" i="29"/>
  <c r="DK373" i="29"/>
  <c r="CB373" i="29"/>
  <c r="DI373" i="29"/>
  <c r="DG373" i="29"/>
  <c r="BT373" i="29"/>
  <c r="BZ373" i="29"/>
  <c r="CY373" i="29"/>
  <c r="CD373" i="29"/>
  <c r="BO373" i="29"/>
  <c r="CV373" i="29"/>
  <c r="DC373" i="29"/>
  <c r="CX373" i="29"/>
  <c r="DL373" i="29"/>
  <c r="DC377" i="29"/>
  <c r="CH377" i="29"/>
  <c r="CQ377" i="29"/>
  <c r="DF377" i="29"/>
  <c r="CK377" i="29"/>
  <c r="BO377" i="29"/>
  <c r="CT377" i="29"/>
  <c r="BY377" i="29"/>
  <c r="CW377" i="29"/>
  <c r="BT377" i="29"/>
  <c r="CR377" i="29"/>
  <c r="CF377" i="29"/>
  <c r="DL381" i="29"/>
  <c r="CT381" i="29"/>
  <c r="BY381" i="29"/>
  <c r="BR381" i="29"/>
  <c r="CQ381" i="29"/>
  <c r="BV381" i="29"/>
  <c r="DA381" i="29"/>
  <c r="CE381" i="29"/>
  <c r="DI381" i="29"/>
  <c r="CH381" i="29"/>
  <c r="CZ381" i="29"/>
  <c r="CN381" i="29"/>
  <c r="DD381" i="29"/>
  <c r="DF385" i="29"/>
  <c r="CK385" i="29"/>
  <c r="BO385" i="29"/>
  <c r="BY385" i="29"/>
  <c r="CS385" i="29"/>
  <c r="BW385" i="29"/>
  <c r="CW385" i="29"/>
  <c r="CA385" i="29"/>
  <c r="CY385" i="29"/>
  <c r="BT385" i="29"/>
  <c r="CR385" i="29"/>
  <c r="CF385" i="29"/>
  <c r="DL389" i="29"/>
  <c r="CQ389" i="29"/>
  <c r="BV389" i="29"/>
  <c r="DA389" i="29"/>
  <c r="BO389" i="29"/>
  <c r="CT389" i="29"/>
  <c r="BY389" i="29"/>
  <c r="CX389" i="29"/>
  <c r="CC389" i="29"/>
  <c r="CE389" i="29"/>
  <c r="CZ389" i="29"/>
  <c r="CN389" i="29"/>
  <c r="DD389" i="29"/>
  <c r="DC393" i="29"/>
  <c r="CH393" i="29"/>
  <c r="DG393" i="29"/>
  <c r="CL393" i="29"/>
  <c r="BQ393" i="29"/>
  <c r="CU393" i="29"/>
  <c r="BZ393" i="29"/>
  <c r="DE393" i="29"/>
  <c r="CI393" i="29"/>
  <c r="BT393" i="29"/>
  <c r="CR393" i="29"/>
  <c r="CF393" i="29"/>
  <c r="DL397" i="29"/>
  <c r="CT397" i="29"/>
  <c r="BY397" i="29"/>
  <c r="CM397" i="29"/>
  <c r="BR397" i="29"/>
  <c r="CQ397" i="29"/>
  <c r="BV397" i="29"/>
  <c r="DA397" i="29"/>
  <c r="CE397" i="29"/>
  <c r="DI397" i="29"/>
  <c r="CZ397" i="29"/>
  <c r="CN397" i="29"/>
  <c r="DD397" i="29"/>
  <c r="DF401" i="29"/>
  <c r="CK401" i="29"/>
  <c r="BO401" i="29"/>
  <c r="CO401" i="29"/>
  <c r="BS401" i="29"/>
  <c r="CS401" i="29"/>
  <c r="BW401" i="29"/>
  <c r="CW401" i="29"/>
  <c r="CA401" i="29"/>
  <c r="BT401" i="29"/>
  <c r="CR401" i="29"/>
  <c r="CF401" i="29"/>
  <c r="DL405" i="29"/>
  <c r="CU405" i="29"/>
  <c r="BZ405" i="29"/>
  <c r="DC405" i="29"/>
  <c r="CH405" i="29"/>
  <c r="DB405" i="29"/>
  <c r="DJ405" i="29"/>
  <c r="BS405" i="29"/>
  <c r="CA405" i="29"/>
  <c r="CI405" i="29"/>
  <c r="CZ405" i="29"/>
  <c r="CN405" i="29"/>
  <c r="DD405" i="29"/>
  <c r="DB409" i="29"/>
  <c r="CG409" i="29"/>
  <c r="DJ409" i="29"/>
  <c r="CO409" i="29"/>
  <c r="BS409" i="29"/>
  <c r="CC409" i="29"/>
  <c r="CK409" i="29"/>
  <c r="CS409" i="29"/>
  <c r="DA409" i="29"/>
  <c r="BT409" i="29"/>
  <c r="CR409" i="29"/>
  <c r="CF409" i="29"/>
  <c r="DL413" i="29"/>
  <c r="CS413" i="29"/>
  <c r="BW413" i="29"/>
  <c r="DA413" i="29"/>
  <c r="CE413" i="29"/>
  <c r="DE413" i="29"/>
  <c r="DB413" i="29"/>
  <c r="DJ413" i="29"/>
  <c r="BS413" i="29"/>
  <c r="CA413" i="29"/>
  <c r="CZ413" i="29"/>
  <c r="CN413" i="29"/>
  <c r="DD413" i="29"/>
  <c r="CS417" i="29"/>
  <c r="BQ417" i="29"/>
  <c r="CO417" i="29"/>
  <c r="DC417" i="29"/>
  <c r="CJ417" i="29"/>
  <c r="CG417" i="29"/>
  <c r="CC417" i="29"/>
  <c r="BR417" i="29"/>
  <c r="CP417" i="29"/>
  <c r="DL417" i="29"/>
  <c r="CL417" i="29"/>
  <c r="CK417" i="29"/>
  <c r="DL421" i="29"/>
  <c r="CA421" i="29"/>
  <c r="CO421" i="29"/>
  <c r="CM421" i="29"/>
  <c r="BO421" i="29"/>
  <c r="CQ421" i="29"/>
  <c r="CD421" i="29"/>
  <c r="CK421" i="29"/>
  <c r="CY421" i="29"/>
  <c r="CP421" i="29"/>
  <c r="CS421" i="29"/>
  <c r="CI421" i="29"/>
  <c r="BX421" i="29"/>
  <c r="CR425" i="29"/>
  <c r="BO425" i="29"/>
  <c r="CN425" i="29"/>
  <c r="DH425" i="29"/>
  <c r="DD425" i="29"/>
  <c r="CM425" i="29"/>
  <c r="CI425" i="29"/>
  <c r="BR425" i="29"/>
  <c r="CP425" i="29"/>
  <c r="DL425" i="29"/>
  <c r="DB425" i="29"/>
  <c r="BP425" i="29"/>
  <c r="DG429" i="29"/>
  <c r="DA429" i="29"/>
  <c r="BW429" i="29"/>
  <c r="CT429" i="29"/>
  <c r="BT429" i="29"/>
  <c r="CV429" i="29"/>
  <c r="CZ429" i="29"/>
  <c r="BS429" i="29"/>
  <c r="BO429" i="29"/>
  <c r="CU429" i="29"/>
  <c r="DF429" i="29"/>
  <c r="CM429" i="29"/>
  <c r="CI429" i="29"/>
  <c r="CS433" i="29"/>
  <c r="BQ433" i="29"/>
  <c r="CO433" i="29"/>
  <c r="DI433" i="29"/>
  <c r="DE433" i="29"/>
  <c r="DC433" i="29"/>
  <c r="CJ433" i="29"/>
  <c r="BV433" i="29"/>
  <c r="CT433" i="29"/>
  <c r="DG433" i="29"/>
  <c r="CP433" i="29"/>
  <c r="CF433" i="29"/>
  <c r="DL437" i="29"/>
  <c r="CS437" i="29"/>
  <c r="BV437" i="29"/>
  <c r="DA437" i="29"/>
  <c r="CD437" i="29"/>
  <c r="CT437" i="29"/>
  <c r="CQ437" i="29"/>
  <c r="CY437" i="29"/>
  <c r="DG437" i="29"/>
  <c r="BO437" i="29"/>
  <c r="CB437" i="29"/>
  <c r="BP437" i="29"/>
  <c r="CF437" i="29"/>
  <c r="BV443" i="29"/>
  <c r="DB443" i="29"/>
  <c r="CL443" i="29"/>
  <c r="CO443" i="29"/>
  <c r="BO443" i="29"/>
  <c r="CW443" i="29"/>
  <c r="BZ443" i="29"/>
  <c r="DH443" i="29"/>
  <c r="BS443" i="29"/>
  <c r="CY443" i="29"/>
  <c r="CE443" i="29"/>
  <c r="DK443" i="29"/>
  <c r="CY447" i="29"/>
  <c r="DD447" i="29"/>
  <c r="DK447" i="29"/>
  <c r="CJ447" i="29"/>
  <c r="CU447" i="29"/>
  <c r="BQ447" i="29"/>
  <c r="DC447" i="29"/>
  <c r="BV447" i="29"/>
  <c r="CR447" i="29"/>
  <c r="CM447" i="29"/>
  <c r="CX447" i="29"/>
  <c r="BR447" i="29"/>
  <c r="CB447" i="29"/>
  <c r="DG451" i="29"/>
  <c r="DE451" i="29"/>
  <c r="CJ451" i="29"/>
  <c r="CH451" i="29"/>
  <c r="CG451" i="29"/>
  <c r="DD451" i="29"/>
  <c r="DH451" i="29"/>
  <c r="CE451" i="29"/>
  <c r="DK451" i="29"/>
  <c r="CL451" i="29"/>
  <c r="DC451" i="29"/>
  <c r="CP451" i="29"/>
  <c r="CZ455" i="29"/>
  <c r="BP455" i="29"/>
  <c r="BQ455" i="29"/>
  <c r="CB455" i="29"/>
  <c r="DE455" i="29"/>
  <c r="CI455" i="29"/>
  <c r="BZ455" i="29"/>
  <c r="DJ455" i="29"/>
  <c r="CK455" i="29"/>
  <c r="CF455" i="29"/>
  <c r="CR455" i="29"/>
  <c r="BU455" i="29"/>
  <c r="DK455" i="29"/>
  <c r="CI459" i="29"/>
  <c r="CN459" i="29"/>
  <c r="CB459" i="29"/>
  <c r="CM459" i="29"/>
  <c r="BO459" i="29"/>
  <c r="CS459" i="29"/>
  <c r="DG459" i="29"/>
  <c r="CK459" i="29"/>
  <c r="CP459" i="29"/>
  <c r="CZ459" i="29"/>
  <c r="DE459" i="29"/>
  <c r="CW459" i="29"/>
  <c r="BO463" i="29"/>
  <c r="CO463" i="29"/>
  <c r="DF463" i="29"/>
  <c r="DH463" i="29"/>
  <c r="DC463" i="29"/>
  <c r="BZ463" i="29"/>
  <c r="BR463" i="29"/>
  <c r="CA463" i="29"/>
  <c r="BT463" i="29"/>
  <c r="BS463" i="29"/>
  <c r="DA463" i="29"/>
  <c r="CI463" i="29"/>
  <c r="CW463" i="29"/>
  <c r="BW467" i="29"/>
  <c r="CD467" i="29"/>
  <c r="DJ467" i="29"/>
  <c r="CE467" i="29"/>
  <c r="CR467" i="29"/>
  <c r="CL467" i="29"/>
  <c r="BS467" i="29"/>
  <c r="CG467" i="29"/>
  <c r="DL467" i="29"/>
  <c r="CX467" i="29"/>
  <c r="CT467" i="29"/>
  <c r="CK467" i="29"/>
  <c r="DI201" i="29"/>
  <c r="BZ201" i="29"/>
  <c r="CO201" i="29"/>
  <c r="CG201" i="29"/>
  <c r="BY201" i="29"/>
  <c r="DB201" i="29"/>
  <c r="CI201" i="29"/>
  <c r="DG201" i="29"/>
  <c r="CJ201" i="29"/>
  <c r="DK201" i="29"/>
  <c r="DD201" i="29"/>
  <c r="DJ205" i="29"/>
  <c r="CB205" i="29"/>
  <c r="CG205" i="29"/>
  <c r="CS205" i="29"/>
  <c r="CX205" i="29"/>
  <c r="CJ205" i="29"/>
  <c r="BT205" i="29"/>
  <c r="BZ205" i="29"/>
  <c r="CU205" i="29"/>
  <c r="DF205" i="29"/>
  <c r="BU205" i="29"/>
  <c r="CI205" i="29"/>
  <c r="DG205" i="29"/>
  <c r="CO209" i="29"/>
  <c r="CT209" i="29"/>
  <c r="BZ209" i="29"/>
  <c r="CF209" i="29"/>
  <c r="CP209" i="29"/>
  <c r="BO209" i="29"/>
  <c r="CM209" i="29"/>
  <c r="CQ209" i="29"/>
  <c r="CN209" i="29"/>
  <c r="CL209" i="29"/>
  <c r="BS209" i="29"/>
  <c r="DD209" i="29"/>
  <c r="DL213" i="29"/>
  <c r="DE213" i="29"/>
  <c r="BZ213" i="29"/>
  <c r="CX213" i="29"/>
  <c r="CK213" i="29"/>
  <c r="CQ213" i="29"/>
  <c r="CZ213" i="29"/>
  <c r="CY213" i="29"/>
  <c r="BU213" i="29"/>
  <c r="CF213" i="29"/>
  <c r="BP213" i="29"/>
  <c r="BX213" i="29"/>
  <c r="CU213" i="29"/>
  <c r="CP217" i="29"/>
  <c r="BR217" i="29"/>
  <c r="BQ217" i="29"/>
  <c r="BU217" i="29"/>
  <c r="BW217" i="29"/>
  <c r="CJ217" i="29"/>
  <c r="BO217" i="29"/>
  <c r="CB217" i="29"/>
  <c r="DI217" i="29"/>
  <c r="CV217" i="29"/>
  <c r="CY217" i="29"/>
  <c r="DG217" i="29"/>
  <c r="DL221" i="29"/>
  <c r="DF221" i="29"/>
  <c r="BQ221" i="29"/>
  <c r="BY221" i="29"/>
  <c r="DI221" i="29"/>
  <c r="CI221" i="29"/>
  <c r="CZ221" i="29"/>
  <c r="CQ221" i="29"/>
  <c r="DH221" i="29"/>
  <c r="DK221" i="29"/>
  <c r="CV221" i="29"/>
  <c r="CU221" i="29"/>
  <c r="DC221" i="29"/>
  <c r="CG225" i="29"/>
  <c r="BY225" i="29"/>
  <c r="CH225" i="29"/>
  <c r="BU225" i="29"/>
  <c r="CE225" i="29"/>
  <c r="CJ225" i="29"/>
  <c r="DJ225" i="29"/>
  <c r="CB225" i="29"/>
  <c r="CC225" i="29"/>
  <c r="CV225" i="29"/>
  <c r="CL225" i="29"/>
  <c r="CI225" i="29"/>
  <c r="DL229" i="29"/>
  <c r="CX229" i="29"/>
  <c r="DE229" i="29"/>
  <c r="CG229" i="29"/>
  <c r="BU229" i="29"/>
  <c r="CQ229" i="29"/>
  <c r="CZ229" i="29"/>
  <c r="CI229" i="29"/>
  <c r="DH229" i="29"/>
  <c r="DC229" i="29"/>
  <c r="CU229" i="29"/>
  <c r="DK229" i="29"/>
  <c r="CE229" i="29"/>
  <c r="CO233" i="29"/>
  <c r="BQ233" i="29"/>
  <c r="DF233" i="29"/>
  <c r="DA233" i="29"/>
  <c r="BW233" i="29"/>
  <c r="CJ233" i="29"/>
  <c r="DJ233" i="29"/>
  <c r="DK233" i="29"/>
  <c r="CS233" i="29"/>
  <c r="BP233" i="29"/>
  <c r="CF233" i="29"/>
  <c r="CQ233" i="29"/>
  <c r="DL237" i="29"/>
  <c r="DF237" i="29"/>
  <c r="CW237" i="29"/>
  <c r="DE237" i="29"/>
  <c r="CS237" i="29"/>
  <c r="CI237" i="29"/>
  <c r="CZ237" i="29"/>
  <c r="DG237" i="29"/>
  <c r="CC237" i="29"/>
  <c r="CF237" i="29"/>
  <c r="DK237" i="29"/>
  <c r="CE237" i="29"/>
  <c r="BP237" i="29"/>
  <c r="CG241" i="29"/>
  <c r="BY241" i="29"/>
  <c r="BR241" i="29"/>
  <c r="CC241" i="29"/>
  <c r="BO241" i="29"/>
  <c r="BT241" i="29"/>
  <c r="CD241" i="29"/>
  <c r="DC241" i="29"/>
  <c r="CQ241" i="29"/>
  <c r="CI241" i="29"/>
  <c r="CY241" i="29"/>
  <c r="CN241" i="29"/>
  <c r="DE245" i="29"/>
  <c r="BY245" i="29"/>
  <c r="CQ245" i="29"/>
  <c r="BR245" i="29"/>
  <c r="CB245" i="29"/>
  <c r="BZ245" i="29"/>
  <c r="CM245" i="29"/>
  <c r="CD245" i="29"/>
  <c r="CZ245" i="29"/>
  <c r="BW245" i="29"/>
  <c r="DG245" i="29"/>
  <c r="BT245" i="29"/>
  <c r="DK245" i="29"/>
  <c r="DK249" i="29"/>
  <c r="CX249" i="29"/>
  <c r="DI249" i="29"/>
  <c r="CM249" i="29"/>
  <c r="BZ249" i="29"/>
  <c r="BT249" i="29"/>
  <c r="DJ249" i="29"/>
  <c r="CO249" i="29"/>
  <c r="CT249" i="29"/>
  <c r="CI249" i="29"/>
  <c r="CV249" i="29"/>
  <c r="DB249" i="29"/>
  <c r="DH253" i="29"/>
  <c r="BQ253" i="29"/>
  <c r="CE253" i="29"/>
  <c r="BR253" i="29"/>
  <c r="CZ253" i="29"/>
  <c r="DF253" i="29"/>
  <c r="BX253" i="29"/>
  <c r="DJ253" i="29"/>
  <c r="BY253" i="29"/>
  <c r="DL253" i="29"/>
  <c r="BV253" i="29"/>
  <c r="DB253" i="29"/>
  <c r="CY253" i="29"/>
  <c r="CY257" i="29"/>
  <c r="CL257" i="29"/>
  <c r="CK257" i="29"/>
  <c r="CT257" i="29"/>
  <c r="DA257" i="29"/>
  <c r="CH257" i="29"/>
  <c r="CO257" i="29"/>
  <c r="BR257" i="29"/>
  <c r="DF257" i="29"/>
  <c r="CS257" i="29"/>
  <c r="CM257" i="29"/>
  <c r="CJ261" i="29"/>
  <c r="CO261" i="29"/>
  <c r="DH261" i="29"/>
  <c r="CP261" i="29"/>
  <c r="BQ261" i="29"/>
  <c r="CB261" i="29"/>
  <c r="BZ261" i="29"/>
  <c r="CH261" i="29"/>
  <c r="CK261" i="29"/>
  <c r="CE261" i="29"/>
  <c r="CR261" i="29"/>
  <c r="CS261" i="29"/>
  <c r="CA261" i="29"/>
  <c r="BY267" i="29"/>
  <c r="DA267" i="29"/>
  <c r="BR267" i="29"/>
  <c r="DK267" i="29"/>
  <c r="DF267" i="29"/>
  <c r="CG267" i="29"/>
  <c r="BX267" i="29"/>
  <c r="DB267" i="29"/>
  <c r="CB267" i="29"/>
  <c r="CA267" i="29"/>
  <c r="CI267" i="29"/>
  <c r="CS267" i="29"/>
  <c r="DL271" i="29"/>
  <c r="CH271" i="29"/>
  <c r="BU271" i="29"/>
  <c r="CP271" i="29"/>
  <c r="CQ271" i="29"/>
  <c r="CV271" i="29"/>
  <c r="CI271" i="29"/>
  <c r="DD271" i="29"/>
  <c r="CR271" i="29"/>
  <c r="DC271" i="29"/>
  <c r="DK271" i="29"/>
  <c r="BZ271" i="29"/>
  <c r="CU271" i="29"/>
  <c r="DF275" i="29"/>
  <c r="BU275" i="29"/>
  <c r="CH275" i="29"/>
  <c r="DC275" i="29"/>
  <c r="CT275" i="29"/>
  <c r="BO275" i="29"/>
  <c r="BX275" i="29"/>
  <c r="DB275" i="29"/>
  <c r="CI275" i="29"/>
  <c r="CQ275" i="29"/>
  <c r="CZ275" i="29"/>
  <c r="BT275" i="29"/>
  <c r="CH279" i="29"/>
  <c r="DJ279" i="29"/>
  <c r="DB279" i="29"/>
  <c r="BS279" i="29"/>
  <c r="CF279" i="29"/>
  <c r="CC279" i="29"/>
  <c r="CQ279" i="29"/>
  <c r="DD279" i="29"/>
  <c r="BV279" i="29"/>
  <c r="CR279" i="29"/>
  <c r="CG279" i="29"/>
  <c r="CU279" i="29"/>
  <c r="DC279" i="29"/>
  <c r="CZ283" i="29"/>
  <c r="DH283" i="29"/>
  <c r="CE283" i="29"/>
  <c r="BR283" i="29"/>
  <c r="DI283" i="29"/>
  <c r="DF283" i="29"/>
  <c r="DE283" i="29"/>
  <c r="CS283" i="29"/>
  <c r="DG283" i="29"/>
  <c r="DJ283" i="29"/>
  <c r="CN283" i="29"/>
  <c r="CB283" i="29"/>
  <c r="BZ287" i="29"/>
  <c r="CJ287" i="29"/>
  <c r="CD287" i="29"/>
  <c r="BT287" i="29"/>
  <c r="BV287" i="29"/>
  <c r="CZ287" i="29"/>
  <c r="CU287" i="29"/>
  <c r="DB287" i="29"/>
  <c r="BX287" i="29"/>
  <c r="BQ287" i="29"/>
  <c r="CB287" i="29"/>
  <c r="CP287" i="29"/>
  <c r="DG287" i="29"/>
  <c r="DD291" i="29"/>
  <c r="BW291" i="29"/>
  <c r="BY291" i="29"/>
  <c r="DL291" i="29"/>
  <c r="CE291" i="29"/>
  <c r="CK291" i="29"/>
  <c r="DH291" i="29"/>
  <c r="CD291" i="29"/>
  <c r="CS291" i="29"/>
  <c r="CQ291" i="29"/>
  <c r="CR291" i="29"/>
  <c r="CJ291" i="29"/>
  <c r="CI296" i="29"/>
  <c r="CP296" i="29"/>
  <c r="CC296" i="29"/>
  <c r="CE296" i="29"/>
  <c r="CS296" i="29"/>
  <c r="BR296" i="29"/>
  <c r="DH296" i="29"/>
  <c r="BO296" i="29"/>
  <c r="CJ296" i="29"/>
  <c r="CW296" i="29"/>
  <c r="BZ296" i="29"/>
  <c r="CM296" i="29"/>
  <c r="CH296" i="29"/>
  <c r="BR300" i="29"/>
  <c r="CR300" i="29"/>
  <c r="BQ300" i="29"/>
  <c r="CI300" i="29"/>
  <c r="CF300" i="29"/>
  <c r="CZ300" i="29"/>
  <c r="CX300" i="29"/>
  <c r="DE300" i="29"/>
  <c r="CB300" i="29"/>
  <c r="CD300" i="29"/>
  <c r="DK300" i="29"/>
  <c r="CT300" i="29"/>
  <c r="DF551" i="29"/>
  <c r="CD551" i="29"/>
  <c r="BZ551" i="29"/>
  <c r="CE551" i="29"/>
  <c r="CX551" i="29"/>
  <c r="BT551" i="29"/>
  <c r="CH551" i="29"/>
  <c r="DE551" i="29"/>
  <c r="CQ551" i="29"/>
  <c r="DI551" i="29"/>
  <c r="CK551" i="29"/>
  <c r="CW551" i="29"/>
  <c r="BP551" i="29"/>
  <c r="BW555" i="29"/>
  <c r="BO555" i="29"/>
  <c r="DJ555" i="29"/>
  <c r="DG555" i="29"/>
  <c r="CG555" i="29"/>
  <c r="CY555" i="29"/>
  <c r="DK555" i="29"/>
  <c r="DL555" i="29"/>
  <c r="CS555" i="29"/>
  <c r="BS555" i="29"/>
  <c r="BV555" i="29"/>
  <c r="DA555" i="29"/>
  <c r="DB559" i="29"/>
  <c r="BO559" i="29"/>
  <c r="CK559" i="29"/>
  <c r="DJ559" i="29"/>
  <c r="DG559" i="29"/>
  <c r="CJ559" i="29"/>
  <c r="BP559" i="29"/>
  <c r="CA559" i="29"/>
  <c r="CI559" i="29"/>
  <c r="CT559" i="29"/>
  <c r="CS559" i="29"/>
  <c r="DE559" i="29"/>
  <c r="CB559" i="29"/>
  <c r="CD563" i="29"/>
  <c r="CU563" i="29"/>
  <c r="CI563" i="29"/>
  <c r="CB563" i="29"/>
  <c r="DG563" i="29"/>
  <c r="CE563" i="29"/>
  <c r="DF563" i="29"/>
  <c r="CG563" i="29"/>
  <c r="CN563" i="29"/>
  <c r="CL563" i="29"/>
  <c r="DA563" i="29"/>
  <c r="CZ563" i="29"/>
  <c r="CZ567" i="29"/>
  <c r="BP567" i="29"/>
  <c r="CS567" i="29"/>
  <c r="BS567" i="29"/>
  <c r="BT567" i="29"/>
  <c r="CB567" i="29"/>
  <c r="CT567" i="29"/>
  <c r="DE567" i="29"/>
  <c r="CI567" i="29"/>
  <c r="CF567" i="29"/>
  <c r="BU567" i="29"/>
  <c r="CV567" i="29"/>
  <c r="BV567" i="29"/>
  <c r="CX571" i="29"/>
  <c r="BT571" i="29"/>
  <c r="BX571" i="29"/>
  <c r="DJ571" i="29"/>
  <c r="CH571" i="29"/>
  <c r="CE571" i="29"/>
  <c r="CD571" i="29"/>
  <c r="CC571" i="29"/>
  <c r="DA571" i="29"/>
  <c r="CO571" i="29"/>
  <c r="DL571" i="29"/>
  <c r="CF571" i="29"/>
  <c r="DK575" i="29"/>
  <c r="BV575" i="29"/>
  <c r="BZ575" i="29"/>
  <c r="BR575" i="29"/>
  <c r="BT575" i="29"/>
  <c r="BY575" i="29"/>
  <c r="CR575" i="29"/>
  <c r="CE575" i="29"/>
  <c r="CN575" i="29"/>
  <c r="DA575" i="29"/>
  <c r="CD575" i="29"/>
  <c r="BQ575" i="29"/>
  <c r="DJ575" i="29"/>
  <c r="CR579" i="29"/>
  <c r="BO579" i="29"/>
  <c r="CH579" i="29"/>
  <c r="BR579" i="29"/>
  <c r="CP579" i="29"/>
  <c r="CU579" i="29"/>
  <c r="CM579" i="29"/>
  <c r="BU579" i="29"/>
  <c r="BP579" i="29"/>
  <c r="BQ579" i="29"/>
  <c r="CC579" i="29"/>
  <c r="BV579" i="29"/>
  <c r="DC583" i="29"/>
  <c r="BV583" i="29"/>
  <c r="CQ583" i="29"/>
  <c r="DI583" i="29"/>
  <c r="CP583" i="29"/>
  <c r="CB583" i="29"/>
  <c r="CN583" i="29"/>
  <c r="DD583" i="29"/>
  <c r="BY583" i="29"/>
  <c r="CT583" i="29"/>
  <c r="CK583" i="29"/>
  <c r="CW583" i="29"/>
  <c r="BR583" i="29"/>
  <c r="CR587" i="29"/>
  <c r="BO587" i="29"/>
  <c r="CZ587" i="29"/>
  <c r="DD587" i="29"/>
  <c r="CB587" i="29"/>
  <c r="CN587" i="29"/>
  <c r="CE587" i="29"/>
  <c r="BU587" i="29"/>
  <c r="BP587" i="29"/>
  <c r="BQ587" i="29"/>
  <c r="CC587" i="29"/>
  <c r="DL587" i="29"/>
  <c r="BR591" i="29"/>
  <c r="DI591" i="29"/>
  <c r="CN591" i="29"/>
  <c r="CP591" i="29"/>
  <c r="CK591" i="29"/>
  <c r="BW591" i="29"/>
  <c r="BX591" i="29"/>
  <c r="DE591" i="29"/>
  <c r="CI591" i="29"/>
  <c r="CH591" i="29"/>
  <c r="BU591" i="29"/>
  <c r="BP591" i="29"/>
  <c r="CV591" i="29"/>
  <c r="CU595" i="29"/>
  <c r="BS595" i="29"/>
  <c r="DK595" i="29"/>
  <c r="DH595" i="29"/>
  <c r="CE595" i="29"/>
  <c r="CY595" i="29"/>
  <c r="CP595" i="29"/>
  <c r="BU595" i="29"/>
  <c r="BP595" i="29"/>
  <c r="BQ595" i="29"/>
  <c r="CC595" i="29"/>
  <c r="CO595" i="29"/>
  <c r="DL599" i="29"/>
  <c r="CF599" i="29"/>
  <c r="CH599" i="29"/>
  <c r="BR599" i="29"/>
  <c r="CX599" i="29"/>
  <c r="CY599" i="29"/>
  <c r="DI599" i="29"/>
  <c r="CB599" i="29"/>
  <c r="BQ599" i="29"/>
  <c r="DG599" i="29"/>
  <c r="BS599" i="29"/>
  <c r="CQ599" i="29"/>
  <c r="CR599" i="29"/>
  <c r="CT603" i="29"/>
  <c r="BR603" i="29"/>
  <c r="DC603" i="29"/>
  <c r="CY603" i="29"/>
  <c r="BW603" i="29"/>
  <c r="CI603" i="29"/>
  <c r="CH603" i="29"/>
  <c r="CC603" i="29"/>
  <c r="CK603" i="29"/>
  <c r="BY603" i="29"/>
  <c r="DA603" i="29"/>
  <c r="CF603" i="29"/>
  <c r="DJ607" i="29"/>
  <c r="CE607" i="29"/>
  <c r="BZ607" i="29"/>
  <c r="CM607" i="29"/>
  <c r="BO607" i="29"/>
  <c r="CD607" i="29"/>
  <c r="BU607" i="29"/>
  <c r="CS607" i="29"/>
  <c r="CW607" i="29"/>
  <c r="DB607" i="29"/>
  <c r="BP607" i="29"/>
  <c r="DL607" i="29"/>
  <c r="CQ607" i="29"/>
  <c r="CR611" i="29"/>
  <c r="BO611" i="29"/>
  <c r="BS611" i="29"/>
  <c r="BR611" i="29"/>
  <c r="CP611" i="29"/>
  <c r="DC611" i="29"/>
  <c r="CM611" i="29"/>
  <c r="BU611" i="29"/>
  <c r="CC611" i="29"/>
  <c r="BQ611" i="29"/>
  <c r="BP611" i="29"/>
  <c r="CQ611" i="29"/>
  <c r="DD617" i="29"/>
  <c r="DF617" i="29"/>
  <c r="BZ617" i="29"/>
  <c r="DH617" i="29"/>
  <c r="DL617" i="29"/>
  <c r="BW617" i="29"/>
  <c r="CO617" i="29"/>
  <c r="DB617" i="29"/>
  <c r="DE617" i="29"/>
  <c r="CW617" i="29"/>
  <c r="CR617" i="29"/>
  <c r="CT617" i="29"/>
  <c r="BV617" i="29"/>
  <c r="BQ621" i="29"/>
  <c r="DH621" i="29"/>
  <c r="CE621" i="29"/>
  <c r="CR621" i="29"/>
  <c r="CB621" i="29"/>
  <c r="CC621" i="29"/>
  <c r="CA621" i="29"/>
  <c r="CK621" i="29"/>
  <c r="CM621" i="29"/>
  <c r="CW621" i="29"/>
  <c r="DL621" i="29"/>
  <c r="CY621" i="29"/>
  <c r="DJ625" i="29"/>
  <c r="CH625" i="29"/>
  <c r="CZ625" i="29"/>
  <c r="CP625" i="29"/>
  <c r="CT625" i="29"/>
  <c r="BR625" i="29"/>
  <c r="DL625" i="29"/>
  <c r="CY625" i="29"/>
  <c r="CW625" i="29"/>
  <c r="DK625" i="29"/>
  <c r="CG625" i="29"/>
  <c r="CL625" i="29"/>
  <c r="CR625" i="29"/>
  <c r="CP629" i="29"/>
  <c r="CE629" i="29"/>
  <c r="CV629" i="29"/>
  <c r="DE629" i="29"/>
  <c r="CH629" i="29"/>
  <c r="DG629" i="29"/>
  <c r="CN629" i="29"/>
  <c r="BU629" i="29"/>
  <c r="CM629" i="29"/>
  <c r="BY629" i="29"/>
  <c r="CX629" i="29"/>
  <c r="CI629" i="29"/>
  <c r="DH633" i="29"/>
  <c r="CR633" i="29"/>
  <c r="CW633" i="29"/>
  <c r="CC633" i="29"/>
  <c r="CI633" i="29"/>
  <c r="BR633" i="29"/>
  <c r="DL633" i="29"/>
  <c r="DK633" i="29"/>
  <c r="CV633" i="29"/>
  <c r="CZ633" i="29"/>
  <c r="BU633" i="29"/>
  <c r="CM633" i="29"/>
  <c r="DC633" i="29"/>
  <c r="CP637" i="29"/>
  <c r="CO637" i="29"/>
  <c r="BU637" i="29"/>
  <c r="BW637" i="29"/>
  <c r="DJ637" i="29"/>
  <c r="DL637" i="29"/>
  <c r="CL637" i="29"/>
  <c r="CH637" i="29"/>
  <c r="CW637" i="29"/>
  <c r="CN637" i="29"/>
  <c r="CF637" i="29"/>
  <c r="CV637" i="29"/>
  <c r="DH641" i="29"/>
  <c r="CE641" i="29"/>
  <c r="CW641" i="29"/>
  <c r="CG641" i="29"/>
  <c r="CR641" i="29"/>
  <c r="BO641" i="29"/>
  <c r="DI641" i="29"/>
  <c r="CX641" i="29"/>
  <c r="DA641" i="29"/>
  <c r="DJ641" i="29"/>
  <c r="CK641" i="29"/>
  <c r="CQ641" i="29"/>
  <c r="DB641" i="29"/>
  <c r="CD646" i="29"/>
  <c r="DI646" i="29"/>
  <c r="CP646" i="29"/>
  <c r="CV646" i="29"/>
  <c r="BU646" i="29"/>
  <c r="DL646" i="29"/>
  <c r="DF646" i="29"/>
  <c r="BW646" i="29"/>
  <c r="CK646" i="29"/>
  <c r="CI646" i="29"/>
  <c r="CW646" i="29"/>
  <c r="DC646" i="29"/>
  <c r="DJ650" i="29"/>
  <c r="BZ650" i="29"/>
  <c r="CG650" i="29"/>
  <c r="BS650" i="29"/>
  <c r="CL650" i="29"/>
  <c r="DL650" i="29"/>
  <c r="CC650" i="29"/>
  <c r="BO650" i="29"/>
  <c r="DB650" i="29"/>
  <c r="CA650" i="29"/>
  <c r="BU650" i="29"/>
  <c r="CM650" i="29"/>
  <c r="BV650" i="29"/>
  <c r="CP723" i="29"/>
  <c r="CU723" i="29"/>
  <c r="CT723" i="29"/>
  <c r="BO723" i="29"/>
  <c r="CY723" i="29"/>
  <c r="BU723" i="29"/>
  <c r="CX723" i="29"/>
  <c r="BV723" i="29"/>
  <c r="CM723" i="29"/>
  <c r="DC723" i="29"/>
  <c r="BY723" i="29"/>
  <c r="DI727" i="29"/>
  <c r="CM727" i="29"/>
  <c r="DG727" i="29"/>
  <c r="CA727" i="29"/>
  <c r="BZ727" i="29"/>
  <c r="CT727" i="29"/>
  <c r="DB727" i="29"/>
  <c r="CZ727" i="29"/>
  <c r="CB727" i="29"/>
  <c r="CS727" i="29"/>
  <c r="BT727" i="29"/>
  <c r="CV727" i="29"/>
  <c r="DL727" i="29"/>
  <c r="CY731" i="29"/>
  <c r="BS731" i="29"/>
  <c r="CM731" i="29"/>
  <c r="DB731" i="29"/>
  <c r="CT731" i="29"/>
  <c r="CX731" i="29"/>
  <c r="BX731" i="29"/>
  <c r="CO731" i="29"/>
  <c r="CV731" i="29"/>
  <c r="CW731" i="29"/>
  <c r="CR731" i="29"/>
  <c r="CZ731" i="29"/>
  <c r="DI735" i="29"/>
  <c r="CH735" i="29"/>
  <c r="DB735" i="29"/>
  <c r="BV735" i="29"/>
  <c r="DG735" i="29"/>
  <c r="DK735" i="29"/>
  <c r="CU735" i="29"/>
  <c r="CZ735" i="29"/>
  <c r="CR735" i="29"/>
  <c r="DA735" i="29"/>
  <c r="DD735" i="29"/>
  <c r="CO735" i="29"/>
  <c r="CF735" i="29"/>
  <c r="CX739" i="29"/>
  <c r="BR739" i="29"/>
  <c r="CL739" i="29"/>
  <c r="CQ739" i="29"/>
  <c r="BS739" i="29"/>
  <c r="BW739" i="29"/>
  <c r="BT739" i="29"/>
  <c r="BQ739" i="29"/>
  <c r="CZ739" i="29"/>
  <c r="DE739" i="29"/>
  <c r="CK739" i="29"/>
  <c r="CN739" i="29"/>
  <c r="DI743" i="29"/>
  <c r="CH743" i="29"/>
  <c r="DB743" i="29"/>
  <c r="BV743" i="29"/>
  <c r="CY743" i="29"/>
  <c r="CE743" i="29"/>
  <c r="BO743" i="29"/>
  <c r="DD743" i="29"/>
  <c r="BP743" i="29"/>
  <c r="CC743" i="29"/>
  <c r="CB743" i="29"/>
  <c r="BT743" i="29"/>
  <c r="CG743" i="29"/>
  <c r="DB747" i="29"/>
  <c r="BV747" i="29"/>
  <c r="CH747" i="29"/>
  <c r="CM747" i="29"/>
  <c r="CE747" i="29"/>
  <c r="DG747" i="29"/>
  <c r="BT747" i="29"/>
  <c r="CO747" i="29"/>
  <c r="DH747" i="29"/>
  <c r="BX747" i="29"/>
  <c r="CC747" i="29"/>
  <c r="DA747" i="29"/>
  <c r="DI751" i="29"/>
  <c r="CL751" i="29"/>
  <c r="CX751" i="29"/>
  <c r="BR751" i="29"/>
  <c r="DK751" i="29"/>
  <c r="DG751" i="29"/>
  <c r="CQ751" i="29"/>
  <c r="CV751" i="29"/>
  <c r="BX751" i="29"/>
  <c r="CK751" i="29"/>
  <c r="CW751" i="29"/>
  <c r="CR751" i="29"/>
  <c r="CO751" i="29"/>
  <c r="DB755" i="29"/>
  <c r="BV755" i="29"/>
  <c r="CH755" i="29"/>
  <c r="CU755" i="29"/>
  <c r="CM755" i="29"/>
  <c r="CQ755" i="29"/>
  <c r="CB755" i="29"/>
  <c r="CG755" i="29"/>
  <c r="CZ755" i="29"/>
  <c r="BP755" i="29"/>
  <c r="CF755" i="29"/>
  <c r="CC755" i="29"/>
  <c r="DF759" i="29"/>
  <c r="DA759" i="29"/>
  <c r="CG759" i="29"/>
  <c r="BZ759" i="29"/>
  <c r="BS759" i="29"/>
  <c r="CH759" i="29"/>
  <c r="CQ759" i="29"/>
  <c r="BT759" i="29"/>
  <c r="DK759" i="29"/>
  <c r="CB759" i="29"/>
  <c r="CC759" i="29"/>
  <c r="CJ759" i="29"/>
  <c r="DE759" i="29"/>
  <c r="CT763" i="29"/>
  <c r="BR763" i="29"/>
  <c r="CP763" i="29"/>
  <c r="DD763" i="29"/>
  <c r="CV763" i="29"/>
  <c r="CD763" i="29"/>
  <c r="BX763" i="29"/>
  <c r="CE763" i="29"/>
  <c r="DC763" i="29"/>
  <c r="CR763" i="29"/>
  <c r="CQ763" i="29"/>
  <c r="CW763" i="29"/>
  <c r="DF767" i="29"/>
  <c r="BZ767" i="29"/>
  <c r="CG767" i="29"/>
  <c r="DE767" i="29"/>
  <c r="BR767" i="29"/>
  <c r="CU767" i="29"/>
  <c r="BY767" i="29"/>
  <c r="DA767" i="29"/>
  <c r="BQ767" i="29"/>
  <c r="CD767" i="29"/>
  <c r="CO767" i="29"/>
  <c r="DL767" i="29"/>
  <c r="BU767" i="29"/>
  <c r="DB771" i="29"/>
  <c r="CG771" i="29"/>
  <c r="DJ771" i="29"/>
  <c r="CO771" i="29"/>
  <c r="BS771" i="29"/>
  <c r="BW771" i="29"/>
  <c r="CC771" i="29"/>
  <c r="DF771" i="29"/>
  <c r="CP771" i="29"/>
  <c r="BT771" i="29"/>
  <c r="CV771" i="29"/>
  <c r="CF771" i="29"/>
  <c r="DL775" i="29"/>
  <c r="CT775" i="29"/>
  <c r="BY775" i="29"/>
  <c r="CW775" i="29"/>
  <c r="CA775" i="29"/>
  <c r="CU775" i="29"/>
  <c r="DK775" i="29"/>
  <c r="BU775" i="29"/>
  <c r="CM775" i="29"/>
  <c r="CH775" i="29"/>
  <c r="CZ775" i="29"/>
  <c r="DD775" i="29"/>
  <c r="DH775" i="29"/>
  <c r="DB779" i="29"/>
  <c r="CG779" i="29"/>
  <c r="DJ779" i="29"/>
  <c r="CO779" i="29"/>
  <c r="BS779" i="29"/>
  <c r="CC779" i="29"/>
  <c r="CH779" i="29"/>
  <c r="BU779" i="29"/>
  <c r="DF779" i="29"/>
  <c r="BT779" i="29"/>
  <c r="CN779" i="29"/>
  <c r="BX779" i="29"/>
  <c r="DL783" i="29"/>
  <c r="CU783" i="29"/>
  <c r="BZ783" i="29"/>
  <c r="DC783" i="29"/>
  <c r="CH783" i="29"/>
  <c r="DB783" i="29"/>
  <c r="DG783" i="29"/>
  <c r="BQ783" i="29"/>
  <c r="CI783" i="29"/>
  <c r="DJ783" i="29"/>
  <c r="CZ783" i="29"/>
  <c r="CR783" i="29"/>
  <c r="CV783" i="29"/>
  <c r="DE787" i="29"/>
  <c r="DG787" i="29"/>
  <c r="CL787" i="29"/>
  <c r="CG787" i="29"/>
  <c r="DC787" i="29"/>
  <c r="BY787" i="29"/>
  <c r="CC787" i="29"/>
  <c r="BW787" i="29"/>
  <c r="BO787" i="29"/>
  <c r="BT787" i="29"/>
  <c r="CV787" i="29"/>
  <c r="DD787" i="29"/>
  <c r="DL793" i="29"/>
  <c r="BZ793" i="29"/>
  <c r="CO793" i="29"/>
  <c r="CP793" i="29"/>
  <c r="CB793" i="29"/>
  <c r="BT793" i="29"/>
  <c r="DD793" i="29"/>
  <c r="CU793" i="29"/>
  <c r="CL793" i="29"/>
  <c r="CN793" i="29"/>
  <c r="CS793" i="29"/>
  <c r="BR793" i="29"/>
  <c r="CE793" i="29"/>
  <c r="CO797" i="29"/>
  <c r="CU797" i="29"/>
  <c r="CJ797" i="29"/>
  <c r="BT797" i="29"/>
  <c r="BU797" i="29"/>
  <c r="DC797" i="29"/>
  <c r="DA797" i="29"/>
  <c r="CS797" i="29"/>
  <c r="CR797" i="29"/>
  <c r="DH797" i="29"/>
  <c r="CQ797" i="29"/>
  <c r="BP797" i="29"/>
  <c r="DL801" i="29"/>
  <c r="CU801" i="29"/>
  <c r="BZ801" i="29"/>
  <c r="DC801" i="29"/>
  <c r="CH801" i="29"/>
  <c r="DE801" i="29"/>
  <c r="DJ801" i="29"/>
  <c r="BS801" i="29"/>
  <c r="CL801" i="29"/>
  <c r="CQ801" i="29"/>
  <c r="CV801" i="29"/>
  <c r="CJ801" i="29"/>
  <c r="DH801" i="29"/>
  <c r="DC805" i="29"/>
  <c r="CH805" i="29"/>
  <c r="DK805" i="29"/>
  <c r="CP805" i="29"/>
  <c r="BU805" i="29"/>
  <c r="CL805" i="29"/>
  <c r="CQ805" i="29"/>
  <c r="CD805" i="29"/>
  <c r="DE805" i="29"/>
  <c r="BP805" i="29"/>
  <c r="CN805" i="29"/>
  <c r="CJ805" i="29"/>
  <c r="DL809" i="29"/>
  <c r="CU809" i="29"/>
  <c r="BZ809" i="29"/>
  <c r="DC809" i="29"/>
  <c r="CH809" i="29"/>
  <c r="DJ809" i="29"/>
  <c r="BS809" i="29"/>
  <c r="BY809" i="29"/>
  <c r="CG809" i="29"/>
  <c r="CL809" i="29"/>
  <c r="CV809" i="29"/>
  <c r="BT809" i="29"/>
  <c r="CB809" i="29"/>
  <c r="DB813" i="29"/>
  <c r="CG813" i="29"/>
  <c r="DJ813" i="29"/>
  <c r="CO813" i="29"/>
  <c r="BS813" i="29"/>
  <c r="CE813" i="29"/>
  <c r="CK813" i="29"/>
  <c r="CH813" i="29"/>
  <c r="DI813" i="29"/>
  <c r="BP813" i="29"/>
  <c r="CN813" i="29"/>
  <c r="CZ813" i="29"/>
  <c r="DL817" i="29"/>
  <c r="CT817" i="29"/>
  <c r="BY817" i="29"/>
  <c r="CX817" i="29"/>
  <c r="CC817" i="29"/>
  <c r="DA817" i="29"/>
  <c r="DF817" i="29"/>
  <c r="BO817" i="29"/>
  <c r="CW817" i="29"/>
  <c r="DB817" i="29"/>
  <c r="CV817" i="29"/>
  <c r="BT817" i="29"/>
  <c r="DH817" i="29"/>
  <c r="CE822" i="29"/>
  <c r="CC822" i="29"/>
  <c r="CS822" i="29"/>
  <c r="DI822" i="29"/>
  <c r="DF822" i="29"/>
  <c r="CQ822" i="29"/>
  <c r="CX822" i="29"/>
  <c r="DD822" i="29"/>
  <c r="CL822" i="29"/>
  <c r="BV822" i="29"/>
  <c r="CT822" i="29"/>
  <c r="DJ822" i="29"/>
  <c r="DL826" i="29"/>
  <c r="CZ826" i="29"/>
  <c r="CB826" i="29"/>
  <c r="CD826" i="29"/>
  <c r="BQ826" i="29"/>
  <c r="CH826" i="29"/>
  <c r="CO826" i="29"/>
  <c r="CA826" i="29"/>
  <c r="CC826" i="29"/>
  <c r="CS826" i="29"/>
  <c r="DD826" i="29"/>
  <c r="DF826" i="29"/>
  <c r="BZ826" i="29"/>
  <c r="BZ899" i="29"/>
  <c r="CF899" i="29"/>
  <c r="CS899" i="29"/>
  <c r="BR899" i="29"/>
  <c r="CN899" i="29"/>
  <c r="BO899" i="29"/>
  <c r="BT899" i="29"/>
  <c r="DG899" i="29"/>
  <c r="CJ899" i="29"/>
  <c r="BV899" i="29"/>
  <c r="DH899" i="29"/>
  <c r="CR899" i="29"/>
  <c r="DK903" i="29"/>
  <c r="CL903" i="29"/>
  <c r="DL903" i="29"/>
  <c r="CU903" i="29"/>
  <c r="CT903" i="29"/>
  <c r="DD903" i="29"/>
  <c r="DC903" i="29"/>
  <c r="CJ903" i="29"/>
  <c r="BT903" i="29"/>
  <c r="CY903" i="29"/>
  <c r="CH903" i="29"/>
  <c r="CB903" i="29"/>
  <c r="BR903" i="29"/>
  <c r="CJ907" i="29"/>
  <c r="CP907" i="29"/>
  <c r="CD907" i="29"/>
  <c r="DF907" i="29"/>
  <c r="BZ907" i="29"/>
  <c r="BO907" i="29"/>
  <c r="CS907" i="29"/>
  <c r="BV907" i="29"/>
  <c r="CQ907" i="29"/>
  <c r="DG907" i="29"/>
  <c r="CI907" i="29"/>
  <c r="CW907" i="29"/>
  <c r="DL911" i="29"/>
  <c r="CG911" i="29"/>
  <c r="CO911" i="29"/>
  <c r="CP911" i="29"/>
  <c r="BV911" i="29"/>
  <c r="CZ911" i="29"/>
  <c r="CU911" i="29"/>
  <c r="BY911" i="29"/>
  <c r="DH911" i="29"/>
  <c r="CV911" i="29"/>
  <c r="CB911" i="29"/>
  <c r="CW911" i="29"/>
  <c r="BW911" i="29"/>
  <c r="DB915" i="29"/>
  <c r="CG915" i="29"/>
  <c r="DK915" i="29"/>
  <c r="CP915" i="29"/>
  <c r="BU915" i="29"/>
  <c r="CI915" i="29"/>
  <c r="CO915" i="29"/>
  <c r="CM915" i="29"/>
  <c r="DC915" i="29"/>
  <c r="CB915" i="29"/>
  <c r="CJ915" i="29"/>
  <c r="CF915" i="29"/>
  <c r="DL919" i="29"/>
  <c r="CS919" i="29"/>
  <c r="BW919" i="29"/>
  <c r="CW919" i="29"/>
  <c r="CA919" i="29"/>
  <c r="DA919" i="29"/>
  <c r="DF919" i="29"/>
  <c r="BO919" i="29"/>
  <c r="CI919" i="29"/>
  <c r="CY919" i="29"/>
  <c r="DH919" i="29"/>
  <c r="CF919" i="29"/>
  <c r="DD919" i="29"/>
  <c r="DB923" i="29"/>
  <c r="CG923" i="29"/>
  <c r="CK923" i="29"/>
  <c r="DK923" i="29"/>
  <c r="CI923" i="29"/>
  <c r="DC923" i="29"/>
  <c r="DJ923" i="29"/>
  <c r="DI923" i="29"/>
  <c r="DA923" i="29"/>
  <c r="CB923" i="29"/>
  <c r="CJ923" i="29"/>
  <c r="CF923" i="29"/>
  <c r="DL927" i="29"/>
  <c r="CU927" i="29"/>
  <c r="BZ927" i="29"/>
  <c r="DE927" i="29"/>
  <c r="CI927" i="29"/>
  <c r="DB927" i="29"/>
  <c r="DI927" i="29"/>
  <c r="BR927" i="29"/>
  <c r="CL927" i="29"/>
  <c r="BW927" i="29"/>
  <c r="DH927" i="29"/>
  <c r="CF927" i="29"/>
  <c r="BX927" i="29"/>
  <c r="DB931" i="29"/>
  <c r="CG931" i="29"/>
  <c r="DK931" i="29"/>
  <c r="CP931" i="29"/>
  <c r="BU931" i="29"/>
  <c r="CM931" i="29"/>
  <c r="CT931" i="29"/>
  <c r="BW931" i="29"/>
  <c r="CD931" i="29"/>
  <c r="CB931" i="29"/>
  <c r="CJ931" i="29"/>
  <c r="CF931" i="29"/>
  <c r="DL935" i="29"/>
  <c r="CS935" i="29"/>
  <c r="BW935" i="29"/>
  <c r="CW935" i="29"/>
  <c r="CA935" i="29"/>
  <c r="CT935" i="29"/>
  <c r="DA935" i="29"/>
  <c r="DJ935" i="29"/>
  <c r="CD935" i="29"/>
  <c r="DF935" i="29"/>
  <c r="DH935" i="29"/>
  <c r="CF935" i="29"/>
  <c r="DD935" i="29"/>
  <c r="DB939" i="29"/>
  <c r="CG939" i="29"/>
  <c r="DF939" i="29"/>
  <c r="CK939" i="29"/>
  <c r="DJ939" i="29"/>
  <c r="BS939" i="29"/>
  <c r="CC939" i="29"/>
  <c r="DE939" i="29"/>
  <c r="BO939" i="29"/>
  <c r="CB939" i="29"/>
  <c r="CJ939" i="29"/>
  <c r="CF939" i="29"/>
  <c r="DL943" i="29"/>
  <c r="CS943" i="29"/>
  <c r="BW943" i="29"/>
  <c r="CW943" i="29"/>
  <c r="CA943" i="29"/>
  <c r="DA943" i="29"/>
  <c r="DJ943" i="29"/>
  <c r="BS943" i="29"/>
  <c r="CK943" i="29"/>
  <c r="CU943" i="29"/>
  <c r="DH943" i="29"/>
  <c r="CF943" i="29"/>
  <c r="BX943" i="29"/>
  <c r="DE947" i="29"/>
  <c r="CI947" i="29"/>
  <c r="DI947" i="29"/>
  <c r="CM947" i="29"/>
  <c r="BR947" i="29"/>
  <c r="CA947" i="29"/>
  <c r="CK947" i="29"/>
  <c r="CP947" i="29"/>
  <c r="DA947" i="29"/>
  <c r="CB947" i="29"/>
  <c r="CJ947" i="29"/>
  <c r="CF947" i="29"/>
  <c r="DL951" i="29"/>
  <c r="CU951" i="29"/>
  <c r="BZ951" i="29"/>
  <c r="DE951" i="29"/>
  <c r="CI951" i="29"/>
  <c r="DI951" i="29"/>
  <c r="BR951" i="29"/>
  <c r="CA951" i="29"/>
  <c r="DC951" i="29"/>
  <c r="CS951" i="29"/>
  <c r="DH951" i="29"/>
  <c r="CF951" i="29"/>
  <c r="DD951" i="29"/>
  <c r="DB955" i="29"/>
  <c r="CG955" i="29"/>
  <c r="DK955" i="29"/>
  <c r="CP955" i="29"/>
  <c r="BU955" i="29"/>
  <c r="CI955" i="29"/>
  <c r="CH955" i="29"/>
  <c r="BR955" i="29"/>
  <c r="CC955" i="29"/>
  <c r="CB955" i="29"/>
  <c r="CJ955" i="29"/>
  <c r="CF955" i="29"/>
  <c r="DL959" i="29"/>
  <c r="CU959" i="29"/>
  <c r="DC959" i="29"/>
  <c r="DB959" i="29"/>
  <c r="DG959" i="29"/>
  <c r="BU959" i="29"/>
  <c r="CE959" i="29"/>
  <c r="BW959" i="29"/>
  <c r="CW959" i="29"/>
  <c r="BR959" i="29"/>
  <c r="DH959" i="29"/>
  <c r="CF959" i="29"/>
  <c r="BX959" i="29"/>
  <c r="CW965" i="29"/>
  <c r="BT965" i="29"/>
  <c r="CM965" i="29"/>
  <c r="DE965" i="29"/>
  <c r="DI965" i="29"/>
  <c r="CJ965" i="29"/>
  <c r="CY965" i="29"/>
  <c r="BZ965" i="29"/>
  <c r="CX965" i="29"/>
  <c r="DA965" i="29"/>
  <c r="CL965" i="29"/>
  <c r="BP965" i="29"/>
  <c r="DL969" i="29"/>
  <c r="CA969" i="29"/>
  <c r="CO969" i="29"/>
  <c r="CB969" i="29"/>
  <c r="CM969" i="29"/>
  <c r="CG969" i="29"/>
  <c r="BZ969" i="29"/>
  <c r="CR969" i="29"/>
  <c r="CS969" i="29"/>
  <c r="CL969" i="29"/>
  <c r="BV969" i="29"/>
  <c r="CK969" i="29"/>
  <c r="BS969" i="29"/>
  <c r="CR973" i="29"/>
  <c r="BO973" i="29"/>
  <c r="CN973" i="29"/>
  <c r="DD973" i="29"/>
  <c r="CM973" i="29"/>
  <c r="DK973" i="29"/>
  <c r="DH973" i="29"/>
  <c r="BZ973" i="29"/>
  <c r="CX973" i="29"/>
  <c r="DA973" i="29"/>
  <c r="BV973" i="29"/>
  <c r="CK973" i="29"/>
  <c r="DA977" i="29"/>
  <c r="CR977" i="29"/>
  <c r="CG977" i="29"/>
  <c r="CQ977" i="29"/>
  <c r="BZ977" i="29"/>
  <c r="CO977" i="29"/>
  <c r="CH977" i="29"/>
  <c r="CZ977" i="29"/>
  <c r="CL977" i="29"/>
  <c r="DB977" i="29"/>
  <c r="CW977" i="29"/>
  <c r="CD977" i="29"/>
  <c r="CT977" i="29"/>
  <c r="BX981" i="29"/>
  <c r="BP981" i="29"/>
  <c r="DG981" i="29"/>
  <c r="CT981" i="29"/>
  <c r="CS981" i="29"/>
  <c r="BS981" i="29"/>
  <c r="CR981" i="29"/>
  <c r="DC981" i="29"/>
  <c r="CK981" i="29"/>
  <c r="BT981" i="29"/>
  <c r="CU981" i="29"/>
  <c r="BR981" i="29"/>
  <c r="DK985" i="29"/>
  <c r="BX985" i="29"/>
  <c r="CC985" i="29"/>
  <c r="DC985" i="29"/>
  <c r="DH985" i="29"/>
  <c r="CJ985" i="29"/>
  <c r="BR985" i="29"/>
  <c r="CU985" i="29"/>
  <c r="BU985" i="29"/>
  <c r="DJ985" i="29"/>
  <c r="CT985" i="29"/>
  <c r="BV985" i="29"/>
  <c r="CL985" i="29"/>
  <c r="DG989" i="29"/>
  <c r="CY989" i="29"/>
  <c r="DL989" i="29"/>
  <c r="CK989" i="29"/>
  <c r="DI989" i="29"/>
  <c r="BW989" i="29"/>
  <c r="BT989" i="29"/>
  <c r="CB989" i="29"/>
  <c r="CS989" i="29"/>
  <c r="CP989" i="29"/>
  <c r="BQ989" i="29"/>
  <c r="CF989" i="29"/>
  <c r="DL994" i="29"/>
  <c r="CS994" i="29"/>
  <c r="BW994" i="29"/>
  <c r="DA994" i="29"/>
  <c r="CE994" i="29"/>
  <c r="DE994" i="29"/>
  <c r="DJ994" i="29"/>
  <c r="BS994" i="29"/>
  <c r="CG994" i="29"/>
  <c r="CW994" i="29"/>
  <c r="DH994" i="29"/>
  <c r="CF994" i="29"/>
  <c r="BX994" i="29"/>
  <c r="CM998" i="29"/>
  <c r="CQ998" i="29"/>
  <c r="DG998" i="29"/>
  <c r="CU998" i="29"/>
  <c r="CW998" i="29"/>
  <c r="DF998" i="29"/>
  <c r="CO998" i="29"/>
  <c r="DJ998" i="29"/>
  <c r="CT998" i="29"/>
  <c r="BV998" i="29"/>
  <c r="CL998" i="29"/>
  <c r="DH380" i="29"/>
  <c r="CZ380" i="29"/>
  <c r="CP380" i="29"/>
  <c r="CH380" i="29"/>
  <c r="CQ380" i="29"/>
  <c r="CY380" i="29"/>
  <c r="BY380" i="29"/>
  <c r="BS380" i="29"/>
  <c r="CK380" i="29"/>
  <c r="CX380" i="29"/>
  <c r="BX380" i="29"/>
  <c r="CL380" i="29"/>
  <c r="CB380" i="29"/>
  <c r="CP388" i="29"/>
  <c r="CZ388" i="29"/>
  <c r="DE388" i="29"/>
  <c r="CL388" i="29"/>
  <c r="CT388" i="29"/>
  <c r="DB388" i="29"/>
  <c r="BR388" i="29"/>
  <c r="CS388" i="29"/>
  <c r="DA388" i="29"/>
  <c r="CB388" i="29"/>
  <c r="CR388" i="29"/>
  <c r="DL388" i="29"/>
  <c r="DH396" i="29"/>
  <c r="CZ396" i="29"/>
  <c r="DK396" i="29"/>
  <c r="BR396" i="29"/>
  <c r="BY396" i="29"/>
  <c r="CN396" i="29"/>
  <c r="CX396" i="29"/>
  <c r="CV396" i="29"/>
  <c r="CH396" i="29"/>
  <c r="CK396" i="29"/>
  <c r="DL396" i="29"/>
  <c r="BU396" i="29"/>
  <c r="CL396" i="29"/>
  <c r="DK404" i="29"/>
  <c r="CJ404" i="29"/>
  <c r="DA404" i="29"/>
  <c r="DL404" i="29"/>
  <c r="CA404" i="29"/>
  <c r="CS404" i="29"/>
  <c r="CB404" i="29"/>
  <c r="CO404" i="29"/>
  <c r="CG404" i="29"/>
  <c r="DJ404" i="29"/>
  <c r="CD404" i="29"/>
  <c r="CW404" i="29"/>
  <c r="DH412" i="29"/>
  <c r="CP412" i="29"/>
  <c r="DF412" i="29"/>
  <c r="DC412" i="29"/>
  <c r="CF412" i="29"/>
  <c r="BW412" i="29"/>
  <c r="BY412" i="29"/>
  <c r="BS412" i="29"/>
  <c r="DA412" i="29"/>
  <c r="CL412" i="29"/>
  <c r="DG412" i="29"/>
  <c r="BP412" i="29"/>
  <c r="CA412" i="29"/>
  <c r="CS416" i="29"/>
  <c r="BP416" i="29"/>
  <c r="CO416" i="29"/>
  <c r="DA416" i="29"/>
  <c r="CX416" i="29"/>
  <c r="CT416" i="29"/>
  <c r="CP416" i="29"/>
  <c r="CA416" i="29"/>
  <c r="CY416" i="29"/>
  <c r="CW416" i="29"/>
  <c r="CU416" i="29"/>
  <c r="BV416" i="29"/>
  <c r="DL424" i="29"/>
  <c r="CJ424" i="29"/>
  <c r="DA424" i="29"/>
  <c r="BY424" i="29"/>
  <c r="CD424" i="29"/>
  <c r="BZ424" i="29"/>
  <c r="DJ424" i="29"/>
  <c r="DG424" i="29"/>
  <c r="CL424" i="29"/>
  <c r="BS424" i="29"/>
  <c r="BV424" i="29"/>
  <c r="DC424" i="29"/>
  <c r="BO424" i="29"/>
  <c r="CS432" i="29"/>
  <c r="BP432" i="29"/>
  <c r="CO432" i="29"/>
  <c r="DI432" i="29"/>
  <c r="DE432" i="29"/>
  <c r="CN432" i="29"/>
  <c r="CJ432" i="29"/>
  <c r="CE432" i="29"/>
  <c r="DC432" i="29"/>
  <c r="CR432" i="29"/>
  <c r="CY432" i="29"/>
  <c r="BQ432" i="29"/>
  <c r="DE442" i="29"/>
  <c r="CC442" i="29"/>
  <c r="DC442" i="29"/>
  <c r="BY442" i="29"/>
  <c r="CE442" i="29"/>
  <c r="CB442" i="29"/>
  <c r="DK442" i="29"/>
  <c r="DF442" i="29"/>
  <c r="CQ442" i="29"/>
  <c r="BR442" i="29"/>
  <c r="BV442" i="29"/>
  <c r="DG442" i="29"/>
  <c r="CD442" i="29"/>
  <c r="CR450" i="29"/>
  <c r="BO450" i="29"/>
  <c r="CN450" i="29"/>
  <c r="CZ450" i="29"/>
  <c r="CW450" i="29"/>
  <c r="CS450" i="29"/>
  <c r="CO450" i="29"/>
  <c r="BV450" i="29"/>
  <c r="CT450" i="29"/>
  <c r="DG450" i="29"/>
  <c r="BZ450" i="29"/>
  <c r="DA450" i="29"/>
  <c r="DI458" i="29"/>
  <c r="CG458" i="29"/>
  <c r="CY458" i="29"/>
  <c r="BW458" i="29"/>
  <c r="CI458" i="29"/>
  <c r="CE458" i="29"/>
  <c r="CB458" i="29"/>
  <c r="DB458" i="29"/>
  <c r="CV458" i="29"/>
  <c r="BP458" i="29"/>
  <c r="BR458" i="29"/>
  <c r="DL458" i="29"/>
  <c r="BZ458" i="29"/>
  <c r="CQ462" i="29"/>
  <c r="BW462" i="29"/>
  <c r="BP462" i="29"/>
  <c r="DK462" i="29"/>
  <c r="CC462" i="29"/>
  <c r="CL462" i="29"/>
  <c r="DI462" i="29"/>
  <c r="DF462" i="29"/>
  <c r="CM462" i="29"/>
  <c r="CI462" i="29"/>
  <c r="DE462" i="29"/>
  <c r="CH462" i="29"/>
  <c r="DL471" i="29"/>
  <c r="CD471" i="29"/>
  <c r="CK471" i="29"/>
  <c r="BR471" i="29"/>
  <c r="CH471" i="29"/>
  <c r="DE471" i="29"/>
  <c r="DC471" i="29"/>
  <c r="CG471" i="29"/>
  <c r="DK471" i="29"/>
  <c r="CW471" i="29"/>
  <c r="CV471" i="29"/>
  <c r="BQ471" i="29"/>
  <c r="CY471" i="29"/>
  <c r="CB475" i="29"/>
  <c r="BS475" i="29"/>
  <c r="DC475" i="29"/>
  <c r="CW475" i="29"/>
  <c r="CM475" i="29"/>
  <c r="DE475" i="29"/>
  <c r="DD475" i="29"/>
  <c r="CC475" i="29"/>
  <c r="DA475" i="29"/>
  <c r="CD475" i="29"/>
  <c r="DB475" i="29"/>
  <c r="DL200" i="29"/>
  <c r="CH200" i="29"/>
  <c r="DB200" i="29"/>
  <c r="BV200" i="29"/>
  <c r="DK200" i="29"/>
  <c r="DG200" i="29"/>
  <c r="CQ200" i="29"/>
  <c r="CZ200" i="29"/>
  <c r="CN200" i="29"/>
  <c r="BX200" i="29"/>
  <c r="DI200" i="29"/>
  <c r="CW200" i="29"/>
  <c r="CG200" i="29"/>
  <c r="CI208" i="29"/>
  <c r="CO208" i="29"/>
  <c r="CP208" i="29"/>
  <c r="CU208" i="29"/>
  <c r="BO208" i="29"/>
  <c r="CG208" i="29"/>
  <c r="CS208" i="29"/>
  <c r="CA208" i="29"/>
  <c r="CJ208" i="29"/>
  <c r="DG208" i="29"/>
  <c r="BX208" i="29"/>
  <c r="CV208" i="29"/>
  <c r="DL216" i="29"/>
  <c r="CX216" i="29"/>
  <c r="DC216" i="29"/>
  <c r="CU216" i="29"/>
  <c r="CI216" i="29"/>
  <c r="BU216" i="29"/>
  <c r="CN216" i="29"/>
  <c r="CS216" i="29"/>
  <c r="CF216" i="29"/>
  <c r="BT216" i="29"/>
  <c r="CR216" i="29"/>
  <c r="BY216" i="29"/>
  <c r="CL216" i="29"/>
  <c r="CH220" i="29"/>
  <c r="BZ220" i="29"/>
  <c r="CE220" i="29"/>
  <c r="CI220" i="29"/>
  <c r="DA220" i="29"/>
  <c r="BT220" i="29"/>
  <c r="CS220" i="29"/>
  <c r="CB220" i="29"/>
  <c r="DE220" i="29"/>
  <c r="CO220" i="29"/>
  <c r="CL220" i="29"/>
  <c r="DB220" i="29"/>
  <c r="DL228" i="29"/>
  <c r="CX228" i="29"/>
  <c r="DC228" i="29"/>
  <c r="CU228" i="29"/>
  <c r="CQ228" i="29"/>
  <c r="BU228" i="29"/>
  <c r="DH228" i="29"/>
  <c r="CD228" i="29"/>
  <c r="CZ228" i="29"/>
  <c r="CL228" i="29"/>
  <c r="CV228" i="29"/>
  <c r="BP228" i="29"/>
  <c r="CO228" i="29"/>
  <c r="CH236" i="29"/>
  <c r="BZ236" i="29"/>
  <c r="BO236" i="29"/>
  <c r="BS236" i="29"/>
  <c r="CG236" i="29"/>
  <c r="BY236" i="29"/>
  <c r="CZ236" i="29"/>
  <c r="CD236" i="29"/>
  <c r="DH236" i="29"/>
  <c r="CO236" i="29"/>
  <c r="CC236" i="29"/>
  <c r="CN236" i="29"/>
  <c r="DC244" i="29"/>
  <c r="CJ244" i="29"/>
  <c r="CW244" i="29"/>
  <c r="DK244" i="29"/>
  <c r="CT244" i="29"/>
  <c r="CB244" i="29"/>
  <c r="BS244" i="29"/>
  <c r="BP244" i="29"/>
  <c r="DD244" i="29"/>
  <c r="CK244" i="29"/>
  <c r="CS244" i="29"/>
  <c r="CV244" i="29"/>
  <c r="CR244" i="29"/>
  <c r="BY252" i="29"/>
  <c r="CG252" i="29"/>
  <c r="CS252" i="29"/>
  <c r="CU252" i="29"/>
  <c r="CV252" i="29"/>
  <c r="CC252" i="29"/>
  <c r="DC252" i="29"/>
  <c r="BU252" i="29"/>
  <c r="DH252" i="29"/>
  <c r="CZ252" i="29"/>
  <c r="CW252" i="29"/>
  <c r="CD252" i="29"/>
  <c r="BZ260" i="29"/>
  <c r="CQ260" i="29"/>
  <c r="BV260" i="29"/>
  <c r="CN260" i="29"/>
  <c r="CJ260" i="29"/>
  <c r="DC260" i="29"/>
  <c r="DB260" i="29"/>
  <c r="BQ260" i="29"/>
  <c r="DD260" i="29"/>
  <c r="CH260" i="29"/>
  <c r="CS260" i="29"/>
  <c r="CO260" i="29"/>
  <c r="CP260" i="29"/>
  <c r="BZ266" i="29"/>
  <c r="BQ266" i="29"/>
  <c r="DI266" i="29"/>
  <c r="CQ266" i="29"/>
  <c r="BP266" i="29"/>
  <c r="CC266" i="29"/>
  <c r="BR266" i="29"/>
  <c r="DD266" i="29"/>
  <c r="BY266" i="29"/>
  <c r="DH266" i="29"/>
  <c r="CJ266" i="29"/>
  <c r="CU266" i="29"/>
  <c r="CM274" i="29"/>
  <c r="CG274" i="29"/>
  <c r="BW274" i="29"/>
  <c r="DG274" i="29"/>
  <c r="BX274" i="29"/>
  <c r="CO274" i="29"/>
  <c r="CH274" i="29"/>
  <c r="CF274" i="29"/>
  <c r="CY274" i="29"/>
  <c r="BR274" i="29"/>
  <c r="DJ274" i="29"/>
  <c r="DK274" i="29"/>
  <c r="CB274" i="29"/>
  <c r="CH282" i="29"/>
  <c r="BR282" i="29"/>
  <c r="CL282" i="29"/>
  <c r="DK282" i="29"/>
  <c r="CP282" i="29"/>
  <c r="CS282" i="29"/>
  <c r="DC282" i="29"/>
  <c r="CX282" i="29"/>
  <c r="DA282" i="29"/>
  <c r="BY282" i="29"/>
  <c r="DD282" i="29"/>
  <c r="CT282" i="29"/>
  <c r="BW290" i="29"/>
  <c r="DK290" i="29"/>
  <c r="CD290" i="29"/>
  <c r="CU290" i="29"/>
  <c r="CL290" i="29"/>
  <c r="BX290" i="29"/>
  <c r="DJ290" i="29"/>
  <c r="CG290" i="29"/>
  <c r="CK290" i="29"/>
  <c r="BY290" i="29"/>
  <c r="BT290" i="29"/>
  <c r="CR290" i="29"/>
  <c r="DE290" i="29"/>
  <c r="CB295" i="29"/>
  <c r="CM295" i="29"/>
  <c r="BT295" i="29"/>
  <c r="CN295" i="29"/>
  <c r="CG295" i="29"/>
  <c r="BW295" i="29"/>
  <c r="CY295" i="29"/>
  <c r="BV295" i="29"/>
  <c r="CZ295" i="29"/>
  <c r="CV295" i="29"/>
  <c r="CC295" i="29"/>
  <c r="BP295" i="29"/>
  <c r="CX554" i="29"/>
  <c r="DA554" i="29"/>
  <c r="CS554" i="29"/>
  <c r="CP554" i="29"/>
  <c r="DD554" i="29"/>
  <c r="BW554" i="29"/>
  <c r="DE554" i="29"/>
  <c r="BP554" i="29"/>
  <c r="DC554" i="29"/>
  <c r="CU554" i="29"/>
  <c r="BQ554" i="29"/>
  <c r="CZ554" i="29"/>
  <c r="CN554" i="29"/>
  <c r="BV562" i="29"/>
  <c r="DH562" i="29"/>
  <c r="CB562" i="29"/>
  <c r="CI562" i="29"/>
  <c r="DF562" i="29"/>
  <c r="CQ562" i="29"/>
  <c r="CD562" i="29"/>
  <c r="DL562" i="29"/>
  <c r="CE562" i="29"/>
  <c r="DA562" i="29"/>
  <c r="DG562" i="29"/>
  <c r="CM562" i="29"/>
  <c r="DK570" i="29"/>
  <c r="BS570" i="29"/>
  <c r="DE570" i="29"/>
  <c r="DA570" i="29"/>
  <c r="CI570" i="29"/>
  <c r="DC570" i="29"/>
  <c r="BT570" i="29"/>
  <c r="DG570" i="29"/>
  <c r="DH570" i="29"/>
  <c r="CL570" i="29"/>
  <c r="BX570" i="29"/>
  <c r="CR570" i="29"/>
  <c r="CM570" i="29"/>
  <c r="BR574" i="29"/>
  <c r="BW574" i="29"/>
  <c r="DA574" i="29"/>
  <c r="BZ574" i="29"/>
  <c r="CB574" i="29"/>
  <c r="CE574" i="29"/>
  <c r="CQ574" i="29"/>
  <c r="CD574" i="29"/>
  <c r="CR574" i="29"/>
  <c r="DH574" i="29"/>
  <c r="DI574" i="29"/>
  <c r="CZ574" i="29"/>
  <c r="DK582" i="29"/>
  <c r="CB582" i="29"/>
  <c r="CN582" i="29"/>
  <c r="CI582" i="29"/>
  <c r="DI582" i="29"/>
  <c r="CZ582" i="29"/>
  <c r="CA582" i="29"/>
  <c r="CD582" i="29"/>
  <c r="DE582" i="29"/>
  <c r="CF582" i="29"/>
  <c r="BP582" i="29"/>
  <c r="DF582" i="29"/>
  <c r="BZ582" i="29"/>
  <c r="BW590" i="29"/>
  <c r="BP590" i="29"/>
  <c r="DF590" i="29"/>
  <c r="CJ590" i="29"/>
  <c r="CG590" i="29"/>
  <c r="BY590" i="29"/>
  <c r="DK590" i="29"/>
  <c r="DB590" i="29"/>
  <c r="CE590" i="29"/>
  <c r="CA590" i="29"/>
  <c r="DD590" i="29"/>
  <c r="CD590" i="29"/>
  <c r="DC598" i="29"/>
  <c r="BX598" i="29"/>
  <c r="DF598" i="29"/>
  <c r="CJ598" i="29"/>
  <c r="CI598" i="29"/>
  <c r="BR598" i="29"/>
  <c r="CA598" i="29"/>
  <c r="CZ598" i="29"/>
  <c r="DD598" i="29"/>
  <c r="CU598" i="29"/>
  <c r="DK598" i="29"/>
  <c r="BT598" i="29"/>
  <c r="DJ598" i="29"/>
  <c r="CA606" i="29"/>
  <c r="BP606" i="29"/>
  <c r="CV606" i="29"/>
  <c r="DF606" i="29"/>
  <c r="CG606" i="29"/>
  <c r="CN606" i="29"/>
  <c r="CE606" i="29"/>
  <c r="BV606" i="29"/>
  <c r="CJ606" i="29"/>
  <c r="CR606" i="29"/>
  <c r="CM606" i="29"/>
  <c r="CU606" i="29"/>
  <c r="DG610" i="29"/>
  <c r="DA610" i="29"/>
  <c r="CF610" i="29"/>
  <c r="CT610" i="29"/>
  <c r="BT610" i="29"/>
  <c r="CK610" i="29"/>
  <c r="BQ610" i="29"/>
  <c r="BZ610" i="29"/>
  <c r="CR610" i="29"/>
  <c r="BV610" i="29"/>
  <c r="CU610" i="29"/>
  <c r="DC610" i="29"/>
  <c r="CX610" i="29"/>
  <c r="DF620" i="29"/>
  <c r="CK620" i="29"/>
  <c r="BO620" i="29"/>
  <c r="CC620" i="29"/>
  <c r="CG620" i="29"/>
  <c r="CY620" i="29"/>
  <c r="CD620" i="29"/>
  <c r="CS620" i="29"/>
  <c r="CW620" i="29"/>
  <c r="BT620" i="29"/>
  <c r="BX620" i="29"/>
  <c r="DH620" i="29"/>
  <c r="DL628" i="29"/>
  <c r="CS628" i="29"/>
  <c r="BW628" i="29"/>
  <c r="CE628" i="29"/>
  <c r="CT628" i="29"/>
  <c r="DB628" i="29"/>
  <c r="CG628" i="29"/>
  <c r="DK628" i="29"/>
  <c r="BZ628" i="29"/>
  <c r="CD628" i="29"/>
  <c r="CZ628" i="29"/>
  <c r="DD628" i="29"/>
  <c r="CF628" i="29"/>
  <c r="DE636" i="29"/>
  <c r="CI636" i="29"/>
  <c r="DG636" i="29"/>
  <c r="BQ636" i="29"/>
  <c r="CP636" i="29"/>
  <c r="DC636" i="29"/>
  <c r="CH636" i="29"/>
  <c r="DB636" i="29"/>
  <c r="DA636" i="29"/>
  <c r="BT636" i="29"/>
  <c r="BX636" i="29"/>
  <c r="DH636" i="29"/>
  <c r="DI645" i="29"/>
  <c r="BW645" i="29"/>
  <c r="CJ645" i="29"/>
  <c r="CO645" i="29"/>
  <c r="CW645" i="29"/>
  <c r="BX645" i="29"/>
  <c r="BZ645" i="29"/>
  <c r="DD645" i="29"/>
  <c r="CC645" i="29"/>
  <c r="BV645" i="29"/>
  <c r="CH645" i="29"/>
  <c r="CT645" i="29"/>
  <c r="BP645" i="29"/>
  <c r="CZ378" i="29"/>
  <c r="BV378" i="29"/>
  <c r="BZ378" i="29"/>
  <c r="BY378" i="29"/>
  <c r="BO378" i="29"/>
  <c r="CT378" i="29"/>
  <c r="CC378" i="29"/>
  <c r="CX378" i="29"/>
  <c r="CF378" i="29"/>
  <c r="BT378" i="29"/>
  <c r="CJ378" i="29"/>
  <c r="BX378" i="29"/>
  <c r="DJ386" i="29"/>
  <c r="BW386" i="29"/>
  <c r="CJ386" i="29"/>
  <c r="BX386" i="29"/>
  <c r="CU386" i="29"/>
  <c r="DB386" i="29"/>
  <c r="CF386" i="29"/>
  <c r="DH386" i="29"/>
  <c r="BS386" i="29"/>
  <c r="CT386" i="29"/>
  <c r="BP386" i="29"/>
  <c r="BR386" i="29"/>
  <c r="BY386" i="29"/>
  <c r="CJ398" i="29"/>
  <c r="DJ398" i="29"/>
  <c r="BT398" i="29"/>
  <c r="BZ398" i="29"/>
  <c r="CF398" i="29"/>
  <c r="CQ726" i="29"/>
  <c r="DG726" i="29"/>
  <c r="BT726" i="29"/>
  <c r="CI726" i="29"/>
  <c r="BW726" i="29"/>
  <c r="CX726" i="29"/>
  <c r="CK726" i="29"/>
  <c r="CP726" i="29"/>
  <c r="BU726" i="29"/>
  <c r="CO726" i="29"/>
  <c r="BP726" i="29"/>
  <c r="DD726" i="29"/>
  <c r="DB730" i="29"/>
  <c r="CK730" i="29"/>
  <c r="CA730" i="29"/>
  <c r="BO730" i="29"/>
  <c r="CD730" i="29"/>
  <c r="BP730" i="29"/>
  <c r="CE730" i="29"/>
  <c r="CC730" i="29"/>
  <c r="DC730" i="29"/>
  <c r="CB730" i="29"/>
  <c r="CY730" i="29"/>
  <c r="CO730" i="29"/>
  <c r="CM730" i="29"/>
  <c r="DC734" i="29"/>
  <c r="DK734" i="29"/>
  <c r="CP734" i="29"/>
  <c r="CO734" i="29"/>
  <c r="BS734" i="29"/>
  <c r="BR734" i="29"/>
  <c r="CN734" i="29"/>
  <c r="CW734" i="29"/>
  <c r="CQ734" i="29"/>
  <c r="CF734" i="29"/>
  <c r="CK734" i="29"/>
  <c r="DE734" i="29"/>
  <c r="CZ738" i="29"/>
  <c r="CR738" i="29"/>
  <c r="BW738" i="29"/>
  <c r="DK738" i="29"/>
  <c r="CW738" i="29"/>
  <c r="DL738" i="29"/>
  <c r="CD738" i="29"/>
  <c r="BP738" i="29"/>
  <c r="CX738" i="29"/>
  <c r="CY738" i="29"/>
  <c r="BS738" i="29"/>
  <c r="CO738" i="29"/>
  <c r="DF738" i="29"/>
  <c r="CI742" i="29"/>
  <c r="CM742" i="29"/>
  <c r="CA742" i="29"/>
  <c r="CZ742" i="29"/>
  <c r="BT742" i="29"/>
  <c r="DA742" i="29"/>
  <c r="DL742" i="29"/>
  <c r="DI742" i="29"/>
  <c r="CV742" i="29"/>
  <c r="CX742" i="29"/>
  <c r="DF742" i="29"/>
  <c r="DE742" i="29"/>
  <c r="DB746" i="29"/>
  <c r="CK746" i="29"/>
  <c r="CF746" i="29"/>
  <c r="CT746" i="29"/>
  <c r="CC746" i="29"/>
  <c r="CZ746" i="29"/>
  <c r="DK746" i="29"/>
  <c r="BS746" i="29"/>
  <c r="CG746" i="29"/>
  <c r="CA746" i="29"/>
  <c r="DF746" i="29"/>
  <c r="CM746" i="29"/>
  <c r="DL746" i="29"/>
  <c r="CM750" i="29"/>
  <c r="CU750" i="29"/>
  <c r="DI750" i="29"/>
  <c r="CQ750" i="29"/>
  <c r="DB750" i="29"/>
  <c r="CK750" i="29"/>
  <c r="CV750" i="29"/>
  <c r="BZ750" i="29"/>
  <c r="CP750" i="29"/>
  <c r="CN750" i="29"/>
  <c r="CX750" i="29"/>
  <c r="CI750" i="29"/>
  <c r="DH754" i="29"/>
  <c r="CJ754" i="29"/>
  <c r="DK754" i="29"/>
  <c r="CM754" i="29"/>
  <c r="DA754" i="29"/>
  <c r="DL754" i="29"/>
  <c r="CD754" i="29"/>
  <c r="BP754" i="29"/>
  <c r="CH754" i="29"/>
  <c r="CX754" i="29"/>
  <c r="CY754" i="29"/>
  <c r="DF754" i="29"/>
  <c r="DD754" i="29"/>
  <c r="DF758" i="29"/>
  <c r="CK758" i="29"/>
  <c r="BO758" i="29"/>
  <c r="CS758" i="29"/>
  <c r="BW758" i="29"/>
  <c r="CG758" i="29"/>
  <c r="CL758" i="29"/>
  <c r="BY758" i="29"/>
  <c r="DJ758" i="29"/>
  <c r="BP758" i="29"/>
  <c r="CR758" i="29"/>
  <c r="CB758" i="29"/>
  <c r="DL762" i="29"/>
  <c r="CQ762" i="29"/>
  <c r="BV762" i="29"/>
  <c r="CY762" i="29"/>
  <c r="CD762" i="29"/>
  <c r="CS762" i="29"/>
  <c r="CX762" i="29"/>
  <c r="DF762" i="29"/>
  <c r="BZ762" i="29"/>
  <c r="BU762" i="29"/>
  <c r="CV762" i="29"/>
  <c r="CB762" i="29"/>
  <c r="CJ762" i="29"/>
  <c r="DF766" i="29"/>
  <c r="CK766" i="29"/>
  <c r="BO766" i="29"/>
  <c r="CS766" i="29"/>
  <c r="BW766" i="29"/>
  <c r="CG766" i="29"/>
  <c r="CL766" i="29"/>
  <c r="BY766" i="29"/>
  <c r="DJ766" i="29"/>
  <c r="BP766" i="29"/>
  <c r="DD766" i="29"/>
  <c r="BT766" i="29"/>
  <c r="CZ770" i="29"/>
  <c r="BY770" i="29"/>
  <c r="BV770" i="29"/>
  <c r="BQ770" i="29"/>
  <c r="BT770" i="29"/>
  <c r="CB770" i="29"/>
  <c r="CA770" i="29"/>
  <c r="CY770" i="29"/>
  <c r="CJ770" i="29"/>
  <c r="BW770" i="29"/>
  <c r="CC770" i="29"/>
  <c r="CF770" i="29"/>
  <c r="CU774" i="29"/>
  <c r="BS774" i="29"/>
  <c r="CJ774" i="29"/>
  <c r="DD774" i="29"/>
  <c r="CX774" i="29"/>
  <c r="CE774" i="29"/>
  <c r="CM774" i="29"/>
  <c r="CC774" i="29"/>
  <c r="CW774" i="29"/>
  <c r="DE774" i="29"/>
  <c r="CO774" i="29"/>
  <c r="DA774" i="29"/>
  <c r="CR778" i="29"/>
  <c r="BP778" i="29"/>
  <c r="DG778" i="29"/>
  <c r="BY778" i="29"/>
  <c r="CJ778" i="29"/>
  <c r="CW778" i="29"/>
  <c r="BX778" i="29"/>
  <c r="BT778" i="29"/>
  <c r="DF778" i="29"/>
  <c r="BU778" i="29"/>
  <c r="DI778" i="29"/>
  <c r="CQ778" i="29"/>
  <c r="BR778" i="29"/>
  <c r="CX782" i="29"/>
  <c r="BT782" i="29"/>
  <c r="CM782" i="29"/>
  <c r="CY782" i="29"/>
  <c r="CR782" i="29"/>
  <c r="BZ782" i="29"/>
  <c r="CH782" i="29"/>
  <c r="BU782" i="29"/>
  <c r="CC782" i="29"/>
  <c r="CO782" i="29"/>
  <c r="CS782" i="29"/>
  <c r="DE782" i="29"/>
  <c r="DC786" i="29"/>
  <c r="DH786" i="29"/>
  <c r="BR786" i="29"/>
  <c r="CU786" i="29"/>
  <c r="CP786" i="29"/>
  <c r="CS786" i="29"/>
  <c r="DG786" i="29"/>
  <c r="CW786" i="29"/>
  <c r="CD786" i="29"/>
  <c r="BQ786" i="29"/>
  <c r="DL786" i="29"/>
  <c r="CG786" i="29"/>
  <c r="DA786" i="29"/>
  <c r="DF792" i="29"/>
  <c r="CK792" i="29"/>
  <c r="BO792" i="29"/>
  <c r="CS792" i="29"/>
  <c r="BW792" i="29"/>
  <c r="CO792" i="29"/>
  <c r="CT792" i="29"/>
  <c r="CG792" i="29"/>
  <c r="DG792" i="29"/>
  <c r="BT792" i="29"/>
  <c r="CR792" i="29"/>
  <c r="DD792" i="29"/>
  <c r="DL796" i="29"/>
  <c r="CU796" i="29"/>
  <c r="BZ796" i="29"/>
  <c r="DC796" i="29"/>
  <c r="CH796" i="29"/>
  <c r="DE796" i="29"/>
  <c r="DJ796" i="29"/>
  <c r="BS796" i="29"/>
  <c r="CW796" i="29"/>
  <c r="CG796" i="29"/>
  <c r="CZ796" i="29"/>
  <c r="BX796" i="29"/>
  <c r="CV796" i="29"/>
  <c r="CX800" i="29"/>
  <c r="BT800" i="29"/>
  <c r="CM800" i="29"/>
  <c r="DC800" i="29"/>
  <c r="CU800" i="29"/>
  <c r="CD800" i="29"/>
  <c r="CY800" i="29"/>
  <c r="BY800" i="29"/>
  <c r="CW800" i="29"/>
  <c r="DB800" i="29"/>
  <c r="BU800" i="29"/>
  <c r="DG800" i="29"/>
  <c r="DJ804" i="29"/>
  <c r="BZ804" i="29"/>
  <c r="CP804" i="29"/>
  <c r="CH804" i="29"/>
  <c r="BR804" i="29"/>
  <c r="CI804" i="29"/>
  <c r="BQ804" i="29"/>
  <c r="CT804" i="29"/>
  <c r="BV804" i="29"/>
  <c r="DI804" i="29"/>
  <c r="CS804" i="29"/>
  <c r="CK804" i="29"/>
  <c r="DA804" i="29"/>
  <c r="CU808" i="29"/>
  <c r="BP808" i="29"/>
  <c r="CH808" i="29"/>
  <c r="CQ808" i="29"/>
  <c r="BU808" i="29"/>
  <c r="BY808" i="29"/>
  <c r="CS808" i="29"/>
  <c r="CG808" i="29"/>
  <c r="CO808" i="29"/>
  <c r="CR808" i="29"/>
  <c r="CB808" i="29"/>
  <c r="CY812" i="29"/>
  <c r="CR812" i="29"/>
  <c r="CH812" i="29"/>
  <c r="CA812" i="29"/>
  <c r="BY812" i="29"/>
  <c r="CM812" i="29"/>
  <c r="BQ812" i="29"/>
  <c r="DB812" i="29"/>
  <c r="BU812" i="29"/>
  <c r="CK812" i="29"/>
  <c r="DI812" i="29"/>
  <c r="CI812" i="29"/>
  <c r="BT812" i="29"/>
  <c r="CQ816" i="29"/>
  <c r="DJ816" i="29"/>
  <c r="BV816" i="29"/>
  <c r="DD816" i="29"/>
  <c r="DF816" i="29"/>
  <c r="DI816" i="29"/>
  <c r="CM816" i="29"/>
  <c r="CK816" i="29"/>
  <c r="BX816" i="29"/>
  <c r="CH816" i="29"/>
  <c r="BP816" i="29"/>
  <c r="BQ816" i="29"/>
  <c r="DF821" i="29"/>
  <c r="BP821" i="29"/>
  <c r="BY821" i="29"/>
  <c r="CO821" i="29"/>
  <c r="CP821" i="29"/>
  <c r="CI821" i="29"/>
  <c r="CC821" i="29"/>
  <c r="CA821" i="29"/>
  <c r="BR821" i="29"/>
  <c r="CE821" i="29"/>
  <c r="BO821" i="29"/>
  <c r="BV821" i="29"/>
  <c r="BX821" i="29"/>
  <c r="CW825" i="29"/>
  <c r="BQ825" i="29"/>
  <c r="CM825" i="29"/>
  <c r="DG825" i="29"/>
  <c r="CI825" i="29"/>
  <c r="CK825" i="29"/>
  <c r="BT825" i="29"/>
  <c r="CT825" i="29"/>
  <c r="BV825" i="29"/>
  <c r="DD825" i="29"/>
  <c r="CX825" i="29"/>
  <c r="DF825" i="29"/>
  <c r="DL898" i="29"/>
  <c r="CQ898" i="29"/>
  <c r="BV898" i="29"/>
  <c r="DA898" i="29"/>
  <c r="CE898" i="29"/>
  <c r="DE898" i="29"/>
  <c r="DJ898" i="29"/>
  <c r="BS898" i="29"/>
  <c r="CX898" i="29"/>
  <c r="BW898" i="29"/>
  <c r="DD898" i="29"/>
  <c r="CR898" i="29"/>
  <c r="BT898" i="29"/>
  <c r="DC902" i="29"/>
  <c r="CH902" i="29"/>
  <c r="DG902" i="29"/>
  <c r="CL902" i="29"/>
  <c r="BQ902" i="29"/>
  <c r="BZ902" i="29"/>
  <c r="CP902" i="29"/>
  <c r="CD902" i="29"/>
  <c r="CT902" i="29"/>
  <c r="BP902" i="29"/>
  <c r="CN902" i="29"/>
  <c r="CJ902" i="29"/>
  <c r="DJ906" i="29"/>
  <c r="CI906" i="29"/>
  <c r="DG906" i="29"/>
  <c r="CH906" i="29"/>
  <c r="CY906" i="29"/>
  <c r="DF906" i="29"/>
  <c r="CP906" i="29"/>
  <c r="DK906" i="29"/>
  <c r="BZ906" i="29"/>
  <c r="CX906" i="29"/>
  <c r="CN906" i="29"/>
  <c r="BT906" i="29"/>
  <c r="CB906" i="29"/>
  <c r="DF910" i="29"/>
  <c r="CK910" i="29"/>
  <c r="BO910" i="29"/>
  <c r="CT910" i="29"/>
  <c r="BY910" i="29"/>
  <c r="CM910" i="29"/>
  <c r="CS910" i="29"/>
  <c r="BV910" i="29"/>
  <c r="DG910" i="29"/>
  <c r="BX910" i="29"/>
  <c r="CF910" i="29"/>
  <c r="CR910" i="29"/>
  <c r="CL914" i="29"/>
  <c r="CY914" i="29"/>
  <c r="CS914" i="29"/>
  <c r="BZ914" i="29"/>
  <c r="CX914" i="29"/>
  <c r="DF914" i="29"/>
  <c r="DC914" i="29"/>
  <c r="CO914" i="29"/>
  <c r="DB914" i="29"/>
  <c r="CP914" i="29"/>
  <c r="CZ914" i="29"/>
  <c r="CQ914" i="29"/>
  <c r="DK914" i="29"/>
  <c r="BP918" i="29"/>
  <c r="BZ918" i="29"/>
  <c r="DH918" i="29"/>
  <c r="CY918" i="29"/>
  <c r="CA918" i="29"/>
  <c r="CC918" i="29"/>
  <c r="CQ918" i="29"/>
  <c r="CG918" i="29"/>
  <c r="CW918" i="29"/>
  <c r="CM918" i="29"/>
  <c r="DE918" i="29"/>
  <c r="DL918" i="29"/>
  <c r="DJ922" i="29"/>
  <c r="CH922" i="29"/>
  <c r="CZ922" i="29"/>
  <c r="BX922" i="29"/>
  <c r="CD922" i="29"/>
  <c r="BW922" i="29"/>
  <c r="BT922" i="29"/>
  <c r="DI922" i="29"/>
  <c r="CL922" i="29"/>
  <c r="BU922" i="29"/>
  <c r="BV922" i="29"/>
  <c r="CQ922" i="29"/>
  <c r="DB922" i="29"/>
  <c r="CL926" i="29"/>
  <c r="CH926" i="29"/>
  <c r="DF926" i="29"/>
  <c r="BT926" i="29"/>
  <c r="BQ926" i="29"/>
  <c r="BR926" i="29"/>
  <c r="BY926" i="29"/>
  <c r="CF926" i="29"/>
  <c r="DJ926" i="29"/>
  <c r="CC926" i="29"/>
  <c r="CY926" i="29"/>
  <c r="BU926" i="29"/>
  <c r="DF930" i="29"/>
  <c r="CD930" i="29"/>
  <c r="DD930" i="29"/>
  <c r="CB930" i="29"/>
  <c r="CE930" i="29"/>
  <c r="BZ930" i="29"/>
  <c r="DJ930" i="29"/>
  <c r="DI930" i="29"/>
  <c r="CL930" i="29"/>
  <c r="BU930" i="29"/>
  <c r="BV930" i="29"/>
  <c r="CQ930" i="29"/>
  <c r="CW930" i="29"/>
  <c r="BP934" i="29"/>
  <c r="DA934" i="29"/>
  <c r="CD934" i="29"/>
  <c r="BO934" i="29"/>
  <c r="CS934" i="29"/>
  <c r="BS934" i="29"/>
  <c r="CZ934" i="29"/>
  <c r="BX934" i="29"/>
  <c r="CG934" i="29"/>
  <c r="DB934" i="29"/>
  <c r="DD934" i="29"/>
  <c r="BZ934" i="29"/>
  <c r="DJ938" i="29"/>
  <c r="CH938" i="29"/>
  <c r="CZ938" i="29"/>
  <c r="BX938" i="29"/>
  <c r="CI938" i="29"/>
  <c r="CD938" i="29"/>
  <c r="CB938" i="29"/>
  <c r="DI938" i="29"/>
  <c r="CL938" i="29"/>
  <c r="BU938" i="29"/>
  <c r="BV938" i="29"/>
  <c r="CQ938" i="29"/>
  <c r="DB938" i="29"/>
  <c r="CJ942" i="29"/>
  <c r="CA942" i="29"/>
  <c r="DD942" i="29"/>
  <c r="BR942" i="29"/>
  <c r="CW942" i="29"/>
  <c r="BX942" i="29"/>
  <c r="DL942" i="29"/>
  <c r="CD942" i="29"/>
  <c r="CK942" i="29"/>
  <c r="CF942" i="29"/>
  <c r="DJ942" i="29"/>
  <c r="CP942" i="29"/>
  <c r="DJ946" i="29"/>
  <c r="CH946" i="29"/>
  <c r="CZ946" i="29"/>
  <c r="BX946" i="29"/>
  <c r="CD946" i="29"/>
  <c r="CB946" i="29"/>
  <c r="DK946" i="29"/>
  <c r="DI946" i="29"/>
  <c r="CL946" i="29"/>
  <c r="BU946" i="29"/>
  <c r="BV946" i="29"/>
  <c r="CQ946" i="29"/>
  <c r="DB946" i="29"/>
  <c r="CQ950" i="29"/>
  <c r="BO950" i="29"/>
  <c r="CF950" i="29"/>
  <c r="BU950" i="29"/>
  <c r="CH950" i="29"/>
  <c r="DI950" i="29"/>
  <c r="CN950" i="29"/>
  <c r="CL950" i="29"/>
  <c r="CX950" i="29"/>
  <c r="BX950" i="29"/>
  <c r="DE950" i="29"/>
  <c r="CO950" i="29"/>
  <c r="DF954" i="29"/>
  <c r="CD954" i="29"/>
  <c r="DD954" i="29"/>
  <c r="CB954" i="29"/>
  <c r="BZ954" i="29"/>
  <c r="CT954" i="29"/>
  <c r="DH954" i="29"/>
  <c r="DI954" i="29"/>
  <c r="CL954" i="29"/>
  <c r="BU954" i="29"/>
  <c r="BV954" i="29"/>
  <c r="CQ954" i="29"/>
  <c r="DB954" i="29"/>
  <c r="CJ958" i="29"/>
  <c r="CF958" i="29"/>
  <c r="CP958" i="29"/>
  <c r="CE958" i="29"/>
  <c r="CY958" i="29"/>
  <c r="BP958" i="29"/>
  <c r="CC958" i="29"/>
  <c r="CR958" i="29"/>
  <c r="CT958" i="29"/>
  <c r="BQ958" i="29"/>
  <c r="CI958" i="29"/>
  <c r="DD958" i="29"/>
  <c r="DJ964" i="29"/>
  <c r="CH964" i="29"/>
  <c r="CZ964" i="29"/>
  <c r="BX964" i="29"/>
  <c r="CC964" i="29"/>
  <c r="DA964" i="29"/>
  <c r="CT964" i="29"/>
  <c r="CY964" i="29"/>
  <c r="CW964" i="29"/>
  <c r="BQ964" i="29"/>
  <c r="CE964" i="29"/>
  <c r="DB964" i="29"/>
  <c r="CM964" i="29"/>
  <c r="CN968" i="29"/>
  <c r="CG968" i="29"/>
  <c r="CH968" i="29"/>
  <c r="CB968" i="29"/>
  <c r="BW968" i="29"/>
  <c r="CS968" i="29"/>
  <c r="CU968" i="29"/>
  <c r="BY968" i="29"/>
  <c r="CI968" i="29"/>
  <c r="CY968" i="29"/>
  <c r="CA968" i="29"/>
  <c r="CQ968" i="29"/>
  <c r="DL972" i="29"/>
  <c r="CJ972" i="29"/>
  <c r="DA972" i="29"/>
  <c r="BY972" i="29"/>
  <c r="BX972" i="29"/>
  <c r="CS972" i="29"/>
  <c r="DD972" i="29"/>
  <c r="CY972" i="29"/>
  <c r="CW972" i="29"/>
  <c r="BQ972" i="29"/>
  <c r="BO972" i="29"/>
  <c r="CG972" i="29"/>
  <c r="DC972" i="29"/>
  <c r="DH976" i="29"/>
  <c r="BS976" i="29"/>
  <c r="CK976" i="29"/>
  <c r="CB976" i="29"/>
  <c r="DJ976" i="29"/>
  <c r="BZ976" i="29"/>
  <c r="DI976" i="29"/>
  <c r="CF976" i="29"/>
  <c r="CE976" i="29"/>
  <c r="CX976" i="29"/>
  <c r="DE976" i="29"/>
  <c r="CH976" i="29"/>
  <c r="DL980" i="29"/>
  <c r="CG980" i="29"/>
  <c r="DA980" i="29"/>
  <c r="BU980" i="29"/>
  <c r="DJ980" i="29"/>
  <c r="DF980" i="29"/>
  <c r="CX980" i="29"/>
  <c r="BT980" i="29"/>
  <c r="CE980" i="29"/>
  <c r="CR980" i="29"/>
  <c r="BX980" i="29"/>
  <c r="CI980" i="29"/>
  <c r="BS980" i="29"/>
  <c r="CX984" i="29"/>
  <c r="DD984" i="29"/>
  <c r="DE984" i="29"/>
  <c r="CZ984" i="29"/>
  <c r="BT984" i="29"/>
  <c r="CQ984" i="29"/>
  <c r="DH984" i="29"/>
  <c r="CI984" i="29"/>
  <c r="CV984" i="29"/>
  <c r="DC984" i="29"/>
  <c r="DK984" i="29"/>
  <c r="BO984" i="29"/>
  <c r="DF988" i="29"/>
  <c r="DA988" i="29"/>
  <c r="CG988" i="29"/>
  <c r="DB988" i="29"/>
  <c r="CA988" i="29"/>
  <c r="CS988" i="29"/>
  <c r="CI988" i="29"/>
  <c r="DD988" i="29"/>
  <c r="CM988" i="29"/>
  <c r="DC988" i="29"/>
  <c r="CW988" i="29"/>
  <c r="CT988" i="29"/>
  <c r="BO988" i="29"/>
  <c r="CT993" i="29"/>
  <c r="CY993" i="29"/>
  <c r="CX993" i="29"/>
  <c r="BR993" i="29"/>
  <c r="CH993" i="29"/>
  <c r="CW993" i="29"/>
  <c r="DB993" i="29"/>
  <c r="CO993" i="29"/>
  <c r="DL993" i="29"/>
  <c r="DG993" i="29"/>
  <c r="CL993" i="29"/>
  <c r="CZ993" i="29"/>
  <c r="CB997" i="29"/>
  <c r="BV997" i="29"/>
  <c r="DJ997" i="29"/>
  <c r="BQ997" i="29"/>
  <c r="BT997" i="29"/>
  <c r="DB997" i="29"/>
  <c r="CS997" i="29"/>
  <c r="DH997" i="29"/>
  <c r="DD997" i="29"/>
  <c r="CG997" i="29"/>
  <c r="CQ997" i="29"/>
  <c r="CJ997" i="29"/>
  <c r="CA997" i="29"/>
  <c r="BV373" i="29"/>
  <c r="DH373" i="29"/>
  <c r="CA373" i="29"/>
  <c r="DE373" i="29"/>
  <c r="CZ373" i="29"/>
  <c r="BS373" i="29"/>
  <c r="BU373" i="29"/>
  <c r="CK373" i="29"/>
  <c r="CW373" i="29"/>
  <c r="CH373" i="29"/>
  <c r="BP373" i="29"/>
  <c r="BQ373" i="29"/>
  <c r="DL377" i="29"/>
  <c r="CS377" i="29"/>
  <c r="BW377" i="29"/>
  <c r="BQ377" i="29"/>
  <c r="CU377" i="29"/>
  <c r="BZ377" i="29"/>
  <c r="DE377" i="29"/>
  <c r="CI377" i="29"/>
  <c r="DG377" i="29"/>
  <c r="CG377" i="29"/>
  <c r="CZ377" i="29"/>
  <c r="BX377" i="29"/>
  <c r="BP377" i="29"/>
  <c r="DE381" i="29"/>
  <c r="CI381" i="29"/>
  <c r="CS381" i="29"/>
  <c r="DB381" i="29"/>
  <c r="CG381" i="29"/>
  <c r="DK381" i="29"/>
  <c r="CP381" i="29"/>
  <c r="BU381" i="29"/>
  <c r="CX381" i="29"/>
  <c r="BT381" i="29"/>
  <c r="CR381" i="29"/>
  <c r="CV381" i="29"/>
  <c r="DL385" i="29"/>
  <c r="CU385" i="29"/>
  <c r="BZ385" i="29"/>
  <c r="CT385" i="29"/>
  <c r="DC385" i="29"/>
  <c r="CH385" i="29"/>
  <c r="DG385" i="29"/>
  <c r="CL385" i="29"/>
  <c r="BQ385" i="29"/>
  <c r="CD385" i="29"/>
  <c r="CZ385" i="29"/>
  <c r="BX385" i="29"/>
  <c r="BP385" i="29"/>
  <c r="DB389" i="29"/>
  <c r="CG389" i="29"/>
  <c r="DK389" i="29"/>
  <c r="CK389" i="29"/>
  <c r="DE389" i="29"/>
  <c r="CI389" i="29"/>
  <c r="DI389" i="29"/>
  <c r="CM389" i="29"/>
  <c r="BR389" i="29"/>
  <c r="BT389" i="29"/>
  <c r="CR389" i="29"/>
  <c r="CV389" i="29"/>
  <c r="DL393" i="29"/>
  <c r="CS393" i="29"/>
  <c r="BW393" i="29"/>
  <c r="CW393" i="29"/>
  <c r="CA393" i="29"/>
  <c r="DF393" i="29"/>
  <c r="CK393" i="29"/>
  <c r="BO393" i="29"/>
  <c r="CT393" i="29"/>
  <c r="BY393" i="29"/>
  <c r="CZ393" i="29"/>
  <c r="BX393" i="29"/>
  <c r="BP393" i="29"/>
  <c r="DE397" i="29"/>
  <c r="CI397" i="29"/>
  <c r="DC397" i="29"/>
  <c r="CC397" i="29"/>
  <c r="DB397" i="29"/>
  <c r="CG397" i="29"/>
  <c r="DK397" i="29"/>
  <c r="CP397" i="29"/>
  <c r="BU397" i="29"/>
  <c r="BT397" i="29"/>
  <c r="CR397" i="29"/>
  <c r="CV397" i="29"/>
  <c r="DL401" i="29"/>
  <c r="CU401" i="29"/>
  <c r="BZ401" i="29"/>
  <c r="CY401" i="29"/>
  <c r="CD401" i="29"/>
  <c r="DC401" i="29"/>
  <c r="CH401" i="29"/>
  <c r="DG401" i="29"/>
  <c r="CL401" i="29"/>
  <c r="BQ401" i="29"/>
  <c r="CZ401" i="29"/>
  <c r="BX401" i="29"/>
  <c r="BP401" i="29"/>
  <c r="DF405" i="29"/>
  <c r="CK405" i="29"/>
  <c r="BO405" i="29"/>
  <c r="CS405" i="29"/>
  <c r="BW405" i="29"/>
  <c r="CG405" i="29"/>
  <c r="CO405" i="29"/>
  <c r="CW405" i="29"/>
  <c r="DE405" i="29"/>
  <c r="BT405" i="29"/>
  <c r="CR405" i="29"/>
  <c r="CV405" i="29"/>
  <c r="DL409" i="29"/>
  <c r="CQ409" i="29"/>
  <c r="BV409" i="29"/>
  <c r="CY409" i="29"/>
  <c r="CD409" i="29"/>
  <c r="CX409" i="29"/>
  <c r="DF409" i="29"/>
  <c r="BO409" i="29"/>
  <c r="BW409" i="29"/>
  <c r="CE409" i="29"/>
  <c r="CZ409" i="29"/>
  <c r="BX409" i="29"/>
  <c r="BP409" i="29"/>
  <c r="DC413" i="29"/>
  <c r="CH413" i="29"/>
  <c r="DK413" i="29"/>
  <c r="CP413" i="29"/>
  <c r="BU413" i="29"/>
  <c r="CI413" i="29"/>
  <c r="CG413" i="29"/>
  <c r="CO413" i="29"/>
  <c r="CW413" i="29"/>
  <c r="BT413" i="29"/>
  <c r="CR413" i="29"/>
  <c r="CV413" i="29"/>
  <c r="DH417" i="29"/>
  <c r="CE417" i="29"/>
  <c r="DD417" i="29"/>
  <c r="CB417" i="29"/>
  <c r="BY417" i="29"/>
  <c r="DI417" i="29"/>
  <c r="DE417" i="29"/>
  <c r="CX417" i="29"/>
  <c r="DA417" i="29"/>
  <c r="BU417" i="29"/>
  <c r="BP417" i="29"/>
  <c r="DJ417" i="29"/>
  <c r="BV417" i="29"/>
  <c r="CU421" i="29"/>
  <c r="DH421" i="29"/>
  <c r="BU421" i="29"/>
  <c r="DA421" i="29"/>
  <c r="CB421" i="29"/>
  <c r="DJ421" i="29"/>
  <c r="CN421" i="29"/>
  <c r="CL421" i="29"/>
  <c r="BW421" i="29"/>
  <c r="BP421" i="29"/>
  <c r="DF421" i="29"/>
  <c r="CX421" i="29"/>
  <c r="DE425" i="29"/>
  <c r="CC425" i="29"/>
  <c r="DC425" i="29"/>
  <c r="BY425" i="29"/>
  <c r="CE425" i="29"/>
  <c r="CB425" i="29"/>
  <c r="DK425" i="29"/>
  <c r="CX425" i="29"/>
  <c r="DA425" i="29"/>
  <c r="BU425" i="29"/>
  <c r="CD425" i="29"/>
  <c r="CV425" i="29"/>
  <c r="CL425" i="29"/>
  <c r="CQ429" i="29"/>
  <c r="CR429" i="29"/>
  <c r="CA429" i="29"/>
  <c r="DK429" i="29"/>
  <c r="CC429" i="29"/>
  <c r="CL429" i="29"/>
  <c r="DI429" i="29"/>
  <c r="CP429" i="29"/>
  <c r="BP429" i="29"/>
  <c r="BQ429" i="29"/>
  <c r="CJ429" i="29"/>
  <c r="BR429" i="29"/>
  <c r="DH433" i="29"/>
  <c r="CE433" i="29"/>
  <c r="DD433" i="29"/>
  <c r="CB433" i="29"/>
  <c r="CG433" i="29"/>
  <c r="CC433" i="29"/>
  <c r="BY433" i="29"/>
  <c r="DB433" i="29"/>
  <c r="CV433" i="29"/>
  <c r="BP433" i="29"/>
  <c r="BR433" i="29"/>
  <c r="DL433" i="29"/>
  <c r="BZ433" i="29"/>
  <c r="DC437" i="29"/>
  <c r="CG437" i="29"/>
  <c r="DK437" i="29"/>
  <c r="CP437" i="29"/>
  <c r="BS437" i="29"/>
  <c r="BW437" i="29"/>
  <c r="BU437" i="29"/>
  <c r="CC437" i="29"/>
  <c r="CK437" i="29"/>
  <c r="CJ437" i="29"/>
  <c r="DH437" i="29"/>
  <c r="BX437" i="29"/>
  <c r="CV443" i="29"/>
  <c r="CQ443" i="29"/>
  <c r="CR443" i="29"/>
  <c r="CF443" i="29"/>
  <c r="DF443" i="29"/>
  <c r="BX443" i="29"/>
  <c r="BQ443" i="29"/>
  <c r="CI443" i="29"/>
  <c r="CZ443" i="29"/>
  <c r="CC443" i="29"/>
  <c r="DA443" i="29"/>
  <c r="CX443" i="29"/>
  <c r="CD443" i="29"/>
  <c r="CD447" i="29"/>
  <c r="CI447" i="29"/>
  <c r="BT447" i="29"/>
  <c r="CZ447" i="29"/>
  <c r="CW447" i="29"/>
  <c r="DB447" i="29"/>
  <c r="CO447" i="29"/>
  <c r="DL447" i="29"/>
  <c r="CC447" i="29"/>
  <c r="BU447" i="29"/>
  <c r="BP447" i="29"/>
  <c r="CK447" i="29"/>
  <c r="BX451" i="29"/>
  <c r="CD451" i="29"/>
  <c r="BY451" i="29"/>
  <c r="CQ451" i="29"/>
  <c r="CY451" i="29"/>
  <c r="CU451" i="29"/>
  <c r="CV451" i="29"/>
  <c r="DA451" i="29"/>
  <c r="CA451" i="29"/>
  <c r="BV451" i="29"/>
  <c r="CZ451" i="29"/>
  <c r="DI451" i="29"/>
  <c r="CN451" i="29"/>
  <c r="CV455" i="29"/>
  <c r="CW455" i="29"/>
  <c r="BX455" i="29"/>
  <c r="DL455" i="29"/>
  <c r="BY455" i="29"/>
  <c r="CM455" i="29"/>
  <c r="CP455" i="29"/>
  <c r="BW455" i="29"/>
  <c r="DC455" i="29"/>
  <c r="CC455" i="29"/>
  <c r="BT455" i="29"/>
  <c r="CH455" i="29"/>
  <c r="DD459" i="29"/>
  <c r="DJ459" i="29"/>
  <c r="BS459" i="29"/>
  <c r="BW459" i="29"/>
  <c r="DC459" i="29"/>
  <c r="DF459" i="29"/>
  <c r="BP459" i="29"/>
  <c r="CU459" i="29"/>
  <c r="CA459" i="29"/>
  <c r="BV459" i="29"/>
  <c r="CF459" i="29"/>
  <c r="CQ459" i="29"/>
  <c r="DB459" i="29"/>
  <c r="DE463" i="29"/>
  <c r="CU463" i="29"/>
  <c r="BQ463" i="29"/>
  <c r="CJ463" i="29"/>
  <c r="BW463" i="29"/>
  <c r="BY463" i="29"/>
  <c r="BP463" i="29"/>
  <c r="CG463" i="29"/>
  <c r="DL463" i="29"/>
  <c r="CR463" i="29"/>
  <c r="CZ463" i="29"/>
  <c r="CT463" i="29"/>
  <c r="DC467" i="29"/>
  <c r="CH467" i="29"/>
  <c r="CB467" i="29"/>
  <c r="DK467" i="29"/>
  <c r="CS467" i="29"/>
  <c r="CP467" i="29"/>
  <c r="BT467" i="29"/>
  <c r="BV467" i="29"/>
  <c r="DI467" i="29"/>
  <c r="CF467" i="29"/>
  <c r="CW467" i="29"/>
  <c r="CA467" i="29"/>
  <c r="BY467" i="29"/>
  <c r="CS201" i="29"/>
  <c r="DE201" i="29"/>
  <c r="BV201" i="29"/>
  <c r="DF201" i="29"/>
  <c r="DJ201" i="29"/>
  <c r="CT201" i="29"/>
  <c r="CA201" i="29"/>
  <c r="DC201" i="29"/>
  <c r="CM201" i="29"/>
  <c r="BO201" i="29"/>
  <c r="CV201" i="29"/>
  <c r="CE201" i="29"/>
  <c r="CW205" i="29"/>
  <c r="DB205" i="29"/>
  <c r="DD205" i="29"/>
  <c r="DI205" i="29"/>
  <c r="CC205" i="29"/>
  <c r="BY205" i="29"/>
  <c r="CM205" i="29"/>
  <c r="CO205" i="29"/>
  <c r="BP205" i="29"/>
  <c r="CD205" i="29"/>
  <c r="CY205" i="29"/>
  <c r="CA205" i="29"/>
  <c r="DJ209" i="29"/>
  <c r="BT209" i="29"/>
  <c r="BY209" i="29"/>
  <c r="CK209" i="29"/>
  <c r="BU209" i="29"/>
  <c r="CU209" i="29"/>
  <c r="DB209" i="29"/>
  <c r="BV209" i="29"/>
  <c r="DH209" i="29"/>
  <c r="DG209" i="29"/>
  <c r="CX209" i="29"/>
  <c r="CH209" i="29"/>
  <c r="BX209" i="29"/>
  <c r="CG213" i="29"/>
  <c r="BY213" i="29"/>
  <c r="CH213" i="29"/>
  <c r="DI213" i="29"/>
  <c r="DJ213" i="29"/>
  <c r="BT213" i="29"/>
  <c r="BS213" i="29"/>
  <c r="CR213" i="29"/>
  <c r="DB213" i="29"/>
  <c r="BO213" i="29"/>
  <c r="BW213" i="29"/>
  <c r="CN213" i="29"/>
  <c r="DL217" i="29"/>
  <c r="CX217" i="29"/>
  <c r="DE217" i="29"/>
  <c r="CG217" i="29"/>
  <c r="CS217" i="29"/>
  <c r="DC217" i="29"/>
  <c r="CD217" i="29"/>
  <c r="CU217" i="29"/>
  <c r="DH217" i="29"/>
  <c r="CI217" i="29"/>
  <c r="DD217" i="29"/>
  <c r="DB217" i="29"/>
  <c r="CA217" i="29"/>
  <c r="CH221" i="29"/>
  <c r="BZ221" i="29"/>
  <c r="DE221" i="29"/>
  <c r="DA221" i="29"/>
  <c r="DJ221" i="29"/>
  <c r="BT221" i="29"/>
  <c r="CT221" i="29"/>
  <c r="CB221" i="29"/>
  <c r="BV221" i="29"/>
  <c r="DB221" i="29"/>
  <c r="BP221" i="29"/>
  <c r="CL221" i="29"/>
  <c r="DL225" i="29"/>
  <c r="DE225" i="29"/>
  <c r="BZ225" i="29"/>
  <c r="CX225" i="29"/>
  <c r="CT225" i="29"/>
  <c r="DK225" i="29"/>
  <c r="CS225" i="29"/>
  <c r="CM225" i="29"/>
  <c r="DH225" i="29"/>
  <c r="DG225" i="29"/>
  <c r="CY225" i="29"/>
  <c r="DD225" i="29"/>
  <c r="CQ225" i="29"/>
  <c r="CP229" i="29"/>
  <c r="BR229" i="29"/>
  <c r="BQ229" i="29"/>
  <c r="CC229" i="29"/>
  <c r="DJ229" i="29"/>
  <c r="BT229" i="29"/>
  <c r="CT229" i="29"/>
  <c r="CB229" i="29"/>
  <c r="DB229" i="29"/>
  <c r="CM229" i="29"/>
  <c r="BV229" i="29"/>
  <c r="DD229" i="29"/>
  <c r="DL233" i="29"/>
  <c r="CW233" i="29"/>
  <c r="BR233" i="29"/>
  <c r="BZ233" i="29"/>
  <c r="CC233" i="29"/>
  <c r="DC233" i="29"/>
  <c r="DI233" i="29"/>
  <c r="CE233" i="29"/>
  <c r="CR233" i="29"/>
  <c r="BS233" i="29"/>
  <c r="BV233" i="29"/>
  <c r="CI233" i="29"/>
  <c r="DG233" i="29"/>
  <c r="CH237" i="29"/>
  <c r="BZ237" i="29"/>
  <c r="CO237" i="29"/>
  <c r="BU237" i="29"/>
  <c r="DJ237" i="29"/>
  <c r="BT237" i="29"/>
  <c r="CA237" i="29"/>
  <c r="CR237" i="29"/>
  <c r="BO237" i="29"/>
  <c r="BX237" i="29"/>
  <c r="DI237" i="29"/>
  <c r="DB237" i="29"/>
  <c r="DL241" i="29"/>
  <c r="DE241" i="29"/>
  <c r="DF241" i="29"/>
  <c r="CH241" i="29"/>
  <c r="DA241" i="29"/>
  <c r="CU241" i="29"/>
  <c r="CZ241" i="29"/>
  <c r="BW241" i="29"/>
  <c r="CR241" i="29"/>
  <c r="CV241" i="29"/>
  <c r="CK241" i="29"/>
  <c r="BS241" i="29"/>
  <c r="CA241" i="29"/>
  <c r="BO245" i="29"/>
  <c r="CF245" i="29"/>
  <c r="CX245" i="29"/>
  <c r="BX245" i="29"/>
  <c r="DF245" i="29"/>
  <c r="CI245" i="29"/>
  <c r="CV245" i="29"/>
  <c r="CR245" i="29"/>
  <c r="DI245" i="29"/>
  <c r="DB245" i="29"/>
  <c r="DC245" i="29"/>
  <c r="CO245" i="29"/>
  <c r="DH249" i="29"/>
  <c r="CE249" i="29"/>
  <c r="BR249" i="29"/>
  <c r="CZ249" i="29"/>
  <c r="DF249" i="29"/>
  <c r="BX249" i="29"/>
  <c r="CR249" i="29"/>
  <c r="CF249" i="29"/>
  <c r="DG249" i="29"/>
  <c r="DA249" i="29"/>
  <c r="CJ249" i="29"/>
  <c r="CY249" i="29"/>
  <c r="CL249" i="29"/>
  <c r="CR253" i="29"/>
  <c r="DK253" i="29"/>
  <c r="CX253" i="29"/>
  <c r="DI253" i="29"/>
  <c r="CM253" i="29"/>
  <c r="BZ253" i="29"/>
  <c r="BT253" i="29"/>
  <c r="CF253" i="29"/>
  <c r="CA253" i="29"/>
  <c r="DE253" i="29"/>
  <c r="BS253" i="29"/>
  <c r="BP253" i="29"/>
  <c r="DH257" i="29"/>
  <c r="BS257" i="29"/>
  <c r="CV257" i="29"/>
  <c r="DE257" i="29"/>
  <c r="CA257" i="29"/>
  <c r="DL257" i="29"/>
  <c r="CU257" i="29"/>
  <c r="CC257" i="29"/>
  <c r="CE257" i="29"/>
  <c r="CZ257" i="29"/>
  <c r="DC257" i="29"/>
  <c r="CR257" i="29"/>
  <c r="CG257" i="29"/>
  <c r="DF261" i="29"/>
  <c r="DD261" i="29"/>
  <c r="BR261" i="29"/>
  <c r="CW261" i="29"/>
  <c r="BX261" i="29"/>
  <c r="DK261" i="29"/>
  <c r="BU261" i="29"/>
  <c r="DG261" i="29"/>
  <c r="DC261" i="29"/>
  <c r="CC261" i="29"/>
  <c r="BP261" i="29"/>
  <c r="DJ261" i="29"/>
  <c r="CP267" i="29"/>
  <c r="DJ267" i="29"/>
  <c r="CT267" i="29"/>
  <c r="CE267" i="29"/>
  <c r="CF267" i="29"/>
  <c r="DI267" i="29"/>
  <c r="CM267" i="29"/>
  <c r="DD267" i="29"/>
  <c r="BQ267" i="29"/>
  <c r="CL267" i="29"/>
  <c r="CW267" i="29"/>
  <c r="CY267" i="29"/>
  <c r="DG267" i="29"/>
  <c r="CX271" i="29"/>
  <c r="CD271" i="29"/>
  <c r="CL271" i="29"/>
  <c r="BQ271" i="29"/>
  <c r="BP271" i="29"/>
  <c r="CS271" i="29"/>
  <c r="BX271" i="29"/>
  <c r="DE271" i="29"/>
  <c r="CW271" i="29"/>
  <c r="CK271" i="29"/>
  <c r="DH271" i="29"/>
  <c r="CB271" i="29"/>
  <c r="CO275" i="29"/>
  <c r="CD275" i="29"/>
  <c r="BV275" i="29"/>
  <c r="BW275" i="29"/>
  <c r="CF275" i="29"/>
  <c r="BQ275" i="29"/>
  <c r="CU275" i="29"/>
  <c r="DD275" i="29"/>
  <c r="DE275" i="29"/>
  <c r="DH275" i="29"/>
  <c r="CX275" i="29"/>
  <c r="BS275" i="29"/>
  <c r="CA275" i="29"/>
  <c r="BQ279" i="29"/>
  <c r="DA279" i="29"/>
  <c r="DF279" i="29"/>
  <c r="CY279" i="29"/>
  <c r="CX279" i="29"/>
  <c r="DE279" i="29"/>
  <c r="BX279" i="29"/>
  <c r="CT279" i="29"/>
  <c r="CE279" i="29"/>
  <c r="BW279" i="29"/>
  <c r="CZ279" i="29"/>
  <c r="DH279" i="29"/>
  <c r="DD283" i="29"/>
  <c r="CK283" i="29"/>
  <c r="DK283" i="29"/>
  <c r="CX283" i="29"/>
  <c r="CJ283" i="29"/>
  <c r="CM283" i="29"/>
  <c r="BZ283" i="29"/>
  <c r="DL283" i="29"/>
  <c r="DB283" i="29"/>
  <c r="CD283" i="29"/>
  <c r="CR283" i="29"/>
  <c r="CT283" i="29"/>
  <c r="CL283" i="29"/>
  <c r="CN287" i="29"/>
  <c r="CC287" i="29"/>
  <c r="DD287" i="29"/>
  <c r="CM287" i="29"/>
  <c r="CH287" i="29"/>
  <c r="CK287" i="29"/>
  <c r="BO287" i="29"/>
  <c r="CT287" i="29"/>
  <c r="BP287" i="29"/>
  <c r="DJ287" i="29"/>
  <c r="CI287" i="29"/>
  <c r="CA287" i="29"/>
  <c r="CC291" i="29"/>
  <c r="DC291" i="29"/>
  <c r="BZ291" i="29"/>
  <c r="BX291" i="29"/>
  <c r="DK291" i="29"/>
  <c r="CL291" i="29"/>
  <c r="CX291" i="29"/>
  <c r="CA291" i="29"/>
  <c r="CY291" i="29"/>
  <c r="DF291" i="29"/>
  <c r="BT291" i="29"/>
  <c r="BU291" i="29"/>
  <c r="DI291" i="29"/>
  <c r="BV296" i="29"/>
  <c r="DJ296" i="29"/>
  <c r="CG296" i="29"/>
  <c r="CX296" i="29"/>
  <c r="CK296" i="29"/>
  <c r="CB296" i="29"/>
  <c r="BQ296" i="29"/>
  <c r="BW296" i="29"/>
  <c r="CD296" i="29"/>
  <c r="DL296" i="29"/>
  <c r="BP296" i="29"/>
  <c r="CA296" i="29"/>
  <c r="CW300" i="29"/>
  <c r="CS300" i="29"/>
  <c r="BV300" i="29"/>
  <c r="BS300" i="29"/>
  <c r="CP300" i="29"/>
  <c r="CO300" i="29"/>
  <c r="CQ300" i="29"/>
  <c r="BT300" i="29"/>
  <c r="DI300" i="29"/>
  <c r="DC300" i="29"/>
  <c r="CE300" i="29"/>
  <c r="BX300" i="29"/>
  <c r="CM300" i="29"/>
  <c r="BO551" i="29"/>
  <c r="CZ551" i="29"/>
  <c r="DK551" i="29"/>
  <c r="CI551" i="29"/>
  <c r="DC551" i="29"/>
  <c r="CT551" i="29"/>
  <c r="BY551" i="29"/>
  <c r="CG551" i="29"/>
  <c r="CL551" i="29"/>
  <c r="CA551" i="29"/>
  <c r="DB551" i="29"/>
  <c r="DB555" i="29"/>
  <c r="BR555" i="29"/>
  <c r="CH555" i="29"/>
  <c r="DF555" i="29"/>
  <c r="CA555" i="29"/>
  <c r="CJ555" i="29"/>
  <c r="BY555" i="29"/>
  <c r="CK555" i="29"/>
  <c r="CM555" i="29"/>
  <c r="BP555" i="29"/>
  <c r="CI555" i="29"/>
  <c r="DD555" i="29"/>
  <c r="DH555" i="29"/>
  <c r="CZ559" i="29"/>
  <c r="BY559" i="29"/>
  <c r="BX559" i="29"/>
  <c r="DC559" i="29"/>
  <c r="CQ559" i="29"/>
  <c r="BR559" i="29"/>
  <c r="CH559" i="29"/>
  <c r="CM559" i="29"/>
  <c r="CY559" i="29"/>
  <c r="BW559" i="29"/>
  <c r="DI559" i="29"/>
  <c r="CC559" i="29"/>
  <c r="DJ563" i="29"/>
  <c r="CM563" i="29"/>
  <c r="CC563" i="29"/>
  <c r="DB563" i="29"/>
  <c r="CY563" i="29"/>
  <c r="BR563" i="29"/>
  <c r="BU563" i="29"/>
  <c r="BZ563" i="29"/>
  <c r="CO563" i="29"/>
  <c r="CS563" i="29"/>
  <c r="DE563" i="29"/>
  <c r="CH563" i="29"/>
  <c r="DL563" i="29"/>
  <c r="CE567" i="29"/>
  <c r="DG567" i="29"/>
  <c r="DJ567" i="29"/>
  <c r="BO567" i="29"/>
  <c r="CK567" i="29"/>
  <c r="DC567" i="29"/>
  <c r="CU567" i="29"/>
  <c r="BY567" i="29"/>
  <c r="CJ567" i="29"/>
  <c r="CP567" i="29"/>
  <c r="DF567" i="29"/>
  <c r="BQ567" i="29"/>
  <c r="DK571" i="29"/>
  <c r="CI571" i="29"/>
  <c r="CZ571" i="29"/>
  <c r="CJ571" i="29"/>
  <c r="CU571" i="29"/>
  <c r="BS571" i="29"/>
  <c r="DF571" i="29"/>
  <c r="DI571" i="29"/>
  <c r="CL571" i="29"/>
  <c r="CV571" i="29"/>
  <c r="BV571" i="29"/>
  <c r="CA571" i="29"/>
  <c r="DB571" i="29"/>
  <c r="CX575" i="29"/>
  <c r="CB575" i="29"/>
  <c r="CU575" i="29"/>
  <c r="BO575" i="29"/>
  <c r="DE575" i="29"/>
  <c r="CI575" i="29"/>
  <c r="CG575" i="29"/>
  <c r="DI575" i="29"/>
  <c r="CA575" i="29"/>
  <c r="BU575" i="29"/>
  <c r="CZ575" i="29"/>
  <c r="CP575" i="29"/>
  <c r="DF579" i="29"/>
  <c r="CD579" i="29"/>
  <c r="DC579" i="29"/>
  <c r="CT579" i="29"/>
  <c r="DD579" i="29"/>
  <c r="CB579" i="29"/>
  <c r="DH579" i="29"/>
  <c r="DA579" i="29"/>
  <c r="CV579" i="29"/>
  <c r="CW579" i="29"/>
  <c r="DB579" i="29"/>
  <c r="CO579" i="29"/>
  <c r="CQ579" i="29"/>
  <c r="CF583" i="29"/>
  <c r="CV583" i="29"/>
  <c r="CL583" i="29"/>
  <c r="CC583" i="29"/>
  <c r="CY583" i="29"/>
  <c r="BU583" i="29"/>
  <c r="CG583" i="29"/>
  <c r="DE583" i="29"/>
  <c r="CJ583" i="29"/>
  <c r="CM583" i="29"/>
  <c r="DJ583" i="29"/>
  <c r="BZ583" i="29"/>
  <c r="DF587" i="29"/>
  <c r="CD587" i="29"/>
  <c r="CH587" i="29"/>
  <c r="BX587" i="29"/>
  <c r="CP587" i="29"/>
  <c r="DJ587" i="29"/>
  <c r="DH587" i="29"/>
  <c r="DA587" i="29"/>
  <c r="CV587" i="29"/>
  <c r="CW587" i="29"/>
  <c r="DB587" i="29"/>
  <c r="BV587" i="29"/>
  <c r="DE587" i="29"/>
  <c r="DH591" i="29"/>
  <c r="CC591" i="29"/>
  <c r="CQ591" i="29"/>
  <c r="CR591" i="29"/>
  <c r="DF591" i="29"/>
  <c r="CW591" i="29"/>
  <c r="BT591" i="29"/>
  <c r="BY591" i="29"/>
  <c r="CJ591" i="29"/>
  <c r="CE591" i="29"/>
  <c r="CB591" i="29"/>
  <c r="CT591" i="29"/>
  <c r="DJ595" i="29"/>
  <c r="CH595" i="29"/>
  <c r="CD595" i="29"/>
  <c r="CI595" i="29"/>
  <c r="CT595" i="29"/>
  <c r="BR595" i="29"/>
  <c r="BW595" i="29"/>
  <c r="DA595" i="29"/>
  <c r="CV595" i="29"/>
  <c r="CW595" i="29"/>
  <c r="DB595" i="29"/>
  <c r="BV595" i="29"/>
  <c r="BY595" i="29"/>
  <c r="CM599" i="29"/>
  <c r="DK599" i="29"/>
  <c r="DH599" i="29"/>
  <c r="CP599" i="29"/>
  <c r="CK599" i="29"/>
  <c r="BW599" i="29"/>
  <c r="CN599" i="29"/>
  <c r="CW599" i="29"/>
  <c r="BX599" i="29"/>
  <c r="CS599" i="29"/>
  <c r="BO599" i="29"/>
  <c r="BP599" i="29"/>
  <c r="DH603" i="29"/>
  <c r="CE603" i="29"/>
  <c r="CP603" i="29"/>
  <c r="BZ603" i="29"/>
  <c r="CJ603" i="29"/>
  <c r="DK603" i="29"/>
  <c r="DJ603" i="29"/>
  <c r="DI603" i="29"/>
  <c r="CL603" i="29"/>
  <c r="DE603" i="29"/>
  <c r="CQ603" i="29"/>
  <c r="CV603" i="29"/>
  <c r="DB603" i="29"/>
  <c r="CZ607" i="29"/>
  <c r="DF607" i="29"/>
  <c r="DH607" i="29"/>
  <c r="BR607" i="29"/>
  <c r="DA607" i="29"/>
  <c r="CV607" i="29"/>
  <c r="CI607" i="29"/>
  <c r="BQ607" i="29"/>
  <c r="DI607" i="29"/>
  <c r="BX607" i="29"/>
  <c r="BV607" i="29"/>
  <c r="DF611" i="29"/>
  <c r="CD611" i="29"/>
  <c r="CU611" i="29"/>
  <c r="CT611" i="29"/>
  <c r="DD611" i="29"/>
  <c r="CB611" i="29"/>
  <c r="BZ611" i="29"/>
  <c r="DA611" i="29"/>
  <c r="CV611" i="29"/>
  <c r="CW611" i="29"/>
  <c r="DB611" i="29"/>
  <c r="BY611" i="29"/>
  <c r="DL611" i="29"/>
  <c r="BX617" i="29"/>
  <c r="BP617" i="29"/>
  <c r="CU617" i="29"/>
  <c r="BQ617" i="29"/>
  <c r="BT617" i="29"/>
  <c r="BY617" i="29"/>
  <c r="CQ617" i="29"/>
  <c r="DI617" i="29"/>
  <c r="CH617" i="29"/>
  <c r="CX617" i="29"/>
  <c r="CY617" i="29"/>
  <c r="BS617" i="29"/>
  <c r="DD621" i="29"/>
  <c r="DA621" i="29"/>
  <c r="DK621" i="29"/>
  <c r="CT621" i="29"/>
  <c r="CN621" i="29"/>
  <c r="BW621" i="29"/>
  <c r="DG621" i="29"/>
  <c r="CO621" i="29"/>
  <c r="CG621" i="29"/>
  <c r="DF621" i="29"/>
  <c r="CI621" i="29"/>
  <c r="CZ621" i="29"/>
  <c r="BR621" i="29"/>
  <c r="CV625" i="29"/>
  <c r="BT625" i="29"/>
  <c r="BX625" i="29"/>
  <c r="DI625" i="29"/>
  <c r="CF625" i="29"/>
  <c r="CD625" i="29"/>
  <c r="CJ625" i="29"/>
  <c r="BS625" i="29"/>
  <c r="BQ625" i="29"/>
  <c r="CE625" i="29"/>
  <c r="DG625" i="29"/>
  <c r="BV625" i="29"/>
  <c r="CZ629" i="29"/>
  <c r="DK629" i="29"/>
  <c r="CS629" i="29"/>
  <c r="CD629" i="29"/>
  <c r="DC629" i="29"/>
  <c r="DL629" i="29"/>
  <c r="CA629" i="29"/>
  <c r="CO629" i="29"/>
  <c r="CK629" i="29"/>
  <c r="DJ629" i="29"/>
  <c r="BZ629" i="29"/>
  <c r="CC629" i="29"/>
  <c r="BP629" i="29"/>
  <c r="CJ633" i="29"/>
  <c r="CO633" i="29"/>
  <c r="BT633" i="29"/>
  <c r="CL633" i="29"/>
  <c r="DA633" i="29"/>
  <c r="BX633" i="29"/>
  <c r="BQ633" i="29"/>
  <c r="CE633" i="29"/>
  <c r="BY633" i="29"/>
  <c r="CA633" i="29"/>
  <c r="DF633" i="29"/>
  <c r="BW633" i="29"/>
  <c r="CQ637" i="29"/>
  <c r="CE637" i="29"/>
  <c r="CD637" i="29"/>
  <c r="CZ637" i="29"/>
  <c r="CJ637" i="29"/>
  <c r="BS637" i="29"/>
  <c r="BZ637" i="29"/>
  <c r="CA637" i="29"/>
  <c r="BV637" i="29"/>
  <c r="BT637" i="29"/>
  <c r="CU637" i="29"/>
  <c r="CT637" i="29"/>
  <c r="CB637" i="29"/>
  <c r="CS641" i="29"/>
  <c r="BQ641" i="29"/>
  <c r="BT641" i="29"/>
  <c r="DE641" i="29"/>
  <c r="CC641" i="29"/>
  <c r="CO641" i="29"/>
  <c r="CN641" i="29"/>
  <c r="BR641" i="29"/>
  <c r="BU641" i="29"/>
  <c r="CD641" i="29"/>
  <c r="DF641" i="29"/>
  <c r="BV641" i="29"/>
  <c r="DJ646" i="29"/>
  <c r="CY646" i="29"/>
  <c r="CC646" i="29"/>
  <c r="CX646" i="29"/>
  <c r="BV646" i="29"/>
  <c r="CM646" i="29"/>
  <c r="CO646" i="29"/>
  <c r="BO646" i="29"/>
  <c r="CT646" i="29"/>
  <c r="DH646" i="29"/>
  <c r="BQ646" i="29"/>
  <c r="BP646" i="29"/>
  <c r="CU646" i="29"/>
  <c r="CP650" i="29"/>
  <c r="BR650" i="29"/>
  <c r="CY650" i="29"/>
  <c r="BP650" i="29"/>
  <c r="BY650" i="29"/>
  <c r="DI650" i="29"/>
  <c r="CU650" i="29"/>
  <c r="DH650" i="29"/>
  <c r="CO650" i="29"/>
  <c r="BT650" i="29"/>
  <c r="BX650" i="29"/>
  <c r="CK650" i="29"/>
  <c r="DK723" i="29"/>
  <c r="BT723" i="29"/>
  <c r="BZ723" i="29"/>
  <c r="DD723" i="29"/>
  <c r="DJ723" i="29"/>
  <c r="DA723" i="29"/>
  <c r="DB723" i="29"/>
  <c r="CS723" i="29"/>
  <c r="DL723" i="29"/>
  <c r="CG723" i="29"/>
  <c r="BQ723" i="29"/>
  <c r="CV723" i="29"/>
  <c r="CO723" i="29"/>
  <c r="DC727" i="29"/>
  <c r="BW727" i="29"/>
  <c r="CQ727" i="29"/>
  <c r="DF727" i="29"/>
  <c r="CH727" i="29"/>
  <c r="DJ727" i="29"/>
  <c r="BP727" i="29"/>
  <c r="CK727" i="29"/>
  <c r="DH727" i="29"/>
  <c r="BY727" i="29"/>
  <c r="BX727" i="29"/>
  <c r="CF727" i="29"/>
  <c r="DI731" i="29"/>
  <c r="CI731" i="29"/>
  <c r="DC731" i="29"/>
  <c r="BW731" i="29"/>
  <c r="BV731" i="29"/>
  <c r="DF731" i="29"/>
  <c r="CP731" i="29"/>
  <c r="DD731" i="29"/>
  <c r="BP731" i="29"/>
  <c r="BQ731" i="29"/>
  <c r="DH731" i="29"/>
  <c r="CJ731" i="29"/>
  <c r="BT731" i="29"/>
  <c r="CX735" i="29"/>
  <c r="BR735" i="29"/>
  <c r="CL735" i="29"/>
  <c r="CI735" i="29"/>
  <c r="CA735" i="29"/>
  <c r="DC735" i="29"/>
  <c r="BT735" i="29"/>
  <c r="CS735" i="29"/>
  <c r="BU735" i="29"/>
  <c r="CG735" i="29"/>
  <c r="CW735" i="29"/>
  <c r="DL735" i="29"/>
  <c r="DI739" i="29"/>
  <c r="CH739" i="29"/>
  <c r="DB739" i="29"/>
  <c r="BV739" i="29"/>
  <c r="CY739" i="29"/>
  <c r="CE739" i="29"/>
  <c r="BO739" i="29"/>
  <c r="DH739" i="29"/>
  <c r="CW739" i="29"/>
  <c r="BY739" i="29"/>
  <c r="DL739" i="29"/>
  <c r="BU739" i="29"/>
  <c r="DD739" i="29"/>
  <c r="CX743" i="29"/>
  <c r="BR743" i="29"/>
  <c r="CL743" i="29"/>
  <c r="CQ743" i="29"/>
  <c r="BS743" i="29"/>
  <c r="BW743" i="29"/>
  <c r="BX743" i="29"/>
  <c r="CK743" i="29"/>
  <c r="CV743" i="29"/>
  <c r="CR743" i="29"/>
  <c r="BY743" i="29"/>
  <c r="CZ743" i="29"/>
  <c r="DI747" i="29"/>
  <c r="CL747" i="29"/>
  <c r="CX747" i="29"/>
  <c r="BR747" i="29"/>
  <c r="DK747" i="29"/>
  <c r="CQ747" i="29"/>
  <c r="CY747" i="29"/>
  <c r="CZ747" i="29"/>
  <c r="CB747" i="29"/>
  <c r="CG747" i="29"/>
  <c r="CS747" i="29"/>
  <c r="BU747" i="29"/>
  <c r="CV747" i="29"/>
  <c r="DB751" i="29"/>
  <c r="BV751" i="29"/>
  <c r="CH751" i="29"/>
  <c r="CE751" i="29"/>
  <c r="CY751" i="29"/>
  <c r="BP751" i="29"/>
  <c r="CC751" i="29"/>
  <c r="DD751" i="29"/>
  <c r="CJ751" i="29"/>
  <c r="CZ751" i="29"/>
  <c r="BY751" i="29"/>
  <c r="DI755" i="29"/>
  <c r="CL755" i="29"/>
  <c r="CX755" i="29"/>
  <c r="BR755" i="29"/>
  <c r="BO755" i="29"/>
  <c r="CY755" i="29"/>
  <c r="DG755" i="29"/>
  <c r="DH755" i="29"/>
  <c r="BT755" i="29"/>
  <c r="CO755" i="29"/>
  <c r="BU755" i="29"/>
  <c r="CK755" i="29"/>
  <c r="CN755" i="29"/>
  <c r="CF759" i="29"/>
  <c r="BV759" i="29"/>
  <c r="BU759" i="29"/>
  <c r="CY759" i="29"/>
  <c r="CD759" i="29"/>
  <c r="DH759" i="29"/>
  <c r="DJ759" i="29"/>
  <c r="BX759" i="29"/>
  <c r="CT759" i="29"/>
  <c r="BO759" i="29"/>
  <c r="CN759" i="29"/>
  <c r="CM759" i="29"/>
  <c r="DI763" i="29"/>
  <c r="CF763" i="29"/>
  <c r="DE763" i="29"/>
  <c r="CC763" i="29"/>
  <c r="BZ763" i="29"/>
  <c r="BT763" i="29"/>
  <c r="BP763" i="29"/>
  <c r="DK763" i="29"/>
  <c r="CG763" i="29"/>
  <c r="BW763" i="29"/>
  <c r="CA763" i="29"/>
  <c r="DH763" i="29"/>
  <c r="CB763" i="29"/>
  <c r="BP767" i="29"/>
  <c r="BV767" i="29"/>
  <c r="CM767" i="29"/>
  <c r="DI767" i="29"/>
  <c r="CF767" i="29"/>
  <c r="BO767" i="29"/>
  <c r="CC767" i="29"/>
  <c r="CZ767" i="29"/>
  <c r="CY767" i="29"/>
  <c r="DH767" i="29"/>
  <c r="CA767" i="29"/>
  <c r="BX767" i="29"/>
  <c r="DL771" i="29"/>
  <c r="CQ771" i="29"/>
  <c r="BV771" i="29"/>
  <c r="CY771" i="29"/>
  <c r="CD771" i="29"/>
  <c r="CS771" i="29"/>
  <c r="CX771" i="29"/>
  <c r="CU771" i="29"/>
  <c r="BO771" i="29"/>
  <c r="DK771" i="29"/>
  <c r="CZ771" i="29"/>
  <c r="CN771" i="29"/>
  <c r="BX771" i="29"/>
  <c r="DE775" i="29"/>
  <c r="CI775" i="29"/>
  <c r="DG775" i="29"/>
  <c r="CL775" i="29"/>
  <c r="BQ775" i="29"/>
  <c r="BZ775" i="29"/>
  <c r="CP775" i="29"/>
  <c r="CC775" i="29"/>
  <c r="DC775" i="29"/>
  <c r="BT775" i="29"/>
  <c r="CR775" i="29"/>
  <c r="CV775" i="29"/>
  <c r="DL779" i="29"/>
  <c r="CQ779" i="29"/>
  <c r="BV779" i="29"/>
  <c r="CY779" i="29"/>
  <c r="CD779" i="29"/>
  <c r="CX779" i="29"/>
  <c r="DC779" i="29"/>
  <c r="DK779" i="29"/>
  <c r="CE779" i="29"/>
  <c r="CU779" i="29"/>
  <c r="CZ779" i="29"/>
  <c r="CB779" i="29"/>
  <c r="DD779" i="29"/>
  <c r="DF783" i="29"/>
  <c r="CK783" i="29"/>
  <c r="BO783" i="29"/>
  <c r="CS783" i="29"/>
  <c r="BW783" i="29"/>
  <c r="CG783" i="29"/>
  <c r="CL783" i="29"/>
  <c r="BY783" i="29"/>
  <c r="CO783" i="29"/>
  <c r="BT783" i="29"/>
  <c r="DD783" i="29"/>
  <c r="DH783" i="29"/>
  <c r="DL787" i="29"/>
  <c r="CT787" i="29"/>
  <c r="CW787" i="29"/>
  <c r="CX787" i="29"/>
  <c r="BV787" i="29"/>
  <c r="CI787" i="29"/>
  <c r="DK787" i="29"/>
  <c r="DA787" i="29"/>
  <c r="CU787" i="29"/>
  <c r="CK787" i="29"/>
  <c r="CZ787" i="29"/>
  <c r="CN787" i="29"/>
  <c r="CR787" i="29"/>
  <c r="CR793" i="29"/>
  <c r="DF793" i="29"/>
  <c r="BU793" i="29"/>
  <c r="CZ793" i="29"/>
  <c r="CK793" i="29"/>
  <c r="CM793" i="29"/>
  <c r="BQ793" i="29"/>
  <c r="CX793" i="29"/>
  <c r="CI793" i="29"/>
  <c r="DH793" i="29"/>
  <c r="DK793" i="29"/>
  <c r="DI793" i="29"/>
  <c r="DF797" i="29"/>
  <c r="BR797" i="29"/>
  <c r="BX797" i="29"/>
  <c r="BY797" i="29"/>
  <c r="CD797" i="29"/>
  <c r="DL797" i="29"/>
  <c r="BS797" i="29"/>
  <c r="DD797" i="29"/>
  <c r="BQ797" i="29"/>
  <c r="CG797" i="29"/>
  <c r="BO797" i="29"/>
  <c r="CM797" i="29"/>
  <c r="CT797" i="29"/>
  <c r="DF801" i="29"/>
  <c r="CK801" i="29"/>
  <c r="BO801" i="29"/>
  <c r="CS801" i="29"/>
  <c r="BW801" i="29"/>
  <c r="CI801" i="29"/>
  <c r="CO801" i="29"/>
  <c r="CA801" i="29"/>
  <c r="CG801" i="29"/>
  <c r="BP801" i="29"/>
  <c r="CN801" i="29"/>
  <c r="CZ801" i="29"/>
  <c r="DL805" i="29"/>
  <c r="CS805" i="29"/>
  <c r="BW805" i="29"/>
  <c r="DA805" i="29"/>
  <c r="CE805" i="29"/>
  <c r="DG805" i="29"/>
  <c r="BQ805" i="29"/>
  <c r="BV805" i="29"/>
  <c r="CO805" i="29"/>
  <c r="BY805" i="29"/>
  <c r="CV805" i="29"/>
  <c r="BT805" i="29"/>
  <c r="CB805" i="29"/>
  <c r="DF809" i="29"/>
  <c r="CK809" i="29"/>
  <c r="BO809" i="29"/>
  <c r="CS809" i="29"/>
  <c r="BW809" i="29"/>
  <c r="CO809" i="29"/>
  <c r="CT809" i="29"/>
  <c r="BV809" i="29"/>
  <c r="CW809" i="29"/>
  <c r="BP809" i="29"/>
  <c r="CN809" i="29"/>
  <c r="CJ809" i="29"/>
  <c r="DL813" i="29"/>
  <c r="CQ813" i="29"/>
  <c r="BV813" i="29"/>
  <c r="CY813" i="29"/>
  <c r="CD813" i="29"/>
  <c r="DA813" i="29"/>
  <c r="DF813" i="29"/>
  <c r="BO813" i="29"/>
  <c r="BW813" i="29"/>
  <c r="CX813" i="29"/>
  <c r="CV813" i="29"/>
  <c r="CJ813" i="29"/>
  <c r="DH813" i="29"/>
  <c r="DE817" i="29"/>
  <c r="CI817" i="29"/>
  <c r="DI817" i="29"/>
  <c r="CM817" i="29"/>
  <c r="BR817" i="29"/>
  <c r="CE817" i="29"/>
  <c r="CK817" i="29"/>
  <c r="CL817" i="29"/>
  <c r="CQ817" i="29"/>
  <c r="BP817" i="29"/>
  <c r="CN817" i="29"/>
  <c r="CJ817" i="29"/>
  <c r="DA822" i="29"/>
  <c r="CZ822" i="29"/>
  <c r="DH822" i="29"/>
  <c r="CU822" i="29"/>
  <c r="CJ822" i="29"/>
  <c r="BZ822" i="29"/>
  <c r="CR822" i="29"/>
  <c r="BR822" i="29"/>
  <c r="DE822" i="29"/>
  <c r="CW822" i="29"/>
  <c r="CB822" i="29"/>
  <c r="DL822" i="29"/>
  <c r="CD822" i="29"/>
  <c r="CL826" i="29"/>
  <c r="BT826" i="29"/>
  <c r="CT826" i="29"/>
  <c r="CW826" i="29"/>
  <c r="CI826" i="29"/>
  <c r="CV826" i="29"/>
  <c r="DG826" i="29"/>
  <c r="CX826" i="29"/>
  <c r="BO826" i="29"/>
  <c r="CE826" i="29"/>
  <c r="DC826" i="29"/>
  <c r="BX826" i="29"/>
  <c r="DK899" i="29"/>
  <c r="DF899" i="29"/>
  <c r="DL899" i="29"/>
  <c r="CM899" i="29"/>
  <c r="CX899" i="29"/>
  <c r="CG899" i="29"/>
  <c r="CU899" i="29"/>
  <c r="CW899" i="29"/>
  <c r="CD899" i="29"/>
  <c r="CQ899" i="29"/>
  <c r="BQ899" i="29"/>
  <c r="CI899" i="29"/>
  <c r="BS899" i="29"/>
  <c r="DI903" i="29"/>
  <c r="CF903" i="29"/>
  <c r="BO903" i="29"/>
  <c r="CW903" i="29"/>
  <c r="BX903" i="29"/>
  <c r="BW903" i="29"/>
  <c r="BZ903" i="29"/>
  <c r="CI903" i="29"/>
  <c r="DA903" i="29"/>
  <c r="BP903" i="29"/>
  <c r="CQ903" i="29"/>
  <c r="DH903" i="29"/>
  <c r="DE907" i="29"/>
  <c r="DL907" i="29"/>
  <c r="BU907" i="29"/>
  <c r="CO907" i="29"/>
  <c r="CK907" i="29"/>
  <c r="CU907" i="29"/>
  <c r="DB907" i="29"/>
  <c r="CM907" i="29"/>
  <c r="CH907" i="29"/>
  <c r="DH907" i="29"/>
  <c r="CL907" i="29"/>
  <c r="CN907" i="29"/>
  <c r="BS907" i="29"/>
  <c r="CI911" i="29"/>
  <c r="CC911" i="29"/>
  <c r="DJ911" i="29"/>
  <c r="CQ911" i="29"/>
  <c r="CS911" i="29"/>
  <c r="CF911" i="29"/>
  <c r="DI911" i="29"/>
  <c r="BX911" i="29"/>
  <c r="CL911" i="29"/>
  <c r="DD911" i="29"/>
  <c r="CX911" i="29"/>
  <c r="DE911" i="29"/>
  <c r="DL915" i="29"/>
  <c r="CQ915" i="29"/>
  <c r="BV915" i="29"/>
  <c r="DA915" i="29"/>
  <c r="CE915" i="29"/>
  <c r="DE915" i="29"/>
  <c r="DJ915" i="29"/>
  <c r="BS915" i="29"/>
  <c r="CX915" i="29"/>
  <c r="CS915" i="29"/>
  <c r="DH915" i="29"/>
  <c r="BP915" i="29"/>
  <c r="BX915" i="29"/>
  <c r="DC919" i="29"/>
  <c r="CH919" i="29"/>
  <c r="DG919" i="29"/>
  <c r="CL919" i="29"/>
  <c r="BQ919" i="29"/>
  <c r="CE919" i="29"/>
  <c r="CK919" i="29"/>
  <c r="BY919" i="29"/>
  <c r="BS919" i="29"/>
  <c r="CB919" i="29"/>
  <c r="CJ919" i="29"/>
  <c r="CV919" i="29"/>
  <c r="DL923" i="29"/>
  <c r="CQ923" i="29"/>
  <c r="CY923" i="29"/>
  <c r="BY923" i="29"/>
  <c r="CX923" i="29"/>
  <c r="BW923" i="29"/>
  <c r="CA923" i="29"/>
  <c r="CH923" i="29"/>
  <c r="CT923" i="29"/>
  <c r="CM923" i="29"/>
  <c r="DH923" i="29"/>
  <c r="BP923" i="29"/>
  <c r="DD923" i="29"/>
  <c r="DF927" i="29"/>
  <c r="CK927" i="29"/>
  <c r="BO927" i="29"/>
  <c r="CT927" i="29"/>
  <c r="BY927" i="29"/>
  <c r="CG927" i="29"/>
  <c r="CM927" i="29"/>
  <c r="CA927" i="29"/>
  <c r="CH927" i="29"/>
  <c r="CB927" i="29"/>
  <c r="CJ927" i="29"/>
  <c r="CV927" i="29"/>
  <c r="DL931" i="29"/>
  <c r="CQ931" i="29"/>
  <c r="BV931" i="29"/>
  <c r="DA931" i="29"/>
  <c r="CE931" i="29"/>
  <c r="DI931" i="29"/>
  <c r="BR931" i="29"/>
  <c r="BY931" i="29"/>
  <c r="CH931" i="29"/>
  <c r="DJ931" i="29"/>
  <c r="DH931" i="29"/>
  <c r="BP931" i="29"/>
  <c r="BX931" i="29"/>
  <c r="DC935" i="29"/>
  <c r="CH935" i="29"/>
  <c r="DG935" i="29"/>
  <c r="CL935" i="29"/>
  <c r="BQ935" i="29"/>
  <c r="BY935" i="29"/>
  <c r="CE935" i="29"/>
  <c r="BS935" i="29"/>
  <c r="BZ935" i="29"/>
  <c r="CB935" i="29"/>
  <c r="CJ935" i="29"/>
  <c r="CV935" i="29"/>
  <c r="DL939" i="29"/>
  <c r="CQ939" i="29"/>
  <c r="BV939" i="29"/>
  <c r="CU939" i="29"/>
  <c r="BZ939" i="29"/>
  <c r="CO939" i="29"/>
  <c r="CX939" i="29"/>
  <c r="CS939" i="29"/>
  <c r="BQ939" i="29"/>
  <c r="BY939" i="29"/>
  <c r="DH939" i="29"/>
  <c r="BP939" i="29"/>
  <c r="DD939" i="29"/>
  <c r="DC943" i="29"/>
  <c r="DG943" i="29"/>
  <c r="CL943" i="29"/>
  <c r="BQ943" i="29"/>
  <c r="CE943" i="29"/>
  <c r="CO943" i="29"/>
  <c r="BY943" i="29"/>
  <c r="CI943" i="29"/>
  <c r="CB943" i="29"/>
  <c r="CJ943" i="29"/>
  <c r="CV943" i="29"/>
  <c r="DL947" i="29"/>
  <c r="CT947" i="29"/>
  <c r="BY947" i="29"/>
  <c r="CX947" i="29"/>
  <c r="CC947" i="29"/>
  <c r="CW947" i="29"/>
  <c r="DF947" i="29"/>
  <c r="BO947" i="29"/>
  <c r="DB947" i="29"/>
  <c r="BV947" i="29"/>
  <c r="DH947" i="29"/>
  <c r="BP947" i="29"/>
  <c r="BX947" i="29"/>
  <c r="DF951" i="29"/>
  <c r="CK951" i="29"/>
  <c r="BO951" i="29"/>
  <c r="CT951" i="29"/>
  <c r="BY951" i="29"/>
  <c r="CM951" i="29"/>
  <c r="CW951" i="29"/>
  <c r="CQ951" i="29"/>
  <c r="CG951" i="29"/>
  <c r="CB951" i="29"/>
  <c r="CJ951" i="29"/>
  <c r="CV951" i="29"/>
  <c r="DL955" i="29"/>
  <c r="CQ955" i="29"/>
  <c r="BV955" i="29"/>
  <c r="DA955" i="29"/>
  <c r="CE955" i="29"/>
  <c r="DE955" i="29"/>
  <c r="DC955" i="29"/>
  <c r="DI955" i="29"/>
  <c r="CD955" i="29"/>
  <c r="DJ955" i="29"/>
  <c r="DH955" i="29"/>
  <c r="BP955" i="29"/>
  <c r="DD955" i="29"/>
  <c r="DF959" i="29"/>
  <c r="CK959" i="29"/>
  <c r="CS959" i="29"/>
  <c r="CH959" i="29"/>
  <c r="CG959" i="29"/>
  <c r="DE959" i="29"/>
  <c r="BS959" i="29"/>
  <c r="CI959" i="29"/>
  <c r="CD959" i="29"/>
  <c r="CB959" i="29"/>
  <c r="CJ959" i="29"/>
  <c r="CV959" i="29"/>
  <c r="DK965" i="29"/>
  <c r="CI965" i="29"/>
  <c r="CZ965" i="29"/>
  <c r="BX965" i="29"/>
  <c r="CC965" i="29"/>
  <c r="BW965" i="29"/>
  <c r="CG965" i="29"/>
  <c r="DF965" i="29"/>
  <c r="CQ965" i="29"/>
  <c r="BR965" i="29"/>
  <c r="BV965" i="29"/>
  <c r="CT965" i="29"/>
  <c r="CK965" i="29"/>
  <c r="CU969" i="29"/>
  <c r="DH969" i="29"/>
  <c r="BU969" i="29"/>
  <c r="BT969" i="29"/>
  <c r="DE969" i="29"/>
  <c r="DF969" i="29"/>
  <c r="CI969" i="29"/>
  <c r="CH969" i="29"/>
  <c r="CE969" i="29"/>
  <c r="BW969" i="29"/>
  <c r="CZ969" i="29"/>
  <c r="CN969" i="29"/>
  <c r="DE973" i="29"/>
  <c r="CC973" i="29"/>
  <c r="DC973" i="29"/>
  <c r="BY973" i="29"/>
  <c r="CB973" i="29"/>
  <c r="CS973" i="29"/>
  <c r="CE973" i="29"/>
  <c r="DF973" i="29"/>
  <c r="CQ973" i="29"/>
  <c r="BR973" i="29"/>
  <c r="CA973" i="29"/>
  <c r="CD973" i="29"/>
  <c r="DG973" i="29"/>
  <c r="BW977" i="29"/>
  <c r="BP977" i="29"/>
  <c r="CA977" i="29"/>
  <c r="DF977" i="29"/>
  <c r="CI977" i="29"/>
  <c r="CM977" i="29"/>
  <c r="CS977" i="29"/>
  <c r="BQ977" i="29"/>
  <c r="DE977" i="29"/>
  <c r="CC977" i="29"/>
  <c r="CN977" i="29"/>
  <c r="DI977" i="29"/>
  <c r="DL981" i="29"/>
  <c r="CF981" i="29"/>
  <c r="CV981" i="29"/>
  <c r="CA981" i="29"/>
  <c r="DH981" i="29"/>
  <c r="CY981" i="29"/>
  <c r="CL981" i="29"/>
  <c r="CC981" i="29"/>
  <c r="CP981" i="29"/>
  <c r="DF981" i="29"/>
  <c r="BO981" i="29"/>
  <c r="BU981" i="29"/>
  <c r="DA981" i="29"/>
  <c r="CS985" i="29"/>
  <c r="CY985" i="29"/>
  <c r="CR985" i="29"/>
  <c r="CM985" i="29"/>
  <c r="BQ985" i="29"/>
  <c r="CX985" i="29"/>
  <c r="DA985" i="29"/>
  <c r="CP985" i="29"/>
  <c r="DL985" i="29"/>
  <c r="CK985" i="29"/>
  <c r="DG985" i="29"/>
  <c r="CV985" i="29"/>
  <c r="CO989" i="29"/>
  <c r="CL989" i="29"/>
  <c r="DC989" i="29"/>
  <c r="BY989" i="29"/>
  <c r="CT989" i="29"/>
  <c r="BS989" i="29"/>
  <c r="CU989" i="29"/>
  <c r="BR989" i="29"/>
  <c r="CA989" i="29"/>
  <c r="DA989" i="29"/>
  <c r="CJ989" i="29"/>
  <c r="DF989" i="29"/>
  <c r="CM989" i="29"/>
  <c r="DC994" i="29"/>
  <c r="CH994" i="29"/>
  <c r="DK994" i="29"/>
  <c r="CP994" i="29"/>
  <c r="BU994" i="29"/>
  <c r="CI994" i="29"/>
  <c r="CO994" i="29"/>
  <c r="BV994" i="29"/>
  <c r="DG994" i="29"/>
  <c r="CB994" i="29"/>
  <c r="CJ994" i="29"/>
  <c r="CV994" i="29"/>
  <c r="DH998" i="29"/>
  <c r="BS998" i="29"/>
  <c r="BW998" i="29"/>
  <c r="CZ998" i="29"/>
  <c r="CJ998" i="29"/>
  <c r="CH998" i="29"/>
  <c r="BQ998" i="29"/>
  <c r="BZ998" i="29"/>
  <c r="BX998" i="29"/>
  <c r="CS998" i="29"/>
  <c r="CC998" i="29"/>
  <c r="DB998" i="29"/>
  <c r="DA998" i="29"/>
  <c r="CJ380" i="29"/>
  <c r="BZ380" i="29"/>
  <c r="CE380" i="29"/>
  <c r="CG380" i="29"/>
  <c r="CM380" i="29"/>
  <c r="DE380" i="29"/>
  <c r="DB380" i="29"/>
  <c r="DJ380" i="29"/>
  <c r="CS380" i="29"/>
  <c r="CC380" i="29"/>
  <c r="BU380" i="29"/>
  <c r="DA380" i="29"/>
  <c r="CU388" i="29"/>
  <c r="CJ388" i="29"/>
  <c r="DK388" i="29"/>
  <c r="BY388" i="29"/>
  <c r="DH388" i="29"/>
  <c r="CG388" i="29"/>
  <c r="BP388" i="29"/>
  <c r="CI388" i="29"/>
  <c r="CM388" i="29"/>
  <c r="CD388" i="29"/>
  <c r="CC388" i="29"/>
  <c r="DI388" i="29"/>
  <c r="BS388" i="29"/>
  <c r="CJ396" i="29"/>
  <c r="CU396" i="29"/>
  <c r="BT396" i="29"/>
  <c r="DE396" i="29"/>
  <c r="DG396" i="29"/>
  <c r="BP396" i="29"/>
  <c r="CG396" i="29"/>
  <c r="CY396" i="29"/>
  <c r="BV396" i="29"/>
  <c r="CT396" i="29"/>
  <c r="BW396" i="29"/>
  <c r="CR396" i="29"/>
  <c r="CU404" i="29"/>
  <c r="BT404" i="29"/>
  <c r="CZ404" i="29"/>
  <c r="BU404" i="29"/>
  <c r="CM404" i="29"/>
  <c r="DD404" i="29"/>
  <c r="BV404" i="29"/>
  <c r="BX404" i="29"/>
  <c r="DC404" i="29"/>
  <c r="CH404" i="29"/>
  <c r="CR404" i="29"/>
  <c r="BQ404" i="29"/>
  <c r="BW404" i="29"/>
  <c r="CE412" i="29"/>
  <c r="CJ412" i="29"/>
  <c r="CU412" i="29"/>
  <c r="CG412" i="29"/>
  <c r="CD412" i="29"/>
  <c r="DE412" i="29"/>
  <c r="CQ412" i="29"/>
  <c r="DJ412" i="29"/>
  <c r="CV412" i="29"/>
  <c r="BR412" i="29"/>
  <c r="CM412" i="29"/>
  <c r="CX412" i="29"/>
  <c r="DF416" i="29"/>
  <c r="CD416" i="29"/>
  <c r="DD416" i="29"/>
  <c r="BZ416" i="29"/>
  <c r="BY416" i="29"/>
  <c r="BU416" i="29"/>
  <c r="BR416" i="29"/>
  <c r="DG416" i="29"/>
  <c r="CL416" i="29"/>
  <c r="BS416" i="29"/>
  <c r="BW416" i="29"/>
  <c r="DB416" i="29"/>
  <c r="CE416" i="29"/>
  <c r="CX424" i="29"/>
  <c r="BU424" i="29"/>
  <c r="CN424" i="29"/>
  <c r="DF424" i="29"/>
  <c r="DD424" i="29"/>
  <c r="CK424" i="29"/>
  <c r="CH424" i="29"/>
  <c r="CA424" i="29"/>
  <c r="CY424" i="29"/>
  <c r="CW424" i="29"/>
  <c r="CE424" i="29"/>
  <c r="CR424" i="29"/>
  <c r="DF432" i="29"/>
  <c r="CD432" i="29"/>
  <c r="DD432" i="29"/>
  <c r="BZ432" i="29"/>
  <c r="CF432" i="29"/>
  <c r="CC432" i="29"/>
  <c r="DL432" i="29"/>
  <c r="DK432" i="29"/>
  <c r="CG432" i="29"/>
  <c r="BW432" i="29"/>
  <c r="CA432" i="29"/>
  <c r="CW432" i="29"/>
  <c r="CI432" i="29"/>
  <c r="CR442" i="29"/>
  <c r="BO442" i="29"/>
  <c r="CN442" i="29"/>
  <c r="DH442" i="29"/>
  <c r="DD442" i="29"/>
  <c r="CM442" i="29"/>
  <c r="CI442" i="29"/>
  <c r="BZ442" i="29"/>
  <c r="CX442" i="29"/>
  <c r="DA442" i="29"/>
  <c r="CT442" i="29"/>
  <c r="CA442" i="29"/>
  <c r="DE450" i="29"/>
  <c r="CC450" i="29"/>
  <c r="DC450" i="29"/>
  <c r="BY450" i="29"/>
  <c r="BX450" i="29"/>
  <c r="BT450" i="29"/>
  <c r="BQ450" i="29"/>
  <c r="DB450" i="29"/>
  <c r="CV450" i="29"/>
  <c r="BP450" i="29"/>
  <c r="CF450" i="29"/>
  <c r="CX450" i="29"/>
  <c r="BU450" i="29"/>
  <c r="CU458" i="29"/>
  <c r="BS458" i="29"/>
  <c r="CJ458" i="29"/>
  <c r="DK458" i="29"/>
  <c r="DH458" i="29"/>
  <c r="DD458" i="29"/>
  <c r="BV458" i="29"/>
  <c r="CT458" i="29"/>
  <c r="DG458" i="29"/>
  <c r="CP458" i="29"/>
  <c r="CF458" i="29"/>
  <c r="DG462" i="29"/>
  <c r="DA462" i="29"/>
  <c r="CG462" i="29"/>
  <c r="CT462" i="29"/>
  <c r="BT462" i="29"/>
  <c r="CK462" i="29"/>
  <c r="CZ462" i="29"/>
  <c r="BS462" i="29"/>
  <c r="CJ462" i="29"/>
  <c r="BR462" i="29"/>
  <c r="CA462" i="29"/>
  <c r="BX462" i="29"/>
  <c r="DD462" i="29"/>
  <c r="DA471" i="29"/>
  <c r="DF471" i="29"/>
  <c r="DI471" i="29"/>
  <c r="CC471" i="29"/>
  <c r="DB471" i="29"/>
  <c r="BW471" i="29"/>
  <c r="CR471" i="29"/>
  <c r="CE471" i="29"/>
  <c r="CJ471" i="29"/>
  <c r="DG471" i="29"/>
  <c r="BX471" i="29"/>
  <c r="CF471" i="29"/>
  <c r="DK475" i="29"/>
  <c r="CQ475" i="29"/>
  <c r="DG475" i="29"/>
  <c r="CI475" i="29"/>
  <c r="CH475" i="29"/>
  <c r="BQ475" i="29"/>
  <c r="CP475" i="29"/>
  <c r="BY475" i="29"/>
  <c r="CT475" i="29"/>
  <c r="CU475" i="29"/>
  <c r="DL475" i="29"/>
  <c r="BP475" i="29"/>
  <c r="CK475" i="29"/>
  <c r="CX200" i="29"/>
  <c r="BR200" i="29"/>
  <c r="CL200" i="29"/>
  <c r="CM200" i="29"/>
  <c r="CE200" i="29"/>
  <c r="CY200" i="29"/>
  <c r="BT200" i="29"/>
  <c r="CR200" i="29"/>
  <c r="CK200" i="29"/>
  <c r="CC200" i="29"/>
  <c r="BP200" i="29"/>
  <c r="BY200" i="29"/>
  <c r="DE208" i="29"/>
  <c r="DJ208" i="29"/>
  <c r="BS208" i="29"/>
  <c r="DA208" i="29"/>
  <c r="BZ208" i="29"/>
  <c r="CQ208" i="29"/>
  <c r="CW208" i="29"/>
  <c r="CR208" i="29"/>
  <c r="DC208" i="29"/>
  <c r="CL208" i="29"/>
  <c r="CN208" i="29"/>
  <c r="CF208" i="29"/>
  <c r="BP208" i="29"/>
  <c r="CP216" i="29"/>
  <c r="BR216" i="29"/>
  <c r="BO216" i="29"/>
  <c r="BS216" i="29"/>
  <c r="DA216" i="29"/>
  <c r="DJ216" i="29"/>
  <c r="DG216" i="29"/>
  <c r="CT216" i="29"/>
  <c r="CO216" i="29"/>
  <c r="CW216" i="29"/>
  <c r="CG216" i="29"/>
  <c r="DE216" i="29"/>
  <c r="DL220" i="29"/>
  <c r="DF220" i="29"/>
  <c r="BO220" i="29"/>
  <c r="CM220" i="29"/>
  <c r="CY220" i="29"/>
  <c r="BU220" i="29"/>
  <c r="CZ220" i="29"/>
  <c r="CD220" i="29"/>
  <c r="DH220" i="29"/>
  <c r="BP220" i="29"/>
  <c r="CF220" i="29"/>
  <c r="DG220" i="29"/>
  <c r="CW220" i="29"/>
  <c r="CP228" i="29"/>
  <c r="BR228" i="29"/>
  <c r="BO228" i="29"/>
  <c r="CA228" i="29"/>
  <c r="DE228" i="29"/>
  <c r="CB228" i="29"/>
  <c r="CS228" i="29"/>
  <c r="BT228" i="29"/>
  <c r="DI228" i="29"/>
  <c r="CG228" i="29"/>
  <c r="BQ228" i="29"/>
  <c r="DA228" i="29"/>
  <c r="DL236" i="29"/>
  <c r="DF236" i="29"/>
  <c r="CE236" i="29"/>
  <c r="BW236" i="29"/>
  <c r="CI236" i="29"/>
  <c r="CA236" i="29"/>
  <c r="BT236" i="29"/>
  <c r="DE236" i="29"/>
  <c r="CB236" i="29"/>
  <c r="DA236" i="29"/>
  <c r="BP236" i="29"/>
  <c r="BX236" i="29"/>
  <c r="BV236" i="29"/>
  <c r="BW244" i="29"/>
  <c r="CN244" i="29"/>
  <c r="DB244" i="29"/>
  <c r="CE244" i="29"/>
  <c r="CX244" i="29"/>
  <c r="CP244" i="29"/>
  <c r="CH244" i="29"/>
  <c r="CI244" i="29"/>
  <c r="BV244" i="29"/>
  <c r="CA244" i="29"/>
  <c r="DJ244" i="29"/>
  <c r="DA244" i="29"/>
  <c r="CO252" i="29"/>
  <c r="BZ252" i="29"/>
  <c r="BQ252" i="29"/>
  <c r="BO252" i="29"/>
  <c r="BP252" i="29"/>
  <c r="BV252" i="29"/>
  <c r="BW252" i="29"/>
  <c r="CN252" i="29"/>
  <c r="DG252" i="29"/>
  <c r="BR252" i="29"/>
  <c r="CI252" i="29"/>
  <c r="CQ252" i="29"/>
  <c r="CY252" i="29"/>
  <c r="DL260" i="29"/>
  <c r="CW260" i="29"/>
  <c r="BR260" i="29"/>
  <c r="CT260" i="29"/>
  <c r="CM260" i="29"/>
  <c r="CE260" i="29"/>
  <c r="CB260" i="29"/>
  <c r="DI260" i="29"/>
  <c r="CF260" i="29"/>
  <c r="BP260" i="29"/>
  <c r="DG260" i="29"/>
  <c r="CK260" i="29"/>
  <c r="DC266" i="29"/>
  <c r="CW266" i="29"/>
  <c r="CI266" i="29"/>
  <c r="BU266" i="29"/>
  <c r="CP266" i="29"/>
  <c r="CV266" i="29"/>
  <c r="DG266" i="29"/>
  <c r="BX266" i="29"/>
  <c r="CK266" i="29"/>
  <c r="CY266" i="29"/>
  <c r="CA266" i="29"/>
  <c r="DJ266" i="29"/>
  <c r="BO266" i="29"/>
  <c r="DC274" i="29"/>
  <c r="CT274" i="29"/>
  <c r="CC274" i="29"/>
  <c r="CU274" i="29"/>
  <c r="DD274" i="29"/>
  <c r="DB274" i="29"/>
  <c r="DL274" i="29"/>
  <c r="BY274" i="29"/>
  <c r="DE274" i="29"/>
  <c r="CZ274" i="29"/>
  <c r="CK274" i="29"/>
  <c r="CE274" i="29"/>
  <c r="CC282" i="29"/>
  <c r="BU282" i="29"/>
  <c r="CK282" i="29"/>
  <c r="CE282" i="29"/>
  <c r="CJ282" i="29"/>
  <c r="BQ282" i="29"/>
  <c r="BW282" i="29"/>
  <c r="CR282" i="29"/>
  <c r="BZ282" i="29"/>
  <c r="BP282" i="29"/>
  <c r="CN282" i="29"/>
  <c r="DG282" i="29"/>
  <c r="CA282" i="29"/>
  <c r="DA290" i="29"/>
  <c r="BU290" i="29"/>
  <c r="CW290" i="29"/>
  <c r="BS290" i="29"/>
  <c r="DC290" i="29"/>
  <c r="DD290" i="29"/>
  <c r="CM290" i="29"/>
  <c r="CF290" i="29"/>
  <c r="DI290" i="29"/>
  <c r="DG290" i="29"/>
  <c r="CJ290" i="29"/>
  <c r="CH290" i="29"/>
  <c r="CJ295" i="29"/>
  <c r="CP295" i="29"/>
  <c r="CT295" i="29"/>
  <c r="DF295" i="29"/>
  <c r="CD295" i="29"/>
  <c r="CF295" i="29"/>
  <c r="CE295" i="29"/>
  <c r="CO295" i="29"/>
  <c r="DL295" i="29"/>
  <c r="DA295" i="29"/>
  <c r="CL295" i="29"/>
  <c r="CU295" i="29"/>
  <c r="CS295" i="29"/>
  <c r="BR554" i="29"/>
  <c r="CW554" i="29"/>
  <c r="CO554" i="29"/>
  <c r="DL554" i="29"/>
  <c r="BV554" i="29"/>
  <c r="DI554" i="29"/>
  <c r="CT554" i="29"/>
  <c r="DG554" i="29"/>
  <c r="CY554" i="29"/>
  <c r="BZ554" i="29"/>
  <c r="CI554" i="29"/>
  <c r="CA554" i="29"/>
  <c r="CW562" i="29"/>
  <c r="CR562" i="29"/>
  <c r="CG562" i="29"/>
  <c r="BY562" i="29"/>
  <c r="CX562" i="29"/>
  <c r="BP562" i="29"/>
  <c r="BR562" i="29"/>
  <c r="BW562" i="29"/>
  <c r="DK562" i="29"/>
  <c r="CS562" i="29"/>
  <c r="BT562" i="29"/>
  <c r="CN562" i="29"/>
  <c r="CP562" i="29"/>
  <c r="CU570" i="29"/>
  <c r="CY570" i="29"/>
  <c r="CC570" i="29"/>
  <c r="DL570" i="29"/>
  <c r="CP570" i="29"/>
  <c r="BP570" i="29"/>
  <c r="BR570" i="29"/>
  <c r="DJ570" i="29"/>
  <c r="CO570" i="29"/>
  <c r="CW570" i="29"/>
  <c r="CV570" i="29"/>
  <c r="CA570" i="29"/>
  <c r="CX574" i="29"/>
  <c r="BY574" i="29"/>
  <c r="BS574" i="29"/>
  <c r="CS574" i="29"/>
  <c r="CK574" i="29"/>
  <c r="DB574" i="29"/>
  <c r="CA574" i="29"/>
  <c r="DJ574" i="29"/>
  <c r="CO574" i="29"/>
  <c r="CN574" i="29"/>
  <c r="DE574" i="29"/>
  <c r="BX574" i="29"/>
  <c r="DC574" i="29"/>
  <c r="CW582" i="29"/>
  <c r="DC582" i="29"/>
  <c r="DD582" i="29"/>
  <c r="CR582" i="29"/>
  <c r="BS582" i="29"/>
  <c r="CL582" i="29"/>
  <c r="CO582" i="29"/>
  <c r="BO582" i="29"/>
  <c r="CH582" i="29"/>
  <c r="BT582" i="29"/>
  <c r="CU582" i="29"/>
  <c r="DL582" i="29"/>
  <c r="DG590" i="29"/>
  <c r="DA590" i="29"/>
  <c r="CC590" i="29"/>
  <c r="BZ590" i="29"/>
  <c r="CQ590" i="29"/>
  <c r="CX590" i="29"/>
  <c r="BS590" i="29"/>
  <c r="BU590" i="29"/>
  <c r="BV590" i="29"/>
  <c r="CI590" i="29"/>
  <c r="CH590" i="29"/>
  <c r="DH590" i="29"/>
  <c r="CW590" i="29"/>
  <c r="BQ598" i="29"/>
  <c r="CF598" i="29"/>
  <c r="BZ598" i="29"/>
  <c r="CK598" i="29"/>
  <c r="CN598" i="29"/>
  <c r="BW598" i="29"/>
  <c r="CL598" i="29"/>
  <c r="DG598" i="29"/>
  <c r="CV598" i="29"/>
  <c r="CW598" i="29"/>
  <c r="CO598" i="29"/>
  <c r="CD598" i="29"/>
  <c r="DD606" i="29"/>
  <c r="CI606" i="29"/>
  <c r="CK606" i="29"/>
  <c r="DG606" i="29"/>
  <c r="BZ606" i="29"/>
  <c r="CO606" i="29"/>
  <c r="BR606" i="29"/>
  <c r="DB606" i="29"/>
  <c r="CB606" i="29"/>
  <c r="CY606" i="29"/>
  <c r="BS606" i="29"/>
  <c r="BQ606" i="29"/>
  <c r="BY606" i="29"/>
  <c r="CQ610" i="29"/>
  <c r="DD610" i="29"/>
  <c r="BP610" i="29"/>
  <c r="DK610" i="29"/>
  <c r="CB610" i="29"/>
  <c r="CZ610" i="29"/>
  <c r="DF610" i="29"/>
  <c r="CJ610" i="29"/>
  <c r="CN610" i="29"/>
  <c r="CM610" i="29"/>
  <c r="BY610" i="29"/>
  <c r="BR610" i="29"/>
  <c r="DL620" i="29"/>
  <c r="CU620" i="29"/>
  <c r="BZ620" i="29"/>
  <c r="CX620" i="29"/>
  <c r="DB620" i="29"/>
  <c r="DJ620" i="29"/>
  <c r="CO620" i="29"/>
  <c r="BS620" i="29"/>
  <c r="BW620" i="29"/>
  <c r="CA620" i="29"/>
  <c r="CZ620" i="29"/>
  <c r="DD620" i="29"/>
  <c r="BP620" i="29"/>
  <c r="DC628" i="29"/>
  <c r="CH628" i="29"/>
  <c r="DA628" i="29"/>
  <c r="DJ628" i="29"/>
  <c r="BY628" i="29"/>
  <c r="CQ628" i="29"/>
  <c r="BV628" i="29"/>
  <c r="CU628" i="29"/>
  <c r="CY628" i="29"/>
  <c r="BT628" i="29"/>
  <c r="BX628" i="29"/>
  <c r="DH628" i="29"/>
  <c r="DL636" i="29"/>
  <c r="CT636" i="29"/>
  <c r="BY636" i="29"/>
  <c r="CL636" i="29"/>
  <c r="DF636" i="29"/>
  <c r="BU636" i="29"/>
  <c r="CS636" i="29"/>
  <c r="BW636" i="29"/>
  <c r="CG636" i="29"/>
  <c r="BZ636" i="29"/>
  <c r="CZ636" i="29"/>
  <c r="DD636" i="29"/>
  <c r="BP636" i="29"/>
  <c r="CR645" i="29"/>
  <c r="BQ645" i="29"/>
  <c r="DK645" i="29"/>
  <c r="BT645" i="29"/>
  <c r="CU645" i="29"/>
  <c r="DF645" i="29"/>
  <c r="CQ645" i="29"/>
  <c r="BR645" i="29"/>
  <c r="DB645" i="29"/>
  <c r="CV645" i="29"/>
  <c r="DJ645" i="29"/>
  <c r="CD645" i="29"/>
  <c r="DJ378" i="29"/>
  <c r="CM378" i="29"/>
  <c r="DD378" i="29"/>
  <c r="BR378" i="29"/>
  <c r="CU378" i="29"/>
  <c r="DB378" i="29"/>
  <c r="CK378" i="29"/>
  <c r="CA378" i="29"/>
  <c r="BQ378" i="29"/>
  <c r="CQ378" i="29"/>
  <c r="CI378" i="29"/>
  <c r="BS378" i="29"/>
  <c r="BU378" i="29"/>
  <c r="DC386" i="29"/>
  <c r="CR386" i="29"/>
  <c r="CP386" i="29"/>
  <c r="CD386" i="29"/>
  <c r="BO386" i="29"/>
  <c r="BT386" i="29"/>
  <c r="CQ386" i="29"/>
  <c r="CH386" i="29"/>
  <c r="CV386" i="29"/>
  <c r="CB386" i="29"/>
  <c r="CI386" i="29"/>
  <c r="CA386" i="29"/>
  <c r="DE398" i="29"/>
  <c r="DA398" i="29"/>
  <c r="CO398" i="29"/>
  <c r="CV398" i="29"/>
  <c r="DL398" i="29"/>
  <c r="CU398" i="29"/>
  <c r="DB398" i="29"/>
  <c r="CM398" i="29"/>
  <c r="BX398" i="29"/>
  <c r="CW398" i="29"/>
  <c r="DG398" i="29"/>
  <c r="CB398" i="29"/>
  <c r="CL398" i="29"/>
  <c r="CK406" i="29"/>
  <c r="DA406" i="29"/>
  <c r="CZ406" i="29"/>
  <c r="DJ406" i="29"/>
  <c r="CJ406" i="29"/>
  <c r="CB406" i="29"/>
  <c r="DG406" i="29"/>
  <c r="CL406" i="29"/>
  <c r="DI406" i="29"/>
  <c r="CG406" i="29"/>
  <c r="BX406" i="29"/>
  <c r="CH406" i="29"/>
  <c r="DK414" i="29"/>
  <c r="DD414" i="29"/>
  <c r="CN414" i="29"/>
  <c r="BZ414" i="29"/>
  <c r="CG414" i="29"/>
  <c r="CJ414" i="29"/>
  <c r="DE414" i="29"/>
  <c r="BW414" i="29"/>
  <c r="DA414" i="29"/>
  <c r="DI414" i="29"/>
  <c r="CS414" i="29"/>
  <c r="CK414" i="29"/>
  <c r="BQ414" i="29"/>
  <c r="CR418" i="29"/>
  <c r="BW418" i="29"/>
  <c r="DK418" i="29"/>
  <c r="DH418" i="29"/>
  <c r="DA418" i="29"/>
  <c r="CE418" i="29"/>
  <c r="DC418" i="29"/>
  <c r="BQ418" i="29"/>
  <c r="DE418" i="29"/>
  <c r="CQ418" i="29"/>
  <c r="DD418" i="29"/>
  <c r="BY418" i="29"/>
  <c r="DK426" i="29"/>
  <c r="CD426" i="29"/>
  <c r="CI426" i="29"/>
  <c r="DH426" i="29"/>
  <c r="CH426" i="29"/>
  <c r="CP426" i="29"/>
  <c r="BV426" i="29"/>
  <c r="CZ426" i="29"/>
  <c r="CF426" i="29"/>
  <c r="CA426" i="29"/>
  <c r="CL426" i="29"/>
  <c r="CV426" i="29"/>
  <c r="BP426" i="29"/>
  <c r="CR434" i="29"/>
  <c r="CX434" i="29"/>
  <c r="CT434" i="29"/>
  <c r="BS434" i="29"/>
  <c r="CD434" i="29"/>
  <c r="CW434" i="29"/>
  <c r="DB434" i="29"/>
  <c r="CO434" i="29"/>
  <c r="DL434" i="29"/>
  <c r="CL434" i="29"/>
  <c r="CV434" i="29"/>
  <c r="DG434" i="29"/>
  <c r="DL444" i="29"/>
  <c r="CU444" i="29"/>
  <c r="BZ444" i="29"/>
  <c r="DC444" i="29"/>
  <c r="CH444" i="29"/>
  <c r="DG444" i="29"/>
  <c r="BQ444" i="29"/>
  <c r="BY444" i="29"/>
  <c r="BV444" i="29"/>
  <c r="CD444" i="29"/>
  <c r="DD444" i="29"/>
  <c r="CB444" i="29"/>
  <c r="BT444" i="29"/>
  <c r="DE452" i="29"/>
  <c r="CI452" i="29"/>
  <c r="DG452" i="29"/>
  <c r="CL452" i="29"/>
  <c r="BQ452" i="29"/>
  <c r="CE452" i="29"/>
  <c r="CM452" i="29"/>
  <c r="CU452" i="29"/>
  <c r="DC452" i="29"/>
  <c r="BX452" i="29"/>
  <c r="CF452" i="29"/>
  <c r="CJ452" i="29"/>
  <c r="DL460" i="29"/>
  <c r="CU460" i="29"/>
  <c r="BZ460" i="29"/>
  <c r="CX460" i="29"/>
  <c r="CC460" i="29"/>
  <c r="CL460" i="29"/>
  <c r="CQ460" i="29"/>
  <c r="CY460" i="29"/>
  <c r="DJ460" i="29"/>
  <c r="CI460" i="29"/>
  <c r="DD460" i="29"/>
  <c r="CB460" i="29"/>
  <c r="BT460" i="29"/>
  <c r="CF472" i="29"/>
  <c r="BX472" i="29"/>
  <c r="CJ472" i="29"/>
  <c r="CZ472" i="29"/>
  <c r="CU472" i="29"/>
  <c r="CH472" i="29"/>
  <c r="DC472" i="29"/>
  <c r="CP472" i="29"/>
  <c r="DG472" i="29"/>
  <c r="CY472" i="29"/>
  <c r="CQ472" i="29"/>
  <c r="CN472" i="29"/>
  <c r="DK476" i="29"/>
  <c r="BV476" i="29"/>
  <c r="CA476" i="29"/>
  <c r="BS476" i="29"/>
  <c r="DC476" i="29"/>
  <c r="CX476" i="29"/>
  <c r="CN476" i="29"/>
  <c r="CW476" i="29"/>
  <c r="CV476" i="29"/>
  <c r="DE476" i="29"/>
  <c r="CK476" i="29"/>
  <c r="CB476" i="29"/>
  <c r="CJ476" i="29"/>
  <c r="CJ202" i="29"/>
  <c r="BR202" i="29"/>
  <c r="DI202" i="29"/>
  <c r="CG202" i="29"/>
  <c r="BU202" i="29"/>
  <c r="BY202" i="29"/>
  <c r="CY202" i="29"/>
  <c r="CS202" i="29"/>
  <c r="BP202" i="29"/>
  <c r="CF202" i="29"/>
  <c r="BO202" i="29"/>
  <c r="DE202" i="29"/>
  <c r="DD210" i="29"/>
  <c r="DI210" i="29"/>
  <c r="BS210" i="29"/>
  <c r="CO210" i="29"/>
  <c r="CU210" i="29"/>
  <c r="CL210" i="29"/>
  <c r="DJ210" i="29"/>
  <c r="CK210" i="29"/>
  <c r="CG210" i="29"/>
  <c r="DA210" i="29"/>
  <c r="BU210" i="29"/>
  <c r="CB210" i="29"/>
  <c r="CM210" i="29"/>
  <c r="BU218" i="29"/>
  <c r="BW218" i="29"/>
  <c r="BY218" i="29"/>
  <c r="CU218" i="29"/>
  <c r="CH218" i="29"/>
  <c r="CI218" i="29"/>
  <c r="BX218" i="29"/>
  <c r="CY218" i="29"/>
  <c r="CN218" i="29"/>
  <c r="BQ218" i="29"/>
  <c r="CT218" i="29"/>
  <c r="DL218" i="29"/>
  <c r="DI226" i="29"/>
  <c r="DA226" i="29"/>
  <c r="DJ226" i="29"/>
  <c r="BQ226" i="29"/>
  <c r="CY226" i="29"/>
  <c r="CL226" i="29"/>
  <c r="BX226" i="29"/>
  <c r="BW226" i="29"/>
  <c r="DK226" i="29"/>
  <c r="CH226" i="29"/>
  <c r="CV226" i="29"/>
  <c r="BO226" i="29"/>
  <c r="CK234" i="29"/>
  <c r="DJ234" i="29"/>
  <c r="DE234" i="29"/>
  <c r="BU234" i="29"/>
  <c r="BS234" i="29"/>
  <c r="CG234" i="29"/>
  <c r="DC234" i="29"/>
  <c r="BX234" i="29"/>
  <c r="BZ234" i="29"/>
  <c r="CC234" i="29"/>
  <c r="CW234" i="29"/>
  <c r="BP234" i="29"/>
  <c r="DI242" i="29"/>
  <c r="DK242" i="29"/>
  <c r="CX242" i="29"/>
  <c r="BY242" i="29"/>
  <c r="CM242" i="29"/>
  <c r="BZ242" i="29"/>
  <c r="DG242" i="29"/>
  <c r="CJ242" i="29"/>
  <c r="CQ242" i="29"/>
  <c r="CR242" i="29"/>
  <c r="DA242" i="29"/>
  <c r="CO242" i="29"/>
  <c r="DB242" i="29"/>
  <c r="BX250" i="29"/>
  <c r="CA250" i="29"/>
  <c r="CT250" i="29"/>
  <c r="CC250" i="29"/>
  <c r="BT250" i="29"/>
  <c r="DA250" i="29"/>
  <c r="BO250" i="29"/>
  <c r="CX250" i="29"/>
  <c r="CB250" i="29"/>
  <c r="CR250" i="29"/>
  <c r="BS250" i="29"/>
  <c r="CY250" i="29"/>
  <c r="DL258" i="29"/>
  <c r="CN258" i="29"/>
  <c r="CV258" i="29"/>
  <c r="BZ258" i="29"/>
  <c r="DC258" i="29"/>
  <c r="CX258" i="29"/>
  <c r="CG258" i="29"/>
  <c r="CB258" i="29"/>
  <c r="CC258" i="29"/>
  <c r="DA258" i="29"/>
  <c r="CS258" i="29"/>
  <c r="CK258" i="29"/>
  <c r="BU258" i="29"/>
  <c r="BQ268" i="29"/>
  <c r="CM268" i="29"/>
  <c r="BZ268" i="29"/>
  <c r="BT268" i="29"/>
  <c r="CE268" i="29"/>
  <c r="BR268" i="29"/>
  <c r="CZ268" i="29"/>
  <c r="CA268" i="29"/>
  <c r="BS268" i="29"/>
  <c r="DJ268" i="29"/>
  <c r="CQ268" i="29"/>
  <c r="CI268" i="29"/>
  <c r="DH276" i="29"/>
  <c r="CG276" i="29"/>
  <c r="CM276" i="29"/>
  <c r="BZ276" i="29"/>
  <c r="BT276" i="29"/>
  <c r="CE276" i="29"/>
  <c r="BR276" i="29"/>
  <c r="CZ276" i="29"/>
  <c r="CF276" i="29"/>
  <c r="CL276" i="29"/>
  <c r="BV276" i="29"/>
  <c r="DL276" i="29"/>
  <c r="CV276" i="29"/>
  <c r="CI284" i="29"/>
  <c r="CY284" i="29"/>
  <c r="DC284" i="29"/>
  <c r="DE284" i="29"/>
  <c r="DD284" i="29"/>
  <c r="CH284" i="29"/>
  <c r="BQ284" i="29"/>
  <c r="BS284" i="29"/>
  <c r="BP284" i="29"/>
  <c r="BU284" i="29"/>
  <c r="CF284" i="29"/>
  <c r="CJ284" i="29"/>
  <c r="BQ292" i="29"/>
  <c r="BO292" i="29"/>
  <c r="CN292" i="29"/>
  <c r="CJ292" i="29"/>
  <c r="DF292" i="29"/>
  <c r="BX292" i="29"/>
  <c r="BT292" i="29"/>
  <c r="BP292" i="29"/>
  <c r="CD292" i="29"/>
  <c r="DJ292" i="29"/>
  <c r="CZ292" i="29"/>
  <c r="BU292" i="29"/>
  <c r="DE292" i="29"/>
  <c r="DH301" i="29"/>
  <c r="DF301" i="29"/>
  <c r="CO301" i="29"/>
  <c r="DG301" i="29"/>
  <c r="CX301" i="29"/>
  <c r="CG301" i="29"/>
  <c r="CT301" i="29"/>
  <c r="DK301" i="29"/>
  <c r="CF301" i="29"/>
  <c r="CK301" i="29"/>
  <c r="BU301" i="29"/>
  <c r="DB301" i="29"/>
  <c r="DL556" i="29"/>
  <c r="CS556" i="29"/>
  <c r="BW556" i="29"/>
  <c r="BZ556" i="29"/>
  <c r="CI556" i="29"/>
  <c r="CW556" i="29"/>
  <c r="CA556" i="29"/>
  <c r="DF556" i="29"/>
  <c r="BU556" i="29"/>
  <c r="CD556" i="29"/>
  <c r="CV556" i="29"/>
  <c r="BT556" i="29"/>
  <c r="DD556" i="29"/>
  <c r="CZ564" i="29"/>
  <c r="DF564" i="29"/>
  <c r="BW564" i="29"/>
  <c r="CB564" i="29"/>
  <c r="DC564" i="29"/>
  <c r="CW564" i="29"/>
  <c r="DB564" i="29"/>
  <c r="CQ564" i="29"/>
  <c r="CI564" i="29"/>
  <c r="CC564" i="29"/>
  <c r="CN564" i="29"/>
  <c r="BX564" i="29"/>
  <c r="DL572" i="29"/>
  <c r="CU572" i="29"/>
  <c r="BZ572" i="29"/>
  <c r="CM572" i="29"/>
  <c r="CW572" i="29"/>
  <c r="DJ572" i="29"/>
  <c r="CO572" i="29"/>
  <c r="BS572" i="29"/>
  <c r="CH572" i="29"/>
  <c r="CA572" i="29"/>
  <c r="CV572" i="29"/>
  <c r="CZ572" i="29"/>
  <c r="DH572" i="29"/>
  <c r="DB580" i="29"/>
  <c r="CG580" i="29"/>
  <c r="DJ580" i="29"/>
  <c r="CD580" i="29"/>
  <c r="BW580" i="29"/>
  <c r="CU580" i="29"/>
  <c r="BZ580" i="29"/>
  <c r="CI580" i="29"/>
  <c r="CS580" i="29"/>
  <c r="BP580" i="29"/>
  <c r="BT580" i="29"/>
  <c r="CZ726" i="29"/>
  <c r="CB726" i="29"/>
  <c r="DH726" i="29"/>
  <c r="CS726" i="29"/>
  <c r="CG726" i="29"/>
  <c r="DI726" i="29"/>
  <c r="CA726" i="29"/>
  <c r="DL730" i="29"/>
  <c r="CT730" i="29"/>
  <c r="CJ730" i="29"/>
  <c r="DH730" i="29"/>
  <c r="BQ730" i="29"/>
  <c r="BX730" i="29"/>
  <c r="BO734" i="29"/>
  <c r="CC734" i="29"/>
  <c r="CH734" i="29"/>
  <c r="CL734" i="29"/>
  <c r="BY734" i="29"/>
  <c r="BP734" i="29"/>
  <c r="DH738" i="29"/>
  <c r="BO738" i="29"/>
  <c r="CF738" i="29"/>
  <c r="DA738" i="29"/>
  <c r="CN738" i="29"/>
  <c r="CP738" i="29"/>
  <c r="CR742" i="29"/>
  <c r="CU742" i="29"/>
  <c r="DK742" i="29"/>
  <c r="CF742" i="29"/>
  <c r="BP742" i="29"/>
  <c r="CN742" i="29"/>
  <c r="BY742" i="29"/>
  <c r="CJ746" i="29"/>
  <c r="CS746" i="29"/>
  <c r="CE746" i="29"/>
  <c r="BR746" i="29"/>
  <c r="CQ746" i="29"/>
  <c r="DH746" i="29"/>
  <c r="BO750" i="29"/>
  <c r="BX750" i="29"/>
  <c r="DA750" i="29"/>
  <c r="DF750" i="29"/>
  <c r="BS750" i="29"/>
  <c r="BQ750" i="29"/>
  <c r="CZ754" i="29"/>
  <c r="DC754" i="29"/>
  <c r="CF754" i="29"/>
  <c r="CC754" i="29"/>
  <c r="BS754" i="29"/>
  <c r="CI754" i="29"/>
  <c r="DK758" i="29"/>
  <c r="BU758" i="29"/>
  <c r="CC758" i="29"/>
  <c r="CW758" i="29"/>
  <c r="CD758" i="29"/>
  <c r="BX758" i="29"/>
  <c r="DH758" i="29"/>
  <c r="CA762" i="29"/>
  <c r="CI762" i="29"/>
  <c r="DI762" i="29"/>
  <c r="CU762" i="29"/>
  <c r="CF762" i="29"/>
  <c r="BX762" i="29"/>
  <c r="CP766" i="29"/>
  <c r="CX766" i="29"/>
  <c r="CQ766" i="29"/>
  <c r="CT766" i="29"/>
  <c r="CO766" i="29"/>
  <c r="CN766" i="29"/>
  <c r="CO770" i="29"/>
  <c r="CR770" i="29"/>
  <c r="CV770" i="29"/>
  <c r="CD770" i="29"/>
  <c r="DG770" i="29"/>
  <c r="CE770" i="29"/>
  <c r="DC774" i="29"/>
  <c r="CR774" i="29"/>
  <c r="DK774" i="29"/>
  <c r="CZ774" i="29"/>
  <c r="DG774" i="29"/>
  <c r="CQ774" i="29"/>
  <c r="CV774" i="29"/>
  <c r="BW778" i="29"/>
  <c r="DL778" i="29"/>
  <c r="CT778" i="29"/>
  <c r="CY778" i="29"/>
  <c r="CA778" i="29"/>
  <c r="BS778" i="29"/>
  <c r="CB782" i="29"/>
  <c r="BR782" i="29"/>
  <c r="DC782" i="29"/>
  <c r="CK782" i="29"/>
  <c r="DI782" i="29"/>
  <c r="DG782" i="29"/>
  <c r="BW786" i="29"/>
  <c r="BO786" i="29"/>
  <c r="DI786" i="29"/>
  <c r="DJ786" i="29"/>
  <c r="CK786" i="29"/>
  <c r="CF786" i="29"/>
  <c r="DK792" i="29"/>
  <c r="BU792" i="29"/>
  <c r="CC792" i="29"/>
  <c r="DE792" i="29"/>
  <c r="CL792" i="29"/>
  <c r="CB792" i="29"/>
  <c r="BP792" i="29"/>
  <c r="CE796" i="29"/>
  <c r="CM796" i="29"/>
  <c r="BY796" i="29"/>
  <c r="BQ796" i="29"/>
  <c r="CJ796" i="29"/>
  <c r="BP796" i="29"/>
  <c r="CB800" i="29"/>
  <c r="BR800" i="29"/>
  <c r="DF800" i="29"/>
  <c r="CO800" i="29"/>
  <c r="CF800" i="29"/>
  <c r="BP800" i="29"/>
  <c r="CJ804" i="29"/>
  <c r="DC804" i="29"/>
  <c r="CX804" i="29"/>
  <c r="BX804" i="29"/>
  <c r="BS804" i="29"/>
  <c r="CY804" i="29"/>
  <c r="DD808" i="29"/>
  <c r="CP808" i="29"/>
  <c r="CJ808" i="29"/>
  <c r="DI808" i="29"/>
  <c r="DH808" i="29"/>
  <c r="DE808" i="29"/>
  <c r="CZ808" i="29"/>
  <c r="DJ812" i="29"/>
  <c r="CO812" i="29"/>
  <c r="CG812" i="29"/>
  <c r="DA812" i="29"/>
  <c r="BV812" i="29"/>
  <c r="DK812" i="29"/>
  <c r="BO816" i="29"/>
  <c r="CA816" i="29"/>
  <c r="CD816" i="29"/>
  <c r="DA816" i="29"/>
  <c r="BY816" i="29"/>
  <c r="CE816" i="29"/>
  <c r="BZ821" i="29"/>
  <c r="DJ821" i="29"/>
  <c r="CY821" i="29"/>
  <c r="CQ821" i="29"/>
  <c r="DK821" i="29"/>
  <c r="CM821" i="29"/>
  <c r="DE825" i="29"/>
  <c r="CU825" i="29"/>
  <c r="CY825" i="29"/>
  <c r="CS825" i="29"/>
  <c r="DH825" i="29"/>
  <c r="BR825" i="29"/>
  <c r="CF825" i="29"/>
  <c r="CA898" i="29"/>
  <c r="CK898" i="29"/>
  <c r="BY898" i="29"/>
  <c r="BR898" i="29"/>
  <c r="CN898" i="29"/>
  <c r="CZ898" i="29"/>
  <c r="CM902" i="29"/>
  <c r="CQ902" i="29"/>
  <c r="CK902" i="29"/>
  <c r="CY902" i="29"/>
  <c r="DE902" i="29"/>
  <c r="CZ902" i="29"/>
  <c r="CO906" i="29"/>
  <c r="CM906" i="29"/>
  <c r="BQ906" i="29"/>
  <c r="CE906" i="29"/>
  <c r="CF906" i="29"/>
  <c r="CJ906" i="29"/>
  <c r="DK910" i="29"/>
  <c r="BU910" i="29"/>
  <c r="CD910" i="29"/>
  <c r="DC910" i="29"/>
  <c r="CL910" i="29"/>
  <c r="BP910" i="29"/>
  <c r="CZ910" i="29"/>
  <c r="DI914" i="29"/>
  <c r="BV914" i="29"/>
  <c r="CA914" i="29"/>
  <c r="BS914" i="29"/>
  <c r="DD914" i="29"/>
  <c r="CE914" i="29"/>
  <c r="DK918" i="29"/>
  <c r="BU918" i="29"/>
  <c r="CS918" i="29"/>
  <c r="CV918" i="29"/>
  <c r="BV918" i="29"/>
  <c r="CO918" i="29"/>
  <c r="CN922" i="29"/>
  <c r="CE922" i="29"/>
  <c r="CJ922" i="29"/>
  <c r="CP922" i="29"/>
  <c r="CK922" i="29"/>
  <c r="BY922" i="29"/>
  <c r="CX926" i="29"/>
  <c r="BO926" i="29"/>
  <c r="CG926" i="29"/>
  <c r="CO926" i="29"/>
  <c r="CS926" i="29"/>
  <c r="DC926" i="29"/>
  <c r="DA926" i="29"/>
  <c r="DK930" i="29"/>
  <c r="CT930" i="29"/>
  <c r="CM930" i="29"/>
  <c r="BP930" i="29"/>
  <c r="CO930" i="29"/>
  <c r="BQ930" i="29"/>
  <c r="CE934" i="29"/>
  <c r="DF934" i="29"/>
  <c r="CN934" i="29"/>
  <c r="BQ934" i="29"/>
  <c r="CU934" i="29"/>
  <c r="CI934" i="29"/>
  <c r="CN938" i="29"/>
  <c r="CE938" i="29"/>
  <c r="CR938" i="29"/>
  <c r="CJ938" i="29"/>
  <c r="CK938" i="29"/>
  <c r="BY938" i="29"/>
  <c r="BO942" i="29"/>
  <c r="BY942" i="29"/>
  <c r="CL942" i="29"/>
  <c r="CZ942" i="29"/>
  <c r="DG942" i="29"/>
  <c r="DB942" i="29"/>
  <c r="BP942" i="29"/>
  <c r="DH946" i="29"/>
  <c r="CR946" i="29"/>
  <c r="CJ946" i="29"/>
  <c r="BP946" i="29"/>
  <c r="CO946" i="29"/>
  <c r="BQ946" i="29"/>
  <c r="CJ950" i="29"/>
  <c r="CK950" i="29"/>
  <c r="BT950" i="29"/>
  <c r="BW950" i="29"/>
  <c r="BQ950" i="29"/>
  <c r="CE950" i="29"/>
  <c r="CJ954" i="29"/>
  <c r="CI954" i="29"/>
  <c r="BX954" i="29"/>
  <c r="CU954" i="29"/>
  <c r="CK954" i="29"/>
  <c r="BY954" i="29"/>
  <c r="CZ958" i="29"/>
  <c r="BO958" i="29"/>
  <c r="BU958" i="29"/>
  <c r="CS958" i="29"/>
  <c r="CG958" i="29"/>
  <c r="DE958" i="29"/>
  <c r="DH958" i="29"/>
  <c r="DF964" i="29"/>
  <c r="CP964" i="29"/>
  <c r="CX964" i="29"/>
  <c r="CB964" i="29"/>
  <c r="DK964" i="29"/>
  <c r="CR964" i="29"/>
  <c r="CV968" i="29"/>
  <c r="BU968" i="29"/>
  <c r="BQ968" i="29"/>
  <c r="CT968" i="29"/>
  <c r="BP968" i="29"/>
  <c r="CO968" i="29"/>
  <c r="CP972" i="29"/>
  <c r="CF972" i="29"/>
  <c r="DJ972" i="29"/>
  <c r="DF972" i="29"/>
  <c r="CA972" i="29"/>
  <c r="CE972" i="29"/>
  <c r="BQ976" i="29"/>
  <c r="DF976" i="29"/>
  <c r="CA976" i="29"/>
  <c r="CC976" i="29"/>
  <c r="DK976" i="29"/>
  <c r="CG976" i="29"/>
  <c r="BW976" i="29"/>
  <c r="DI980" i="29"/>
  <c r="BV980" i="29"/>
  <c r="BR980" i="29"/>
  <c r="BO980" i="29"/>
  <c r="DG980" i="29"/>
  <c r="CV980" i="29"/>
  <c r="BR984" i="29"/>
  <c r="BY984" i="29"/>
  <c r="DG984" i="29"/>
  <c r="CY984" i="29"/>
  <c r="BZ984" i="29"/>
  <c r="CE984" i="29"/>
  <c r="BP988" i="29"/>
  <c r="BZ988" i="29"/>
  <c r="BT988" i="29"/>
  <c r="CD988" i="29"/>
  <c r="BR988" i="29"/>
  <c r="DK988" i="29"/>
  <c r="DD993" i="29"/>
  <c r="BS993" i="29"/>
  <c r="DC993" i="29"/>
  <c r="CF993" i="29"/>
  <c r="CQ993" i="29"/>
  <c r="CC993" i="29"/>
  <c r="BU993" i="29"/>
  <c r="CM997" i="29"/>
  <c r="BP997" i="29"/>
  <c r="BY997" i="29"/>
  <c r="BZ997" i="29"/>
  <c r="CK997" i="29"/>
  <c r="DA997" i="29"/>
  <c r="CR373" i="29"/>
  <c r="BY373" i="29"/>
  <c r="DF373" i="29"/>
  <c r="CF373" i="29"/>
  <c r="DA373" i="29"/>
  <c r="CE373" i="29"/>
  <c r="CX377" i="29"/>
  <c r="CA377" i="29"/>
  <c r="CE377" i="29"/>
  <c r="CO377" i="29"/>
  <c r="CL377" i="29"/>
  <c r="DH377" i="29"/>
  <c r="DJ381" i="29"/>
  <c r="BS381" i="29"/>
  <c r="CL381" i="29"/>
  <c r="CU381" i="29"/>
  <c r="DC381" i="29"/>
  <c r="CB381" i="29"/>
  <c r="CF381" i="29"/>
  <c r="CE385" i="29"/>
  <c r="DI385" i="29"/>
  <c r="BR385" i="29"/>
  <c r="BV385" i="29"/>
  <c r="CJ385" i="29"/>
  <c r="CN385" i="29"/>
  <c r="CL389" i="29"/>
  <c r="CU389" i="29"/>
  <c r="CO389" i="29"/>
  <c r="CS389" i="29"/>
  <c r="BU389" i="29"/>
  <c r="BP389" i="29"/>
  <c r="CX393" i="29"/>
  <c r="DB393" i="29"/>
  <c r="DK393" i="29"/>
  <c r="BU393" i="29"/>
  <c r="CD393" i="29"/>
  <c r="DH393" i="29"/>
  <c r="DJ397" i="29"/>
  <c r="BS397" i="29"/>
  <c r="DG397" i="29"/>
  <c r="BQ397" i="29"/>
  <c r="BZ397" i="29"/>
  <c r="CB397" i="29"/>
  <c r="CF397" i="29"/>
  <c r="CE401" i="29"/>
  <c r="CI401" i="29"/>
  <c r="CQ401" i="29"/>
  <c r="CJ401" i="29"/>
  <c r="CN401" i="29"/>
  <c r="CP405" i="29"/>
  <c r="CX405" i="29"/>
  <c r="CQ405" i="29"/>
  <c r="DG405" i="29"/>
  <c r="BY405" i="29"/>
  <c r="BP405" i="29"/>
  <c r="CW409" i="29"/>
  <c r="DE409" i="29"/>
  <c r="DI409" i="29"/>
  <c r="BZ409" i="29"/>
  <c r="CP409" i="29"/>
  <c r="DH409" i="29"/>
  <c r="DI413" i="29"/>
  <c r="BR413" i="29"/>
  <c r="BZ413" i="29"/>
  <c r="CQ413" i="29"/>
  <c r="DG413" i="29"/>
  <c r="CB413" i="29"/>
  <c r="CF413" i="29"/>
  <c r="DK417" i="29"/>
  <c r="CN417" i="29"/>
  <c r="BS417" i="29"/>
  <c r="CF417" i="29"/>
  <c r="CT417" i="29"/>
  <c r="DB417" i="29"/>
  <c r="BQ421" i="29"/>
  <c r="BT421" i="29"/>
  <c r="BY421" i="29"/>
  <c r="DB421" i="29"/>
  <c r="DD421" i="29"/>
  <c r="CR421" i="29"/>
  <c r="CJ425" i="29"/>
  <c r="CG425" i="29"/>
  <c r="CO425" i="29"/>
  <c r="BT425" i="29"/>
  <c r="BZ425" i="29"/>
  <c r="BV425" i="29"/>
  <c r="DL429" i="29"/>
  <c r="DC429" i="29"/>
  <c r="CY429" i="29"/>
  <c r="CE429" i="29"/>
  <c r="BX429" i="29"/>
  <c r="BZ429" i="29"/>
  <c r="DH429" i="29"/>
  <c r="DK433" i="29"/>
  <c r="CU433" i="29"/>
  <c r="CN433" i="29"/>
  <c r="CA433" i="29"/>
  <c r="CX433" i="29"/>
  <c r="DF433" i="29"/>
  <c r="CL437" i="29"/>
  <c r="CU437" i="29"/>
  <c r="CH437" i="29"/>
  <c r="CO437" i="29"/>
  <c r="BT437" i="29"/>
  <c r="CV437" i="29"/>
  <c r="DC443" i="29"/>
  <c r="DG443" i="29"/>
  <c r="CT443" i="29"/>
  <c r="DD443" i="29"/>
  <c r="DI443" i="29"/>
  <c r="CN443" i="29"/>
  <c r="CN447" i="29"/>
  <c r="CP447" i="29"/>
  <c r="BZ447" i="29"/>
  <c r="DE447" i="29"/>
  <c r="DI447" i="29"/>
  <c r="CS447" i="29"/>
  <c r="DB451" i="29"/>
  <c r="CO451" i="29"/>
  <c r="CF451" i="29"/>
  <c r="CB451" i="29"/>
  <c r="CI451" i="29"/>
  <c r="CK451" i="29"/>
  <c r="CX451" i="29"/>
  <c r="DG455" i="29"/>
  <c r="CU455" i="29"/>
  <c r="DH455" i="29"/>
  <c r="BS455" i="29"/>
  <c r="DI455" i="29"/>
  <c r="CD455" i="29"/>
  <c r="BX459" i="29"/>
  <c r="CR459" i="29"/>
  <c r="CJ459" i="29"/>
  <c r="BZ459" i="29"/>
  <c r="CO459" i="29"/>
  <c r="BY459" i="29"/>
  <c r="CC463" i="29"/>
  <c r="CK463" i="29"/>
  <c r="CM463" i="29"/>
  <c r="DJ463" i="29"/>
  <c r="CY463" i="29"/>
  <c r="DI463" i="29"/>
  <c r="BQ467" i="29"/>
  <c r="DE467" i="29"/>
  <c r="BO467" i="29"/>
  <c r="DH467" i="29"/>
  <c r="CQ467" i="29"/>
  <c r="CZ467" i="29"/>
  <c r="CJ467" i="29"/>
  <c r="BR201" i="29"/>
  <c r="BQ201" i="29"/>
  <c r="BU201" i="29"/>
  <c r="BW201" i="29"/>
  <c r="DH201" i="29"/>
  <c r="BQ205" i="29"/>
  <c r="BX205" i="29"/>
  <c r="DE205" i="29"/>
  <c r="CV205" i="29"/>
  <c r="CZ205" i="29"/>
  <c r="CP205" i="29"/>
  <c r="CD209" i="29"/>
  <c r="DF209" i="29"/>
  <c r="DK209" i="29"/>
  <c r="BW209" i="29"/>
  <c r="DI209" i="29"/>
  <c r="CW209" i="29"/>
  <c r="CW213" i="29"/>
  <c r="CP213" i="29"/>
  <c r="CD213" i="29"/>
  <c r="CT213" i="29"/>
  <c r="DA213" i="29"/>
  <c r="DD213" i="29"/>
  <c r="CV213" i="29"/>
  <c r="CO217" i="29"/>
  <c r="DA217" i="29"/>
  <c r="CZ217" i="29"/>
  <c r="CR217" i="29"/>
  <c r="CQ217" i="29"/>
  <c r="CF217" i="29"/>
  <c r="CP221" i="29"/>
  <c r="BU221" i="29"/>
  <c r="CY221" i="29"/>
  <c r="DG221" i="29"/>
  <c r="CF221" i="29"/>
  <c r="BX221" i="29"/>
  <c r="BQ225" i="29"/>
  <c r="BR225" i="29"/>
  <c r="CU225" i="29"/>
  <c r="BW225" i="29"/>
  <c r="CA225" i="29"/>
  <c r="BS225" i="29"/>
  <c r="DF229" i="29"/>
  <c r="BY229" i="29"/>
  <c r="CD229" i="29"/>
  <c r="DA229" i="29"/>
  <c r="CK229" i="29"/>
  <c r="CV229" i="29"/>
  <c r="BX229" i="29"/>
  <c r="CX233" i="29"/>
  <c r="CK233" i="29"/>
  <c r="CZ233" i="29"/>
  <c r="CB233" i="29"/>
  <c r="CV233" i="29"/>
  <c r="DD233" i="29"/>
  <c r="CP237" i="29"/>
  <c r="CK237" i="29"/>
  <c r="CY237" i="29"/>
  <c r="CB237" i="29"/>
  <c r="DC237" i="29"/>
  <c r="CV237" i="29"/>
  <c r="BQ241" i="29"/>
  <c r="CX241" i="29"/>
  <c r="CE241" i="29"/>
  <c r="DJ241" i="29"/>
  <c r="BP241" i="29"/>
  <c r="CF241" i="29"/>
  <c r="CJ245" i="29"/>
  <c r="BU245" i="29"/>
  <c r="CA245" i="29"/>
  <c r="BQ245" i="29"/>
  <c r="CT245" i="29"/>
  <c r="CL245" i="29"/>
  <c r="BP245" i="29"/>
  <c r="CH249" i="29"/>
  <c r="BW249" i="29"/>
  <c r="DE249" i="29"/>
  <c r="BY249" i="29"/>
  <c r="BV249" i="29"/>
  <c r="BQ249" i="29"/>
  <c r="CG253" i="29"/>
  <c r="CN253" i="29"/>
  <c r="CP253" i="29"/>
  <c r="CD253" i="29"/>
  <c r="DA253" i="29"/>
  <c r="CL253" i="29"/>
  <c r="CI257" i="29"/>
  <c r="CJ257" i="29"/>
  <c r="CD257" i="29"/>
  <c r="CN257" i="29"/>
  <c r="DI257" i="29"/>
  <c r="BZ257" i="29"/>
  <c r="BO261" i="29"/>
  <c r="CM261" i="29"/>
  <c r="CT261" i="29"/>
  <c r="DA261" i="29"/>
  <c r="CY261" i="29"/>
  <c r="CQ261" i="29"/>
  <c r="CU261" i="29"/>
  <c r="BU267" i="29"/>
  <c r="BP267" i="29"/>
  <c r="BW267" i="29"/>
  <c r="CH267" i="29"/>
  <c r="CZ267" i="29"/>
  <c r="BS267" i="29"/>
  <c r="DJ271" i="29"/>
  <c r="CO271" i="29"/>
  <c r="DB271" i="29"/>
  <c r="CT271" i="29"/>
  <c r="CZ271" i="29"/>
  <c r="CE271" i="29"/>
  <c r="DJ275" i="29"/>
  <c r="CW275" i="29"/>
  <c r="CK275" i="29"/>
  <c r="CN275" i="29"/>
  <c r="CB275" i="29"/>
  <c r="CS275" i="29"/>
  <c r="CW279" i="29"/>
  <c r="CS279" i="29"/>
  <c r="CV279" i="29"/>
  <c r="DG279" i="29"/>
  <c r="DI279" i="29"/>
  <c r="CM279" i="29"/>
  <c r="CB279" i="29"/>
  <c r="CV283" i="29"/>
  <c r="CO283" i="29"/>
  <c r="CP283" i="29"/>
  <c r="CI283" i="29"/>
  <c r="BQ283" i="29"/>
  <c r="CA283" i="29"/>
  <c r="CX287" i="29"/>
  <c r="DC287" i="29"/>
  <c r="BY287" i="29"/>
  <c r="CS287" i="29"/>
  <c r="DH287" i="29"/>
  <c r="CV287" i="29"/>
  <c r="CN291" i="29"/>
  <c r="CB291" i="29"/>
  <c r="BO291" i="29"/>
  <c r="DG291" i="29"/>
  <c r="BV291" i="29"/>
  <c r="CI291" i="29"/>
  <c r="CQ296" i="29"/>
  <c r="DB296" i="29"/>
  <c r="CL296" i="29"/>
  <c r="DG296" i="29"/>
  <c r="CZ296" i="29"/>
  <c r="DC296" i="29"/>
  <c r="CV296" i="29"/>
  <c r="BW300" i="29"/>
  <c r="DF300" i="29"/>
  <c r="DG300" i="29"/>
  <c r="BO300" i="29"/>
  <c r="DD300" i="29"/>
  <c r="CN300" i="29"/>
  <c r="BW551" i="29"/>
  <c r="BR551" i="29"/>
  <c r="DJ551" i="29"/>
  <c r="CO551" i="29"/>
  <c r="CC551" i="29"/>
  <c r="BQ551" i="29"/>
  <c r="CT555" i="29"/>
  <c r="CD555" i="29"/>
  <c r="BQ555" i="29"/>
  <c r="CE555" i="29"/>
  <c r="CC555" i="29"/>
  <c r="CZ555" i="29"/>
  <c r="CL559" i="29"/>
  <c r="CN559" i="29"/>
  <c r="BV559" i="29"/>
  <c r="CX559" i="29"/>
  <c r="CV559" i="29"/>
  <c r="BT559" i="29"/>
  <c r="DA559" i="29"/>
  <c r="BY563" i="29"/>
  <c r="CJ563" i="29"/>
  <c r="DI563" i="29"/>
  <c r="DK563" i="29"/>
  <c r="CW563" i="29"/>
  <c r="BS563" i="29"/>
  <c r="CL567" i="29"/>
  <c r="CQ567" i="29"/>
  <c r="BZ567" i="29"/>
  <c r="CO567" i="29"/>
  <c r="CH567" i="29"/>
  <c r="CW567" i="29"/>
  <c r="CP571" i="29"/>
  <c r="CY571" i="29"/>
  <c r="BZ571" i="29"/>
  <c r="BO571" i="29"/>
  <c r="BU571" i="29"/>
  <c r="CK571" i="29"/>
  <c r="DL575" i="29"/>
  <c r="DH575" i="29"/>
  <c r="CV575" i="29"/>
  <c r="CH575" i="29"/>
  <c r="CL575" i="29"/>
  <c r="BW575" i="29"/>
  <c r="BS575" i="29"/>
  <c r="DJ579" i="29"/>
  <c r="DK579" i="29"/>
  <c r="BZ579" i="29"/>
  <c r="CA579" i="29"/>
  <c r="CF579" i="29"/>
  <c r="DE579" i="29"/>
  <c r="BP583" i="29"/>
  <c r="CS583" i="29"/>
  <c r="DA583" i="29"/>
  <c r="CH583" i="29"/>
  <c r="BX583" i="29"/>
  <c r="BQ583" i="29"/>
  <c r="CJ587" i="29"/>
  <c r="CM587" i="29"/>
  <c r="BT587" i="29"/>
  <c r="BR587" i="29"/>
  <c r="DG587" i="29"/>
  <c r="CL587" i="29"/>
  <c r="CU591" i="29"/>
  <c r="BS591" i="29"/>
  <c r="CY591" i="29"/>
  <c r="BV591" i="29"/>
  <c r="DL591" i="29"/>
  <c r="CD591" i="29"/>
  <c r="DG591" i="29"/>
  <c r="CR595" i="29"/>
  <c r="CZ595" i="29"/>
  <c r="CJ595" i="29"/>
  <c r="CA595" i="29"/>
  <c r="CF595" i="29"/>
  <c r="DL595" i="29"/>
  <c r="CA599" i="29"/>
  <c r="DC599" i="29"/>
  <c r="CD599" i="29"/>
  <c r="DF599" i="29"/>
  <c r="CJ599" i="29"/>
  <c r="CO599" i="29"/>
  <c r="CM603" i="29"/>
  <c r="CN603" i="29"/>
  <c r="BO603" i="29"/>
  <c r="BS603" i="29"/>
  <c r="CA603" i="29"/>
  <c r="BU603" i="29"/>
  <c r="DK607" i="29"/>
  <c r="CH607" i="29"/>
  <c r="DC607" i="29"/>
  <c r="CA607" i="29"/>
  <c r="CG607" i="29"/>
  <c r="BY607" i="29"/>
  <c r="DJ611" i="29"/>
  <c r="DK611" i="29"/>
  <c r="CN611" i="29"/>
  <c r="CA611" i="29"/>
  <c r="CF611" i="29"/>
  <c r="CO611" i="29"/>
  <c r="CS617" i="29"/>
  <c r="CL617" i="29"/>
  <c r="CB617" i="29"/>
  <c r="CG617" i="29"/>
  <c r="DA617" i="29"/>
  <c r="DJ617" i="29"/>
  <c r="CF621" i="29"/>
  <c r="BO621" i="29"/>
  <c r="DC621" i="29"/>
  <c r="DJ621" i="29"/>
  <c r="DE621" i="29"/>
  <c r="BS621" i="29"/>
  <c r="DD625" i="29"/>
  <c r="CK625" i="29"/>
  <c r="CN625" i="29"/>
  <c r="CX625" i="29"/>
  <c r="CQ625" i="29"/>
  <c r="DB625" i="29"/>
  <c r="BW625" i="29"/>
  <c r="BO629" i="29"/>
  <c r="CB629" i="29"/>
  <c r="CQ629" i="29"/>
  <c r="CJ629" i="29"/>
  <c r="BS629" i="29"/>
  <c r="DB629" i="29"/>
  <c r="DD633" i="29"/>
  <c r="CB633" i="29"/>
  <c r="CT633" i="29"/>
  <c r="CU633" i="29"/>
  <c r="DG633" i="29"/>
  <c r="BP633" i="29"/>
  <c r="CY637" i="29"/>
  <c r="DG637" i="29"/>
  <c r="DD637" i="29"/>
  <c r="CS637" i="29"/>
  <c r="CM637" i="29"/>
  <c r="DH637" i="29"/>
  <c r="CZ641" i="29"/>
  <c r="CI641" i="29"/>
  <c r="CJ641" i="29"/>
  <c r="DC641" i="29"/>
  <c r="CP641" i="29"/>
  <c r="DG641" i="29"/>
  <c r="CV641" i="29"/>
  <c r="CS646" i="29"/>
  <c r="DD646" i="29"/>
  <c r="DE646" i="29"/>
  <c r="CL646" i="29"/>
  <c r="BS646" i="29"/>
  <c r="BX646" i="29"/>
  <c r="CX650" i="29"/>
  <c r="CV650" i="29"/>
  <c r="CZ650" i="29"/>
  <c r="CN650" i="29"/>
  <c r="CF650" i="29"/>
  <c r="CR650" i="29"/>
  <c r="CE723" i="29"/>
  <c r="CN723" i="29"/>
  <c r="DI723" i="29"/>
  <c r="DH723" i="29"/>
  <c r="DE723" i="29"/>
  <c r="DK727" i="29"/>
  <c r="CY727" i="29"/>
  <c r="CX727" i="29"/>
  <c r="BV727" i="29"/>
  <c r="DD727" i="29"/>
  <c r="CW727" i="29"/>
  <c r="DK731" i="29"/>
  <c r="CL731" i="29"/>
  <c r="BR731" i="29"/>
  <c r="DE731" i="29"/>
  <c r="CB731" i="29"/>
  <c r="DA731" i="29"/>
  <c r="BZ735" i="29"/>
  <c r="CY735" i="29"/>
  <c r="CE735" i="29"/>
  <c r="CC735" i="29"/>
  <c r="CN735" i="29"/>
  <c r="CV735" i="29"/>
  <c r="CP739" i="29"/>
  <c r="CD739" i="29"/>
  <c r="DK739" i="29"/>
  <c r="CR739" i="29"/>
  <c r="CJ739" i="29"/>
  <c r="CV739" i="29"/>
  <c r="DF743" i="29"/>
  <c r="CT743" i="29"/>
  <c r="CI743" i="29"/>
  <c r="CM743" i="29"/>
  <c r="CF743" i="29"/>
  <c r="DH743" i="29"/>
  <c r="CJ743" i="29"/>
  <c r="DF747" i="29"/>
  <c r="BW747" i="29"/>
  <c r="CA747" i="29"/>
  <c r="DE747" i="29"/>
  <c r="DD747" i="29"/>
  <c r="BP747" i="29"/>
  <c r="CD751" i="29"/>
  <c r="DC751" i="29"/>
  <c r="CA751" i="29"/>
  <c r="DL751" i="29"/>
  <c r="DA751" i="29"/>
  <c r="DE751" i="29"/>
  <c r="CT755" i="29"/>
  <c r="BZ755" i="29"/>
  <c r="BW755" i="29"/>
  <c r="CR755" i="29"/>
  <c r="BY755" i="29"/>
  <c r="DL755" i="29"/>
  <c r="CR759" i="29"/>
  <c r="CV759" i="29"/>
  <c r="CZ759" i="29"/>
  <c r="CA759" i="29"/>
  <c r="CE759" i="29"/>
  <c r="BW759" i="29"/>
  <c r="BR759" i="29"/>
  <c r="DL763" i="29"/>
  <c r="CO763" i="29"/>
  <c r="CS763" i="29"/>
  <c r="BO763" i="29"/>
  <c r="DG763" i="29"/>
  <c r="BS763" i="29"/>
  <c r="CR767" i="29"/>
  <c r="CJ767" i="29"/>
  <c r="CE767" i="29"/>
  <c r="CI767" i="29"/>
  <c r="CH767" i="29"/>
  <c r="DJ767" i="29"/>
  <c r="CW771" i="29"/>
  <c r="DE771" i="29"/>
  <c r="DC771" i="29"/>
  <c r="BR771" i="29"/>
  <c r="CE771" i="29"/>
  <c r="BP771" i="29"/>
  <c r="DJ775" i="29"/>
  <c r="BS775" i="29"/>
  <c r="BV775" i="29"/>
  <c r="DA775" i="29"/>
  <c r="BR775" i="29"/>
  <c r="BX775" i="29"/>
  <c r="CN775" i="29"/>
  <c r="CA779" i="29"/>
  <c r="CI779" i="29"/>
  <c r="BR779" i="29"/>
  <c r="DA779" i="29"/>
  <c r="CJ779" i="29"/>
  <c r="CR779" i="29"/>
  <c r="CP783" i="29"/>
  <c r="CX783" i="29"/>
  <c r="CQ783" i="29"/>
  <c r="CT783" i="29"/>
  <c r="BS783" i="29"/>
  <c r="BP783" i="29"/>
  <c r="CY787" i="29"/>
  <c r="DI787" i="29"/>
  <c r="CS787" i="29"/>
  <c r="BR787" i="29"/>
  <c r="DF787" i="29"/>
  <c r="BP787" i="29"/>
  <c r="DB793" i="29"/>
  <c r="CD793" i="29"/>
  <c r="CV793" i="29"/>
  <c r="CH793" i="29"/>
  <c r="DG793" i="29"/>
  <c r="DA793" i="29"/>
  <c r="CC793" i="29"/>
  <c r="CH797" i="29"/>
  <c r="DE797" i="29"/>
  <c r="CI797" i="29"/>
  <c r="CA797" i="29"/>
  <c r="CX797" i="29"/>
  <c r="BW797" i="29"/>
  <c r="CP801" i="29"/>
  <c r="CX801" i="29"/>
  <c r="CT801" i="29"/>
  <c r="CW801" i="29"/>
  <c r="BV801" i="29"/>
  <c r="BT801" i="29"/>
  <c r="CX805" i="29"/>
  <c r="DF805" i="29"/>
  <c r="BO805" i="29"/>
  <c r="CG805" i="29"/>
  <c r="CI805" i="29"/>
  <c r="DD805" i="29"/>
  <c r="DK809" i="29"/>
  <c r="BU809" i="29"/>
  <c r="CC809" i="29"/>
  <c r="DE809" i="29"/>
  <c r="CA809" i="29"/>
  <c r="BX809" i="29"/>
  <c r="DH809" i="29"/>
  <c r="CA813" i="29"/>
  <c r="CI813" i="29"/>
  <c r="BU813" i="29"/>
  <c r="CS813" i="29"/>
  <c r="CF813" i="29"/>
  <c r="CB813" i="29"/>
  <c r="CO817" i="29"/>
  <c r="CS817" i="29"/>
  <c r="CP817" i="29"/>
  <c r="DG817" i="29"/>
  <c r="CG817" i="29"/>
  <c r="CZ817" i="29"/>
  <c r="BT822" i="29"/>
  <c r="BX822" i="29"/>
  <c r="CP822" i="29"/>
  <c r="CH822" i="29"/>
  <c r="CA822" i="29"/>
  <c r="BP822" i="29"/>
  <c r="DB826" i="29"/>
  <c r="CR826" i="29"/>
  <c r="CY826" i="29"/>
  <c r="BY826" i="29"/>
  <c r="CU826" i="29"/>
  <c r="CK826" i="29"/>
  <c r="DA826" i="29"/>
  <c r="CV899" i="29"/>
  <c r="CH899" i="29"/>
  <c r="CE899" i="29"/>
  <c r="DI899" i="29"/>
  <c r="CB899" i="29"/>
  <c r="CO899" i="29"/>
  <c r="DB903" i="29"/>
  <c r="BQ903" i="29"/>
  <c r="CC903" i="29"/>
  <c r="BU903" i="29"/>
  <c r="CR903" i="29"/>
  <c r="DG903" i="29"/>
  <c r="BY907" i="29"/>
  <c r="DJ907" i="29"/>
  <c r="DK907" i="29"/>
  <c r="DC907" i="29"/>
  <c r="BQ907" i="29"/>
  <c r="CB907" i="29"/>
  <c r="CY911" i="29"/>
  <c r="DK911" i="29"/>
  <c r="CR911" i="29"/>
  <c r="BO911" i="29"/>
  <c r="CE911" i="29"/>
  <c r="CJ911" i="29"/>
  <c r="DF911" i="29"/>
  <c r="CA915" i="29"/>
  <c r="CK915" i="29"/>
  <c r="BY915" i="29"/>
  <c r="BR915" i="29"/>
  <c r="CR915" i="29"/>
  <c r="DD915" i="29"/>
  <c r="CM919" i="29"/>
  <c r="CQ919" i="29"/>
  <c r="CP919" i="29"/>
  <c r="CT919" i="29"/>
  <c r="CD919" i="29"/>
  <c r="BP919" i="29"/>
  <c r="CW923" i="29"/>
  <c r="CD923" i="29"/>
  <c r="CU923" i="29"/>
  <c r="BZ923" i="29"/>
  <c r="CZ923" i="29"/>
  <c r="DK927" i="29"/>
  <c r="BU927" i="29"/>
  <c r="CD927" i="29"/>
  <c r="CX927" i="29"/>
  <c r="BQ927" i="29"/>
  <c r="BT927" i="29"/>
  <c r="DD927" i="29"/>
  <c r="CA931" i="29"/>
  <c r="CK931" i="29"/>
  <c r="CC931" i="29"/>
  <c r="DC931" i="29"/>
  <c r="CR931" i="29"/>
  <c r="DD931" i="29"/>
  <c r="CM935" i="29"/>
  <c r="CQ935" i="29"/>
  <c r="CI935" i="29"/>
  <c r="CO935" i="29"/>
  <c r="BO935" i="29"/>
  <c r="BP935" i="29"/>
  <c r="CW939" i="29"/>
  <c r="DA939" i="29"/>
  <c r="CY939" i="29"/>
  <c r="BR939" i="29"/>
  <c r="CH939" i="29"/>
  <c r="CZ939" i="29"/>
  <c r="DI943" i="29"/>
  <c r="BR943" i="29"/>
  <c r="BV943" i="29"/>
  <c r="CY943" i="29"/>
  <c r="BO943" i="29"/>
  <c r="BT943" i="29"/>
  <c r="DD943" i="29"/>
  <c r="CD947" i="29"/>
  <c r="CH947" i="29"/>
  <c r="BQ947" i="29"/>
  <c r="BU947" i="29"/>
  <c r="CR947" i="29"/>
  <c r="DD947" i="29"/>
  <c r="CP951" i="29"/>
  <c r="CY951" i="29"/>
  <c r="CX951" i="29"/>
  <c r="BQ951" i="29"/>
  <c r="BW951" i="29"/>
  <c r="BP951" i="29"/>
  <c r="CW955" i="29"/>
  <c r="DF955" i="29"/>
  <c r="BO955" i="29"/>
  <c r="BW955" i="29"/>
  <c r="BS955" i="29"/>
  <c r="CZ955" i="29"/>
  <c r="DK959" i="29"/>
  <c r="CX959" i="29"/>
  <c r="CT959" i="29"/>
  <c r="BY959" i="29"/>
  <c r="BQ959" i="29"/>
  <c r="BT959" i="29"/>
  <c r="DD959" i="29"/>
  <c r="DH965" i="29"/>
  <c r="CR965" i="29"/>
  <c r="BS965" i="29"/>
  <c r="BU965" i="29"/>
  <c r="DB965" i="29"/>
  <c r="DJ965" i="29"/>
  <c r="BQ969" i="29"/>
  <c r="CQ969" i="29"/>
  <c r="BY969" i="29"/>
  <c r="CX969" i="29"/>
  <c r="CY969" i="29"/>
  <c r="DJ969" i="29"/>
  <c r="CJ973" i="29"/>
  <c r="CG973" i="29"/>
  <c r="BX973" i="29"/>
  <c r="CW973" i="29"/>
  <c r="CH973" i="29"/>
  <c r="CV973" i="29"/>
  <c r="CK977" i="29"/>
  <c r="DC977" i="29"/>
  <c r="DD977" i="29"/>
  <c r="BR977" i="29"/>
  <c r="CY977" i="29"/>
  <c r="DJ977" i="29"/>
  <c r="BS977" i="29"/>
  <c r="CN981" i="29"/>
  <c r="CD981" i="29"/>
  <c r="DB981" i="29"/>
  <c r="BW981" i="29"/>
  <c r="CG981" i="29"/>
  <c r="CX981" i="29"/>
  <c r="DI985" i="29"/>
  <c r="CG985" i="29"/>
  <c r="DE985" i="29"/>
  <c r="DF985" i="29"/>
  <c r="CD985" i="29"/>
  <c r="DB985" i="29"/>
  <c r="DB989" i="29"/>
  <c r="BU989" i="29"/>
  <c r="CN989" i="29"/>
  <c r="CX989" i="29"/>
  <c r="CW989" i="29"/>
  <c r="DK989" i="29"/>
  <c r="DI994" i="29"/>
  <c r="BR994" i="29"/>
  <c r="BZ994" i="29"/>
  <c r="CY994" i="29"/>
  <c r="CA994" i="29"/>
  <c r="BT994" i="29"/>
  <c r="DD994" i="29"/>
  <c r="CI998" i="29"/>
  <c r="BO998" i="29"/>
  <c r="CG998" i="29"/>
  <c r="BY998" i="29"/>
  <c r="DI998" i="29"/>
  <c r="BU998" i="29"/>
  <c r="CU380" i="29"/>
  <c r="CW380" i="29"/>
  <c r="DC380" i="29"/>
  <c r="CN380" i="29"/>
  <c r="DD380" i="29"/>
  <c r="CR380" i="29"/>
  <c r="DF388" i="29"/>
  <c r="CO388" i="29"/>
  <c r="CW388" i="29"/>
  <c r="CX388" i="29"/>
  <c r="CQ388" i="29"/>
  <c r="CY388" i="29"/>
  <c r="DF396" i="29"/>
  <c r="CP396" i="29"/>
  <c r="CF396" i="29"/>
  <c r="CW396" i="29"/>
  <c r="CS396" i="29"/>
  <c r="DD396" i="29"/>
  <c r="CI396" i="29"/>
  <c r="BO404" i="29"/>
  <c r="BR404" i="29"/>
  <c r="CC404" i="29"/>
  <c r="CF404" i="29"/>
  <c r="BY404" i="29"/>
  <c r="CV404" i="29"/>
  <c r="BT412" i="29"/>
  <c r="CW412" i="29"/>
  <c r="CR412" i="29"/>
  <c r="CN412" i="29"/>
  <c r="CI412" i="29"/>
  <c r="DD412" i="29"/>
  <c r="CK416" i="29"/>
  <c r="CH416" i="29"/>
  <c r="CJ416" i="29"/>
  <c r="CC416" i="29"/>
  <c r="CI416" i="29"/>
  <c r="BO416" i="29"/>
  <c r="DE424" i="29"/>
  <c r="CT424" i="29"/>
  <c r="BP424" i="29"/>
  <c r="CV424" i="29"/>
  <c r="DH424" i="29"/>
  <c r="DK424" i="29"/>
  <c r="DB424" i="29"/>
  <c r="DJ432" i="29"/>
  <c r="CT432" i="29"/>
  <c r="BY432" i="29"/>
  <c r="BO432" i="29"/>
  <c r="DG432" i="29"/>
  <c r="DH432" i="29"/>
  <c r="BW442" i="29"/>
  <c r="BS442" i="29"/>
  <c r="CZ442" i="29"/>
  <c r="CP442" i="29"/>
  <c r="CF442" i="29"/>
  <c r="CL442" i="29"/>
  <c r="CJ450" i="29"/>
  <c r="CG450" i="29"/>
  <c r="CI450" i="29"/>
  <c r="CB450" i="29"/>
  <c r="CD450" i="29"/>
  <c r="CQ450" i="29"/>
  <c r="DC458" i="29"/>
  <c r="CR458" i="29"/>
  <c r="BT458" i="29"/>
  <c r="CZ458" i="29"/>
  <c r="DJ458" i="29"/>
  <c r="DA458" i="29"/>
  <c r="CQ458" i="29"/>
  <c r="CR462" i="29"/>
  <c r="CO462" i="29"/>
  <c r="BV462" i="29"/>
  <c r="BZ462" i="29"/>
  <c r="DH462" i="29"/>
  <c r="CU462" i="29"/>
  <c r="BU471" i="29"/>
  <c r="CX471" i="29"/>
  <c r="CO471" i="29"/>
  <c r="BO471" i="29"/>
  <c r="CA471" i="29"/>
  <c r="CQ471" i="29"/>
  <c r="DH475" i="29"/>
  <c r="CY475" i="29"/>
  <c r="CG475" i="29"/>
  <c r="CO475" i="29"/>
  <c r="CV475" i="29"/>
  <c r="CS475" i="29"/>
  <c r="DF200" i="29"/>
  <c r="CT200" i="29"/>
  <c r="CU200" i="29"/>
  <c r="CI200" i="29"/>
  <c r="BU200" i="29"/>
  <c r="CF200" i="29"/>
  <c r="CO200" i="29"/>
  <c r="CD208" i="29"/>
  <c r="CK208" i="29"/>
  <c r="DB208" i="29"/>
  <c r="CH208" i="29"/>
  <c r="CM208" i="29"/>
  <c r="CC208" i="29"/>
  <c r="CH216" i="29"/>
  <c r="CE216" i="29"/>
  <c r="CD216" i="29"/>
  <c r="CC216" i="29"/>
  <c r="CZ216" i="29"/>
  <c r="CB216" i="29"/>
  <c r="BR220" i="29"/>
  <c r="DC220" i="29"/>
  <c r="CK220" i="29"/>
  <c r="CC220" i="29"/>
  <c r="BY220" i="29"/>
  <c r="CN220" i="29"/>
  <c r="DF228" i="29"/>
  <c r="BW228" i="29"/>
  <c r="CW228" i="29"/>
  <c r="CI228" i="29"/>
  <c r="CY228" i="29"/>
  <c r="BS228" i="29"/>
  <c r="CF228" i="29"/>
  <c r="DK236" i="29"/>
  <c r="CY236" i="29"/>
  <c r="CT236" i="29"/>
  <c r="DJ236" i="29"/>
  <c r="CL236" i="29"/>
  <c r="DI236" i="29"/>
  <c r="DI244" i="29"/>
  <c r="CU244" i="29"/>
  <c r="CG244" i="29"/>
  <c r="DF244" i="29"/>
  <c r="DG244" i="29"/>
  <c r="BX244" i="29"/>
  <c r="DF252" i="29"/>
  <c r="DL252" i="29"/>
  <c r="DJ252" i="29"/>
  <c r="BX252" i="29"/>
  <c r="CK252" i="29"/>
  <c r="DB252" i="29"/>
  <c r="CR260" i="29"/>
  <c r="CV260" i="29"/>
  <c r="DE260" i="29"/>
  <c r="CL260" i="29"/>
  <c r="CX260" i="29"/>
  <c r="BX260" i="29"/>
  <c r="CZ260" i="29"/>
  <c r="CT266" i="29"/>
  <c r="DK266" i="29"/>
  <c r="CD266" i="29"/>
  <c r="CM266" i="29"/>
  <c r="DE266" i="29"/>
  <c r="CZ266" i="29"/>
  <c r="BQ274" i="29"/>
  <c r="BS274" i="29"/>
  <c r="BU274" i="29"/>
  <c r="CV274" i="29"/>
  <c r="BT274" i="29"/>
  <c r="DH274" i="29"/>
  <c r="CO282" i="29"/>
  <c r="BO282" i="29"/>
  <c r="DE282" i="29"/>
  <c r="CB282" i="29"/>
  <c r="CQ282" i="29"/>
  <c r="BS282" i="29"/>
  <c r="DB290" i="29"/>
  <c r="CX290" i="29"/>
  <c r="BV290" i="29"/>
  <c r="CI290" i="29"/>
  <c r="CO290" i="29"/>
  <c r="CZ290" i="29"/>
  <c r="CB290" i="29"/>
  <c r="BR295" i="29"/>
  <c r="BO295" i="29"/>
  <c r="DD295" i="29"/>
  <c r="CQ295" i="29"/>
  <c r="CK295" i="29"/>
  <c r="DC295" i="29"/>
  <c r="CB554" i="29"/>
  <c r="BU554" i="29"/>
  <c r="BS554" i="29"/>
  <c r="CK554" i="29"/>
  <c r="DF554" i="29"/>
  <c r="CL554" i="29"/>
  <c r="DE562" i="29"/>
  <c r="DB562" i="29"/>
  <c r="CK562" i="29"/>
  <c r="DC562" i="29"/>
  <c r="BO562" i="29"/>
  <c r="CA562" i="29"/>
  <c r="DI570" i="29"/>
  <c r="CQ570" i="29"/>
  <c r="DF570" i="29"/>
  <c r="CX570" i="29"/>
  <c r="BQ570" i="29"/>
  <c r="CZ570" i="29"/>
  <c r="CK570" i="29"/>
  <c r="CV574" i="29"/>
  <c r="CJ574" i="29"/>
  <c r="CC574" i="29"/>
  <c r="DK574" i="29"/>
  <c r="CP574" i="29"/>
  <c r="DG574" i="29"/>
  <c r="BQ582" i="29"/>
  <c r="BX582" i="29"/>
  <c r="DB582" i="29"/>
  <c r="CK582" i="29"/>
  <c r="DA582" i="29"/>
  <c r="CP582" i="29"/>
  <c r="CR590" i="29"/>
  <c r="CP590" i="29"/>
  <c r="CF590" i="29"/>
  <c r="BT590" i="29"/>
  <c r="DL590" i="29"/>
  <c r="CV590" i="29"/>
  <c r="CS598" i="29"/>
  <c r="CP598" i="29"/>
  <c r="CG598" i="29"/>
  <c r="DB598" i="29"/>
  <c r="CB598" i="29"/>
  <c r="BP598" i="29"/>
  <c r="CQ598" i="29"/>
  <c r="DA606" i="29"/>
  <c r="CP606" i="29"/>
  <c r="CX606" i="29"/>
  <c r="CW606" i="29"/>
  <c r="CZ606" i="29"/>
  <c r="DH606" i="29"/>
  <c r="CS610" i="29"/>
  <c r="CD610" i="29"/>
  <c r="CL610" i="29"/>
  <c r="DE610" i="29"/>
  <c r="CE610" i="29"/>
  <c r="CV610" i="29"/>
  <c r="DA620" i="29"/>
  <c r="DI620" i="29"/>
  <c r="BV620" i="29"/>
  <c r="BY620" i="29"/>
  <c r="CL620" i="29"/>
  <c r="CN620" i="29"/>
  <c r="DI628" i="29"/>
  <c r="BR628" i="29"/>
  <c r="CI628" i="29"/>
  <c r="CA628" i="29"/>
  <c r="BO628" i="29"/>
  <c r="CR628" i="29"/>
  <c r="CV628" i="29"/>
  <c r="CD636" i="29"/>
  <c r="DK636" i="29"/>
  <c r="CX636" i="29"/>
  <c r="CQ636" i="29"/>
  <c r="CJ636" i="29"/>
  <c r="CV636" i="29"/>
  <c r="CM645" i="29"/>
  <c r="CE645" i="29"/>
  <c r="CS645" i="29"/>
  <c r="CX645" i="29"/>
  <c r="CA645" i="29"/>
  <c r="BS645" i="29"/>
  <c r="DC378" i="29"/>
  <c r="CV378" i="29"/>
  <c r="CG378" i="29"/>
  <c r="DG378" i="29"/>
  <c r="CO378" i="29"/>
  <c r="DA378" i="29"/>
  <c r="CS386" i="29"/>
  <c r="BU386" i="29"/>
  <c r="CE386" i="29"/>
  <c r="DA386" i="29"/>
  <c r="CO386" i="29"/>
  <c r="DF386" i="29"/>
  <c r="CK386" i="29"/>
  <c r="CZ398" i="29"/>
  <c r="BP398" i="29"/>
  <c r="BO398" i="29"/>
  <c r="DC398" i="29"/>
  <c r="CS398" i="29"/>
  <c r="DH398" i="29"/>
  <c r="CQ398" i="29"/>
  <c r="CC398" i="29"/>
  <c r="BP406" i="29"/>
  <c r="BU406" i="29"/>
  <c r="CO406" i="29"/>
  <c r="CI406" i="29"/>
  <c r="CX406" i="29"/>
  <c r="DH406" i="29"/>
  <c r="BV406" i="29"/>
  <c r="CR406" i="29"/>
  <c r="DC406" i="29"/>
  <c r="CI414" i="29"/>
  <c r="BP414" i="29"/>
  <c r="CU414" i="29"/>
  <c r="CH414" i="29"/>
  <c r="CZ414" i="29"/>
  <c r="BV414" i="29"/>
  <c r="BS414" i="29"/>
  <c r="CE414" i="29"/>
  <c r="CB414" i="29"/>
  <c r="DG418" i="29"/>
  <c r="CL418" i="29"/>
  <c r="CP418" i="29"/>
  <c r="CI418" i="29"/>
  <c r="CZ418" i="29"/>
  <c r="BV418" i="29"/>
  <c r="DB418" i="29"/>
  <c r="CV418" i="29"/>
  <c r="CG418" i="29"/>
  <c r="CH418" i="29"/>
  <c r="CN426" i="29"/>
  <c r="BX426" i="29"/>
  <c r="BR426" i="29"/>
  <c r="BT426" i="29"/>
  <c r="CQ426" i="29"/>
  <c r="CG426" i="29"/>
  <c r="CK426" i="29"/>
  <c r="CU426" i="29"/>
  <c r="DF426" i="29"/>
  <c r="DC434" i="29"/>
  <c r="CM434" i="29"/>
  <c r="DJ434" i="29"/>
  <c r="CY434" i="29"/>
  <c r="CG434" i="29"/>
  <c r="CU434" i="29"/>
  <c r="CQ434" i="29"/>
  <c r="CZ434" i="29"/>
  <c r="CS434" i="29"/>
  <c r="CA434" i="29"/>
  <c r="CP444" i="29"/>
  <c r="BO444" i="29"/>
  <c r="CM444" i="29"/>
  <c r="CW444" i="29"/>
  <c r="CT444" i="29"/>
  <c r="CG444" i="29"/>
  <c r="BS444" i="29"/>
  <c r="CF444" i="29"/>
  <c r="CR444" i="29"/>
  <c r="CY452" i="29"/>
  <c r="BY452" i="29"/>
  <c r="CQ452" i="29"/>
  <c r="DK452" i="29"/>
  <c r="DI452" i="29"/>
  <c r="DF452" i="29"/>
  <c r="CS452" i="29"/>
  <c r="DD452" i="29"/>
  <c r="DH452" i="29"/>
  <c r="DK460" i="29"/>
  <c r="CK460" i="29"/>
  <c r="DC460" i="29"/>
  <c r="BW460" i="29"/>
  <c r="BR460" i="29"/>
  <c r="BO460" i="29"/>
  <c r="CO460" i="29"/>
  <c r="BX460" i="29"/>
  <c r="CV460" i="29"/>
  <c r="CZ460" i="29"/>
  <c r="DA472" i="29"/>
  <c r="CR472" i="29"/>
  <c r="CC472" i="29"/>
  <c r="BO472" i="29"/>
  <c r="DI472" i="29"/>
  <c r="BZ472" i="29"/>
  <c r="CT472" i="29"/>
  <c r="CG472" i="29"/>
  <c r="CI472" i="29"/>
  <c r="CQ476" i="29"/>
  <c r="CL476" i="29"/>
  <c r="CY476" i="29"/>
  <c r="CI476" i="29"/>
  <c r="BX476" i="29"/>
  <c r="BZ476" i="29"/>
  <c r="BY476" i="29"/>
  <c r="CR476" i="29"/>
  <c r="DH476" i="29"/>
  <c r="DK202" i="29"/>
  <c r="CW202" i="29"/>
  <c r="CB202" i="29"/>
  <c r="CP202" i="29"/>
  <c r="DD202" i="29"/>
  <c r="CN202" i="29"/>
  <c r="CQ202" i="29"/>
  <c r="DJ202" i="29"/>
  <c r="CU202" i="29"/>
  <c r="BW202" i="29"/>
  <c r="BX210" i="29"/>
  <c r="CZ210" i="29"/>
  <c r="DE210" i="29"/>
  <c r="DB210" i="29"/>
  <c r="CT210" i="29"/>
  <c r="CH210" i="29"/>
  <c r="BR210" i="29"/>
  <c r="DL210" i="29"/>
  <c r="BQ210" i="29"/>
  <c r="CG218" i="29"/>
  <c r="DF218" i="29"/>
  <c r="CK218" i="29"/>
  <c r="CX218" i="29"/>
  <c r="DB218" i="29"/>
  <c r="BT218" i="29"/>
  <c r="CO218" i="29"/>
  <c r="DJ218" i="29"/>
  <c r="CF218" i="29"/>
  <c r="BP218" i="29"/>
  <c r="CD226" i="29"/>
  <c r="CK226" i="29"/>
  <c r="BV226" i="29"/>
  <c r="DF226" i="29"/>
  <c r="DC226" i="29"/>
  <c r="CX226" i="29"/>
  <c r="CS226" i="29"/>
  <c r="DE226" i="29"/>
  <c r="DG234" i="29"/>
  <c r="CD234" i="29"/>
  <c r="CZ234" i="29"/>
  <c r="DB234" i="29"/>
  <c r="CJ234" i="29"/>
  <c r="BY234" i="29"/>
  <c r="CN234" i="29"/>
  <c r="BR234" i="29"/>
  <c r="BO234" i="29"/>
  <c r="CW242" i="29"/>
  <c r="CE242" i="29"/>
  <c r="BT242" i="29"/>
  <c r="BW242" i="29"/>
  <c r="CZ242" i="29"/>
  <c r="CG242" i="29"/>
  <c r="DJ242" i="29"/>
  <c r="CY242" i="29"/>
  <c r="BP242" i="29"/>
  <c r="CV242" i="29"/>
  <c r="CQ250" i="29"/>
  <c r="DJ250" i="29"/>
  <c r="DK250" i="29"/>
  <c r="CL250" i="29"/>
  <c r="CU250" i="29"/>
  <c r="BR250" i="29"/>
  <c r="DE250" i="29"/>
  <c r="DC250" i="29"/>
  <c r="BZ250" i="29"/>
  <c r="DG258" i="29"/>
  <c r="BP258" i="29"/>
  <c r="DE258" i="29"/>
  <c r="CR258" i="29"/>
  <c r="CW258" i="29"/>
  <c r="CY258" i="29"/>
  <c r="BT258" i="29"/>
  <c r="CL258" i="29"/>
  <c r="BO258" i="29"/>
  <c r="CR268" i="29"/>
  <c r="DC268" i="29"/>
  <c r="DD268" i="29"/>
  <c r="DK268" i="29"/>
  <c r="CH268" i="29"/>
  <c r="CO268" i="29"/>
  <c r="DL268" i="29"/>
  <c r="CY268" i="29"/>
  <c r="DB268" i="29"/>
  <c r="CF268" i="29"/>
  <c r="BQ276" i="29"/>
  <c r="BW276" i="29"/>
  <c r="BX276" i="29"/>
  <c r="CU276" i="29"/>
  <c r="CN276" i="29"/>
  <c r="DJ276" i="29"/>
  <c r="CA276" i="29"/>
  <c r="DA276" i="29"/>
  <c r="CI276" i="29"/>
  <c r="BT284" i="29"/>
  <c r="CP284" i="29"/>
  <c r="BX284" i="29"/>
  <c r="BR284" i="29"/>
  <c r="CQ284" i="29"/>
  <c r="CS284" i="29"/>
  <c r="DG284" i="29"/>
  <c r="CK284" i="29"/>
  <c r="DL284" i="29"/>
  <c r="CX292" i="29"/>
  <c r="CC292" i="29"/>
  <c r="BW292" i="29"/>
  <c r="CS292" i="29"/>
  <c r="DB292" i="29"/>
  <c r="BS292" i="29"/>
  <c r="DL292" i="29"/>
  <c r="CT292" i="29"/>
  <c r="CF292" i="29"/>
  <c r="CQ301" i="29"/>
  <c r="BZ301" i="29"/>
  <c r="DD301" i="29"/>
  <c r="CH301" i="29"/>
  <c r="CN301" i="29"/>
  <c r="CV301" i="29"/>
  <c r="BT301" i="29"/>
  <c r="DJ301" i="29"/>
  <c r="BO301" i="29"/>
  <c r="DI556" i="29"/>
  <c r="CH556" i="29"/>
  <c r="CK556" i="29"/>
  <c r="BY556" i="29"/>
  <c r="CL556" i="29"/>
  <c r="DK556" i="29"/>
  <c r="DJ556" i="29"/>
  <c r="BP556" i="29"/>
  <c r="DH556" i="29"/>
  <c r="CR556" i="29"/>
  <c r="CE564" i="29"/>
  <c r="CR564" i="29"/>
  <c r="BR564" i="29"/>
  <c r="CD564" i="29"/>
  <c r="CF564" i="29"/>
  <c r="CT564" i="29"/>
  <c r="DI564" i="29"/>
  <c r="DG564" i="29"/>
  <c r="DA564" i="29"/>
  <c r="DF572" i="29"/>
  <c r="CE572" i="29"/>
  <c r="CC572" i="29"/>
  <c r="CG572" i="29"/>
  <c r="CT572" i="29"/>
  <c r="DI572" i="29"/>
  <c r="DB572" i="29"/>
  <c r="CF572" i="29"/>
  <c r="BX572" i="29"/>
  <c r="DL580" i="29"/>
  <c r="CL580" i="29"/>
  <c r="DE580" i="29"/>
  <c r="CX580" i="29"/>
  <c r="DA580" i="29"/>
  <c r="BU580" i="29"/>
  <c r="DI580" i="29"/>
  <c r="BR580" i="29"/>
  <c r="CJ580" i="29"/>
  <c r="DH580" i="29"/>
  <c r="DG588" i="29"/>
  <c r="CL588" i="29"/>
  <c r="BQ588" i="29"/>
  <c r="DC588" i="29"/>
  <c r="DK588" i="29"/>
  <c r="CP588" i="29"/>
  <c r="BU588" i="29"/>
  <c r="CT588" i="29"/>
  <c r="DI588" i="29"/>
  <c r="BR588" i="29"/>
  <c r="CN588" i="29"/>
  <c r="BX588" i="29"/>
  <c r="CR588" i="29"/>
  <c r="CY596" i="29"/>
  <c r="CD596" i="29"/>
  <c r="CQ596" i="29"/>
  <c r="DA596" i="29"/>
  <c r="DI596" i="29"/>
  <c r="CM596" i="29"/>
  <c r="BR596" i="29"/>
  <c r="CA596" i="29"/>
  <c r="CK596" i="29"/>
  <c r="CF596" i="29"/>
  <c r="CJ596" i="29"/>
  <c r="DH596" i="29"/>
  <c r="DK608" i="29"/>
  <c r="CP608" i="29"/>
  <c r="BU608" i="29"/>
  <c r="CC608" i="29"/>
  <c r="CQ608" i="29"/>
  <c r="DE608" i="29"/>
  <c r="CI608" i="29"/>
  <c r="DI608" i="29"/>
  <c r="BW608" i="29"/>
  <c r="BQ608" i="29"/>
  <c r="BX608" i="29"/>
  <c r="CZ608" i="29"/>
  <c r="DH608" i="29"/>
  <c r="CO618" i="29"/>
  <c r="DH618" i="29"/>
  <c r="DE618" i="29"/>
  <c r="DI618" i="29"/>
  <c r="CG618" i="29"/>
  <c r="CM618" i="29"/>
  <c r="BO618" i="29"/>
  <c r="BU618" i="29"/>
  <c r="BR618" i="29"/>
  <c r="BV618" i="29"/>
  <c r="CF618" i="29"/>
  <c r="DG618" i="29"/>
  <c r="DD626" i="29"/>
  <c r="CB626" i="29"/>
  <c r="CS626" i="29"/>
  <c r="CC626" i="29"/>
  <c r="CU626" i="29"/>
  <c r="BS626" i="29"/>
  <c r="CY626" i="29"/>
  <c r="CP626" i="29"/>
  <c r="DL626" i="29"/>
  <c r="CL626" i="29"/>
  <c r="CX626" i="29"/>
  <c r="CK626" i="29"/>
  <c r="CT626" i="29"/>
  <c r="BZ634" i="29"/>
  <c r="CQ634" i="29"/>
  <c r="CC634" i="29"/>
  <c r="BY634" i="29"/>
  <c r="DB634" i="29"/>
  <c r="CE634" i="29"/>
  <c r="CA634" i="29"/>
  <c r="CH634" i="29"/>
  <c r="DG634" i="29"/>
  <c r="CY634" i="29"/>
  <c r="CF634" i="29"/>
  <c r="DB638" i="29"/>
  <c r="CZ638" i="29"/>
  <c r="BX638" i="29"/>
  <c r="DC638" i="29"/>
  <c r="CI638" i="29"/>
  <c r="BQ638" i="29"/>
  <c r="CF638" i="29"/>
  <c r="CX638" i="29"/>
  <c r="CA638" i="29"/>
  <c r="CV638" i="29"/>
  <c r="BP638" i="29"/>
  <c r="BO638" i="29"/>
  <c r="DJ638" i="29"/>
  <c r="CX647" i="29"/>
  <c r="CC647" i="29"/>
  <c r="CU647" i="29"/>
  <c r="DE647" i="29"/>
  <c r="DG647" i="29"/>
  <c r="CL647" i="29"/>
  <c r="BQ647" i="29"/>
  <c r="CE647" i="29"/>
  <c r="CO647" i="29"/>
  <c r="CN647" i="29"/>
  <c r="CB647" i="29"/>
  <c r="CZ647" i="29"/>
  <c r="CZ376" i="29"/>
  <c r="BX376" i="29"/>
  <c r="BO376" i="29"/>
  <c r="CP376" i="29"/>
  <c r="DJ376" i="29"/>
  <c r="CR376" i="29"/>
  <c r="CS376" i="29"/>
  <c r="DG376" i="29"/>
  <c r="CA376" i="29"/>
  <c r="CQ376" i="29"/>
  <c r="CO376" i="29"/>
  <c r="CF376" i="29"/>
  <c r="CP384" i="29"/>
  <c r="DC384" i="29"/>
  <c r="CZ384" i="29"/>
  <c r="BX384" i="29"/>
  <c r="CR384" i="29"/>
  <c r="BO384" i="29"/>
  <c r="BZ384" i="29"/>
  <c r="CF384" i="29"/>
  <c r="BY384" i="29"/>
  <c r="CS384" i="29"/>
  <c r="CA384" i="29"/>
  <c r="DA384" i="29"/>
  <c r="CZ392" i="29"/>
  <c r="BX392" i="29"/>
  <c r="CR392" i="29"/>
  <c r="BO392" i="29"/>
  <c r="CP392" i="29"/>
  <c r="DJ392" i="29"/>
  <c r="CH392" i="29"/>
  <c r="CK392" i="29"/>
  <c r="DI392" i="29"/>
  <c r="CL392" i="29"/>
  <c r="DE392" i="29"/>
  <c r="BQ392" i="29"/>
  <c r="DL392" i="29"/>
  <c r="CP400" i="29"/>
  <c r="DJ400" i="29"/>
  <c r="CH400" i="29"/>
  <c r="CT400" i="29"/>
  <c r="BR400" i="29"/>
  <c r="CJ400" i="29"/>
  <c r="BS400" i="29"/>
  <c r="BV400" i="29"/>
  <c r="CG400" i="29"/>
  <c r="DA400" i="29"/>
  <c r="BP400" i="29"/>
  <c r="DI400" i="29"/>
  <c r="CY408" i="29"/>
  <c r="BW408" i="29"/>
  <c r="CU408" i="29"/>
  <c r="BS408" i="29"/>
  <c r="BR408" i="29"/>
  <c r="CZ408" i="29"/>
  <c r="CX408" i="29"/>
  <c r="CS408" i="29"/>
  <c r="DG408" i="29"/>
  <c r="CA408" i="29"/>
  <c r="DL408" i="29"/>
  <c r="BY408" i="29"/>
  <c r="DB408" i="29"/>
  <c r="DC420" i="29"/>
  <c r="CJ420" i="29"/>
  <c r="CU420" i="29"/>
  <c r="BY420" i="29"/>
  <c r="BV420" i="29"/>
  <c r="BT420" i="29"/>
  <c r="DA420" i="29"/>
  <c r="CA420" i="29"/>
  <c r="DG420" i="29"/>
  <c r="BP420" i="29"/>
  <c r="CL420" i="29"/>
  <c r="CS428" i="29"/>
  <c r="CL428" i="29"/>
  <c r="CB428" i="29"/>
  <c r="DC428" i="29"/>
  <c r="CK428" i="29"/>
  <c r="CN428" i="29"/>
  <c r="BO428" i="29"/>
  <c r="CJ428" i="29"/>
  <c r="CA428" i="29"/>
  <c r="CY428" i="29"/>
  <c r="CQ428" i="29"/>
  <c r="CF428" i="29"/>
  <c r="BT428" i="29"/>
  <c r="CO436" i="29"/>
  <c r="BO436" i="29"/>
  <c r="CF436" i="29"/>
  <c r="CG436" i="29"/>
  <c r="DD436" i="29"/>
  <c r="DH436" i="29"/>
  <c r="CP436" i="29"/>
  <c r="BU436" i="29"/>
  <c r="DK436" i="29"/>
  <c r="CS436" i="29"/>
  <c r="BP436" i="29"/>
  <c r="BV436" i="29"/>
  <c r="CO446" i="29"/>
  <c r="CF446" i="29"/>
  <c r="CZ446" i="29"/>
  <c r="DL446" i="29"/>
  <c r="BZ446" i="29"/>
  <c r="CM446" i="29"/>
  <c r="CH446" i="29"/>
  <c r="CW446" i="29"/>
  <c r="BV446" i="29"/>
  <c r="CT446" i="29"/>
  <c r="CL446" i="29"/>
  <c r="DJ446" i="29"/>
  <c r="CK446" i="29"/>
  <c r="BT454" i="29"/>
  <c r="BO454" i="29"/>
  <c r="CA454" i="29"/>
  <c r="BQ454" i="29"/>
  <c r="CZ454" i="29"/>
  <c r="CF454" i="29"/>
  <c r="DK454" i="29"/>
  <c r="BP454" i="29"/>
  <c r="DI454" i="29"/>
  <c r="CY454" i="29"/>
  <c r="CN454" i="29"/>
  <c r="CJ454" i="29"/>
  <c r="DI466" i="29"/>
  <c r="CM466" i="29"/>
  <c r="BR466" i="29"/>
  <c r="CU466" i="29"/>
  <c r="BZ466" i="29"/>
  <c r="CY466" i="29"/>
  <c r="DE466" i="29"/>
  <c r="DB466" i="29"/>
  <c r="CQ466" i="29"/>
  <c r="BQ466" i="29"/>
  <c r="BP466" i="29"/>
  <c r="DH466" i="29"/>
  <c r="CZ466" i="29"/>
  <c r="DH473" i="29"/>
  <c r="CY473" i="29"/>
  <c r="CB473" i="29"/>
  <c r="CR473" i="29"/>
  <c r="CP473" i="29"/>
  <c r="BY473" i="29"/>
  <c r="CH473" i="29"/>
  <c r="BQ473" i="29"/>
  <c r="BV473" i="29"/>
  <c r="DI473" i="29"/>
  <c r="DA473" i="29"/>
  <c r="CD473" i="29"/>
  <c r="DK204" i="29"/>
  <c r="CE204" i="29"/>
  <c r="CY204" i="29"/>
  <c r="BS204" i="29"/>
  <c r="DJ204" i="29"/>
  <c r="CH204" i="29"/>
  <c r="BR204" i="29"/>
  <c r="BX204" i="29"/>
  <c r="BY204" i="29"/>
  <c r="CZ204" i="29"/>
  <c r="CB204" i="29"/>
  <c r="DA204" i="29"/>
  <c r="CC204" i="29"/>
  <c r="CE212" i="29"/>
  <c r="BW212" i="29"/>
  <c r="CH212" i="29"/>
  <c r="CA212" i="29"/>
  <c r="CK212" i="29"/>
  <c r="CB212" i="29"/>
  <c r="DI212" i="29"/>
  <c r="DJ212" i="29"/>
  <c r="CI212" i="29"/>
  <c r="BX212" i="29"/>
  <c r="CO212" i="29"/>
  <c r="DB212" i="29"/>
  <c r="DK224" i="29"/>
  <c r="DC224" i="29"/>
  <c r="BZ224" i="29"/>
  <c r="CX224" i="29"/>
  <c r="DG224" i="29"/>
  <c r="CD224" i="29"/>
  <c r="CV224" i="29"/>
  <c r="CC224" i="29"/>
  <c r="DD224" i="29"/>
  <c r="CR224" i="29"/>
  <c r="BY224" i="29"/>
  <c r="BV224" i="29"/>
  <c r="CZ224" i="29"/>
  <c r="BW232" i="29"/>
  <c r="BO232" i="29"/>
  <c r="DF232" i="29"/>
  <c r="BS232" i="29"/>
  <c r="BQ232" i="29"/>
  <c r="DJ232" i="29"/>
  <c r="CQ232" i="29"/>
  <c r="CT232" i="29"/>
  <c r="DE232" i="29"/>
  <c r="CB232" i="29"/>
  <c r="CL232" i="29"/>
  <c r="DB232" i="29"/>
  <c r="DK240" i="29"/>
  <c r="DC240" i="29"/>
  <c r="DF240" i="29"/>
  <c r="CH240" i="29"/>
  <c r="CW240" i="29"/>
  <c r="DI240" i="29"/>
  <c r="DJ240" i="29"/>
  <c r="DA240" i="29"/>
  <c r="CN240" i="29"/>
  <c r="DB240" i="29"/>
  <c r="DE240" i="29"/>
  <c r="CZ240" i="29"/>
  <c r="CJ240" i="29"/>
  <c r="CG248" i="29"/>
  <c r="CO248" i="29"/>
  <c r="DF248" i="29"/>
  <c r="BP248" i="29"/>
  <c r="CD248" i="29"/>
  <c r="CA248" i="29"/>
  <c r="CN248" i="29"/>
  <c r="CP248" i="29"/>
  <c r="CK248" i="29"/>
  <c r="DE248" i="29"/>
  <c r="CB248" i="29"/>
  <c r="CJ248" i="29"/>
  <c r="CH256" i="29"/>
  <c r="CW256" i="29"/>
  <c r="CD256" i="29"/>
  <c r="DG256" i="29"/>
  <c r="DE256" i="29"/>
  <c r="CP256" i="29"/>
  <c r="BX256" i="29"/>
  <c r="DF256" i="29"/>
  <c r="BY256" i="29"/>
  <c r="CZ256" i="29"/>
  <c r="BT256" i="29"/>
  <c r="CB256" i="29"/>
  <c r="CJ256" i="29"/>
  <c r="BR270" i="29"/>
  <c r="CT270" i="29"/>
  <c r="DE270" i="29"/>
  <c r="BW270" i="29"/>
  <c r="CS270" i="29"/>
  <c r="CY270" i="29"/>
  <c r="BT270" i="29"/>
  <c r="CD270" i="29"/>
  <c r="CQ270" i="29"/>
  <c r="CX270" i="29"/>
  <c r="DA270" i="29"/>
  <c r="DB270" i="29"/>
  <c r="CX278" i="29"/>
  <c r="CH278" i="29"/>
  <c r="CT278" i="29"/>
  <c r="BY278" i="29"/>
  <c r="BZ278" i="29"/>
  <c r="CZ278" i="29"/>
  <c r="CA278" i="29"/>
  <c r="DH278" i="29"/>
  <c r="DA278" i="29"/>
  <c r="BP278" i="29"/>
  <c r="DG278" i="29"/>
  <c r="DD278" i="29"/>
  <c r="BX278" i="29"/>
  <c r="CI286" i="29"/>
  <c r="CU286" i="29"/>
  <c r="CW286" i="29"/>
  <c r="CC286" i="29"/>
  <c r="CO286" i="29"/>
  <c r="CJ286" i="29"/>
  <c r="BZ286" i="29"/>
  <c r="DG286" i="29"/>
  <c r="BV286" i="29"/>
  <c r="CS286" i="29"/>
  <c r="DB286" i="29"/>
  <c r="BO286" i="29"/>
  <c r="CJ299" i="29"/>
  <c r="DK299" i="29"/>
  <c r="BT299" i="29"/>
  <c r="CP299" i="29"/>
  <c r="BY299" i="29"/>
  <c r="BO299" i="29"/>
  <c r="BR299" i="29"/>
  <c r="CN299" i="29"/>
  <c r="CD299" i="29"/>
  <c r="DB299" i="29"/>
  <c r="DA299" i="29"/>
  <c r="CK299" i="29"/>
  <c r="DL299" i="29"/>
  <c r="BS550" i="29"/>
  <c r="DD550" i="29"/>
  <c r="CJ550" i="29"/>
  <c r="CD550" i="29"/>
  <c r="CB550" i="29"/>
  <c r="BV550" i="29"/>
  <c r="CE550" i="29"/>
  <c r="BT550" i="29"/>
  <c r="BZ550" i="29"/>
  <c r="CG550" i="29"/>
  <c r="CV550" i="29"/>
  <c r="BR550" i="29"/>
  <c r="DI558" i="29"/>
  <c r="CC558" i="29"/>
  <c r="BY558" i="29"/>
  <c r="BW558" i="29"/>
  <c r="CI558" i="29"/>
  <c r="CG558" i="29"/>
  <c r="BO558" i="29"/>
  <c r="CB558" i="29"/>
  <c r="DF558" i="29"/>
  <c r="DD558" i="29"/>
  <c r="BP558" i="29"/>
  <c r="BT558" i="29"/>
  <c r="CN558" i="29"/>
  <c r="BO566" i="29"/>
  <c r="CH566" i="29"/>
  <c r="CJ566" i="29"/>
  <c r="BP566" i="29"/>
  <c r="DA566" i="29"/>
  <c r="BY566" i="29"/>
  <c r="CA566" i="29"/>
  <c r="CX566" i="29"/>
  <c r="CT566" i="29"/>
  <c r="CK566" i="29"/>
  <c r="CW566" i="29"/>
  <c r="CN566" i="29"/>
  <c r="CH578" i="29"/>
  <c r="CU578" i="29"/>
  <c r="DK578" i="29"/>
  <c r="CG578" i="29"/>
  <c r="DB578" i="29"/>
  <c r="BU578" i="29"/>
  <c r="DH578" i="29"/>
  <c r="DL578" i="29"/>
  <c r="CA578" i="29"/>
  <c r="DI578" i="29"/>
  <c r="BP578" i="29"/>
  <c r="CY578" i="29"/>
  <c r="CE578" i="29"/>
  <c r="BT586" i="29"/>
  <c r="CJ586" i="29"/>
  <c r="CF586" i="29"/>
  <c r="DI586" i="29"/>
  <c r="BW586" i="29"/>
  <c r="DC586" i="29"/>
  <c r="DF586" i="29"/>
  <c r="CI586" i="29"/>
  <c r="CV586" i="29"/>
  <c r="CC586" i="29"/>
  <c r="CW586" i="29"/>
  <c r="CX586" i="29"/>
  <c r="DD594" i="29"/>
  <c r="BT594" i="29"/>
  <c r="DA594" i="29"/>
  <c r="CI594" i="29"/>
  <c r="DB594" i="29"/>
  <c r="CB594" i="29"/>
  <c r="CT594" i="29"/>
  <c r="CX594" i="29"/>
  <c r="BW594" i="29"/>
  <c r="DJ594" i="29"/>
  <c r="BU594" i="29"/>
  <c r="DF594" i="29"/>
  <c r="DC594" i="29"/>
  <c r="CU602" i="29"/>
  <c r="DG602" i="29"/>
  <c r="DA602" i="29"/>
  <c r="CJ602" i="29"/>
  <c r="DB602" i="29"/>
  <c r="CA602" i="29"/>
  <c r="CT602" i="29"/>
  <c r="BT602" i="29"/>
  <c r="DD602" i="29"/>
  <c r="CP602" i="29"/>
  <c r="CS602" i="29"/>
  <c r="DH602" i="29"/>
  <c r="CY616" i="29"/>
  <c r="BW616" i="29"/>
  <c r="BY616" i="29"/>
  <c r="DK616" i="29"/>
  <c r="CI616" i="29"/>
  <c r="CU616" i="29"/>
  <c r="CZ616" i="29"/>
  <c r="CL616" i="29"/>
  <c r="DJ616" i="29"/>
  <c r="CH616" i="29"/>
  <c r="CT616" i="29"/>
  <c r="CQ616" i="29"/>
  <c r="CP616" i="29"/>
  <c r="CX624" i="29"/>
  <c r="CC624" i="29"/>
  <c r="DA624" i="29"/>
  <c r="CY624" i="29"/>
  <c r="DB624" i="29"/>
  <c r="CG624" i="29"/>
  <c r="DF624" i="29"/>
  <c r="BO624" i="29"/>
  <c r="CO624" i="29"/>
  <c r="CJ624" i="29"/>
  <c r="BX624" i="29"/>
  <c r="CF624" i="29"/>
  <c r="DG632" i="29"/>
  <c r="CL632" i="29"/>
  <c r="BQ632" i="29"/>
  <c r="BS632" i="29"/>
  <c r="CC632" i="29"/>
  <c r="DA632" i="29"/>
  <c r="CE632" i="29"/>
  <c r="DJ632" i="29"/>
  <c r="BY632" i="29"/>
  <c r="BW632" i="29"/>
  <c r="CB632" i="29"/>
  <c r="DD632" i="29"/>
  <c r="CV632" i="29"/>
  <c r="CK640" i="29"/>
  <c r="DJ640" i="29"/>
  <c r="DI640" i="29"/>
  <c r="DL640" i="29"/>
  <c r="CJ640" i="29"/>
  <c r="CH640" i="29"/>
  <c r="BR640" i="29"/>
  <c r="BQ640" i="29"/>
  <c r="BS640" i="29"/>
  <c r="BW640" i="29"/>
  <c r="CB640" i="29"/>
  <c r="CE640" i="29"/>
  <c r="DA649" i="29"/>
  <c r="DI649" i="29"/>
  <c r="CG649" i="29"/>
  <c r="DE649" i="29"/>
  <c r="DJ649" i="29"/>
  <c r="CN649" i="29"/>
  <c r="CL649" i="29"/>
  <c r="DF649" i="29"/>
  <c r="CJ649" i="29"/>
  <c r="DB649" i="29"/>
  <c r="CH649" i="29"/>
  <c r="CR649" i="29"/>
  <c r="DK649" i="29"/>
  <c r="BO374" i="29"/>
  <c r="CO374" i="29"/>
  <c r="DG374" i="29"/>
  <c r="CL374" i="29"/>
  <c r="CX374" i="29"/>
  <c r="BQ374" i="29"/>
  <c r="BV374" i="29"/>
  <c r="BT374" i="29"/>
  <c r="DH374" i="29"/>
  <c r="CS374" i="29"/>
  <c r="BR374" i="29"/>
  <c r="CR374" i="29"/>
  <c r="DE382" i="29"/>
  <c r="DL382" i="29"/>
  <c r="CO382" i="29"/>
  <c r="CV382" i="29"/>
  <c r="DA382" i="29"/>
  <c r="DC382" i="29"/>
  <c r="DH382" i="29"/>
  <c r="CU382" i="29"/>
  <c r="CH382" i="29"/>
  <c r="CG382" i="29"/>
  <c r="CW382" i="29"/>
  <c r="BS382" i="29"/>
  <c r="CN382" i="29"/>
  <c r="CD390" i="29"/>
  <c r="CK390" i="29"/>
  <c r="CJ390" i="29"/>
  <c r="CP390" i="29"/>
  <c r="DK390" i="29"/>
  <c r="CG390" i="29"/>
  <c r="DI390" i="29"/>
  <c r="BV390" i="29"/>
  <c r="CI390" i="29"/>
  <c r="BX390" i="29"/>
  <c r="CA390" i="29"/>
  <c r="BS390" i="29"/>
  <c r="CH394" i="29"/>
  <c r="CM394" i="29"/>
  <c r="BR394" i="29"/>
  <c r="DD394" i="29"/>
  <c r="CU394" i="29"/>
  <c r="DB394" i="29"/>
  <c r="DI394" i="29"/>
  <c r="CL394" i="29"/>
  <c r="DH394" i="29"/>
  <c r="BX394" i="29"/>
  <c r="CF394" i="29"/>
  <c r="CB394" i="29"/>
  <c r="DA394" i="29"/>
  <c r="CO402" i="29"/>
  <c r="BV402" i="29"/>
  <c r="DA402" i="29"/>
  <c r="DK402" i="29"/>
  <c r="CG402" i="29"/>
  <c r="CP402" i="29"/>
  <c r="BQ402" i="29"/>
  <c r="CA402" i="29"/>
  <c r="DG402" i="29"/>
  <c r="CJ402" i="29"/>
  <c r="BP402" i="29"/>
  <c r="CI402" i="29"/>
  <c r="CX410" i="29"/>
  <c r="CM410" i="29"/>
  <c r="CS410" i="29"/>
  <c r="BY410" i="29"/>
  <c r="CE410" i="29"/>
  <c r="BX410" i="29"/>
  <c r="DF410" i="29"/>
  <c r="CA410" i="29"/>
  <c r="CW410" i="29"/>
  <c r="BS410" i="29"/>
  <c r="CY410" i="29"/>
  <c r="BT410" i="29"/>
  <c r="CP410" i="29"/>
  <c r="CI422" i="29"/>
  <c r="CV422" i="29"/>
  <c r="CE726" i="29"/>
  <c r="CR726" i="29"/>
  <c r="CY726" i="29"/>
  <c r="CF726" i="29"/>
  <c r="CV726" i="29"/>
  <c r="CL730" i="29"/>
  <c r="DG730" i="29"/>
  <c r="DI730" i="29"/>
  <c r="DK730" i="29"/>
  <c r="CH730" i="29"/>
  <c r="DE730" i="29"/>
  <c r="BZ730" i="29"/>
  <c r="CE734" i="29"/>
  <c r="BX734" i="29"/>
  <c r="CS734" i="29"/>
  <c r="CG734" i="29"/>
  <c r="CZ734" i="29"/>
  <c r="CV734" i="29"/>
  <c r="CB738" i="29"/>
  <c r="DB738" i="29"/>
  <c r="CQ738" i="29"/>
  <c r="CV738" i="29"/>
  <c r="CH738" i="29"/>
  <c r="BZ738" i="29"/>
  <c r="BW742" i="29"/>
  <c r="DG742" i="29"/>
  <c r="DB742" i="29"/>
  <c r="DJ742" i="29"/>
  <c r="CH742" i="29"/>
  <c r="CO742" i="29"/>
  <c r="CL746" i="29"/>
  <c r="BO746" i="29"/>
  <c r="CV746" i="29"/>
  <c r="CH746" i="29"/>
  <c r="DG746" i="29"/>
  <c r="CO746" i="29"/>
  <c r="DE746" i="29"/>
  <c r="DJ750" i="29"/>
  <c r="CF750" i="29"/>
  <c r="BU750" i="29"/>
  <c r="CO750" i="29"/>
  <c r="BT750" i="29"/>
  <c r="CJ750" i="29"/>
  <c r="BT754" i="29"/>
  <c r="DB754" i="29"/>
  <c r="CQ754" i="29"/>
  <c r="CV754" i="29"/>
  <c r="BR754" i="29"/>
  <c r="CO754" i="29"/>
  <c r="DA758" i="29"/>
  <c r="DI758" i="29"/>
  <c r="BR758" i="29"/>
  <c r="CA758" i="29"/>
  <c r="BS758" i="29"/>
  <c r="CJ758" i="29"/>
  <c r="DG762" i="29"/>
  <c r="BQ762" i="29"/>
  <c r="BY762" i="29"/>
  <c r="CM762" i="29"/>
  <c r="CP762" i="29"/>
  <c r="BT762" i="29"/>
  <c r="DD762" i="29"/>
  <c r="CE766" i="29"/>
  <c r="CM766" i="29"/>
  <c r="BV766" i="29"/>
  <c r="DE766" i="29"/>
  <c r="CF766" i="29"/>
  <c r="DH766" i="29"/>
  <c r="DD770" i="29"/>
  <c r="DF770" i="29"/>
  <c r="CM770" i="29"/>
  <c r="BR770" i="29"/>
  <c r="DJ770" i="29"/>
  <c r="CP770" i="29"/>
  <c r="CN774" i="29"/>
  <c r="CD774" i="29"/>
  <c r="CI774" i="29"/>
  <c r="BX774" i="29"/>
  <c r="BY774" i="29"/>
  <c r="CF774" i="29"/>
  <c r="BZ778" i="29"/>
  <c r="CM778" i="29"/>
  <c r="DK778" i="29"/>
  <c r="CX778" i="29"/>
  <c r="DC778" i="29"/>
  <c r="CN778" i="29"/>
  <c r="CS778" i="29"/>
  <c r="DH782" i="29"/>
  <c r="CJ782" i="29"/>
  <c r="CN782" i="29"/>
  <c r="CA782" i="29"/>
  <c r="BQ782" i="29"/>
  <c r="BP782" i="29"/>
  <c r="CX786" i="29"/>
  <c r="BZ786" i="29"/>
  <c r="CC786" i="29"/>
  <c r="BY786" i="29"/>
  <c r="CQ786" i="29"/>
  <c r="CV786" i="29"/>
  <c r="DA792" i="29"/>
  <c r="DI792" i="29"/>
  <c r="BR792" i="29"/>
  <c r="CI792" i="29"/>
  <c r="BQ792" i="29"/>
  <c r="DH792" i="29"/>
  <c r="DK796" i="29"/>
  <c r="BU796" i="29"/>
  <c r="CC796" i="29"/>
  <c r="CY796" i="29"/>
  <c r="CA796" i="29"/>
  <c r="CB796" i="29"/>
  <c r="CF796" i="29"/>
  <c r="DH800" i="29"/>
  <c r="CN800" i="29"/>
  <c r="CR800" i="29"/>
  <c r="BV800" i="29"/>
  <c r="CK800" i="29"/>
  <c r="CL800" i="29"/>
  <c r="BO804" i="29"/>
  <c r="CR804" i="29"/>
  <c r="DD804" i="29"/>
  <c r="DE804" i="29"/>
  <c r="CC804" i="29"/>
  <c r="CA804" i="29"/>
  <c r="CK808" i="29"/>
  <c r="BZ808" i="29"/>
  <c r="CV808" i="29"/>
  <c r="CX808" i="29"/>
  <c r="BW808" i="29"/>
  <c r="BQ808" i="29"/>
  <c r="CL812" i="29"/>
  <c r="CV812" i="29"/>
  <c r="DF812" i="29"/>
  <c r="CU812" i="29"/>
  <c r="CE812" i="29"/>
  <c r="CC812" i="29"/>
  <c r="DL812" i="29"/>
  <c r="CY816" i="29"/>
  <c r="CJ816" i="29"/>
  <c r="CS816" i="29"/>
  <c r="BU816" i="29"/>
  <c r="CT816" i="29"/>
  <c r="BW816" i="29"/>
  <c r="DE821" i="29"/>
  <c r="BT821" i="29"/>
  <c r="BS821" i="29"/>
  <c r="BQ821" i="29"/>
  <c r="CG821" i="29"/>
  <c r="CS821" i="29"/>
  <c r="CO825" i="29"/>
  <c r="CE825" i="29"/>
  <c r="BS825" i="29"/>
  <c r="CJ825" i="29"/>
  <c r="CL825" i="29"/>
  <c r="BP825" i="29"/>
  <c r="DG898" i="29"/>
  <c r="BQ898" i="29"/>
  <c r="BZ898" i="29"/>
  <c r="CY898" i="29"/>
  <c r="CC898" i="29"/>
  <c r="BP898" i="29"/>
  <c r="CJ898" i="29"/>
  <c r="CC902" i="29"/>
  <c r="CG902" i="29"/>
  <c r="BO902" i="29"/>
  <c r="DJ902" i="29"/>
  <c r="CF902" i="29"/>
  <c r="DH902" i="29"/>
  <c r="CD906" i="29"/>
  <c r="CC906" i="29"/>
  <c r="CQ906" i="29"/>
  <c r="BO906" i="29"/>
  <c r="DL906" i="29"/>
  <c r="DC906" i="29"/>
  <c r="DA910" i="29"/>
  <c r="DJ910" i="29"/>
  <c r="BS910" i="29"/>
  <c r="CH910" i="29"/>
  <c r="BQ910" i="29"/>
  <c r="CV910" i="29"/>
  <c r="DH914" i="29"/>
  <c r="CC914" i="29"/>
  <c r="DA914" i="29"/>
  <c r="BX914" i="29"/>
  <c r="CB914" i="29"/>
  <c r="CH914" i="29"/>
  <c r="CW914" i="29"/>
  <c r="CR918" i="29"/>
  <c r="CD918" i="29"/>
  <c r="DJ918" i="29"/>
  <c r="CT918" i="29"/>
  <c r="BY918" i="29"/>
  <c r="DD918" i="29"/>
  <c r="BZ922" i="29"/>
  <c r="BR922" i="29"/>
  <c r="DK922" i="29"/>
  <c r="CS922" i="29"/>
  <c r="CA922" i="29"/>
  <c r="CG922" i="29"/>
  <c r="BW926" i="29"/>
  <c r="CE926" i="29"/>
  <c r="CT926" i="29"/>
  <c r="DD926" i="29"/>
  <c r="BS926" i="29"/>
  <c r="CJ926" i="29"/>
  <c r="CY930" i="29"/>
  <c r="CX930" i="29"/>
  <c r="BR930" i="29"/>
  <c r="CH930" i="29"/>
  <c r="DG930" i="29"/>
  <c r="DL930" i="29"/>
  <c r="DB930" i="29"/>
  <c r="CK934" i="29"/>
  <c r="BV934" i="29"/>
  <c r="CR934" i="29"/>
  <c r="CB934" i="29"/>
  <c r="CO934" i="29"/>
  <c r="CM934" i="29"/>
  <c r="BZ938" i="29"/>
  <c r="BR938" i="29"/>
  <c r="BO938" i="29"/>
  <c r="CS938" i="29"/>
  <c r="CA938" i="29"/>
  <c r="CG938" i="29"/>
  <c r="DF942" i="29"/>
  <c r="CI942" i="29"/>
  <c r="CG942" i="29"/>
  <c r="BV942" i="29"/>
  <c r="CY942" i="29"/>
  <c r="BW942" i="29"/>
  <c r="DC946" i="29"/>
  <c r="CT946" i="29"/>
  <c r="BO946" i="29"/>
  <c r="CI946" i="29"/>
  <c r="DG946" i="29"/>
  <c r="DL946" i="29"/>
  <c r="CW946" i="29"/>
  <c r="DB950" i="29"/>
  <c r="CY950" i="29"/>
  <c r="CS950" i="29"/>
  <c r="CZ950" i="29"/>
  <c r="CB950" i="29"/>
  <c r="DH950" i="29"/>
  <c r="BW954" i="29"/>
  <c r="BT954" i="29"/>
  <c r="BR954" i="29"/>
  <c r="CS954" i="29"/>
  <c r="CA954" i="29"/>
  <c r="CG954" i="29"/>
  <c r="BV958" i="29"/>
  <c r="BZ958" i="29"/>
  <c r="CD958" i="29"/>
  <c r="DJ958" i="29"/>
  <c r="CX958" i="29"/>
  <c r="CV958" i="29"/>
  <c r="DD964" i="29"/>
  <c r="CS964" i="29"/>
  <c r="DI964" i="29"/>
  <c r="DL964" i="29"/>
  <c r="DG964" i="29"/>
  <c r="CG964" i="29"/>
  <c r="BV964" i="29"/>
  <c r="BR968" i="29"/>
  <c r="CK968" i="29"/>
  <c r="BV968" i="29"/>
  <c r="CF968" i="29"/>
  <c r="BS968" i="29"/>
  <c r="BT968" i="29"/>
  <c r="CC972" i="29"/>
  <c r="BR972" i="29"/>
  <c r="BZ972" i="29"/>
  <c r="CI972" i="29"/>
  <c r="CL972" i="29"/>
  <c r="BV972" i="29"/>
  <c r="CN976" i="29"/>
  <c r="BP976" i="29"/>
  <c r="CO976" i="29"/>
  <c r="CU976" i="29"/>
  <c r="CT976" i="29"/>
  <c r="BU976" i="29"/>
  <c r="DE980" i="29"/>
  <c r="CS980" i="29"/>
  <c r="CT980" i="29"/>
  <c r="BW980" i="29"/>
  <c r="CU980" i="29"/>
  <c r="DD980" i="29"/>
  <c r="BP980" i="29"/>
  <c r="CS984" i="29"/>
  <c r="CO984" i="29"/>
  <c r="CA984" i="29"/>
  <c r="BS984" i="29"/>
  <c r="BW984" i="29"/>
  <c r="CU984" i="29"/>
  <c r="CK988" i="29"/>
  <c r="CP988" i="29"/>
  <c r="BX988" i="29"/>
  <c r="CH988" i="29"/>
  <c r="BW988" i="29"/>
  <c r="CB988" i="29"/>
  <c r="CI993" i="29"/>
  <c r="CB993" i="29"/>
  <c r="BO993" i="29"/>
  <c r="BZ993" i="29"/>
  <c r="BT993" i="29"/>
  <c r="CK993" i="29"/>
  <c r="CV997" i="29"/>
  <c r="CT997" i="29"/>
  <c r="DK997" i="29"/>
  <c r="DL997" i="29"/>
  <c r="CF997" i="29"/>
  <c r="CW997" i="29"/>
  <c r="BU997" i="29"/>
  <c r="CC373" i="29"/>
  <c r="CL373" i="29"/>
  <c r="CI373" i="29"/>
  <c r="BR373" i="29"/>
  <c r="BW373" i="29"/>
  <c r="BX373" i="29"/>
  <c r="CM377" i="29"/>
  <c r="DK377" i="29"/>
  <c r="BU377" i="29"/>
  <c r="CD377" i="29"/>
  <c r="BV377" i="29"/>
  <c r="DD377" i="29"/>
  <c r="CY381" i="29"/>
  <c r="CC381" i="29"/>
  <c r="CA381" i="29"/>
  <c r="CK381" i="29"/>
  <c r="CM381" i="29"/>
  <c r="DH381" i="29"/>
  <c r="DK385" i="29"/>
  <c r="BU385" i="29"/>
  <c r="CX385" i="29"/>
  <c r="DB385" i="29"/>
  <c r="DE385" i="29"/>
  <c r="CB385" i="29"/>
  <c r="CV385" i="29"/>
  <c r="CA389" i="29"/>
  <c r="BZ389" i="29"/>
  <c r="CD389" i="29"/>
  <c r="CH389" i="29"/>
  <c r="CJ389" i="29"/>
  <c r="BX389" i="29"/>
  <c r="CM393" i="29"/>
  <c r="CQ393" i="29"/>
  <c r="DA393" i="29"/>
  <c r="DJ393" i="29"/>
  <c r="BS393" i="29"/>
  <c r="DD393" i="29"/>
  <c r="CY397" i="29"/>
  <c r="CS397" i="29"/>
  <c r="CW397" i="29"/>
  <c r="DF397" i="29"/>
  <c r="BO397" i="29"/>
  <c r="DH397" i="29"/>
  <c r="DK401" i="29"/>
  <c r="BU401" i="29"/>
  <c r="BY401" i="29"/>
  <c r="CC401" i="29"/>
  <c r="CG401" i="29"/>
  <c r="CB401" i="29"/>
  <c r="CV401" i="29"/>
  <c r="CE405" i="29"/>
  <c r="CM405" i="29"/>
  <c r="BV405" i="29"/>
  <c r="CL405" i="29"/>
  <c r="CJ405" i="29"/>
  <c r="BX405" i="29"/>
  <c r="CL409" i="29"/>
  <c r="CT409" i="29"/>
  <c r="CM409" i="29"/>
  <c r="DC409" i="29"/>
  <c r="BU409" i="29"/>
  <c r="DD409" i="29"/>
  <c r="CX413" i="29"/>
  <c r="DF413" i="29"/>
  <c r="BO413" i="29"/>
  <c r="BV413" i="29"/>
  <c r="CL413" i="29"/>
  <c r="DH413" i="29"/>
  <c r="CZ417" i="29"/>
  <c r="CW417" i="29"/>
  <c r="CY417" i="29"/>
  <c r="CR417" i="29"/>
  <c r="DF417" i="29"/>
  <c r="DG417" i="29"/>
  <c r="CV417" i="29"/>
  <c r="CW421" i="29"/>
  <c r="CG421" i="29"/>
  <c r="CT421" i="29"/>
  <c r="BV421" i="29"/>
  <c r="CH421" i="29"/>
  <c r="BR421" i="29"/>
  <c r="BW425" i="29"/>
  <c r="BS425" i="29"/>
  <c r="CZ425" i="29"/>
  <c r="CH425" i="29"/>
  <c r="CQ425" i="29"/>
  <c r="CT425" i="29"/>
  <c r="BU429" i="29"/>
  <c r="DJ429" i="29"/>
  <c r="CB429" i="29"/>
  <c r="CN429" i="29"/>
  <c r="CH429" i="29"/>
  <c r="CS429" i="29"/>
  <c r="CZ433" i="29"/>
  <c r="CW433" i="29"/>
  <c r="BS433" i="29"/>
  <c r="CY433" i="29"/>
  <c r="DJ433" i="29"/>
  <c r="DA433" i="29"/>
  <c r="CQ433" i="29"/>
  <c r="CA437" i="29"/>
  <c r="CI437" i="29"/>
  <c r="DB437" i="29"/>
  <c r="BR437" i="29"/>
  <c r="CZ437" i="29"/>
  <c r="DD437" i="29"/>
  <c r="CA443" i="29"/>
  <c r="DE443" i="29"/>
  <c r="CM443" i="29"/>
  <c r="BR443" i="29"/>
  <c r="CP443" i="29"/>
  <c r="CS443" i="29"/>
  <c r="BS447" i="29"/>
  <c r="DF447" i="29"/>
  <c r="CG447" i="29"/>
  <c r="BY447" i="29"/>
  <c r="CL447" i="29"/>
  <c r="DG447" i="29"/>
  <c r="CM451" i="29"/>
  <c r="DF451" i="29"/>
  <c r="CW451" i="29"/>
  <c r="BS451" i="29"/>
  <c r="CS451" i="29"/>
  <c r="DL451" i="29"/>
  <c r="CL455" i="29"/>
  <c r="CG455" i="29"/>
  <c r="BV455" i="29"/>
  <c r="BR455" i="29"/>
  <c r="DB455" i="29"/>
  <c r="CN455" i="29"/>
  <c r="BO455" i="29"/>
  <c r="CY459" i="29"/>
  <c r="DH459" i="29"/>
  <c r="DI459" i="29"/>
  <c r="DA459" i="29"/>
  <c r="DL459" i="29"/>
  <c r="CE459" i="29"/>
  <c r="CB463" i="29"/>
  <c r="CN463" i="29"/>
  <c r="CV463" i="29"/>
  <c r="DG463" i="29"/>
  <c r="BU463" i="29"/>
  <c r="BV463" i="29"/>
  <c r="CM467" i="29"/>
  <c r="BZ467" i="29"/>
  <c r="BX467" i="29"/>
  <c r="CY467" i="29"/>
  <c r="BR467" i="29"/>
  <c r="DA467" i="29"/>
  <c r="DL201" i="29"/>
  <c r="CW201" i="29"/>
  <c r="CP201" i="29"/>
  <c r="BS201" i="29"/>
  <c r="BT201" i="29"/>
  <c r="CU201" i="29"/>
  <c r="CN201" i="29"/>
  <c r="BR205" i="29"/>
  <c r="CT205" i="29"/>
  <c r="DK205" i="29"/>
  <c r="CQ205" i="29"/>
  <c r="DA205" i="29"/>
  <c r="DE209" i="29"/>
  <c r="BP209" i="29"/>
  <c r="CE209" i="29"/>
  <c r="CR209" i="29"/>
  <c r="CA209" i="29"/>
  <c r="CI209" i="29"/>
  <c r="BQ213" i="29"/>
  <c r="BR213" i="29"/>
  <c r="CA213" i="29"/>
  <c r="CI213" i="29"/>
  <c r="CM213" i="29"/>
  <c r="DK213" i="29"/>
  <c r="DF217" i="29"/>
  <c r="BY217" i="29"/>
  <c r="CT217" i="29"/>
  <c r="DJ217" i="29"/>
  <c r="CC217" i="29"/>
  <c r="BV217" i="29"/>
  <c r="CN217" i="29"/>
  <c r="CW221" i="29"/>
  <c r="CK221" i="29"/>
  <c r="CJ221" i="29"/>
  <c r="CR221" i="29"/>
  <c r="BW221" i="29"/>
  <c r="BO221" i="29"/>
  <c r="CO225" i="29"/>
  <c r="CK225" i="29"/>
  <c r="BT225" i="29"/>
  <c r="DC225" i="29"/>
  <c r="BP225" i="29"/>
  <c r="DB225" i="29"/>
  <c r="BZ229" i="29"/>
  <c r="CW229" i="29"/>
  <c r="CA229" i="29"/>
  <c r="BS229" i="29"/>
  <c r="BW229" i="29"/>
  <c r="BO229" i="29"/>
  <c r="DE233" i="29"/>
  <c r="CH233" i="29"/>
  <c r="CT233" i="29"/>
  <c r="CD233" i="29"/>
  <c r="DH233" i="29"/>
  <c r="CA233" i="29"/>
  <c r="BX233" i="29"/>
  <c r="CG237" i="29"/>
  <c r="DA237" i="29"/>
  <c r="CJ237" i="29"/>
  <c r="DH237" i="29"/>
  <c r="BW237" i="29"/>
  <c r="CM237" i="29"/>
  <c r="CO241" i="29"/>
  <c r="CS241" i="29"/>
  <c r="DK241" i="29"/>
  <c r="CM241" i="29"/>
  <c r="CL241" i="29"/>
  <c r="DG241" i="29"/>
  <c r="CU245" i="29"/>
  <c r="CH245" i="29"/>
  <c r="CP245" i="29"/>
  <c r="DJ245" i="29"/>
  <c r="BS245" i="29"/>
  <c r="BV245" i="29"/>
  <c r="CB249" i="29"/>
  <c r="CN249" i="29"/>
  <c r="CP249" i="29"/>
  <c r="CQ249" i="29"/>
  <c r="CA249" i="29"/>
  <c r="BS249" i="29"/>
  <c r="CW249" i="29"/>
  <c r="CU253" i="29"/>
  <c r="CC253" i="29"/>
  <c r="DD253" i="29"/>
  <c r="BU253" i="29"/>
  <c r="CI253" i="29"/>
  <c r="CO253" i="29"/>
  <c r="DB257" i="29"/>
  <c r="CB257" i="29"/>
  <c r="CF257" i="29"/>
  <c r="BQ257" i="29"/>
  <c r="CW257" i="29"/>
  <c r="DD257" i="29"/>
  <c r="DE261" i="29"/>
  <c r="CF261" i="29"/>
  <c r="CX261" i="29"/>
  <c r="CD261" i="29"/>
  <c r="DL261" i="29"/>
  <c r="BW261" i="29"/>
  <c r="DE267" i="29"/>
  <c r="CK267" i="29"/>
  <c r="CV267" i="29"/>
  <c r="DC267" i="29"/>
  <c r="CQ267" i="29"/>
  <c r="CO267" i="29"/>
  <c r="CR267" i="29"/>
  <c r="DA271" i="29"/>
  <c r="CA271" i="29"/>
  <c r="BS271" i="29"/>
  <c r="CM271" i="29"/>
  <c r="BW271" i="29"/>
  <c r="BY271" i="29"/>
  <c r="DA275" i="29"/>
  <c r="CM275" i="29"/>
  <c r="BY275" i="29"/>
  <c r="CP275" i="29"/>
  <c r="CG275" i="29"/>
  <c r="DG275" i="29"/>
  <c r="BR279" i="29"/>
  <c r="BY279" i="29"/>
  <c r="CL279" i="29"/>
  <c r="CN279" i="29"/>
  <c r="DK279" i="29"/>
  <c r="CO279" i="29"/>
  <c r="BX283" i="29"/>
  <c r="CU283" i="29"/>
  <c r="BU283" i="29"/>
  <c r="BY283" i="29"/>
  <c r="BV283" i="29"/>
  <c r="CF283" i="29"/>
  <c r="CW283" i="29"/>
  <c r="CF287" i="29"/>
  <c r="BW287" i="29"/>
  <c r="DK287" i="29"/>
  <c r="DE287" i="29"/>
  <c r="CY287" i="29"/>
  <c r="CW287" i="29"/>
  <c r="CM291" i="29"/>
  <c r="CG291" i="29"/>
  <c r="BP291" i="29"/>
  <c r="CF291" i="29"/>
  <c r="CZ291" i="29"/>
  <c r="CO291" i="29"/>
  <c r="DK296" i="29"/>
  <c r="DA296" i="29"/>
  <c r="CY296" i="29"/>
  <c r="DF296" i="29"/>
  <c r="DE296" i="29"/>
  <c r="DD296" i="29"/>
  <c r="BU300" i="29"/>
  <c r="CC300" i="29"/>
  <c r="BZ300" i="29"/>
  <c r="CA300" i="29"/>
  <c r="BY300" i="29"/>
  <c r="BP300" i="29"/>
  <c r="CL300" i="29"/>
  <c r="CU551" i="29"/>
  <c r="DD551" i="29"/>
  <c r="CN551" i="29"/>
  <c r="BV551" i="29"/>
  <c r="DA551" i="29"/>
  <c r="CS551" i="29"/>
  <c r="CP555" i="29"/>
  <c r="BZ555" i="29"/>
  <c r="CN555" i="29"/>
  <c r="CB555" i="29"/>
  <c r="CU555" i="29"/>
  <c r="CE559" i="29"/>
  <c r="DL559" i="29"/>
  <c r="CP559" i="29"/>
  <c r="CU559" i="29"/>
  <c r="CF559" i="29"/>
  <c r="DF559" i="29"/>
  <c r="CT563" i="29"/>
  <c r="CF563" i="29"/>
  <c r="DD563" i="29"/>
  <c r="CA563" i="29"/>
  <c r="BT563" i="29"/>
  <c r="BO563" i="29"/>
  <c r="BX563" i="29"/>
  <c r="DI567" i="29"/>
  <c r="CM567" i="29"/>
  <c r="CG567" i="29"/>
  <c r="DD567" i="29"/>
  <c r="DA567" i="29"/>
  <c r="BX567" i="29"/>
  <c r="CB571" i="29"/>
  <c r="BW571" i="29"/>
  <c r="CT571" i="29"/>
  <c r="CS571" i="29"/>
  <c r="DE571" i="29"/>
  <c r="BQ571" i="29"/>
  <c r="CJ575" i="29"/>
  <c r="CF575" i="29"/>
  <c r="CO575" i="29"/>
  <c r="CT575" i="29"/>
  <c r="DC575" i="29"/>
  <c r="CW575" i="29"/>
  <c r="CY579" i="29"/>
  <c r="CN579" i="29"/>
  <c r="CX579" i="29"/>
  <c r="CZ579" i="29"/>
  <c r="CS579" i="29"/>
  <c r="DI579" i="29"/>
  <c r="BY579" i="29"/>
  <c r="CA583" i="29"/>
  <c r="DK583" i="29"/>
  <c r="CE583" i="29"/>
  <c r="CO583" i="29"/>
  <c r="CR583" i="29"/>
  <c r="CI583" i="29"/>
  <c r="BW587" i="29"/>
  <c r="DK587" i="29"/>
  <c r="DC587" i="29"/>
  <c r="CK587" i="29"/>
  <c r="CG587" i="29"/>
  <c r="CO587" i="29"/>
  <c r="CF591" i="29"/>
  <c r="BO591" i="29"/>
  <c r="DC591" i="29"/>
  <c r="BZ591" i="29"/>
  <c r="DK591" i="29"/>
  <c r="CA591" i="29"/>
  <c r="DC595" i="29"/>
  <c r="BO595" i="29"/>
  <c r="CM595" i="29"/>
  <c r="DD595" i="29"/>
  <c r="CS595" i="29"/>
  <c r="DI595" i="29"/>
  <c r="DE595" i="29"/>
  <c r="CV599" i="29"/>
  <c r="BV599" i="29"/>
  <c r="CZ599" i="29"/>
  <c r="CG599" i="29"/>
  <c r="DJ599" i="29"/>
  <c r="BY599" i="29"/>
  <c r="BX603" i="29"/>
  <c r="DF603" i="29"/>
  <c r="CX603" i="29"/>
  <c r="CS603" i="29"/>
  <c r="CO603" i="29"/>
  <c r="CG603" i="29"/>
  <c r="CP607" i="29"/>
  <c r="CX607" i="29"/>
  <c r="BW607" i="29"/>
  <c r="BS607" i="29"/>
  <c r="CF607" i="29"/>
  <c r="CO607" i="29"/>
  <c r="CY611" i="29"/>
  <c r="CH611" i="29"/>
  <c r="CX611" i="29"/>
  <c r="CZ611" i="29"/>
  <c r="DI611" i="29"/>
  <c r="CS611" i="29"/>
  <c r="BV611" i="29"/>
  <c r="CD617" i="29"/>
  <c r="CN617" i="29"/>
  <c r="BU617" i="29"/>
  <c r="CF617" i="29"/>
  <c r="CV617" i="29"/>
  <c r="BR617" i="29"/>
  <c r="CL621" i="29"/>
  <c r="BY621" i="29"/>
  <c r="CJ621" i="29"/>
  <c r="BT621" i="29"/>
  <c r="DB621" i="29"/>
  <c r="CV621" i="29"/>
  <c r="CO625" i="29"/>
  <c r="DE625" i="29"/>
  <c r="BY625" i="29"/>
  <c r="BU625" i="29"/>
  <c r="DH625" i="29"/>
  <c r="CA625" i="29"/>
  <c r="DH629" i="29"/>
  <c r="BX629" i="29"/>
  <c r="BW629" i="29"/>
  <c r="DI629" i="29"/>
  <c r="CF629" i="29"/>
  <c r="CT629" i="29"/>
  <c r="CL629" i="29"/>
  <c r="DJ633" i="29"/>
  <c r="CY633" i="29"/>
  <c r="CQ633" i="29"/>
  <c r="BO633" i="29"/>
  <c r="CP633" i="29"/>
  <c r="CN633" i="29"/>
  <c r="BO637" i="29"/>
  <c r="DI637" i="29"/>
  <c r="BX637" i="29"/>
  <c r="DK637" i="29"/>
  <c r="CX637" i="29"/>
  <c r="CI637" i="29"/>
  <c r="CM641" i="29"/>
  <c r="CU641" i="29"/>
  <c r="BW641" i="29"/>
  <c r="BY641" i="29"/>
  <c r="DL641" i="29"/>
  <c r="BZ641" i="29"/>
  <c r="CF646" i="29"/>
  <c r="DK646" i="29"/>
  <c r="DA646" i="29"/>
  <c r="BY646" i="29"/>
  <c r="CQ646" i="29"/>
  <c r="CH646" i="29"/>
  <c r="DG646" i="29"/>
  <c r="CW650" i="29"/>
  <c r="CJ650" i="29"/>
  <c r="CS650" i="29"/>
  <c r="CB650" i="29"/>
  <c r="CT650" i="29"/>
  <c r="BW650" i="29"/>
  <c r="DF723" i="29"/>
  <c r="CI723" i="29"/>
  <c r="CK723" i="29"/>
  <c r="CC723" i="29"/>
  <c r="CL723" i="29"/>
  <c r="BW723" i="29"/>
  <c r="CU727" i="29"/>
  <c r="CI727" i="29"/>
  <c r="BR727" i="29"/>
  <c r="CJ727" i="29"/>
  <c r="CC727" i="29"/>
  <c r="CO727" i="29"/>
  <c r="DG731" i="29"/>
  <c r="CU731" i="29"/>
  <c r="DJ731" i="29"/>
  <c r="CH731" i="29"/>
  <c r="CF731" i="29"/>
  <c r="CC731" i="29"/>
  <c r="BU731" i="29"/>
  <c r="DJ735" i="29"/>
  <c r="BS735" i="29"/>
  <c r="BW735" i="29"/>
  <c r="CB735" i="29"/>
  <c r="BX735" i="29"/>
  <c r="BY735" i="29"/>
  <c r="BZ739" i="29"/>
  <c r="DG739" i="29"/>
  <c r="DC739" i="29"/>
  <c r="BP739" i="29"/>
  <c r="CO739" i="29"/>
  <c r="DA739" i="29"/>
  <c r="CP743" i="29"/>
  <c r="CD743" i="29"/>
  <c r="DK743" i="29"/>
  <c r="CN743" i="29"/>
  <c r="DL743" i="29"/>
  <c r="DE743" i="29"/>
  <c r="DJ747" i="29"/>
  <c r="CP747" i="29"/>
  <c r="CU747" i="29"/>
  <c r="BS747" i="29"/>
  <c r="CR747" i="29"/>
  <c r="CN747" i="29"/>
  <c r="CK747" i="29"/>
  <c r="DF751" i="29"/>
  <c r="BW751" i="29"/>
  <c r="BS751" i="29"/>
  <c r="CS751" i="29"/>
  <c r="BQ751" i="29"/>
  <c r="CB751" i="29"/>
  <c r="CD755" i="29"/>
  <c r="DK755" i="29"/>
  <c r="BS755" i="29"/>
  <c r="BQ755" i="29"/>
  <c r="DE755" i="29"/>
  <c r="DD755" i="29"/>
  <c r="BP759" i="29"/>
  <c r="CP759" i="29"/>
  <c r="DD759" i="29"/>
  <c r="CO759" i="29"/>
  <c r="CX759" i="29"/>
  <c r="DC759" i="29"/>
  <c r="DA763" i="29"/>
  <c r="CX763" i="29"/>
  <c r="DJ763" i="29"/>
  <c r="CK763" i="29"/>
  <c r="DB763" i="29"/>
  <c r="CL763" i="29"/>
  <c r="CI763" i="29"/>
  <c r="DB767" i="29"/>
  <c r="CN767" i="29"/>
  <c r="CT767" i="29"/>
  <c r="DD767" i="29"/>
  <c r="DG767" i="29"/>
  <c r="CQ767" i="29"/>
  <c r="CL771" i="29"/>
  <c r="CT771" i="29"/>
  <c r="CH771" i="29"/>
  <c r="BZ771" i="29"/>
  <c r="BU771" i="29"/>
  <c r="DH771" i="29"/>
  <c r="CY775" i="29"/>
  <c r="DB775" i="29"/>
  <c r="DF775" i="29"/>
  <c r="CE775" i="29"/>
  <c r="CS775" i="29"/>
  <c r="CF775" i="29"/>
  <c r="DG779" i="29"/>
  <c r="BQ779" i="29"/>
  <c r="BY779" i="29"/>
  <c r="CS779" i="29"/>
  <c r="BZ779" i="29"/>
  <c r="BP779" i="29"/>
  <c r="CF779" i="29"/>
  <c r="CE783" i="29"/>
  <c r="CM783" i="29"/>
  <c r="BV783" i="29"/>
  <c r="DE783" i="29"/>
  <c r="CJ783" i="29"/>
  <c r="CN783" i="29"/>
  <c r="CO787" i="29"/>
  <c r="CM787" i="29"/>
  <c r="CD787" i="29"/>
  <c r="CH787" i="29"/>
  <c r="BZ787" i="29"/>
  <c r="DH787" i="29"/>
  <c r="CJ793" i="29"/>
  <c r="DJ793" i="29"/>
  <c r="DE793" i="29"/>
  <c r="CT793" i="29"/>
  <c r="BO793" i="29"/>
  <c r="BS793" i="29"/>
  <c r="DB797" i="29"/>
  <c r="DK797" i="29"/>
  <c r="CF797" i="29"/>
  <c r="CB797" i="29"/>
  <c r="CL797" i="29"/>
  <c r="DG797" i="29"/>
  <c r="DI797" i="29"/>
  <c r="CE801" i="29"/>
  <c r="CM801" i="29"/>
  <c r="BY801" i="29"/>
  <c r="DG801" i="29"/>
  <c r="CF801" i="29"/>
  <c r="CB801" i="29"/>
  <c r="CM805" i="29"/>
  <c r="CU805" i="29"/>
  <c r="CW805" i="29"/>
  <c r="CY805" i="29"/>
  <c r="CT805" i="29"/>
  <c r="CZ805" i="29"/>
  <c r="DA809" i="29"/>
  <c r="DI809" i="29"/>
  <c r="BR809" i="29"/>
  <c r="CI809" i="29"/>
  <c r="DG809" i="29"/>
  <c r="DD809" i="29"/>
  <c r="DG813" i="29"/>
  <c r="BQ813" i="29"/>
  <c r="BY813" i="29"/>
  <c r="CU813" i="29"/>
  <c r="CM813" i="29"/>
  <c r="BX813" i="29"/>
  <c r="CR813" i="29"/>
  <c r="CD817" i="29"/>
  <c r="CH817" i="29"/>
  <c r="BU817" i="29"/>
  <c r="BQ817" i="29"/>
  <c r="CF817" i="29"/>
  <c r="CR817" i="29"/>
  <c r="CN822" i="29"/>
  <c r="BY822" i="29"/>
  <c r="BU822" i="29"/>
  <c r="CF822" i="29"/>
  <c r="DB822" i="29"/>
  <c r="CM822" i="29"/>
  <c r="BV826" i="29"/>
  <c r="DJ826" i="29"/>
  <c r="BS826" i="29"/>
  <c r="CQ826" i="29"/>
  <c r="CN826" i="29"/>
  <c r="BW826" i="29"/>
  <c r="CK899" i="29"/>
  <c r="BY899" i="29"/>
  <c r="BX899" i="29"/>
  <c r="CT899" i="29"/>
  <c r="DJ899" i="29"/>
  <c r="CL899" i="29"/>
  <c r="CV903" i="29"/>
  <c r="CD903" i="29"/>
  <c r="CM903" i="29"/>
  <c r="CP903" i="29"/>
  <c r="DE903" i="29"/>
  <c r="BY903" i="29"/>
  <c r="DA907" i="29"/>
  <c r="BT907" i="29"/>
  <c r="CE907" i="29"/>
  <c r="BW907" i="29"/>
  <c r="CC907" i="29"/>
  <c r="CY907" i="29"/>
  <c r="BS911" i="29"/>
  <c r="BU911" i="29"/>
  <c r="CD911" i="29"/>
  <c r="CH911" i="29"/>
  <c r="CT911" i="29"/>
  <c r="DC911" i="29"/>
  <c r="DG915" i="29"/>
  <c r="BQ915" i="29"/>
  <c r="BZ915" i="29"/>
  <c r="CY915" i="29"/>
  <c r="CC915" i="29"/>
  <c r="BT915" i="29"/>
  <c r="CN915" i="29"/>
  <c r="CC919" i="29"/>
  <c r="CG919" i="29"/>
  <c r="BU919" i="29"/>
  <c r="DE919" i="29"/>
  <c r="CR919" i="29"/>
  <c r="CN919" i="29"/>
  <c r="CL923" i="29"/>
  <c r="BS923" i="29"/>
  <c r="BR923" i="29"/>
  <c r="BV923" i="29"/>
  <c r="BO923" i="29"/>
  <c r="CV923" i="29"/>
  <c r="DA927" i="29"/>
  <c r="DJ927" i="29"/>
  <c r="BS927" i="29"/>
  <c r="CC927" i="29"/>
  <c r="DC927" i="29"/>
  <c r="CZ927" i="29"/>
  <c r="DG931" i="29"/>
  <c r="BQ931" i="29"/>
  <c r="BZ931" i="29"/>
  <c r="DE931" i="29"/>
  <c r="CY931" i="29"/>
  <c r="BT931" i="29"/>
  <c r="CN931" i="29"/>
  <c r="CC935" i="29"/>
  <c r="CG935" i="29"/>
  <c r="DK935" i="29"/>
  <c r="CY935" i="29"/>
  <c r="CR935" i="29"/>
  <c r="CN935" i="29"/>
  <c r="CL939" i="29"/>
  <c r="CP939" i="29"/>
  <c r="CD939" i="29"/>
  <c r="BW939" i="29"/>
  <c r="CT939" i="29"/>
  <c r="CV939" i="29"/>
  <c r="CX943" i="29"/>
  <c r="DB943" i="29"/>
  <c r="DK943" i="29"/>
  <c r="CD943" i="29"/>
  <c r="DE943" i="29"/>
  <c r="CZ943" i="29"/>
  <c r="DJ947" i="29"/>
  <c r="BS947" i="29"/>
  <c r="BW947" i="29"/>
  <c r="CU947" i="29"/>
  <c r="CG947" i="29"/>
  <c r="BT947" i="29"/>
  <c r="CN947" i="29"/>
  <c r="CE951" i="29"/>
  <c r="CO951" i="29"/>
  <c r="CC951" i="29"/>
  <c r="BV951" i="29"/>
  <c r="CR951" i="29"/>
  <c r="CN951" i="29"/>
  <c r="CL955" i="29"/>
  <c r="CU955" i="29"/>
  <c r="CT955" i="29"/>
  <c r="CM955" i="29"/>
  <c r="CO955" i="29"/>
  <c r="CV955" i="29"/>
  <c r="DA959" i="29"/>
  <c r="CM959" i="29"/>
  <c r="BZ959" i="29"/>
  <c r="CL959" i="29"/>
  <c r="CA959" i="29"/>
  <c r="CZ959" i="29"/>
  <c r="DD965" i="29"/>
  <c r="CS965" i="29"/>
  <c r="BO965" i="29"/>
  <c r="BY965" i="29"/>
  <c r="DL965" i="29"/>
  <c r="CV965" i="29"/>
  <c r="CD965" i="29"/>
  <c r="CW969" i="29"/>
  <c r="DK969" i="29"/>
  <c r="CP969" i="29"/>
  <c r="BR969" i="29"/>
  <c r="DB969" i="29"/>
  <c r="CT969" i="29"/>
  <c r="BW973" i="29"/>
  <c r="BS973" i="29"/>
  <c r="BQ973" i="29"/>
  <c r="CP973" i="29"/>
  <c r="CF973" i="29"/>
  <c r="DJ973" i="29"/>
  <c r="DG977" i="29"/>
  <c r="CV977" i="29"/>
  <c r="DK977" i="29"/>
  <c r="BX977" i="29"/>
  <c r="BO977" i="29"/>
  <c r="CB977" i="29"/>
  <c r="CO981" i="29"/>
  <c r="BY981" i="29"/>
  <c r="CB981" i="29"/>
  <c r="BV981" i="29"/>
  <c r="CZ981" i="29"/>
  <c r="CJ981" i="29"/>
  <c r="DK981" i="29"/>
  <c r="CN985" i="29"/>
  <c r="CB985" i="29"/>
  <c r="CH985" i="29"/>
  <c r="BZ985" i="29"/>
  <c r="BT985" i="29"/>
  <c r="CE985" i="29"/>
  <c r="BV989" i="29"/>
  <c r="CV989" i="29"/>
  <c r="CR989" i="29"/>
  <c r="BX989" i="29"/>
  <c r="BO989" i="29"/>
  <c r="CI989" i="29"/>
  <c r="CX994" i="29"/>
  <c r="DF994" i="29"/>
  <c r="BO994" i="29"/>
  <c r="CD994" i="29"/>
  <c r="BQ994" i="29"/>
  <c r="CZ994" i="29"/>
  <c r="CY998" i="29"/>
  <c r="DK998" i="29"/>
  <c r="CA998" i="29"/>
  <c r="CN998" i="29"/>
  <c r="DD998" i="29"/>
  <c r="CV998" i="29"/>
  <c r="DL998" i="29"/>
  <c r="DK380" i="29"/>
  <c r="BQ380" i="29"/>
  <c r="CO380" i="29"/>
  <c r="BR380" i="29"/>
  <c r="DG380" i="29"/>
  <c r="BV380" i="29"/>
  <c r="BO388" i="29"/>
  <c r="CF388" i="29"/>
  <c r="BQ388" i="29"/>
  <c r="DD388" i="29"/>
  <c r="CK388" i="29"/>
  <c r="BU388" i="29"/>
  <c r="BO396" i="29"/>
  <c r="CQ396" i="29"/>
  <c r="BS396" i="29"/>
  <c r="BQ396" i="29"/>
  <c r="DC396" i="29"/>
  <c r="DI396" i="29"/>
  <c r="BZ404" i="29"/>
  <c r="CE404" i="29"/>
  <c r="DH404" i="29"/>
  <c r="DB404" i="29"/>
  <c r="BP404" i="29"/>
  <c r="CQ404" i="29"/>
  <c r="CY404" i="29"/>
  <c r="BZ412" i="29"/>
  <c r="BQ412" i="29"/>
  <c r="CO412" i="29"/>
  <c r="CB412" i="29"/>
  <c r="CC412" i="29"/>
  <c r="CS412" i="29"/>
  <c r="BX416" i="29"/>
  <c r="BT416" i="29"/>
  <c r="DI416" i="29"/>
  <c r="CQ416" i="29"/>
  <c r="CB416" i="29"/>
  <c r="CM416" i="29"/>
  <c r="CP424" i="29"/>
  <c r="CF424" i="29"/>
  <c r="CO424" i="29"/>
  <c r="BT424" i="29"/>
  <c r="CI424" i="29"/>
  <c r="CG424" i="29"/>
  <c r="CZ432" i="29"/>
  <c r="CV432" i="29"/>
  <c r="BR432" i="29"/>
  <c r="CX432" i="29"/>
  <c r="DB432" i="29"/>
  <c r="CL432" i="29"/>
  <c r="CB432" i="29"/>
  <c r="DI442" i="29"/>
  <c r="CS442" i="29"/>
  <c r="BX442" i="29"/>
  <c r="BU442" i="29"/>
  <c r="DB442" i="29"/>
  <c r="DJ442" i="29"/>
  <c r="BW450" i="29"/>
  <c r="BS450" i="29"/>
  <c r="DH450" i="29"/>
  <c r="CL450" i="29"/>
  <c r="CK450" i="29"/>
  <c r="BR450" i="29"/>
  <c r="CN458" i="29"/>
  <c r="CC458" i="29"/>
  <c r="CS458" i="29"/>
  <c r="BX458" i="29"/>
  <c r="CD458" i="29"/>
  <c r="BU458" i="29"/>
  <c r="DL462" i="29"/>
  <c r="DC462" i="29"/>
  <c r="CY462" i="29"/>
  <c r="CE462" i="29"/>
  <c r="CS462" i="29"/>
  <c r="CP462" i="29"/>
  <c r="BQ462" i="29"/>
  <c r="CT471" i="29"/>
  <c r="CS471" i="29"/>
  <c r="CM471" i="29"/>
  <c r="CU471" i="29"/>
  <c r="BP471" i="29"/>
  <c r="BS471" i="29"/>
  <c r="BT475" i="29"/>
  <c r="BW475" i="29"/>
  <c r="CN475" i="29"/>
  <c r="BX475" i="29"/>
  <c r="CL475" i="29"/>
  <c r="BO475" i="29"/>
  <c r="CP200" i="29"/>
  <c r="CD200" i="29"/>
  <c r="BO200" i="29"/>
  <c r="CJ200" i="29"/>
  <c r="DA200" i="29"/>
  <c r="BQ200" i="29"/>
  <c r="CT208" i="29"/>
  <c r="DK208" i="29"/>
  <c r="DF208" i="29"/>
  <c r="BW208" i="29"/>
  <c r="BT208" i="29"/>
  <c r="CX208" i="29"/>
  <c r="DD208" i="29"/>
  <c r="CM216" i="29"/>
  <c r="CY216" i="29"/>
  <c r="BX216" i="29"/>
  <c r="BP216" i="29"/>
  <c r="DB216" i="29"/>
  <c r="BQ216" i="29"/>
  <c r="CP220" i="29"/>
  <c r="BW220" i="29"/>
  <c r="CT220" i="29"/>
  <c r="DJ220" i="29"/>
  <c r="CV220" i="29"/>
  <c r="BQ220" i="29"/>
  <c r="BZ228" i="29"/>
  <c r="DK228" i="29"/>
  <c r="CK228" i="29"/>
  <c r="CC228" i="29"/>
  <c r="BY228" i="29"/>
  <c r="DB228" i="29"/>
  <c r="CX236" i="29"/>
  <c r="CU236" i="29"/>
  <c r="CW236" i="29"/>
  <c r="CJ236" i="29"/>
  <c r="CR236" i="29"/>
  <c r="DD236" i="29"/>
  <c r="CV236" i="29"/>
  <c r="BR244" i="29"/>
  <c r="BO244" i="29"/>
  <c r="CY244" i="29"/>
  <c r="CZ244" i="29"/>
  <c r="CO244" i="29"/>
  <c r="CQ244" i="29"/>
  <c r="CP252" i="29"/>
  <c r="CE252" i="29"/>
  <c r="DI252" i="29"/>
  <c r="DD252" i="29"/>
  <c r="BS252" i="29"/>
  <c r="CJ252" i="29"/>
  <c r="BY260" i="29"/>
  <c r="BW260" i="29"/>
  <c r="CC260" i="29"/>
  <c r="CU260" i="29"/>
  <c r="CD260" i="29"/>
  <c r="DF260" i="29"/>
  <c r="BW266" i="29"/>
  <c r="CX266" i="29"/>
  <c r="DL266" i="29"/>
  <c r="BS266" i="29"/>
  <c r="CL266" i="29"/>
  <c r="CH266" i="29"/>
  <c r="BT266" i="29"/>
  <c r="CI274" i="29"/>
  <c r="BZ274" i="29"/>
  <c r="CQ274" i="29"/>
  <c r="BV274" i="29"/>
  <c r="CS274" i="29"/>
  <c r="DF274" i="29"/>
  <c r="DF282" i="29"/>
  <c r="CU282" i="29"/>
  <c r="DJ282" i="29"/>
  <c r="DH282" i="29"/>
  <c r="CV282" i="29"/>
  <c r="BX282" i="29"/>
  <c r="CE290" i="29"/>
  <c r="CS290" i="29"/>
  <c r="DL290" i="29"/>
  <c r="BQ290" i="29"/>
  <c r="BO290" i="29"/>
  <c r="DF290" i="29"/>
  <c r="CX295" i="29"/>
  <c r="DK295" i="29"/>
  <c r="CW295" i="29"/>
  <c r="BZ295" i="29"/>
  <c r="CH295" i="29"/>
  <c r="DJ295" i="29"/>
  <c r="CA295" i="29"/>
  <c r="BX554" i="29"/>
  <c r="CM554" i="29"/>
  <c r="BO554" i="29"/>
  <c r="CG554" i="29"/>
  <c r="CQ554" i="29"/>
  <c r="CR554" i="29"/>
  <c r="CL562" i="29"/>
  <c r="CY562" i="29"/>
  <c r="CZ562" i="29"/>
  <c r="DD562" i="29"/>
  <c r="BX562" i="29"/>
  <c r="BZ562" i="29"/>
  <c r="CF570" i="29"/>
  <c r="BO570" i="29"/>
  <c r="BZ570" i="29"/>
  <c r="BW570" i="29"/>
  <c r="DB570" i="29"/>
  <c r="CH570" i="29"/>
  <c r="CH574" i="29"/>
  <c r="DL574" i="29"/>
  <c r="CG574" i="29"/>
  <c r="CM574" i="29"/>
  <c r="BT574" i="29"/>
  <c r="BO574" i="29"/>
  <c r="CW574" i="29"/>
  <c r="CG582" i="29"/>
  <c r="BW582" i="29"/>
  <c r="BV582" i="29"/>
  <c r="CJ582" i="29"/>
  <c r="CT582" i="29"/>
  <c r="BY582" i="29"/>
  <c r="CK590" i="29"/>
  <c r="DE590" i="29"/>
  <c r="BR590" i="29"/>
  <c r="BQ590" i="29"/>
  <c r="DC590" i="29"/>
  <c r="DJ590" i="29"/>
  <c r="DH598" i="29"/>
  <c r="DE598" i="29"/>
  <c r="CX598" i="29"/>
  <c r="BV598" i="29"/>
  <c r="CH598" i="29"/>
  <c r="CT598" i="29"/>
  <c r="CQ606" i="29"/>
  <c r="BX606" i="29"/>
  <c r="DC606" i="29"/>
  <c r="BW606" i="29"/>
  <c r="DE606" i="29"/>
  <c r="DJ606" i="29"/>
  <c r="CT606" i="29"/>
  <c r="CI610" i="29"/>
  <c r="CO610" i="29"/>
  <c r="DH610" i="29"/>
  <c r="BO610" i="29"/>
  <c r="CY610" i="29"/>
  <c r="CG610" i="29"/>
  <c r="CP620" i="29"/>
  <c r="CM620" i="29"/>
  <c r="DE620" i="29"/>
  <c r="DC620" i="29"/>
  <c r="BQ620" i="29"/>
  <c r="CB620" i="29"/>
  <c r="CX628" i="29"/>
  <c r="CP628" i="29"/>
  <c r="DG628" i="29"/>
  <c r="BQ628" i="29"/>
  <c r="CO628" i="29"/>
  <c r="CN628" i="29"/>
  <c r="DJ636" i="29"/>
  <c r="BS636" i="29"/>
  <c r="CU636" i="29"/>
  <c r="CM636" i="29"/>
  <c r="BV636" i="29"/>
  <c r="CR636" i="29"/>
  <c r="CF636" i="29"/>
  <c r="DE645" i="29"/>
  <c r="DH645" i="29"/>
  <c r="CP645" i="29"/>
  <c r="CF645" i="29"/>
  <c r="CI645" i="29"/>
  <c r="CN645" i="29"/>
  <c r="BW378" i="29"/>
  <c r="DI378" i="29"/>
  <c r="CH378" i="29"/>
  <c r="CL378" i="29"/>
  <c r="CB378" i="29"/>
  <c r="DH378" i="29"/>
  <c r="CM386" i="29"/>
  <c r="DL386" i="29"/>
  <c r="CG386" i="29"/>
  <c r="BQ386" i="29"/>
  <c r="DD386" i="29"/>
  <c r="CL386" i="29"/>
  <c r="CT398" i="29"/>
  <c r="CD398" i="29"/>
  <c r="CP398" i="29"/>
  <c r="CG398" i="29"/>
  <c r="BW398" i="29"/>
  <c r="CY398" i="29"/>
  <c r="CN398" i="29"/>
  <c r="BR398" i="29"/>
  <c r="DF406" i="29"/>
  <c r="DL406" i="29"/>
  <c r="CD406" i="29"/>
  <c r="BT406" i="29"/>
  <c r="BS406" i="29"/>
  <c r="CQ406" i="29"/>
  <c r="BR406" i="29"/>
  <c r="CU406" i="29"/>
  <c r="DK406" i="29"/>
  <c r="BO406" i="29"/>
  <c r="BU414" i="29"/>
  <c r="DJ414" i="29"/>
  <c r="BT414" i="29"/>
  <c r="BO414" i="29"/>
  <c r="CO414" i="29"/>
  <c r="CY414" i="29"/>
  <c r="DF414" i="29"/>
  <c r="CM414" i="29"/>
  <c r="DG414" i="29"/>
  <c r="CD418" i="29"/>
  <c r="DI418" i="29"/>
  <c r="BT418" i="29"/>
  <c r="DL418" i="29"/>
  <c r="BR418" i="29"/>
  <c r="CX418" i="29"/>
  <c r="DJ418" i="29"/>
  <c r="CO418" i="29"/>
  <c r="CJ418" i="29"/>
  <c r="CB418" i="29"/>
  <c r="BS426" i="29"/>
  <c r="CR426" i="29"/>
  <c r="DC426" i="29"/>
  <c r="DE426" i="29"/>
  <c r="DL426" i="29"/>
  <c r="BQ426" i="29"/>
  <c r="CJ426" i="29"/>
  <c r="DA426" i="29"/>
  <c r="CS426" i="29"/>
  <c r="CH434" i="29"/>
  <c r="CB434" i="29"/>
  <c r="CN434" i="29"/>
  <c r="BO434" i="29"/>
  <c r="BQ434" i="29"/>
  <c r="DE434" i="29"/>
  <c r="CP434" i="29"/>
  <c r="DA434" i="29"/>
  <c r="BP434" i="29"/>
  <c r="DK444" i="29"/>
  <c r="CK444" i="29"/>
  <c r="DI444" i="29"/>
  <c r="CC444" i="29"/>
  <c r="CL444" i="29"/>
  <c r="CI444" i="29"/>
  <c r="DJ444" i="29"/>
  <c r="BX444" i="29"/>
  <c r="CV444" i="29"/>
  <c r="CZ444" i="29"/>
  <c r="CT452" i="29"/>
  <c r="BS452" i="29"/>
  <c r="CG452" i="29"/>
  <c r="DA452" i="29"/>
  <c r="CX452" i="29"/>
  <c r="CK452" i="29"/>
  <c r="CH452" i="29"/>
  <c r="BP452" i="29"/>
  <c r="CR452" i="29"/>
  <c r="DF460" i="29"/>
  <c r="CE460" i="29"/>
  <c r="CS460" i="29"/>
  <c r="DG460" i="29"/>
  <c r="DB460" i="29"/>
  <c r="CD460" i="29"/>
  <c r="BS460" i="29"/>
  <c r="CN460" i="29"/>
  <c r="DH460" i="29"/>
  <c r="DH472" i="29"/>
  <c r="CK472" i="29"/>
  <c r="BU472" i="29"/>
  <c r="BT472" i="29"/>
  <c r="CX472" i="29"/>
  <c r="CM472" i="29"/>
  <c r="BY472" i="29"/>
  <c r="BQ472" i="29"/>
  <c r="DJ472" i="29"/>
  <c r="DB472" i="29"/>
  <c r="CE476" i="29"/>
  <c r="BO476" i="29"/>
  <c r="CD476" i="29"/>
  <c r="BR476" i="29"/>
  <c r="DD476" i="29"/>
  <c r="BP476" i="29"/>
  <c r="CO476" i="29"/>
  <c r="BT476" i="29"/>
  <c r="BU476" i="29"/>
  <c r="BT202" i="29"/>
  <c r="CR202" i="29"/>
  <c r="DF202" i="29"/>
  <c r="CL202" i="29"/>
  <c r="BV202" i="29"/>
  <c r="DG202" i="29"/>
  <c r="DL202" i="29"/>
  <c r="CC202" i="29"/>
  <c r="CE202" i="29"/>
  <c r="CY210" i="29"/>
  <c r="CE210" i="29"/>
  <c r="BO210" i="29"/>
  <c r="BV210" i="29"/>
  <c r="CD210" i="29"/>
  <c r="CF210" i="29"/>
  <c r="BW210" i="29"/>
  <c r="DF210" i="29"/>
  <c r="CQ210" i="29"/>
  <c r="DA218" i="29"/>
  <c r="CP218" i="29"/>
  <c r="DK218" i="29"/>
  <c r="BR218" i="29"/>
  <c r="BV218" i="29"/>
  <c r="CC218" i="29"/>
  <c r="CZ218" i="29"/>
  <c r="DE218" i="29"/>
  <c r="CD218" i="29"/>
  <c r="CG226" i="29"/>
  <c r="CQ226" i="29"/>
  <c r="CZ226" i="29"/>
  <c r="CI226" i="29"/>
  <c r="BT226" i="29"/>
  <c r="BZ226" i="29"/>
  <c r="CP226" i="29"/>
  <c r="CJ226" i="29"/>
  <c r="BR226" i="29"/>
  <c r="CF226" i="29"/>
  <c r="CQ234" i="29"/>
  <c r="BQ234" i="29"/>
  <c r="DA234" i="29"/>
  <c r="CL234" i="29"/>
  <c r="CS234" i="29"/>
  <c r="DD234" i="29"/>
  <c r="CU234" i="29"/>
  <c r="CV234" i="29"/>
  <c r="CX234" i="29"/>
  <c r="DH242" i="29"/>
  <c r="BO242" i="29"/>
  <c r="CB242" i="29"/>
  <c r="DF242" i="29"/>
  <c r="BQ242" i="29"/>
  <c r="BX242" i="29"/>
  <c r="CD242" i="29"/>
  <c r="CL242" i="29"/>
  <c r="DL242" i="29"/>
  <c r="DL250" i="29"/>
  <c r="DG250" i="29"/>
  <c r="CD250" i="29"/>
  <c r="CE250" i="29"/>
  <c r="BV250" i="29"/>
  <c r="CJ250" i="29"/>
  <c r="CG250" i="29"/>
  <c r="BQ250" i="29"/>
  <c r="CH250" i="29"/>
  <c r="BY250" i="29"/>
  <c r="CA258" i="29"/>
  <c r="CF258" i="29"/>
  <c r="CO258" i="29"/>
  <c r="BS258" i="29"/>
  <c r="BQ258" i="29"/>
  <c r="CT258" i="29"/>
  <c r="DB258" i="29"/>
  <c r="CU258" i="29"/>
  <c r="DJ258" i="29"/>
  <c r="CG268" i="29"/>
  <c r="BW268" i="29"/>
  <c r="BX268" i="29"/>
  <c r="CU268" i="29"/>
  <c r="CN268" i="29"/>
  <c r="CW268" i="29"/>
  <c r="DA268" i="29"/>
  <c r="BV268" i="29"/>
  <c r="CV268" i="29"/>
  <c r="CJ268" i="29"/>
  <c r="CO276" i="29"/>
  <c r="DF276" i="29"/>
  <c r="CS276" i="29"/>
  <c r="BO276" i="29"/>
  <c r="DI276" i="29"/>
  <c r="CD276" i="29"/>
  <c r="BP276" i="29"/>
  <c r="CY276" i="29"/>
  <c r="CT276" i="29"/>
  <c r="CZ284" i="29"/>
  <c r="DK284" i="29"/>
  <c r="BZ284" i="29"/>
  <c r="CA284" i="29"/>
  <c r="CW284" i="29"/>
  <c r="CU284" i="29"/>
  <c r="BW284" i="29"/>
  <c r="CT284" i="29"/>
  <c r="CV284" i="29"/>
  <c r="DK292" i="29"/>
  <c r="CH292" i="29"/>
  <c r="CB292" i="29"/>
  <c r="CP292" i="29"/>
  <c r="DH292" i="29"/>
  <c r="BV292" i="29"/>
  <c r="DA292" i="29"/>
  <c r="CK292" i="29"/>
  <c r="CV292" i="29"/>
  <c r="CZ301" i="29"/>
  <c r="BS301" i="29"/>
  <c r="DE301" i="29"/>
  <c r="CY301" i="29"/>
  <c r="BR301" i="29"/>
  <c r="CE301" i="29"/>
  <c r="CU301" i="29"/>
  <c r="BV301" i="29"/>
  <c r="DA301" i="29"/>
  <c r="DC556" i="29"/>
  <c r="CC556" i="29"/>
  <c r="BO556" i="29"/>
  <c r="DG556" i="29"/>
  <c r="CG556" i="29"/>
  <c r="CU556" i="29"/>
  <c r="CY556" i="29"/>
  <c r="CF556" i="29"/>
  <c r="CJ556" i="29"/>
  <c r="DJ564" i="29"/>
  <c r="BT564" i="29"/>
  <c r="DH564" i="29"/>
  <c r="CU564" i="29"/>
  <c r="CY564" i="29"/>
  <c r="BS564" i="29"/>
  <c r="CK564" i="29"/>
  <c r="CS564" i="29"/>
  <c r="CO564" i="29"/>
  <c r="BU564" i="29"/>
  <c r="DA572" i="29"/>
  <c r="BU572" i="29"/>
  <c r="BR572" i="29"/>
  <c r="BV572" i="29"/>
  <c r="CI572" i="29"/>
  <c r="DC572" i="29"/>
  <c r="CL572" i="29"/>
  <c r="CN572" i="29"/>
  <c r="DD572" i="29"/>
  <c r="DG580" i="29"/>
  <c r="CA580" i="29"/>
  <c r="CT580" i="29"/>
  <c r="CH580" i="29"/>
  <c r="CP580" i="29"/>
  <c r="BO580" i="29"/>
  <c r="DC580" i="29"/>
  <c r="CF580" i="29"/>
  <c r="CZ580" i="29"/>
  <c r="CB580" i="29"/>
  <c r="DB588" i="29"/>
  <c r="CG588" i="29"/>
  <c r="CY588" i="29"/>
  <c r="CS588" i="29"/>
  <c r="DF588" i="29"/>
  <c r="CK588" i="29"/>
  <c r="BO588" i="29"/>
  <c r="CO588" i="29"/>
  <c r="CX588" i="29"/>
  <c r="BP588" i="29"/>
  <c r="BT588" i="29"/>
  <c r="DD588" i="29"/>
  <c r="DL596" i="29"/>
  <c r="CT596" i="29"/>
  <c r="BY596" i="29"/>
  <c r="CG596" i="29"/>
  <c r="CP596" i="29"/>
  <c r="DC596" i="29"/>
  <c r="DG596" i="29"/>
  <c r="BQ596" i="29"/>
  <c r="BZ596" i="29"/>
  <c r="CV596" i="29"/>
  <c r="CZ596" i="29"/>
  <c r="CB596" i="29"/>
  <c r="DF608" i="29"/>
  <c r="CK608" i="29"/>
  <c r="BO608" i="29"/>
  <c r="BR608" i="29"/>
  <c r="CG608" i="29"/>
  <c r="CY608" i="29"/>
  <c r="CD608" i="29"/>
  <c r="CX608" i="29"/>
  <c r="DB608" i="29"/>
  <c r="BP608" i="29"/>
  <c r="DD608" i="29"/>
  <c r="CN608" i="29"/>
  <c r="DK618" i="29"/>
  <c r="CI618" i="29"/>
  <c r="CS618" i="29"/>
  <c r="CY618" i="29"/>
  <c r="DC618" i="29"/>
  <c r="BY618" i="29"/>
  <c r="BX618" i="29"/>
  <c r="DF618" i="29"/>
  <c r="CQ618" i="29"/>
  <c r="DA618" i="29"/>
  <c r="CA618" i="29"/>
  <c r="BP618" i="29"/>
  <c r="CD618" i="29"/>
  <c r="CW626" i="29"/>
  <c r="BT626" i="29"/>
  <c r="CE626" i="29"/>
  <c r="BO626" i="29"/>
  <c r="CN626" i="29"/>
  <c r="CM626" i="29"/>
  <c r="CJ626" i="29"/>
  <c r="BZ626" i="29"/>
  <c r="CH626" i="29"/>
  <c r="BV626" i="29"/>
  <c r="BR626" i="29"/>
  <c r="DG626" i="29"/>
  <c r="BX634" i="29"/>
  <c r="DE634" i="29"/>
  <c r="DI634" i="29"/>
  <c r="CS634" i="29"/>
  <c r="CB634" i="29"/>
  <c r="CL634" i="29"/>
  <c r="DL634" i="29"/>
  <c r="BW634" i="29"/>
  <c r="CU634" i="29"/>
  <c r="DA634" i="29"/>
  <c r="CD634" i="29"/>
  <c r="DJ634" i="29"/>
  <c r="CW634" i="29"/>
  <c r="CE638" i="29"/>
  <c r="CD638" i="29"/>
  <c r="DE638" i="29"/>
  <c r="CH638" i="29"/>
  <c r="BZ638" i="29"/>
  <c r="BW638" i="29"/>
  <c r="DA638" i="29"/>
  <c r="CB638" i="29"/>
  <c r="CJ638" i="29"/>
  <c r="CU638" i="29"/>
  <c r="BR638" i="29"/>
  <c r="DH638" i="29"/>
  <c r="DL647" i="29"/>
  <c r="CS647" i="29"/>
  <c r="BW647" i="29"/>
  <c r="CK647" i="29"/>
  <c r="CT647" i="29"/>
  <c r="DB647" i="29"/>
  <c r="CG647" i="29"/>
  <c r="DK647" i="29"/>
  <c r="BU647" i="29"/>
  <c r="CD647" i="29"/>
  <c r="DD647" i="29"/>
  <c r="CR647" i="29"/>
  <c r="BT647" i="29"/>
  <c r="CT376" i="29"/>
  <c r="BR376" i="29"/>
  <c r="DK376" i="29"/>
  <c r="CI376" i="29"/>
  <c r="DC376" i="29"/>
  <c r="BZ376" i="29"/>
  <c r="CD376" i="29"/>
  <c r="CC376" i="29"/>
  <c r="DA376" i="29"/>
  <c r="CV376" i="29"/>
  <c r="CW376" i="29"/>
  <c r="BV376" i="29"/>
  <c r="DK384" i="29"/>
  <c r="CI384" i="29"/>
  <c r="CH384" i="29"/>
  <c r="CT384" i="29"/>
  <c r="BR384" i="29"/>
  <c r="CJ384" i="29"/>
  <c r="DJ384" i="29"/>
  <c r="CW384" i="29"/>
  <c r="DB384" i="29"/>
  <c r="BV384" i="29"/>
  <c r="BP384" i="29"/>
  <c r="DI384" i="29"/>
  <c r="BU384" i="29"/>
  <c r="CT392" i="29"/>
  <c r="BR392" i="29"/>
  <c r="CJ392" i="29"/>
  <c r="DK392" i="29"/>
  <c r="CI392" i="29"/>
  <c r="DC392" i="29"/>
  <c r="BZ392" i="29"/>
  <c r="BU392" i="29"/>
  <c r="CS392" i="29"/>
  <c r="DG392" i="29"/>
  <c r="BY392" i="29"/>
  <c r="DB392" i="29"/>
  <c r="DK400" i="29"/>
  <c r="CI400" i="29"/>
  <c r="DC400" i="29"/>
  <c r="BZ400" i="29"/>
  <c r="CM400" i="29"/>
  <c r="DF400" i="29"/>
  <c r="CD400" i="29"/>
  <c r="DE400" i="29"/>
  <c r="CQ400" i="29"/>
  <c r="BQ400" i="29"/>
  <c r="BU400" i="29"/>
  <c r="CR408" i="29"/>
  <c r="BO408" i="29"/>
  <c r="CN408" i="29"/>
  <c r="DH408" i="29"/>
  <c r="DD408" i="29"/>
  <c r="CM408" i="29"/>
  <c r="CI408" i="29"/>
  <c r="CC408" i="29"/>
  <c r="DA408" i="29"/>
  <c r="CV408" i="29"/>
  <c r="CG408" i="29"/>
  <c r="CQ408" i="29"/>
  <c r="DL420" i="29"/>
  <c r="CM420" i="29"/>
  <c r="BQ420" i="29"/>
  <c r="CK420" i="29"/>
  <c r="CE420" i="29"/>
  <c r="CF420" i="29"/>
  <c r="CX420" i="29"/>
  <c r="CV420" i="29"/>
  <c r="DI420" i="29"/>
  <c r="CD420" i="29"/>
  <c r="BS420" i="29"/>
  <c r="DD420" i="29"/>
  <c r="CG420" i="29"/>
  <c r="CG428" i="29"/>
  <c r="BX428" i="29"/>
  <c r="CW428" i="29"/>
  <c r="CM428" i="29"/>
  <c r="BP428" i="29"/>
  <c r="DK428" i="29"/>
  <c r="CV428" i="29"/>
  <c r="BR428" i="29"/>
  <c r="CP428" i="29"/>
  <c r="DL428" i="29"/>
  <c r="DA428" i="29"/>
  <c r="CD428" i="29"/>
  <c r="DB436" i="29"/>
  <c r="BY436" i="29"/>
  <c r="CQ436" i="29"/>
  <c r="DG436" i="29"/>
  <c r="BQ436" i="29"/>
  <c r="CB436" i="29"/>
  <c r="CD436" i="29"/>
  <c r="CX436" i="29"/>
  <c r="BT436" i="29"/>
  <c r="DL436" i="29"/>
  <c r="CZ436" i="29"/>
  <c r="CY436" i="29"/>
  <c r="CT436" i="29"/>
  <c r="BY446" i="29"/>
  <c r="BT446" i="29"/>
  <c r="BU446" i="29"/>
  <c r="CJ446" i="29"/>
  <c r="DD446" i="29"/>
  <c r="BQ446" i="29"/>
  <c r="BR446" i="29"/>
  <c r="CB446" i="29"/>
  <c r="CC446" i="29"/>
  <c r="DI446" i="29"/>
  <c r="CY446" i="29"/>
  <c r="CD446" i="29"/>
  <c r="DG454" i="29"/>
  <c r="CW454" i="29"/>
  <c r="DH454" i="29"/>
  <c r="CV454" i="29"/>
  <c r="DB454" i="29"/>
  <c r="CE454" i="29"/>
  <c r="DJ454" i="29"/>
  <c r="CO454" i="29"/>
  <c r="DA454" i="29"/>
  <c r="BS454" i="29"/>
  <c r="BW454" i="29"/>
  <c r="CQ454" i="29"/>
  <c r="CC454" i="29"/>
  <c r="DC466" i="29"/>
  <c r="CH466" i="29"/>
  <c r="DK466" i="29"/>
  <c r="CP466" i="29"/>
  <c r="BU466" i="29"/>
  <c r="CO466" i="29"/>
  <c r="CT466" i="29"/>
  <c r="CG466" i="29"/>
  <c r="BV466" i="29"/>
  <c r="BX466" i="29"/>
  <c r="CF466" i="29"/>
  <c r="CJ466" i="29"/>
  <c r="CZ473" i="29"/>
  <c r="CU473" i="29"/>
  <c r="BT473" i="29"/>
  <c r="BO473" i="29"/>
  <c r="BW473" i="29"/>
  <c r="BZ473" i="29"/>
  <c r="BX473" i="29"/>
  <c r="BR473" i="29"/>
  <c r="CN473" i="29"/>
  <c r="CK473" i="29"/>
  <c r="CC473" i="29"/>
  <c r="BU473" i="29"/>
  <c r="CS473" i="29"/>
  <c r="DC204" i="29"/>
  <c r="BW204" i="29"/>
  <c r="CQ204" i="29"/>
  <c r="DB204" i="29"/>
  <c r="CT204" i="29"/>
  <c r="DF204" i="29"/>
  <c r="BP204" i="29"/>
  <c r="CN204" i="29"/>
  <c r="CO204" i="29"/>
  <c r="BQ204" i="29"/>
  <c r="DH204" i="29"/>
  <c r="CK204" i="29"/>
  <c r="DL212" i="29"/>
  <c r="BQ212" i="29"/>
  <c r="DF212" i="29"/>
  <c r="BR212" i="29"/>
  <c r="DG212" i="29"/>
  <c r="BU212" i="29"/>
  <c r="CR212" i="29"/>
  <c r="CS212" i="29"/>
  <c r="BT212" i="29"/>
  <c r="DE212" i="29"/>
  <c r="DD212" i="29"/>
  <c r="BV212" i="29"/>
  <c r="CN212" i="29"/>
  <c r="CU224" i="29"/>
  <c r="CM224" i="29"/>
  <c r="CP224" i="29"/>
  <c r="BS224" i="29"/>
  <c r="DA224" i="29"/>
  <c r="DJ224" i="29"/>
  <c r="CA224" i="29"/>
  <c r="CT224" i="29"/>
  <c r="CQ224" i="29"/>
  <c r="CG224" i="29"/>
  <c r="CB224" i="29"/>
  <c r="CJ224" i="29"/>
  <c r="DL232" i="29"/>
  <c r="DK232" i="29"/>
  <c r="CX232" i="29"/>
  <c r="CP232" i="29"/>
  <c r="CY232" i="29"/>
  <c r="DA232" i="29"/>
  <c r="BX232" i="29"/>
  <c r="DI232" i="29"/>
  <c r="BP232" i="29"/>
  <c r="BV232" i="29"/>
  <c r="BY232" i="29"/>
  <c r="CZ232" i="29"/>
  <c r="BT232" i="29"/>
  <c r="CU240" i="29"/>
  <c r="CM240" i="29"/>
  <c r="BZ240" i="29"/>
  <c r="CA240" i="29"/>
  <c r="CG240" i="29"/>
  <c r="CO240" i="29"/>
  <c r="BP240" i="29"/>
  <c r="CC240" i="29"/>
  <c r="DD240" i="29"/>
  <c r="CB240" i="29"/>
  <c r="CR240" i="29"/>
  <c r="BY240" i="29"/>
  <c r="DL248" i="29"/>
  <c r="CH248" i="29"/>
  <c r="CT248" i="29"/>
  <c r="BS248" i="29"/>
  <c r="CF248" i="29"/>
  <c r="DI248" i="29"/>
  <c r="CQ248" i="29"/>
  <c r="DD248" i="29"/>
  <c r="CE248" i="29"/>
  <c r="CM248" i="29"/>
  <c r="DJ248" i="29"/>
  <c r="CL248" i="29"/>
  <c r="BW248" i="29"/>
  <c r="CX256" i="29"/>
  <c r="BQ256" i="29"/>
  <c r="CS256" i="29"/>
  <c r="BP256" i="29"/>
  <c r="DB256" i="29"/>
  <c r="BS256" i="29"/>
  <c r="CN256" i="29"/>
  <c r="BW256" i="29"/>
  <c r="BV256" i="29"/>
  <c r="BZ256" i="29"/>
  <c r="DH256" i="29"/>
  <c r="CL256" i="29"/>
  <c r="CH270" i="29"/>
  <c r="CW270" i="29"/>
  <c r="CI270" i="29"/>
  <c r="CK270" i="29"/>
  <c r="CB270" i="29"/>
  <c r="BY270" i="29"/>
  <c r="DF270" i="29"/>
  <c r="CJ270" i="29"/>
  <c r="DG270" i="29"/>
  <c r="DK270" i="29"/>
  <c r="CM270" i="29"/>
  <c r="BS270" i="29"/>
  <c r="BZ270" i="29"/>
  <c r="BR278" i="29"/>
  <c r="CW278" i="29"/>
  <c r="CI278" i="29"/>
  <c r="DJ278" i="29"/>
  <c r="CU278" i="29"/>
  <c r="DE278" i="29"/>
  <c r="CM278" i="29"/>
  <c r="DI278" i="29"/>
  <c r="BS278" i="29"/>
  <c r="CV278" i="29"/>
  <c r="CN278" i="29"/>
  <c r="CC278" i="29"/>
  <c r="CE286" i="29"/>
  <c r="CD286" i="29"/>
  <c r="BQ286" i="29"/>
  <c r="DH286" i="29"/>
  <c r="CX286" i="29"/>
  <c r="BS286" i="29"/>
  <c r="BT286" i="29"/>
  <c r="DE286" i="29"/>
  <c r="CQ286" i="29"/>
  <c r="BU286" i="29"/>
  <c r="CG286" i="29"/>
  <c r="DL286" i="29"/>
  <c r="DD286" i="29"/>
  <c r="CE299" i="29"/>
  <c r="BW299" i="29"/>
  <c r="DC299" i="29"/>
  <c r="BZ299" i="29"/>
  <c r="BX299" i="29"/>
  <c r="CR299" i="29"/>
  <c r="CW299" i="29"/>
  <c r="CU299" i="29"/>
  <c r="CS299" i="29"/>
  <c r="DI299" i="29"/>
  <c r="CF299" i="29"/>
  <c r="CV299" i="29"/>
  <c r="DK550" i="29"/>
  <c r="CC550" i="29"/>
  <c r="CI550" i="29"/>
  <c r="DE550" i="29"/>
  <c r="BP550" i="29"/>
  <c r="CW550" i="29"/>
  <c r="CA550" i="29"/>
  <c r="CH550" i="29"/>
  <c r="CO550" i="29"/>
  <c r="BU550" i="29"/>
  <c r="DC550" i="29"/>
  <c r="BQ550" i="29"/>
  <c r="DA550" i="29"/>
  <c r="DA558" i="29"/>
  <c r="BU558" i="29"/>
  <c r="DK558" i="29"/>
  <c r="DG558" i="29"/>
  <c r="CA558" i="29"/>
  <c r="BQ558" i="29"/>
  <c r="BR558" i="29"/>
  <c r="CR558" i="29"/>
  <c r="CJ558" i="29"/>
  <c r="BV558" i="29"/>
  <c r="CF558" i="29"/>
  <c r="CZ558" i="29"/>
  <c r="DK566" i="29"/>
  <c r="CV566" i="29"/>
  <c r="BT566" i="29"/>
  <c r="CB566" i="29"/>
  <c r="BX566" i="29"/>
  <c r="DI566" i="29"/>
  <c r="DH566" i="29"/>
  <c r="DL566" i="29"/>
  <c r="CC566" i="29"/>
  <c r="CL566" i="29"/>
  <c r="CS566" i="29"/>
  <c r="CY566" i="29"/>
  <c r="CZ566" i="29"/>
  <c r="BR578" i="29"/>
  <c r="BS578" i="29"/>
  <c r="CS578" i="29"/>
  <c r="CF578" i="29"/>
  <c r="BV578" i="29"/>
  <c r="DJ578" i="29"/>
  <c r="CM578" i="29"/>
  <c r="CJ578" i="29"/>
  <c r="DG578" i="29"/>
  <c r="DE578" i="29"/>
  <c r="CL578" i="29"/>
  <c r="CV578" i="29"/>
  <c r="DL586" i="29"/>
  <c r="CZ586" i="29"/>
  <c r="BO586" i="29"/>
  <c r="DJ586" i="29"/>
  <c r="CN586" i="29"/>
  <c r="CK586" i="29"/>
  <c r="BP586" i="29"/>
  <c r="CP586" i="29"/>
  <c r="DH586" i="29"/>
  <c r="DA586" i="29"/>
  <c r="CG586" i="29"/>
  <c r="CB586" i="29"/>
  <c r="BX586" i="29"/>
  <c r="CO594" i="29"/>
  <c r="DI594" i="29"/>
  <c r="CN594" i="29"/>
  <c r="BS594" i="29"/>
  <c r="CL594" i="29"/>
  <c r="BX594" i="29"/>
  <c r="DH594" i="29"/>
  <c r="CH594" i="29"/>
  <c r="CE594" i="29"/>
  <c r="CD594" i="29"/>
  <c r="BZ594" i="29"/>
  <c r="CG594" i="29"/>
  <c r="CX602" i="29"/>
  <c r="BY602" i="29"/>
  <c r="BP602" i="29"/>
  <c r="DL602" i="29"/>
  <c r="CR602" i="29"/>
  <c r="BV602" i="29"/>
  <c r="DI602" i="29"/>
  <c r="CD602" i="29"/>
  <c r="CW602" i="29"/>
  <c r="CY602" i="29"/>
  <c r="DE602" i="29"/>
  <c r="CF602" i="29"/>
  <c r="BQ602" i="29"/>
  <c r="CR616" i="29"/>
  <c r="BO616" i="29"/>
  <c r="CS616" i="29"/>
  <c r="DD616" i="29"/>
  <c r="CB616" i="29"/>
  <c r="CG616" i="29"/>
  <c r="CE616" i="29"/>
  <c r="BV616" i="29"/>
  <c r="CD616" i="29"/>
  <c r="BR616" i="29"/>
  <c r="BP616" i="29"/>
  <c r="DL616" i="29"/>
  <c r="DL624" i="29"/>
  <c r="CS624" i="29"/>
  <c r="BW624" i="29"/>
  <c r="CP624" i="29"/>
  <c r="CI624" i="29"/>
  <c r="CW624" i="29"/>
  <c r="CA624" i="29"/>
  <c r="CU624" i="29"/>
  <c r="DJ624" i="29"/>
  <c r="CD624" i="29"/>
  <c r="CZ624" i="29"/>
  <c r="CN624" i="29"/>
  <c r="CV624" i="29"/>
  <c r="DB632" i="29"/>
  <c r="CG632" i="29"/>
  <c r="CY632" i="29"/>
  <c r="DC632" i="29"/>
  <c r="BR632" i="29"/>
  <c r="CU632" i="29"/>
  <c r="BZ632" i="29"/>
  <c r="DE632" i="29"/>
  <c r="DI632" i="29"/>
  <c r="BT632" i="29"/>
  <c r="DH632" i="29"/>
  <c r="CR632" i="29"/>
  <c r="DF640" i="29"/>
  <c r="CD640" i="29"/>
  <c r="DD640" i="29"/>
  <c r="DA640" i="29"/>
  <c r="DE640" i="29"/>
  <c r="CC640" i="29"/>
  <c r="BT640" i="29"/>
  <c r="DG640" i="29"/>
  <c r="CL640" i="29"/>
  <c r="CW640" i="29"/>
  <c r="BV640" i="29"/>
  <c r="BO640" i="29"/>
  <c r="DK640" i="29"/>
  <c r="CK649" i="29"/>
  <c r="CC649" i="29"/>
  <c r="BU649" i="29"/>
  <c r="CO649" i="29"/>
  <c r="CT649" i="29"/>
  <c r="BP649" i="29"/>
  <c r="CV649" i="29"/>
  <c r="CP649" i="29"/>
  <c r="BT649" i="29"/>
  <c r="DL649" i="29"/>
  <c r="CE649" i="29"/>
  <c r="CX649" i="29"/>
  <c r="DE374" i="29"/>
  <c r="CT374" i="29"/>
  <c r="BW374" i="29"/>
  <c r="CQ374" i="29"/>
  <c r="CV374" i="29"/>
  <c r="CY374" i="29"/>
  <c r="CW374" i="29"/>
  <c r="CN374" i="29"/>
  <c r="CC374" i="29"/>
  <c r="CG374" i="29"/>
  <c r="DC374" i="29"/>
  <c r="DD374" i="29"/>
  <c r="BU374" i="29"/>
  <c r="CT382" i="29"/>
  <c r="CP382" i="29"/>
  <c r="CD382" i="29"/>
  <c r="CK382" i="29"/>
  <c r="CF382" i="29"/>
  <c r="CM382" i="29"/>
  <c r="BX382" i="29"/>
  <c r="CE382" i="29"/>
  <c r="DD382" i="29"/>
  <c r="CX382" i="29"/>
  <c r="BR382" i="29"/>
  <c r="CC382" i="29"/>
  <c r="DJ390" i="29"/>
  <c r="BT390" i="29"/>
  <c r="BZ390" i="29"/>
  <c r="BY390" i="29"/>
  <c r="CF390" i="29"/>
  <c r="CU390" i="29"/>
  <c r="DB390" i="29"/>
  <c r="DC390" i="29"/>
  <c r="CR390" i="29"/>
  <c r="CB390" i="29"/>
  <c r="CQ390" i="29"/>
  <c r="CW390" i="29"/>
  <c r="DH390" i="29"/>
  <c r="BT394" i="29"/>
  <c r="BW394" i="29"/>
  <c r="BP394" i="29"/>
  <c r="CD394" i="29"/>
  <c r="CE394" i="29"/>
  <c r="CN394" i="29"/>
  <c r="CJ394" i="29"/>
  <c r="CX394" i="29"/>
  <c r="CC394" i="29"/>
  <c r="CT394" i="29"/>
  <c r="CS394" i="29"/>
  <c r="CP394" i="29"/>
  <c r="DJ402" i="29"/>
  <c r="DC402" i="29"/>
  <c r="CR402" i="29"/>
  <c r="CH402" i="29"/>
  <c r="CU402" i="29"/>
  <c r="DB402" i="29"/>
  <c r="DL402" i="29"/>
  <c r="DH402" i="29"/>
  <c r="CW402" i="29"/>
  <c r="BS402" i="29"/>
  <c r="CY402" i="29"/>
  <c r="DF402" i="29"/>
  <c r="CL402" i="29"/>
  <c r="CJ410" i="29"/>
  <c r="BW410" i="29"/>
  <c r="BZ410" i="29"/>
  <c r="CT410" i="29"/>
  <c r="BO410" i="29"/>
  <c r="DI410" i="29"/>
  <c r="CN410" i="29"/>
  <c r="CL410" i="29"/>
  <c r="DA410" i="29"/>
  <c r="DH410" i="29"/>
  <c r="BQ410" i="29"/>
  <c r="CQ410" i="29"/>
  <c r="DK422" i="29"/>
  <c r="BZ422" i="29"/>
  <c r="CN422" i="29"/>
  <c r="CJ422" i="29"/>
  <c r="DL422" i="29"/>
  <c r="CP422" i="29"/>
  <c r="CC422" i="29"/>
  <c r="CL422" i="29"/>
  <c r="CX422" i="29"/>
  <c r="DE422" i="29"/>
  <c r="CW422" i="29"/>
  <c r="CO422" i="29"/>
  <c r="CR422" i="29"/>
  <c r="BO430" i="29"/>
  <c r="CE430" i="29"/>
  <c r="CY430" i="29"/>
  <c r="BP430" i="29"/>
  <c r="CZ430" i="29"/>
  <c r="DJ430" i="29"/>
  <c r="BW430" i="29"/>
  <c r="CO430" i="29"/>
  <c r="BY430" i="29"/>
  <c r="DE430" i="29"/>
  <c r="DB430" i="29"/>
  <c r="CP430" i="29"/>
  <c r="DL440" i="29"/>
  <c r="DJ440" i="29"/>
  <c r="CP440" i="29"/>
  <c r="CA440" i="29"/>
  <c r="CQ440" i="29"/>
  <c r="DC440" i="29"/>
  <c r="CD440" i="29"/>
  <c r="BQ440" i="29"/>
  <c r="DG440" i="29"/>
  <c r="BX440" i="29"/>
  <c r="CL440" i="29"/>
  <c r="CB440" i="29"/>
  <c r="DH440" i="29"/>
  <c r="DE448" i="29"/>
  <c r="CI448" i="29"/>
  <c r="DG448" i="29"/>
  <c r="CL448" i="29"/>
  <c r="BQ448" i="29"/>
  <c r="CE448" i="29"/>
  <c r="CM448" i="29"/>
  <c r="CU448" i="29"/>
  <c r="DC448" i="29"/>
  <c r="BX448" i="29"/>
  <c r="CF448" i="29"/>
  <c r="CZ448" i="29"/>
  <c r="DL456" i="29"/>
  <c r="CQ456" i="29"/>
  <c r="BV456" i="29"/>
  <c r="CY456" i="29"/>
  <c r="CD456" i="29"/>
  <c r="CX456" i="29"/>
  <c r="DF456" i="29"/>
  <c r="BO456" i="29"/>
  <c r="BW456" i="29"/>
  <c r="CE456" i="29"/>
  <c r="DD456" i="29"/>
  <c r="CR456" i="29"/>
  <c r="DH456" i="29"/>
  <c r="DA464" i="29"/>
  <c r="CK464" i="29"/>
  <c r="CD464" i="29"/>
  <c r="CW464" i="29"/>
  <c r="CR464" i="29"/>
  <c r="CZ464" i="29"/>
  <c r="DC464" i="29"/>
  <c r="CP464" i="29"/>
  <c r="CF464" i="29"/>
  <c r="CV464" i="29"/>
  <c r="CJ464" i="29"/>
  <c r="BR464" i="29"/>
  <c r="DH469" i="29"/>
  <c r="BW469" i="29"/>
  <c r="BZ469" i="29"/>
  <c r="DF469" i="29"/>
  <c r="BO469" i="29"/>
  <c r="BX469" i="29"/>
  <c r="CX469" i="29"/>
  <c r="CA469" i="29"/>
  <c r="CS469" i="29"/>
  <c r="DG469" i="29"/>
  <c r="CF469" i="29"/>
  <c r="CW469" i="29"/>
  <c r="BV469" i="29"/>
  <c r="BY474" i="29"/>
  <c r="CG474" i="29"/>
  <c r="CW474" i="29"/>
  <c r="CR474" i="29"/>
  <c r="CZ474" i="29"/>
  <c r="CX474" i="29"/>
  <c r="CO474" i="29"/>
  <c r="CP474" i="29"/>
  <c r="DI474" i="29"/>
  <c r="BX474" i="29"/>
  <c r="CN474" i="29"/>
  <c r="DD474" i="29"/>
  <c r="DI206" i="29"/>
  <c r="CI206" i="29"/>
  <c r="BV206" i="29"/>
  <c r="CK206" i="29"/>
  <c r="CT206" i="29"/>
  <c r="DL206" i="29"/>
  <c r="CB206" i="29"/>
  <c r="CA206" i="29"/>
  <c r="DA206" i="29"/>
  <c r="CV206" i="29"/>
  <c r="CZ206" i="29"/>
  <c r="CO206" i="29"/>
  <c r="DK206" i="29"/>
  <c r="BW214" i="29"/>
  <c r="CG214" i="29"/>
  <c r="CE214" i="29"/>
  <c r="BR214" i="29"/>
  <c r="DI214" i="29"/>
  <c r="DB214" i="29"/>
  <c r="CY214" i="29"/>
  <c r="CB214" i="29"/>
  <c r="DD214" i="29"/>
  <c r="DH214" i="29"/>
  <c r="CZ214" i="29"/>
  <c r="BP214" i="29"/>
  <c r="DI222" i="29"/>
  <c r="DG222" i="29"/>
  <c r="CT222" i="29"/>
  <c r="DH222" i="29"/>
  <c r="CI222" i="29"/>
  <c r="BV222" i="29"/>
  <c r="CP222" i="29"/>
  <c r="CZ222" i="29"/>
  <c r="BZ222" i="29"/>
  <c r="DE222" i="29"/>
  <c r="CH222" i="29"/>
  <c r="CB222" i="29"/>
  <c r="CE222" i="29"/>
  <c r="CA230" i="29"/>
  <c r="BY230" i="29"/>
  <c r="BQ230" i="29"/>
  <c r="BS230" i="29"/>
  <c r="CZ230" i="29"/>
  <c r="CM230" i="29"/>
  <c r="CN230" i="29"/>
  <c r="DE230" i="29"/>
  <c r="DD230" i="29"/>
  <c r="BU230" i="29"/>
  <c r="CR230" i="29"/>
  <c r="CW230" i="29"/>
  <c r="DG238" i="29"/>
  <c r="CT238" i="29"/>
  <c r="BU238" i="29"/>
  <c r="BT238" i="29"/>
  <c r="DB238" i="29"/>
  <c r="CK238" i="29"/>
  <c r="CP238" i="29"/>
  <c r="CM238" i="29"/>
  <c r="BY238" i="29"/>
  <c r="DK238" i="29"/>
  <c r="CJ238" i="29"/>
  <c r="BP238" i="29"/>
  <c r="CU238" i="29"/>
  <c r="DJ246" i="29"/>
  <c r="CU246" i="29"/>
  <c r="BT246" i="29"/>
  <c r="CM246" i="29"/>
  <c r="CW246" i="29"/>
  <c r="DB246" i="29"/>
  <c r="BX246" i="29"/>
  <c r="BV246" i="29"/>
  <c r="CX246" i="29"/>
  <c r="CV246" i="29"/>
  <c r="CL246" i="29"/>
  <c r="BW246" i="29"/>
  <c r="BP254" i="29"/>
  <c r="DB254" i="29"/>
  <c r="CK254" i="29"/>
  <c r="CJ254" i="29"/>
  <c r="CD254" i="29"/>
  <c r="DK254" i="29"/>
  <c r="CN254" i="29"/>
  <c r="CM254" i="29"/>
  <c r="CW254" i="29"/>
  <c r="DF254" i="29"/>
  <c r="CR254" i="29"/>
  <c r="DE254" i="29"/>
  <c r="BW254" i="29"/>
  <c r="CO262" i="29"/>
  <c r="CX262" i="29"/>
  <c r="CK262" i="29"/>
  <c r="CA262" i="29"/>
  <c r="BT262" i="29"/>
  <c r="CS262" i="29"/>
  <c r="BY262" i="29"/>
  <c r="DH262" i="29"/>
  <c r="DG262" i="29"/>
  <c r="BW262" i="29"/>
  <c r="DD262" i="29"/>
  <c r="CD262" i="29"/>
  <c r="CZ272" i="29"/>
  <c r="CA272" i="29"/>
  <c r="DL272" i="29"/>
  <c r="DH272" i="29"/>
  <c r="BS272" i="29"/>
  <c r="CV272" i="29"/>
  <c r="CB272" i="29"/>
  <c r="BX272" i="29"/>
  <c r="CP272" i="29"/>
  <c r="CJ272" i="29"/>
  <c r="CH272" i="29"/>
  <c r="CX272" i="29"/>
  <c r="DK272" i="29"/>
  <c r="CN280" i="29"/>
  <c r="DG280" i="29"/>
  <c r="BV280" i="29"/>
  <c r="BZ280" i="29"/>
  <c r="CC280" i="29"/>
  <c r="CF280" i="29"/>
  <c r="CZ280" i="29"/>
  <c r="CV280" i="29"/>
  <c r="CB280" i="29"/>
  <c r="BS280" i="29"/>
  <c r="BY280" i="29"/>
  <c r="DE280" i="29"/>
  <c r="DC288" i="29"/>
  <c r="DE288" i="29"/>
  <c r="CW288" i="29"/>
  <c r="CN288" i="29"/>
  <c r="CT288" i="29"/>
  <c r="DG288" i="29"/>
  <c r="CY288" i="29"/>
  <c r="CA288" i="29"/>
  <c r="CS288" i="29"/>
  <c r="CE288" i="29"/>
  <c r="CP288" i="29"/>
  <c r="DA288" i="29"/>
  <c r="BR288" i="29"/>
  <c r="DJ297" i="29"/>
  <c r="DL297" i="29"/>
  <c r="CY297" i="29"/>
  <c r="DA297" i="29"/>
  <c r="DD297" i="29"/>
  <c r="CQ297" i="29"/>
  <c r="CL297" i="29"/>
  <c r="DC297" i="29"/>
  <c r="CC297" i="29"/>
  <c r="CZ297" i="29"/>
  <c r="CR297" i="29"/>
  <c r="CG297" i="29"/>
  <c r="DL552" i="29"/>
  <c r="CQ552" i="29"/>
  <c r="BV552" i="29"/>
  <c r="CI552" i="29"/>
  <c r="CM552" i="29"/>
  <c r="DF552" i="29"/>
  <c r="CK552" i="29"/>
  <c r="BO552" i="29"/>
  <c r="CD552" i="29"/>
  <c r="CV552" i="29"/>
  <c r="BT552" i="29"/>
  <c r="CB552" i="29"/>
  <c r="CR560" i="29"/>
  <c r="BO560" i="29"/>
  <c r="BZ560" i="29"/>
  <c r="BR560" i="29"/>
  <c r="CP560" i="29"/>
  <c r="CU560" i="29"/>
  <c r="CM560" i="29"/>
  <c r="CC560" i="29"/>
  <c r="CK560" i="29"/>
  <c r="DB560" i="29"/>
  <c r="BV560" i="29"/>
  <c r="BU560" i="29"/>
  <c r="DL568" i="29"/>
  <c r="CT568" i="29"/>
  <c r="BY568" i="29"/>
  <c r="CQ568" i="29"/>
  <c r="CU568" i="29"/>
  <c r="DI568" i="29"/>
  <c r="CM568" i="29"/>
  <c r="BR568" i="29"/>
  <c r="BQ568" i="29"/>
  <c r="CE568" i="29"/>
  <c r="CV568" i="29"/>
  <c r="CJ568" i="29"/>
  <c r="CR568" i="29"/>
  <c r="DF576" i="29"/>
  <c r="CK576" i="29"/>
  <c r="BO576" i="29"/>
  <c r="BR576" i="29"/>
  <c r="BQ576" i="29"/>
  <c r="CT576" i="29"/>
  <c r="BY576" i="29"/>
  <c r="CS576" i="29"/>
  <c r="DB576" i="29"/>
  <c r="BP576" i="29"/>
  <c r="DD576" i="29"/>
  <c r="CN576" i="29"/>
  <c r="DL584" i="29"/>
  <c r="CS584" i="29"/>
  <c r="BW584" i="29"/>
  <c r="CP584" i="29"/>
  <c r="CI584" i="29"/>
  <c r="CW584" i="29"/>
  <c r="CA584" i="29"/>
  <c r="CU584" i="29"/>
  <c r="DJ584" i="29"/>
  <c r="CD584" i="29"/>
  <c r="CV584" i="29"/>
  <c r="CJ584" i="29"/>
  <c r="CR584" i="29"/>
  <c r="DB592" i="29"/>
  <c r="CG592" i="29"/>
  <c r="DE592" i="29"/>
  <c r="CX592" i="29"/>
  <c r="DF592" i="29"/>
  <c r="CK592" i="29"/>
  <c r="BO592" i="29"/>
  <c r="CI592" i="29"/>
  <c r="CS592" i="29"/>
  <c r="BP592" i="29"/>
  <c r="DD592" i="29"/>
  <c r="CN592" i="29"/>
  <c r="DL600" i="29"/>
  <c r="CQ600" i="29"/>
  <c r="BV600" i="29"/>
  <c r="BY600" i="29"/>
  <c r="DK600" i="29"/>
  <c r="CP600" i="29"/>
  <c r="BU600" i="29"/>
  <c r="CT600" i="29"/>
  <c r="DI600" i="29"/>
  <c r="CC600" i="29"/>
  <c r="CV600" i="29"/>
  <c r="CJ600" i="29"/>
  <c r="CR600" i="29"/>
  <c r="DC604" i="29"/>
  <c r="CH604" i="29"/>
  <c r="DF604" i="29"/>
  <c r="BO604" i="29"/>
  <c r="BY604" i="29"/>
  <c r="CQ604" i="29"/>
  <c r="BV604" i="29"/>
  <c r="CP604" i="29"/>
  <c r="CY604" i="29"/>
  <c r="BP604" i="29"/>
  <c r="BT604" i="29"/>
  <c r="DD604" i="29"/>
  <c r="DL612" i="29"/>
  <c r="CQ612" i="29"/>
  <c r="BV612" i="29"/>
  <c r="CT612" i="29"/>
  <c r="DI612" i="29"/>
  <c r="BR612" i="29"/>
  <c r="CU612" i="29"/>
  <c r="BZ612" i="29"/>
  <c r="CI612" i="29"/>
  <c r="CH612" i="29"/>
  <c r="CV612" i="29"/>
  <c r="CZ612" i="29"/>
  <c r="CB612" i="29"/>
  <c r="CW622" i="29"/>
  <c r="BY622" i="29"/>
  <c r="BQ622" i="29"/>
  <c r="DA622" i="29"/>
  <c r="CP622" i="29"/>
  <c r="BP622" i="29"/>
  <c r="BR622" i="29"/>
  <c r="CV622" i="29"/>
  <c r="CY622" i="29"/>
  <c r="CA622" i="29"/>
  <c r="DI622" i="29"/>
  <c r="CD622" i="29"/>
  <c r="DL630" i="29"/>
  <c r="CE630" i="29"/>
  <c r="DJ630" i="29"/>
  <c r="CM630" i="29"/>
  <c r="BS630" i="29"/>
  <c r="CW630" i="29"/>
  <c r="DF630" i="29"/>
  <c r="CG630" i="29"/>
  <c r="DI630" i="29"/>
  <c r="BV630" i="29"/>
  <c r="CR630" i="29"/>
  <c r="CV630" i="29"/>
  <c r="CX630" i="29"/>
  <c r="BX642" i="29"/>
  <c r="DL642" i="29"/>
  <c r="DG642" i="29"/>
  <c r="CW642" i="29"/>
  <c r="BW642" i="29"/>
  <c r="DJ642" i="29"/>
  <c r="CP642" i="29"/>
  <c r="CC642" i="29"/>
  <c r="CU642" i="29"/>
  <c r="DC642" i="29"/>
  <c r="CJ642" i="29"/>
  <c r="CK642" i="29"/>
  <c r="DL651" i="29"/>
  <c r="CG651" i="29"/>
  <c r="CS651" i="29"/>
  <c r="BS651" i="29"/>
  <c r="CM651" i="29"/>
  <c r="DA651" i="29"/>
  <c r="CQ651" i="29"/>
  <c r="CX651" i="29"/>
  <c r="BP651" i="29"/>
  <c r="CJ651" i="29"/>
  <c r="CF651" i="29"/>
  <c r="DJ651" i="29"/>
  <c r="BX651" i="29"/>
  <c r="DF724" i="29"/>
  <c r="CK724" i="29"/>
  <c r="BO724" i="29"/>
  <c r="CS724" i="29"/>
  <c r="BW724" i="29"/>
  <c r="CG724" i="29"/>
  <c r="CL724" i="29"/>
  <c r="CI724" i="29"/>
  <c r="BY724" i="29"/>
  <c r="BT724" i="29"/>
  <c r="CR724" i="29"/>
  <c r="DD724" i="29"/>
  <c r="DL728" i="29"/>
  <c r="CU728" i="29"/>
  <c r="BZ728" i="29"/>
  <c r="DC728" i="29"/>
  <c r="CH728" i="29"/>
  <c r="DG728" i="29"/>
  <c r="BQ728" i="29"/>
  <c r="BV728" i="29"/>
  <c r="DE728" i="29"/>
  <c r="CT728" i="29"/>
  <c r="DD728" i="29"/>
  <c r="CR728" i="29"/>
  <c r="BT728" i="29"/>
  <c r="DC732" i="29"/>
  <c r="CH732" i="29"/>
  <c r="DK732" i="29"/>
  <c r="CP732" i="29"/>
  <c r="BU732" i="29"/>
  <c r="CI732" i="29"/>
  <c r="CO732" i="29"/>
  <c r="CA732" i="29"/>
  <c r="CL732" i="29"/>
  <c r="CB732" i="29"/>
  <c r="CJ732" i="29"/>
  <c r="CF732" i="29"/>
  <c r="DL736" i="29"/>
  <c r="CQ736" i="29"/>
  <c r="BV736" i="29"/>
  <c r="CY736" i="29"/>
  <c r="CD736" i="29"/>
  <c r="CS736" i="29"/>
  <c r="CX736" i="29"/>
  <c r="DF736" i="29"/>
  <c r="CE736" i="29"/>
  <c r="CP736" i="29"/>
  <c r="CV736" i="29"/>
  <c r="BT736" i="29"/>
  <c r="CB736" i="29"/>
  <c r="DB740" i="29"/>
  <c r="CG740" i="29"/>
  <c r="DJ740" i="29"/>
  <c r="CO740" i="29"/>
  <c r="BS740" i="29"/>
  <c r="CC740" i="29"/>
  <c r="CH740" i="29"/>
  <c r="CU740" i="29"/>
  <c r="BU740" i="29"/>
  <c r="BT740" i="29"/>
  <c r="CR740" i="29"/>
  <c r="CN740" i="29"/>
  <c r="DL744" i="29"/>
  <c r="CQ744" i="29"/>
  <c r="BV744" i="29"/>
  <c r="CY744" i="29"/>
  <c r="CD744" i="29"/>
  <c r="CX744" i="29"/>
  <c r="DC744" i="29"/>
  <c r="DA744" i="29"/>
  <c r="DK744" i="29"/>
  <c r="CK744" i="29"/>
  <c r="DD744" i="29"/>
  <c r="CB744" i="29"/>
  <c r="CZ744" i="29"/>
  <c r="DE748" i="29"/>
  <c r="CI748" i="29"/>
  <c r="DG748" i="29"/>
  <c r="CL748" i="29"/>
  <c r="BQ748" i="29"/>
  <c r="BZ748" i="29"/>
  <c r="BQ726" i="29"/>
  <c r="CM726" i="29"/>
  <c r="CD726" i="29"/>
  <c r="DA730" i="29"/>
  <c r="BY730" i="29"/>
  <c r="BU730" i="29"/>
  <c r="CM734" i="29"/>
  <c r="CR734" i="29"/>
  <c r="BT734" i="29"/>
  <c r="CT734" i="29"/>
  <c r="BV738" i="29"/>
  <c r="DG738" i="29"/>
  <c r="CI738" i="29"/>
  <c r="BO742" i="29"/>
  <c r="CD742" i="29"/>
  <c r="BX742" i="29"/>
  <c r="DJ746" i="29"/>
  <c r="BQ746" i="29"/>
  <c r="BX746" i="29"/>
  <c r="CD750" i="29"/>
  <c r="BP750" i="29"/>
  <c r="BO754" i="29"/>
  <c r="CT754" i="29"/>
  <c r="CN754" i="29"/>
  <c r="CP758" i="29"/>
  <c r="CQ758" i="29"/>
  <c r="CO758" i="29"/>
  <c r="CW762" i="29"/>
  <c r="DC762" i="29"/>
  <c r="DK762" i="29"/>
  <c r="DK766" i="29"/>
  <c r="CC766" i="29"/>
  <c r="CD766" i="29"/>
  <c r="CZ766" i="29"/>
  <c r="CG770" i="29"/>
  <c r="CK770" i="29"/>
  <c r="CN770" i="29"/>
  <c r="BO774" i="29"/>
  <c r="CS774" i="29"/>
  <c r="DL774" i="29"/>
  <c r="CO778" i="29"/>
  <c r="CV778" i="29"/>
  <c r="CC778" i="29"/>
  <c r="CT782" i="29"/>
  <c r="CU782" i="29"/>
  <c r="DL782" i="29"/>
  <c r="CB786" i="29"/>
  <c r="CL786" i="29"/>
  <c r="BU786" i="29"/>
  <c r="CP792" i="29"/>
  <c r="CY792" i="29"/>
  <c r="CA792" i="29"/>
  <c r="DA796" i="29"/>
  <c r="BR796" i="29"/>
  <c r="CQ796" i="29"/>
  <c r="DD800" i="29"/>
  <c r="DJ800" i="29"/>
  <c r="DL800" i="29"/>
  <c r="CC800" i="29"/>
  <c r="DH804" i="29"/>
  <c r="BY804" i="29"/>
  <c r="CD804" i="29"/>
  <c r="DK808" i="29"/>
  <c r="BO808" i="29"/>
  <c r="CI808" i="29"/>
  <c r="CN812" i="29"/>
  <c r="BX812" i="29"/>
  <c r="CF812" i="29"/>
  <c r="CF816" i="29"/>
  <c r="DH816" i="29"/>
  <c r="DC816" i="29"/>
  <c r="CJ821" i="29"/>
  <c r="CW821" i="29"/>
  <c r="CU821" i="29"/>
  <c r="BY825" i="29"/>
  <c r="BU825" i="29"/>
  <c r="BX825" i="29"/>
  <c r="CW898" i="29"/>
  <c r="BO898" i="29"/>
  <c r="DC898" i="29"/>
  <c r="DI902" i="29"/>
  <c r="BV902" i="29"/>
  <c r="BS902" i="29"/>
  <c r="CR902" i="29"/>
  <c r="BR906" i="29"/>
  <c r="CW906" i="29"/>
  <c r="CR906" i="29"/>
  <c r="CY910" i="29"/>
  <c r="CQ910" i="29"/>
  <c r="DH910" i="29"/>
  <c r="CU914" i="29"/>
  <c r="CI914" i="29"/>
  <c r="CF914" i="29"/>
  <c r="BW918" i="29"/>
  <c r="BS918" i="29"/>
  <c r="BT918" i="29"/>
  <c r="DH922" i="29"/>
  <c r="CX922" i="29"/>
  <c r="CO922" i="29"/>
  <c r="CV926" i="29"/>
  <c r="CU926" i="29"/>
  <c r="DI926" i="29"/>
  <c r="CJ930" i="29"/>
  <c r="CN930" i="29"/>
  <c r="CK930" i="29"/>
  <c r="CF934" i="29"/>
  <c r="DI934" i="29"/>
  <c r="CV934" i="29"/>
  <c r="BY934" i="29"/>
  <c r="CX938" i="29"/>
  <c r="BP938" i="29"/>
  <c r="CW938" i="29"/>
  <c r="CM942" i="29"/>
  <c r="BU942" i="29"/>
  <c r="CN942" i="29"/>
  <c r="CE946" i="29"/>
  <c r="CY946" i="29"/>
  <c r="BY946" i="29"/>
  <c r="BZ950" i="29"/>
  <c r="DJ950" i="29"/>
  <c r="CM950" i="29"/>
  <c r="DK954" i="29"/>
  <c r="CH954" i="29"/>
  <c r="CO954" i="29"/>
  <c r="CU958" i="29"/>
  <c r="CH958" i="29"/>
  <c r="CW958" i="29"/>
  <c r="CO964" i="29"/>
  <c r="BU964" i="29"/>
  <c r="CA964" i="29"/>
  <c r="DB968" i="29"/>
  <c r="CM968" i="29"/>
  <c r="CR968" i="29"/>
  <c r="DJ968" i="29"/>
  <c r="CK972" i="29"/>
  <c r="CB972" i="29"/>
  <c r="BW972" i="29"/>
  <c r="BV976" i="29"/>
  <c r="BY976" i="29"/>
  <c r="CJ976" i="29"/>
  <c r="CC980" i="29"/>
  <c r="DC980" i="29"/>
  <c r="CN980" i="29"/>
  <c r="BX984" i="29"/>
  <c r="CL984" i="29"/>
  <c r="BP984" i="29"/>
  <c r="DL988" i="29"/>
  <c r="CY988" i="29"/>
  <c r="CN988" i="29"/>
  <c r="DJ993" i="29"/>
  <c r="DF993" i="29"/>
  <c r="BP993" i="29"/>
  <c r="CN997" i="29"/>
  <c r="CE997" i="29"/>
  <c r="CP997" i="29"/>
  <c r="CO373" i="29"/>
  <c r="CJ373" i="29"/>
  <c r="CU373" i="29"/>
  <c r="CM373" i="29"/>
  <c r="DA377" i="29"/>
  <c r="BS377" i="29"/>
  <c r="CN377" i="29"/>
  <c r="DG381" i="29"/>
  <c r="BZ381" i="29"/>
  <c r="BP381" i="29"/>
  <c r="DJ385" i="29"/>
  <c r="CQ385" i="29"/>
  <c r="DH385" i="29"/>
  <c r="BQ389" i="29"/>
  <c r="BS389" i="29"/>
  <c r="CB389" i="29"/>
  <c r="CC393" i="29"/>
  <c r="CP393" i="29"/>
  <c r="CJ393" i="29"/>
  <c r="CO397" i="29"/>
  <c r="CL397" i="29"/>
  <c r="CX397" i="29"/>
  <c r="DA401" i="29"/>
  <c r="DI401" i="29"/>
  <c r="BV401" i="29"/>
  <c r="DK405" i="29"/>
  <c r="CC405" i="29"/>
  <c r="BQ405" i="29"/>
  <c r="CF405" i="29"/>
  <c r="CI409" i="29"/>
  <c r="CH409" i="29"/>
  <c r="CN409" i="29"/>
  <c r="CU413" i="29"/>
  <c r="CY413" i="29"/>
  <c r="BP413" i="29"/>
  <c r="CI417" i="29"/>
  <c r="BO417" i="29"/>
  <c r="CA417" i="29"/>
  <c r="CF421" i="29"/>
  <c r="DI421" i="29"/>
  <c r="CE421" i="29"/>
  <c r="DI425" i="29"/>
  <c r="BX425" i="29"/>
  <c r="DJ425" i="29"/>
  <c r="CF429" i="29"/>
  <c r="DB429" i="29"/>
  <c r="DD429" i="29"/>
  <c r="CM433" i="29"/>
  <c r="CR433" i="29"/>
  <c r="CD433" i="29"/>
  <c r="DI437" i="29"/>
  <c r="BY437" i="29"/>
  <c r="CW437" i="29"/>
  <c r="DL443" i="29"/>
  <c r="BY443" i="29"/>
  <c r="CK443" i="29"/>
  <c r="BT443" i="29"/>
  <c r="BO447" i="29"/>
  <c r="CQ447" i="29"/>
  <c r="DH447" i="29"/>
  <c r="BO451" i="29"/>
  <c r="BW451" i="29"/>
  <c r="CT451" i="29"/>
  <c r="CT455" i="29"/>
  <c r="CQ455" i="29"/>
  <c r="CJ455" i="29"/>
  <c r="CD459" i="29"/>
  <c r="CC459" i="29"/>
  <c r="CG459" i="29"/>
  <c r="DK463" i="29"/>
  <c r="DB463" i="29"/>
  <c r="CX463" i="29"/>
  <c r="DD467" i="29"/>
  <c r="BP467" i="29"/>
  <c r="CO467" i="29"/>
  <c r="DA201" i="29"/>
  <c r="CL201" i="29"/>
  <c r="CZ201" i="29"/>
  <c r="DH205" i="29"/>
  <c r="CN205" i="29"/>
  <c r="CE205" i="29"/>
  <c r="BS205" i="29"/>
  <c r="DL209" i="29"/>
  <c r="BQ209" i="29"/>
  <c r="CB209" i="29"/>
  <c r="CC213" i="29"/>
  <c r="CB213" i="29"/>
  <c r="CE213" i="29"/>
  <c r="CW217" i="29"/>
  <c r="CE217" i="29"/>
  <c r="BX217" i="29"/>
  <c r="CG221" i="29"/>
  <c r="CC221" i="29"/>
  <c r="CM221" i="29"/>
  <c r="DF225" i="29"/>
  <c r="CZ225" i="29"/>
  <c r="BV225" i="29"/>
  <c r="CH229" i="29"/>
  <c r="DG229" i="29"/>
  <c r="CF229" i="29"/>
  <c r="BY233" i="29"/>
  <c r="CM233" i="29"/>
  <c r="CL233" i="29"/>
  <c r="CX237" i="29"/>
  <c r="CD237" i="29"/>
  <c r="BV237" i="29"/>
  <c r="DD237" i="29"/>
  <c r="DI241" i="29"/>
  <c r="CB241" i="29"/>
  <c r="BV241" i="29"/>
  <c r="CS245" i="29"/>
  <c r="CN245" i="29"/>
  <c r="CY245" i="29"/>
  <c r="CC249" i="29"/>
  <c r="CD249" i="29"/>
  <c r="BP249" i="29"/>
  <c r="BO253" i="29"/>
  <c r="CS253" i="29"/>
  <c r="CJ253" i="29"/>
  <c r="BV257" i="29"/>
  <c r="BU257" i="29"/>
  <c r="BX257" i="29"/>
  <c r="BY261" i="29"/>
  <c r="DB261" i="29"/>
  <c r="DI261" i="29"/>
  <c r="BZ267" i="29"/>
  <c r="BV267" i="29"/>
  <c r="DH267" i="29"/>
  <c r="CG271" i="29"/>
  <c r="DG271" i="29"/>
  <c r="DI271" i="29"/>
  <c r="CJ271" i="29"/>
  <c r="BP275" i="29"/>
  <c r="CL275" i="29"/>
  <c r="CC275" i="29"/>
  <c r="CI279" i="29"/>
  <c r="DL279" i="29"/>
  <c r="BT279" i="29"/>
  <c r="BO283" i="29"/>
  <c r="DA283" i="29"/>
  <c r="CQ283" i="29"/>
  <c r="DF287" i="29"/>
  <c r="CE287" i="29"/>
  <c r="CO287" i="29"/>
  <c r="DB291" i="29"/>
  <c r="DE291" i="29"/>
  <c r="CT291" i="29"/>
  <c r="BU296" i="29"/>
  <c r="BY296" i="29"/>
  <c r="CU296" i="29"/>
  <c r="DA300" i="29"/>
  <c r="DL300" i="29"/>
  <c r="CJ300" i="29"/>
  <c r="CY551" i="29"/>
  <c r="CP551" i="29"/>
  <c r="DL551" i="29"/>
  <c r="DG551" i="29"/>
  <c r="CQ555" i="29"/>
  <c r="DC555" i="29"/>
  <c r="BU555" i="29"/>
  <c r="DK559" i="29"/>
  <c r="DH559" i="29"/>
  <c r="BS559" i="29"/>
  <c r="CK563" i="29"/>
  <c r="CP563" i="29"/>
  <c r="BP563" i="29"/>
  <c r="CC567" i="29"/>
  <c r="CX567" i="29"/>
  <c r="CY567" i="29"/>
  <c r="DH571" i="29"/>
  <c r="BR571" i="29"/>
  <c r="BY571" i="29"/>
  <c r="DF575" i="29"/>
  <c r="DD575" i="29"/>
  <c r="CK575" i="29"/>
  <c r="CJ579" i="29"/>
  <c r="CI579" i="29"/>
  <c r="DG579" i="29"/>
  <c r="DB583" i="29"/>
  <c r="BT583" i="29"/>
  <c r="DF583" i="29"/>
  <c r="DH583" i="29"/>
  <c r="CX587" i="29"/>
  <c r="CA587" i="29"/>
  <c r="BY587" i="29"/>
  <c r="CZ591" i="29"/>
  <c r="CO591" i="29"/>
  <c r="CG591" i="29"/>
  <c r="CX595" i="29"/>
  <c r="CB595" i="29"/>
  <c r="CL595" i="29"/>
  <c r="BT599" i="29"/>
  <c r="CC599" i="29"/>
  <c r="DD599" i="29"/>
  <c r="DD603" i="29"/>
  <c r="BT603" i="29"/>
  <c r="BV603" i="29"/>
  <c r="BT607" i="29"/>
  <c r="CY607" i="29"/>
  <c r="CN607" i="29"/>
  <c r="CJ611" i="29"/>
  <c r="CI611" i="29"/>
  <c r="CL611" i="29"/>
  <c r="CZ617" i="29"/>
  <c r="CJ617" i="29"/>
  <c r="CC617" i="29"/>
  <c r="BO617" i="29"/>
  <c r="BP621" i="29"/>
  <c r="DI621" i="29"/>
  <c r="CD621" i="29"/>
  <c r="CC625" i="29"/>
  <c r="CI625" i="29"/>
  <c r="CM625" i="29"/>
  <c r="BT629" i="29"/>
  <c r="BR629" i="29"/>
  <c r="CY629" i="29"/>
  <c r="CH633" i="29"/>
  <c r="CG633" i="29"/>
  <c r="DI633" i="29"/>
  <c r="BR637" i="29"/>
  <c r="BQ637" i="29"/>
  <c r="DC637" i="29"/>
  <c r="BX641" i="29"/>
  <c r="DD641" i="29"/>
  <c r="CT641" i="29"/>
  <c r="DB646" i="29"/>
  <c r="CE646" i="29"/>
  <c r="CZ646" i="29"/>
  <c r="CH650" i="29"/>
  <c r="DE650" i="29"/>
  <c r="CD650" i="29"/>
  <c r="DC650" i="29"/>
  <c r="CD723" i="29"/>
  <c r="CQ723" i="29"/>
  <c r="CA723" i="29"/>
  <c r="BS727" i="29"/>
  <c r="BU727" i="29"/>
  <c r="CG727" i="29"/>
  <c r="CE731" i="29"/>
  <c r="CN731" i="29"/>
  <c r="CS731" i="29"/>
  <c r="CT735" i="29"/>
  <c r="BO735" i="29"/>
  <c r="BQ735" i="29"/>
  <c r="DJ739" i="29"/>
  <c r="CU739" i="29"/>
  <c r="CB739" i="29"/>
  <c r="BZ743" i="29"/>
  <c r="DC743" i="29"/>
  <c r="CS743" i="29"/>
  <c r="CT747" i="29"/>
  <c r="BO747" i="29"/>
  <c r="BQ747" i="29"/>
  <c r="DJ751" i="29"/>
  <c r="CU751" i="29"/>
  <c r="CN751" i="29"/>
  <c r="DH751" i="29"/>
  <c r="CE755" i="29"/>
  <c r="CW755" i="29"/>
  <c r="BX755" i="29"/>
  <c r="DB759" i="29"/>
  <c r="CS759" i="29"/>
  <c r="CW759" i="29"/>
  <c r="CJ763" i="29"/>
  <c r="CZ763" i="29"/>
  <c r="BQ763" i="29"/>
  <c r="DC767" i="29"/>
  <c r="CX767" i="29"/>
  <c r="CL767" i="29"/>
  <c r="CA771" i="29"/>
  <c r="DI771" i="29"/>
  <c r="CJ771" i="29"/>
  <c r="CO775" i="29"/>
  <c r="CK775" i="29"/>
  <c r="BW775" i="29"/>
  <c r="CW779" i="29"/>
  <c r="DI779" i="29"/>
  <c r="BO779" i="29"/>
  <c r="DK783" i="29"/>
  <c r="CC783" i="29"/>
  <c r="CY783" i="29"/>
  <c r="CB783" i="29"/>
  <c r="CA787" i="29"/>
  <c r="CE787" i="29"/>
  <c r="CF787" i="29"/>
  <c r="BV793" i="29"/>
  <c r="CA793" i="29"/>
  <c r="CY793" i="29"/>
  <c r="CW797" i="29"/>
  <c r="CK797" i="29"/>
  <c r="CZ797" i="29"/>
  <c r="BU801" i="29"/>
  <c r="CY801" i="29"/>
  <c r="BX801" i="29"/>
  <c r="CC805" i="29"/>
  <c r="CA805" i="29"/>
  <c r="CF805" i="29"/>
  <c r="CP809" i="29"/>
  <c r="CY809" i="29"/>
  <c r="BQ809" i="29"/>
  <c r="CW813" i="29"/>
  <c r="DK813" i="29"/>
  <c r="BR813" i="29"/>
  <c r="DJ817" i="29"/>
  <c r="BW817" i="29"/>
  <c r="CA817" i="29"/>
  <c r="CB817" i="29"/>
  <c r="BO822" i="29"/>
  <c r="CG822" i="29"/>
  <c r="BQ822" i="29"/>
  <c r="CF826" i="29"/>
  <c r="BR826" i="29"/>
  <c r="BU826" i="29"/>
  <c r="BW899" i="29"/>
  <c r="CZ899" i="29"/>
  <c r="DE899" i="29"/>
  <c r="CS903" i="29"/>
  <c r="CO903" i="29"/>
  <c r="CK903" i="29"/>
  <c r="CF907" i="29"/>
  <c r="CG907" i="29"/>
  <c r="CA907" i="29"/>
  <c r="DB911" i="29"/>
  <c r="CN911" i="29"/>
  <c r="CM911" i="29"/>
  <c r="CW915" i="29"/>
  <c r="BO915" i="29"/>
  <c r="CH915" i="29"/>
  <c r="DI919" i="29"/>
  <c r="BV919" i="29"/>
  <c r="DJ919" i="29"/>
  <c r="BX919" i="29"/>
  <c r="DE923" i="29"/>
  <c r="CE923" i="29"/>
  <c r="BX923" i="29"/>
  <c r="CY927" i="29"/>
  <c r="CW927" i="29"/>
  <c r="BP927" i="29"/>
  <c r="DF931" i="29"/>
  <c r="CI931" i="29"/>
  <c r="CZ931" i="29"/>
  <c r="BR935" i="29"/>
  <c r="CP935" i="29"/>
  <c r="BT935" i="29"/>
  <c r="CA939" i="29"/>
  <c r="DI939" i="29"/>
  <c r="CR939" i="29"/>
  <c r="CM943" i="29"/>
  <c r="CP943" i="29"/>
  <c r="BZ943" i="29"/>
  <c r="CY947" i="29"/>
  <c r="DG947" i="29"/>
  <c r="CE947" i="29"/>
  <c r="DK951" i="29"/>
  <c r="CD951" i="29"/>
  <c r="CH951" i="29"/>
  <c r="BX951" i="29"/>
  <c r="CK955" i="29"/>
  <c r="CY955" i="29"/>
  <c r="BX955" i="29"/>
  <c r="CQ959" i="29"/>
  <c r="DJ959" i="29"/>
  <c r="BP959" i="29"/>
  <c r="CE965" i="29"/>
  <c r="CU965" i="29"/>
  <c r="CA965" i="29"/>
  <c r="CF969" i="29"/>
  <c r="DD969" i="29"/>
  <c r="CC969" i="29"/>
  <c r="DI973" i="29"/>
  <c r="CI973" i="29"/>
  <c r="CL973" i="29"/>
  <c r="CF977" i="29"/>
  <c r="BT977" i="29"/>
  <c r="BV977" i="29"/>
  <c r="DD981" i="29"/>
  <c r="BQ981" i="29"/>
  <c r="DD985" i="29"/>
  <c r="CW985" i="29"/>
  <c r="CQ985" i="29"/>
  <c r="CA985" i="29"/>
  <c r="DJ989" i="29"/>
  <c r="DE989" i="29"/>
  <c r="BZ989" i="29"/>
  <c r="CU994" i="29"/>
  <c r="CQ994" i="29"/>
  <c r="BP994" i="29"/>
  <c r="BT998" i="29"/>
  <c r="CP998" i="29"/>
  <c r="CF998" i="29"/>
  <c r="BT380" i="29"/>
  <c r="CA380" i="29"/>
  <c r="DI380" i="29"/>
  <c r="CE388" i="29"/>
  <c r="BW388" i="29"/>
  <c r="CN388" i="29"/>
  <c r="CE396" i="29"/>
  <c r="DJ396" i="29"/>
  <c r="DB396" i="29"/>
  <c r="CP404" i="29"/>
  <c r="CI404" i="29"/>
  <c r="DG404" i="29"/>
  <c r="CZ412" i="29"/>
  <c r="DB412" i="29"/>
  <c r="BU412" i="29"/>
  <c r="BX412" i="29"/>
  <c r="CN416" i="29"/>
  <c r="BQ416" i="29"/>
  <c r="DK416" i="29"/>
  <c r="BR424" i="29"/>
  <c r="CQ424" i="29"/>
  <c r="BW424" i="29"/>
  <c r="CH432" i="29"/>
  <c r="BU432" i="29"/>
  <c r="BS432" i="29"/>
  <c r="CU442" i="29"/>
  <c r="CW442" i="29"/>
  <c r="CV442" i="29"/>
  <c r="DI450" i="29"/>
  <c r="CE450" i="29"/>
  <c r="CH450" i="29"/>
  <c r="BY458" i="29"/>
  <c r="BQ458" i="29"/>
  <c r="CK458" i="29"/>
  <c r="BU462" i="29"/>
  <c r="CB462" i="29"/>
  <c r="CX462" i="29"/>
  <c r="DJ471" i="29"/>
  <c r="BV471" i="29"/>
  <c r="BT471" i="29"/>
  <c r="CN471" i="29"/>
  <c r="CX475" i="29"/>
  <c r="CE475" i="29"/>
  <c r="BV475" i="29"/>
  <c r="DC200" i="29"/>
  <c r="CB200" i="29"/>
  <c r="DE200" i="29"/>
  <c r="BU208" i="29"/>
  <c r="CB208" i="29"/>
  <c r="DI208" i="29"/>
  <c r="BW216" i="29"/>
  <c r="DD216" i="29"/>
  <c r="CQ216" i="29"/>
  <c r="CU220" i="29"/>
  <c r="CJ220" i="29"/>
  <c r="BV220" i="29"/>
  <c r="CH228" i="29"/>
  <c r="CT228" i="29"/>
  <c r="CN228" i="29"/>
  <c r="BR236" i="29"/>
  <c r="BQ236" i="29"/>
  <c r="CQ236" i="29"/>
  <c r="CM244" i="29"/>
  <c r="BY244" i="29"/>
  <c r="BQ244" i="29"/>
  <c r="BZ244" i="29"/>
  <c r="DK252" i="29"/>
  <c r="CA252" i="29"/>
  <c r="DA252" i="29"/>
  <c r="DJ260" i="29"/>
  <c r="BU260" i="29"/>
  <c r="DH260" i="29"/>
  <c r="CO266" i="29"/>
  <c r="CE266" i="29"/>
  <c r="CS266" i="29"/>
  <c r="DA274" i="29"/>
  <c r="BO274" i="29"/>
  <c r="CR274" i="29"/>
  <c r="CG282" i="29"/>
  <c r="BV282" i="29"/>
  <c r="CI282" i="29"/>
  <c r="CP290" i="29"/>
  <c r="CN290" i="29"/>
  <c r="CC290" i="29"/>
  <c r="BX295" i="29"/>
  <c r="BQ295" i="29"/>
  <c r="CI295" i="29"/>
  <c r="CH554" i="29"/>
  <c r="DB554" i="29"/>
  <c r="CC554" i="29"/>
  <c r="CJ554" i="29"/>
  <c r="BS562" i="29"/>
  <c r="BU562" i="29"/>
  <c r="CH562" i="29"/>
  <c r="CN570" i="29"/>
  <c r="DD570" i="29"/>
  <c r="CE570" i="29"/>
  <c r="DD574" i="29"/>
  <c r="CF574" i="29"/>
  <c r="CI574" i="29"/>
  <c r="CC582" i="29"/>
  <c r="CV582" i="29"/>
  <c r="DG582" i="29"/>
  <c r="CY590" i="29"/>
  <c r="CB590" i="29"/>
  <c r="CS590" i="29"/>
  <c r="BY598" i="29"/>
  <c r="CY598" i="29"/>
  <c r="DL606" i="29"/>
  <c r="DK606" i="29"/>
  <c r="BO606" i="29"/>
  <c r="DL610" i="29"/>
  <c r="CW610" i="29"/>
  <c r="BW610" i="29"/>
  <c r="DI610" i="29"/>
  <c r="BR620" i="29"/>
  <c r="CH620" i="29"/>
  <c r="CV620" i="29"/>
  <c r="BU628" i="29"/>
  <c r="DF628" i="29"/>
  <c r="CB628" i="29"/>
  <c r="CW636" i="29"/>
  <c r="CC636" i="29"/>
  <c r="CN636" i="29"/>
  <c r="BO645" i="29"/>
  <c r="BU645" i="29"/>
  <c r="DA645" i="29"/>
  <c r="CR378" i="29"/>
  <c r="BP378" i="29"/>
  <c r="CP378" i="29"/>
  <c r="BV386" i="29"/>
  <c r="CC386" i="29"/>
  <c r="CY386" i="29"/>
  <c r="BY398" i="29"/>
  <c r="DK398" i="29"/>
  <c r="BV398" i="29"/>
  <c r="BQ398" i="29"/>
  <c r="CV406" i="29"/>
  <c r="CT406" i="29"/>
  <c r="CW406" i="29"/>
  <c r="CN406" i="29"/>
  <c r="BW406" i="29"/>
  <c r="CP414" i="29"/>
  <c r="CW414" i="29"/>
  <c r="BY414" i="29"/>
  <c r="CX414" i="29"/>
  <c r="CC414" i="29"/>
  <c r="CS418" i="29"/>
  <c r="CK418" i="29"/>
  <c r="CW418" i="29"/>
  <c r="CU418" i="29"/>
  <c r="DJ426" i="29"/>
  <c r="BW426" i="29"/>
  <c r="CO426" i="29"/>
  <c r="DB426" i="29"/>
  <c r="BU426" i="29"/>
  <c r="BW434" i="29"/>
  <c r="DD434" i="29"/>
  <c r="CF434" i="29"/>
  <c r="DI434" i="29"/>
  <c r="CE434" i="29"/>
  <c r="CE444" i="29"/>
  <c r="BW444" i="29"/>
  <c r="DB444" i="29"/>
  <c r="CN444" i="29"/>
  <c r="DL452" i="29"/>
  <c r="DB452" i="29"/>
  <c r="CP452" i="29"/>
  <c r="BZ452" i="29"/>
  <c r="CV452" i="29"/>
  <c r="DA460" i="29"/>
  <c r="CM460" i="29"/>
  <c r="CG460" i="29"/>
  <c r="DE460" i="29"/>
  <c r="CJ460" i="29"/>
  <c r="DD472" i="29"/>
  <c r="DK472" i="29"/>
  <c r="BW472" i="29"/>
  <c r="BS472" i="29"/>
  <c r="BV472" i="29"/>
  <c r="DJ476" i="29"/>
  <c r="CH476" i="29"/>
  <c r="CF476" i="29"/>
  <c r="CZ476" i="29"/>
  <c r="CZ202" i="29"/>
  <c r="DH202" i="29"/>
  <c r="BS202" i="29"/>
  <c r="CV202" i="29"/>
  <c r="CM202" i="29"/>
  <c r="CN210" i="29"/>
  <c r="CJ210" i="29"/>
  <c r="BP210" i="29"/>
  <c r="CR210" i="29"/>
  <c r="CW210" i="29"/>
  <c r="BZ218" i="29"/>
  <c r="CW218" i="29"/>
  <c r="BS218" i="29"/>
  <c r="CV218" i="29"/>
  <c r="CB226" i="29"/>
  <c r="CW226" i="29"/>
  <c r="CO226" i="29"/>
  <c r="CN226" i="29"/>
  <c r="DL226" i="29"/>
  <c r="CA234" i="29"/>
  <c r="CY234" i="29"/>
  <c r="BW234" i="29"/>
  <c r="CH234" i="29"/>
  <c r="CR234" i="29"/>
  <c r="CH242" i="29"/>
  <c r="CP242" i="29"/>
  <c r="DD242" i="29"/>
  <c r="CI242" i="29"/>
  <c r="DD250" i="29"/>
  <c r="DI250" i="29"/>
  <c r="CK250" i="29"/>
  <c r="CM250" i="29"/>
  <c r="CO250" i="29"/>
  <c r="DD258" i="29"/>
  <c r="BY258" i="29"/>
  <c r="CM258" i="29"/>
  <c r="DK258" i="29"/>
  <c r="BV258" i="29"/>
  <c r="DF268" i="29"/>
  <c r="BO268" i="29"/>
  <c r="DG268" i="29"/>
  <c r="CK268" i="29"/>
  <c r="CB276" i="29"/>
  <c r="CP276" i="29"/>
  <c r="CX276" i="29"/>
  <c r="BU276" i="29"/>
  <c r="DB276" i="29"/>
  <c r="BO284" i="29"/>
  <c r="CO284" i="29"/>
  <c r="CG284" i="29"/>
  <c r="DB284" i="29"/>
  <c r="BV284" i="29"/>
  <c r="BR292" i="29"/>
  <c r="BZ292" i="29"/>
  <c r="CR292" i="29"/>
  <c r="CG292" i="29"/>
  <c r="CB301" i="29"/>
  <c r="BY301" i="29"/>
  <c r="CW301" i="29"/>
  <c r="CL301" i="29"/>
  <c r="CA301" i="29"/>
  <c r="CX556" i="29"/>
  <c r="DE556" i="29"/>
  <c r="BV556" i="29"/>
  <c r="CO556" i="29"/>
  <c r="CZ556" i="29"/>
  <c r="CJ564" i="29"/>
  <c r="BZ564" i="29"/>
  <c r="DE564" i="29"/>
  <c r="BP564" i="29"/>
  <c r="CV564" i="29"/>
  <c r="BO572" i="29"/>
  <c r="DE572" i="29"/>
  <c r="CS572" i="29"/>
  <c r="BT572" i="29"/>
  <c r="CW580" i="29"/>
  <c r="CO580" i="29"/>
  <c r="CK580" i="29"/>
  <c r="CM580" i="29"/>
  <c r="BX580" i="29"/>
  <c r="CW588" i="29"/>
  <c r="CI588" i="29"/>
  <c r="DA588" i="29"/>
  <c r="DJ588" i="29"/>
  <c r="CM588" i="29"/>
  <c r="CJ588" i="29"/>
  <c r="DJ596" i="29"/>
  <c r="BS596" i="29"/>
  <c r="CE596" i="29"/>
  <c r="CC596" i="29"/>
  <c r="DF596" i="29"/>
  <c r="CN596" i="29"/>
  <c r="CR596" i="29"/>
  <c r="CE608" i="29"/>
  <c r="DG608" i="29"/>
  <c r="CT608" i="29"/>
  <c r="CS608" i="29"/>
  <c r="CF608" i="29"/>
  <c r="CR608" i="29"/>
  <c r="CB618" i="29"/>
  <c r="CJ618" i="29"/>
  <c r="BS618" i="29"/>
  <c r="CP618" i="29"/>
  <c r="DB618" i="29"/>
  <c r="CK618" i="29"/>
  <c r="CO626" i="29"/>
  <c r="BQ626" i="29"/>
  <c r="CG626" i="29"/>
  <c r="BW626" i="29"/>
  <c r="CF626" i="29"/>
  <c r="DA626" i="29"/>
  <c r="DF634" i="29"/>
  <c r="CG634" i="29"/>
  <c r="BS634" i="29"/>
  <c r="CI634" i="29"/>
  <c r="DD634" i="29"/>
  <c r="DK634" i="29"/>
  <c r="CR634" i="29"/>
  <c r="CN638" i="29"/>
  <c r="DL638" i="29"/>
  <c r="CY638" i="29"/>
  <c r="DF638" i="29"/>
  <c r="DI638" i="29"/>
  <c r="CP638" i="29"/>
  <c r="CM647" i="29"/>
  <c r="BZ647" i="29"/>
  <c r="CW647" i="29"/>
  <c r="DA647" i="29"/>
  <c r="BS647" i="29"/>
  <c r="DH647" i="29"/>
  <c r="CM376" i="29"/>
  <c r="DD376" i="29"/>
  <c r="CU376" i="29"/>
  <c r="BW376" i="29"/>
  <c r="CK376" i="29"/>
  <c r="BQ376" i="29"/>
  <c r="DD384" i="29"/>
  <c r="BS384" i="29"/>
  <c r="DF384" i="29"/>
  <c r="CU384" i="29"/>
  <c r="DE384" i="29"/>
  <c r="DG384" i="29"/>
  <c r="CV384" i="29"/>
  <c r="DF392" i="29"/>
  <c r="DD392" i="29"/>
  <c r="CU392" i="29"/>
  <c r="CA392" i="29"/>
  <c r="CG392" i="29"/>
  <c r="CO392" i="29"/>
  <c r="CB400" i="29"/>
  <c r="DH400" i="29"/>
  <c r="CY400" i="29"/>
  <c r="CO400" i="29"/>
  <c r="CF400" i="29"/>
  <c r="CK400" i="29"/>
  <c r="CJ408" i="29"/>
  <c r="CH408" i="29"/>
  <c r="CP408" i="29"/>
  <c r="BT408" i="29"/>
  <c r="CK408" i="29"/>
  <c r="CF408" i="29"/>
  <c r="BU420" i="29"/>
  <c r="CS420" i="29"/>
  <c r="BO420" i="29"/>
  <c r="CQ420" i="29"/>
  <c r="CR420" i="29"/>
  <c r="BX420" i="29"/>
  <c r="CC420" i="29"/>
  <c r="CH428" i="29"/>
  <c r="BW428" i="29"/>
  <c r="CU428" i="29"/>
  <c r="DI428" i="29"/>
  <c r="DJ428" i="29"/>
  <c r="BS428" i="29"/>
  <c r="DF436" i="29"/>
  <c r="CL436" i="29"/>
  <c r="CV436" i="29"/>
  <c r="CN436" i="29"/>
  <c r="CA436" i="29"/>
  <c r="CK436" i="29"/>
  <c r="DK446" i="29"/>
  <c r="CQ446" i="29"/>
  <c r="CI446" i="29"/>
  <c r="CS446" i="29"/>
  <c r="CG446" i="29"/>
  <c r="DC446" i="29"/>
  <c r="CR454" i="29"/>
  <c r="CG454" i="29"/>
  <c r="CL454" i="29"/>
  <c r="CT454" i="29"/>
  <c r="CX454" i="29"/>
  <c r="CH454" i="29"/>
  <c r="DL454" i="29"/>
  <c r="CC466" i="29"/>
  <c r="CK466" i="29"/>
  <c r="CD466" i="29"/>
  <c r="CW466" i="29"/>
  <c r="CN466" i="29"/>
  <c r="CR466" i="29"/>
  <c r="CE473" i="29"/>
  <c r="DG473" i="29"/>
  <c r="DE473" i="29"/>
  <c r="CW473" i="29"/>
  <c r="CF473" i="29"/>
  <c r="DL473" i="29"/>
  <c r="CU204" i="29"/>
  <c r="CI204" i="29"/>
  <c r="CD204" i="29"/>
  <c r="CF204" i="29"/>
  <c r="DE204" i="29"/>
  <c r="CR204" i="29"/>
  <c r="DK212" i="29"/>
  <c r="BZ212" i="29"/>
  <c r="BS212" i="29"/>
  <c r="DH212" i="29"/>
  <c r="CJ212" i="29"/>
  <c r="CW212" i="29"/>
  <c r="CV212" i="29"/>
  <c r="BW224" i="29"/>
  <c r="CY224" i="29"/>
  <c r="BP224" i="29"/>
  <c r="BX224" i="29"/>
  <c r="BT224" i="29"/>
  <c r="CW224" i="29"/>
  <c r="CU232" i="29"/>
  <c r="BZ232" i="29"/>
  <c r="CC232" i="29"/>
  <c r="CO232" i="29"/>
  <c r="CJ232" i="29"/>
  <c r="DG232" i="29"/>
  <c r="CE240" i="29"/>
  <c r="BR240" i="29"/>
  <c r="BQ240" i="29"/>
  <c r="CF240" i="29"/>
  <c r="BS240" i="29"/>
  <c r="CK240" i="29"/>
  <c r="CW248" i="29"/>
  <c r="DB248" i="29"/>
  <c r="CV248" i="29"/>
  <c r="DG248" i="29"/>
  <c r="DK248" i="29"/>
  <c r="BU248" i="29"/>
  <c r="CZ248" i="29"/>
  <c r="CO256" i="29"/>
  <c r="CF256" i="29"/>
  <c r="CI256" i="29"/>
  <c r="DC256" i="29"/>
  <c r="BO256" i="29"/>
  <c r="CK256" i="29"/>
  <c r="CG270" i="29"/>
  <c r="CL270" i="29"/>
  <c r="DJ270" i="29"/>
  <c r="CZ270" i="29"/>
  <c r="BX270" i="29"/>
  <c r="CN270" i="29"/>
  <c r="CE278" i="29"/>
  <c r="DF278" i="29"/>
  <c r="BT278" i="29"/>
  <c r="CB278" i="29"/>
  <c r="CP278" i="29"/>
  <c r="CO278" i="29"/>
  <c r="DJ286" i="29"/>
  <c r="DK286" i="29"/>
  <c r="BR286" i="29"/>
  <c r="CM286" i="29"/>
  <c r="CV286" i="29"/>
  <c r="CF286" i="29"/>
  <c r="CH286" i="29"/>
  <c r="CB299" i="29"/>
  <c r="DE299" i="29"/>
  <c r="CX299" i="29"/>
  <c r="CZ299" i="29"/>
  <c r="BU299" i="29"/>
  <c r="BV299" i="29"/>
  <c r="CS550" i="29"/>
  <c r="DJ550" i="29"/>
  <c r="BY550" i="29"/>
  <c r="CF550" i="29"/>
  <c r="CQ550" i="29"/>
  <c r="CZ550" i="29"/>
  <c r="CS558" i="29"/>
  <c r="CU558" i="29"/>
  <c r="BS558" i="29"/>
  <c r="CH558" i="29"/>
  <c r="CT558" i="29"/>
  <c r="CV558" i="29"/>
  <c r="CU566" i="29"/>
  <c r="DJ566" i="29"/>
  <c r="CR566" i="29"/>
  <c r="DG566" i="29"/>
  <c r="CD566" i="29"/>
  <c r="CO566" i="29"/>
  <c r="BQ566" i="29"/>
  <c r="CQ578" i="29"/>
  <c r="CC578" i="29"/>
  <c r="CT578" i="29"/>
  <c r="BT578" i="29"/>
  <c r="CI578" i="29"/>
  <c r="CZ578" i="29"/>
  <c r="CE586" i="29"/>
  <c r="CT586" i="29"/>
  <c r="CL586" i="29"/>
  <c r="BZ586" i="29"/>
  <c r="DB586" i="29"/>
  <c r="CS586" i="29"/>
  <c r="CA594" i="29"/>
  <c r="BY594" i="29"/>
  <c r="BV594" i="29"/>
  <c r="BQ594" i="29"/>
  <c r="DG594" i="29"/>
  <c r="CS594" i="29"/>
  <c r="CH602" i="29"/>
  <c r="BX602" i="29"/>
  <c r="CK602" i="29"/>
  <c r="BU602" i="29"/>
  <c r="CB602" i="29"/>
  <c r="BO602" i="29"/>
  <c r="CI602" i="29"/>
  <c r="DC616" i="29"/>
  <c r="CW616" i="29"/>
  <c r="BS616" i="29"/>
  <c r="CA616" i="29"/>
  <c r="CF616" i="29"/>
  <c r="BZ616" i="29"/>
  <c r="CM624" i="29"/>
  <c r="CE624" i="29"/>
  <c r="CQ624" i="29"/>
  <c r="CK624" i="29"/>
  <c r="BS624" i="29"/>
  <c r="DD624" i="29"/>
  <c r="CW632" i="29"/>
  <c r="CO632" i="29"/>
  <c r="DK632" i="29"/>
  <c r="BU632" i="29"/>
  <c r="CS632" i="29"/>
  <c r="BX632" i="29"/>
  <c r="CZ640" i="29"/>
  <c r="CO640" i="29"/>
  <c r="CX640" i="29"/>
  <c r="CT640" i="29"/>
  <c r="DH640" i="29"/>
  <c r="CR640" i="29"/>
  <c r="CG640" i="29"/>
  <c r="BY649" i="29"/>
  <c r="BQ649" i="29"/>
  <c r="CM649" i="29"/>
  <c r="BZ649" i="29"/>
  <c r="CF649" i="29"/>
  <c r="CB649" i="29"/>
  <c r="CA374" i="29"/>
  <c r="CB374" i="29"/>
  <c r="CI374" i="29"/>
  <c r="DI374" i="29"/>
  <c r="CH374" i="29"/>
  <c r="CU374" i="29"/>
  <c r="CJ382" i="29"/>
  <c r="BT382" i="29"/>
  <c r="BU382" i="29"/>
  <c r="CS382" i="29"/>
  <c r="BV382" i="29"/>
  <c r="DI382" i="29"/>
  <c r="CZ390" i="29"/>
  <c r="DE390" i="29"/>
  <c r="BU390" i="29"/>
  <c r="BR390" i="29"/>
  <c r="CC390" i="29"/>
  <c r="CL390" i="29"/>
  <c r="DD390" i="29"/>
  <c r="BV394" i="29"/>
  <c r="CZ394" i="29"/>
  <c r="BZ394" i="29"/>
  <c r="BY394" i="29"/>
  <c r="CY394" i="29"/>
  <c r="CI394" i="29"/>
  <c r="CM402" i="29"/>
  <c r="CD402" i="29"/>
  <c r="BR402" i="29"/>
  <c r="CC402" i="29"/>
  <c r="CV402" i="29"/>
  <c r="CS402" i="29"/>
  <c r="DE410" i="29"/>
  <c r="CV410" i="29"/>
  <c r="CG410" i="29"/>
  <c r="CD410" i="29"/>
  <c r="BR410" i="29"/>
  <c r="CH410" i="29"/>
  <c r="DB422" i="29"/>
  <c r="CD422" i="29"/>
  <c r="CY422" i="29"/>
  <c r="DJ422" i="29"/>
  <c r="DH422" i="29"/>
  <c r="CK422" i="29"/>
  <c r="CZ422" i="29"/>
  <c r="BQ422" i="29"/>
  <c r="BP422" i="29"/>
  <c r="DF430" i="29"/>
  <c r="DA430" i="29"/>
  <c r="DC430" i="29"/>
  <c r="DL430" i="29"/>
  <c r="CN430" i="29"/>
  <c r="CQ430" i="29"/>
  <c r="BR430" i="29"/>
  <c r="BQ430" i="29"/>
  <c r="CT430" i="29"/>
  <c r="CB430" i="29"/>
  <c r="CU440" i="29"/>
  <c r="CI440" i="29"/>
  <c r="BO440" i="29"/>
  <c r="CH440" i="29"/>
  <c r="CW440" i="29"/>
  <c r="CE440" i="29"/>
  <c r="DI440" i="29"/>
  <c r="DA440" i="29"/>
  <c r="CS440" i="29"/>
  <c r="CY448" i="29"/>
  <c r="BY448" i="29"/>
  <c r="CQ448" i="29"/>
  <c r="DK448" i="29"/>
  <c r="DI448" i="29"/>
  <c r="DF448" i="29"/>
  <c r="CS448" i="29"/>
  <c r="DD448" i="29"/>
  <c r="BT448" i="29"/>
  <c r="DG456" i="29"/>
  <c r="CG456" i="29"/>
  <c r="DE456" i="29"/>
  <c r="BY456" i="29"/>
  <c r="CC456" i="29"/>
  <c r="BZ456" i="29"/>
  <c r="DK456" i="29"/>
  <c r="BX456" i="29"/>
  <c r="CV456" i="29"/>
  <c r="CJ456" i="29"/>
  <c r="CY464" i="29"/>
  <c r="CT464" i="29"/>
  <c r="BU464" i="29"/>
  <c r="CL464" i="29"/>
  <c r="CI464" i="29"/>
  <c r="DE464" i="29"/>
  <c r="CU464" i="29"/>
  <c r="BZ464" i="29"/>
  <c r="BY464" i="29"/>
  <c r="CN469" i="29"/>
  <c r="CJ469" i="29"/>
  <c r="CM469" i="29"/>
  <c r="CH469" i="29"/>
  <c r="BT469" i="29"/>
  <c r="CV469" i="29"/>
  <c r="BP469" i="29"/>
  <c r="CG469" i="29"/>
  <c r="BQ469" i="29"/>
  <c r="DA474" i="29"/>
  <c r="CS474" i="29"/>
  <c r="BW474" i="29"/>
  <c r="CC474" i="29"/>
  <c r="CA474" i="29"/>
  <c r="CY474" i="29"/>
  <c r="CF474" i="29"/>
  <c r="CT474" i="29"/>
  <c r="DC474" i="29"/>
  <c r="DB474" i="29"/>
  <c r="CG206" i="29"/>
  <c r="CQ206" i="29"/>
  <c r="CS206" i="29"/>
  <c r="CM206" i="29"/>
  <c r="BO206" i="29"/>
  <c r="CN206" i="29"/>
  <c r="CU206" i="29"/>
  <c r="BW206" i="29"/>
  <c r="CF206" i="29"/>
  <c r="CM214" i="29"/>
  <c r="CS214" i="29"/>
  <c r="CX214" i="29"/>
  <c r="CC214" i="29"/>
  <c r="BV214" i="29"/>
  <c r="CL214" i="29"/>
  <c r="BX214" i="29"/>
  <c r="CK214" i="29"/>
  <c r="DG214" i="29"/>
  <c r="CV214" i="29"/>
  <c r="CQ222" i="29"/>
  <c r="BY222" i="29"/>
  <c r="CY222" i="29"/>
  <c r="CW222" i="29"/>
  <c r="CN222" i="29"/>
  <c r="DF222" i="29"/>
  <c r="DK222" i="29"/>
  <c r="BT222" i="29"/>
  <c r="CC222" i="29"/>
  <c r="DJ230" i="29"/>
  <c r="CC230" i="29"/>
  <c r="CI230" i="29"/>
  <c r="CS230" i="29"/>
  <c r="BZ230" i="29"/>
  <c r="CP230" i="29"/>
  <c r="CU230" i="29"/>
  <c r="CX230" i="29"/>
  <c r="DK230" i="29"/>
  <c r="CQ238" i="29"/>
  <c r="CW238" i="29"/>
  <c r="DE238" i="29"/>
  <c r="CL238" i="29"/>
  <c r="DC238" i="29"/>
  <c r="CN238" i="29"/>
  <c r="CR238" i="29"/>
  <c r="CX238" i="29"/>
  <c r="CF238" i="29"/>
  <c r="CS238" i="29"/>
  <c r="BS246" i="29"/>
  <c r="BO246" i="29"/>
  <c r="BR246" i="29"/>
  <c r="BQ246" i="29"/>
  <c r="CB246" i="29"/>
  <c r="CQ246" i="29"/>
  <c r="DA246" i="29"/>
  <c r="CK246" i="29"/>
  <c r="DD246" i="29"/>
  <c r="DL254" i="29"/>
  <c r="DA254" i="29"/>
  <c r="CY254" i="29"/>
  <c r="CS254" i="29"/>
  <c r="BT254" i="29"/>
  <c r="CB254" i="29"/>
  <c r="DH254" i="29"/>
  <c r="DC254" i="29"/>
  <c r="DD254" i="29"/>
  <c r="DA262" i="29"/>
  <c r="BU262" i="29"/>
  <c r="DJ262" i="29"/>
  <c r="CT262" i="29"/>
  <c r="CP262" i="29"/>
  <c r="CY262" i="29"/>
  <c r="BQ262" i="29"/>
  <c r="CF262" i="29"/>
  <c r="DI262" i="29"/>
  <c r="CG262" i="29"/>
  <c r="CQ272" i="29"/>
  <c r="CF272" i="29"/>
  <c r="CY272" i="29"/>
  <c r="BV272" i="29"/>
  <c r="CM272" i="29"/>
  <c r="DC272" i="29"/>
  <c r="CR272" i="29"/>
  <c r="CN272" i="29"/>
  <c r="DI272" i="29"/>
  <c r="CU280" i="29"/>
  <c r="CH280" i="29"/>
  <c r="CP280" i="29"/>
  <c r="CS280" i="29"/>
  <c r="DH280" i="29"/>
  <c r="CO280" i="29"/>
  <c r="CW280" i="29"/>
  <c r="BR280" i="29"/>
  <c r="BX280" i="29"/>
  <c r="DC280" i="29"/>
  <c r="BO288" i="29"/>
  <c r="CI288" i="29"/>
  <c r="DJ288" i="29"/>
  <c r="CB288" i="29"/>
  <c r="CL288" i="29"/>
  <c r="BS288" i="29"/>
  <c r="CX288" i="29"/>
  <c r="CM288" i="29"/>
  <c r="DF288" i="29"/>
  <c r="BV297" i="29"/>
  <c r="CF297" i="29"/>
  <c r="CH297" i="29"/>
  <c r="CN297" i="29"/>
  <c r="BR297" i="29"/>
  <c r="CJ297" i="29"/>
  <c r="DH297" i="29"/>
  <c r="BO297" i="29"/>
  <c r="BU297" i="29"/>
  <c r="DG552" i="29"/>
  <c r="CG552" i="29"/>
  <c r="CT552" i="29"/>
  <c r="CC552" i="29"/>
  <c r="CU552" i="29"/>
  <c r="BU552" i="29"/>
  <c r="BS552" i="29"/>
  <c r="BP552" i="29"/>
  <c r="CR552" i="29"/>
  <c r="DH552" i="29"/>
  <c r="CD560" i="29"/>
  <c r="CN560" i="29"/>
  <c r="DK560" i="29"/>
  <c r="CB560" i="29"/>
  <c r="CZ560" i="29"/>
  <c r="BP560" i="29"/>
  <c r="CW560" i="29"/>
  <c r="BY560" i="29"/>
  <c r="CV560" i="29"/>
  <c r="DE568" i="29"/>
  <c r="CD568" i="29"/>
  <c r="CG568" i="29"/>
  <c r="BZ568" i="29"/>
  <c r="CS568" i="29"/>
  <c r="CW568" i="29"/>
  <c r="DA568" i="29"/>
  <c r="CF568" i="29"/>
  <c r="CZ568" i="29"/>
  <c r="DL576" i="29"/>
  <c r="CP576" i="29"/>
  <c r="DC576" i="29"/>
  <c r="CL576" i="29"/>
  <c r="CY576" i="29"/>
  <c r="BS576" i="29"/>
  <c r="BW576" i="29"/>
  <c r="BV576" i="29"/>
  <c r="BT576" i="29"/>
  <c r="CB576" i="29"/>
  <c r="CX584" i="29"/>
  <c r="BR584" i="29"/>
  <c r="BU584" i="29"/>
  <c r="DB584" i="29"/>
  <c r="BV584" i="29"/>
  <c r="BZ584" i="29"/>
  <c r="CO584" i="29"/>
  <c r="BX584" i="29"/>
  <c r="CN584" i="29"/>
  <c r="DG592" i="29"/>
  <c r="CA592" i="29"/>
  <c r="CD592" i="29"/>
  <c r="DK592" i="29"/>
  <c r="CE592" i="29"/>
  <c r="CY592" i="29"/>
  <c r="DC592" i="29"/>
  <c r="CF592" i="29"/>
  <c r="CJ592" i="29"/>
  <c r="DH592" i="29"/>
  <c r="CL600" i="29"/>
  <c r="CY600" i="29"/>
  <c r="BW600" i="29"/>
  <c r="CK600" i="29"/>
  <c r="DJ600" i="29"/>
  <c r="BS600" i="29"/>
  <c r="BR600" i="29"/>
  <c r="DD600" i="29"/>
  <c r="CB600" i="29"/>
  <c r="CX604" i="29"/>
  <c r="BW604" i="29"/>
  <c r="BZ604" i="29"/>
  <c r="DG604" i="29"/>
  <c r="CG604" i="29"/>
  <c r="DA604" i="29"/>
  <c r="CO604" i="29"/>
  <c r="CV604" i="29"/>
  <c r="BX604" i="29"/>
  <c r="DG612" i="29"/>
  <c r="CG612" i="29"/>
  <c r="DE612" i="29"/>
  <c r="CX612" i="29"/>
  <c r="DF612" i="29"/>
  <c r="CE612" i="29"/>
  <c r="BY612" i="29"/>
  <c r="BP612" i="29"/>
  <c r="CJ612" i="29"/>
  <c r="CR612" i="29"/>
  <c r="BU622" i="29"/>
  <c r="CF622" i="29"/>
  <c r="CM622" i="29"/>
  <c r="DD622" i="29"/>
  <c r="CX622" i="29"/>
  <c r="DB622" i="29"/>
  <c r="BW622" i="29"/>
  <c r="CE622" i="29"/>
  <c r="CK622" i="29"/>
  <c r="CS630" i="29"/>
  <c r="BP630" i="29"/>
  <c r="BQ630" i="29"/>
  <c r="CN630" i="29"/>
  <c r="BO630" i="29"/>
  <c r="DK630" i="29"/>
  <c r="DG630" i="29"/>
  <c r="CZ630" i="29"/>
  <c r="BU630" i="29"/>
  <c r="DB642" i="29"/>
  <c r="CQ642" i="29"/>
  <c r="CT642" i="29"/>
  <c r="BQ642" i="29"/>
  <c r="BS642" i="29"/>
  <c r="CN642" i="29"/>
  <c r="CM642" i="29"/>
  <c r="CO642" i="29"/>
  <c r="DA642" i="29"/>
  <c r="CX642" i="29"/>
  <c r="CO651" i="29"/>
  <c r="CC651" i="29"/>
  <c r="DC651" i="29"/>
  <c r="BO651" i="29"/>
  <c r="CA651" i="29"/>
  <c r="DF651" i="29"/>
  <c r="CP651" i="29"/>
  <c r="CD651" i="29"/>
  <c r="DK724" i="29"/>
  <c r="CE724" i="29"/>
  <c r="DC724" i="29"/>
  <c r="CC724" i="29"/>
  <c r="BV724" i="29"/>
  <c r="BQ724" i="29"/>
  <c r="CT724" i="29"/>
  <c r="CJ724" i="29"/>
  <c r="CN724" i="29"/>
  <c r="CF724" i="29"/>
  <c r="CP728" i="29"/>
  <c r="BO728" i="29"/>
  <c r="CM728" i="29"/>
  <c r="CW728" i="29"/>
  <c r="CQ728" i="29"/>
  <c r="BS728" i="29"/>
  <c r="BY728" i="29"/>
  <c r="CF728" i="29"/>
  <c r="CZ728" i="29"/>
  <c r="CX732" i="29"/>
  <c r="BW732" i="29"/>
  <c r="CU732" i="29"/>
  <c r="BO732" i="29"/>
  <c r="DJ732" i="29"/>
  <c r="CW732" i="29"/>
  <c r="BQ732" i="29"/>
  <c r="DH732" i="29"/>
  <c r="CV732" i="29"/>
  <c r="DG736" i="29"/>
  <c r="CG736" i="29"/>
  <c r="DE736" i="29"/>
  <c r="BY736" i="29"/>
  <c r="BW736" i="29"/>
  <c r="BR736" i="29"/>
  <c r="CU736" i="29"/>
  <c r="BP736" i="29"/>
  <c r="DD736" i="29"/>
  <c r="CR736" i="29"/>
  <c r="CQ740" i="29"/>
  <c r="BQ740" i="29"/>
  <c r="CI740" i="29"/>
  <c r="CX740" i="29"/>
  <c r="CS740" i="29"/>
  <c r="BZ740" i="29"/>
  <c r="CK740" i="29"/>
  <c r="CB740" i="29"/>
  <c r="CF740" i="29"/>
  <c r="DB744" i="29"/>
  <c r="CA744" i="29"/>
  <c r="CT744" i="29"/>
  <c r="BS744" i="29"/>
  <c r="BR744" i="29"/>
  <c r="CE744" i="29"/>
  <c r="BU744" i="29"/>
  <c r="CN744" i="29"/>
  <c r="DH744" i="29"/>
  <c r="DL748" i="29"/>
  <c r="CO748" i="29"/>
  <c r="DB748" i="29"/>
  <c r="CA748" i="29"/>
  <c r="CK748" i="29"/>
  <c r="CP748" i="29"/>
  <c r="CM748" i="29"/>
  <c r="CX748" i="29"/>
  <c r="CB748" i="29"/>
  <c r="CJ748" i="29"/>
  <c r="CV748" i="29"/>
  <c r="DL752" i="29"/>
  <c r="CT752" i="29"/>
  <c r="BY752" i="29"/>
  <c r="CW752" i="29"/>
  <c r="CA752" i="29"/>
  <c r="CU752" i="29"/>
  <c r="DK752" i="29"/>
  <c r="BU752" i="29"/>
  <c r="BW752" i="29"/>
  <c r="DC752" i="29"/>
  <c r="CV752" i="29"/>
  <c r="CJ752" i="29"/>
  <c r="DH752" i="29"/>
  <c r="DE756" i="29"/>
  <c r="CI756" i="29"/>
  <c r="DB756" i="29"/>
  <c r="CG756" i="29"/>
  <c r="CK756" i="29"/>
  <c r="DA756" i="29"/>
  <c r="BQ756" i="29"/>
  <c r="CX756" i="29"/>
  <c r="DC756" i="29"/>
  <c r="BT756" i="29"/>
  <c r="CR756" i="29"/>
  <c r="DD756" i="29"/>
  <c r="CU760" i="29"/>
  <c r="CJ760" i="29"/>
  <c r="CS760" i="29"/>
  <c r="CA760" i="29"/>
  <c r="CP760" i="29"/>
  <c r="DH760" i="29"/>
  <c r="CE760" i="29"/>
  <c r="CN760" i="29"/>
  <c r="DL760" i="29"/>
  <c r="BW760" i="29"/>
  <c r="CC760" i="29"/>
  <c r="CO760" i="29"/>
  <c r="CL760" i="29"/>
  <c r="CU764" i="29"/>
  <c r="BS764" i="29"/>
  <c r="CJ764" i="29"/>
  <c r="DD764" i="29"/>
  <c r="CW764" i="29"/>
  <c r="CE764" i="29"/>
  <c r="BX764" i="29"/>
  <c r="BV764" i="29"/>
  <c r="CT764" i="29"/>
  <c r="DG764" i="29"/>
  <c r="CH764" i="29"/>
  <c r="DL764" i="29"/>
  <c r="DF768" i="29"/>
  <c r="CI768" i="29"/>
  <c r="CQ768" i="29"/>
  <c r="CX768" i="29"/>
  <c r="BX768" i="29"/>
  <c r="CZ768" i="29"/>
  <c r="CO768" i="29"/>
  <c r="DC768" i="29"/>
  <c r="BT768" i="29"/>
  <c r="CG768" i="29"/>
  <c r="CN768" i="29"/>
  <c r="DI768" i="29"/>
  <c r="BS768" i="29"/>
  <c r="CL772" i="29"/>
  <c r="CR772" i="29"/>
  <c r="CX772" i="29"/>
  <c r="CV772" i="29"/>
  <c r="CQ772" i="29"/>
  <c r="BR772" i="29"/>
  <c r="CF772" i="29"/>
  <c r="BX772" i="29"/>
  <c r="CE772" i="29"/>
  <c r="BV772" i="29"/>
  <c r="DD772" i="29"/>
  <c r="BZ772" i="29"/>
  <c r="DJ776" i="29"/>
  <c r="BX776" i="29"/>
  <c r="CC776" i="29"/>
  <c r="BQ776" i="29"/>
  <c r="BV776" i="29"/>
  <c r="CY776" i="29"/>
  <c r="CF776" i="29"/>
  <c r="CQ776" i="29"/>
  <c r="BU776" i="29"/>
  <c r="BO776" i="29"/>
  <c r="CE776" i="29"/>
  <c r="CM776" i="29"/>
  <c r="DC776" i="29"/>
  <c r="CM780" i="29"/>
  <c r="DL780" i="29"/>
  <c r="CT780" i="29"/>
  <c r="CU780" i="29"/>
  <c r="BX780" i="29"/>
  <c r="BQ780" i="29"/>
  <c r="CC780" i="29"/>
  <c r="CI780" i="29"/>
  <c r="CJ780" i="29"/>
  <c r="BR780" i="29"/>
  <c r="BZ780" i="29"/>
  <c r="CW780" i="29"/>
  <c r="DH784" i="29"/>
  <c r="CB784" i="29"/>
  <c r="CJ784" i="29"/>
  <c r="DL784" i="29"/>
  <c r="CC784" i="29"/>
  <c r="CI784" i="29"/>
  <c r="DI784" i="29"/>
  <c r="DB784" i="29"/>
  <c r="BX784" i="29"/>
  <c r="CS784" i="29"/>
  <c r="CV784" i="29"/>
  <c r="DD784" i="29"/>
  <c r="DJ784" i="29"/>
  <c r="CM790" i="29"/>
  <c r="DI790" i="29"/>
  <c r="CB790" i="29"/>
  <c r="CD790" i="29"/>
  <c r="BW790" i="29"/>
  <c r="BZ790" i="29"/>
  <c r="DE790" i="29"/>
  <c r="CY790" i="29"/>
  <c r="CF790" i="29"/>
  <c r="BP790" i="29"/>
  <c r="DJ790" i="29"/>
  <c r="CC790" i="29"/>
  <c r="DD794" i="29"/>
  <c r="CA794" i="29"/>
  <c r="BX794" i="29"/>
  <c r="BV794" i="29"/>
  <c r="BY794" i="29"/>
  <c r="CX794" i="29"/>
  <c r="CN794" i="29"/>
  <c r="CP794" i="29"/>
  <c r="BS794" i="29"/>
  <c r="BQ794" i="29"/>
  <c r="CF794" i="29"/>
  <c r="DL794" i="29"/>
  <c r="DF794" i="29"/>
  <c r="CK798" i="29"/>
  <c r="CZ798" i="29"/>
  <c r="DL798" i="29"/>
  <c r="CJ798" i="29"/>
  <c r="CO798" i="29"/>
  <c r="CU798" i="29"/>
  <c r="BX798" i="29"/>
  <c r="BW798" i="29"/>
  <c r="DC798" i="29"/>
  <c r="BY798" i="29"/>
  <c r="CM798" i="29"/>
  <c r="CC798" i="29"/>
  <c r="DJ802" i="29"/>
  <c r="CD802" i="29"/>
  <c r="DD802" i="29"/>
  <c r="BU802" i="29"/>
  <c r="DB802" i="29"/>
  <c r="CC802" i="29"/>
  <c r="BY802" i="29"/>
  <c r="CS802" i="29"/>
  <c r="DE802" i="29"/>
  <c r="BV802" i="29"/>
  <c r="BQ802" i="29"/>
  <c r="CJ802" i="29"/>
  <c r="DF802" i="29"/>
  <c r="DK806" i="29"/>
  <c r="CV806" i="29"/>
  <c r="DE806" i="29"/>
  <c r="DC806" i="29"/>
  <c r="CK806" i="29"/>
  <c r="CJ806" i="29"/>
  <c r="CQ806" i="29"/>
  <c r="CR806" i="29"/>
  <c r="CP806" i="29"/>
  <c r="CI806" i="29"/>
  <c r="BR806" i="29"/>
  <c r="BY806" i="29"/>
  <c r="DF810" i="29"/>
  <c r="CD810" i="29"/>
  <c r="DD810" i="29"/>
  <c r="BZ810" i="29"/>
  <c r="CJ810" i="29"/>
  <c r="CC810" i="29"/>
  <c r="BR810" i="29"/>
  <c r="DK810" i="29"/>
  <c r="CG810" i="29"/>
  <c r="BW810" i="29"/>
  <c r="BQ810" i="29"/>
  <c r="CL810" i="29"/>
  <c r="CB810" i="29"/>
  <c r="DL814" i="29"/>
  <c r="CM814" i="29"/>
  <c r="DF814" i="29"/>
  <c r="CF814" i="29"/>
  <c r="CE814" i="29"/>
  <c r="CR814" i="29"/>
  <c r="DA814" i="29"/>
  <c r="CD814" i="29"/>
  <c r="CI814" i="29"/>
  <c r="BQ814" i="29"/>
  <c r="CK814" i="29"/>
  <c r="DI814" i="29"/>
  <c r="CC819" i="29"/>
  <c r="CE819" i="29"/>
  <c r="CZ819" i="29"/>
  <c r="CL819" i="29"/>
  <c r="BW819" i="29"/>
  <c r="CF819" i="29"/>
  <c r="BU819" i="29"/>
  <c r="CP819" i="29"/>
  <c r="CT819" i="29"/>
  <c r="DB819" i="29"/>
  <c r="DK819" i="29"/>
  <c r="BX819" i="29"/>
  <c r="BS819" i="29"/>
  <c r="CQ823" i="29"/>
  <c r="BT823" i="29"/>
  <c r="CY823" i="29"/>
  <c r="CU823" i="29"/>
  <c r="DE823" i="29"/>
  <c r="DD823" i="29"/>
  <c r="BR823" i="29"/>
  <c r="CN823" i="29"/>
  <c r="BU823" i="29"/>
  <c r="BV823" i="29"/>
  <c r="DI823" i="29"/>
  <c r="DJ823" i="29"/>
  <c r="DJ896" i="29"/>
  <c r="DK896" i="29"/>
  <c r="DG896" i="29"/>
  <c r="DC896" i="29"/>
  <c r="DI896" i="29"/>
  <c r="BR896" i="29"/>
  <c r="CK896" i="29"/>
  <c r="CV896" i="29"/>
  <c r="DF896" i="29"/>
  <c r="DH896" i="29"/>
  <c r="BV896" i="29"/>
  <c r="CJ896" i="29"/>
  <c r="CD896" i="29"/>
  <c r="CM900" i="29"/>
  <c r="BS900" i="29"/>
  <c r="BO900" i="29"/>
  <c r="BY900" i="29"/>
  <c r="CF900" i="29"/>
  <c r="CP900" i="29"/>
  <c r="CW900" i="29"/>
  <c r="BR900" i="29"/>
  <c r="DI900" i="29"/>
  <c r="BT900" i="29"/>
  <c r="CR900" i="29"/>
  <c r="CB900" i="29"/>
  <c r="DJ904" i="29"/>
  <c r="DC904" i="29"/>
  <c r="CY904" i="29"/>
  <c r="DK904" i="29"/>
  <c r="DA904" i="29"/>
  <c r="BR904" i="29"/>
  <c r="CC904" i="29"/>
  <c r="CN904" i="29"/>
  <c r="DF904" i="29"/>
  <c r="DB904" i="29"/>
  <c r="CZ904" i="29"/>
  <c r="CD904" i="29"/>
  <c r="CT904" i="29"/>
  <c r="CN908" i="29"/>
  <c r="CU908" i="29"/>
  <c r="DD908" i="29"/>
  <c r="CO908" i="29"/>
  <c r="CZ908" i="29"/>
  <c r="CA908" i="29"/>
  <c r="DH908" i="29"/>
  <c r="BP908" i="29"/>
  <c r="CW908" i="29"/>
  <c r="CX908" i="29"/>
  <c r="DF908" i="29"/>
  <c r="BU908" i="29"/>
  <c r="DI912" i="29"/>
  <c r="CF912" i="29"/>
  <c r="CZ912" i="29"/>
  <c r="BX912" i="29"/>
  <c r="CC912" i="29"/>
  <c r="BU912" i="29"/>
  <c r="BT912" i="29"/>
  <c r="DC912" i="29"/>
  <c r="CR912" i="29"/>
  <c r="BO912" i="29"/>
  <c r="CB912" i="29"/>
  <c r="CA912" i="29"/>
  <c r="DH912" i="29"/>
  <c r="CL916" i="29"/>
  <c r="CS916" i="29"/>
  <c r="CZ916" i="29"/>
  <c r="BX916" i="29"/>
  <c r="CD916" i="29"/>
  <c r="BW916" i="29"/>
  <c r="CN916" i="29"/>
  <c r="BO916" i="29"/>
  <c r="DB916" i="29"/>
  <c r="CT916" i="29"/>
  <c r="DL916" i="29"/>
  <c r="CA916" i="29"/>
  <c r="DL920" i="29"/>
  <c r="CP920" i="29"/>
  <c r="BQ920" i="29"/>
  <c r="CU920" i="29"/>
  <c r="BX920" i="29"/>
  <c r="BU920" i="29"/>
  <c r="BW920" i="29"/>
  <c r="CD920" i="29"/>
  <c r="DI920" i="29"/>
  <c r="DG920" i="29"/>
  <c r="DE920" i="29"/>
  <c r="CL920" i="29"/>
  <c r="BS920" i="29"/>
  <c r="CG924" i="29"/>
  <c r="BY924" i="29"/>
  <c r="CZ924" i="29"/>
  <c r="CD924" i="29"/>
  <c r="CA924" i="29"/>
  <c r="CR924" i="29"/>
  <c r="CI924" i="29"/>
  <c r="DE924" i="29"/>
  <c r="DF924" i="29"/>
  <c r="BW924" i="29"/>
  <c r="CV924" i="29"/>
  <c r="BO924" i="29"/>
  <c r="DF928" i="29"/>
  <c r="BP928" i="29"/>
  <c r="BY928" i="29"/>
  <c r="CP928" i="29"/>
  <c r="CO928" i="29"/>
  <c r="CQ928" i="29"/>
  <c r="DH928" i="29"/>
  <c r="CI928" i="29"/>
  <c r="BR928" i="29"/>
  <c r="BV928" i="29"/>
  <c r="CR928" i="29"/>
  <c r="DK928" i="29"/>
  <c r="CS928" i="29"/>
  <c r="BV932" i="29"/>
  <c r="CB932" i="29"/>
  <c r="DG932" i="29"/>
  <c r="CP932" i="29"/>
  <c r="CS932" i="29"/>
  <c r="BS932" i="29"/>
  <c r="CO932" i="29"/>
  <c r="DC932" i="29"/>
  <c r="CH932" i="29"/>
  <c r="BY932" i="29"/>
  <c r="CU932" i="29"/>
  <c r="DE932" i="29"/>
  <c r="DL936" i="29"/>
  <c r="BU936" i="29"/>
  <c r="CD936" i="29"/>
  <c r="CV936" i="29"/>
  <c r="DF936" i="29"/>
  <c r="CQ936" i="29"/>
  <c r="DH936" i="29"/>
  <c r="CI936" i="29"/>
  <c r="BR936" i="29"/>
  <c r="BW936" i="29"/>
  <c r="BV936" i="29"/>
  <c r="DB936" i="29"/>
  <c r="DK936" i="29"/>
  <c r="BX940" i="29"/>
  <c r="CH940" i="29"/>
  <c r="CR940" i="29"/>
  <c r="DA940" i="29"/>
  <c r="BT940" i="29"/>
  <c r="CQ940" i="29"/>
  <c r="BU940" i="29"/>
  <c r="CU940" i="29"/>
  <c r="DI940" i="29"/>
  <c r="DE940" i="29"/>
  <c r="BY940" i="29"/>
  <c r="CT940" i="29"/>
  <c r="DL944" i="29"/>
  <c r="BU944" i="29"/>
  <c r="CD944" i="29"/>
  <c r="CT944" i="29"/>
  <c r="CJ944" i="29"/>
  <c r="CQ944" i="29"/>
  <c r="DH944" i="29"/>
  <c r="CI944" i="29"/>
  <c r="BR944" i="29"/>
  <c r="BV944" i="29"/>
  <c r="CR944" i="29"/>
  <c r="BX944" i="29"/>
  <c r="CU944" i="29"/>
  <c r="CB948" i="29"/>
  <c r="CW948" i="29"/>
  <c r="DH948" i="29"/>
  <c r="CI948" i="29"/>
  <c r="DJ948" i="29"/>
  <c r="DG948" i="29"/>
  <c r="CP948" i="29"/>
  <c r="CC948" i="29"/>
  <c r="DE948" i="29"/>
  <c r="BZ948" i="29"/>
  <c r="CT948" i="29"/>
  <c r="CM948" i="29"/>
  <c r="DF952" i="29"/>
  <c r="BP952" i="29"/>
  <c r="BY952" i="29"/>
  <c r="DJ952" i="29"/>
  <c r="CF952" i="29"/>
  <c r="CQ952" i="29"/>
  <c r="DH952" i="29"/>
  <c r="CI952" i="29"/>
  <c r="BR952" i="29"/>
  <c r="BW952" i="29"/>
  <c r="BV952" i="29"/>
  <c r="BO952" i="29"/>
  <c r="CS952" i="29"/>
  <c r="DG956" i="29"/>
  <c r="CP956" i="29"/>
  <c r="CS956" i="29"/>
  <c r="CY956" i="29"/>
  <c r="CF956" i="29"/>
  <c r="BX956" i="29"/>
  <c r="CM956" i="29"/>
  <c r="CL956" i="29"/>
  <c r="CK956" i="29"/>
  <c r="DK956" i="29"/>
  <c r="DE956" i="29"/>
  <c r="CN956" i="29"/>
  <c r="DA960" i="29"/>
  <c r="DH960" i="29"/>
  <c r="BT960" i="29"/>
  <c r="CP960" i="29"/>
  <c r="CB960" i="29"/>
  <c r="CX960" i="29"/>
  <c r="BQ960" i="29"/>
  <c r="CL960" i="29"/>
  <c r="DB960" i="29"/>
  <c r="CI960" i="29"/>
  <c r="DJ960" i="29"/>
  <c r="CO960" i="29"/>
  <c r="DH966" i="29"/>
  <c r="CN966" i="29"/>
  <c r="CZ966" i="29"/>
  <c r="DD966" i="29"/>
  <c r="DI966" i="29"/>
  <c r="CP966" i="29"/>
  <c r="CQ966" i="29"/>
  <c r="BQ966" i="29"/>
  <c r="CG966" i="29"/>
  <c r="DJ966" i="29"/>
  <c r="BO966" i="29"/>
  <c r="CL966" i="29"/>
  <c r="DK970" i="29"/>
  <c r="BZ970" i="29"/>
  <c r="CN970" i="29"/>
  <c r="CU970" i="29"/>
  <c r="DD970" i="29"/>
  <c r="BS970" i="29"/>
  <c r="BY970" i="29"/>
  <c r="CT970" i="29"/>
  <c r="CR970" i="29"/>
  <c r="DA970" i="29"/>
  <c r="CK970" i="29"/>
  <c r="CS970" i="29"/>
  <c r="CM970" i="29"/>
  <c r="CN974" i="29"/>
  <c r="CT974" i="29"/>
  <c r="CM974" i="29"/>
  <c r="BW974" i="29"/>
  <c r="DA974" i="29"/>
  <c r="CV974" i="29"/>
  <c r="CS974" i="29"/>
  <c r="DG974" i="29"/>
  <c r="CG974" i="29"/>
  <c r="CW974" i="29"/>
  <c r="DE974" i="29"/>
  <c r="BV974" i="29"/>
  <c r="CZ978" i="29"/>
  <c r="CE978" i="29"/>
  <c r="CG978" i="29"/>
  <c r="CY978" i="29"/>
  <c r="BV978" i="29"/>
  <c r="DC978" i="29"/>
  <c r="BS978" i="29"/>
  <c r="CS978" i="29"/>
  <c r="DB978" i="29"/>
  <c r="CT978" i="29"/>
  <c r="DD978" i="29"/>
  <c r="DA978" i="29"/>
  <c r="CI978" i="29"/>
  <c r="BO982" i="29"/>
  <c r="DJ982" i="29"/>
  <c r="CO982" i="29"/>
  <c r="CQ982" i="29"/>
  <c r="BT982" i="29"/>
  <c r="BV982" i="29"/>
  <c r="CA982" i="29"/>
  <c r="CR982" i="29"/>
  <c r="CK982" i="29"/>
  <c r="BP982" i="29"/>
  <c r="CH982" i="29"/>
  <c r="BS982" i="29"/>
  <c r="DH986" i="29"/>
  <c r="DB986" i="29"/>
  <c r="BY986" i="29"/>
  <c r="CT986" i="29"/>
  <c r="CQ986" i="29"/>
  <c r="CU986" i="29"/>
  <c r="DC986" i="29"/>
  <c r="DA986" i="29"/>
  <c r="BW986" i="29"/>
  <c r="DJ986" i="29"/>
  <c r="CD986" i="29"/>
  <c r="CC986" i="29"/>
  <c r="DI986" i="29"/>
  <c r="CT990" i="29"/>
  <c r="BR990" i="29"/>
  <c r="CP990" i="29"/>
  <c r="DC990" i="29"/>
  <c r="CU990" i="29"/>
  <c r="CY990" i="29"/>
  <c r="DF990" i="29"/>
  <c r="BQ990" i="29"/>
  <c r="CO990" i="29"/>
  <c r="DL990" i="29"/>
  <c r="DI990" i="29"/>
  <c r="CK990" i="29"/>
  <c r="DH995" i="29"/>
  <c r="CH995" i="29"/>
  <c r="CR995" i="29"/>
  <c r="CQ995" i="29"/>
  <c r="BU995" i="29"/>
  <c r="CY995" i="29"/>
  <c r="CF995" i="29"/>
  <c r="CX995" i="29"/>
  <c r="CT995" i="29"/>
  <c r="DF995" i="29"/>
  <c r="BZ995" i="29"/>
  <c r="CJ995" i="29"/>
  <c r="DE995" i="29"/>
  <c r="DB999" i="29"/>
  <c r="BV999" i="29"/>
  <c r="CH999" i="29"/>
  <c r="CM999" i="29"/>
  <c r="CE999" i="29"/>
  <c r="BS999" i="29"/>
  <c r="BX999" i="29"/>
  <c r="CG999" i="29"/>
  <c r="CV999" i="29"/>
  <c r="DE999" i="29"/>
  <c r="DA999" i="29"/>
  <c r="CJ999" i="29"/>
  <c r="DD375" i="29"/>
  <c r="CO375" i="29"/>
  <c r="CC375" i="29"/>
  <c r="CJ375" i="29"/>
  <c r="CZ375" i="29"/>
  <c r="CT375" i="29"/>
  <c r="DG375" i="29"/>
  <c r="CL375" i="29"/>
  <c r="CG375" i="29"/>
  <c r="DA375" i="29"/>
  <c r="DF375" i="29"/>
  <c r="CF375" i="29"/>
  <c r="BQ375" i="29"/>
  <c r="DJ379" i="29"/>
  <c r="CK379" i="29"/>
  <c r="CY379" i="29"/>
  <c r="CW379" i="29"/>
  <c r="BV379" i="29"/>
  <c r="CI379" i="29"/>
  <c r="CX379" i="29"/>
  <c r="DF379" i="29"/>
  <c r="DK379" i="29"/>
  <c r="BW379" i="29"/>
  <c r="CC379" i="29"/>
  <c r="CO379" i="29"/>
  <c r="DI383" i="29"/>
  <c r="BS383" i="29"/>
  <c r="CS383" i="29"/>
  <c r="CZ383" i="29"/>
  <c r="CU383" i="29"/>
  <c r="CH383" i="29"/>
  <c r="BQ383" i="29"/>
  <c r="CP383" i="29"/>
  <c r="CB383" i="29"/>
  <c r="DA383" i="29"/>
  <c r="DJ383" i="29"/>
  <c r="CF383" i="29"/>
  <c r="CQ383" i="29"/>
  <c r="BX387" i="29"/>
  <c r="BP387" i="29"/>
  <c r="BS387" i="29"/>
  <c r="CW387" i="29"/>
  <c r="CA387" i="29"/>
  <c r="BT387" i="29"/>
  <c r="CH387" i="29"/>
  <c r="DL387" i="29"/>
  <c r="CX387" i="29"/>
  <c r="CM387" i="29"/>
  <c r="CC387" i="29"/>
  <c r="DA387" i="29"/>
  <c r="DD391" i="29"/>
  <c r="DK391" i="29"/>
  <c r="BT391" i="29"/>
  <c r="CC391" i="29"/>
  <c r="CJ391" i="29"/>
  <c r="CL391" i="29"/>
  <c r="CG391" i="29"/>
  <c r="CD391" i="29"/>
  <c r="BW391" i="29"/>
  <c r="CQ391" i="29"/>
  <c r="DH391" i="29"/>
  <c r="CH391" i="29"/>
  <c r="DL391" i="29"/>
  <c r="DC395" i="29"/>
  <c r="CT395" i="29"/>
  <c r="DG395" i="29"/>
  <c r="CM395" i="29"/>
  <c r="CL395" i="29"/>
  <c r="CW395" i="29"/>
  <c r="CI395" i="29"/>
  <c r="CR395" i="29"/>
  <c r="CZ395" i="29"/>
  <c r="BU395" i="29"/>
  <c r="CP395" i="29"/>
  <c r="BX395" i="29"/>
  <c r="DI399" i="29"/>
  <c r="BS399" i="29"/>
  <c r="DD399" i="29"/>
  <c r="DK399" i="29"/>
  <c r="BT399" i="29"/>
  <c r="CL399" i="29"/>
  <c r="CB399" i="29"/>
  <c r="CD399" i="29"/>
  <c r="BQ399" i="29"/>
  <c r="BU399" i="29"/>
  <c r="CG399" i="29"/>
  <c r="CX399" i="29"/>
  <c r="CQ399" i="29"/>
  <c r="BS403" i="29"/>
  <c r="CD403" i="29"/>
  <c r="CR403" i="29"/>
  <c r="BQ403" i="29"/>
  <c r="CL403" i="29"/>
  <c r="BW403" i="29"/>
  <c r="CB403" i="29"/>
  <c r="BX403" i="29"/>
  <c r="BY403" i="29"/>
  <c r="BR403" i="29"/>
  <c r="CX403" i="29"/>
  <c r="CQ403" i="29"/>
  <c r="DK407" i="29"/>
  <c r="BT407" i="29"/>
  <c r="BY407" i="29"/>
  <c r="CY407" i="29"/>
  <c r="DI407" i="29"/>
  <c r="CP407" i="29"/>
  <c r="DL407" i="29"/>
  <c r="CH407" i="29"/>
  <c r="CG407" i="29"/>
  <c r="CK407" i="29"/>
  <c r="CL407" i="29"/>
  <c r="BV407" i="29"/>
  <c r="BP407" i="29"/>
  <c r="DD411" i="29"/>
  <c r="BP411" i="29"/>
  <c r="DC411" i="29"/>
  <c r="CM411" i="29"/>
  <c r="CL411" i="29"/>
  <c r="CR411" i="29"/>
  <c r="CX411" i="29"/>
  <c r="CY411" i="29"/>
  <c r="CO411" i="29"/>
  <c r="CZ411" i="29"/>
  <c r="BU411" i="29"/>
  <c r="CN411" i="29"/>
  <c r="DL415" i="29"/>
  <c r="CU415" i="29"/>
  <c r="BZ415" i="29"/>
  <c r="DC415" i="29"/>
  <c r="CH415" i="29"/>
  <c r="DB415" i="29"/>
  <c r="DJ415" i="29"/>
  <c r="BS415" i="29"/>
  <c r="CA415" i="29"/>
  <c r="CI415" i="29"/>
  <c r="CZ415" i="29"/>
  <c r="BX415" i="29"/>
  <c r="BP415" i="29"/>
  <c r="DF419" i="29"/>
  <c r="CK419" i="29"/>
  <c r="BO419" i="29"/>
  <c r="CS419" i="29"/>
  <c r="BW419" i="29"/>
  <c r="CG419" i="29"/>
  <c r="CO419" i="29"/>
  <c r="CW419" i="29"/>
  <c r="DE419" i="29"/>
  <c r="BT419" i="29"/>
  <c r="CR419" i="29"/>
  <c r="CV419" i="29"/>
  <c r="DL423" i="29"/>
  <c r="CT423" i="29"/>
  <c r="BY423" i="29"/>
  <c r="CW423" i="29"/>
  <c r="CA423" i="29"/>
  <c r="CU423" i="29"/>
  <c r="DC423" i="29"/>
  <c r="DK423" i="29"/>
  <c r="BU423" i="29"/>
  <c r="CC423" i="29"/>
  <c r="CZ423" i="29"/>
  <c r="BX423" i="29"/>
  <c r="BP423" i="29"/>
  <c r="DF427" i="29"/>
  <c r="CK427" i="29"/>
  <c r="BO427" i="29"/>
  <c r="CS427" i="29"/>
  <c r="BW427" i="29"/>
  <c r="CG427" i="29"/>
  <c r="CO427" i="29"/>
  <c r="CW427" i="29"/>
  <c r="DE427" i="29"/>
  <c r="BT427" i="29"/>
  <c r="CR427" i="29"/>
  <c r="CV427" i="29"/>
  <c r="DL431" i="29"/>
  <c r="CU431" i="29"/>
  <c r="BZ431" i="29"/>
  <c r="DC431" i="29"/>
  <c r="CH431" i="29"/>
  <c r="BQ431" i="29"/>
  <c r="BY431" i="29"/>
  <c r="BV431" i="29"/>
  <c r="CD431" i="29"/>
  <c r="CZ431" i="29"/>
  <c r="BX431" i="29"/>
  <c r="BP431" i="29"/>
  <c r="CW435" i="29"/>
  <c r="CA435" i="29"/>
  <c r="CZ435" i="29"/>
  <c r="CD435" i="29"/>
  <c r="CS435" i="29"/>
  <c r="CP435" i="29"/>
  <c r="CM435" i="29"/>
  <c r="CU435" i="29"/>
  <c r="DF435" i="29"/>
  <c r="CX435" i="29"/>
  <c r="BX435" i="29"/>
  <c r="DB435" i="29"/>
  <c r="DL441" i="29"/>
  <c r="CL441" i="29"/>
  <c r="BQ441" i="29"/>
  <c r="CO441" i="29"/>
  <c r="BS441" i="29"/>
  <c r="BW441" i="29"/>
  <c r="BU441" i="29"/>
  <c r="BR441" i="29"/>
  <c r="BZ441" i="29"/>
  <c r="CF441" i="29"/>
  <c r="CN441" i="29"/>
  <c r="CU441" i="29"/>
  <c r="DK441" i="29"/>
  <c r="CY445" i="29"/>
  <c r="CD445" i="29"/>
  <c r="DF445" i="29"/>
  <c r="CK445" i="29"/>
  <c r="DJ445" i="29"/>
  <c r="BX445" i="29"/>
  <c r="DC445" i="29"/>
  <c r="BV445" i="29"/>
  <c r="BO445" i="29"/>
  <c r="DE445" i="29"/>
  <c r="CT445" i="29"/>
  <c r="CE445" i="29"/>
  <c r="DL449" i="29"/>
  <c r="CJ449" i="29"/>
  <c r="DA449" i="29"/>
  <c r="BY449" i="29"/>
  <c r="BX449" i="29"/>
  <c r="BT449" i="29"/>
  <c r="BP449" i="29"/>
  <c r="DK449" i="29"/>
  <c r="CG449" i="29"/>
  <c r="BW449" i="29"/>
  <c r="BQ449" i="29"/>
  <c r="DG449" i="29"/>
  <c r="BS449" i="29"/>
  <c r="DH453" i="29"/>
  <c r="BZ453" i="29"/>
  <c r="CY453" i="29"/>
  <c r="CD453" i="29"/>
  <c r="BU453" i="29"/>
  <c r="CA453" i="29"/>
  <c r="CK453" i="29"/>
  <c r="CU453" i="29"/>
  <c r="BR453" i="29"/>
  <c r="DD453" i="29"/>
  <c r="CT453" i="29"/>
  <c r="BW453" i="29"/>
  <c r="DI457" i="29"/>
  <c r="CF457" i="29"/>
  <c r="DE457" i="29"/>
  <c r="CC457" i="29"/>
  <c r="CH457" i="29"/>
  <c r="CD457" i="29"/>
  <c r="BZ457" i="29"/>
  <c r="DK457" i="29"/>
  <c r="CG457" i="29"/>
  <c r="BW457" i="29"/>
  <c r="CA457" i="29"/>
  <c r="CW457" i="29"/>
  <c r="CI457" i="29"/>
  <c r="CG461" i="29"/>
  <c r="BX461" i="29"/>
  <c r="CB461" i="29"/>
  <c r="CQ461" i="29"/>
  <c r="BU461" i="29"/>
  <c r="CY461" i="29"/>
  <c r="CF461" i="29"/>
  <c r="CX461" i="29"/>
  <c r="CT461" i="29"/>
  <c r="BZ461" i="29"/>
  <c r="DF461" i="29"/>
  <c r="CE461" i="29"/>
  <c r="CL465" i="29"/>
  <c r="CF465" i="29"/>
  <c r="DJ465" i="29"/>
  <c r="BO465" i="29"/>
  <c r="CZ465" i="29"/>
  <c r="CY465" i="29"/>
  <c r="DC465" i="29"/>
  <c r="CO465" i="29"/>
  <c r="CR465" i="29"/>
  <c r="CV465" i="29"/>
  <c r="CI465" i="29"/>
  <c r="CW465" i="29"/>
  <c r="BT465" i="29"/>
  <c r="CX470" i="29"/>
  <c r="BV470" i="29"/>
  <c r="CM470" i="29"/>
  <c r="DC470" i="29"/>
  <c r="CW470" i="29"/>
  <c r="CD470" i="29"/>
  <c r="BQ470" i="29"/>
  <c r="BU470" i="29"/>
  <c r="DF470" i="29"/>
  <c r="CK470" i="29"/>
  <c r="CU470" i="29"/>
  <c r="CZ470" i="29"/>
  <c r="DJ199" i="29"/>
  <c r="DG199" i="29"/>
  <c r="CE199" i="29"/>
  <c r="BW199" i="29"/>
  <c r="DA199" i="29"/>
  <c r="CC199" i="29"/>
  <c r="CJ199" i="29"/>
  <c r="CF199" i="29"/>
  <c r="CX199" i="29"/>
  <c r="CP199" i="29"/>
  <c r="CW199" i="29"/>
  <c r="CD199" i="29"/>
  <c r="BX199" i="29"/>
  <c r="CU203" i="29"/>
  <c r="CM203" i="29"/>
  <c r="CQ203" i="29"/>
  <c r="CR203" i="29"/>
  <c r="CN203" i="29"/>
  <c r="CO203" i="29"/>
  <c r="CZ203" i="29"/>
  <c r="BV203" i="29"/>
  <c r="CK203" i="29"/>
  <c r="CJ203" i="29"/>
  <c r="CH203" i="29"/>
  <c r="CX203" i="29"/>
  <c r="DF207" i="29"/>
  <c r="BZ207" i="29"/>
  <c r="CP207" i="29"/>
  <c r="BU207" i="29"/>
  <c r="CL207" i="29"/>
  <c r="CC207" i="29"/>
  <c r="BP207" i="29"/>
  <c r="BR207" i="29"/>
  <c r="CY207" i="29"/>
  <c r="CN207" i="29"/>
  <c r="CX207" i="29"/>
  <c r="CI207" i="29"/>
  <c r="CA207" i="29"/>
  <c r="CY211" i="29"/>
  <c r="DD211" i="29"/>
  <c r="DH211" i="29"/>
  <c r="CB211" i="29"/>
  <c r="DC211" i="29"/>
  <c r="BZ211" i="29"/>
  <c r="CK211" i="29"/>
  <c r="CP211" i="29"/>
  <c r="BP211" i="29"/>
  <c r="DE211" i="29"/>
  <c r="DL211" i="29"/>
  <c r="CF211" i="29"/>
  <c r="DH215" i="29"/>
  <c r="CB215" i="29"/>
  <c r="DI215" i="29"/>
  <c r="CI215" i="29"/>
  <c r="DB215" i="29"/>
  <c r="CK215" i="29"/>
  <c r="DF215" i="29"/>
  <c r="BO215" i="29"/>
  <c r="DE215" i="29"/>
  <c r="BP215" i="29"/>
  <c r="CY215" i="29"/>
  <c r="BR215" i="29"/>
  <c r="DL215" i="29"/>
  <c r="CR219" i="29"/>
  <c r="DI219" i="29"/>
  <c r="CV219" i="29"/>
  <c r="DB219" i="29"/>
  <c r="CK219" i="29"/>
  <c r="DG219" i="29"/>
  <c r="BZ219" i="29"/>
  <c r="DK219" i="29"/>
  <c r="BY219" i="29"/>
  <c r="CU219" i="29"/>
  <c r="CW219" i="29"/>
  <c r="CX219" i="29"/>
  <c r="DH223" i="29"/>
  <c r="CT223" i="29"/>
  <c r="CC223" i="29"/>
  <c r="CR223" i="29"/>
  <c r="DA223" i="29"/>
  <c r="DL223" i="29"/>
  <c r="DE223" i="29"/>
  <c r="BO223" i="29"/>
  <c r="CO223" i="29"/>
  <c r="BS223" i="29"/>
  <c r="CX223" i="29"/>
  <c r="BW223" i="29"/>
  <c r="DG223" i="29"/>
  <c r="CD227" i="29"/>
  <c r="BP227" i="29"/>
  <c r="DB227" i="29"/>
  <c r="CK227" i="29"/>
  <c r="CY227" i="29"/>
  <c r="DE227" i="29"/>
  <c r="CZ227" i="29"/>
  <c r="BZ227" i="29"/>
  <c r="CI227" i="29"/>
  <c r="BR227" i="29"/>
  <c r="CJ227" i="29"/>
  <c r="BW227" i="29"/>
  <c r="DH231" i="29"/>
  <c r="CD231" i="29"/>
  <c r="BP231" i="29"/>
  <c r="DB231" i="29"/>
  <c r="CK231" i="29"/>
  <c r="CA231" i="29"/>
  <c r="CO231" i="29"/>
  <c r="CU231" i="29"/>
  <c r="BY231" i="29"/>
  <c r="DK231" i="29"/>
  <c r="CG231" i="29"/>
  <c r="CM231" i="29"/>
  <c r="CW231" i="29"/>
  <c r="CB235" i="29"/>
  <c r="CW235" i="29"/>
  <c r="CR235" i="29"/>
  <c r="DE235" i="29"/>
  <c r="DD235" i="29"/>
  <c r="CC235" i="29"/>
  <c r="DK235" i="29"/>
  <c r="CD235" i="29"/>
  <c r="CU235" i="29"/>
  <c r="BS235" i="29"/>
  <c r="BT235" i="29"/>
  <c r="BW235" i="29"/>
  <c r="DH239" i="29"/>
  <c r="CH239" i="29"/>
  <c r="BQ239" i="29"/>
  <c r="CZ239" i="29"/>
  <c r="DE239" i="29"/>
  <c r="DD239" i="29"/>
  <c r="CS239" i="29"/>
  <c r="DG239" i="29"/>
  <c r="CC239" i="29"/>
  <c r="CB239" i="29"/>
  <c r="BU239" i="29"/>
  <c r="CF239" i="29"/>
  <c r="DA239" i="29"/>
  <c r="CY243" i="29"/>
  <c r="BU243" i="29"/>
  <c r="CU243" i="29"/>
  <c r="CO243" i="29"/>
  <c r="BP243" i="29"/>
  <c r="CT243" i="29"/>
  <c r="CB243" i="29"/>
  <c r="BZ243" i="29"/>
  <c r="DA243" i="29"/>
  <c r="BY243" i="29"/>
  <c r="DB243" i="29"/>
  <c r="CP243" i="29"/>
  <c r="DK247" i="29"/>
  <c r="CX247" i="29"/>
  <c r="CC247" i="29"/>
  <c r="CG247" i="29"/>
  <c r="BV247" i="29"/>
  <c r="BT247" i="29"/>
  <c r="CL247" i="29"/>
  <c r="CB247" i="29"/>
  <c r="CK247" i="29"/>
  <c r="CS247" i="29"/>
  <c r="DL247" i="29"/>
  <c r="DD247" i="29"/>
  <c r="BZ247" i="29"/>
  <c r="BZ251" i="29"/>
  <c r="DK251" i="29"/>
  <c r="BY251" i="29"/>
  <c r="BU251" i="29"/>
  <c r="DL251" i="29"/>
  <c r="BO251" i="29"/>
  <c r="CQ251" i="29"/>
  <c r="DD251" i="29"/>
  <c r="CW251" i="29"/>
  <c r="CL251" i="29"/>
  <c r="CK251" i="29"/>
  <c r="BS251" i="29"/>
  <c r="DL255" i="29"/>
  <c r="CU255" i="29"/>
  <c r="BW255" i="29"/>
  <c r="BY255" i="29"/>
  <c r="DI255" i="29"/>
  <c r="DG255" i="29"/>
  <c r="CR255" i="29"/>
  <c r="DB255" i="29"/>
  <c r="CJ255" i="29"/>
  <c r="CT255" i="29"/>
  <c r="CP255" i="29"/>
  <c r="BV255" i="29"/>
  <c r="CF255" i="29"/>
  <c r="BW259" i="29"/>
  <c r="CE259" i="29"/>
  <c r="BY259" i="29"/>
  <c r="CG259" i="29"/>
  <c r="BR259" i="29"/>
  <c r="CU259" i="29"/>
  <c r="CQ259" i="29"/>
  <c r="CV259" i="29"/>
  <c r="CL259" i="29"/>
  <c r="DI259" i="29"/>
  <c r="CC259" i="29"/>
  <c r="DH259" i="29"/>
  <c r="CH263" i="29"/>
  <c r="DL263" i="29"/>
  <c r="BU263" i="29"/>
  <c r="BZ263" i="29"/>
  <c r="CY263" i="29"/>
  <c r="CL263" i="29"/>
  <c r="CQ263" i="29"/>
  <c r="DD263" i="29"/>
  <c r="CU263" i="29"/>
  <c r="BT263" i="29"/>
  <c r="DC263" i="29"/>
  <c r="DK263" i="29"/>
  <c r="CE263" i="29"/>
  <c r="BV269" i="29"/>
  <c r="CU269" i="29"/>
  <c r="BX269" i="29"/>
  <c r="CD269" i="29"/>
  <c r="DK269" i="29"/>
  <c r="DD269" i="29"/>
  <c r="CW269" i="29"/>
  <c r="BP269" i="29"/>
  <c r="CM269" i="29"/>
  <c r="CP269" i="29"/>
  <c r="DG269" i="29"/>
  <c r="DF269" i="29"/>
  <c r="BX273" i="29"/>
  <c r="DL273" i="29"/>
  <c r="BV273" i="29"/>
  <c r="CU273" i="29"/>
  <c r="DJ273" i="29"/>
  <c r="CS273" i="29"/>
  <c r="CZ273" i="29"/>
  <c r="BZ273" i="29"/>
  <c r="CV273" i="29"/>
  <c r="CA273" i="29"/>
  <c r="BQ273" i="29"/>
  <c r="CM273" i="29"/>
  <c r="BW273" i="29"/>
  <c r="CI277" i="29"/>
  <c r="CW277" i="29"/>
  <c r="DH277" i="29"/>
  <c r="DF277" i="29"/>
  <c r="CO277" i="29"/>
  <c r="CR277" i="29"/>
  <c r="DI277" i="29"/>
  <c r="CY277" i="29"/>
  <c r="DK277" i="29"/>
  <c r="DA277" i="29"/>
  <c r="CJ277" i="29"/>
  <c r="CQ277" i="29"/>
  <c r="BV281" i="29"/>
  <c r="CX281" i="29"/>
  <c r="DG281" i="29"/>
  <c r="DI281" i="29"/>
  <c r="CG281" i="29"/>
  <c r="BW281" i="29"/>
  <c r="CR281" i="29"/>
  <c r="CM281" i="29"/>
  <c r="CF281" i="29"/>
  <c r="CV281" i="29"/>
  <c r="CD281" i="29"/>
  <c r="DA281" i="29"/>
  <c r="CN281" i="29"/>
  <c r="CG285" i="29"/>
  <c r="BY285" i="29"/>
  <c r="BW285" i="29"/>
  <c r="CC285" i="29"/>
  <c r="DJ285" i="29"/>
  <c r="CS285" i="29"/>
  <c r="CY285" i="29"/>
  <c r="CJ285" i="29"/>
  <c r="DF285" i="29"/>
  <c r="DA285" i="29"/>
  <c r="CI285" i="29"/>
  <c r="CV285" i="29"/>
  <c r="CX289" i="29"/>
  <c r="CM289" i="29"/>
  <c r="CU289" i="29"/>
  <c r="BP289" i="29"/>
  <c r="BR289" i="29"/>
  <c r="CJ289" i="29"/>
  <c r="BU289" i="29"/>
  <c r="BX289" i="29"/>
  <c r="CR289" i="29"/>
  <c r="CQ289" i="29"/>
  <c r="CP289" i="29"/>
  <c r="DE289" i="29"/>
  <c r="CW289" i="29"/>
  <c r="DB293" i="29"/>
  <c r="CK293" i="29"/>
  <c r="CJ293" i="29"/>
  <c r="BS293" i="29"/>
  <c r="DI293" i="29"/>
  <c r="CE293" i="29"/>
  <c r="BX293" i="29"/>
  <c r="BW293" i="29"/>
  <c r="CW293" i="29"/>
  <c r="CO293" i="29"/>
  <c r="CG293" i="29"/>
  <c r="BR293" i="29"/>
  <c r="CZ298" i="29"/>
  <c r="CJ298" i="29"/>
  <c r="CR298" i="29"/>
  <c r="CU298" i="29"/>
  <c r="CH298" i="29"/>
  <c r="DC298" i="29"/>
  <c r="CP298" i="29"/>
  <c r="CB298" i="29"/>
  <c r="CI298" i="29"/>
  <c r="BS298" i="29"/>
  <c r="DJ298" i="29"/>
  <c r="CT298" i="29"/>
  <c r="CL298" i="29"/>
  <c r="CE302" i="29"/>
  <c r="CA302" i="29"/>
  <c r="DG302" i="29"/>
  <c r="DB302" i="29"/>
  <c r="CV302" i="29"/>
  <c r="DE302" i="29"/>
  <c r="CY302" i="29"/>
  <c r="BQ302" i="29"/>
  <c r="CI302" i="29"/>
  <c r="CZ302" i="29"/>
  <c r="CS302" i="29"/>
  <c r="CM302" i="29"/>
  <c r="DL549" i="29"/>
  <c r="CZ549" i="29"/>
  <c r="CJ549" i="29"/>
  <c r="DC549" i="29"/>
  <c r="DK549" i="29"/>
  <c r="CS549" i="29"/>
  <c r="DH549" i="29"/>
  <c r="CY549" i="29"/>
  <c r="CW549" i="29"/>
  <c r="DA549" i="29"/>
  <c r="BP549" i="29"/>
  <c r="CL549" i="29"/>
  <c r="CA553" i="29"/>
  <c r="CH553" i="29"/>
  <c r="CF553" i="29"/>
  <c r="CW553" i="29"/>
  <c r="BU553" i="29"/>
  <c r="BO553" i="29"/>
  <c r="BZ553" i="29"/>
  <c r="BV553" i="29"/>
  <c r="DI553" i="29"/>
  <c r="CK553" i="29"/>
  <c r="CS553" i="29"/>
  <c r="DB553" i="29"/>
  <c r="DE557" i="29"/>
  <c r="CQ557" i="29"/>
  <c r="BT557" i="29"/>
  <c r="BP557" i="29"/>
  <c r="BS557" i="29"/>
  <c r="DK557" i="29"/>
  <c r="DA557" i="29"/>
  <c r="CM557" i="29"/>
  <c r="CB557" i="29"/>
  <c r="BX557" i="29"/>
  <c r="CI557" i="29"/>
  <c r="DI557" i="29"/>
  <c r="CT557" i="29"/>
  <c r="DB561" i="29"/>
  <c r="CG561" i="29"/>
  <c r="CY561" i="29"/>
  <c r="CX561" i="29"/>
  <c r="DK561" i="29"/>
  <c r="CP561" i="29"/>
  <c r="BU561" i="29"/>
  <c r="CT561" i="29"/>
  <c r="DC561" i="29"/>
  <c r="BP561" i="29"/>
  <c r="DD561" i="29"/>
  <c r="CN561" i="29"/>
  <c r="DL565" i="29"/>
  <c r="CU565" i="29"/>
  <c r="BZ565" i="29"/>
  <c r="CX565" i="29"/>
  <c r="DB565" i="29"/>
  <c r="DJ565" i="29"/>
  <c r="CO565" i="29"/>
  <c r="BS565" i="29"/>
  <c r="BW565" i="29"/>
  <c r="CA565" i="29"/>
  <c r="CV565" i="29"/>
  <c r="CZ565" i="29"/>
  <c r="CB565" i="29"/>
  <c r="CB569" i="29"/>
  <c r="CQ569" i="29"/>
  <c r="BR569" i="29"/>
  <c r="CJ569" i="29"/>
  <c r="BS569" i="29"/>
  <c r="BT569" i="29"/>
  <c r="BP569" i="29"/>
  <c r="CM569" i="29"/>
  <c r="DF569" i="29"/>
  <c r="CW569" i="29"/>
  <c r="CV569" i="29"/>
  <c r="CS569" i="29"/>
  <c r="CY573" i="29"/>
  <c r="CF573" i="29"/>
  <c r="BX573" i="29"/>
  <c r="CT573" i="29"/>
  <c r="CW573" i="29"/>
  <c r="CK573" i="29"/>
  <c r="DK573" i="29"/>
  <c r="CV573" i="29"/>
  <c r="CS573" i="29"/>
  <c r="DI573" i="29"/>
  <c r="BT573" i="29"/>
  <c r="DF573" i="29"/>
  <c r="BY573" i="29"/>
  <c r="CR577" i="29"/>
  <c r="DJ577" i="29"/>
  <c r="BZ577" i="29"/>
  <c r="BT577" i="29"/>
  <c r="CA577" i="29"/>
  <c r="CL577" i="29"/>
  <c r="BY577" i="29"/>
  <c r="BX577" i="29"/>
  <c r="BQ577" i="29"/>
  <c r="BS577" i="29"/>
  <c r="DK577" i="29"/>
  <c r="DL581" i="29"/>
  <c r="CD581" i="29"/>
  <c r="CH581" i="29"/>
  <c r="CC581" i="29"/>
  <c r="DD581" i="29"/>
  <c r="CK581" i="29"/>
  <c r="CE581" i="29"/>
  <c r="CV581" i="29"/>
  <c r="CP581" i="29"/>
  <c r="BQ581" i="29"/>
  <c r="DC581" i="29"/>
  <c r="CW581" i="29"/>
  <c r="CB581" i="29"/>
  <c r="BV585" i="29"/>
  <c r="CP585" i="29"/>
  <c r="BU585" i="29"/>
  <c r="DG585" i="29"/>
  <c r="CO585" i="29"/>
  <c r="CL585" i="29"/>
  <c r="CH585" i="29"/>
  <c r="BO585" i="29"/>
  <c r="CM585" i="29"/>
  <c r="DI585" i="29"/>
  <c r="CI585" i="29"/>
  <c r="CU585" i="29"/>
  <c r="DH589" i="29"/>
  <c r="CR589" i="29"/>
  <c r="CH589" i="29"/>
  <c r="DD589" i="29"/>
  <c r="DK589" i="29"/>
  <c r="CV589" i="29"/>
  <c r="DC589" i="29"/>
  <c r="BX589" i="29"/>
  <c r="CA589" i="29"/>
  <c r="CG589" i="29"/>
  <c r="DF589" i="29"/>
  <c r="CT589" i="29"/>
  <c r="CF589" i="29"/>
  <c r="BY593" i="29"/>
  <c r="BQ593" i="29"/>
  <c r="CQ593" i="29"/>
  <c r="BR593" i="29"/>
  <c r="CG593" i="29"/>
  <c r="BV593" i="29"/>
  <c r="BW593" i="29"/>
  <c r="CD593" i="29"/>
  <c r="CI593" i="29"/>
  <c r="DJ593" i="29"/>
  <c r="BT593" i="29"/>
  <c r="DK593" i="29"/>
  <c r="DJ597" i="29"/>
  <c r="BX597" i="29"/>
  <c r="CB597" i="29"/>
  <c r="CD597" i="29"/>
  <c r="CL597" i="29"/>
  <c r="CY597" i="29"/>
  <c r="CF597" i="29"/>
  <c r="CA597" i="29"/>
  <c r="DK597" i="29"/>
  <c r="CV597" i="29"/>
  <c r="CQ597" i="29"/>
  <c r="CN597" i="29"/>
  <c r="BP597" i="29"/>
  <c r="CJ601" i="29"/>
  <c r="DB601" i="29"/>
  <c r="BZ601" i="29"/>
  <c r="BW601" i="29"/>
  <c r="BX601" i="29"/>
  <c r="BO601" i="29"/>
  <c r="CY601" i="29"/>
  <c r="DI601" i="29"/>
  <c r="CW601" i="29"/>
  <c r="CH601" i="29"/>
  <c r="DJ601" i="29"/>
  <c r="BV601" i="29"/>
  <c r="CZ605" i="29"/>
  <c r="CY605" i="29"/>
  <c r="CC605" i="29"/>
  <c r="BY605" i="29"/>
  <c r="DI605" i="29"/>
  <c r="CD605" i="29"/>
  <c r="BU605" i="29"/>
  <c r="CE605" i="29"/>
  <c r="DA605" i="29"/>
  <c r="CW605" i="29"/>
  <c r="CN605" i="29"/>
  <c r="DC605" i="29"/>
  <c r="CJ605" i="29"/>
  <c r="CG609" i="29"/>
  <c r="DE609" i="29"/>
  <c r="BY609" i="29"/>
  <c r="CQ609" i="29"/>
  <c r="BU609" i="29"/>
  <c r="CI609" i="29"/>
  <c r="DC609" i="29"/>
  <c r="CK609" i="29"/>
  <c r="CO609" i="29"/>
  <c r="CN609" i="29"/>
  <c r="BT609" i="29"/>
  <c r="CE609" i="29"/>
  <c r="CL613" i="29"/>
  <c r="DE613" i="29"/>
  <c r="CQ613" i="29"/>
  <c r="CV613" i="29"/>
  <c r="CG613" i="29"/>
  <c r="CD613" i="29"/>
  <c r="BO613" i="29"/>
  <c r="CK613" i="29"/>
  <c r="BW613" i="29"/>
  <c r="CX613" i="29"/>
  <c r="CI613" i="29"/>
  <c r="CS613" i="29"/>
  <c r="BX613" i="29"/>
  <c r="CR619" i="29"/>
  <c r="DG619" i="29"/>
  <c r="BS619" i="29"/>
  <c r="CH619" i="29"/>
  <c r="DD619" i="29"/>
  <c r="CS619" i="29"/>
  <c r="BT619" i="29"/>
  <c r="BU619" i="29"/>
  <c r="CO619" i="29"/>
  <c r="BO619" i="29"/>
  <c r="BR619" i="29"/>
  <c r="BZ619" i="29"/>
  <c r="DK623" i="29"/>
  <c r="BO623" i="29"/>
  <c r="DB623" i="29"/>
  <c r="BV623" i="29"/>
  <c r="CA623" i="29"/>
  <c r="BY623" i="29"/>
  <c r="CT623" i="29"/>
  <c r="CI623" i="29"/>
  <c r="CX623" i="29"/>
  <c r="CP623" i="29"/>
  <c r="DG623" i="29"/>
  <c r="CC623" i="29"/>
  <c r="CS623" i="29"/>
  <c r="CI627" i="29"/>
  <c r="CN627" i="29"/>
  <c r="CZ627" i="29"/>
  <c r="CX627" i="29"/>
  <c r="BS627" i="29"/>
  <c r="DH627" i="29"/>
  <c r="DE627" i="29"/>
  <c r="DI627" i="29"/>
  <c r="DB627" i="29"/>
  <c r="CO627" i="29"/>
  <c r="DA627" i="29"/>
  <c r="CF627" i="29"/>
  <c r="DF631" i="29"/>
  <c r="CD631" i="29"/>
  <c r="DC631" i="29"/>
  <c r="CT631" i="29"/>
  <c r="DD631" i="29"/>
  <c r="CB631" i="29"/>
  <c r="BS631" i="29"/>
  <c r="DE631" i="29"/>
  <c r="CQ631" i="29"/>
  <c r="DA631" i="29"/>
  <c r="CV631" i="29"/>
  <c r="DI631" i="29"/>
  <c r="BP631" i="29"/>
  <c r="BW635" i="29"/>
  <c r="BP635" i="29"/>
  <c r="CO635" i="29"/>
  <c r="DL635" i="29"/>
  <c r="CF635" i="29"/>
  <c r="BV635" i="29"/>
  <c r="CK635" i="29"/>
  <c r="DF635" i="29"/>
  <c r="CU635" i="29"/>
  <c r="CV635" i="29"/>
  <c r="BR635" i="29"/>
  <c r="DI635" i="29"/>
  <c r="DL639" i="29"/>
  <c r="CU639" i="29"/>
  <c r="BZ639" i="29"/>
  <c r="CH639" i="29"/>
  <c r="CA639" i="29"/>
  <c r="CY639" i="29"/>
  <c r="CD639" i="29"/>
  <c r="DC639" i="29"/>
  <c r="BR639" i="29"/>
  <c r="CG639" i="29"/>
  <c r="DD639" i="29"/>
  <c r="CR639" i="29"/>
  <c r="CZ639" i="29"/>
  <c r="DB643" i="29"/>
  <c r="CG643" i="29"/>
  <c r="CY643" i="29"/>
  <c r="CX643" i="29"/>
  <c r="DK643" i="29"/>
  <c r="CP643" i="29"/>
  <c r="BU643" i="29"/>
  <c r="CT643" i="29"/>
  <c r="DI643" i="29"/>
  <c r="BX643" i="29"/>
  <c r="CB643" i="29"/>
  <c r="CV643" i="29"/>
  <c r="DL648" i="29"/>
  <c r="BV648" i="29"/>
  <c r="DJ648" i="29"/>
  <c r="BT648" i="29"/>
  <c r="DD648" i="29"/>
  <c r="CO648" i="29"/>
  <c r="CA648" i="29"/>
  <c r="CY648" i="29"/>
  <c r="CK648" i="29"/>
  <c r="BW648" i="29"/>
  <c r="BQ648" i="29"/>
  <c r="CS648" i="29"/>
  <c r="CP648" i="29"/>
  <c r="BV652" i="29"/>
  <c r="BS652" i="29"/>
  <c r="CV652" i="29"/>
  <c r="BR652" i="29"/>
  <c r="CF652" i="29"/>
  <c r="CU652" i="29"/>
  <c r="CG652" i="29"/>
  <c r="CB652" i="29"/>
  <c r="CA652" i="29"/>
  <c r="CX652" i="29"/>
  <c r="BW652" i="29"/>
  <c r="CO652" i="29"/>
  <c r="DF725" i="29"/>
  <c r="CD725" i="29"/>
  <c r="DD725" i="29"/>
  <c r="BZ725" i="29"/>
  <c r="BY725" i="29"/>
  <c r="BR725" i="29"/>
  <c r="BU725" i="29"/>
  <c r="DG725" i="29"/>
  <c r="CL725" i="29"/>
  <c r="BS725" i="29"/>
  <c r="BV725" i="29"/>
  <c r="CE725" i="29"/>
  <c r="DB725" i="29"/>
  <c r="CU729" i="29"/>
  <c r="DF729" i="29"/>
  <c r="CC729" i="29"/>
  <c r="BW729" i="29"/>
  <c r="BY729" i="29"/>
  <c r="BX729" i="29"/>
  <c r="BV729" i="29"/>
  <c r="CB729" i="29"/>
  <c r="DE729" i="29"/>
  <c r="DJ729" i="29"/>
  <c r="CJ729" i="29"/>
  <c r="CO729" i="29"/>
  <c r="DH733" i="29"/>
  <c r="BP733" i="29"/>
  <c r="CV733" i="29"/>
  <c r="BS733" i="29"/>
  <c r="CO733" i="29"/>
  <c r="DG733" i="29"/>
  <c r="CP733" i="29"/>
  <c r="CS733" i="29"/>
  <c r="BV733" i="29"/>
  <c r="CE733" i="29"/>
  <c r="DF733" i="29"/>
  <c r="CJ733" i="29"/>
  <c r="DC733" i="29"/>
  <c r="BU737" i="29"/>
  <c r="CN737" i="29"/>
  <c r="CF737" i="29"/>
  <c r="CQ737" i="29"/>
  <c r="CP737" i="29"/>
  <c r="DH737" i="29"/>
  <c r="CT737" i="29"/>
  <c r="CR737" i="29"/>
  <c r="BY737" i="29"/>
  <c r="CH737" i="29"/>
  <c r="CU737" i="29"/>
  <c r="BR737" i="29"/>
  <c r="DI741" i="29"/>
  <c r="BT741" i="29"/>
  <c r="BX741" i="29"/>
  <c r="DA741" i="29"/>
  <c r="BP741" i="29"/>
  <c r="CQ741" i="29"/>
  <c r="CD741" i="29"/>
  <c r="CI741" i="29"/>
  <c r="BV741" i="29"/>
  <c r="BZ741" i="29"/>
  <c r="CP741" i="29"/>
  <c r="CE741" i="29"/>
  <c r="CU741" i="29"/>
  <c r="DH745" i="29"/>
  <c r="BS745" i="29"/>
  <c r="CW745" i="29"/>
  <c r="CC745" i="29"/>
  <c r="DJ745" i="29"/>
  <c r="BT745" i="29"/>
  <c r="DA745" i="29"/>
  <c r="DE745" i="29"/>
  <c r="CE745" i="29"/>
  <c r="CM745" i="29"/>
  <c r="DF745" i="29"/>
  <c r="DL745" i="29"/>
  <c r="DH749" i="29"/>
  <c r="BP749" i="29"/>
  <c r="BT749" i="29"/>
  <c r="BW749" i="29"/>
  <c r="CG749" i="29"/>
  <c r="CJ749" i="29"/>
  <c r="BO749" i="29"/>
  <c r="DE749" i="29"/>
  <c r="BS749" i="29"/>
  <c r="CI749" i="29"/>
  <c r="DJ749" i="29"/>
  <c r="CA749" i="29"/>
  <c r="CO749" i="29"/>
  <c r="CC753" i="29"/>
  <c r="CV753" i="29"/>
  <c r="BX753" i="29"/>
  <c r="CQ753" i="29"/>
  <c r="CD753" i="29"/>
  <c r="DH753" i="29"/>
  <c r="DB753" i="29"/>
  <c r="CR753" i="29"/>
  <c r="DE753" i="29"/>
  <c r="BY753" i="29"/>
  <c r="DK753" i="29"/>
  <c r="CH753" i="29"/>
  <c r="DL757" i="29"/>
  <c r="DG757" i="29"/>
  <c r="CM757" i="29"/>
  <c r="CV757" i="29"/>
  <c r="DE757" i="29"/>
  <c r="BS757" i="29"/>
  <c r="DC757" i="29"/>
  <c r="CA757" i="29"/>
  <c r="CH757" i="29"/>
  <c r="BZ757" i="29"/>
  <c r="BY757" i="29"/>
  <c r="DD757" i="29"/>
  <c r="DI757" i="29"/>
  <c r="CI761" i="29"/>
  <c r="CN761" i="29"/>
  <c r="BZ761" i="29"/>
  <c r="CE761" i="29"/>
  <c r="DK761" i="29"/>
  <c r="CA761" i="29"/>
  <c r="DI761" i="29"/>
  <c r="CL761" i="29"/>
  <c r="CW761" i="29"/>
  <c r="CG761" i="29"/>
  <c r="CO761" i="29"/>
  <c r="DH761" i="29"/>
  <c r="DE765" i="29"/>
  <c r="CJ765" i="29"/>
  <c r="BV765" i="29"/>
  <c r="CL765" i="29"/>
  <c r="CU765" i="29"/>
  <c r="CX765" i="29"/>
  <c r="BP765" i="29"/>
  <c r="DJ765" i="29"/>
  <c r="DA765" i="29"/>
  <c r="CF765" i="29"/>
  <c r="DH765" i="29"/>
  <c r="DK765" i="29"/>
  <c r="DB765" i="29"/>
  <c r="CN769" i="29"/>
  <c r="CT769" i="29"/>
  <c r="CE769" i="29"/>
  <c r="BO769" i="29"/>
  <c r="DJ769" i="29"/>
  <c r="CA769" i="29"/>
  <c r="DI769" i="29"/>
  <c r="BP769" i="29"/>
  <c r="CX769" i="29"/>
  <c r="CR769" i="29"/>
  <c r="BW769" i="29"/>
  <c r="DE769" i="29"/>
  <c r="CZ773" i="29"/>
  <c r="BX773" i="29"/>
  <c r="CS773" i="29"/>
  <c r="CD773" i="29"/>
  <c r="CQ773" i="29"/>
  <c r="DB773" i="29"/>
  <c r="CB773" i="29"/>
  <c r="CA773" i="29"/>
  <c r="CG773" i="29"/>
  <c r="DC773" i="29"/>
  <c r="BR773" i="29"/>
  <c r="BT773" i="29"/>
  <c r="CR773" i="29"/>
  <c r="DG777" i="29"/>
  <c r="CM777" i="29"/>
  <c r="CU777" i="29"/>
  <c r="CV777" i="29"/>
  <c r="DF777" i="29"/>
  <c r="CJ777" i="29"/>
  <c r="CG777" i="29"/>
  <c r="DK777" i="29"/>
  <c r="CK777" i="29"/>
  <c r="CW777" i="29"/>
  <c r="CL777" i="29"/>
  <c r="CI777" i="29"/>
  <c r="DJ781" i="29"/>
  <c r="CM781" i="29"/>
  <c r="CS781" i="29"/>
  <c r="BS781" i="29"/>
  <c r="BV781" i="29"/>
  <c r="CJ781" i="29"/>
  <c r="DK781" i="29"/>
  <c r="CA781" i="29"/>
  <c r="CO781" i="29"/>
  <c r="CH781" i="29"/>
  <c r="CE781" i="29"/>
  <c r="DL781" i="29"/>
  <c r="CF785" i="29"/>
  <c r="BX785" i="29"/>
  <c r="CI785" i="29"/>
  <c r="DF785" i="29"/>
  <c r="CJ785" i="29"/>
  <c r="CX785" i="29"/>
  <c r="BY785" i="29"/>
  <c r="DI785" i="29"/>
  <c r="CM785" i="29"/>
  <c r="DH785" i="29"/>
  <c r="CT785" i="29"/>
  <c r="CW785" i="29"/>
  <c r="DL791" i="29"/>
  <c r="CA791" i="29"/>
  <c r="CP791" i="29"/>
  <c r="CQ791" i="29"/>
  <c r="BO791" i="29"/>
  <c r="DF791" i="29"/>
  <c r="BU791" i="29"/>
  <c r="CZ791" i="29"/>
  <c r="CN791" i="29"/>
  <c r="CC791" i="29"/>
  <c r="DE791" i="29"/>
  <c r="CI791" i="29"/>
  <c r="CR791" i="29"/>
  <c r="CX795" i="29"/>
  <c r="BT795" i="29"/>
  <c r="CM795" i="29"/>
  <c r="DC795" i="29"/>
  <c r="CU795" i="29"/>
  <c r="BO795" i="29"/>
  <c r="CY795" i="29"/>
  <c r="BY795" i="29"/>
  <c r="DA795" i="29"/>
  <c r="CS795" i="29"/>
  <c r="CC795" i="29"/>
  <c r="CK795" i="29"/>
  <c r="CK799" i="29"/>
  <c r="CT799" i="29"/>
  <c r="BQ799" i="29"/>
  <c r="CQ799" i="29"/>
  <c r="CL799" i="29"/>
  <c r="DD799" i="29"/>
  <c r="BO799" i="29"/>
  <c r="CG799" i="29"/>
  <c r="CE799" i="29"/>
  <c r="DA799" i="29"/>
  <c r="BX799" i="29"/>
  <c r="DE799" i="29"/>
  <c r="CR799" i="29"/>
  <c r="CK803" i="29"/>
  <c r="CH803" i="29"/>
  <c r="CZ803" i="29"/>
  <c r="BU803" i="29"/>
  <c r="CB803" i="29"/>
  <c r="BS803" i="29"/>
  <c r="BV803" i="29"/>
  <c r="CS803" i="29"/>
  <c r="BQ803" i="29"/>
  <c r="CW803" i="29"/>
  <c r="CL803" i="29"/>
  <c r="DF803" i="29"/>
  <c r="DK807" i="29"/>
  <c r="CI807" i="29"/>
  <c r="BU807" i="29"/>
  <c r="CJ807" i="29"/>
  <c r="CG807" i="29"/>
  <c r="CD807" i="29"/>
  <c r="BX807" i="29"/>
  <c r="BT807" i="29"/>
  <c r="CV807" i="29"/>
  <c r="CT807" i="29"/>
  <c r="BW807" i="29"/>
  <c r="BO807" i="29"/>
  <c r="CO807" i="29"/>
  <c r="CS811" i="29"/>
  <c r="BQ811" i="29"/>
  <c r="CO811" i="29"/>
  <c r="CY811" i="29"/>
  <c r="CR811" i="29"/>
  <c r="DC811" i="29"/>
  <c r="DI811" i="29"/>
  <c r="BV811" i="29"/>
  <c r="CT811" i="29"/>
  <c r="DG811" i="29"/>
  <c r="BR811" i="29"/>
  <c r="DL811" i="29"/>
  <c r="DL815" i="29"/>
  <c r="CA815" i="29"/>
  <c r="CO815" i="29"/>
  <c r="CQ815" i="29"/>
  <c r="BO815" i="29"/>
  <c r="DE815" i="29"/>
  <c r="CD815" i="29"/>
  <c r="CK815" i="29"/>
  <c r="CY815" i="29"/>
  <c r="CP815" i="29"/>
  <c r="BZ815" i="29"/>
  <c r="BR815" i="29"/>
  <c r="CS815" i="29"/>
  <c r="DF820" i="29"/>
  <c r="CK820" i="29"/>
  <c r="BO820" i="29"/>
  <c r="CT820" i="29"/>
  <c r="BY820" i="29"/>
  <c r="CG820" i="29"/>
  <c r="CL820" i="29"/>
  <c r="CC820" i="29"/>
  <c r="CH820" i="29"/>
  <c r="BX820" i="29"/>
  <c r="CF820" i="29"/>
  <c r="DH820" i="29"/>
  <c r="CZ824" i="29"/>
  <c r="DJ824" i="29"/>
  <c r="BR824" i="29"/>
  <c r="CB824" i="29"/>
  <c r="BQ824" i="29"/>
  <c r="CM824" i="29"/>
  <c r="BX824" i="29"/>
  <c r="CU824" i="29"/>
  <c r="BP824" i="29"/>
  <c r="DE824" i="29"/>
  <c r="CO824" i="29"/>
  <c r="CG824" i="29"/>
  <c r="CQ824" i="29"/>
  <c r="CX897" i="29"/>
  <c r="BR897" i="29"/>
  <c r="CM897" i="29"/>
  <c r="DB897" i="29"/>
  <c r="CT897" i="29"/>
  <c r="CA897" i="29"/>
  <c r="CB897" i="29"/>
  <c r="CK897" i="29"/>
  <c r="CZ897" i="29"/>
  <c r="DL897" i="29"/>
  <c r="CV897" i="29"/>
  <c r="DD897" i="29"/>
  <c r="DI901" i="29"/>
  <c r="CI901" i="29"/>
  <c r="CX901" i="29"/>
  <c r="BR901" i="29"/>
  <c r="DK901" i="29"/>
  <c r="DJ901" i="29"/>
  <c r="BV901" i="29"/>
  <c r="DD901" i="29"/>
  <c r="CF901" i="29"/>
  <c r="CK901" i="29"/>
  <c r="CB901" i="29"/>
  <c r="CZ901" i="29"/>
  <c r="BY901" i="29"/>
  <c r="DB905" i="29"/>
  <c r="BV905" i="29"/>
  <c r="CI905" i="29"/>
  <c r="CP905" i="29"/>
  <c r="BR905" i="29"/>
  <c r="CE905" i="29"/>
  <c r="BT905" i="29"/>
  <c r="CK905" i="29"/>
  <c r="DH905" i="29"/>
  <c r="DD905" i="29"/>
  <c r="DE905" i="29"/>
  <c r="BQ905" i="29"/>
  <c r="DK909" i="29"/>
  <c r="CI909" i="29"/>
  <c r="DC909" i="29"/>
  <c r="BZ909" i="29"/>
  <c r="CE909" i="29"/>
  <c r="BX909" i="29"/>
  <c r="CR909" i="29"/>
  <c r="CW909" i="29"/>
  <c r="DB909" i="29"/>
  <c r="BV909" i="29"/>
  <c r="CC909" i="29"/>
  <c r="DG909" i="29"/>
  <c r="CK909" i="29"/>
  <c r="CU913" i="29"/>
  <c r="BS913" i="29"/>
  <c r="CM913" i="29"/>
  <c r="DE913" i="29"/>
  <c r="CY913" i="29"/>
  <c r="CI913" i="29"/>
  <c r="DD913" i="29"/>
  <c r="CD913" i="29"/>
  <c r="DB913" i="29"/>
  <c r="CV913" i="29"/>
  <c r="CP913" i="29"/>
  <c r="DA913" i="29"/>
  <c r="DI917" i="29"/>
  <c r="CN917" i="29"/>
  <c r="CG917" i="29"/>
  <c r="CT917" i="29"/>
  <c r="BT917" i="29"/>
  <c r="CM917" i="29"/>
  <c r="CZ917" i="29"/>
  <c r="CA917" i="29"/>
  <c r="BZ917" i="29"/>
  <c r="CV917" i="29"/>
  <c r="BQ917" i="29"/>
  <c r="BY917" i="29"/>
  <c r="CU917" i="29"/>
  <c r="CI921" i="29"/>
  <c r="CO921" i="29"/>
  <c r="CC921" i="29"/>
  <c r="DG921" i="29"/>
  <c r="CA921" i="29"/>
  <c r="DH921" i="29"/>
  <c r="CS921" i="29"/>
  <c r="CW921" i="29"/>
  <c r="DL921" i="29"/>
  <c r="DD921" i="29"/>
  <c r="BX921" i="29"/>
  <c r="BR921" i="29"/>
  <c r="DI925" i="29"/>
  <c r="BW925" i="29"/>
  <c r="CC925" i="29"/>
  <c r="BP925" i="29"/>
  <c r="CA925" i="29"/>
  <c r="BS925" i="29"/>
  <c r="CU925" i="29"/>
  <c r="DF925" i="29"/>
  <c r="CJ925" i="29"/>
  <c r="DK925" i="29"/>
  <c r="CD925" i="29"/>
  <c r="CL925" i="29"/>
  <c r="DB925" i="29"/>
  <c r="CO929" i="29"/>
  <c r="CY929" i="29"/>
  <c r="DD929" i="29"/>
  <c r="CS929" i="29"/>
  <c r="CJ929" i="29"/>
  <c r="CF929" i="29"/>
  <c r="DF929" i="29"/>
  <c r="CQ929" i="29"/>
  <c r="DJ929" i="29"/>
  <c r="CT929" i="29"/>
  <c r="DB929" i="29"/>
  <c r="BQ929" i="29"/>
  <c r="BQ933" i="29"/>
  <c r="CD933" i="29"/>
  <c r="CY933" i="29"/>
  <c r="CR933" i="29"/>
  <c r="BV933" i="29"/>
  <c r="CN933" i="29"/>
  <c r="BP933" i="29"/>
  <c r="BO933" i="29"/>
  <c r="BZ933" i="29"/>
  <c r="CB933" i="29"/>
  <c r="DG933" i="29"/>
  <c r="BY933" i="29"/>
  <c r="CI933" i="29"/>
  <c r="CJ937" i="29"/>
  <c r="CS937" i="29"/>
  <c r="CN937" i="29"/>
  <c r="CC937" i="29"/>
  <c r="BT937" i="29"/>
  <c r="CF937" i="29"/>
  <c r="DF937" i="29"/>
  <c r="CQ937" i="29"/>
  <c r="CT937" i="29"/>
  <c r="DJ937" i="29"/>
  <c r="CL937" i="29"/>
  <c r="DB937" i="29"/>
  <c r="DL941" i="29"/>
  <c r="DG941" i="29"/>
  <c r="CQ941" i="29"/>
  <c r="DA941" i="29"/>
  <c r="BR941" i="29"/>
  <c r="CI941" i="29"/>
  <c r="CP941" i="29"/>
  <c r="BO941" i="29"/>
  <c r="CT941" i="29"/>
  <c r="DJ941" i="29"/>
  <c r="CB941" i="29"/>
  <c r="DI941" i="29"/>
  <c r="CW941" i="29"/>
  <c r="CJ945" i="29"/>
  <c r="CS945" i="29"/>
  <c r="CE945" i="29"/>
  <c r="DK945" i="29"/>
  <c r="CO945" i="29"/>
  <c r="CF945" i="29"/>
  <c r="DF945" i="29"/>
  <c r="CQ945" i="29"/>
  <c r="DJ945" i="29"/>
  <c r="CT945" i="29"/>
  <c r="BV945" i="29"/>
  <c r="BQ945" i="29"/>
  <c r="CM949" i="29"/>
  <c r="BQ949" i="29"/>
  <c r="CL949" i="29"/>
  <c r="DI949" i="29"/>
  <c r="CA949" i="29"/>
  <c r="CD949" i="29"/>
  <c r="CY949" i="29"/>
  <c r="BU949" i="29"/>
  <c r="DC949" i="29"/>
  <c r="BY949" i="29"/>
  <c r="CS949" i="29"/>
  <c r="CG949" i="29"/>
  <c r="BX949" i="29"/>
  <c r="CO953" i="29"/>
  <c r="CY953" i="29"/>
  <c r="CU953" i="29"/>
  <c r="CI953" i="29"/>
  <c r="CJ953" i="29"/>
  <c r="CF953" i="29"/>
  <c r="DF953" i="29"/>
  <c r="CQ953" i="29"/>
  <c r="CT953" i="29"/>
  <c r="DJ953" i="29"/>
  <c r="CA953" i="29"/>
  <c r="BV953" i="29"/>
  <c r="CV957" i="29"/>
  <c r="CZ957" i="29"/>
  <c r="BS957" i="29"/>
  <c r="DH957" i="29"/>
  <c r="DK957" i="29"/>
  <c r="CC957" i="29"/>
  <c r="BP957" i="29"/>
  <c r="DD957" i="29"/>
  <c r="BR957" i="29"/>
  <c r="CK957" i="29"/>
  <c r="DF957" i="29"/>
  <c r="CP957" i="29"/>
  <c r="DE957" i="29"/>
  <c r="DC963" i="29"/>
  <c r="CH963" i="29"/>
  <c r="DK963" i="29"/>
  <c r="CP963" i="29"/>
  <c r="BU963" i="29"/>
  <c r="CI963" i="29"/>
  <c r="CD963" i="29"/>
  <c r="CA963" i="29"/>
  <c r="CW963" i="29"/>
  <c r="BX963" i="29"/>
  <c r="CF963" i="29"/>
  <c r="DH963" i="29"/>
  <c r="DL967" i="29"/>
  <c r="CS967" i="29"/>
  <c r="BW967" i="29"/>
  <c r="DA967" i="29"/>
  <c r="CE967" i="29"/>
  <c r="DE967" i="29"/>
  <c r="CY967" i="29"/>
  <c r="CW967" i="29"/>
  <c r="CD967" i="29"/>
  <c r="CO967" i="29"/>
  <c r="DD967" i="29"/>
  <c r="CB967" i="29"/>
  <c r="CZ967" i="29"/>
  <c r="DE971" i="29"/>
  <c r="CI971" i="29"/>
  <c r="DG971" i="29"/>
  <c r="CL971" i="29"/>
  <c r="BQ971" i="29"/>
  <c r="CE971" i="29"/>
  <c r="BW971" i="29"/>
  <c r="BR971" i="29"/>
  <c r="BZ971" i="29"/>
  <c r="BX971" i="29"/>
  <c r="CF971" i="29"/>
  <c r="DH971" i="29"/>
  <c r="DL975" i="29"/>
  <c r="CU975" i="29"/>
  <c r="BZ975" i="29"/>
  <c r="DC975" i="29"/>
  <c r="CH975" i="29"/>
  <c r="DJ975" i="29"/>
  <c r="BS975" i="29"/>
  <c r="CA975" i="29"/>
  <c r="CT975" i="29"/>
  <c r="DE975" i="29"/>
  <c r="DD975" i="29"/>
  <c r="CB975" i="29"/>
  <c r="BT975" i="29"/>
  <c r="DF979" i="29"/>
  <c r="CS979" i="29"/>
  <c r="DJ979" i="29"/>
  <c r="CE979" i="29"/>
  <c r="CW979" i="29"/>
  <c r="BV979" i="29"/>
  <c r="CD979" i="29"/>
  <c r="BZ979" i="29"/>
  <c r="CK979" i="29"/>
  <c r="BX979" i="29"/>
  <c r="CF979" i="29"/>
  <c r="DH979" i="29"/>
  <c r="DL983" i="29"/>
  <c r="CU983" i="29"/>
  <c r="BZ983" i="29"/>
  <c r="DC983" i="29"/>
  <c r="CH983" i="29"/>
  <c r="DE983" i="29"/>
  <c r="DJ983" i="29"/>
  <c r="BS983" i="29"/>
  <c r="CL983" i="29"/>
  <c r="DB983" i="29"/>
  <c r="CZ983" i="29"/>
  <c r="BX983" i="29"/>
  <c r="CV983" i="29"/>
  <c r="DF987" i="29"/>
  <c r="DI987" i="29"/>
  <c r="CM987" i="29"/>
  <c r="CD987" i="29"/>
  <c r="CW987" i="29"/>
  <c r="BV987" i="29"/>
  <c r="BW987" i="29"/>
  <c r="BR987" i="29"/>
  <c r="BO987" i="29"/>
  <c r="BT987" i="29"/>
  <c r="CR987" i="29"/>
  <c r="DD987" i="29"/>
  <c r="DJ992" i="29"/>
  <c r="CK992" i="29"/>
  <c r="CW992" i="29"/>
  <c r="BQ992" i="29"/>
  <c r="DB992" i="29"/>
  <c r="BZ992" i="29"/>
  <c r="BR992" i="29"/>
  <c r="CB992" i="29"/>
  <c r="CQ992" i="29"/>
  <c r="CZ992" i="29"/>
  <c r="BW992" i="29"/>
  <c r="BX992" i="29"/>
  <c r="DL992" i="29"/>
  <c r="DH996" i="29"/>
  <c r="CB996" i="29"/>
  <c r="DE996" i="29"/>
  <c r="BX996" i="29"/>
  <c r="CX996" i="29"/>
  <c r="BY996" i="29"/>
  <c r="BP996" i="29"/>
  <c r="CE996" i="29"/>
  <c r="CL996" i="29"/>
  <c r="CG996" i="29"/>
  <c r="DK996" i="29"/>
  <c r="CV996" i="29"/>
  <c r="DF726" i="29"/>
  <c r="BR730" i="29"/>
  <c r="DF730" i="29"/>
  <c r="BU734" i="29"/>
  <c r="DC738" i="29"/>
  <c r="BQ738" i="29"/>
  <c r="CY742" i="29"/>
  <c r="BQ742" i="29"/>
  <c r="DA746" i="29"/>
  <c r="CN746" i="29"/>
  <c r="BV754" i="29"/>
  <c r="BY754" i="29"/>
  <c r="CX758" i="29"/>
  <c r="CZ758" i="29"/>
  <c r="BR762" i="29"/>
  <c r="BU766" i="29"/>
  <c r="CJ766" i="29"/>
  <c r="CX770" i="29"/>
  <c r="BZ774" i="29"/>
  <c r="DB774" i="29"/>
  <c r="CF778" i="29"/>
  <c r="DA778" i="29"/>
  <c r="DF782" i="29"/>
  <c r="CQ782" i="29"/>
  <c r="DB786" i="29"/>
  <c r="CX792" i="29"/>
  <c r="BX792" i="29"/>
  <c r="CD796" i="29"/>
  <c r="CT800" i="29"/>
  <c r="DA800" i="29"/>
  <c r="CZ804" i="29"/>
  <c r="CN804" i="29"/>
  <c r="CF808" i="29"/>
  <c r="DG812" i="29"/>
  <c r="CX812" i="29"/>
  <c r="CN816" i="29"/>
  <c r="DG816" i="29"/>
  <c r="DH821" i="29"/>
  <c r="BO825" i="29"/>
  <c r="BZ825" i="29"/>
  <c r="CD898" i="29"/>
  <c r="BR902" i="29"/>
  <c r="BX902" i="29"/>
  <c r="BV906" i="29"/>
  <c r="CP910" i="29"/>
  <c r="CW910" i="29"/>
  <c r="BU914" i="29"/>
  <c r="CB918" i="29"/>
  <c r="DG918" i="29"/>
  <c r="BP922" i="29"/>
  <c r="CW922" i="29"/>
  <c r="DH926" i="29"/>
  <c r="CI930" i="29"/>
  <c r="CY934" i="29"/>
  <c r="CL934" i="29"/>
  <c r="DD938" i="29"/>
  <c r="BZ942" i="29"/>
  <c r="DK942" i="29"/>
  <c r="CP946" i="29"/>
  <c r="DL950" i="29"/>
  <c r="CT950" i="29"/>
  <c r="CN954" i="29"/>
  <c r="CW954" i="29"/>
  <c r="BS958" i="29"/>
  <c r="CD964" i="29"/>
  <c r="BO964" i="29"/>
  <c r="DK968" i="29"/>
  <c r="DA968" i="29"/>
  <c r="CH972" i="29"/>
  <c r="CI976" i="29"/>
  <c r="DD976" i="29"/>
  <c r="CH980" i="29"/>
  <c r="DI984" i="29"/>
  <c r="CW984" i="29"/>
  <c r="CQ988" i="29"/>
  <c r="BY988" i="29"/>
  <c r="DE993" i="29"/>
  <c r="CO997" i="29"/>
  <c r="CX997" i="29"/>
  <c r="CN373" i="29"/>
  <c r="CC377" i="29"/>
  <c r="CO381" i="29"/>
  <c r="BW381" i="29"/>
  <c r="CM385" i="29"/>
  <c r="CO385" i="29"/>
  <c r="DJ389" i="29"/>
  <c r="CG393" i="29"/>
  <c r="CN393" i="29"/>
  <c r="CH397" i="29"/>
  <c r="DE401" i="29"/>
  <c r="BU405" i="29"/>
  <c r="CB405" i="29"/>
  <c r="BR409" i="29"/>
  <c r="CM413" i="29"/>
  <c r="BQ413" i="29"/>
  <c r="BW417" i="29"/>
  <c r="DC421" i="29"/>
  <c r="CC421" i="29"/>
  <c r="CS425" i="29"/>
  <c r="DG425" i="29"/>
  <c r="CW429" i="29"/>
  <c r="CI433" i="29"/>
  <c r="BU433" i="29"/>
  <c r="CE437" i="29"/>
  <c r="BW443" i="29"/>
  <c r="CB443" i="29"/>
  <c r="CF447" i="29"/>
  <c r="CR451" i="29"/>
  <c r="BT451" i="29"/>
  <c r="CO455" i="29"/>
  <c r="DK459" i="29"/>
  <c r="BU459" i="29"/>
  <c r="CD463" i="29"/>
  <c r="CP463" i="29"/>
  <c r="CC467" i="29"/>
  <c r="DG467" i="29"/>
  <c r="CY201" i="29"/>
  <c r="CF201" i="29"/>
  <c r="DC205" i="29"/>
  <c r="CJ209" i="29"/>
  <c r="CC209" i="29"/>
  <c r="DG213" i="29"/>
  <c r="CL213" i="29"/>
  <c r="CM217" i="29"/>
  <c r="CX221" i="29"/>
  <c r="CS221" i="29"/>
  <c r="DA225" i="29"/>
  <c r="BX225" i="29"/>
  <c r="CY229" i="29"/>
  <c r="CP233" i="29"/>
  <c r="DB233" i="29"/>
  <c r="CT237" i="29"/>
  <c r="CP241" i="29"/>
  <c r="BX241" i="29"/>
  <c r="DC253" i="29"/>
  <c r="DG253" i="29"/>
  <c r="CK253" i="29"/>
  <c r="CQ257" i="29"/>
  <c r="DK257" i="29"/>
  <c r="BT257" i="29"/>
  <c r="CL261" i="29"/>
  <c r="BV261" i="29"/>
  <c r="BO267" i="29"/>
  <c r="BT267" i="29"/>
  <c r="CY271" i="29"/>
  <c r="BR275" i="29"/>
  <c r="CR275" i="29"/>
  <c r="BZ279" i="29"/>
  <c r="BT283" i="29"/>
  <c r="BS283" i="29"/>
  <c r="CR287" i="29"/>
  <c r="CV291" i="29"/>
  <c r="CO296" i="29"/>
  <c r="BX296" i="29"/>
  <c r="CH300" i="29"/>
  <c r="DH551" i="29"/>
  <c r="BU551" i="29"/>
  <c r="DE555" i="29"/>
  <c r="CR559" i="29"/>
  <c r="CO559" i="29"/>
  <c r="CX563" i="29"/>
  <c r="BW567" i="29"/>
  <c r="DL567" i="29"/>
  <c r="DC571" i="29"/>
  <c r="CW571" i="29"/>
  <c r="DG575" i="29"/>
  <c r="BS579" i="29"/>
  <c r="CL579" i="29"/>
  <c r="CX583" i="29"/>
  <c r="CU587" i="29"/>
  <c r="BZ587" i="29"/>
  <c r="CS591" i="29"/>
  <c r="CL591" i="29"/>
  <c r="BX595" i="29"/>
  <c r="DA599" i="29"/>
  <c r="CI599" i="29"/>
  <c r="BP603" i="29"/>
  <c r="CB607" i="29"/>
  <c r="CT607" i="29"/>
  <c r="BX611" i="29"/>
  <c r="DK617" i="29"/>
  <c r="CP617" i="29"/>
  <c r="CP621" i="29"/>
  <c r="CS625" i="29"/>
  <c r="CG629" i="29"/>
  <c r="CX633" i="29"/>
  <c r="BZ633" i="29"/>
  <c r="CC637" i="29"/>
  <c r="CK637" i="29"/>
  <c r="BS641" i="29"/>
  <c r="CL641" i="29"/>
  <c r="BZ646" i="29"/>
  <c r="DK650" i="29"/>
  <c r="CJ723" i="29"/>
  <c r="CW723" i="29"/>
  <c r="CE727" i="29"/>
  <c r="CN727" i="29"/>
  <c r="CQ731" i="29"/>
  <c r="DL731" i="29"/>
  <c r="CQ735" i="29"/>
  <c r="DE735" i="29"/>
  <c r="CG739" i="29"/>
  <c r="DG743" i="29"/>
  <c r="CW743" i="29"/>
  <c r="CJ747" i="29"/>
  <c r="CP751" i="29"/>
  <c r="BT751" i="29"/>
  <c r="CI755" i="29"/>
  <c r="CK759" i="29"/>
  <c r="CU759" i="29"/>
  <c r="CH763" i="29"/>
  <c r="CK767" i="29"/>
  <c r="CP767" i="29"/>
  <c r="CI771" i="29"/>
  <c r="DD771" i="29"/>
  <c r="CX775" i="29"/>
  <c r="DE779" i="29"/>
  <c r="DH779" i="29"/>
  <c r="CW783" i="29"/>
  <c r="DB787" i="29"/>
  <c r="BP793" i="29"/>
  <c r="BY793" i="29"/>
  <c r="CY797" i="29"/>
  <c r="DK801" i="29"/>
  <c r="BQ801" i="29"/>
  <c r="DJ805" i="29"/>
  <c r="CX809" i="29"/>
  <c r="CZ809" i="29"/>
  <c r="BZ813" i="29"/>
  <c r="BS817" i="29"/>
  <c r="BX817" i="29"/>
  <c r="BW822" i="29"/>
  <c r="CJ826" i="29"/>
  <c r="DK826" i="29"/>
  <c r="DD899" i="29"/>
  <c r="CG903" i="29"/>
  <c r="CZ903" i="29"/>
  <c r="BP907" i="29"/>
  <c r="DI907" i="29"/>
  <c r="BQ911" i="29"/>
  <c r="DF915" i="29"/>
  <c r="CZ915" i="29"/>
  <c r="CU919" i="29"/>
  <c r="DF923" i="29"/>
  <c r="CR923" i="29"/>
  <c r="CP927" i="29"/>
  <c r="CS927" i="29"/>
  <c r="BO931" i="29"/>
  <c r="DI935" i="29"/>
  <c r="CU935" i="29"/>
  <c r="CE939" i="29"/>
  <c r="BX939" i="29"/>
  <c r="CT943" i="29"/>
  <c r="DC947" i="29"/>
  <c r="BU951" i="29"/>
  <c r="BT951" i="29"/>
  <c r="BY955" i="29"/>
  <c r="CP959" i="29"/>
  <c r="CY959" i="29"/>
  <c r="CO965" i="29"/>
  <c r="CH965" i="29"/>
  <c r="BO969" i="29"/>
  <c r="DI969" i="29"/>
  <c r="BU973" i="29"/>
  <c r="BU977" i="29"/>
  <c r="CU977" i="29"/>
  <c r="CQ981" i="29"/>
  <c r="CH981" i="29"/>
  <c r="CF985" i="29"/>
  <c r="CC989" i="29"/>
  <c r="DH989" i="29"/>
  <c r="CT994" i="29"/>
  <c r="CB998" i="29"/>
  <c r="CD998" i="29"/>
  <c r="DL380" i="29"/>
  <c r="CT380" i="29"/>
  <c r="BV388" i="29"/>
  <c r="CM396" i="29"/>
  <c r="BX396" i="29"/>
  <c r="CX404" i="29"/>
  <c r="BO412" i="29"/>
  <c r="CT412" i="29"/>
  <c r="DC416" i="29"/>
  <c r="CZ424" i="29"/>
  <c r="CP432" i="29"/>
  <c r="CY442" i="29"/>
  <c r="DL442" i="29"/>
  <c r="CM450" i="29"/>
  <c r="CP450" i="29"/>
  <c r="CL458" i="29"/>
  <c r="CN462" i="29"/>
  <c r="BZ471" i="29"/>
  <c r="CI471" i="29"/>
  <c r="DF475" i="29"/>
  <c r="BZ200" i="29"/>
  <c r="DD200" i="29"/>
  <c r="BV208" i="29"/>
  <c r="DF216" i="29"/>
  <c r="CV216" i="29"/>
  <c r="BS220" i="29"/>
  <c r="DD220" i="29"/>
  <c r="DJ228" i="29"/>
  <c r="CM236" i="29"/>
  <c r="DB236" i="29"/>
  <c r="CD244" i="29"/>
  <c r="CT252" i="29"/>
  <c r="CX252" i="29"/>
  <c r="BO260" i="29"/>
  <c r="CI260" i="29"/>
  <c r="CF266" i="29"/>
  <c r="CP274" i="29"/>
  <c r="CX274" i="29"/>
  <c r="BT282" i="29"/>
  <c r="DL282" i="29"/>
  <c r="CT290" i="29"/>
  <c r="CA290" i="29"/>
  <c r="DE295" i="29"/>
  <c r="BT554" i="29"/>
  <c r="DH554" i="29"/>
  <c r="DI562" i="29"/>
  <c r="BY570" i="29"/>
  <c r="BV570" i="29"/>
  <c r="BQ574" i="29"/>
  <c r="DH582" i="29"/>
  <c r="CX582" i="29"/>
  <c r="BO590" i="29"/>
  <c r="CO590" i="29"/>
  <c r="CE598" i="29"/>
  <c r="BU606" i="29"/>
  <c r="BX610" i="29"/>
  <c r="BS610" i="29"/>
  <c r="CT620" i="29"/>
  <c r="CM628" i="29"/>
  <c r="BS628" i="29"/>
  <c r="CY636" i="29"/>
  <c r="CK636" i="29"/>
  <c r="CB645" i="29"/>
  <c r="DG645" i="29"/>
  <c r="CY378" i="29"/>
  <c r="DI386" i="29"/>
  <c r="BZ386" i="29"/>
  <c r="CH398" i="29"/>
  <c r="DI398" i="29"/>
  <c r="DE406" i="29"/>
  <c r="DD406" i="29"/>
  <c r="CF414" i="29"/>
  <c r="CL414" i="29"/>
  <c r="CQ414" i="29"/>
  <c r="CF418" i="29"/>
  <c r="CT418" i="29"/>
  <c r="BS418" i="29"/>
  <c r="CX426" i="29"/>
  <c r="DI426" i="29"/>
  <c r="CJ434" i="29"/>
  <c r="BU434" i="29"/>
  <c r="CX444" i="29"/>
  <c r="CY444" i="29"/>
  <c r="DH444" i="29"/>
  <c r="CA452" i="29"/>
  <c r="BW452" i="29"/>
  <c r="BU460" i="29"/>
  <c r="CT460" i="29"/>
  <c r="CS472" i="29"/>
  <c r="BR472" i="29"/>
  <c r="DE472" i="29"/>
  <c r="DG476" i="29"/>
  <c r="BQ476" i="29"/>
  <c r="CP476" i="29"/>
  <c r="CX202" i="29"/>
  <c r="CS210" i="29"/>
  <c r="CA210" i="29"/>
  <c r="BZ210" i="29"/>
  <c r="CE218" i="29"/>
  <c r="DG218" i="29"/>
  <c r="BS226" i="29"/>
  <c r="CU226" i="29"/>
  <c r="DI234" i="29"/>
  <c r="BV234" i="29"/>
  <c r="DL234" i="29"/>
  <c r="CS242" i="29"/>
  <c r="CN242" i="29"/>
  <c r="CV250" i="29"/>
  <c r="CI250" i="29"/>
  <c r="DF258" i="29"/>
  <c r="DI258" i="29"/>
  <c r="BY268" i="29"/>
  <c r="DI268" i="29"/>
  <c r="CR276" i="29"/>
  <c r="CC276" i="29"/>
  <c r="CJ276" i="29"/>
  <c r="CE284" i="29"/>
  <c r="DA284" i="29"/>
  <c r="DC292" i="29"/>
  <c r="BY292" i="29"/>
  <c r="CM301" i="29"/>
  <c r="DI301" i="29"/>
  <c r="BP301" i="29"/>
  <c r="DB556" i="29"/>
  <c r="CN556" i="29"/>
  <c r="CX564" i="29"/>
  <c r="CA564" i="29"/>
  <c r="CP572" i="29"/>
  <c r="CD572" i="29"/>
  <c r="CB572" i="29"/>
  <c r="DK580" i="29"/>
  <c r="CV580" i="29"/>
  <c r="CA588" i="29"/>
  <c r="CE588" i="29"/>
  <c r="CF588" i="29"/>
  <c r="CO596" i="29"/>
  <c r="CX596" i="29"/>
  <c r="BO596" i="29"/>
  <c r="DC608" i="29"/>
  <c r="BY608" i="29"/>
  <c r="BT608" i="29"/>
  <c r="CE618" i="29"/>
  <c r="CR618" i="29"/>
  <c r="CV618" i="29"/>
  <c r="DJ618" i="29"/>
  <c r="DI626" i="29"/>
  <c r="BU626" i="29"/>
  <c r="CD626" i="29"/>
  <c r="CX634" i="29"/>
  <c r="BP634" i="29"/>
  <c r="CO634" i="29"/>
  <c r="CO638" i="29"/>
  <c r="CK638" i="29"/>
  <c r="CC638" i="29"/>
  <c r="BR647" i="29"/>
  <c r="CA647" i="29"/>
  <c r="BP647" i="29"/>
  <c r="CJ647" i="29"/>
  <c r="CB376" i="29"/>
  <c r="BP376" i="29"/>
  <c r="DL376" i="29"/>
  <c r="CM384" i="29"/>
  <c r="CG384" i="29"/>
  <c r="CC384" i="29"/>
  <c r="CM392" i="29"/>
  <c r="CB392" i="29"/>
  <c r="CC392" i="29"/>
  <c r="DD400" i="29"/>
  <c r="BW400" i="29"/>
  <c r="CV400" i="29"/>
  <c r="DJ408" i="29"/>
  <c r="BX408" i="29"/>
  <c r="CO408" i="29"/>
  <c r="BW420" i="29"/>
  <c r="DH420" i="29"/>
  <c r="DF420" i="29"/>
  <c r="BQ428" i="29"/>
  <c r="CT428" i="29"/>
  <c r="CZ428" i="29"/>
  <c r="CM436" i="29"/>
  <c r="CU436" i="29"/>
  <c r="DC436" i="29"/>
  <c r="CR436" i="29"/>
  <c r="DF446" i="29"/>
  <c r="CA446" i="29"/>
  <c r="CN446" i="29"/>
  <c r="BU454" i="29"/>
  <c r="DD454" i="29"/>
  <c r="DF454" i="29"/>
  <c r="DF466" i="29"/>
  <c r="CI466" i="29"/>
  <c r="CV466" i="29"/>
  <c r="DK473" i="29"/>
  <c r="DD473" i="29"/>
  <c r="CV473" i="29"/>
  <c r="BO204" i="29"/>
  <c r="BZ204" i="29"/>
  <c r="CG204" i="29"/>
  <c r="DC212" i="29"/>
  <c r="BO212" i="29"/>
  <c r="BY212" i="29"/>
  <c r="BR232" i="29"/>
  <c r="CW232" i="29"/>
  <c r="CN232" i="29"/>
  <c r="CF232" i="29"/>
  <c r="CR232" i="29"/>
  <c r="DH232" i="29"/>
  <c r="BW240" i="29"/>
  <c r="BU240" i="29"/>
  <c r="CT240" i="29"/>
  <c r="DH240" i="29"/>
  <c r="CX248" i="29"/>
  <c r="CC248" i="29"/>
  <c r="BT248" i="29"/>
  <c r="BR256" i="29"/>
  <c r="DI256" i="29"/>
  <c r="BU256" i="29"/>
  <c r="BO270" i="29"/>
  <c r="CR270" i="29"/>
  <c r="DI270" i="29"/>
  <c r="CV270" i="29"/>
  <c r="BV278" i="29"/>
  <c r="BU278" i="29"/>
  <c r="CD278" i="29"/>
  <c r="CR286" i="29"/>
  <c r="BY286" i="29"/>
  <c r="BP286" i="29"/>
  <c r="CM299" i="29"/>
  <c r="CG299" i="29"/>
  <c r="DH299" i="29"/>
  <c r="CY550" i="29"/>
  <c r="CM550" i="29"/>
  <c r="CR550" i="29"/>
  <c r="CY558" i="29"/>
  <c r="DH558" i="29"/>
  <c r="CD558" i="29"/>
  <c r="CM566" i="29"/>
  <c r="CP566" i="29"/>
  <c r="BS566" i="29"/>
  <c r="DF578" i="29"/>
  <c r="BQ578" i="29"/>
  <c r="CW578" i="29"/>
  <c r="CU586" i="29"/>
  <c r="BU586" i="29"/>
  <c r="DG586" i="29"/>
  <c r="BR586" i="29"/>
  <c r="CC594" i="29"/>
  <c r="BR594" i="29"/>
  <c r="CP594" i="29"/>
  <c r="DF602" i="29"/>
  <c r="DK602" i="29"/>
  <c r="CL602" i="29"/>
  <c r="CM616" i="29"/>
  <c r="BQ616" i="29"/>
  <c r="DG616" i="29"/>
  <c r="BR624" i="29"/>
  <c r="BV624" i="29"/>
  <c r="CB624" i="29"/>
  <c r="CA632" i="29"/>
  <c r="CP632" i="29"/>
  <c r="CJ632" i="29"/>
  <c r="CN640" i="29"/>
  <c r="CQ640" i="29"/>
  <c r="CU640" i="29"/>
  <c r="CS649" i="29"/>
  <c r="BX649" i="29"/>
  <c r="CU649" i="29"/>
  <c r="BV649" i="29"/>
  <c r="CJ374" i="29"/>
  <c r="CZ374" i="29"/>
  <c r="BY374" i="29"/>
  <c r="BX374" i="29"/>
  <c r="CF374" i="29"/>
  <c r="DA374" i="29"/>
  <c r="BZ374" i="29"/>
  <c r="DJ382" i="29"/>
  <c r="BZ382" i="29"/>
  <c r="BW382" i="29"/>
  <c r="BO382" i="29"/>
  <c r="DG382" i="29"/>
  <c r="CQ382" i="29"/>
  <c r="DF390" i="29"/>
  <c r="DL390" i="29"/>
  <c r="CE390" i="29"/>
  <c r="CM390" i="29"/>
  <c r="CY390" i="29"/>
  <c r="CS390" i="29"/>
  <c r="CO394" i="29"/>
  <c r="CK394" i="29"/>
  <c r="BO394" i="29"/>
  <c r="DG394" i="29"/>
  <c r="BU394" i="29"/>
  <c r="DE394" i="29"/>
  <c r="DD402" i="29"/>
  <c r="CN402" i="29"/>
  <c r="CE402" i="29"/>
  <c r="DE402" i="29"/>
  <c r="CK402" i="29"/>
  <c r="CB402" i="29"/>
  <c r="BZ402" i="29"/>
  <c r="BV410" i="29"/>
  <c r="DK410" i="29"/>
  <c r="BP410" i="29"/>
  <c r="CO410" i="29"/>
  <c r="BU410" i="29"/>
  <c r="CB410" i="29"/>
  <c r="BO422" i="29"/>
  <c r="DD422" i="29"/>
  <c r="CU422" i="29"/>
  <c r="DI422" i="29"/>
  <c r="BR422" i="29"/>
  <c r="CB422" i="29"/>
  <c r="CH422" i="29"/>
  <c r="DG422" i="29"/>
  <c r="CE422" i="29"/>
  <c r="BZ430" i="29"/>
  <c r="BU430" i="29"/>
  <c r="DG430" i="29"/>
  <c r="CS430" i="29"/>
  <c r="CR430" i="29"/>
  <c r="DD430" i="29"/>
  <c r="CA430" i="29"/>
  <c r="CV430" i="29"/>
  <c r="CG430" i="29"/>
  <c r="CN440" i="29"/>
  <c r="BS440" i="29"/>
  <c r="CV440" i="29"/>
  <c r="CO440" i="29"/>
  <c r="CT440" i="29"/>
  <c r="CR440" i="29"/>
  <c r="CK440" i="29"/>
  <c r="CM440" i="29"/>
  <c r="CZ440" i="29"/>
  <c r="DL448" i="29"/>
  <c r="CO448" i="29"/>
  <c r="DB448" i="29"/>
  <c r="CA448" i="29"/>
  <c r="CP448" i="29"/>
  <c r="CC448" i="29"/>
  <c r="BZ448" i="29"/>
  <c r="BW448" i="29"/>
  <c r="CV448" i="29"/>
  <c r="DH448" i="29"/>
  <c r="CW456" i="29"/>
  <c r="BQ456" i="29"/>
  <c r="CO456" i="29"/>
  <c r="DI456" i="29"/>
  <c r="CU456" i="29"/>
  <c r="CS456" i="29"/>
  <c r="CP456" i="29"/>
  <c r="BP456" i="29"/>
  <c r="CZ456" i="29"/>
  <c r="CM464" i="29"/>
  <c r="BP464" i="29"/>
  <c r="CO464" i="29"/>
  <c r="BQ464" i="29"/>
  <c r="CE464" i="29"/>
  <c r="CS464" i="29"/>
  <c r="DI464" i="29"/>
  <c r="DH464" i="29"/>
  <c r="CG464" i="29"/>
  <c r="BS464" i="29"/>
  <c r="DC469" i="29"/>
  <c r="CU469" i="29"/>
  <c r="CZ469" i="29"/>
  <c r="CI469" i="29"/>
  <c r="CK469" i="29"/>
  <c r="DI469" i="29"/>
  <c r="DD469" i="29"/>
  <c r="BY469" i="29"/>
  <c r="CO469" i="29"/>
  <c r="BR474" i="29"/>
  <c r="CJ474" i="29"/>
  <c r="DE474" i="29"/>
  <c r="DG474" i="29"/>
  <c r="BT474" i="29"/>
  <c r="DF474" i="29"/>
  <c r="BV474" i="29"/>
  <c r="CE474" i="29"/>
  <c r="CD474" i="29"/>
  <c r="BP206" i="29"/>
  <c r="DC206" i="29"/>
  <c r="CD206" i="29"/>
  <c r="CX206" i="29"/>
  <c r="DE206" i="29"/>
  <c r="DH206" i="29"/>
  <c r="CP206" i="29"/>
  <c r="DF206" i="29"/>
  <c r="BT206" i="29"/>
  <c r="CP214" i="29"/>
  <c r="CU214" i="29"/>
  <c r="DE214" i="29"/>
  <c r="CJ214" i="29"/>
  <c r="CN214" i="29"/>
  <c r="BU214" i="29"/>
  <c r="DJ214" i="29"/>
  <c r="BQ214" i="29"/>
  <c r="CF214" i="29"/>
  <c r="CJ222" i="29"/>
  <c r="DJ222" i="29"/>
  <c r="BU222" i="29"/>
  <c r="DB222" i="29"/>
  <c r="BW222" i="29"/>
  <c r="CS222" i="29"/>
  <c r="DD222" i="29"/>
  <c r="CF222" i="29"/>
  <c r="CU222" i="29"/>
  <c r="DG230" i="29"/>
  <c r="CD230" i="29"/>
  <c r="DH230" i="29"/>
  <c r="CL230" i="29"/>
  <c r="CB230" i="29"/>
  <c r="DC230" i="29"/>
  <c r="CG230" i="29"/>
  <c r="CH230" i="29"/>
  <c r="DL230" i="29"/>
  <c r="BR230" i="29"/>
  <c r="DJ238" i="29"/>
  <c r="DA238" i="29"/>
  <c r="CB238" i="29"/>
  <c r="DH238" i="29"/>
  <c r="BZ238" i="29"/>
  <c r="DD238" i="29"/>
  <c r="BO238" i="29"/>
  <c r="CV238" i="29"/>
  <c r="CD246" i="29"/>
  <c r="DF246" i="29"/>
  <c r="CP246" i="29"/>
  <c r="CT246" i="29"/>
  <c r="CO246" i="29"/>
  <c r="CZ246" i="29"/>
  <c r="CS246" i="29"/>
  <c r="BP246" i="29"/>
  <c r="CU254" i="29"/>
  <c r="CE254" i="29"/>
  <c r="CH254" i="29"/>
  <c r="CI254" i="29"/>
  <c r="DK262" i="29"/>
  <c r="DB262" i="29"/>
  <c r="CR262" i="29"/>
  <c r="CI262" i="29"/>
  <c r="CT272" i="29"/>
  <c r="DB272" i="29"/>
  <c r="BZ272" i="29"/>
  <c r="CU272" i="29"/>
  <c r="CE272" i="29"/>
  <c r="CQ280" i="29"/>
  <c r="BW280" i="29"/>
  <c r="CT280" i="29"/>
  <c r="CX280" i="29"/>
  <c r="CR288" i="29"/>
  <c r="CC288" i="29"/>
  <c r="DD288" i="29"/>
  <c r="CF288" i="29"/>
  <c r="BQ288" i="29"/>
  <c r="BY297" i="29"/>
  <c r="DB297" i="29"/>
  <c r="DE297" i="29"/>
  <c r="DF297" i="29"/>
  <c r="CU297" i="29"/>
  <c r="CW552" i="29"/>
  <c r="DI552" i="29"/>
  <c r="CE552" i="29"/>
  <c r="CS552" i="29"/>
  <c r="CZ552" i="29"/>
  <c r="DJ560" i="29"/>
  <c r="CX560" i="29"/>
  <c r="CH560" i="29"/>
  <c r="DG560" i="29"/>
  <c r="DL560" i="29"/>
  <c r="CO568" i="29"/>
  <c r="DF568" i="29"/>
  <c r="CC568" i="29"/>
  <c r="BU568" i="29"/>
  <c r="DD568" i="29"/>
  <c r="DA576" i="29"/>
  <c r="CI576" i="29"/>
  <c r="CQ576" i="29"/>
  <c r="CZ576" i="29"/>
  <c r="CH584" i="29"/>
  <c r="BY584" i="29"/>
  <c r="DF584" i="29"/>
  <c r="DE584" i="29"/>
  <c r="BT584" i="29"/>
  <c r="CQ592" i="29"/>
  <c r="CH592" i="29"/>
  <c r="BU592" i="29"/>
  <c r="CC592" i="29"/>
  <c r="CR592" i="29"/>
  <c r="CA600" i="29"/>
  <c r="CS600" i="29"/>
  <c r="BZ600" i="29"/>
  <c r="CO600" i="29"/>
  <c r="CF600" i="29"/>
  <c r="DL604" i="29"/>
  <c r="CU604" i="29"/>
  <c r="CW604" i="29"/>
  <c r="BU604" i="29"/>
  <c r="BS604" i="29"/>
  <c r="DH604" i="29"/>
  <c r="BQ612" i="29"/>
  <c r="CC612" i="29"/>
  <c r="BO612" i="29"/>
  <c r="CN612" i="29"/>
  <c r="DL622" i="29"/>
  <c r="CQ622" i="29"/>
  <c r="CR622" i="29"/>
  <c r="BV622" i="29"/>
  <c r="CT622" i="29"/>
  <c r="CY630" i="29"/>
  <c r="DE630" i="29"/>
  <c r="BZ630" i="29"/>
  <c r="CB630" i="29"/>
  <c r="BT630" i="29"/>
  <c r="CI642" i="29"/>
  <c r="CZ642" i="29"/>
  <c r="BZ642" i="29"/>
  <c r="CY642" i="29"/>
  <c r="BQ651" i="29"/>
  <c r="CE651" i="29"/>
  <c r="CH651" i="29"/>
  <c r="CL651" i="29"/>
  <c r="DD651" i="29"/>
  <c r="BU724" i="29"/>
  <c r="DB724" i="29"/>
  <c r="CY724" i="29"/>
  <c r="CB724" i="29"/>
  <c r="DF728" i="29"/>
  <c r="CX728" i="29"/>
  <c r="CA728" i="29"/>
  <c r="CY728" i="29"/>
  <c r="CB728" i="29"/>
  <c r="CM732" i="29"/>
  <c r="CE732" i="29"/>
  <c r="CD732" i="29"/>
  <c r="BV732" i="29"/>
  <c r="CZ732" i="29"/>
  <c r="CW736" i="29"/>
  <c r="CO736" i="29"/>
  <c r="CM736" i="29"/>
  <c r="DK736" i="29"/>
  <c r="BR740" i="29"/>
  <c r="CV740" i="29"/>
  <c r="DJ744" i="29"/>
  <c r="CM744" i="29"/>
  <c r="BZ744" i="29"/>
  <c r="CF744" i="29"/>
  <c r="CY748" i="29"/>
  <c r="CQ748" i="29"/>
  <c r="DK748" i="29"/>
  <c r="CS748" i="29"/>
  <c r="CF748" i="29"/>
  <c r="DE752" i="29"/>
  <c r="DG752" i="29"/>
  <c r="BQ752" i="29"/>
  <c r="CC752" i="29"/>
  <c r="BP752" i="29"/>
  <c r="CZ752" i="29"/>
  <c r="CT756" i="29"/>
  <c r="CQ756" i="29"/>
  <c r="BS756" i="29"/>
  <c r="CM756" i="29"/>
  <c r="CS756" i="29"/>
  <c r="CN756" i="29"/>
  <c r="DE760" i="29"/>
  <c r="CW760" i="29"/>
  <c r="DD760" i="29"/>
  <c r="BQ760" i="29"/>
  <c r="CK760" i="29"/>
  <c r="BU760" i="29"/>
  <c r="BP760" i="29"/>
  <c r="CG764" i="29"/>
  <c r="BW764" i="29"/>
  <c r="BT764" i="29"/>
  <c r="DB764" i="29"/>
  <c r="BP764" i="29"/>
  <c r="BU764" i="29"/>
  <c r="BZ768" i="29"/>
  <c r="BO768" i="29"/>
  <c r="DL768" i="29"/>
  <c r="CE768" i="29"/>
  <c r="BY768" i="29"/>
  <c r="CU768" i="29"/>
  <c r="CD772" i="29"/>
  <c r="DE772" i="29"/>
  <c r="DI772" i="29"/>
  <c r="CU772" i="29"/>
  <c r="CW772" i="29"/>
  <c r="DC772" i="29"/>
  <c r="CR776" i="29"/>
  <c r="DD776" i="29"/>
  <c r="CX776" i="29"/>
  <c r="CT776" i="29"/>
  <c r="DI776" i="29"/>
  <c r="BY776" i="29"/>
  <c r="DB780" i="29"/>
  <c r="BU780" i="29"/>
  <c r="BO780" i="29"/>
  <c r="CY780" i="29"/>
  <c r="DF780" i="29"/>
  <c r="CZ780" i="29"/>
  <c r="CA780" i="29"/>
  <c r="BY784" i="29"/>
  <c r="BU784" i="29"/>
  <c r="DA784" i="29"/>
  <c r="DF784" i="29"/>
  <c r="CR784" i="29"/>
  <c r="CH784" i="29"/>
  <c r="BX790" i="29"/>
  <c r="DL790" i="29"/>
  <c r="BS790" i="29"/>
  <c r="BU790" i="29"/>
  <c r="DK790" i="29"/>
  <c r="CL790" i="29"/>
  <c r="BP794" i="29"/>
  <c r="DB794" i="29"/>
  <c r="BU794" i="29"/>
  <c r="BO794" i="29"/>
  <c r="CI794" i="29"/>
  <c r="CH794" i="29"/>
  <c r="DE798" i="29"/>
  <c r="CG798" i="29"/>
  <c r="CD798" i="29"/>
  <c r="BO798" i="29"/>
  <c r="BR798" i="29"/>
  <c r="BS798" i="29"/>
  <c r="DD798" i="29"/>
  <c r="CM802" i="29"/>
  <c r="CT802" i="29"/>
  <c r="BZ802" i="29"/>
  <c r="CK802" i="29"/>
  <c r="CX802" i="29"/>
  <c r="CG802" i="29"/>
  <c r="CE806" i="29"/>
  <c r="DH806" i="29"/>
  <c r="CS806" i="29"/>
  <c r="BU806" i="29"/>
  <c r="CT806" i="29"/>
  <c r="CY806" i="29"/>
  <c r="CS810" i="29"/>
  <c r="CO810" i="29"/>
  <c r="DA810" i="29"/>
  <c r="DC810" i="29"/>
  <c r="DG810" i="29"/>
  <c r="CH814" i="29"/>
  <c r="DE814" i="29"/>
  <c r="DK814" i="29"/>
  <c r="CN814" i="29"/>
  <c r="BR814" i="29"/>
  <c r="CA814" i="29"/>
  <c r="CQ814" i="29"/>
  <c r="CR819" i="29"/>
  <c r="CH819" i="29"/>
  <c r="CA819" i="29"/>
  <c r="CI819" i="29"/>
  <c r="CQ819" i="29"/>
  <c r="CZ823" i="29"/>
  <c r="CI823" i="29"/>
  <c r="BY823" i="29"/>
  <c r="CG823" i="29"/>
  <c r="DC823" i="29"/>
  <c r="CV823" i="29"/>
  <c r="CI896" i="29"/>
  <c r="CQ896" i="29"/>
  <c r="CN896" i="29"/>
  <c r="BP896" i="29"/>
  <c r="CW896" i="29"/>
  <c r="DE896" i="29"/>
  <c r="DJ900" i="29"/>
  <c r="CE900" i="29"/>
  <c r="DE900" i="29"/>
  <c r="BQ900" i="29"/>
  <c r="CX900" i="29"/>
  <c r="CD900" i="29"/>
  <c r="CL900" i="29"/>
  <c r="BW904" i="29"/>
  <c r="BU904" i="29"/>
  <c r="CX904" i="29"/>
  <c r="DI904" i="29"/>
  <c r="CJ904" i="29"/>
  <c r="BQ904" i="29"/>
  <c r="DI908" i="29"/>
  <c r="BY908" i="29"/>
  <c r="BT908" i="29"/>
  <c r="BQ908" i="29"/>
  <c r="DG908" i="29"/>
  <c r="CF908" i="29"/>
  <c r="CG908" i="29"/>
  <c r="CT912" i="29"/>
  <c r="CK912" i="29"/>
  <c r="CH912" i="29"/>
  <c r="CU912" i="29"/>
  <c r="BS912" i="29"/>
  <c r="DE916" i="29"/>
  <c r="CB916" i="29"/>
  <c r="DH916" i="29"/>
  <c r="CK916" i="29"/>
  <c r="BZ916" i="29"/>
  <c r="DA916" i="29"/>
  <c r="DG916" i="29"/>
  <c r="CJ920" i="29"/>
  <c r="BO920" i="29"/>
  <c r="DC920" i="29"/>
  <c r="CH920" i="29"/>
  <c r="CO920" i="29"/>
  <c r="BT920" i="29"/>
  <c r="CN920" i="29"/>
  <c r="CZ920" i="29"/>
  <c r="CY920" i="29"/>
  <c r="DH924" i="29"/>
  <c r="CN924" i="29"/>
  <c r="CH924" i="29"/>
  <c r="CP924" i="29"/>
  <c r="DD924" i="29"/>
  <c r="CL924" i="29"/>
  <c r="CJ924" i="29"/>
  <c r="CU924" i="29"/>
  <c r="CT928" i="29"/>
  <c r="DJ928" i="29"/>
  <c r="BQ928" i="29"/>
  <c r="CX928" i="29"/>
  <c r="DI928" i="29"/>
  <c r="CE928" i="29"/>
  <c r="DH932" i="29"/>
  <c r="CR932" i="29"/>
  <c r="CZ932" i="29"/>
  <c r="CF932" i="29"/>
  <c r="CK932" i="29"/>
  <c r="BO932" i="29"/>
  <c r="CV932" i="29"/>
  <c r="CZ936" i="29"/>
  <c r="CT936" i="29"/>
  <c r="CX936" i="29"/>
  <c r="DI936" i="29"/>
  <c r="BO936" i="29"/>
  <c r="DB940" i="29"/>
  <c r="DD940" i="29"/>
  <c r="DJ940" i="29"/>
  <c r="DL940" i="29"/>
  <c r="BZ940" i="29"/>
  <c r="CG940" i="29"/>
  <c r="DC940" i="29"/>
  <c r="CZ944" i="29"/>
  <c r="DE944" i="29"/>
  <c r="BQ944" i="29"/>
  <c r="CB944" i="29"/>
  <c r="DC944" i="29"/>
  <c r="BO944" i="29"/>
  <c r="CL948" i="29"/>
  <c r="CG948" i="29"/>
  <c r="BT948" i="29"/>
  <c r="CZ948" i="29"/>
  <c r="CU948" i="29"/>
  <c r="CK948" i="29"/>
  <c r="CK952" i="29"/>
  <c r="CP952" i="29"/>
  <c r="DA952" i="29"/>
  <c r="CB952" i="29"/>
  <c r="DD952" i="29"/>
  <c r="DK952" i="29"/>
  <c r="CA956" i="29"/>
  <c r="DB956" i="29"/>
  <c r="CO956" i="29"/>
  <c r="BP956" i="29"/>
  <c r="CH956" i="29"/>
  <c r="BO956" i="29"/>
  <c r="BZ960" i="29"/>
  <c r="BY960" i="29"/>
  <c r="CJ960" i="29"/>
  <c r="CU960" i="29"/>
  <c r="CG960" i="29"/>
  <c r="CV960" i="29"/>
  <c r="CT966" i="29"/>
  <c r="CK966" i="29"/>
  <c r="CV966" i="29"/>
  <c r="BX966" i="29"/>
  <c r="CY966" i="29"/>
  <c r="CM966" i="29"/>
  <c r="CQ970" i="29"/>
  <c r="BT970" i="29"/>
  <c r="CY970" i="29"/>
  <c r="CH970" i="29"/>
  <c r="CE970" i="29"/>
  <c r="BX970" i="29"/>
  <c r="DJ974" i="29"/>
  <c r="BX974" i="29"/>
  <c r="CR974" i="29"/>
  <c r="CZ974" i="29"/>
  <c r="CP974" i="29"/>
  <c r="DB974" i="29"/>
  <c r="CO974" i="29"/>
  <c r="DG978" i="29"/>
  <c r="CU978" i="29"/>
  <c r="DJ978" i="29"/>
  <c r="BR978" i="29"/>
  <c r="BT978" i="29"/>
  <c r="BO978" i="29"/>
  <c r="BX982" i="29"/>
  <c r="CD982" i="29"/>
  <c r="CG982" i="29"/>
  <c r="BU982" i="29"/>
  <c r="CV982" i="29"/>
  <c r="DC982" i="29"/>
  <c r="DE986" i="29"/>
  <c r="CH986" i="29"/>
  <c r="DD986" i="29"/>
  <c r="CK986" i="29"/>
  <c r="BT986" i="29"/>
  <c r="DH990" i="29"/>
  <c r="DD990" i="29"/>
  <c r="BZ990" i="29"/>
  <c r="CW990" i="29"/>
  <c r="BV990" i="29"/>
  <c r="CL990" i="29"/>
  <c r="BX995" i="29"/>
  <c r="CL995" i="29"/>
  <c r="BS995" i="29"/>
  <c r="CW995" i="29"/>
  <c r="CB995" i="29"/>
  <c r="DI999" i="29"/>
  <c r="CX999" i="29"/>
  <c r="DK999" i="29"/>
  <c r="CA999" i="29"/>
  <c r="BY999" i="29"/>
  <c r="CK999" i="29"/>
  <c r="CI375" i="29"/>
  <c r="DE375" i="29"/>
  <c r="BT375" i="29"/>
  <c r="CR375" i="29"/>
  <c r="CA375" i="29"/>
  <c r="DL375" i="29"/>
  <c r="CH375" i="29"/>
  <c r="CD379" i="29"/>
  <c r="CJ379" i="29"/>
  <c r="DB379" i="29"/>
  <c r="CU379" i="29"/>
  <c r="BX379" i="29"/>
  <c r="CE379" i="29"/>
  <c r="DL379" i="29"/>
  <c r="BY383" i="29"/>
  <c r="CE383" i="29"/>
  <c r="CK383" i="29"/>
  <c r="BU383" i="29"/>
  <c r="DB383" i="29"/>
  <c r="DC383" i="29"/>
  <c r="DD387" i="29"/>
  <c r="DG387" i="29"/>
  <c r="CL387" i="29"/>
  <c r="DK387" i="29"/>
  <c r="DI387" i="29"/>
  <c r="CP387" i="29"/>
  <c r="CS387" i="29"/>
  <c r="CO391" i="29"/>
  <c r="DE391" i="29"/>
  <c r="BO391" i="29"/>
  <c r="DJ391" i="29"/>
  <c r="DF391" i="29"/>
  <c r="CF391" i="29"/>
  <c r="DI395" i="29"/>
  <c r="BP395" i="29"/>
  <c r="CY395" i="29"/>
  <c r="CJ395" i="29"/>
  <c r="BZ395" i="29"/>
  <c r="BT395" i="29"/>
  <c r="CQ395" i="29"/>
  <c r="CJ399" i="29"/>
  <c r="CO399" i="29"/>
  <c r="CA399" i="29"/>
  <c r="CK399" i="29"/>
  <c r="BZ399" i="29"/>
  <c r="DC399" i="29"/>
  <c r="DJ403" i="29"/>
  <c r="CO403" i="29"/>
  <c r="CE403" i="29"/>
  <c r="DA403" i="29"/>
  <c r="CJ403" i="29"/>
  <c r="BO403" i="29"/>
  <c r="CU407" i="29"/>
  <c r="CS407" i="29"/>
  <c r="BU407" i="29"/>
  <c r="CF407" i="29"/>
  <c r="CA407" i="29"/>
  <c r="DA411" i="29"/>
  <c r="DK411" i="29"/>
  <c r="CK415" i="29"/>
  <c r="CS415" i="29"/>
  <c r="CG415" i="29"/>
  <c r="CW415" i="29"/>
  <c r="BT415" i="29"/>
  <c r="CF415" i="29"/>
  <c r="CU419" i="29"/>
  <c r="DC419" i="29"/>
  <c r="DB419" i="29"/>
  <c r="BS419" i="29"/>
  <c r="CI419" i="29"/>
  <c r="CN419" i="29"/>
  <c r="DE423" i="29"/>
  <c r="DG423" i="29"/>
  <c r="BQ423" i="29"/>
  <c r="CH423" i="29"/>
  <c r="CX423" i="29"/>
  <c r="CR423" i="29"/>
  <c r="DL427" i="29"/>
  <c r="BZ427" i="29"/>
  <c r="CH427" i="29"/>
  <c r="DJ427" i="29"/>
  <c r="CA427" i="29"/>
  <c r="CZ427" i="29"/>
  <c r="DD427" i="29"/>
  <c r="CK431" i="29"/>
  <c r="CS431" i="29"/>
  <c r="CL431" i="29"/>
  <c r="CQ431" i="29"/>
  <c r="BT431" i="29"/>
  <c r="CF431" i="29"/>
  <c r="CL435" i="29"/>
  <c r="CO435" i="29"/>
  <c r="BU435" i="29"/>
  <c r="BZ435" i="29"/>
  <c r="CR435" i="29"/>
  <c r="BP435" i="29"/>
  <c r="CA441" i="29"/>
  <c r="CD441" i="29"/>
  <c r="CP441" i="29"/>
  <c r="CV441" i="29"/>
  <c r="CY441" i="29"/>
  <c r="BT441" i="29"/>
  <c r="BS445" i="29"/>
  <c r="DH445" i="29"/>
  <c r="BT445" i="29"/>
  <c r="CJ445" i="29"/>
  <c r="CF445" i="29"/>
  <c r="CP445" i="29"/>
  <c r="BR445" i="29"/>
  <c r="BU449" i="29"/>
  <c r="CZ449" i="29"/>
  <c r="CS449" i="29"/>
  <c r="CE449" i="29"/>
  <c r="CR449" i="29"/>
  <c r="CL449" i="29"/>
  <c r="BX453" i="29"/>
  <c r="BS453" i="29"/>
  <c r="DG453" i="29"/>
  <c r="CH453" i="29"/>
  <c r="DE453" i="29"/>
  <c r="CP453" i="29"/>
  <c r="CT457" i="29"/>
  <c r="CP457" i="29"/>
  <c r="DF457" i="29"/>
  <c r="CK457" i="29"/>
  <c r="DC457" i="29"/>
  <c r="CY457" i="29"/>
  <c r="DH461" i="29"/>
  <c r="BV461" i="29"/>
  <c r="DL461" i="29"/>
  <c r="BS461" i="29"/>
  <c r="CU461" i="29"/>
  <c r="BY461" i="29"/>
  <c r="BR465" i="29"/>
  <c r="BS465" i="29"/>
  <c r="CK465" i="29"/>
  <c r="CE465" i="29"/>
  <c r="CT465" i="29"/>
  <c r="CH465" i="29"/>
  <c r="DL470" i="29"/>
  <c r="DB470" i="29"/>
  <c r="CA470" i="29"/>
  <c r="BW470" i="29"/>
  <c r="DK470" i="29"/>
  <c r="CF470" i="29"/>
  <c r="DH470" i="29"/>
  <c r="CA199" i="29"/>
  <c r="BU199" i="29"/>
  <c r="DI199" i="29"/>
  <c r="BR199" i="29"/>
  <c r="BP199" i="29"/>
  <c r="DJ203" i="29"/>
  <c r="DG203" i="29"/>
  <c r="CG203" i="29"/>
  <c r="DA203" i="29"/>
  <c r="CD203" i="29"/>
  <c r="CP203" i="29"/>
  <c r="BO207" i="29"/>
  <c r="DA207" i="29"/>
  <c r="BW207" i="29"/>
  <c r="CV207" i="29"/>
  <c r="DE207" i="29"/>
  <c r="DD207" i="29"/>
  <c r="CD211" i="29"/>
  <c r="BR211" i="29"/>
  <c r="CJ211" i="29"/>
  <c r="CA211" i="29"/>
  <c r="DG211" i="29"/>
  <c r="BV211" i="29"/>
  <c r="BS215" i="29"/>
  <c r="CC215" i="29"/>
  <c r="BV215" i="29"/>
  <c r="CO215" i="29"/>
  <c r="CE215" i="29"/>
  <c r="BQ215" i="29"/>
  <c r="DH219" i="29"/>
  <c r="CC219" i="29"/>
  <c r="BV219" i="29"/>
  <c r="BT219" i="29"/>
  <c r="CP219" i="29"/>
  <c r="CN219" i="29"/>
  <c r="CH219" i="29"/>
  <c r="DI223" i="29"/>
  <c r="CL223" i="29"/>
  <c r="CJ223" i="29"/>
  <c r="CE223" i="29"/>
  <c r="CM223" i="29"/>
  <c r="DJ227" i="29"/>
  <c r="CA227" i="29"/>
  <c r="CF227" i="29"/>
  <c r="DD227" i="29"/>
  <c r="BX227" i="29"/>
  <c r="CN227" i="29"/>
  <c r="CS231" i="29"/>
  <c r="BV231" i="29"/>
  <c r="DF231" i="29"/>
  <c r="CP231" i="29"/>
  <c r="CJ231" i="29"/>
  <c r="BR231" i="29"/>
  <c r="CH235" i="29"/>
  <c r="CP235" i="29"/>
  <c r="CT235" i="29"/>
  <c r="CJ235" i="29"/>
  <c r="BU235" i="29"/>
  <c r="CZ235" i="29"/>
  <c r="CJ239" i="29"/>
  <c r="CW239" i="29"/>
  <c r="CA239" i="29"/>
  <c r="CP239" i="29"/>
  <c r="BY239" i="29"/>
  <c r="DJ239" i="29"/>
  <c r="CT239" i="29"/>
  <c r="CE239" i="29"/>
  <c r="CM239" i="29"/>
  <c r="CZ243" i="29"/>
  <c r="BT243" i="29"/>
  <c r="CX243" i="29"/>
  <c r="BQ243" i="29"/>
  <c r="CQ243" i="29"/>
  <c r="CS243" i="29"/>
  <c r="CW243" i="29"/>
  <c r="CI247" i="29"/>
  <c r="CW247" i="29"/>
  <c r="CZ247" i="29"/>
  <c r="CV247" i="29"/>
  <c r="BQ247" i="29"/>
  <c r="CP251" i="29"/>
  <c r="DE251" i="29"/>
  <c r="CF251" i="29"/>
  <c r="BX251" i="29"/>
  <c r="CX251" i="29"/>
  <c r="CZ251" i="29"/>
  <c r="BR255" i="29"/>
  <c r="DE255" i="29"/>
  <c r="BQ255" i="29"/>
  <c r="CW255" i="29"/>
  <c r="DA255" i="29"/>
  <c r="DD255" i="29"/>
  <c r="CM259" i="29"/>
  <c r="DE259" i="29"/>
  <c r="DG259" i="29"/>
  <c r="BU259" i="29"/>
  <c r="CW259" i="29"/>
  <c r="CI259" i="29"/>
  <c r="CH259" i="29"/>
  <c r="CD263" i="29"/>
  <c r="BS263" i="29"/>
  <c r="BY263" i="29"/>
  <c r="CG263" i="29"/>
  <c r="CO263" i="29"/>
  <c r="CT263" i="29"/>
  <c r="DB269" i="29"/>
  <c r="CJ269" i="29"/>
  <c r="CS269" i="29"/>
  <c r="CF269" i="29"/>
  <c r="BR269" i="29"/>
  <c r="BY269" i="29"/>
  <c r="CR269" i="29"/>
  <c r="DB273" i="29"/>
  <c r="CJ273" i="29"/>
  <c r="DK273" i="29"/>
  <c r="DC273" i="29"/>
  <c r="CX273" i="29"/>
  <c r="CH273" i="29"/>
  <c r="CH277" i="29"/>
  <c r="CA277" i="29"/>
  <c r="DC277" i="29"/>
  <c r="CE277" i="29"/>
  <c r="DD277" i="29"/>
  <c r="CU277" i="29"/>
  <c r="CI281" i="29"/>
  <c r="BZ281" i="29"/>
  <c r="CC281" i="29"/>
  <c r="CO281" i="29"/>
  <c r="DF281" i="29"/>
  <c r="BP281" i="29"/>
  <c r="CD285" i="29"/>
  <c r="BR285" i="29"/>
  <c r="CE285" i="29"/>
  <c r="CU285" i="29"/>
  <c r="BU285" i="29"/>
  <c r="CF285" i="29"/>
  <c r="CT285" i="29"/>
  <c r="CN289" i="29"/>
  <c r="DG289" i="29"/>
  <c r="CV289" i="29"/>
  <c r="CE289" i="29"/>
  <c r="DB289" i="29"/>
  <c r="CI293" i="29"/>
  <c r="CU293" i="29"/>
  <c r="CT293" i="29"/>
  <c r="BT293" i="29"/>
  <c r="DD293" i="29"/>
  <c r="DG293" i="29"/>
  <c r="BU298" i="29"/>
  <c r="CS298" i="29"/>
  <c r="CO298" i="29"/>
  <c r="BY298" i="29"/>
  <c r="BV298" i="29"/>
  <c r="CN298" i="29"/>
  <c r="CD302" i="29"/>
  <c r="CP302" i="29"/>
  <c r="BY302" i="29"/>
  <c r="CN302" i="29"/>
  <c r="CR302" i="29"/>
  <c r="CB302" i="29"/>
  <c r="CO549" i="29"/>
  <c r="BU549" i="29"/>
  <c r="DD549" i="29"/>
  <c r="CQ549" i="29"/>
  <c r="BS549" i="29"/>
  <c r="BO549" i="29"/>
  <c r="DG553" i="29"/>
  <c r="CD553" i="29"/>
  <c r="BT553" i="29"/>
  <c r="CC553" i="29"/>
  <c r="CM553" i="29"/>
  <c r="DE553" i="29"/>
  <c r="CP553" i="29"/>
  <c r="BY557" i="29"/>
  <c r="BV557" i="29"/>
  <c r="CF557" i="29"/>
  <c r="BU557" i="29"/>
  <c r="CD557" i="29"/>
  <c r="CL557" i="29"/>
  <c r="DL561" i="29"/>
  <c r="BV561" i="29"/>
  <c r="CC561" i="29"/>
  <c r="CE561" i="29"/>
  <c r="BY561" i="29"/>
  <c r="CV561" i="29"/>
  <c r="CR561" i="29"/>
  <c r="CK565" i="29"/>
  <c r="CC565" i="29"/>
  <c r="CD565" i="29"/>
  <c r="CW565" i="29"/>
  <c r="BT565" i="29"/>
  <c r="DH569" i="29"/>
  <c r="DI569" i="29"/>
  <c r="CT569" i="29"/>
  <c r="BO569" i="29"/>
  <c r="DB569" i="29"/>
  <c r="DK569" i="29"/>
  <c r="BS573" i="29"/>
  <c r="CN573" i="29"/>
  <c r="DC573" i="29"/>
  <c r="DD573" i="29"/>
  <c r="DL573" i="29"/>
  <c r="DH573" i="29"/>
  <c r="BP577" i="29"/>
  <c r="DB577" i="29"/>
  <c r="DG577" i="29"/>
  <c r="CI577" i="29"/>
  <c r="CP577" i="29"/>
  <c r="DA577" i="29"/>
  <c r="CZ581" i="29"/>
  <c r="CX581" i="29"/>
  <c r="BX581" i="29"/>
  <c r="CG581" i="29"/>
  <c r="CQ581" i="29"/>
  <c r="CR581" i="29"/>
  <c r="DA585" i="29"/>
  <c r="CV585" i="29"/>
  <c r="CA585" i="29"/>
  <c r="BS585" i="29"/>
  <c r="CC585" i="29"/>
  <c r="BR585" i="29"/>
  <c r="CX585" i="29"/>
  <c r="DJ589" i="29"/>
  <c r="BQ589" i="29"/>
  <c r="BY589" i="29"/>
  <c r="DG589" i="29"/>
  <c r="CD589" i="29"/>
  <c r="CL589" i="29"/>
  <c r="DH593" i="29"/>
  <c r="DI593" i="29"/>
  <c r="BS593" i="29"/>
  <c r="CH593" i="29"/>
  <c r="CZ593" i="29"/>
  <c r="BO593" i="29"/>
  <c r="CR597" i="29"/>
  <c r="CX597" i="29"/>
  <c r="CJ597" i="29"/>
  <c r="CT597" i="29"/>
  <c r="CE597" i="29"/>
  <c r="CG597" i="29"/>
  <c r="DH601" i="29"/>
  <c r="BT601" i="29"/>
  <c r="CK601" i="29"/>
  <c r="BQ601" i="29"/>
  <c r="BR601" i="29"/>
  <c r="DG601" i="29"/>
  <c r="BY601" i="29"/>
  <c r="BS605" i="29"/>
  <c r="CL605" i="29"/>
  <c r="DD605" i="29"/>
  <c r="CS605" i="29"/>
  <c r="DG605" i="29"/>
  <c r="BS609" i="29"/>
  <c r="BY613" i="29"/>
  <c r="DJ613" i="29"/>
  <c r="CC613" i="29"/>
  <c r="DC613" i="29"/>
  <c r="CW613" i="29"/>
  <c r="CE613" i="29"/>
  <c r="CA619" i="29"/>
  <c r="CY619" i="29"/>
  <c r="CB619" i="29"/>
  <c r="DH619" i="29"/>
  <c r="DF619" i="29"/>
  <c r="DB619" i="29"/>
  <c r="CQ623" i="29"/>
  <c r="BZ623" i="29"/>
  <c r="DE623" i="29"/>
  <c r="CR623" i="29"/>
  <c r="BX623" i="29"/>
  <c r="CM623" i="29"/>
  <c r="DF627" i="29"/>
  <c r="CV627" i="29"/>
  <c r="CG627" i="29"/>
  <c r="CU627" i="29"/>
  <c r="BR627" i="29"/>
  <c r="BT627" i="29"/>
  <c r="CR631" i="29"/>
  <c r="BZ631" i="29"/>
  <c r="CP631" i="29"/>
  <c r="CM631" i="29"/>
  <c r="CG631" i="29"/>
  <c r="BQ631" i="29"/>
  <c r="DB635" i="29"/>
  <c r="BZ635" i="29"/>
  <c r="BQ635" i="29"/>
  <c r="CY635" i="29"/>
  <c r="CT635" i="29"/>
  <c r="DJ635" i="29"/>
  <c r="DF639" i="29"/>
  <c r="BO639" i="29"/>
  <c r="DJ639" i="29"/>
  <c r="BS639" i="29"/>
  <c r="DB639" i="29"/>
  <c r="CV639" i="29"/>
  <c r="DL643" i="29"/>
  <c r="BY643" i="29"/>
  <c r="DA643" i="29"/>
  <c r="DJ643" i="29"/>
  <c r="CH643" i="29"/>
  <c r="DH643" i="29"/>
  <c r="CR648" i="29"/>
  <c r="CN648" i="29"/>
  <c r="BX648" i="29"/>
  <c r="CH648" i="29"/>
  <c r="DF648" i="29"/>
  <c r="BO648" i="29"/>
  <c r="CY652" i="29"/>
  <c r="CJ652" i="29"/>
  <c r="DJ652" i="29"/>
  <c r="CN652" i="29"/>
  <c r="DL652" i="29"/>
  <c r="BX652" i="29"/>
  <c r="CS725" i="29"/>
  <c r="CO725" i="29"/>
  <c r="CT725" i="29"/>
  <c r="DL725" i="29"/>
  <c r="CY725" i="29"/>
  <c r="BW725" i="29"/>
  <c r="DA729" i="29"/>
  <c r="CW729" i="29"/>
  <c r="BR729" i="29"/>
  <c r="DG729" i="29"/>
  <c r="DB729" i="29"/>
  <c r="BS729" i="29"/>
  <c r="BU729" i="29"/>
  <c r="CF733" i="29"/>
  <c r="CD733" i="29"/>
  <c r="CA733" i="29"/>
  <c r="CU733" i="29"/>
  <c r="BR733" i="29"/>
  <c r="CG733" i="29"/>
  <c r="CS737" i="29"/>
  <c r="DL737" i="29"/>
  <c r="CW737" i="29"/>
  <c r="BZ737" i="29"/>
  <c r="CM737" i="29"/>
  <c r="CZ737" i="29"/>
  <c r="CN741" i="29"/>
  <c r="CR741" i="29"/>
  <c r="CK741" i="29"/>
  <c r="DJ741" i="29"/>
  <c r="DB741" i="29"/>
  <c r="DC741" i="29"/>
  <c r="BO741" i="29"/>
  <c r="CY745" i="29"/>
  <c r="CN745" i="29"/>
  <c r="CD745" i="29"/>
  <c r="BO745" i="29"/>
  <c r="BR745" i="29"/>
  <c r="DC745" i="29"/>
  <c r="DD749" i="29"/>
  <c r="DC749" i="29"/>
  <c r="DI749" i="29"/>
  <c r="CH749" i="29"/>
  <c r="CW749" i="29"/>
  <c r="CQ749" i="29"/>
  <c r="DI753" i="29"/>
  <c r="DL753" i="29"/>
  <c r="DJ753" i="29"/>
  <c r="CI753" i="29"/>
  <c r="DF753" i="29"/>
  <c r="CE753" i="29"/>
  <c r="BO753" i="29"/>
  <c r="CC757" i="29"/>
  <c r="DH757" i="29"/>
  <c r="DF757" i="29"/>
  <c r="CG757" i="29"/>
  <c r="CZ757" i="29"/>
  <c r="BR757" i="29"/>
  <c r="DD761" i="29"/>
  <c r="BS761" i="29"/>
  <c r="CP761" i="29"/>
  <c r="BW761" i="29"/>
  <c r="CH761" i="29"/>
  <c r="CX761" i="29"/>
  <c r="CQ761" i="29"/>
  <c r="CT765" i="29"/>
  <c r="CG765" i="29"/>
  <c r="BW765" i="29"/>
  <c r="DC765" i="29"/>
  <c r="DI765" i="29"/>
  <c r="CH765" i="29"/>
  <c r="BS769" i="29"/>
  <c r="BT769" i="29"/>
  <c r="CK769" i="29"/>
  <c r="CS769" i="29"/>
  <c r="DH769" i="29"/>
  <c r="BQ769" i="29"/>
  <c r="CG769" i="29"/>
  <c r="DC769" i="29"/>
  <c r="CH769" i="29"/>
  <c r="DG773" i="29"/>
  <c r="DA773" i="29"/>
  <c r="DJ773" i="29"/>
  <c r="CM773" i="29"/>
  <c r="CO773" i="29"/>
  <c r="BV773" i="29"/>
  <c r="DF773" i="29"/>
  <c r="CI773" i="29"/>
  <c r="DK773" i="29"/>
  <c r="CX773" i="29"/>
  <c r="CR777" i="29"/>
  <c r="CH777" i="29"/>
  <c r="DD777" i="29"/>
  <c r="BZ777" i="29"/>
  <c r="CY777" i="29"/>
  <c r="CD777" i="29"/>
  <c r="CS777" i="29"/>
  <c r="CD781" i="29"/>
  <c r="DI781" i="29"/>
  <c r="BX781" i="29"/>
  <c r="CQ781" i="29"/>
  <c r="CK781" i="29"/>
  <c r="DA785" i="29"/>
  <c r="DD785" i="29"/>
  <c r="CR785" i="29"/>
  <c r="CG785" i="29"/>
  <c r="CL785" i="29"/>
  <c r="CY785" i="29"/>
  <c r="CU791" i="29"/>
  <c r="BV791" i="29"/>
  <c r="CV791" i="29"/>
  <c r="CD791" i="29"/>
  <c r="DG791" i="29"/>
  <c r="CE791" i="29"/>
  <c r="DK795" i="29"/>
  <c r="CZ795" i="29"/>
  <c r="BZ795" i="29"/>
  <c r="CD795" i="29"/>
  <c r="CQ795" i="29"/>
  <c r="CF795" i="29"/>
  <c r="CW795" i="29"/>
  <c r="CS799" i="29"/>
  <c r="DI799" i="29"/>
  <c r="CW799" i="29"/>
  <c r="DF799" i="29"/>
  <c r="DC799" i="29"/>
  <c r="CX799" i="29"/>
  <c r="DG803" i="29"/>
  <c r="CR803" i="29"/>
  <c r="CD803" i="29"/>
  <c r="DJ803" i="29"/>
  <c r="DI803" i="29"/>
  <c r="DA803" i="29"/>
  <c r="DE803" i="29"/>
  <c r="CM807" i="29"/>
  <c r="CF807" i="29"/>
  <c r="CH807" i="29"/>
  <c r="BV807" i="29"/>
  <c r="DC807" i="29"/>
  <c r="DG807" i="29"/>
  <c r="DH811" i="29"/>
  <c r="DD811" i="29"/>
  <c r="BW811" i="29"/>
  <c r="BS811" i="29"/>
  <c r="CV811" i="29"/>
  <c r="CF811" i="29"/>
  <c r="BZ811" i="29"/>
  <c r="DH815" i="29"/>
  <c r="DA815" i="29"/>
  <c r="CB815" i="29"/>
  <c r="CN815" i="29"/>
  <c r="BW815" i="29"/>
  <c r="CR815" i="29"/>
  <c r="DL820" i="29"/>
  <c r="BZ820" i="29"/>
  <c r="CI820" i="29"/>
  <c r="DG820" i="29"/>
  <c r="CM820" i="29"/>
  <c r="DD820" i="29"/>
  <c r="BT820" i="29"/>
  <c r="CH824" i="29"/>
  <c r="CD824" i="29"/>
  <c r="CS824" i="29"/>
  <c r="DA824" i="29"/>
  <c r="DL824" i="29"/>
  <c r="CX824" i="29"/>
  <c r="CH897" i="29"/>
  <c r="BW897" i="29"/>
  <c r="CQ897" i="29"/>
  <c r="DH897" i="29"/>
  <c r="CS897" i="29"/>
  <c r="CG897" i="29"/>
  <c r="CY901" i="29"/>
  <c r="CH901" i="29"/>
  <c r="CE901" i="29"/>
  <c r="CS901" i="29"/>
  <c r="CR901" i="29"/>
  <c r="BT901" i="29"/>
  <c r="CL905" i="29"/>
  <c r="BS905" i="29"/>
  <c r="BO905" i="29"/>
  <c r="CZ905" i="29"/>
  <c r="CS905" i="29"/>
  <c r="CW905" i="29"/>
  <c r="CX909" i="29"/>
  <c r="CN909" i="29"/>
  <c r="CZ909" i="29"/>
  <c r="CD909" i="29"/>
  <c r="CO909" i="29"/>
  <c r="CS909" i="29"/>
  <c r="DI913" i="29"/>
  <c r="CZ913" i="29"/>
  <c r="CC913" i="29"/>
  <c r="BT913" i="29"/>
  <c r="CK913" i="29"/>
  <c r="BZ913" i="29"/>
  <c r="CF913" i="29"/>
  <c r="DA917" i="29"/>
  <c r="DK917" i="29"/>
  <c r="CL917" i="29"/>
  <c r="DG917" i="29"/>
  <c r="DE917" i="29"/>
  <c r="DD917" i="29"/>
  <c r="BO921" i="29"/>
  <c r="CN921" i="29"/>
  <c r="CT921" i="29"/>
  <c r="CL921" i="29"/>
  <c r="DC921" i="29"/>
  <c r="CH921" i="29"/>
  <c r="CQ925" i="29"/>
  <c r="DC925" i="29"/>
  <c r="CH925" i="29"/>
  <c r="BZ925" i="29"/>
  <c r="DH925" i="29"/>
  <c r="BV925" i="29"/>
  <c r="BT929" i="29"/>
  <c r="CU929" i="29"/>
  <c r="CH929" i="29"/>
  <c r="BW929" i="29"/>
  <c r="CG929" i="29"/>
  <c r="DG929" i="29"/>
  <c r="CM929" i="29"/>
  <c r="CO933" i="29"/>
  <c r="DB933" i="29"/>
  <c r="CF933" i="29"/>
  <c r="CM933" i="29"/>
  <c r="CH933" i="29"/>
  <c r="DH933" i="29"/>
  <c r="BO937" i="29"/>
  <c r="BX937" i="29"/>
  <c r="CO937" i="29"/>
  <c r="BW937" i="29"/>
  <c r="CG937" i="29"/>
  <c r="DG937" i="29"/>
  <c r="CA937" i="29"/>
  <c r="CG941" i="29"/>
  <c r="BW941" i="29"/>
  <c r="BY941" i="29"/>
  <c r="DE941" i="29"/>
  <c r="BT941" i="29"/>
  <c r="BS941" i="29"/>
  <c r="DE945" i="29"/>
  <c r="BX945" i="29"/>
  <c r="DI945" i="29"/>
  <c r="BW945" i="29"/>
  <c r="CG945" i="29"/>
  <c r="DG945" i="29"/>
  <c r="CW949" i="29"/>
  <c r="BS949" i="29"/>
  <c r="CO949" i="29"/>
  <c r="CU949" i="29"/>
  <c r="DG949" i="29"/>
  <c r="BO949" i="29"/>
  <c r="BT953" i="29"/>
  <c r="CS953" i="29"/>
  <c r="CH953" i="29"/>
  <c r="BZ953" i="29"/>
  <c r="DG953" i="29"/>
  <c r="CL953" i="29"/>
  <c r="CL957" i="29"/>
  <c r="CG957" i="29"/>
  <c r="BT957" i="29"/>
  <c r="CH957" i="29"/>
  <c r="CI957" i="29"/>
  <c r="CQ957" i="29"/>
  <c r="DL963" i="29"/>
  <c r="BW963" i="29"/>
  <c r="CE963" i="29"/>
  <c r="DG963" i="29"/>
  <c r="DJ963" i="29"/>
  <c r="DD963" i="29"/>
  <c r="BT963" i="29"/>
  <c r="CH967" i="29"/>
  <c r="CP967" i="29"/>
  <c r="CI967" i="29"/>
  <c r="BS967" i="29"/>
  <c r="BX967" i="29"/>
  <c r="CR967" i="29"/>
  <c r="CU726" i="29"/>
  <c r="CN726" i="29"/>
  <c r="CG730" i="29"/>
  <c r="CV730" i="29"/>
  <c r="BW730" i="29"/>
  <c r="BW734" i="29"/>
  <c r="CY734" i="29"/>
  <c r="DB734" i="29"/>
  <c r="CJ738" i="29"/>
  <c r="BY738" i="29"/>
  <c r="BR738" i="29"/>
  <c r="CG738" i="29"/>
  <c r="CQ742" i="29"/>
  <c r="CS742" i="29"/>
  <c r="DD742" i="29"/>
  <c r="CD746" i="29"/>
  <c r="BW746" i="29"/>
  <c r="CP746" i="29"/>
  <c r="CS750" i="29"/>
  <c r="CB750" i="29"/>
  <c r="CG750" i="29"/>
  <c r="CE754" i="29"/>
  <c r="DI754" i="29"/>
  <c r="BZ754" i="29"/>
  <c r="CE758" i="29"/>
  <c r="BV758" i="29"/>
  <c r="CF758" i="29"/>
  <c r="CL762" i="29"/>
  <c r="CH762" i="29"/>
  <c r="DA762" i="29"/>
  <c r="DA766" i="29"/>
  <c r="BR766" i="29"/>
  <c r="BS766" i="29"/>
  <c r="CL770" i="29"/>
  <c r="CT770" i="29"/>
  <c r="DC770" i="29"/>
  <c r="DI770" i="29"/>
  <c r="CP774" i="29"/>
  <c r="BP774" i="29"/>
  <c r="BV774" i="29"/>
  <c r="DD778" i="29"/>
  <c r="DH778" i="29"/>
  <c r="DJ778" i="29"/>
  <c r="CE782" i="29"/>
  <c r="BS782" i="29"/>
  <c r="CF782" i="29"/>
  <c r="DF786" i="29"/>
  <c r="BS786" i="29"/>
  <c r="CI786" i="29"/>
  <c r="CE792" i="29"/>
  <c r="CD792" i="29"/>
  <c r="CJ792" i="29"/>
  <c r="CP796" i="29"/>
  <c r="CT796" i="29"/>
  <c r="DB796" i="29"/>
  <c r="CP800" i="29"/>
  <c r="CH800" i="29"/>
  <c r="CG800" i="29"/>
  <c r="DF804" i="29"/>
  <c r="CM804" i="29"/>
  <c r="CQ804" i="29"/>
  <c r="BU804" i="29"/>
  <c r="CC808" i="29"/>
  <c r="DG808" i="29"/>
  <c r="DC808" i="29"/>
  <c r="DC812" i="29"/>
  <c r="CB812" i="29"/>
  <c r="DH812" i="29"/>
  <c r="DL816" i="29"/>
  <c r="BR816" i="29"/>
  <c r="CG816" i="29"/>
  <c r="CZ821" i="29"/>
  <c r="CX821" i="29"/>
  <c r="DB821" i="29"/>
  <c r="DK825" i="29"/>
  <c r="DI825" i="29"/>
  <c r="CH825" i="29"/>
  <c r="CL898" i="29"/>
  <c r="CT898" i="29"/>
  <c r="CS898" i="29"/>
  <c r="CX902" i="29"/>
  <c r="DF902" i="29"/>
  <c r="BY902" i="29"/>
  <c r="DB906" i="29"/>
  <c r="CL906" i="29"/>
  <c r="DD906" i="29"/>
  <c r="DH906" i="29"/>
  <c r="CO910" i="29"/>
  <c r="DB910" i="29"/>
  <c r="CJ910" i="29"/>
  <c r="CN914" i="29"/>
  <c r="DG914" i="29"/>
  <c r="BQ914" i="29"/>
  <c r="DA918" i="29"/>
  <c r="BO918" i="29"/>
  <c r="CI918" i="29"/>
  <c r="CT922" i="29"/>
  <c r="DD922" i="29"/>
  <c r="DL922" i="29"/>
  <c r="BV926" i="29"/>
  <c r="CR926" i="29"/>
  <c r="CN926" i="29"/>
  <c r="BW930" i="29"/>
  <c r="CZ930" i="29"/>
  <c r="CA930" i="29"/>
  <c r="DK934" i="29"/>
  <c r="CC934" i="29"/>
  <c r="CT934" i="29"/>
  <c r="DC938" i="29"/>
  <c r="BT938" i="29"/>
  <c r="DG938" i="29"/>
  <c r="BQ938" i="29"/>
  <c r="CE942" i="29"/>
  <c r="CH942" i="29"/>
  <c r="CC942" i="29"/>
  <c r="BR946" i="29"/>
  <c r="CS946" i="29"/>
  <c r="CF946" i="29"/>
  <c r="CP950" i="29"/>
  <c r="BS950" i="29"/>
  <c r="CI950" i="29"/>
  <c r="CX954" i="29"/>
  <c r="CE954" i="29"/>
  <c r="DL954" i="29"/>
  <c r="BT958" i="29"/>
  <c r="DG958" i="29"/>
  <c r="BX958" i="29"/>
  <c r="BZ964" i="29"/>
  <c r="CJ964" i="29"/>
  <c r="CL964" i="29"/>
  <c r="BZ968" i="29"/>
  <c r="DE968" i="29"/>
  <c r="CZ968" i="29"/>
  <c r="DE972" i="29"/>
  <c r="CV972" i="29"/>
  <c r="DG972" i="29"/>
  <c r="CR972" i="29"/>
  <c r="DG976" i="29"/>
  <c r="DB976" i="29"/>
  <c r="CP976" i="29"/>
  <c r="DB980" i="29"/>
  <c r="CJ980" i="29"/>
  <c r="CF980" i="29"/>
  <c r="CJ984" i="29"/>
  <c r="CF984" i="29"/>
  <c r="CG984" i="29"/>
  <c r="CV988" i="29"/>
  <c r="BS988" i="29"/>
  <c r="CE988" i="29"/>
  <c r="CN993" i="29"/>
  <c r="CG993" i="29"/>
  <c r="CP993" i="29"/>
  <c r="DI997" i="29"/>
  <c r="CL997" i="29"/>
  <c r="BS997" i="29"/>
  <c r="DB373" i="29"/>
  <c r="CS373" i="29"/>
  <c r="CT373" i="29"/>
  <c r="DI377" i="29"/>
  <c r="CP377" i="29"/>
  <c r="DB377" i="29"/>
  <c r="CV377" i="29"/>
  <c r="CW381" i="29"/>
  <c r="BO381" i="29"/>
  <c r="BX381" i="29"/>
  <c r="CI385" i="29"/>
  <c r="CG385" i="29"/>
  <c r="DD385" i="29"/>
  <c r="DF389" i="29"/>
  <c r="DC389" i="29"/>
  <c r="DH389" i="29"/>
  <c r="BR393" i="29"/>
  <c r="CE393" i="29"/>
  <c r="CB393" i="29"/>
  <c r="CD397" i="29"/>
  <c r="CA397" i="29"/>
  <c r="CJ397" i="29"/>
  <c r="CP401" i="29"/>
  <c r="CX401" i="29"/>
  <c r="DJ401" i="29"/>
  <c r="DA405" i="29"/>
  <c r="BR405" i="29"/>
  <c r="CT405" i="29"/>
  <c r="DG409" i="29"/>
  <c r="BY409" i="29"/>
  <c r="DK409" i="29"/>
  <c r="CV409" i="29"/>
  <c r="CK413" i="29"/>
  <c r="CD413" i="29"/>
  <c r="BX413" i="29"/>
  <c r="BT417" i="29"/>
  <c r="CH417" i="29"/>
  <c r="CD417" i="29"/>
  <c r="DE421" i="29"/>
  <c r="BS421" i="29"/>
  <c r="BZ421" i="29"/>
  <c r="CU425" i="29"/>
  <c r="CW425" i="29"/>
  <c r="CK425" i="29"/>
  <c r="CG429" i="29"/>
  <c r="BV429" i="29"/>
  <c r="CK429" i="29"/>
  <c r="BX433" i="29"/>
  <c r="BO433" i="29"/>
  <c r="CK433" i="29"/>
  <c r="CX437" i="29"/>
  <c r="DE437" i="29"/>
  <c r="BZ437" i="29"/>
  <c r="CH443" i="29"/>
  <c r="CJ443" i="29"/>
  <c r="DJ443" i="29"/>
  <c r="DJ447" i="29"/>
  <c r="CE447" i="29"/>
  <c r="BW447" i="29"/>
  <c r="CA447" i="29"/>
  <c r="DJ451" i="29"/>
  <c r="BU451" i="29"/>
  <c r="CC451" i="29"/>
  <c r="CX455" i="29"/>
  <c r="CS455" i="29"/>
  <c r="DA455" i="29"/>
  <c r="CX459" i="29"/>
  <c r="CL459" i="29"/>
  <c r="BT459" i="29"/>
  <c r="CE463" i="29"/>
  <c r="CS463" i="29"/>
  <c r="CQ463" i="29"/>
  <c r="DF467" i="29"/>
  <c r="DB467" i="29"/>
  <c r="CI467" i="29"/>
  <c r="CK201" i="29"/>
  <c r="CC201" i="29"/>
  <c r="CB201" i="29"/>
  <c r="CL205" i="29"/>
  <c r="BO205" i="29"/>
  <c r="CK205" i="29"/>
  <c r="CZ209" i="29"/>
  <c r="DA209" i="29"/>
  <c r="BR209" i="29"/>
  <c r="CS209" i="29"/>
  <c r="CS213" i="29"/>
  <c r="DH213" i="29"/>
  <c r="BV213" i="29"/>
  <c r="CK217" i="29"/>
  <c r="DK217" i="29"/>
  <c r="BS217" i="29"/>
  <c r="CO221" i="29"/>
  <c r="CA221" i="29"/>
  <c r="DD221" i="29"/>
  <c r="CP225" i="29"/>
  <c r="CD225" i="29"/>
  <c r="CN225" i="29"/>
  <c r="CO229" i="29"/>
  <c r="CJ229" i="29"/>
  <c r="CN229" i="29"/>
  <c r="CG233" i="29"/>
  <c r="BT233" i="29"/>
  <c r="CY233" i="29"/>
  <c r="BR237" i="29"/>
  <c r="BS237" i="29"/>
  <c r="CU237" i="29"/>
  <c r="CW241" i="29"/>
  <c r="CT241" i="29"/>
  <c r="DH241" i="29"/>
  <c r="DD241" i="29"/>
  <c r="CW245" i="29"/>
  <c r="CK245" i="29"/>
  <c r="CG245" i="29"/>
  <c r="DC249" i="29"/>
  <c r="BU249" i="29"/>
  <c r="CK249" i="29"/>
  <c r="CH253" i="29"/>
  <c r="CQ253" i="29"/>
  <c r="CV253" i="29"/>
  <c r="BP257" i="29"/>
  <c r="BO257" i="29"/>
  <c r="CP257" i="29"/>
  <c r="CI261" i="29"/>
  <c r="BT261" i="29"/>
  <c r="CN261" i="29"/>
  <c r="CD267" i="29"/>
  <c r="CX267" i="29"/>
  <c r="DL267" i="29"/>
  <c r="BR271" i="29"/>
  <c r="CF271" i="29"/>
  <c r="BO271" i="29"/>
  <c r="BZ275" i="29"/>
  <c r="CV275" i="29"/>
  <c r="DL275" i="29"/>
  <c r="CJ275" i="29"/>
  <c r="BP279" i="29"/>
  <c r="CP279" i="29"/>
  <c r="BO279" i="29"/>
  <c r="CH283" i="29"/>
  <c r="CC283" i="29"/>
  <c r="CG283" i="29"/>
  <c r="DA287" i="29"/>
  <c r="CG287" i="29"/>
  <c r="CL287" i="29"/>
  <c r="DA291" i="29"/>
  <c r="CW291" i="29"/>
  <c r="BR291" i="29"/>
  <c r="BS296" i="29"/>
  <c r="CR296" i="29"/>
  <c r="CN296" i="29"/>
  <c r="CG300" i="29"/>
  <c r="DH300" i="29"/>
  <c r="DJ300" i="29"/>
  <c r="CJ551" i="29"/>
  <c r="CB551" i="29"/>
  <c r="CF551" i="29"/>
  <c r="CL555" i="29"/>
  <c r="CW555" i="29"/>
  <c r="DI555" i="29"/>
  <c r="CF555" i="29"/>
  <c r="BQ559" i="29"/>
  <c r="BU559" i="29"/>
  <c r="DD559" i="29"/>
  <c r="BV563" i="29"/>
  <c r="DC563" i="29"/>
  <c r="CR563" i="29"/>
  <c r="CN567" i="29"/>
  <c r="DK567" i="29"/>
  <c r="DB567" i="29"/>
  <c r="CM571" i="29"/>
  <c r="CR571" i="29"/>
  <c r="CQ571" i="29"/>
  <c r="DB575" i="29"/>
  <c r="BP575" i="29"/>
  <c r="CY575" i="29"/>
  <c r="BW579" i="29"/>
  <c r="BT579" i="29"/>
  <c r="CG579" i="29"/>
  <c r="DL583" i="29"/>
  <c r="CD583" i="29"/>
  <c r="BO583" i="29"/>
  <c r="CY587" i="29"/>
  <c r="CI587" i="29"/>
  <c r="CS587" i="29"/>
  <c r="CQ587" i="29"/>
  <c r="DB591" i="29"/>
  <c r="DD591" i="29"/>
  <c r="CX591" i="29"/>
  <c r="BT595" i="29"/>
  <c r="CK595" i="29"/>
  <c r="CQ595" i="29"/>
  <c r="CU599" i="29"/>
  <c r="CL599" i="29"/>
  <c r="DE599" i="29"/>
  <c r="CB603" i="29"/>
  <c r="CU603" i="29"/>
  <c r="DL603" i="29"/>
  <c r="CU607" i="29"/>
  <c r="CK607" i="29"/>
  <c r="BW611" i="29"/>
  <c r="BT611" i="29"/>
  <c r="CG611" i="29"/>
  <c r="CK617" i="29"/>
  <c r="DC617" i="29"/>
  <c r="CM617" i="29"/>
  <c r="CS621" i="29"/>
  <c r="BU621" i="29"/>
  <c r="CH621" i="29"/>
  <c r="BV621" i="29"/>
  <c r="DA625" i="29"/>
  <c r="CB625" i="29"/>
  <c r="DC625" i="29"/>
  <c r="CR629" i="29"/>
  <c r="DF629" i="29"/>
  <c r="DA629" i="29"/>
  <c r="DE633" i="29"/>
  <c r="CS633" i="29"/>
  <c r="CD633" i="29"/>
  <c r="DA637" i="29"/>
  <c r="DB637" i="29"/>
  <c r="BP637" i="29"/>
  <c r="DK641" i="29"/>
  <c r="CB641" i="29"/>
  <c r="BP641" i="29"/>
  <c r="CN646" i="29"/>
  <c r="CA646" i="29"/>
  <c r="BR646" i="29"/>
  <c r="DF650" i="29"/>
  <c r="CQ650" i="29"/>
  <c r="DG650" i="29"/>
  <c r="CZ723" i="29"/>
  <c r="BS723" i="29"/>
  <c r="BR723" i="29"/>
  <c r="CR723" i="29"/>
  <c r="CP727" i="29"/>
  <c r="DA727" i="29"/>
  <c r="BQ727" i="29"/>
  <c r="BO731" i="29"/>
  <c r="BY731" i="29"/>
  <c r="CK731" i="29"/>
  <c r="CD735" i="29"/>
  <c r="CJ735" i="29"/>
  <c r="BP735" i="29"/>
  <c r="CT739" i="29"/>
  <c r="CM739" i="29"/>
  <c r="BX739" i="29"/>
  <c r="DJ743" i="29"/>
  <c r="CU743" i="29"/>
  <c r="CO743" i="29"/>
  <c r="CD747" i="29"/>
  <c r="CI747" i="29"/>
  <c r="CW747" i="29"/>
  <c r="CT751" i="29"/>
  <c r="BO751" i="29"/>
  <c r="BU751" i="29"/>
  <c r="DJ755" i="29"/>
  <c r="DC755" i="29"/>
  <c r="CJ755" i="29"/>
  <c r="CS755" i="29"/>
  <c r="CI759" i="29"/>
  <c r="CL759" i="29"/>
  <c r="DI759" i="29"/>
  <c r="BU763" i="29"/>
  <c r="CU763" i="29"/>
  <c r="CY763" i="29"/>
  <c r="BW767" i="29"/>
  <c r="CB767" i="29"/>
  <c r="CS767" i="29"/>
  <c r="BQ771" i="29"/>
  <c r="CM771" i="29"/>
  <c r="CB771" i="29"/>
  <c r="CD775" i="29"/>
  <c r="BO775" i="29"/>
  <c r="CJ775" i="29"/>
  <c r="CL779" i="29"/>
  <c r="CM779" i="29"/>
  <c r="CK779" i="29"/>
  <c r="DA783" i="29"/>
  <c r="BR783" i="29"/>
  <c r="CD783" i="29"/>
  <c r="DJ787" i="29"/>
  <c r="BQ787" i="29"/>
  <c r="BU787" i="29"/>
  <c r="BX787" i="29"/>
  <c r="CG793" i="29"/>
  <c r="BX793" i="29"/>
  <c r="CF793" i="29"/>
  <c r="CP797" i="29"/>
  <c r="CN797" i="29"/>
  <c r="BV797" i="29"/>
  <c r="DI801" i="29"/>
  <c r="CD801" i="29"/>
  <c r="DD801" i="29"/>
  <c r="BR805" i="29"/>
  <c r="DB805" i="29"/>
  <c r="BX805" i="29"/>
  <c r="CE809" i="29"/>
  <c r="CD809" i="29"/>
  <c r="CF809" i="29"/>
  <c r="CL813" i="29"/>
  <c r="CP813" i="29"/>
  <c r="CC813" i="29"/>
  <c r="CY817" i="29"/>
  <c r="DK817" i="29"/>
  <c r="BV817" i="29"/>
  <c r="CO822" i="29"/>
  <c r="DG822" i="29"/>
  <c r="DC822" i="29"/>
  <c r="CK822" i="29"/>
  <c r="CG826" i="29"/>
  <c r="DI826" i="29"/>
  <c r="CM826" i="29"/>
  <c r="DC899" i="29"/>
  <c r="CA899" i="29"/>
  <c r="CY899" i="29"/>
  <c r="CE903" i="29"/>
  <c r="DF903" i="29"/>
  <c r="CX903" i="29"/>
  <c r="CZ907" i="29"/>
  <c r="BX907" i="29"/>
  <c r="CX907" i="29"/>
  <c r="BT911" i="29"/>
  <c r="DA911" i="29"/>
  <c r="CK911" i="29"/>
  <c r="CL915" i="29"/>
  <c r="CT915" i="29"/>
  <c r="BW915" i="29"/>
  <c r="CX919" i="29"/>
  <c r="DK919" i="29"/>
  <c r="CO919" i="29"/>
  <c r="CP923" i="29"/>
  <c r="BU923" i="29"/>
  <c r="CN923" i="29"/>
  <c r="CO927" i="29"/>
  <c r="DG927" i="29"/>
  <c r="CN927" i="29"/>
  <c r="CU931" i="29"/>
  <c r="CS931" i="29"/>
  <c r="CV931" i="29"/>
  <c r="DB935" i="29"/>
  <c r="BU935" i="29"/>
  <c r="CZ935" i="29"/>
  <c r="DK939" i="29"/>
  <c r="CM939" i="29"/>
  <c r="BT939" i="29"/>
  <c r="CC943" i="29"/>
  <c r="BU943" i="29"/>
  <c r="CR943" i="29"/>
  <c r="CO947" i="29"/>
  <c r="CL947" i="29"/>
  <c r="CQ947" i="29"/>
  <c r="DA951" i="29"/>
  <c r="BS951" i="29"/>
  <c r="DB951" i="29"/>
  <c r="DG955" i="29"/>
  <c r="BZ955" i="29"/>
  <c r="CX955" i="29"/>
  <c r="CN955" i="29"/>
  <c r="CC959" i="29"/>
  <c r="BV959" i="29"/>
  <c r="CN959" i="29"/>
  <c r="BQ965" i="29"/>
  <c r="CP965" i="29"/>
  <c r="DG965" i="29"/>
  <c r="CV969" i="29"/>
  <c r="BP969" i="29"/>
  <c r="CD969" i="29"/>
  <c r="CU973" i="29"/>
  <c r="BT973" i="29"/>
  <c r="DB973" i="29"/>
  <c r="DL977" i="29"/>
  <c r="CX977" i="29"/>
  <c r="CJ977" i="29"/>
  <c r="DE981" i="29"/>
  <c r="CI981" i="29"/>
  <c r="BZ981" i="29"/>
  <c r="CI985" i="29"/>
  <c r="BO985" i="29"/>
  <c r="CO985" i="29"/>
  <c r="BP989" i="29"/>
  <c r="CD989" i="29"/>
  <c r="CH989" i="29"/>
  <c r="CE989" i="29"/>
  <c r="CK994" i="29"/>
  <c r="DB994" i="29"/>
  <c r="CN994" i="29"/>
  <c r="CE998" i="29"/>
  <c r="DE998" i="29"/>
  <c r="CK998" i="29"/>
  <c r="BP380" i="29"/>
  <c r="BW380" i="29"/>
  <c r="CI380" i="29"/>
  <c r="BT388" i="29"/>
  <c r="DG388" i="29"/>
  <c r="CV388" i="29"/>
  <c r="BZ396" i="29"/>
  <c r="CB396" i="29"/>
  <c r="CC396" i="29"/>
  <c r="DF404" i="29"/>
  <c r="DI404" i="29"/>
  <c r="BS404" i="29"/>
  <c r="DK412" i="29"/>
  <c r="CY412" i="29"/>
  <c r="CK412" i="29"/>
  <c r="CZ416" i="29"/>
  <c r="DL416" i="29"/>
  <c r="DH416" i="29"/>
  <c r="CG416" i="29"/>
  <c r="CS424" i="29"/>
  <c r="BQ424" i="29"/>
  <c r="CU424" i="29"/>
  <c r="BT432" i="29"/>
  <c r="CU432" i="29"/>
  <c r="CQ432" i="29"/>
  <c r="CG442" i="29"/>
  <c r="BT442" i="29"/>
  <c r="BP442" i="29"/>
  <c r="CU450" i="29"/>
  <c r="DD450" i="29"/>
  <c r="DF450" i="29"/>
  <c r="DE458" i="29"/>
  <c r="CO458" i="29"/>
  <c r="CX458" i="29"/>
  <c r="CF462" i="29"/>
  <c r="DB462" i="29"/>
  <c r="BY462" i="29"/>
  <c r="CP471" i="29"/>
  <c r="BY471" i="29"/>
  <c r="CZ471" i="29"/>
  <c r="CZ475" i="29"/>
  <c r="BR475" i="29"/>
  <c r="DI475" i="29"/>
  <c r="CF475" i="29"/>
  <c r="BW200" i="29"/>
  <c r="DH200" i="29"/>
  <c r="CV200" i="29"/>
  <c r="CE208" i="29"/>
  <c r="DH208" i="29"/>
  <c r="BR208" i="29"/>
  <c r="DK216" i="29"/>
  <c r="DI216" i="29"/>
  <c r="DH216" i="29"/>
  <c r="DK220" i="29"/>
  <c r="DI220" i="29"/>
  <c r="CG220" i="29"/>
  <c r="CM228" i="29"/>
  <c r="CR228" i="29"/>
  <c r="BV228" i="29"/>
  <c r="CP236" i="29"/>
  <c r="CS236" i="29"/>
  <c r="CF236" i="29"/>
  <c r="DE244" i="29"/>
  <c r="CC244" i="29"/>
  <c r="BU244" i="29"/>
  <c r="DE252" i="29"/>
  <c r="CF252" i="29"/>
  <c r="CB252" i="29"/>
  <c r="CR252" i="29"/>
  <c r="BT260" i="29"/>
  <c r="BS260" i="29"/>
  <c r="CA260" i="29"/>
  <c r="DB266" i="29"/>
  <c r="CN266" i="29"/>
  <c r="CR266" i="29"/>
  <c r="CD274" i="29"/>
  <c r="BP274" i="29"/>
  <c r="CL274" i="29"/>
  <c r="CD282" i="29"/>
  <c r="CM282" i="29"/>
  <c r="CY282" i="29"/>
  <c r="CY290" i="29"/>
  <c r="BZ290" i="29"/>
  <c r="CQ290" i="29"/>
  <c r="DH295" i="29"/>
  <c r="DB295" i="29"/>
  <c r="BU295" i="29"/>
  <c r="CF554" i="29"/>
  <c r="CV554" i="29"/>
  <c r="BY554" i="29"/>
  <c r="CJ562" i="29"/>
  <c r="CC562" i="29"/>
  <c r="CU562" i="29"/>
  <c r="CO562" i="29"/>
  <c r="CJ570" i="29"/>
  <c r="CD570" i="29"/>
  <c r="CT570" i="29"/>
  <c r="DF574" i="29"/>
  <c r="CT574" i="29"/>
  <c r="CL574" i="29"/>
  <c r="CS582" i="29"/>
  <c r="DJ582" i="29"/>
  <c r="BU582" i="29"/>
  <c r="BX590" i="29"/>
  <c r="CT590" i="29"/>
  <c r="CU590" i="29"/>
  <c r="DA598" i="29"/>
  <c r="BU598" i="29"/>
  <c r="DI598" i="29"/>
  <c r="CS606" i="29"/>
  <c r="BT606" i="29"/>
  <c r="CH606" i="29"/>
  <c r="BU610" i="29"/>
  <c r="CC610" i="29"/>
  <c r="DB610" i="29"/>
  <c r="DK620" i="29"/>
  <c r="CQ620" i="29"/>
  <c r="DG620" i="29"/>
  <c r="CF620" i="29"/>
  <c r="DE628" i="29"/>
  <c r="CK628" i="29"/>
  <c r="BP628" i="29"/>
  <c r="CA636" i="29"/>
  <c r="BR636" i="29"/>
  <c r="CB636" i="29"/>
  <c r="CZ645" i="29"/>
  <c r="DL645" i="29"/>
  <c r="CK645" i="29"/>
  <c r="CD378" i="29"/>
  <c r="DF378" i="29"/>
  <c r="CW378" i="29"/>
  <c r="CX386" i="29"/>
  <c r="CZ386" i="29"/>
  <c r="DE386" i="29"/>
  <c r="BU398" i="29"/>
  <c r="CE398" i="29"/>
  <c r="CR398" i="29"/>
  <c r="CX398" i="29"/>
  <c r="BZ406" i="29"/>
  <c r="BY406" i="29"/>
  <c r="CC406" i="29"/>
  <c r="CM406" i="29"/>
  <c r="DB406" i="29"/>
  <c r="CA414" i="29"/>
  <c r="DC414" i="29"/>
  <c r="CR414" i="29"/>
  <c r="CD414" i="29"/>
  <c r="BR414" i="29"/>
  <c r="CC418" i="29"/>
  <c r="BU418" i="29"/>
  <c r="BZ418" i="29"/>
  <c r="CM418" i="29"/>
  <c r="CY426" i="29"/>
  <c r="CM426" i="29"/>
  <c r="BY426" i="29"/>
  <c r="BZ426" i="29"/>
  <c r="BO426" i="29"/>
  <c r="DH434" i="29"/>
  <c r="CI434" i="29"/>
  <c r="BZ434" i="29"/>
  <c r="CC434" i="29"/>
  <c r="CK434" i="29"/>
  <c r="BU444" i="29"/>
  <c r="BR444" i="29"/>
  <c r="CQ444" i="29"/>
  <c r="BP444" i="29"/>
  <c r="DJ452" i="29"/>
  <c r="CW452" i="29"/>
  <c r="BU452" i="29"/>
  <c r="BO452" i="29"/>
  <c r="CB452" i="29"/>
  <c r="CP460" i="29"/>
  <c r="CH460" i="29"/>
  <c r="BV460" i="29"/>
  <c r="BQ460" i="29"/>
  <c r="CR460" i="29"/>
  <c r="CB472" i="29"/>
  <c r="CE472" i="29"/>
  <c r="DF472" i="29"/>
  <c r="CL472" i="29"/>
  <c r="DB476" i="29"/>
  <c r="CM476" i="29"/>
  <c r="DF476" i="29"/>
  <c r="DL476" i="29"/>
  <c r="CS476" i="29"/>
  <c r="BQ202" i="29"/>
  <c r="BZ202" i="29"/>
  <c r="CI202" i="29"/>
  <c r="CD202" i="29"/>
  <c r="DC202" i="29"/>
  <c r="CC210" i="29"/>
  <c r="BY210" i="29"/>
  <c r="DG210" i="29"/>
  <c r="CP210" i="29"/>
  <c r="DI218" i="29"/>
  <c r="CJ218" i="29"/>
  <c r="CR218" i="29"/>
  <c r="CL218" i="29"/>
  <c r="DH218" i="29"/>
  <c r="BU226" i="29"/>
  <c r="DH226" i="29"/>
  <c r="CM226" i="29"/>
  <c r="BY226" i="29"/>
  <c r="CE226" i="29"/>
  <c r="CT234" i="29"/>
  <c r="CI234" i="29"/>
  <c r="CP234" i="29"/>
  <c r="CE234" i="29"/>
  <c r="CF234" i="29"/>
  <c r="BR242" i="29"/>
  <c r="DE242" i="29"/>
  <c r="CK242" i="29"/>
  <c r="BV242" i="29"/>
  <c r="CN250" i="29"/>
  <c r="CS250" i="29"/>
  <c r="BU250" i="29"/>
  <c r="DF250" i="29"/>
  <c r="BW250" i="29"/>
  <c r="BX258" i="29"/>
  <c r="BW258" i="29"/>
  <c r="DH258" i="29"/>
  <c r="CJ258" i="29"/>
  <c r="CZ258" i="29"/>
  <c r="CP268" i="29"/>
  <c r="CX268" i="29"/>
  <c r="CT268" i="29"/>
  <c r="DH268" i="29"/>
  <c r="CW276" i="29"/>
  <c r="DD276" i="29"/>
  <c r="CH276" i="29"/>
  <c r="DE276" i="29"/>
  <c r="CK276" i="29"/>
  <c r="CB284" i="29"/>
  <c r="BY284" i="29"/>
  <c r="CN284" i="29"/>
  <c r="DI284" i="29"/>
  <c r="CC284" i="29"/>
  <c r="DI292" i="29"/>
  <c r="DD292" i="29"/>
  <c r="DG292" i="29"/>
  <c r="CQ292" i="29"/>
  <c r="CJ301" i="29"/>
  <c r="BX301" i="29"/>
  <c r="BQ301" i="29"/>
  <c r="CS301" i="29"/>
  <c r="CI301" i="29"/>
  <c r="CM556" i="29"/>
  <c r="CT556" i="29"/>
  <c r="BQ556" i="29"/>
  <c r="BS556" i="29"/>
  <c r="BX556" i="29"/>
  <c r="BO564" i="29"/>
  <c r="CH564" i="29"/>
  <c r="BY564" i="29"/>
  <c r="CL564" i="29"/>
  <c r="DK572" i="29"/>
  <c r="CX572" i="29"/>
  <c r="CY572" i="29"/>
  <c r="BW572" i="29"/>
  <c r="CJ572" i="29"/>
  <c r="CQ580" i="29"/>
  <c r="BS580" i="29"/>
  <c r="CE580" i="29"/>
  <c r="CC580" i="29"/>
  <c r="DD580" i="29"/>
  <c r="CQ588" i="29"/>
  <c r="BY588" i="29"/>
  <c r="CU588" i="29"/>
  <c r="DE588" i="29"/>
  <c r="CC588" i="29"/>
  <c r="CZ588" i="29"/>
  <c r="DE596" i="29"/>
  <c r="BU596" i="29"/>
  <c r="BW596" i="29"/>
  <c r="CU596" i="29"/>
  <c r="BT596" i="29"/>
  <c r="DL608" i="29"/>
  <c r="BZ608" i="29"/>
  <c r="CW608" i="29"/>
  <c r="CO608" i="29"/>
  <c r="CH608" i="29"/>
  <c r="CV608" i="29"/>
  <c r="CB608" i="29"/>
  <c r="BT618" i="29"/>
  <c r="BW618" i="29"/>
  <c r="CZ618" i="29"/>
  <c r="BZ618" i="29"/>
  <c r="CL618" i="29"/>
  <c r="CT618" i="29"/>
  <c r="CI626" i="29"/>
  <c r="CR626" i="29"/>
  <c r="BY626" i="29"/>
  <c r="DF626" i="29"/>
  <c r="DB626" i="29"/>
  <c r="DJ626" i="29"/>
  <c r="CP634" i="29"/>
  <c r="CK634" i="29"/>
  <c r="DH634" i="29"/>
  <c r="DC634" i="29"/>
  <c r="CV634" i="29"/>
  <c r="BU634" i="29"/>
  <c r="DG638" i="29"/>
  <c r="BV638" i="29"/>
  <c r="DK638" i="29"/>
  <c r="BT638" i="29"/>
  <c r="DD638" i="29"/>
  <c r="CM638" i="29"/>
  <c r="CS638" i="29"/>
  <c r="CH647" i="29"/>
  <c r="BO647" i="29"/>
  <c r="CQ647" i="29"/>
  <c r="CP647" i="29"/>
  <c r="BX647" i="29"/>
  <c r="CF647" i="29"/>
  <c r="CE376" i="29"/>
  <c r="CX376" i="29"/>
  <c r="CN376" i="29"/>
  <c r="DI376" i="29"/>
  <c r="BU376" i="29"/>
  <c r="CX384" i="29"/>
  <c r="DH384" i="29"/>
  <c r="CY384" i="29"/>
  <c r="CN384" i="29"/>
  <c r="CO384" i="29"/>
  <c r="CK384" i="29"/>
  <c r="DH392" i="29"/>
  <c r="CY392" i="29"/>
  <c r="CX392" i="29"/>
  <c r="CN392" i="29"/>
  <c r="CV392" i="29"/>
  <c r="CF392" i="29"/>
  <c r="BV392" i="29"/>
  <c r="BT400" i="29"/>
  <c r="CZ400" i="29"/>
  <c r="CR400" i="29"/>
  <c r="BY400" i="29"/>
  <c r="DB400" i="29"/>
  <c r="CA400" i="29"/>
  <c r="CD408" i="29"/>
  <c r="BZ408" i="29"/>
  <c r="CB408" i="29"/>
  <c r="DI408" i="29"/>
  <c r="BU408" i="29"/>
  <c r="DE408" i="29"/>
  <c r="CW420" i="29"/>
  <c r="BZ420" i="29"/>
  <c r="CT420" i="29"/>
  <c r="DJ420" i="29"/>
  <c r="CB420" i="29"/>
  <c r="BR420" i="29"/>
  <c r="DH428" i="29"/>
  <c r="DD428" i="29"/>
  <c r="DF428" i="29"/>
  <c r="CE428" i="29"/>
  <c r="DG428" i="29"/>
  <c r="CX428" i="29"/>
  <c r="BU428" i="29"/>
  <c r="CJ436" i="29"/>
  <c r="CW436" i="29"/>
  <c r="BS436" i="29"/>
  <c r="BX436" i="29"/>
  <c r="BW436" i="29"/>
  <c r="CE436" i="29"/>
  <c r="CU446" i="29"/>
  <c r="BO446" i="29"/>
  <c r="DH446" i="29"/>
  <c r="BX446" i="29"/>
  <c r="DG446" i="29"/>
  <c r="BP446" i="29"/>
  <c r="CB454" i="29"/>
  <c r="DC454" i="29"/>
  <c r="BV454" i="29"/>
  <c r="CD454" i="29"/>
  <c r="BR454" i="29"/>
  <c r="CU454" i="29"/>
  <c r="DL466" i="29"/>
  <c r="BW466" i="29"/>
  <c r="CE466" i="29"/>
  <c r="BS466" i="29"/>
  <c r="CA466" i="29"/>
  <c r="DD466" i="29"/>
  <c r="BT466" i="29"/>
  <c r="BS473" i="29"/>
  <c r="CQ473" i="29"/>
  <c r="CO473" i="29"/>
  <c r="CG473" i="29"/>
  <c r="CT473" i="29"/>
  <c r="DJ473" i="29"/>
  <c r="CM204" i="29"/>
  <c r="CA204" i="29"/>
  <c r="CP204" i="29"/>
  <c r="CV204" i="29"/>
  <c r="BT204" i="29"/>
  <c r="BU204" i="29"/>
  <c r="CU212" i="29"/>
  <c r="CP212" i="29"/>
  <c r="DA212" i="29"/>
  <c r="CY212" i="29"/>
  <c r="CZ212" i="29"/>
  <c r="BP212" i="29"/>
  <c r="DL224" i="29"/>
  <c r="DF224" i="29"/>
  <c r="CI224" i="29"/>
  <c r="CF224" i="29"/>
  <c r="CN224" i="29"/>
  <c r="DH224" i="29"/>
  <c r="CL224" i="29"/>
  <c r="CE232" i="29"/>
  <c r="CI232" i="29"/>
  <c r="CD232" i="29"/>
  <c r="BU232" i="29"/>
  <c r="CK232" i="29"/>
  <c r="CS232" i="29"/>
  <c r="BO240" i="29"/>
  <c r="CX240" i="29"/>
  <c r="CI240" i="29"/>
  <c r="CV240" i="29"/>
  <c r="CS240" i="29"/>
  <c r="BV240" i="29"/>
  <c r="BQ248" i="29"/>
  <c r="CS248" i="29"/>
  <c r="BY248" i="29"/>
  <c r="BX248" i="29"/>
  <c r="CR248" i="29"/>
  <c r="CU248" i="29"/>
  <c r="DL256" i="29"/>
  <c r="CT256" i="29"/>
  <c r="CV256" i="29"/>
  <c r="CY256" i="29"/>
  <c r="CR256" i="29"/>
  <c r="DK256" i="29"/>
  <c r="CM256" i="29"/>
  <c r="BQ270" i="29"/>
  <c r="CA270" i="29"/>
  <c r="BV270" i="29"/>
  <c r="CC270" i="29"/>
  <c r="DD270" i="29"/>
  <c r="CO270" i="29"/>
  <c r="DK278" i="29"/>
  <c r="CS278" i="29"/>
  <c r="CJ278" i="29"/>
  <c r="CR278" i="29"/>
  <c r="BW278" i="29"/>
  <c r="DB278" i="29"/>
  <c r="CK286" i="29"/>
  <c r="CA286" i="29"/>
  <c r="CT286" i="29"/>
  <c r="DI286" i="29"/>
  <c r="BX286" i="29"/>
  <c r="DC286" i="29"/>
  <c r="CI299" i="29"/>
  <c r="DG299" i="29"/>
  <c r="CO299" i="29"/>
  <c r="CH299" i="29"/>
  <c r="DJ299" i="29"/>
  <c r="CT299" i="29"/>
  <c r="CC299" i="29"/>
  <c r="BX550" i="29"/>
  <c r="CT550" i="29"/>
  <c r="DB550" i="29"/>
  <c r="BW550" i="29"/>
  <c r="DL550" i="29"/>
  <c r="CX550" i="29"/>
  <c r="CK558" i="29"/>
  <c r="CM558" i="29"/>
  <c r="CW558" i="29"/>
  <c r="CX558" i="29"/>
  <c r="BX558" i="29"/>
  <c r="CP558" i="29"/>
  <c r="CE566" i="29"/>
  <c r="BV566" i="29"/>
  <c r="CI566" i="29"/>
  <c r="CQ566" i="29"/>
  <c r="CG566" i="29"/>
  <c r="DE566" i="29"/>
  <c r="CX578" i="29"/>
  <c r="BO578" i="29"/>
  <c r="CK578" i="29"/>
  <c r="CD578" i="29"/>
  <c r="BX578" i="29"/>
  <c r="CO578" i="29"/>
  <c r="DD578" i="29"/>
  <c r="DE586" i="29"/>
  <c r="CD586" i="29"/>
  <c r="CY586" i="29"/>
  <c r="DD586" i="29"/>
  <c r="BV586" i="29"/>
  <c r="CA586" i="29"/>
  <c r="CV594" i="29"/>
  <c r="DK594" i="29"/>
  <c r="CW594" i="29"/>
  <c r="CJ594" i="29"/>
  <c r="CQ594" i="29"/>
  <c r="CY594" i="29"/>
  <c r="BR602" i="29"/>
  <c r="CN602" i="29"/>
  <c r="CC602" i="29"/>
  <c r="DJ602" i="29"/>
  <c r="CV602" i="29"/>
  <c r="BW602" i="29"/>
  <c r="DE616" i="29"/>
  <c r="CN616" i="29"/>
  <c r="CO616" i="29"/>
  <c r="DH616" i="29"/>
  <c r="CV616" i="29"/>
  <c r="DA616" i="29"/>
  <c r="BU616" i="29"/>
  <c r="CH624" i="29"/>
  <c r="BU624" i="29"/>
  <c r="CL624" i="29"/>
  <c r="BZ624" i="29"/>
  <c r="BT624" i="29"/>
  <c r="CR624" i="29"/>
  <c r="CQ632" i="29"/>
  <c r="CD632" i="29"/>
  <c r="DF632" i="29"/>
  <c r="BO632" i="29"/>
  <c r="CH632" i="29"/>
  <c r="CN632" i="29"/>
  <c r="CS640" i="29"/>
  <c r="BZ640" i="29"/>
  <c r="CP640" i="29"/>
  <c r="CF640" i="29"/>
  <c r="CY640" i="29"/>
  <c r="CI640" i="29"/>
  <c r="DG649" i="29"/>
  <c r="CW649" i="29"/>
  <c r="CA649" i="29"/>
  <c r="CQ649" i="29"/>
  <c r="CZ649" i="29"/>
  <c r="DC649" i="29"/>
  <c r="DH649" i="29"/>
  <c r="DJ374" i="29"/>
  <c r="DF374" i="29"/>
  <c r="CP374" i="29"/>
  <c r="DK374" i="29"/>
  <c r="CK374" i="29"/>
  <c r="DL374" i="29"/>
  <c r="BY382" i="29"/>
  <c r="DF382" i="29"/>
  <c r="CL382" i="29"/>
  <c r="DK382" i="29"/>
  <c r="CI382" i="29"/>
  <c r="CY382" i="29"/>
  <c r="CO390" i="29"/>
  <c r="CT390" i="29"/>
  <c r="BP390" i="29"/>
  <c r="CN390" i="29"/>
  <c r="CX390" i="29"/>
  <c r="CH390" i="29"/>
  <c r="DJ394" i="29"/>
  <c r="CR394" i="29"/>
  <c r="DK394" i="29"/>
  <c r="CV394" i="29"/>
  <c r="BS394" i="29"/>
  <c r="BQ394" i="29"/>
  <c r="CW394" i="29"/>
  <c r="BW402" i="29"/>
  <c r="CZ402" i="29"/>
  <c r="BU402" i="29"/>
  <c r="DI402" i="29"/>
  <c r="BX402" i="29"/>
  <c r="CT402" i="29"/>
  <c r="DC410" i="29"/>
  <c r="CC410" i="29"/>
  <c r="DB410" i="29"/>
  <c r="DG410" i="29"/>
  <c r="CZ410" i="29"/>
  <c r="CF410" i="29"/>
  <c r="CQ422" i="29"/>
  <c r="BT422" i="29"/>
  <c r="CF422" i="29"/>
  <c r="BV422" i="29"/>
  <c r="CM422" i="29"/>
  <c r="BU422" i="29"/>
  <c r="BY422" i="29"/>
  <c r="BW422" i="29"/>
  <c r="CG422" i="29"/>
  <c r="CJ430" i="29"/>
  <c r="CK430" i="29"/>
  <c r="CH430" i="29"/>
  <c r="DI430" i="29"/>
  <c r="BS430" i="29"/>
  <c r="BT430" i="29"/>
  <c r="BX430" i="29"/>
  <c r="CX430" i="29"/>
  <c r="CM430" i="29"/>
  <c r="DB440" i="29"/>
  <c r="CF440" i="29"/>
  <c r="DD440" i="29"/>
  <c r="DE440" i="29"/>
  <c r="BP440" i="29"/>
  <c r="CG440" i="29"/>
  <c r="CY440" i="29"/>
  <c r="CC440" i="29"/>
  <c r="BU440" i="29"/>
  <c r="BR440" i="29"/>
  <c r="CT448" i="29"/>
  <c r="BS448" i="29"/>
  <c r="CG448" i="29"/>
  <c r="DA448" i="29"/>
  <c r="CX448" i="29"/>
  <c r="CK448" i="29"/>
  <c r="CH448" i="29"/>
  <c r="BP448" i="29"/>
  <c r="CB448" i="29"/>
  <c r="DB456" i="29"/>
  <c r="CA456" i="29"/>
  <c r="CT456" i="29"/>
  <c r="BS456" i="29"/>
  <c r="BR456" i="29"/>
  <c r="DC456" i="29"/>
  <c r="DA456" i="29"/>
  <c r="CN456" i="29"/>
  <c r="BT456" i="29"/>
  <c r="DG464" i="29"/>
  <c r="BW464" i="29"/>
  <c r="DK464" i="29"/>
  <c r="CN464" i="29"/>
  <c r="BV464" i="29"/>
  <c r="CA464" i="29"/>
  <c r="BO464" i="29"/>
  <c r="DD464" i="29"/>
  <c r="CQ464" i="29"/>
  <c r="CB464" i="29"/>
  <c r="CE469" i="29"/>
  <c r="BR469" i="29"/>
  <c r="BS469" i="29"/>
  <c r="DJ469" i="29"/>
  <c r="DA469" i="29"/>
  <c r="CP469" i="29"/>
  <c r="CL469" i="29"/>
  <c r="DE469" i="29"/>
  <c r="DB469" i="29"/>
  <c r="CK474" i="29"/>
  <c r="BU474" i="29"/>
  <c r="BS474" i="29"/>
  <c r="BQ474" i="29"/>
  <c r="CH474" i="29"/>
  <c r="CI474" i="29"/>
  <c r="DL474" i="29"/>
  <c r="DK474" i="29"/>
  <c r="DJ474" i="29"/>
  <c r="BP474" i="29"/>
  <c r="DD206" i="29"/>
  <c r="BQ206" i="29"/>
  <c r="DJ206" i="29"/>
  <c r="BS206" i="29"/>
  <c r="CJ206" i="29"/>
  <c r="CH206" i="29"/>
  <c r="CY206" i="29"/>
  <c r="CE206" i="29"/>
  <c r="CR206" i="29"/>
  <c r="DF214" i="29"/>
  <c r="DK214" i="29"/>
  <c r="CH214" i="29"/>
  <c r="BY214" i="29"/>
  <c r="DA214" i="29"/>
  <c r="CW214" i="29"/>
  <c r="CQ214" i="29"/>
  <c r="CT214" i="29"/>
  <c r="CA214" i="29"/>
  <c r="BQ222" i="29"/>
  <c r="CA222" i="29"/>
  <c r="CR222" i="29"/>
  <c r="BS222" i="29"/>
  <c r="DC222" i="29"/>
  <c r="CO222" i="29"/>
  <c r="BX222" i="29"/>
  <c r="CX222" i="29"/>
  <c r="BP222" i="29"/>
  <c r="DL222" i="29"/>
  <c r="CT230" i="29"/>
  <c r="DI230" i="29"/>
  <c r="DB230" i="29"/>
  <c r="CO230" i="29"/>
  <c r="CK230" i="29"/>
  <c r="CJ230" i="29"/>
  <c r="BO230" i="29"/>
  <c r="DA230" i="29"/>
  <c r="CF230" i="29"/>
  <c r="CA238" i="29"/>
  <c r="CZ238" i="29"/>
  <c r="CY238" i="29"/>
  <c r="BV238" i="29"/>
  <c r="BW238" i="29"/>
  <c r="DF238" i="29"/>
  <c r="BX238" i="29"/>
  <c r="BR238" i="29"/>
  <c r="CO238" i="29"/>
  <c r="CY246" i="29"/>
  <c r="BZ246" i="29"/>
  <c r="DK246" i="29"/>
  <c r="CR246" i="29"/>
  <c r="CF246" i="29"/>
  <c r="DE246" i="29"/>
  <c r="DL246" i="29"/>
  <c r="BU246" i="29"/>
  <c r="CH246" i="29"/>
  <c r="DI246" i="29"/>
  <c r="CF254" i="29"/>
  <c r="BU254" i="29"/>
  <c r="DJ254" i="29"/>
  <c r="CC254" i="29"/>
  <c r="CX254" i="29"/>
  <c r="CQ254" i="29"/>
  <c r="BX254" i="29"/>
  <c r="CP254" i="29"/>
  <c r="CA254" i="29"/>
  <c r="CE262" i="29"/>
  <c r="CC262" i="29"/>
  <c r="CH262" i="29"/>
  <c r="DL262" i="29"/>
  <c r="BR262" i="29"/>
  <c r="CB262" i="29"/>
  <c r="CM262" i="29"/>
  <c r="CV262" i="29"/>
  <c r="CW262" i="29"/>
  <c r="CN262" i="29"/>
  <c r="DJ272" i="29"/>
  <c r="DA272" i="29"/>
  <c r="CI272" i="29"/>
  <c r="BP272" i="29"/>
  <c r="DF272" i="29"/>
  <c r="BW272" i="29"/>
  <c r="CO272" i="29"/>
  <c r="CC272" i="29"/>
  <c r="BQ272" i="29"/>
  <c r="DB280" i="29"/>
  <c r="BO280" i="29"/>
  <c r="CJ280" i="29"/>
  <c r="CR280" i="29"/>
  <c r="BP280" i="29"/>
  <c r="CM280" i="29"/>
  <c r="CA280" i="29"/>
  <c r="BQ280" i="29"/>
  <c r="CD280" i="29"/>
  <c r="CG288" i="29"/>
  <c r="BX288" i="29"/>
  <c r="CO288" i="29"/>
  <c r="CD288" i="29"/>
  <c r="BY288" i="29"/>
  <c r="BV288" i="29"/>
  <c r="CH288" i="29"/>
  <c r="BU288" i="29"/>
  <c r="BZ288" i="29"/>
  <c r="DL288" i="29"/>
  <c r="DI297" i="29"/>
  <c r="BP297" i="29"/>
  <c r="CS297" i="29"/>
  <c r="BX297" i="29"/>
  <c r="CX297" i="29"/>
  <c r="BW297" i="29"/>
  <c r="BT297" i="29"/>
  <c r="BQ297" i="29"/>
  <c r="CB297" i="29"/>
  <c r="DB552" i="29"/>
  <c r="CA552" i="29"/>
  <c r="BY552" i="29"/>
  <c r="BR552" i="29"/>
  <c r="CP552" i="29"/>
  <c r="DJ552" i="29"/>
  <c r="DC552" i="29"/>
  <c r="CF552" i="29"/>
  <c r="CJ552" i="29"/>
  <c r="DF560" i="29"/>
  <c r="BW560" i="29"/>
  <c r="DH560" i="29"/>
  <c r="DD560" i="29"/>
  <c r="BT560" i="29"/>
  <c r="BX560" i="29"/>
  <c r="CL560" i="29"/>
  <c r="BQ560" i="29"/>
  <c r="CQ560" i="29"/>
  <c r="CG560" i="29"/>
  <c r="CY568" i="29"/>
  <c r="BS568" i="29"/>
  <c r="BV568" i="29"/>
  <c r="BO568" i="29"/>
  <c r="CH568" i="29"/>
  <c r="CL568" i="29"/>
  <c r="CP568" i="29"/>
  <c r="BX568" i="29"/>
  <c r="CN568" i="29"/>
  <c r="DK576" i="29"/>
  <c r="CE576" i="29"/>
  <c r="CM576" i="29"/>
  <c r="CA576" i="29"/>
  <c r="CO576" i="29"/>
  <c r="DI576" i="29"/>
  <c r="DG576" i="29"/>
  <c r="CF576" i="29"/>
  <c r="CJ576" i="29"/>
  <c r="DH576" i="29"/>
  <c r="CM584" i="29"/>
  <c r="DK584" i="29"/>
  <c r="CT584" i="29"/>
  <c r="CQ584" i="29"/>
  <c r="BQ584" i="29"/>
  <c r="BO584" i="29"/>
  <c r="BS584" i="29"/>
  <c r="DD584" i="29"/>
  <c r="CB584" i="29"/>
  <c r="CW592" i="29"/>
  <c r="BV592" i="29"/>
  <c r="BS592" i="29"/>
  <c r="DA592" i="29"/>
  <c r="BZ592" i="29"/>
  <c r="CT592" i="29"/>
  <c r="CM592" i="29"/>
  <c r="CV592" i="29"/>
  <c r="CZ592" i="29"/>
  <c r="DG600" i="29"/>
  <c r="CG600" i="29"/>
  <c r="CI600" i="29"/>
  <c r="DF600" i="29"/>
  <c r="CE600" i="29"/>
  <c r="DE600" i="29"/>
  <c r="DC600" i="29"/>
  <c r="BP600" i="29"/>
  <c r="BT600" i="29"/>
  <c r="DH600" i="29"/>
  <c r="CS604" i="29"/>
  <c r="BR604" i="29"/>
  <c r="DE604" i="29"/>
  <c r="DB604" i="29"/>
  <c r="CA604" i="29"/>
  <c r="CE604" i="29"/>
  <c r="CD604" i="29"/>
  <c r="CN604" i="29"/>
  <c r="CB604" i="29"/>
  <c r="DB612" i="29"/>
  <c r="CA612" i="29"/>
  <c r="CO612" i="29"/>
  <c r="CM612" i="29"/>
  <c r="DA612" i="29"/>
  <c r="BU612" i="29"/>
  <c r="DC612" i="29"/>
  <c r="CF612" i="29"/>
  <c r="BX612" i="29"/>
  <c r="DK622" i="29"/>
  <c r="CB622" i="29"/>
  <c r="DE622" i="29"/>
  <c r="CO622" i="29"/>
  <c r="CI622" i="29"/>
  <c r="BX622" i="29"/>
  <c r="CL622" i="29"/>
  <c r="CZ622" i="29"/>
  <c r="CN622" i="29"/>
  <c r="CG622" i="29"/>
  <c r="DA630" i="29"/>
  <c r="CT630" i="29"/>
  <c r="CO630" i="29"/>
  <c r="CL630" i="29"/>
  <c r="CP630" i="29"/>
  <c r="CI630" i="29"/>
  <c r="DB630" i="29"/>
  <c r="CC630" i="29"/>
  <c r="BR630" i="29"/>
  <c r="CL642" i="29"/>
  <c r="CV642" i="29"/>
  <c r="BP642" i="29"/>
  <c r="CR642" i="29"/>
  <c r="DE642" i="29"/>
  <c r="DI642" i="29"/>
  <c r="BR642" i="29"/>
  <c r="DK642" i="29"/>
  <c r="CB642" i="29"/>
  <c r="BO642" i="29"/>
  <c r="BY651" i="29"/>
  <c r="CY651" i="29"/>
  <c r="CU651" i="29"/>
  <c r="CK651" i="29"/>
  <c r="BR651" i="29"/>
  <c r="DH651" i="29"/>
  <c r="BV651" i="29"/>
  <c r="BT651" i="29"/>
  <c r="CT651" i="29"/>
  <c r="DA724" i="29"/>
  <c r="BZ724" i="29"/>
  <c r="CX724" i="29"/>
  <c r="BR724" i="29"/>
  <c r="DG724" i="29"/>
  <c r="DE724" i="29"/>
  <c r="DJ724" i="29"/>
  <c r="CZ724" i="29"/>
  <c r="BX724" i="29"/>
  <c r="DK728" i="29"/>
  <c r="CK728" i="29"/>
  <c r="DI728" i="29"/>
  <c r="CC728" i="29"/>
  <c r="CL728" i="29"/>
  <c r="CG728" i="29"/>
  <c r="CI728" i="29"/>
  <c r="BX728" i="29"/>
  <c r="CV728" i="29"/>
  <c r="CJ728" i="29"/>
  <c r="CS732" i="29"/>
  <c r="BR732" i="29"/>
  <c r="CK732" i="29"/>
  <c r="DE732" i="29"/>
  <c r="CY732" i="29"/>
  <c r="CQ732" i="29"/>
  <c r="DB732" i="29"/>
  <c r="BT732" i="29"/>
  <c r="BX732" i="29"/>
  <c r="DB736" i="29"/>
  <c r="CA736" i="29"/>
  <c r="CT736" i="29"/>
  <c r="BS736" i="29"/>
  <c r="DI736" i="29"/>
  <c r="CK736" i="29"/>
  <c r="BZ736" i="29"/>
  <c r="CF736" i="29"/>
  <c r="CZ736" i="29"/>
  <c r="DL740" i="29"/>
  <c r="CL740" i="29"/>
  <c r="DE740" i="29"/>
  <c r="CD740" i="29"/>
  <c r="CM740" i="29"/>
  <c r="BW740" i="29"/>
  <c r="DK740" i="29"/>
  <c r="BO740" i="29"/>
  <c r="DH740" i="29"/>
  <c r="BP740" i="29"/>
  <c r="CW744" i="29"/>
  <c r="BQ744" i="29"/>
  <c r="CO744" i="29"/>
  <c r="DI744" i="29"/>
  <c r="CS744" i="29"/>
  <c r="CU744" i="29"/>
  <c r="DF744" i="29"/>
  <c r="BP744" i="29"/>
  <c r="CR744" i="29"/>
  <c r="DJ748" i="29"/>
  <c r="CD748" i="29"/>
  <c r="CW748" i="29"/>
  <c r="BV748" i="29"/>
  <c r="BO748" i="29"/>
  <c r="CE748" i="29"/>
  <c r="BR748" i="29"/>
  <c r="CC748" i="29"/>
  <c r="CR748" i="29"/>
  <c r="CZ748" i="29"/>
  <c r="CN748" i="29"/>
  <c r="DJ752" i="29"/>
  <c r="CO752" i="29"/>
  <c r="BS752" i="29"/>
  <c r="CQ752" i="29"/>
  <c r="BV752" i="29"/>
  <c r="CK752" i="29"/>
  <c r="DA752" i="29"/>
  <c r="CX752" i="29"/>
  <c r="DI752" i="29"/>
  <c r="CH752" i="29"/>
  <c r="BX752" i="29"/>
  <c r="BT752" i="29"/>
  <c r="CB752" i="29"/>
  <c r="CY756" i="29"/>
  <c r="CD756" i="29"/>
  <c r="CW756" i="29"/>
  <c r="CA756" i="29"/>
  <c r="BZ756" i="29"/>
  <c r="CP756" i="29"/>
  <c r="DI756" i="29"/>
  <c r="CC756" i="29"/>
  <c r="BR756" i="29"/>
  <c r="CJ756" i="29"/>
  <c r="DH756" i="29"/>
  <c r="CV756" i="29"/>
  <c r="BY760" i="29"/>
  <c r="CX760" i="29"/>
  <c r="BX760" i="29"/>
  <c r="CZ760" i="29"/>
  <c r="BZ760" i="29"/>
  <c r="CM760" i="29"/>
  <c r="CF760" i="29"/>
  <c r="CR760" i="29"/>
  <c r="CT760" i="29"/>
  <c r="DK760" i="29"/>
  <c r="DG760" i="29"/>
  <c r="CY760" i="29"/>
  <c r="DC760" i="29"/>
  <c r="CN764" i="29"/>
  <c r="DE764" i="29"/>
  <c r="CC764" i="29"/>
  <c r="CO764" i="29"/>
  <c r="CI764" i="29"/>
  <c r="CS764" i="29"/>
  <c r="CZ764" i="29"/>
  <c r="CA764" i="29"/>
  <c r="CD764" i="29"/>
  <c r="CX764" i="29"/>
  <c r="CF764" i="29"/>
  <c r="BZ764" i="29"/>
  <c r="CP768" i="29"/>
  <c r="DH768" i="29"/>
  <c r="BP768" i="29"/>
  <c r="CH768" i="29"/>
  <c r="CW768" i="29"/>
  <c r="BU768" i="29"/>
  <c r="CJ768" i="29"/>
  <c r="CA768" i="29"/>
  <c r="DB768" i="29"/>
  <c r="CK768" i="29"/>
  <c r="CD768" i="29"/>
  <c r="BW768" i="29"/>
  <c r="CF768" i="29"/>
  <c r="DF772" i="29"/>
  <c r="CY772" i="29"/>
  <c r="CC772" i="29"/>
  <c r="BT772" i="29"/>
  <c r="CA772" i="29"/>
  <c r="CP772" i="29"/>
  <c r="CK772" i="29"/>
  <c r="BU772" i="29"/>
  <c r="CS772" i="29"/>
  <c r="DB772" i="29"/>
  <c r="BW772" i="29"/>
  <c r="CZ776" i="29"/>
  <c r="DE776" i="29"/>
  <c r="BT776" i="29"/>
  <c r="CS776" i="29"/>
  <c r="CO776" i="29"/>
  <c r="CI776" i="29"/>
  <c r="BR776" i="29"/>
  <c r="CA776" i="29"/>
  <c r="CG776" i="29"/>
  <c r="BZ776" i="29"/>
  <c r="CV776" i="29"/>
  <c r="BP776" i="29"/>
  <c r="CK776" i="29"/>
  <c r="BW780" i="29"/>
  <c r="CP780" i="29"/>
  <c r="CD780" i="29"/>
  <c r="CE780" i="29"/>
  <c r="DA780" i="29"/>
  <c r="BY780" i="29"/>
  <c r="CK780" i="29"/>
  <c r="CX780" i="29"/>
  <c r="DJ780" i="29"/>
  <c r="DE780" i="29"/>
  <c r="BT780" i="29"/>
  <c r="CR780" i="29"/>
  <c r="CL784" i="29"/>
  <c r="CT784" i="29"/>
  <c r="DG784" i="29"/>
  <c r="CP784" i="29"/>
  <c r="CD784" i="29"/>
  <c r="BS784" i="29"/>
  <c r="CN784" i="29"/>
  <c r="CM784" i="29"/>
  <c r="DC784" i="29"/>
  <c r="CO784" i="29"/>
  <c r="BT784" i="29"/>
  <c r="BO784" i="29"/>
  <c r="CU784" i="29"/>
  <c r="CE790" i="29"/>
  <c r="DA790" i="29"/>
  <c r="BT790" i="29"/>
  <c r="BO790" i="29"/>
  <c r="CW790" i="29"/>
  <c r="DH790" i="29"/>
  <c r="CK790" i="29"/>
  <c r="CT790" i="29"/>
  <c r="DF790" i="29"/>
  <c r="CR790" i="29"/>
  <c r="CO790" i="29"/>
  <c r="DG790" i="29"/>
  <c r="CK794" i="29"/>
  <c r="CE794" i="29"/>
  <c r="DG794" i="29"/>
  <c r="CW794" i="29"/>
  <c r="CY794" i="29"/>
  <c r="CD794" i="29"/>
  <c r="DE794" i="29"/>
  <c r="BR794" i="29"/>
  <c r="CJ794" i="29"/>
  <c r="CQ794" i="29"/>
  <c r="BT794" i="29"/>
  <c r="DK794" i="29"/>
  <c r="DH794" i="29"/>
  <c r="CB798" i="29"/>
  <c r="CP798" i="29"/>
  <c r="CR798" i="29"/>
  <c r="BP798" i="29"/>
  <c r="DF798" i="29"/>
  <c r="CE798" i="29"/>
  <c r="CF798" i="29"/>
  <c r="CX798" i="29"/>
  <c r="CI798" i="29"/>
  <c r="DG798" i="29"/>
  <c r="CN798" i="29"/>
  <c r="CY798" i="29"/>
  <c r="BT802" i="29"/>
  <c r="DC802" i="29"/>
  <c r="CH802" i="29"/>
  <c r="CL802" i="29"/>
  <c r="CY802" i="29"/>
  <c r="DA802" i="29"/>
  <c r="DK802" i="29"/>
  <c r="BR802" i="29"/>
  <c r="CA802" i="29"/>
  <c r="CU802" i="29"/>
  <c r="CI802" i="29"/>
  <c r="DG802" i="29"/>
  <c r="CW802" i="29"/>
  <c r="CU806" i="29"/>
  <c r="BZ806" i="29"/>
  <c r="DB806" i="29"/>
  <c r="CM806" i="29"/>
  <c r="BP806" i="29"/>
  <c r="CG806" i="29"/>
  <c r="DL806" i="29"/>
  <c r="CZ806" i="29"/>
  <c r="CX806" i="29"/>
  <c r="DI806" i="29"/>
  <c r="CD806" i="29"/>
  <c r="BS806" i="29"/>
  <c r="CZ810" i="29"/>
  <c r="BX810" i="29"/>
  <c r="CV810" i="29"/>
  <c r="BT810" i="29"/>
  <c r="BU810" i="29"/>
  <c r="CN810" i="29"/>
  <c r="CT810" i="29"/>
  <c r="CU810" i="29"/>
  <c r="DB810" i="29"/>
  <c r="BV810" i="29"/>
  <c r="DH810" i="29"/>
  <c r="CY810" i="29"/>
  <c r="CI810" i="29"/>
  <c r="BU814" i="29"/>
  <c r="BW814" i="29"/>
  <c r="CC814" i="29"/>
  <c r="BX814" i="29"/>
  <c r="BO814" i="29"/>
  <c r="BP814" i="29"/>
  <c r="DD814" i="29"/>
  <c r="BV814" i="29"/>
  <c r="CZ814" i="29"/>
  <c r="DG814" i="29"/>
  <c r="CG814" i="29"/>
  <c r="CS814" i="29"/>
  <c r="DE819" i="29"/>
  <c r="BO819" i="29"/>
  <c r="BP819" i="29"/>
  <c r="CW819" i="29"/>
  <c r="DC819" i="29"/>
  <c r="CU819" i="29"/>
  <c r="CK819" i="29"/>
  <c r="BT819" i="29"/>
  <c r="DH819" i="29"/>
  <c r="CS819" i="29"/>
  <c r="CJ819" i="29"/>
  <c r="DD819" i="29"/>
  <c r="CD819" i="29"/>
  <c r="CA823" i="29"/>
  <c r="DH823" i="29"/>
  <c r="BS823" i="29"/>
  <c r="DF823" i="29"/>
  <c r="CO823" i="29"/>
  <c r="CE823" i="29"/>
  <c r="CW823" i="29"/>
  <c r="BW823" i="29"/>
  <c r="DL823" i="29"/>
  <c r="CK823" i="29"/>
  <c r="CC823" i="29"/>
  <c r="CD823" i="29"/>
  <c r="CY896" i="29"/>
  <c r="CU896" i="29"/>
  <c r="CA896" i="29"/>
  <c r="BW896" i="29"/>
  <c r="CH896" i="29"/>
  <c r="DA896" i="29"/>
  <c r="DL896" i="29"/>
  <c r="BQ896" i="29"/>
  <c r="CL896" i="29"/>
  <c r="DB896" i="29"/>
  <c r="CT896" i="29"/>
  <c r="BT896" i="29"/>
  <c r="BW900" i="29"/>
  <c r="DK900" i="29"/>
  <c r="CQ900" i="29"/>
  <c r="CO900" i="29"/>
  <c r="CV900" i="29"/>
  <c r="DF900" i="29"/>
  <c r="BX900" i="29"/>
  <c r="CH900" i="29"/>
  <c r="CJ900" i="29"/>
  <c r="CZ900" i="29"/>
  <c r="BV900" i="29"/>
  <c r="DH900" i="29"/>
  <c r="DG904" i="29"/>
  <c r="CM904" i="29"/>
  <c r="BS904" i="29"/>
  <c r="CE904" i="29"/>
  <c r="CB904" i="29"/>
  <c r="CH904" i="29"/>
  <c r="CS904" i="29"/>
  <c r="DD904" i="29"/>
  <c r="CO904" i="29"/>
  <c r="BP904" i="29"/>
  <c r="CL904" i="29"/>
  <c r="CW904" i="29"/>
  <c r="DH904" i="29"/>
  <c r="CC908" i="29"/>
  <c r="CJ908" i="29"/>
  <c r="CI908" i="29"/>
  <c r="DK908" i="29"/>
  <c r="DB908" i="29"/>
  <c r="CV908" i="29"/>
  <c r="DJ908" i="29"/>
  <c r="CK908" i="29"/>
  <c r="CH908" i="29"/>
  <c r="BR908" i="29"/>
  <c r="CQ908" i="29"/>
  <c r="DL908" i="29"/>
  <c r="DA912" i="29"/>
  <c r="BY912" i="29"/>
  <c r="CS912" i="29"/>
  <c r="BP912" i="29"/>
  <c r="DL912" i="29"/>
  <c r="DJ912" i="29"/>
  <c r="BZ912" i="29"/>
  <c r="CM912" i="29"/>
  <c r="DK912" i="29"/>
  <c r="CG912" i="29"/>
  <c r="CY912" i="29"/>
  <c r="DG912" i="29"/>
  <c r="BQ912" i="29"/>
  <c r="CC916" i="29"/>
  <c r="CJ916" i="29"/>
  <c r="CH916" i="29"/>
  <c r="CO916" i="29"/>
  <c r="CX916" i="29"/>
  <c r="DF916" i="29"/>
  <c r="DK916" i="29"/>
  <c r="CV916" i="29"/>
  <c r="CY916" i="29"/>
  <c r="CI916" i="29"/>
  <c r="DI916" i="29"/>
  <c r="CG916" i="29"/>
  <c r="CT920" i="29"/>
  <c r="BY920" i="29"/>
  <c r="DA920" i="29"/>
  <c r="CE920" i="29"/>
  <c r="CR920" i="29"/>
  <c r="DH920" i="29"/>
  <c r="DD920" i="29"/>
  <c r="CB920" i="29"/>
  <c r="BR920" i="29"/>
  <c r="CA920" i="29"/>
  <c r="CI920" i="29"/>
  <c r="CW920" i="29"/>
  <c r="BV920" i="29"/>
  <c r="BT924" i="29"/>
  <c r="DB924" i="29"/>
  <c r="BQ924" i="29"/>
  <c r="CW924" i="29"/>
  <c r="DL924" i="29"/>
  <c r="BR924" i="29"/>
  <c r="BS924" i="29"/>
  <c r="CC924" i="29"/>
  <c r="BP924" i="29"/>
  <c r="CK924" i="29"/>
  <c r="CT924" i="29"/>
  <c r="BV924" i="29"/>
  <c r="CV928" i="29"/>
  <c r="DE928" i="29"/>
  <c r="CZ928" i="29"/>
  <c r="BU928" i="29"/>
  <c r="CF928" i="29"/>
  <c r="CA928" i="29"/>
  <c r="CC928" i="29"/>
  <c r="BS928" i="29"/>
  <c r="CN928" i="29"/>
  <c r="DD928" i="29"/>
  <c r="CH928" i="29"/>
  <c r="CG928" i="29"/>
  <c r="BO928" i="29"/>
  <c r="DB932" i="29"/>
  <c r="CX932" i="29"/>
  <c r="CQ932" i="29"/>
  <c r="BU932" i="29"/>
  <c r="CG932" i="29"/>
  <c r="DA932" i="29"/>
  <c r="BT932" i="29"/>
  <c r="BW932" i="29"/>
  <c r="CM932" i="29"/>
  <c r="CW932" i="29"/>
  <c r="BZ932" i="29"/>
  <c r="DK932" i="29"/>
  <c r="DA936" i="29"/>
  <c r="DJ936" i="29"/>
  <c r="BT936" i="29"/>
  <c r="BZ936" i="29"/>
  <c r="BP936" i="29"/>
  <c r="CA936" i="29"/>
  <c r="CC936" i="29"/>
  <c r="BS936" i="29"/>
  <c r="CN936" i="29"/>
  <c r="CR936" i="29"/>
  <c r="CH936" i="29"/>
  <c r="BX936" i="29"/>
  <c r="CG936" i="29"/>
  <c r="DH940" i="29"/>
  <c r="CB940" i="29"/>
  <c r="CY940" i="29"/>
  <c r="CF940" i="29"/>
  <c r="CX940" i="29"/>
  <c r="CA940" i="29"/>
  <c r="CZ940" i="29"/>
  <c r="BO940" i="29"/>
  <c r="DK940" i="29"/>
  <c r="BR940" i="29"/>
  <c r="CM940" i="29"/>
  <c r="CN940" i="29"/>
  <c r="DA944" i="29"/>
  <c r="DJ944" i="29"/>
  <c r="BT944" i="29"/>
  <c r="BY944" i="29"/>
  <c r="DF944" i="29"/>
  <c r="CA944" i="29"/>
  <c r="CC944" i="29"/>
  <c r="BS944" i="29"/>
  <c r="CN944" i="29"/>
  <c r="DD944" i="29"/>
  <c r="CH944" i="29"/>
  <c r="CE944" i="29"/>
  <c r="CS944" i="29"/>
  <c r="DB948" i="29"/>
  <c r="BV948" i="29"/>
  <c r="CH948" i="29"/>
  <c r="BS948" i="29"/>
  <c r="CO948" i="29"/>
  <c r="CQ948" i="29"/>
  <c r="BU948" i="29"/>
  <c r="DK948" i="29"/>
  <c r="BR948" i="29"/>
  <c r="CJ948" i="29"/>
  <c r="DC948" i="29"/>
  <c r="BP948" i="29"/>
  <c r="CV952" i="29"/>
  <c r="DE952" i="29"/>
  <c r="DL952" i="29"/>
  <c r="CO952" i="29"/>
  <c r="CD952" i="29"/>
  <c r="CA952" i="29"/>
  <c r="CC952" i="29"/>
  <c r="BS952" i="29"/>
  <c r="CN952" i="29"/>
  <c r="CR952" i="29"/>
  <c r="CH952" i="29"/>
  <c r="BX952" i="29"/>
  <c r="CE952" i="29"/>
  <c r="CQ956" i="29"/>
  <c r="BU956" i="29"/>
  <c r="CW956" i="29"/>
  <c r="CI956" i="29"/>
  <c r="DJ956" i="29"/>
  <c r="CB956" i="29"/>
  <c r="DF956" i="29"/>
  <c r="CC956" i="29"/>
  <c r="CT956" i="29"/>
  <c r="CV956" i="29"/>
  <c r="BQ956" i="29"/>
  <c r="BZ956" i="29"/>
  <c r="CM960" i="29"/>
  <c r="CS960" i="29"/>
  <c r="CD960" i="29"/>
  <c r="DE960" i="29"/>
  <c r="DC960" i="29"/>
  <c r="CH960" i="29"/>
  <c r="CN960" i="29"/>
  <c r="CE960" i="29"/>
  <c r="CZ960" i="29"/>
  <c r="DK960" i="29"/>
  <c r="BW960" i="29"/>
  <c r="CW960" i="29"/>
  <c r="CF966" i="29"/>
  <c r="DA966" i="29"/>
  <c r="CE966" i="29"/>
  <c r="CB966" i="29"/>
  <c r="CS966" i="29"/>
  <c r="BT966" i="29"/>
  <c r="BS966" i="29"/>
  <c r="BZ966" i="29"/>
  <c r="CU966" i="29"/>
  <c r="DF966" i="29"/>
  <c r="CH966" i="29"/>
  <c r="CI966" i="29"/>
  <c r="DB970" i="29"/>
  <c r="BO970" i="29"/>
  <c r="CD970" i="29"/>
  <c r="CA970" i="29"/>
  <c r="CF970" i="29"/>
  <c r="BV970" i="29"/>
  <c r="DC970" i="29"/>
  <c r="CW970" i="29"/>
  <c r="BW970" i="29"/>
  <c r="BU970" i="29"/>
  <c r="CX970" i="29"/>
  <c r="BR970" i="29"/>
  <c r="DI970" i="29"/>
  <c r="CD974" i="29"/>
  <c r="CI974" i="29"/>
  <c r="BR974" i="29"/>
  <c r="CX974" i="29"/>
  <c r="CK974" i="29"/>
  <c r="CE974" i="29"/>
  <c r="CC974" i="29"/>
  <c r="BT974" i="29"/>
  <c r="CF974" i="29"/>
  <c r="BQ974" i="29"/>
  <c r="CQ974" i="29"/>
  <c r="CU974" i="29"/>
  <c r="CA978" i="29"/>
  <c r="BP978" i="29"/>
  <c r="BQ978" i="29"/>
  <c r="CD978" i="29"/>
  <c r="DE978" i="29"/>
  <c r="CH978" i="29"/>
  <c r="BZ978" i="29"/>
  <c r="DH978" i="29"/>
  <c r="DI978" i="29"/>
  <c r="CJ978" i="29"/>
  <c r="CF978" i="29"/>
  <c r="CB978" i="29"/>
  <c r="DK978" i="29"/>
  <c r="CY982" i="29"/>
  <c r="BW982" i="29"/>
  <c r="CX982" i="29"/>
  <c r="BY982" i="29"/>
  <c r="CW982" i="29"/>
  <c r="DB982" i="29"/>
  <c r="CJ982" i="29"/>
  <c r="DG982" i="29"/>
  <c r="BZ982" i="29"/>
  <c r="CS982" i="29"/>
  <c r="DD982" i="29"/>
  <c r="CZ982" i="29"/>
  <c r="CX986" i="29"/>
  <c r="BR986" i="29"/>
  <c r="DF986" i="29"/>
  <c r="BX986" i="29"/>
  <c r="CW986" i="29"/>
  <c r="BZ986" i="29"/>
  <c r="DG986" i="29"/>
  <c r="BU986" i="29"/>
  <c r="DL986" i="29"/>
  <c r="BS986" i="29"/>
  <c r="CS986" i="29"/>
  <c r="CY986" i="29"/>
  <c r="CP986" i="29"/>
  <c r="CM990" i="29"/>
  <c r="DK990" i="29"/>
  <c r="CI990" i="29"/>
  <c r="CN990" i="29"/>
  <c r="CH990" i="29"/>
  <c r="BW990" i="29"/>
  <c r="CR990" i="29"/>
  <c r="CF990" i="29"/>
  <c r="BY990" i="29"/>
  <c r="CS990" i="29"/>
  <c r="CC990" i="29"/>
  <c r="BU990" i="29"/>
  <c r="CS995" i="29"/>
  <c r="BQ995" i="29"/>
  <c r="BV995" i="29"/>
  <c r="CA995" i="29"/>
  <c r="CZ995" i="29"/>
  <c r="CI995" i="29"/>
  <c r="DJ995" i="29"/>
  <c r="DC995" i="29"/>
  <c r="CN995" i="29"/>
  <c r="BP995" i="29"/>
  <c r="DI995" i="29"/>
  <c r="DK995" i="29"/>
  <c r="CE995" i="29"/>
  <c r="CT999" i="29"/>
  <c r="DF999" i="29"/>
  <c r="BZ999" i="29"/>
  <c r="BW999" i="29"/>
  <c r="BO999" i="29"/>
  <c r="CQ999" i="29"/>
  <c r="CN999" i="29"/>
  <c r="CW999" i="29"/>
  <c r="DL999" i="29"/>
  <c r="CB999" i="29"/>
  <c r="CR999" i="29"/>
  <c r="CZ999" i="29"/>
  <c r="CS375" i="29"/>
  <c r="DI375" i="29"/>
  <c r="BS375" i="29"/>
  <c r="BY375" i="29"/>
  <c r="CE375" i="29"/>
  <c r="CD375" i="29"/>
  <c r="BW375" i="29"/>
  <c r="BV375" i="29"/>
  <c r="DC375" i="29"/>
  <c r="BZ375" i="29"/>
  <c r="BU375" i="29"/>
  <c r="CW375" i="29"/>
  <c r="DH375" i="29"/>
  <c r="CT379" i="29"/>
  <c r="DG379" i="29"/>
  <c r="BO379" i="29"/>
  <c r="CN379" i="29"/>
  <c r="CA379" i="29"/>
  <c r="BY379" i="29"/>
  <c r="BR379" i="29"/>
  <c r="BU379" i="29"/>
  <c r="BQ379" i="29"/>
  <c r="CS379" i="29"/>
  <c r="CH379" i="29"/>
  <c r="BZ379" i="29"/>
  <c r="CY383" i="29"/>
  <c r="DE383" i="29"/>
  <c r="CI383" i="29"/>
  <c r="CO383" i="29"/>
  <c r="CJ383" i="29"/>
  <c r="BR383" i="29"/>
  <c r="CM383" i="29"/>
  <c r="BZ383" i="29"/>
  <c r="CW383" i="29"/>
  <c r="CD383" i="29"/>
  <c r="BP383" i="29"/>
  <c r="CA383" i="29"/>
  <c r="CG383" i="29"/>
  <c r="DJ387" i="29"/>
  <c r="CK387" i="29"/>
  <c r="CY387" i="29"/>
  <c r="DB387" i="29"/>
  <c r="CV387" i="29"/>
  <c r="CO387" i="29"/>
  <c r="CF387" i="29"/>
  <c r="CR387" i="29"/>
  <c r="BU387" i="29"/>
  <c r="CN387" i="29"/>
  <c r="BO387" i="29"/>
  <c r="BW387" i="29"/>
  <c r="CS391" i="29"/>
  <c r="CZ391" i="29"/>
  <c r="DI391" i="29"/>
  <c r="BS391" i="29"/>
  <c r="BY391" i="29"/>
  <c r="BV391" i="29"/>
  <c r="DC391" i="29"/>
  <c r="BP391" i="29"/>
  <c r="CR391" i="29"/>
  <c r="CX391" i="29"/>
  <c r="CP391" i="29"/>
  <c r="DA391" i="29"/>
  <c r="CW391" i="29"/>
  <c r="BS395" i="29"/>
  <c r="CD395" i="29"/>
  <c r="BW395" i="29"/>
  <c r="CC395" i="29"/>
  <c r="BV395" i="29"/>
  <c r="BO395" i="29"/>
  <c r="CX395" i="29"/>
  <c r="CS395" i="29"/>
  <c r="DH395" i="29"/>
  <c r="CG395" i="29"/>
  <c r="CF395" i="29"/>
  <c r="CH395" i="29"/>
  <c r="CY399" i="29"/>
  <c r="DE399" i="29"/>
  <c r="CS399" i="29"/>
  <c r="CZ399" i="29"/>
  <c r="CU399" i="29"/>
  <c r="BV399" i="29"/>
  <c r="CW399" i="29"/>
  <c r="BP399" i="29"/>
  <c r="CM399" i="29"/>
  <c r="DL399" i="29"/>
  <c r="DF399" i="29"/>
  <c r="CF399" i="29"/>
  <c r="BW399" i="29"/>
  <c r="CN403" i="29"/>
  <c r="BP403" i="29"/>
  <c r="BT403" i="29"/>
  <c r="CC403" i="29"/>
  <c r="BV403" i="29"/>
  <c r="DH403" i="29"/>
  <c r="DD403" i="29"/>
  <c r="BZ403" i="29"/>
  <c r="CW403" i="29"/>
  <c r="DL403" i="29"/>
  <c r="BU403" i="29"/>
  <c r="CG403" i="29"/>
  <c r="CZ407" i="29"/>
  <c r="DE407" i="29"/>
  <c r="BO407" i="29"/>
  <c r="CC407" i="29"/>
  <c r="CN407" i="29"/>
  <c r="BZ407" i="29"/>
  <c r="BW407" i="29"/>
  <c r="BR407" i="29"/>
  <c r="DC407" i="29"/>
  <c r="CT407" i="29"/>
  <c r="CV407" i="29"/>
  <c r="DG407" i="29"/>
  <c r="CM407" i="29"/>
  <c r="DJ411" i="29"/>
  <c r="CK411" i="29"/>
  <c r="BO411" i="29"/>
  <c r="BX411" i="29"/>
  <c r="BV411" i="29"/>
  <c r="BY411" i="29"/>
  <c r="BR411" i="29"/>
  <c r="CH411" i="29"/>
  <c r="BZ411" i="29"/>
  <c r="BW411" i="29"/>
  <c r="BT411" i="29"/>
  <c r="CP411" i="29"/>
  <c r="DK415" i="29"/>
  <c r="CP415" i="29"/>
  <c r="BU415" i="29"/>
  <c r="CX415" i="29"/>
  <c r="CC415" i="29"/>
  <c r="CQ415" i="29"/>
  <c r="CY415" i="29"/>
  <c r="DG415" i="29"/>
  <c r="BQ415" i="29"/>
  <c r="BY415" i="29"/>
  <c r="CB415" i="29"/>
  <c r="DD415" i="29"/>
  <c r="CV415" i="29"/>
  <c r="DA419" i="29"/>
  <c r="CE419" i="29"/>
  <c r="DI419" i="29"/>
  <c r="CM419" i="29"/>
  <c r="BR419" i="29"/>
  <c r="BV419" i="29"/>
  <c r="CD419" i="29"/>
  <c r="CL419" i="29"/>
  <c r="CT419" i="29"/>
  <c r="CJ419" i="29"/>
  <c r="DH419" i="29"/>
  <c r="BX419" i="29"/>
  <c r="DJ423" i="29"/>
  <c r="CO423" i="29"/>
  <c r="BS423" i="29"/>
  <c r="CQ423" i="29"/>
  <c r="BV423" i="29"/>
  <c r="CK423" i="29"/>
  <c r="CS423" i="29"/>
  <c r="DA423" i="29"/>
  <c r="DI423" i="29"/>
  <c r="BR423" i="29"/>
  <c r="CB423" i="29"/>
  <c r="DD423" i="29"/>
  <c r="CV423" i="29"/>
  <c r="DA427" i="29"/>
  <c r="CE427" i="29"/>
  <c r="DI427" i="29"/>
  <c r="CM427" i="29"/>
  <c r="BR427" i="29"/>
  <c r="BV427" i="29"/>
  <c r="CD427" i="29"/>
  <c r="CL427" i="29"/>
  <c r="CT427" i="29"/>
  <c r="CJ427" i="29"/>
  <c r="DH427" i="29"/>
  <c r="BX427" i="29"/>
  <c r="DK431" i="29"/>
  <c r="CP431" i="29"/>
  <c r="BU431" i="29"/>
  <c r="CX431" i="29"/>
  <c r="CW431" i="29"/>
  <c r="DE431" i="29"/>
  <c r="DB431" i="29"/>
  <c r="DJ431" i="29"/>
  <c r="BS431" i="29"/>
  <c r="CB431" i="29"/>
  <c r="DD431" i="29"/>
  <c r="CV431" i="29"/>
  <c r="CQ435" i="29"/>
  <c r="BV435" i="29"/>
  <c r="CT435" i="29"/>
  <c r="BY435" i="29"/>
  <c r="CH435" i="29"/>
  <c r="CE435" i="29"/>
  <c r="CC435" i="29"/>
  <c r="CK435" i="29"/>
  <c r="BT435" i="29"/>
  <c r="CB435" i="29"/>
  <c r="DG435" i="29"/>
  <c r="CN435" i="29"/>
  <c r="DE441" i="29"/>
  <c r="CG441" i="29"/>
  <c r="DI441" i="29"/>
  <c r="CI441" i="29"/>
  <c r="DF441" i="29"/>
  <c r="DD441" i="29"/>
  <c r="CZ441" i="29"/>
  <c r="DJ441" i="29"/>
  <c r="BO441" i="29"/>
  <c r="CW441" i="29"/>
  <c r="DH441" i="29"/>
  <c r="CR441" i="29"/>
  <c r="CB441" i="29"/>
  <c r="CI445" i="29"/>
  <c r="DD445" i="29"/>
  <c r="DA445" i="29"/>
  <c r="DG445" i="29"/>
  <c r="CO445" i="29"/>
  <c r="CG445" i="29"/>
  <c r="BW445" i="29"/>
  <c r="CW445" i="29"/>
  <c r="DI445" i="29"/>
  <c r="CX445" i="29"/>
  <c r="CC445" i="29"/>
  <c r="BY445" i="29"/>
  <c r="DE449" i="29"/>
  <c r="CC449" i="29"/>
  <c r="CT449" i="29"/>
  <c r="BR449" i="29"/>
  <c r="DJ449" i="29"/>
  <c r="DF449" i="29"/>
  <c r="DD449" i="29"/>
  <c r="CU449" i="29"/>
  <c r="DB449" i="29"/>
  <c r="BV449" i="29"/>
  <c r="DH449" i="29"/>
  <c r="CA449" i="29"/>
  <c r="CW449" i="29"/>
  <c r="CN453" i="29"/>
  <c r="DB453" i="29"/>
  <c r="CI453" i="29"/>
  <c r="CX453" i="29"/>
  <c r="DI453" i="29"/>
  <c r="DJ453" i="29"/>
  <c r="DL453" i="29"/>
  <c r="BO453" i="29"/>
  <c r="CM453" i="29"/>
  <c r="CV453" i="29"/>
  <c r="CR453" i="29"/>
  <c r="CJ453" i="29"/>
  <c r="DA457" i="29"/>
  <c r="BY457" i="29"/>
  <c r="CX457" i="29"/>
  <c r="BU457" i="29"/>
  <c r="BT457" i="29"/>
  <c r="BP457" i="29"/>
  <c r="CZ457" i="29"/>
  <c r="CU457" i="29"/>
  <c r="DB457" i="29"/>
  <c r="BV457" i="29"/>
  <c r="CL457" i="29"/>
  <c r="CQ457" i="29"/>
  <c r="CB457" i="29"/>
  <c r="BQ461" i="29"/>
  <c r="CW461" i="29"/>
  <c r="DD461" i="29"/>
  <c r="CA461" i="29"/>
  <c r="CZ461" i="29"/>
  <c r="CI461" i="29"/>
  <c r="DJ461" i="29"/>
  <c r="DC461" i="29"/>
  <c r="CN461" i="29"/>
  <c r="CJ461" i="29"/>
  <c r="BP461" i="29"/>
  <c r="CV461" i="29"/>
  <c r="DH465" i="29"/>
  <c r="DI465" i="29"/>
  <c r="CN465" i="29"/>
  <c r="CP465" i="29"/>
  <c r="DA465" i="29"/>
  <c r="CD465" i="29"/>
  <c r="CA465" i="29"/>
  <c r="DD465" i="29"/>
  <c r="CG465" i="29"/>
  <c r="BP465" i="29"/>
  <c r="CJ465" i="29"/>
  <c r="BQ465" i="29"/>
  <c r="BW465" i="29"/>
  <c r="CQ470" i="29"/>
  <c r="DI470" i="29"/>
  <c r="CG470" i="29"/>
  <c r="CO470" i="29"/>
  <c r="CH470" i="29"/>
  <c r="CY470" i="29"/>
  <c r="CL470" i="29"/>
  <c r="CP470" i="29"/>
  <c r="BX470" i="29"/>
  <c r="BP470" i="29"/>
  <c r="BZ470" i="29"/>
  <c r="CB470" i="29"/>
  <c r="CY199" i="29"/>
  <c r="CQ199" i="29"/>
  <c r="CU199" i="29"/>
  <c r="DC199" i="29"/>
  <c r="CB199" i="29"/>
  <c r="CS199" i="29"/>
  <c r="CZ199" i="29"/>
  <c r="DL199" i="29"/>
  <c r="CO199" i="29"/>
  <c r="DF199" i="29"/>
  <c r="CG199" i="29"/>
  <c r="DB199" i="29"/>
  <c r="CT199" i="29"/>
  <c r="CE203" i="29"/>
  <c r="BW203" i="29"/>
  <c r="CY203" i="29"/>
  <c r="BQ203" i="29"/>
  <c r="CB203" i="29"/>
  <c r="DE203" i="29"/>
  <c r="BU203" i="29"/>
  <c r="CL203" i="29"/>
  <c r="CV203" i="29"/>
  <c r="CS203" i="29"/>
  <c r="CC203" i="29"/>
  <c r="BR203" i="29"/>
  <c r="CJ207" i="29"/>
  <c r="CZ207" i="29"/>
  <c r="BT207" i="29"/>
  <c r="CQ207" i="29"/>
  <c r="DL207" i="29"/>
  <c r="BV207" i="29"/>
  <c r="DB207" i="29"/>
  <c r="DH207" i="29"/>
  <c r="CG207" i="29"/>
  <c r="DJ207" i="29"/>
  <c r="CF207" i="29"/>
  <c r="CO207" i="29"/>
  <c r="BX207" i="29"/>
  <c r="CN211" i="29"/>
  <c r="CT211" i="29"/>
  <c r="CM211" i="29"/>
  <c r="CR211" i="29"/>
  <c r="BO211" i="29"/>
  <c r="CU211" i="29"/>
  <c r="BU211" i="29"/>
  <c r="DI211" i="29"/>
  <c r="CL211" i="29"/>
  <c r="BY211" i="29"/>
  <c r="CW211" i="29"/>
  <c r="CE211" i="29"/>
  <c r="BX215" i="29"/>
  <c r="DJ215" i="29"/>
  <c r="CS215" i="29"/>
  <c r="CV215" i="29"/>
  <c r="CL215" i="29"/>
  <c r="BU215" i="29"/>
  <c r="BZ215" i="29"/>
  <c r="CU215" i="29"/>
  <c r="BY215" i="29"/>
  <c r="CZ215" i="29"/>
  <c r="CH215" i="29"/>
  <c r="BW215" i="29"/>
  <c r="DC215" i="29"/>
  <c r="DJ219" i="29"/>
  <c r="CS219" i="29"/>
  <c r="CA219" i="29"/>
  <c r="CL219" i="29"/>
  <c r="BU219" i="29"/>
  <c r="CI219" i="29"/>
  <c r="CO219" i="29"/>
  <c r="CZ219" i="29"/>
  <c r="DD219" i="29"/>
  <c r="BR219" i="29"/>
  <c r="DC219" i="29"/>
  <c r="BW219" i="29"/>
  <c r="CI223" i="29"/>
  <c r="CD223" i="29"/>
  <c r="BP223" i="29"/>
  <c r="DB223" i="29"/>
  <c r="CK223" i="29"/>
  <c r="CQ223" i="29"/>
  <c r="BY223" i="29"/>
  <c r="CU223" i="29"/>
  <c r="BX223" i="29"/>
  <c r="BT223" i="29"/>
  <c r="CG223" i="29"/>
  <c r="CN223" i="29"/>
  <c r="BR223" i="29"/>
  <c r="DI227" i="29"/>
  <c r="CV227" i="29"/>
  <c r="CL227" i="29"/>
  <c r="BU227" i="29"/>
  <c r="CB227" i="29"/>
  <c r="BY227" i="29"/>
  <c r="CE227" i="29"/>
  <c r="CO227" i="29"/>
  <c r="BO227" i="29"/>
  <c r="CG227" i="29"/>
  <c r="CH227" i="29"/>
  <c r="BQ227" i="29"/>
  <c r="CR231" i="29"/>
  <c r="DI231" i="29"/>
  <c r="CV231" i="29"/>
  <c r="CL231" i="29"/>
  <c r="BU231" i="29"/>
  <c r="CZ231" i="29"/>
  <c r="BX231" i="29"/>
  <c r="BT231" i="29"/>
  <c r="DD231" i="29"/>
  <c r="CQ231" i="29"/>
  <c r="CH231" i="29"/>
  <c r="DC231" i="29"/>
  <c r="BW231" i="29"/>
  <c r="CX235" i="29"/>
  <c r="CG235" i="29"/>
  <c r="DF235" i="29"/>
  <c r="CO235" i="29"/>
  <c r="CQ235" i="29"/>
  <c r="CV235" i="29"/>
  <c r="CY235" i="29"/>
  <c r="CS235" i="29"/>
  <c r="CL235" i="29"/>
  <c r="BV235" i="29"/>
  <c r="DL235" i="29"/>
  <c r="DA235" i="29"/>
  <c r="CY239" i="29"/>
  <c r="BR239" i="29"/>
  <c r="CN239" i="29"/>
  <c r="DF239" i="29"/>
  <c r="CO239" i="29"/>
  <c r="BS239" i="29"/>
  <c r="BP239" i="29"/>
  <c r="CR239" i="29"/>
  <c r="CV239" i="29"/>
  <c r="DB239" i="29"/>
  <c r="CQ239" i="29"/>
  <c r="DC239" i="29"/>
  <c r="BW239" i="29"/>
  <c r="CD243" i="29"/>
  <c r="CG243" i="29"/>
  <c r="DH243" i="29"/>
  <c r="BV243" i="29"/>
  <c r="CK243" i="29"/>
  <c r="DC243" i="29"/>
  <c r="CE243" i="29"/>
  <c r="CH243" i="29"/>
  <c r="DD243" i="29"/>
  <c r="CI243" i="29"/>
  <c r="CA243" i="29"/>
  <c r="BX243" i="29"/>
  <c r="CH247" i="29"/>
  <c r="BY247" i="29"/>
  <c r="DE247" i="29"/>
  <c r="BR247" i="29"/>
  <c r="DG247" i="29"/>
  <c r="CJ247" i="29"/>
  <c r="CQ247" i="29"/>
  <c r="CR247" i="29"/>
  <c r="BP247" i="29"/>
  <c r="CA247" i="29"/>
  <c r="CN247" i="29"/>
  <c r="CY247" i="29"/>
  <c r="CF247" i="29"/>
  <c r="CM251" i="29"/>
  <c r="CE251" i="29"/>
  <c r="DJ251" i="29"/>
  <c r="CT251" i="29"/>
  <c r="BP251" i="29"/>
  <c r="DA251" i="29"/>
  <c r="CH251" i="29"/>
  <c r="DI251" i="29"/>
  <c r="DB251" i="29"/>
  <c r="CB251" i="29"/>
  <c r="CI251" i="29"/>
  <c r="BR251" i="29"/>
  <c r="CX255" i="29"/>
  <c r="BO255" i="29"/>
  <c r="DC255" i="29"/>
  <c r="DJ255" i="29"/>
  <c r="CK255" i="29"/>
  <c r="CA255" i="29"/>
  <c r="DH255" i="29"/>
  <c r="CQ255" i="29"/>
  <c r="CZ255" i="29"/>
  <c r="CI255" i="29"/>
  <c r="BP255" i="29"/>
  <c r="CY255" i="29"/>
  <c r="CV255" i="29"/>
  <c r="DF259" i="29"/>
  <c r="DK259" i="29"/>
  <c r="DJ259" i="29"/>
  <c r="BV259" i="29"/>
  <c r="BX259" i="29"/>
  <c r="CS259" i="29"/>
  <c r="CX259" i="29"/>
  <c r="BO259" i="29"/>
  <c r="CJ259" i="29"/>
  <c r="DB259" i="29"/>
  <c r="BS259" i="29"/>
  <c r="BQ259" i="29"/>
  <c r="CW263" i="29"/>
  <c r="DJ263" i="29"/>
  <c r="CP263" i="29"/>
  <c r="DE263" i="29"/>
  <c r="BP263" i="29"/>
  <c r="CC263" i="29"/>
  <c r="DG263" i="29"/>
  <c r="CK263" i="29"/>
  <c r="CR263" i="29"/>
  <c r="DH263" i="29"/>
  <c r="CB263" i="29"/>
  <c r="CJ263" i="29"/>
  <c r="CZ263" i="29"/>
  <c r="DA269" i="29"/>
  <c r="BO269" i="29"/>
  <c r="CI269" i="29"/>
  <c r="DI269" i="29"/>
  <c r="CE269" i="29"/>
  <c r="CY269" i="29"/>
  <c r="BQ269" i="29"/>
  <c r="CX269" i="29"/>
  <c r="CB269" i="29"/>
  <c r="DE269" i="29"/>
  <c r="BZ269" i="29"/>
  <c r="DC269" i="29"/>
  <c r="DD273" i="29"/>
  <c r="CF273" i="29"/>
  <c r="DA273" i="29"/>
  <c r="BO273" i="29"/>
  <c r="CT273" i="29"/>
  <c r="CC273" i="29"/>
  <c r="BT273" i="29"/>
  <c r="CO273" i="29"/>
  <c r="BR273" i="29"/>
  <c r="CN273" i="29"/>
  <c r="CB273" i="29"/>
  <c r="BS273" i="29"/>
  <c r="CY273" i="29"/>
  <c r="CX277" i="29"/>
  <c r="CG277" i="29"/>
  <c r="CB277" i="29"/>
  <c r="CP277" i="29"/>
  <c r="BY277" i="29"/>
  <c r="DG277" i="29"/>
  <c r="CC277" i="29"/>
  <c r="DJ277" i="29"/>
  <c r="CZ277" i="29"/>
  <c r="BO277" i="29"/>
  <c r="BU277" i="29"/>
  <c r="BV277" i="29"/>
  <c r="BQ281" i="29"/>
  <c r="BR281" i="29"/>
  <c r="BS281" i="29"/>
  <c r="BT281" i="29"/>
  <c r="CW281" i="29"/>
  <c r="CT281" i="29"/>
  <c r="DH281" i="29"/>
  <c r="CQ281" i="29"/>
  <c r="DL281" i="29"/>
  <c r="CS281" i="29"/>
  <c r="CL281" i="29"/>
  <c r="BX281" i="29"/>
  <c r="CK281" i="29"/>
  <c r="BQ285" i="29"/>
  <c r="CX285" i="29"/>
  <c r="BS285" i="29"/>
  <c r="CP285" i="29"/>
  <c r="CB285" i="29"/>
  <c r="BZ285" i="29"/>
  <c r="DG285" i="29"/>
  <c r="CZ285" i="29"/>
  <c r="CA285" i="29"/>
  <c r="CH285" i="29"/>
  <c r="CN285" i="29"/>
  <c r="CM285" i="29"/>
  <c r="DC289" i="29"/>
  <c r="CI289" i="29"/>
  <c r="DI289" i="29"/>
  <c r="CL289" i="29"/>
  <c r="DD289" i="29"/>
  <c r="DF289" i="29"/>
  <c r="CA289" i="29"/>
  <c r="BT289" i="29"/>
  <c r="DH289" i="29"/>
  <c r="BW289" i="29"/>
  <c r="BY289" i="29"/>
  <c r="BQ289" i="29"/>
  <c r="BV289" i="29"/>
  <c r="CL293" i="29"/>
  <c r="BU293" i="29"/>
  <c r="CV293" i="29"/>
  <c r="DJ293" i="29"/>
  <c r="CS293" i="29"/>
  <c r="CZ293" i="29"/>
  <c r="CP293" i="29"/>
  <c r="DL293" i="29"/>
  <c r="DC293" i="29"/>
  <c r="CM293" i="29"/>
  <c r="DH293" i="29"/>
  <c r="BQ293" i="29"/>
  <c r="BT298" i="29"/>
  <c r="DA298" i="29"/>
  <c r="BP298" i="29"/>
  <c r="CE298" i="29"/>
  <c r="BR298" i="29"/>
  <c r="CM298" i="29"/>
  <c r="BZ298" i="29"/>
  <c r="DI298" i="29"/>
  <c r="DB298" i="29"/>
  <c r="CD298" i="29"/>
  <c r="BQ298" i="29"/>
  <c r="CG298" i="29"/>
  <c r="CW298" i="29"/>
  <c r="DJ302" i="29"/>
  <c r="CU302" i="29"/>
  <c r="BZ302" i="29"/>
  <c r="BR302" i="29"/>
  <c r="DL302" i="29"/>
  <c r="DC302" i="29"/>
  <c r="BX302" i="29"/>
  <c r="CG302" i="29"/>
  <c r="DI302" i="29"/>
  <c r="CC302" i="29"/>
  <c r="CQ302" i="29"/>
  <c r="CX302" i="29"/>
  <c r="DJ549" i="29"/>
  <c r="CT549" i="29"/>
  <c r="CD549" i="29"/>
  <c r="CM549" i="29"/>
  <c r="CH549" i="29"/>
  <c r="CE549" i="29"/>
  <c r="CK549" i="29"/>
  <c r="CC549" i="29"/>
  <c r="CI549" i="29"/>
  <c r="BR549" i="29"/>
  <c r="CU549" i="29"/>
  <c r="DF549" i="29"/>
  <c r="CX549" i="29"/>
  <c r="BQ553" i="29"/>
  <c r="DD553" i="29"/>
  <c r="DA553" i="29"/>
  <c r="BX553" i="29"/>
  <c r="DL553" i="29"/>
  <c r="CG553" i="29"/>
  <c r="DC553" i="29"/>
  <c r="CR553" i="29"/>
  <c r="CJ553" i="29"/>
  <c r="DF553" i="29"/>
  <c r="CO553" i="29"/>
  <c r="CX553" i="29"/>
  <c r="CO557" i="29"/>
  <c r="CA557" i="29"/>
  <c r="CZ557" i="29"/>
  <c r="CV557" i="29"/>
  <c r="CJ557" i="29"/>
  <c r="CE557" i="29"/>
  <c r="CK557" i="29"/>
  <c r="BW557" i="29"/>
  <c r="DH557" i="29"/>
  <c r="DD557" i="29"/>
  <c r="CH557" i="29"/>
  <c r="CC557" i="29"/>
  <c r="CN557" i="29"/>
  <c r="CW561" i="29"/>
  <c r="CA561" i="29"/>
  <c r="CO561" i="29"/>
  <c r="CM561" i="29"/>
  <c r="DF561" i="29"/>
  <c r="CK561" i="29"/>
  <c r="BO561" i="29"/>
  <c r="CI561" i="29"/>
  <c r="CS561" i="29"/>
  <c r="CF561" i="29"/>
  <c r="BT561" i="29"/>
  <c r="CB561" i="29"/>
  <c r="DK565" i="29"/>
  <c r="CP565" i="29"/>
  <c r="BU565" i="29"/>
  <c r="CM565" i="29"/>
  <c r="CQ565" i="29"/>
  <c r="DE565" i="29"/>
  <c r="CI565" i="29"/>
  <c r="DC565" i="29"/>
  <c r="DG565" i="29"/>
  <c r="BQ565" i="29"/>
  <c r="CN565" i="29"/>
  <c r="BX565" i="29"/>
  <c r="DH565" i="29"/>
  <c r="DE569" i="29"/>
  <c r="CA569" i="29"/>
  <c r="CK569" i="29"/>
  <c r="CL569" i="29"/>
  <c r="CX569" i="29"/>
  <c r="CU569" i="29"/>
  <c r="BU569" i="29"/>
  <c r="BW569" i="29"/>
  <c r="CD569" i="29"/>
  <c r="DA569" i="29"/>
  <c r="DL569" i="29"/>
  <c r="CR569" i="29"/>
  <c r="CI573" i="29"/>
  <c r="DJ573" i="29"/>
  <c r="CX573" i="29"/>
  <c r="DG573" i="29"/>
  <c r="CL573" i="29"/>
  <c r="CO573" i="29"/>
  <c r="CU573" i="29"/>
  <c r="BZ573" i="29"/>
  <c r="BQ573" i="29"/>
  <c r="CQ573" i="29"/>
  <c r="BV573" i="29"/>
  <c r="BP573" i="29"/>
  <c r="CC573" i="29"/>
  <c r="CD577" i="29"/>
  <c r="CG577" i="29"/>
  <c r="CZ577" i="29"/>
  <c r="CJ577" i="29"/>
  <c r="DI577" i="29"/>
  <c r="CW577" i="29"/>
  <c r="CB577" i="29"/>
  <c r="DH577" i="29"/>
  <c r="BW577" i="29"/>
  <c r="CT577" i="29"/>
  <c r="CC577" i="29"/>
  <c r="CE577" i="29"/>
  <c r="DJ581" i="29"/>
  <c r="BT581" i="29"/>
  <c r="DI581" i="29"/>
  <c r="BR581" i="29"/>
  <c r="CS581" i="29"/>
  <c r="DF581" i="29"/>
  <c r="BO581" i="29"/>
  <c r="CM581" i="29"/>
  <c r="DG581" i="29"/>
  <c r="CL581" i="29"/>
  <c r="BW581" i="29"/>
  <c r="CF581" i="29"/>
  <c r="CI581" i="29"/>
  <c r="DF585" i="29"/>
  <c r="DL585" i="29"/>
  <c r="CF585" i="29"/>
  <c r="CQ585" i="29"/>
  <c r="BT585" i="29"/>
  <c r="CY585" i="29"/>
  <c r="DH585" i="29"/>
  <c r="BY585" i="29"/>
  <c r="BW585" i="29"/>
  <c r="CN585" i="29"/>
  <c r="CZ585" i="29"/>
  <c r="CT585" i="29"/>
  <c r="CX589" i="29"/>
  <c r="CO589" i="29"/>
  <c r="BT589" i="29"/>
  <c r="CB589" i="29"/>
  <c r="CU589" i="29"/>
  <c r="BZ589" i="29"/>
  <c r="BW589" i="29"/>
  <c r="CZ589" i="29"/>
  <c r="DL589" i="29"/>
  <c r="DI589" i="29"/>
  <c r="BP589" i="29"/>
  <c r="DA589" i="29"/>
  <c r="BS589" i="29"/>
  <c r="CL593" i="29"/>
  <c r="CF593" i="29"/>
  <c r="CA593" i="29"/>
  <c r="CK593" i="29"/>
  <c r="CY593" i="29"/>
  <c r="BU593" i="29"/>
  <c r="DD593" i="29"/>
  <c r="DE593" i="29"/>
  <c r="CX593" i="29"/>
  <c r="BZ593" i="29"/>
  <c r="CE593" i="29"/>
  <c r="CS593" i="29"/>
  <c r="CZ597" i="29"/>
  <c r="CC597" i="29"/>
  <c r="DH597" i="29"/>
  <c r="BV597" i="29"/>
  <c r="BT597" i="29"/>
  <c r="CI597" i="29"/>
  <c r="BR597" i="29"/>
  <c r="DL597" i="29"/>
  <c r="CU597" i="29"/>
  <c r="BZ597" i="29"/>
  <c r="CP597" i="29"/>
  <c r="DC597" i="29"/>
  <c r="DF597" i="29"/>
  <c r="BU601" i="29"/>
  <c r="CG601" i="29"/>
  <c r="CD601" i="29"/>
  <c r="DF601" i="29"/>
  <c r="CF601" i="29"/>
  <c r="DD601" i="29"/>
  <c r="CI601" i="29"/>
  <c r="CN601" i="29"/>
  <c r="DK601" i="29"/>
  <c r="CZ601" i="29"/>
  <c r="CQ601" i="29"/>
  <c r="DL601" i="29"/>
  <c r="CO605" i="29"/>
  <c r="CI605" i="29"/>
  <c r="DF605" i="29"/>
  <c r="BV605" i="29"/>
  <c r="BR605" i="29"/>
  <c r="CM605" i="29"/>
  <c r="CG605" i="29"/>
  <c r="BO605" i="29"/>
  <c r="CF605" i="29"/>
  <c r="BQ605" i="29"/>
  <c r="CV605" i="29"/>
  <c r="BW605" i="29"/>
  <c r="DH605" i="29"/>
  <c r="BQ609" i="29"/>
  <c r="CR609" i="29"/>
  <c r="CW609" i="29"/>
  <c r="CA609" i="29"/>
  <c r="CX609" i="29"/>
  <c r="DA609" i="29"/>
  <c r="CM609" i="29"/>
  <c r="BP609" i="29"/>
  <c r="CY609" i="29"/>
  <c r="CZ609" i="29"/>
  <c r="CU609" i="29"/>
  <c r="DD609" i="29"/>
  <c r="DB613" i="29"/>
  <c r="CO613" i="29"/>
  <c r="CA613" i="29"/>
  <c r="BP613" i="29"/>
  <c r="CY613" i="29"/>
  <c r="DI613" i="29"/>
  <c r="DD613" i="29"/>
  <c r="BU613" i="29"/>
  <c r="CZ613" i="29"/>
  <c r="CT613" i="29"/>
  <c r="BS613" i="29"/>
  <c r="DK613" i="29"/>
  <c r="BZ613" i="29"/>
  <c r="CI619" i="29"/>
  <c r="CN619" i="29"/>
  <c r="DJ619" i="29"/>
  <c r="BW619" i="29"/>
  <c r="CV619" i="29"/>
  <c r="CC619" i="29"/>
  <c r="CF619" i="29"/>
  <c r="CE619" i="29"/>
  <c r="BY619" i="29"/>
  <c r="CM619" i="29"/>
  <c r="BQ619" i="29"/>
  <c r="CG619" i="29"/>
  <c r="DF623" i="29"/>
  <c r="DL623" i="29"/>
  <c r="CN623" i="29"/>
  <c r="DJ623" i="29"/>
  <c r="DD623" i="29"/>
  <c r="DC623" i="29"/>
  <c r="CG623" i="29"/>
  <c r="DA623" i="29"/>
  <c r="CB623" i="29"/>
  <c r="CW623" i="29"/>
  <c r="DI623" i="29"/>
  <c r="CL623" i="29"/>
  <c r="BR623" i="29"/>
  <c r="CA627" i="29"/>
  <c r="BV627" i="29"/>
  <c r="CQ627" i="29"/>
  <c r="CD627" i="29"/>
  <c r="CW627" i="29"/>
  <c r="CJ627" i="29"/>
  <c r="BY627" i="29"/>
  <c r="CS627" i="29"/>
  <c r="CE627" i="29"/>
  <c r="DD627" i="29"/>
  <c r="CP627" i="29"/>
  <c r="CY627" i="29"/>
  <c r="CY631" i="29"/>
  <c r="BW631" i="29"/>
  <c r="CN631" i="29"/>
  <c r="CE631" i="29"/>
  <c r="CX631" i="29"/>
  <c r="BT631" i="29"/>
  <c r="CZ631" i="29"/>
  <c r="CO631" i="29"/>
  <c r="DL631" i="29"/>
  <c r="CK631" i="29"/>
  <c r="CW631" i="29"/>
  <c r="CL631" i="29"/>
  <c r="DG631" i="29"/>
  <c r="CL635" i="29"/>
  <c r="CE635" i="29"/>
  <c r="BY635" i="29"/>
  <c r="CJ635" i="29"/>
  <c r="CW635" i="29"/>
  <c r="BT635" i="29"/>
  <c r="BU635" i="29"/>
  <c r="CB635" i="29"/>
  <c r="CG635" i="29"/>
  <c r="DH635" i="29"/>
  <c r="CC635" i="29"/>
  <c r="CN635" i="29"/>
  <c r="DK639" i="29"/>
  <c r="CP639" i="29"/>
  <c r="BU639" i="29"/>
  <c r="BW639" i="29"/>
  <c r="BQ639" i="29"/>
  <c r="CT639" i="29"/>
  <c r="BY639" i="29"/>
  <c r="CS639" i="29"/>
  <c r="DG639" i="29"/>
  <c r="BV639" i="29"/>
  <c r="BP639" i="29"/>
  <c r="DH639" i="29"/>
  <c r="CJ639" i="29"/>
  <c r="CW643" i="29"/>
  <c r="CA643" i="29"/>
  <c r="CI643" i="29"/>
  <c r="CM643" i="29"/>
  <c r="DF643" i="29"/>
  <c r="CK643" i="29"/>
  <c r="BO643" i="29"/>
  <c r="CO643" i="29"/>
  <c r="CS643" i="29"/>
  <c r="CN643" i="29"/>
  <c r="CR643" i="29"/>
  <c r="CJ643" i="29"/>
  <c r="DB648" i="29"/>
  <c r="CL648" i="29"/>
  <c r="CZ648" i="29"/>
  <c r="DH648" i="29"/>
  <c r="CT648" i="29"/>
  <c r="BY648" i="29"/>
  <c r="BR648" i="29"/>
  <c r="BS648" i="29"/>
  <c r="BU648" i="29"/>
  <c r="BZ648" i="29"/>
  <c r="CI648" i="29"/>
  <c r="CC648" i="29"/>
  <c r="CE648" i="29"/>
  <c r="DB652" i="29"/>
  <c r="DA652" i="29"/>
  <c r="BP652" i="29"/>
  <c r="CQ652" i="29"/>
  <c r="BT652" i="29"/>
  <c r="CE652" i="29"/>
  <c r="BQ652" i="29"/>
  <c r="BZ652" i="29"/>
  <c r="CS652" i="29"/>
  <c r="CM652" i="29"/>
  <c r="DE652" i="29"/>
  <c r="CR652" i="29"/>
  <c r="CZ725" i="29"/>
  <c r="BX725" i="29"/>
  <c r="CV725" i="29"/>
  <c r="BT725" i="29"/>
  <c r="DI725" i="29"/>
  <c r="DE725" i="29"/>
  <c r="CP725" i="29"/>
  <c r="CQ725" i="29"/>
  <c r="DH725" i="29"/>
  <c r="CB725" i="29"/>
  <c r="DC725" i="29"/>
  <c r="DK725" i="29"/>
  <c r="BO725" i="29"/>
  <c r="CE729" i="29"/>
  <c r="BZ729" i="29"/>
  <c r="CN729" i="29"/>
  <c r="CT729" i="29"/>
  <c r="BT729" i="29"/>
  <c r="DD729" i="29"/>
  <c r="BQ729" i="29"/>
  <c r="CQ729" i="29"/>
  <c r="CZ729" i="29"/>
  <c r="DL729" i="29"/>
  <c r="DI729" i="29"/>
  <c r="CI729" i="29"/>
  <c r="DD733" i="29"/>
  <c r="DL733" i="29"/>
  <c r="CR733" i="29"/>
  <c r="DB733" i="29"/>
  <c r="CC733" i="29"/>
  <c r="CQ733" i="29"/>
  <c r="CX733" i="29"/>
  <c r="CZ733" i="29"/>
  <c r="CW733" i="29"/>
  <c r="CT733" i="29"/>
  <c r="CM733" i="29"/>
  <c r="BW733" i="29"/>
  <c r="CH733" i="29"/>
  <c r="DI737" i="29"/>
  <c r="DD737" i="29"/>
  <c r="BP737" i="29"/>
  <c r="CA737" i="29"/>
  <c r="BQ737" i="29"/>
  <c r="CY737" i="29"/>
  <c r="DJ737" i="29"/>
  <c r="DC737" i="29"/>
  <c r="CJ737" i="29"/>
  <c r="DE737" i="29"/>
  <c r="DB737" i="29"/>
  <c r="CL737" i="29"/>
  <c r="CZ741" i="29"/>
  <c r="DD741" i="29"/>
  <c r="DL741" i="29"/>
  <c r="CF741" i="29"/>
  <c r="CV741" i="29"/>
  <c r="CA741" i="29"/>
  <c r="BQ741" i="29"/>
  <c r="BS741" i="29"/>
  <c r="CG741" i="29"/>
  <c r="DE741" i="29"/>
  <c r="BY741" i="29"/>
  <c r="BR741" i="29"/>
  <c r="CH741" i="29"/>
  <c r="CS745" i="29"/>
  <c r="DB745" i="29"/>
  <c r="CZ745" i="29"/>
  <c r="DG745" i="29"/>
  <c r="CT745" i="29"/>
  <c r="BX745" i="29"/>
  <c r="CU745" i="29"/>
  <c r="BP745" i="29"/>
  <c r="CX745" i="29"/>
  <c r="BZ745" i="29"/>
  <c r="CR745" i="29"/>
  <c r="BW745" i="29"/>
  <c r="CN749" i="29"/>
  <c r="CV749" i="29"/>
  <c r="CZ749" i="29"/>
  <c r="DF749" i="29"/>
  <c r="CC749" i="29"/>
  <c r="DK749" i="29"/>
  <c r="CX749" i="29"/>
  <c r="CS749" i="29"/>
  <c r="CL749" i="29"/>
  <c r="DB749" i="29"/>
  <c r="DA749" i="29"/>
  <c r="BQ749" i="29"/>
  <c r="CT749" i="29"/>
  <c r="DA753" i="29"/>
  <c r="BP753" i="29"/>
  <c r="DD753" i="29"/>
  <c r="CA753" i="29"/>
  <c r="BQ753" i="29"/>
  <c r="CY753" i="29"/>
  <c r="CL753" i="29"/>
  <c r="CM753" i="29"/>
  <c r="DC753" i="29"/>
  <c r="CJ753" i="29"/>
  <c r="CX753" i="29"/>
  <c r="CZ753" i="29"/>
  <c r="CX757" i="29"/>
  <c r="CQ757" i="29"/>
  <c r="BP757" i="29"/>
  <c r="BU757" i="29"/>
  <c r="CO757" i="29"/>
  <c r="CY757" i="29"/>
  <c r="CW757" i="29"/>
  <c r="DJ757" i="29"/>
  <c r="DA757" i="29"/>
  <c r="CK757" i="29"/>
  <c r="CP757" i="29"/>
  <c r="DK757" i="29"/>
  <c r="BW757" i="29"/>
  <c r="BX761" i="29"/>
  <c r="CD761" i="29"/>
  <c r="DF761" i="29"/>
  <c r="CZ761" i="29"/>
  <c r="DA761" i="29"/>
  <c r="CV761" i="29"/>
  <c r="CS761" i="29"/>
  <c r="DG761" i="29"/>
  <c r="BQ761" i="29"/>
  <c r="CF761" i="29"/>
  <c r="DL761" i="29"/>
  <c r="DE761" i="29"/>
  <c r="CO765" i="29"/>
  <c r="BO765" i="29"/>
  <c r="DL765" i="29"/>
  <c r="CW765" i="29"/>
  <c r="BZ765" i="29"/>
  <c r="CQ765" i="29"/>
  <c r="DG765" i="29"/>
  <c r="BS765" i="29"/>
  <c r="BU765" i="29"/>
  <c r="CV765" i="29"/>
  <c r="CA765" i="29"/>
  <c r="CD765" i="29"/>
  <c r="CS765" i="29"/>
  <c r="CD769" i="29"/>
  <c r="CI769" i="29"/>
  <c r="CP769" i="29"/>
  <c r="CJ769" i="29"/>
  <c r="DA769" i="29"/>
  <c r="CV769" i="29"/>
  <c r="DK769" i="29"/>
  <c r="CL769" i="29"/>
  <c r="CW769" i="29"/>
  <c r="DF769" i="29"/>
  <c r="CO769" i="29"/>
  <c r="CQ769" i="29"/>
  <c r="CE773" i="29"/>
  <c r="CK773" i="29"/>
  <c r="BY773" i="29"/>
  <c r="DH773" i="29"/>
  <c r="BO773" i="29"/>
  <c r="CL773" i="29"/>
  <c r="DE773" i="29"/>
  <c r="CU773" i="29"/>
  <c r="CJ773" i="29"/>
  <c r="DL773" i="29"/>
  <c r="BU773" i="29"/>
  <c r="CH773" i="29"/>
  <c r="CV773" i="29"/>
  <c r="CC777" i="29"/>
  <c r="CX777" i="29"/>
  <c r="BY777" i="29"/>
  <c r="BS777" i="29"/>
  <c r="CP777" i="29"/>
  <c r="BO777" i="29"/>
  <c r="CF777" i="29"/>
  <c r="BT777" i="29"/>
  <c r="DJ777" i="29"/>
  <c r="CN777" i="29"/>
  <c r="DL777" i="29"/>
  <c r="CA777" i="29"/>
  <c r="CT781" i="29"/>
  <c r="BQ781" i="29"/>
  <c r="DA781" i="29"/>
  <c r="DG781" i="29"/>
  <c r="CW781" i="29"/>
  <c r="BO781" i="29"/>
  <c r="BP781" i="29"/>
  <c r="BT781" i="29"/>
  <c r="DF781" i="29"/>
  <c r="CI781" i="29"/>
  <c r="CZ781" i="29"/>
  <c r="CY781" i="29"/>
  <c r="CX781" i="29"/>
  <c r="BP785" i="29"/>
  <c r="CV785" i="29"/>
  <c r="CA785" i="29"/>
  <c r="CP785" i="29"/>
  <c r="BO785" i="29"/>
  <c r="CH785" i="29"/>
  <c r="DC785" i="29"/>
  <c r="DB785" i="29"/>
  <c r="CN785" i="29"/>
  <c r="BQ785" i="29"/>
  <c r="BT785" i="29"/>
  <c r="DJ785" i="29"/>
  <c r="DC791" i="29"/>
  <c r="BR791" i="29"/>
  <c r="CF791" i="29"/>
  <c r="BZ791" i="29"/>
  <c r="CB791" i="29"/>
  <c r="BT791" i="29"/>
  <c r="CY791" i="29"/>
  <c r="DI791" i="29"/>
  <c r="BP791" i="29"/>
  <c r="DD791" i="29"/>
  <c r="DJ791" i="29"/>
  <c r="BY791" i="29"/>
  <c r="CS791" i="29"/>
  <c r="CP795" i="29"/>
  <c r="DH795" i="29"/>
  <c r="CE795" i="29"/>
  <c r="CN795" i="29"/>
  <c r="CH795" i="29"/>
  <c r="DF795" i="29"/>
  <c r="CJ795" i="29"/>
  <c r="BV795" i="29"/>
  <c r="CG795" i="29"/>
  <c r="BU795" i="29"/>
  <c r="DB795" i="29"/>
  <c r="CL795" i="29"/>
  <c r="BP799" i="29"/>
  <c r="CD799" i="29"/>
  <c r="CO799" i="29"/>
  <c r="CY799" i="29"/>
  <c r="BV799" i="29"/>
  <c r="CA799" i="29"/>
  <c r="BU799" i="29"/>
  <c r="CI799" i="29"/>
  <c r="CP799" i="29"/>
  <c r="CC799" i="29"/>
  <c r="DG799" i="29"/>
  <c r="CH799" i="29"/>
  <c r="CN799" i="29"/>
  <c r="CV803" i="29"/>
  <c r="BR803" i="29"/>
  <c r="CE803" i="29"/>
  <c r="DB803" i="29"/>
  <c r="CU803" i="29"/>
  <c r="CC803" i="29"/>
  <c r="CM803" i="29"/>
  <c r="CQ803" i="29"/>
  <c r="BO803" i="29"/>
  <c r="CO803" i="29"/>
  <c r="CG803" i="29"/>
  <c r="DH803" i="29"/>
  <c r="CP807" i="29"/>
  <c r="BP807" i="29"/>
  <c r="CX807" i="29"/>
  <c r="DD807" i="29"/>
  <c r="DJ807" i="29"/>
  <c r="CE807" i="29"/>
  <c r="CQ807" i="29"/>
  <c r="CS807" i="29"/>
  <c r="CW807" i="29"/>
  <c r="CB807" i="29"/>
  <c r="DH807" i="29"/>
  <c r="BS807" i="29"/>
  <c r="CK807" i="29"/>
  <c r="CM811" i="29"/>
  <c r="DK811" i="29"/>
  <c r="CI811" i="29"/>
  <c r="CJ811" i="29"/>
  <c r="CC811" i="29"/>
  <c r="BY811" i="29"/>
  <c r="CG811" i="29"/>
  <c r="CA811" i="29"/>
  <c r="CD811" i="29"/>
  <c r="CH811" i="29"/>
  <c r="DA811" i="29"/>
  <c r="DF811" i="29"/>
  <c r="DC815" i="29"/>
  <c r="BQ815" i="29"/>
  <c r="CF815" i="29"/>
  <c r="BY815" i="29"/>
  <c r="CV815" i="29"/>
  <c r="CM815" i="29"/>
  <c r="DI815" i="29"/>
  <c r="DB815" i="29"/>
  <c r="CC815" i="29"/>
  <c r="DD815" i="29"/>
  <c r="CI815" i="29"/>
  <c r="BX815" i="29"/>
  <c r="CE815" i="29"/>
  <c r="DA820" i="29"/>
  <c r="CE820" i="29"/>
  <c r="DJ820" i="29"/>
  <c r="CO820" i="29"/>
  <c r="BS820" i="29"/>
  <c r="BV820" i="29"/>
  <c r="CA820" i="29"/>
  <c r="DI820" i="29"/>
  <c r="DC820" i="29"/>
  <c r="CN820" i="29"/>
  <c r="CV820" i="29"/>
  <c r="CJ820" i="29"/>
  <c r="CJ824" i="29"/>
  <c r="CT824" i="29"/>
  <c r="CL824" i="29"/>
  <c r="BO824" i="29"/>
  <c r="CR824" i="29"/>
  <c r="DI824" i="29"/>
  <c r="DD824" i="29"/>
  <c r="CE824" i="29"/>
  <c r="CN824" i="29"/>
  <c r="BY824" i="29"/>
  <c r="CF824" i="29"/>
  <c r="CV824" i="29"/>
  <c r="CW824" i="29"/>
  <c r="CP897" i="29"/>
  <c r="DK897" i="29"/>
  <c r="CE897" i="29"/>
  <c r="CL897" i="29"/>
  <c r="CD897" i="29"/>
  <c r="CI897" i="29"/>
  <c r="CR897" i="29"/>
  <c r="DA897" i="29"/>
  <c r="CC897" i="29"/>
  <c r="BY897" i="29"/>
  <c r="CO897" i="29"/>
  <c r="BQ897" i="29"/>
  <c r="DG901" i="29"/>
  <c r="CA901" i="29"/>
  <c r="CP901" i="29"/>
  <c r="DC901" i="29"/>
  <c r="CU901" i="29"/>
  <c r="CD901" i="29"/>
  <c r="CL901" i="29"/>
  <c r="CC901" i="29"/>
  <c r="CV901" i="29"/>
  <c r="DA901" i="29"/>
  <c r="DH901" i="29"/>
  <c r="CO901" i="29"/>
  <c r="DE901" i="29"/>
  <c r="CT905" i="29"/>
  <c r="DG905" i="29"/>
  <c r="CA905" i="29"/>
  <c r="BZ905" i="29"/>
  <c r="CU905" i="29"/>
  <c r="CM905" i="29"/>
  <c r="CJ905" i="29"/>
  <c r="DA905" i="29"/>
  <c r="CC905" i="29"/>
  <c r="CO905" i="29"/>
  <c r="CF905" i="29"/>
  <c r="BP905" i="29"/>
  <c r="DD909" i="29"/>
  <c r="CB909" i="29"/>
  <c r="CU909" i="29"/>
  <c r="BS909" i="29"/>
  <c r="BR909" i="29"/>
  <c r="CY909" i="29"/>
  <c r="BO909" i="29"/>
  <c r="CG909" i="29"/>
  <c r="DE909" i="29"/>
  <c r="CQ909" i="29"/>
  <c r="CL909" i="29"/>
  <c r="BU909" i="29"/>
  <c r="CA909" i="29"/>
  <c r="CN913" i="29"/>
  <c r="DH913" i="29"/>
  <c r="CE913" i="29"/>
  <c r="CR913" i="29"/>
  <c r="CJ913" i="29"/>
  <c r="CW913" i="29"/>
  <c r="CO913" i="29"/>
  <c r="BP913" i="29"/>
  <c r="CL913" i="29"/>
  <c r="DF913" i="29"/>
  <c r="BU913" i="29"/>
  <c r="BR913" i="29"/>
  <c r="CR917" i="29"/>
  <c r="BW917" i="29"/>
  <c r="CF917" i="29"/>
  <c r="CD917" i="29"/>
  <c r="CW917" i="29"/>
  <c r="DB917" i="29"/>
  <c r="CE917" i="29"/>
  <c r="BS917" i="29"/>
  <c r="CJ917" i="29"/>
  <c r="CP917" i="29"/>
  <c r="BR917" i="29"/>
  <c r="CH917" i="29"/>
  <c r="CK917" i="29"/>
  <c r="BY921" i="29"/>
  <c r="CF921" i="29"/>
  <c r="DK921" i="29"/>
  <c r="BS921" i="29"/>
  <c r="DJ921" i="29"/>
  <c r="CM921" i="29"/>
  <c r="DB921" i="29"/>
  <c r="CB921" i="29"/>
  <c r="CP921" i="29"/>
  <c r="DF921" i="29"/>
  <c r="CR921" i="29"/>
  <c r="CK921" i="29"/>
  <c r="CY925" i="29"/>
  <c r="DG925" i="29"/>
  <c r="BU925" i="29"/>
  <c r="CV925" i="29"/>
  <c r="CR925" i="29"/>
  <c r="CX925" i="29"/>
  <c r="BY925" i="29"/>
  <c r="CP925" i="29"/>
  <c r="BO925" i="29"/>
  <c r="BT925" i="29"/>
  <c r="CO925" i="29"/>
  <c r="BQ925" i="29"/>
  <c r="CE925" i="29"/>
  <c r="CE929" i="29"/>
  <c r="CN929" i="29"/>
  <c r="CI929" i="29"/>
  <c r="BX929" i="29"/>
  <c r="CX929" i="29"/>
  <c r="DA929" i="29"/>
  <c r="CP929" i="29"/>
  <c r="DL929" i="29"/>
  <c r="CD929" i="29"/>
  <c r="BP929" i="29"/>
  <c r="CV929" i="29"/>
  <c r="CA929" i="29"/>
  <c r="CV933" i="29"/>
  <c r="DK933" i="29"/>
  <c r="CC933" i="29"/>
  <c r="CW933" i="29"/>
  <c r="CZ933" i="29"/>
  <c r="BS933" i="29"/>
  <c r="CG933" i="29"/>
  <c r="BX933" i="29"/>
  <c r="CJ933" i="29"/>
  <c r="CK933" i="29"/>
  <c r="CU933" i="29"/>
  <c r="BU933" i="29"/>
  <c r="BW933" i="29"/>
  <c r="BY937" i="29"/>
  <c r="CI937" i="29"/>
  <c r="BS937" i="29"/>
  <c r="CY937" i="29"/>
  <c r="CX937" i="29"/>
  <c r="DA937" i="29"/>
  <c r="CP937" i="29"/>
  <c r="DL937" i="29"/>
  <c r="BP937" i="29"/>
  <c r="CD937" i="29"/>
  <c r="BQ937" i="29"/>
  <c r="CV937" i="29"/>
  <c r="CV941" i="29"/>
  <c r="CR941" i="29"/>
  <c r="CK941" i="29"/>
  <c r="CA941" i="29"/>
  <c r="CU941" i="29"/>
  <c r="BQ941" i="29"/>
  <c r="BZ941" i="29"/>
  <c r="CS941" i="29"/>
  <c r="DK941" i="29"/>
  <c r="CD941" i="29"/>
  <c r="CZ941" i="29"/>
  <c r="BV941" i="29"/>
  <c r="DB941" i="29"/>
  <c r="BY945" i="29"/>
  <c r="CI945" i="29"/>
  <c r="CY945" i="29"/>
  <c r="BT945" i="29"/>
  <c r="CX945" i="29"/>
  <c r="DA945" i="29"/>
  <c r="CP945" i="29"/>
  <c r="DL945" i="29"/>
  <c r="CD945" i="29"/>
  <c r="BP945" i="29"/>
  <c r="DH945" i="29"/>
  <c r="CL945" i="29"/>
  <c r="DH949" i="29"/>
  <c r="DA949" i="29"/>
  <c r="BV949" i="29"/>
  <c r="CN949" i="29"/>
  <c r="DL949" i="29"/>
  <c r="DK949" i="29"/>
  <c r="CC949" i="29"/>
  <c r="CH949" i="29"/>
  <c r="BP949" i="29"/>
  <c r="CI949" i="29"/>
  <c r="CQ949" i="29"/>
  <c r="CP949" i="29"/>
  <c r="DE949" i="29"/>
  <c r="CE953" i="29"/>
  <c r="CN953" i="29"/>
  <c r="BY953" i="29"/>
  <c r="DE953" i="29"/>
  <c r="CX953" i="29"/>
  <c r="DA953" i="29"/>
  <c r="CP953" i="29"/>
  <c r="DL953" i="29"/>
  <c r="BP953" i="29"/>
  <c r="CD953" i="29"/>
  <c r="BQ953" i="29"/>
  <c r="CV953" i="29"/>
  <c r="DB957" i="29"/>
  <c r="CE957" i="29"/>
  <c r="CF957" i="29"/>
  <c r="DJ957" i="29"/>
  <c r="CO957" i="29"/>
  <c r="DA957" i="29"/>
  <c r="CM957" i="29"/>
  <c r="DL957" i="29"/>
  <c r="BY957" i="29"/>
  <c r="BZ957" i="29"/>
  <c r="CJ957" i="29"/>
  <c r="BO957" i="29"/>
  <c r="BX957" i="29"/>
  <c r="CX963" i="29"/>
  <c r="CC963" i="29"/>
  <c r="DF963" i="29"/>
  <c r="CK963" i="29"/>
  <c r="BO963" i="29"/>
  <c r="BY963" i="29"/>
  <c r="BQ963" i="29"/>
  <c r="CL963" i="29"/>
  <c r="BV963" i="29"/>
  <c r="CN963" i="29"/>
  <c r="CV963" i="29"/>
  <c r="CZ963" i="29"/>
  <c r="DI967" i="29"/>
  <c r="CM967" i="29"/>
  <c r="BR967" i="29"/>
  <c r="CU967" i="29"/>
  <c r="BZ967" i="29"/>
  <c r="CT967" i="29"/>
  <c r="CL967" i="29"/>
  <c r="CG967" i="29"/>
  <c r="DB967" i="29"/>
  <c r="BQ967" i="29"/>
  <c r="BP967" i="29"/>
  <c r="DH967" i="29"/>
  <c r="BT967" i="29"/>
  <c r="CY971" i="29"/>
  <c r="CD971" i="29"/>
  <c r="DB971" i="29"/>
  <c r="CG971" i="29"/>
  <c r="DK971" i="29"/>
  <c r="BU971" i="29"/>
  <c r="DI971" i="29"/>
  <c r="DF971" i="29"/>
  <c r="CM971" i="29"/>
  <c r="CN971" i="29"/>
  <c r="CV971" i="29"/>
  <c r="BT971" i="29"/>
  <c r="DK975" i="29"/>
  <c r="CP975" i="29"/>
  <c r="BU975" i="29"/>
  <c r="CX975" i="29"/>
  <c r="CC975" i="29"/>
  <c r="CY975" i="29"/>
  <c r="DG975" i="29"/>
  <c r="BQ975" i="29"/>
  <c r="BY975" i="29"/>
  <c r="BV975" i="29"/>
  <c r="BP975" i="29"/>
  <c r="DH975" i="29"/>
  <c r="CZ975" i="29"/>
  <c r="DI979" i="29"/>
  <c r="CM979" i="29"/>
  <c r="DA979" i="29"/>
  <c r="BY979" i="29"/>
  <c r="CP979" i="29"/>
  <c r="BQ979" i="29"/>
  <c r="BR979" i="29"/>
  <c r="BO979" i="29"/>
  <c r="CG979" i="29"/>
  <c r="CN979" i="29"/>
  <c r="CV979" i="29"/>
  <c r="CZ979" i="29"/>
  <c r="DK983" i="29"/>
  <c r="CP983" i="29"/>
  <c r="BU983" i="29"/>
  <c r="CX983" i="29"/>
  <c r="CC983" i="29"/>
  <c r="CT983" i="29"/>
  <c r="CY983" i="29"/>
  <c r="CQ983" i="29"/>
  <c r="BQ983" i="29"/>
  <c r="CA983" i="29"/>
  <c r="CB983" i="29"/>
  <c r="DD983" i="29"/>
  <c r="BP983" i="29"/>
  <c r="DA987" i="29"/>
  <c r="DC987" i="29"/>
  <c r="DB987" i="29"/>
  <c r="BY987" i="29"/>
  <c r="CL987" i="29"/>
  <c r="BQ987" i="29"/>
  <c r="DJ987" i="29"/>
  <c r="CE987" i="29"/>
  <c r="CT987" i="29"/>
  <c r="CJ987" i="29"/>
  <c r="DH987" i="29"/>
  <c r="BP987" i="29"/>
  <c r="DI992" i="29"/>
  <c r="CC992" i="29"/>
  <c r="CO992" i="29"/>
  <c r="DK992" i="29"/>
  <c r="CL992" i="29"/>
  <c r="CP992" i="29"/>
  <c r="BS992" i="29"/>
  <c r="CR992" i="29"/>
  <c r="DG992" i="29"/>
  <c r="CM992" i="29"/>
  <c r="DC992" i="29"/>
  <c r="BO992" i="29"/>
  <c r="CN992" i="29"/>
  <c r="BQ996" i="29"/>
  <c r="DF996" i="29"/>
  <c r="CJ996" i="29"/>
  <c r="CK996" i="29"/>
  <c r="CH996" i="29"/>
  <c r="DD996" i="29"/>
  <c r="BW996" i="29"/>
  <c r="CN996" i="29"/>
  <c r="CZ996" i="29"/>
  <c r="CT996" i="29"/>
  <c r="CC996" i="29"/>
  <c r="CY996" i="29"/>
  <c r="BV726" i="29"/>
  <c r="CZ730" i="29"/>
  <c r="DF734" i="29"/>
  <c r="DJ734" i="29"/>
  <c r="CT738" i="29"/>
  <c r="BV742" i="29"/>
  <c r="BT746" i="29"/>
  <c r="BW750" i="29"/>
  <c r="CZ750" i="29"/>
  <c r="DD750" i="29"/>
  <c r="DG754" i="29"/>
  <c r="CT758" i="29"/>
  <c r="DE762" i="29"/>
  <c r="DH762" i="29"/>
  <c r="CW766" i="29"/>
  <c r="DK770" i="29"/>
  <c r="CQ770" i="29"/>
  <c r="DH774" i="29"/>
  <c r="CL778" i="29"/>
  <c r="DD782" i="29"/>
  <c r="CW782" i="29"/>
  <c r="BT786" i="29"/>
  <c r="CY786" i="29"/>
  <c r="DB792" i="29"/>
  <c r="DI796" i="29"/>
  <c r="DH796" i="29"/>
  <c r="CJ800" i="29"/>
  <c r="CG804" i="29"/>
  <c r="BX808" i="29"/>
  <c r="CT808" i="29"/>
  <c r="BO812" i="29"/>
  <c r="DB816" i="29"/>
  <c r="CB816" i="29"/>
  <c r="BU821" i="29"/>
  <c r="DC821" i="29"/>
  <c r="CD825" i="29"/>
  <c r="DF898" i="29"/>
  <c r="CV898" i="29"/>
  <c r="DA902" i="29"/>
  <c r="BS906" i="29"/>
  <c r="BX906" i="29"/>
  <c r="CX910" i="29"/>
  <c r="BW914" i="29"/>
  <c r="BY914" i="29"/>
  <c r="CH918" i="29"/>
  <c r="CL918" i="29"/>
  <c r="CR922" i="29"/>
  <c r="CB926" i="29"/>
  <c r="DB926" i="29"/>
  <c r="BS930" i="29"/>
  <c r="BY930" i="29"/>
  <c r="CJ934" i="29"/>
  <c r="DH938" i="29"/>
  <c r="CO938" i="29"/>
  <c r="CT942" i="29"/>
  <c r="CN946" i="29"/>
  <c r="CK946" i="29"/>
  <c r="DC950" i="29"/>
  <c r="BR950" i="29"/>
  <c r="BP954" i="29"/>
  <c r="DB958" i="29"/>
  <c r="CM958" i="29"/>
  <c r="BY964" i="29"/>
  <c r="CW968" i="29"/>
  <c r="DI972" i="29"/>
  <c r="CU972" i="29"/>
  <c r="CV976" i="29"/>
  <c r="CO980" i="29"/>
  <c r="CB980" i="29"/>
  <c r="CD984" i="29"/>
  <c r="CK984" i="29"/>
  <c r="DH988" i="29"/>
  <c r="CM993" i="29"/>
  <c r="CA993" i="29"/>
  <c r="CZ997" i="29"/>
  <c r="CP373" i="29"/>
  <c r="DJ373" i="29"/>
  <c r="DJ377" i="29"/>
  <c r="CJ377" i="29"/>
  <c r="BQ381" i="29"/>
  <c r="DA385" i="29"/>
  <c r="DG389" i="29"/>
  <c r="BW389" i="29"/>
  <c r="CF389" i="29"/>
  <c r="CY393" i="29"/>
  <c r="CU397" i="29"/>
  <c r="BP397" i="29"/>
  <c r="BR401" i="29"/>
  <c r="DH401" i="29"/>
  <c r="CY405" i="29"/>
  <c r="CA409" i="29"/>
  <c r="CJ409" i="29"/>
  <c r="CT413" i="29"/>
  <c r="CM417" i="29"/>
  <c r="BZ417" i="29"/>
  <c r="CV421" i="29"/>
  <c r="DG421" i="29"/>
  <c r="CF425" i="29"/>
  <c r="CD429" i="29"/>
  <c r="CX429" i="29"/>
  <c r="BW433" i="29"/>
  <c r="BQ437" i="29"/>
  <c r="CR437" i="29"/>
  <c r="CG443" i="29"/>
  <c r="CT447" i="29"/>
  <c r="DA447" i="29"/>
  <c r="BQ451" i="29"/>
  <c r="CA455" i="29"/>
  <c r="CY455" i="29"/>
  <c r="BR459" i="29"/>
  <c r="BQ459" i="29"/>
  <c r="CF463" i="29"/>
  <c r="CV467" i="29"/>
  <c r="CD201" i="29"/>
  <c r="BV205" i="29"/>
  <c r="DL205" i="29"/>
  <c r="CG209" i="29"/>
  <c r="CO213" i="29"/>
  <c r="BZ217" i="29"/>
  <c r="CL217" i="29"/>
  <c r="CD221" i="29"/>
  <c r="CN221" i="29"/>
  <c r="CR225" i="29"/>
  <c r="CS229" i="29"/>
  <c r="BP229" i="29"/>
  <c r="BO233" i="29"/>
  <c r="BQ237" i="29"/>
  <c r="CN237" i="29"/>
  <c r="CJ241" i="29"/>
  <c r="DA245" i="29"/>
  <c r="DD245" i="29"/>
  <c r="CE245" i="29"/>
  <c r="CU249" i="29"/>
  <c r="DD249" i="29"/>
  <c r="DL249" i="29"/>
  <c r="CB253" i="29"/>
  <c r="CZ261" i="29"/>
  <c r="CN267" i="29"/>
  <c r="DF271" i="29"/>
  <c r="BT271" i="29"/>
  <c r="CE275" i="29"/>
  <c r="CD279" i="29"/>
  <c r="CK279" i="29"/>
  <c r="DC283" i="29"/>
  <c r="DI287" i="29"/>
  <c r="DL287" i="29"/>
  <c r="BS287" i="29"/>
  <c r="CH291" i="29"/>
  <c r="BS291" i="29"/>
  <c r="DI296" i="29"/>
  <c r="CK300" i="29"/>
  <c r="DB300" i="29"/>
  <c r="BS551" i="29"/>
  <c r="CX555" i="29"/>
  <c r="CV555" i="29"/>
  <c r="CW559" i="29"/>
  <c r="DH563" i="29"/>
  <c r="CQ563" i="29"/>
  <c r="CA567" i="29"/>
  <c r="BR567" i="29"/>
  <c r="BP571" i="29"/>
  <c r="CQ575" i="29"/>
  <c r="BX575" i="29"/>
  <c r="BX579" i="29"/>
  <c r="DG583" i="29"/>
  <c r="CZ583" i="29"/>
  <c r="CF587" i="29"/>
  <c r="CM591" i="29"/>
  <c r="CN595" i="29"/>
  <c r="DG595" i="29"/>
  <c r="DB599" i="29"/>
  <c r="CT599" i="29"/>
  <c r="CR603" i="29"/>
  <c r="CW603" i="29"/>
  <c r="CL607" i="29"/>
  <c r="DH611" i="29"/>
  <c r="DG611" i="29"/>
  <c r="DG617" i="29"/>
  <c r="BX621" i="29"/>
  <c r="BZ621" i="29"/>
  <c r="BZ625" i="29"/>
  <c r="CU625" i="29"/>
  <c r="BV629" i="29"/>
  <c r="DD629" i="29"/>
  <c r="BS633" i="29"/>
  <c r="CK633" i="29"/>
  <c r="DE637" i="29"/>
  <c r="CH641" i="29"/>
  <c r="BT646" i="29"/>
  <c r="CJ646" i="29"/>
  <c r="BQ650" i="29"/>
  <c r="DD650" i="29"/>
  <c r="CF723" i="29"/>
  <c r="CL727" i="29"/>
  <c r="CD731" i="29"/>
  <c r="DF735" i="29"/>
  <c r="DH735" i="29"/>
  <c r="CA739" i="29"/>
  <c r="CS739" i="29"/>
  <c r="BU743" i="29"/>
  <c r="BZ747" i="29"/>
  <c r="CF747" i="29"/>
  <c r="CI751" i="29"/>
  <c r="DF755" i="29"/>
  <c r="CV755" i="29"/>
  <c r="BQ759" i="29"/>
  <c r="CN763" i="29"/>
  <c r="CM763" i="29"/>
  <c r="CW767" i="29"/>
  <c r="BT767" i="29"/>
  <c r="CK771" i="29"/>
  <c r="CQ775" i="29"/>
  <c r="CB775" i="29"/>
  <c r="BW779" i="29"/>
  <c r="BU783" i="29"/>
  <c r="CF783" i="29"/>
  <c r="BS787" i="29"/>
  <c r="CJ787" i="29"/>
  <c r="DC793" i="29"/>
  <c r="CC797" i="29"/>
  <c r="CE797" i="29"/>
  <c r="CC801" i="29"/>
  <c r="CR801" i="29"/>
  <c r="CK805" i="29"/>
  <c r="CR805" i="29"/>
  <c r="CQ809" i="29"/>
  <c r="DE813" i="29"/>
  <c r="DD813" i="29"/>
  <c r="CU817" i="29"/>
  <c r="BS822" i="29"/>
  <c r="CV822" i="29"/>
  <c r="BP826" i="29"/>
  <c r="CP899" i="29"/>
  <c r="CC899" i="29"/>
  <c r="DJ903" i="29"/>
  <c r="CA903" i="29"/>
  <c r="CR907" i="29"/>
  <c r="DG911" i="29"/>
  <c r="BR911" i="29"/>
  <c r="CD915" i="29"/>
  <c r="BR919" i="29"/>
  <c r="BT919" i="29"/>
  <c r="CO923" i="29"/>
  <c r="CQ927" i="29"/>
  <c r="CW931" i="29"/>
  <c r="CO931" i="29"/>
  <c r="BV935" i="29"/>
  <c r="BX935" i="29"/>
  <c r="CI939" i="29"/>
  <c r="CQ943" i="29"/>
  <c r="BP943" i="29"/>
  <c r="BZ947" i="29"/>
  <c r="CZ947" i="29"/>
  <c r="DG951" i="29"/>
  <c r="CA955" i="29"/>
  <c r="CR955" i="29"/>
  <c r="BO959" i="29"/>
  <c r="CN965" i="29"/>
  <c r="DC969" i="29"/>
  <c r="BX969" i="29"/>
  <c r="CO973" i="29"/>
  <c r="CT973" i="29"/>
  <c r="CE977" i="29"/>
  <c r="DI981" i="29"/>
  <c r="BS985" i="29"/>
  <c r="BP985" i="29"/>
  <c r="CQ989" i="29"/>
  <c r="CM994" i="29"/>
  <c r="CL994" i="29"/>
  <c r="CX998" i="29"/>
  <c r="DF380" i="29"/>
  <c r="CF380" i="29"/>
  <c r="CH388" i="29"/>
  <c r="DC388" i="29"/>
  <c r="CD396" i="29"/>
  <c r="CK404" i="29"/>
  <c r="DE404" i="29"/>
  <c r="BV412" i="29"/>
  <c r="DJ416" i="29"/>
  <c r="CF416" i="29"/>
  <c r="CC424" i="29"/>
  <c r="CB424" i="29"/>
  <c r="CK432" i="29"/>
  <c r="CM432" i="29"/>
  <c r="BQ442" i="29"/>
  <c r="CK442" i="29"/>
  <c r="CA450" i="29"/>
  <c r="BO458" i="29"/>
  <c r="CH458" i="29"/>
  <c r="DJ462" i="29"/>
  <c r="BO462" i="29"/>
  <c r="CB471" i="29"/>
  <c r="CA475" i="29"/>
  <c r="BU475" i="29"/>
  <c r="CA200" i="29"/>
  <c r="BY208" i="29"/>
  <c r="CZ208" i="29"/>
  <c r="CA216" i="29"/>
  <c r="CJ216" i="29"/>
  <c r="CR220" i="29"/>
  <c r="CE228" i="29"/>
  <c r="DD228" i="29"/>
  <c r="DG236" i="29"/>
  <c r="CF244" i="29"/>
  <c r="CL244" i="29"/>
  <c r="CH252" i="29"/>
  <c r="CG260" i="29"/>
  <c r="DF266" i="29"/>
  <c r="BV266" i="29"/>
  <c r="CN274" i="29"/>
  <c r="CJ274" i="29"/>
  <c r="DI282" i="29"/>
  <c r="BP290" i="29"/>
  <c r="BS295" i="29"/>
  <c r="DG295" i="29"/>
  <c r="DJ554" i="29"/>
  <c r="CT562" i="29"/>
  <c r="CF562" i="29"/>
  <c r="CG570" i="29"/>
  <c r="CU574" i="29"/>
  <c r="BP574" i="29"/>
  <c r="CY582" i="29"/>
  <c r="CQ582" i="29"/>
  <c r="CL590" i="29"/>
  <c r="BO598" i="29"/>
  <c r="BS598" i="29"/>
  <c r="DI606" i="29"/>
  <c r="CC606" i="29"/>
  <c r="CA610" i="29"/>
  <c r="CE620" i="29"/>
  <c r="CJ620" i="29"/>
  <c r="CW628" i="29"/>
  <c r="CE636" i="29"/>
  <c r="DC645" i="29"/>
  <c r="CY645" i="29"/>
  <c r="DK378" i="29"/>
  <c r="DE378" i="29"/>
  <c r="CN386" i="29"/>
  <c r="DF398" i="29"/>
  <c r="BS398" i="29"/>
  <c r="CP406" i="29"/>
  <c r="CA406" i="29"/>
  <c r="CS406" i="29"/>
  <c r="DL414" i="29"/>
  <c r="BP418" i="29"/>
  <c r="DF418" i="29"/>
  <c r="DD426" i="29"/>
  <c r="CE426" i="29"/>
  <c r="DG426" i="29"/>
  <c r="BR434" i="29"/>
  <c r="BY434" i="29"/>
  <c r="DF444" i="29"/>
  <c r="CA444" i="29"/>
  <c r="CO452" i="29"/>
  <c r="CC452" i="29"/>
  <c r="BT452" i="29"/>
  <c r="CW460" i="29"/>
  <c r="BP460" i="29"/>
  <c r="DL472" i="29"/>
  <c r="CD472" i="29"/>
  <c r="BW476" i="29"/>
  <c r="DA476" i="29"/>
  <c r="DA202" i="29"/>
  <c r="CO202" i="29"/>
  <c r="DK210" i="29"/>
  <c r="DC210" i="29"/>
  <c r="DC218" i="29"/>
  <c r="CB218" i="29"/>
  <c r="CS218" i="29"/>
  <c r="CA226" i="29"/>
  <c r="DD226" i="29"/>
  <c r="DH234" i="29"/>
  <c r="CM234" i="29"/>
  <c r="CC242" i="29"/>
  <c r="CA242" i="29"/>
  <c r="BS242" i="29"/>
  <c r="CZ250" i="29"/>
  <c r="CP250" i="29"/>
  <c r="DH250" i="29"/>
  <c r="CH258" i="29"/>
  <c r="CI258" i="29"/>
  <c r="CS268" i="29"/>
  <c r="CD268" i="29"/>
  <c r="BU268" i="29"/>
  <c r="BY276" i="29"/>
  <c r="DG276" i="29"/>
  <c r="DH284" i="29"/>
  <c r="DJ284" i="29"/>
  <c r="CU292" i="29"/>
  <c r="CO292" i="29"/>
  <c r="CA292" i="29"/>
  <c r="BW301" i="29"/>
  <c r="CD301" i="29"/>
  <c r="BR556" i="29"/>
  <c r="CP556" i="29"/>
  <c r="DK564" i="29"/>
  <c r="CG564" i="29"/>
  <c r="BV564" i="29"/>
  <c r="DG572" i="29"/>
  <c r="BQ572" i="29"/>
  <c r="BV580" i="29"/>
  <c r="CY580" i="29"/>
  <c r="CR580" i="29"/>
  <c r="CH588" i="29"/>
  <c r="CD588" i="29"/>
  <c r="CB588" i="29"/>
  <c r="BV596" i="29"/>
  <c r="CW596" i="29"/>
  <c r="BX596" i="29"/>
  <c r="DA608" i="29"/>
  <c r="BV608" i="29"/>
  <c r="CL608" i="29"/>
  <c r="DD618" i="29"/>
  <c r="CU618" i="29"/>
  <c r="DL618" i="29"/>
  <c r="DH626" i="29"/>
  <c r="BX626" i="29"/>
  <c r="CA626" i="29"/>
  <c r="CJ634" i="29"/>
  <c r="BV634" i="29"/>
  <c r="CT634" i="29"/>
  <c r="CL638" i="29"/>
  <c r="CT638" i="29"/>
  <c r="CG638" i="29"/>
  <c r="DI647" i="29"/>
  <c r="CI647" i="29"/>
  <c r="DJ647" i="29"/>
  <c r="DF376" i="29"/>
  <c r="BS376" i="29"/>
  <c r="DE376" i="29"/>
  <c r="CB384" i="29"/>
  <c r="CD384" i="29"/>
  <c r="CQ384" i="29"/>
  <c r="CD392" i="29"/>
  <c r="BS392" i="29"/>
  <c r="CQ392" i="29"/>
  <c r="CU400" i="29"/>
  <c r="CE400" i="29"/>
  <c r="DL400" i="29"/>
  <c r="CL400" i="29"/>
  <c r="CT408" i="29"/>
  <c r="BP408" i="29"/>
  <c r="CW408" i="29"/>
  <c r="CI420" i="29"/>
  <c r="CY420" i="29"/>
  <c r="BV428" i="29"/>
  <c r="BZ428" i="29"/>
  <c r="CO428" i="29"/>
  <c r="DJ436" i="29"/>
  <c r="DI436" i="29"/>
  <c r="CI436" i="29"/>
  <c r="DE446" i="29"/>
  <c r="CV446" i="29"/>
  <c r="BS446" i="29"/>
  <c r="CK454" i="29"/>
  <c r="CS454" i="29"/>
  <c r="CP454" i="29"/>
  <c r="CX466" i="29"/>
  <c r="BO466" i="29"/>
  <c r="DG466" i="29"/>
  <c r="CM473" i="29"/>
  <c r="DC473" i="29"/>
  <c r="CI473" i="29"/>
  <c r="BP473" i="29"/>
  <c r="CL204" i="29"/>
  <c r="DD204" i="29"/>
  <c r="CS204" i="29"/>
  <c r="CX212" i="29"/>
  <c r="CC212" i="29"/>
  <c r="CF212" i="29"/>
  <c r="CE224" i="29"/>
  <c r="CH224" i="29"/>
  <c r="CK224" i="29"/>
  <c r="DI224" i="29"/>
  <c r="CO224" i="29"/>
  <c r="DE224" i="29"/>
  <c r="DC232" i="29"/>
  <c r="DG240" i="29"/>
  <c r="CL240" i="29"/>
  <c r="CI248" i="29"/>
  <c r="BV248" i="29"/>
  <c r="BO248" i="29"/>
  <c r="CA256" i="29"/>
  <c r="DD256" i="29"/>
  <c r="DJ256" i="29"/>
  <c r="CP270" i="29"/>
  <c r="DC270" i="29"/>
  <c r="BP270" i="29"/>
  <c r="CG278" i="29"/>
  <c r="CK278" i="29"/>
  <c r="BO278" i="29"/>
  <c r="CP286" i="29"/>
  <c r="CL286" i="29"/>
  <c r="BW286" i="29"/>
  <c r="CY299" i="29"/>
  <c r="DD299" i="29"/>
  <c r="BP299" i="29"/>
  <c r="DI550" i="29"/>
  <c r="CK550" i="29"/>
  <c r="DF550" i="29"/>
  <c r="CU550" i="29"/>
  <c r="DE558" i="29"/>
  <c r="DC558" i="29"/>
  <c r="CL558" i="29"/>
  <c r="BZ566" i="29"/>
  <c r="BR566" i="29"/>
  <c r="DC566" i="29"/>
  <c r="CR578" i="29"/>
  <c r="CB578" i="29"/>
  <c r="CP578" i="29"/>
  <c r="DK586" i="29"/>
  <c r="BS586" i="29"/>
  <c r="CM586" i="29"/>
  <c r="CU594" i="29"/>
  <c r="CZ594" i="29"/>
  <c r="CM594" i="29"/>
  <c r="DC602" i="29"/>
  <c r="CE602" i="29"/>
  <c r="BS602" i="29"/>
  <c r="CJ616" i="29"/>
  <c r="BT616" i="29"/>
  <c r="CK616" i="29"/>
  <c r="DI624" i="29"/>
  <c r="BY624" i="29"/>
  <c r="DE624" i="29"/>
  <c r="BP624" i="29"/>
  <c r="CX632" i="29"/>
  <c r="CT632" i="29"/>
  <c r="CF632" i="29"/>
  <c r="BX640" i="29"/>
  <c r="BU640" i="29"/>
  <c r="DC640" i="29"/>
  <c r="BW649" i="29"/>
  <c r="CD649" i="29"/>
  <c r="DB206" i="29"/>
  <c r="CI238" i="29"/>
  <c r="CE246" i="29"/>
  <c r="CC246" i="29"/>
  <c r="CL254" i="29"/>
  <c r="CT254" i="29"/>
  <c r="BR254" i="29"/>
  <c r="BZ254" i="29"/>
  <c r="BY254" i="29"/>
  <c r="CQ262" i="29"/>
  <c r="CJ262" i="29"/>
  <c r="CL262" i="29"/>
  <c r="BZ262" i="29"/>
  <c r="DF262" i="29"/>
  <c r="BT272" i="29"/>
  <c r="BU272" i="29"/>
  <c r="CK272" i="29"/>
  <c r="DD272" i="29"/>
  <c r="BY272" i="29"/>
  <c r="DA280" i="29"/>
  <c r="DJ280" i="29"/>
  <c r="BU280" i="29"/>
  <c r="CE280" i="29"/>
  <c r="CY280" i="29"/>
  <c r="BT288" i="29"/>
  <c r="BP288" i="29"/>
  <c r="CV288" i="29"/>
  <c r="DK288" i="29"/>
  <c r="CD297" i="29"/>
  <c r="CI297" i="29"/>
  <c r="DG297" i="29"/>
  <c r="CE297" i="29"/>
  <c r="CM297" i="29"/>
  <c r="BQ552" i="29"/>
  <c r="DK552" i="29"/>
  <c r="CY552" i="29"/>
  <c r="BX552" i="29"/>
  <c r="CY560" i="29"/>
  <c r="CT560" i="29"/>
  <c r="DI560" i="29"/>
  <c r="DE560" i="29"/>
  <c r="CF560" i="29"/>
  <c r="DG568" i="29"/>
  <c r="DC568" i="29"/>
  <c r="CA568" i="29"/>
  <c r="CB568" i="29"/>
  <c r="BZ576" i="29"/>
  <c r="DJ576" i="29"/>
  <c r="CX576" i="29"/>
  <c r="CV576" i="29"/>
  <c r="DI584" i="29"/>
  <c r="DA584" i="29"/>
  <c r="CL584" i="29"/>
  <c r="BP584" i="29"/>
  <c r="DH584" i="29"/>
  <c r="BQ592" i="29"/>
  <c r="CU592" i="29"/>
  <c r="BY592" i="29"/>
  <c r="BX592" i="29"/>
  <c r="DB600" i="29"/>
  <c r="DA600" i="29"/>
  <c r="CX600" i="29"/>
  <c r="CZ600" i="29"/>
  <c r="CM604" i="29"/>
  <c r="CT604" i="29"/>
  <c r="BQ604" i="29"/>
  <c r="CJ604" i="29"/>
  <c r="CW612" i="29"/>
  <c r="CD612" i="29"/>
  <c r="CP612" i="29"/>
  <c r="CS612" i="29"/>
  <c r="DD612" i="29"/>
  <c r="DH622" i="29"/>
  <c r="DF622" i="29"/>
  <c r="DG622" i="29"/>
  <c r="CH622" i="29"/>
  <c r="DJ622" i="29"/>
  <c r="CD630" i="29"/>
  <c r="DD630" i="29"/>
  <c r="CU630" i="29"/>
  <c r="BW630" i="29"/>
  <c r="CF642" i="29"/>
  <c r="CA642" i="29"/>
  <c r="BY642" i="29"/>
  <c r="CS642" i="29"/>
  <c r="BT642" i="29"/>
  <c r="DE651" i="29"/>
  <c r="CI651" i="29"/>
  <c r="BU651" i="29"/>
  <c r="CV651" i="29"/>
  <c r="CZ651" i="29"/>
  <c r="CU724" i="29"/>
  <c r="CM724" i="29"/>
  <c r="CW724" i="29"/>
  <c r="CO724" i="29"/>
  <c r="BP724" i="29"/>
  <c r="CE728" i="29"/>
  <c r="BW728" i="29"/>
  <c r="DJ728" i="29"/>
  <c r="CN728" i="29"/>
  <c r="DL732" i="29"/>
  <c r="DF732" i="29"/>
  <c r="CT732" i="29"/>
  <c r="CG732" i="29"/>
  <c r="DD732" i="29"/>
  <c r="BQ736" i="29"/>
  <c r="DC736" i="29"/>
  <c r="BO736" i="29"/>
  <c r="BX736" i="29"/>
  <c r="CJ736" i="29"/>
  <c r="DG740" i="29"/>
  <c r="CA740" i="29"/>
  <c r="CY740" i="29"/>
  <c r="BY740" i="29"/>
  <c r="DA740" i="29"/>
  <c r="CP740" i="29"/>
  <c r="CJ740" i="29"/>
  <c r="BX740" i="29"/>
  <c r="CL744" i="29"/>
  <c r="CI744" i="29"/>
  <c r="CH744" i="29"/>
  <c r="BO744" i="29"/>
  <c r="CJ744" i="29"/>
  <c r="BY748" i="29"/>
  <c r="DF748" i="29"/>
  <c r="BU748" i="29"/>
  <c r="DC748" i="29"/>
  <c r="DH748" i="29"/>
  <c r="BX748" i="29"/>
  <c r="CI752" i="29"/>
  <c r="CL752" i="29"/>
  <c r="BZ752" i="29"/>
  <c r="CP752" i="29"/>
  <c r="CM752" i="29"/>
  <c r="CN752" i="29"/>
  <c r="DL756" i="29"/>
  <c r="BY756" i="29"/>
  <c r="DF756" i="29"/>
  <c r="CE756" i="29"/>
  <c r="BO756" i="29"/>
  <c r="CZ756" i="29"/>
  <c r="BP756" i="29"/>
  <c r="CH760" i="29"/>
  <c r="DA760" i="29"/>
  <c r="DJ760" i="29"/>
  <c r="DI760" i="29"/>
  <c r="BV760" i="29"/>
  <c r="DI764" i="29"/>
  <c r="CY764" i="29"/>
  <c r="CB764" i="29"/>
  <c r="BQ764" i="29"/>
  <c r="CV764" i="29"/>
  <c r="BR764" i="29"/>
  <c r="DF764" i="29"/>
  <c r="CM768" i="29"/>
  <c r="BR768" i="29"/>
  <c r="CB768" i="29"/>
  <c r="CL768" i="29"/>
  <c r="BV768" i="29"/>
  <c r="CR768" i="29"/>
  <c r="DA772" i="29"/>
  <c r="CI772" i="29"/>
  <c r="DH772" i="29"/>
  <c r="DJ772" i="29"/>
  <c r="BQ772" i="29"/>
  <c r="DL772" i="29"/>
  <c r="CZ772" i="29"/>
  <c r="CW776" i="29"/>
  <c r="CB776" i="29"/>
  <c r="BS776" i="29"/>
  <c r="DL776" i="29"/>
  <c r="DB776" i="29"/>
  <c r="BW776" i="29"/>
  <c r="DD780" i="29"/>
  <c r="CO780" i="29"/>
  <c r="CF780" i="29"/>
  <c r="CB780" i="29"/>
  <c r="BV780" i="29"/>
  <c r="DG780" i="29"/>
  <c r="BQ784" i="29"/>
  <c r="CQ784" i="29"/>
  <c r="CG784" i="29"/>
  <c r="BR784" i="29"/>
  <c r="BW784" i="29"/>
  <c r="BV784" i="29"/>
  <c r="DD790" i="29"/>
  <c r="CQ790" i="29"/>
  <c r="DC790" i="29"/>
  <c r="CN790" i="29"/>
  <c r="CU790" i="29"/>
  <c r="CP790" i="29"/>
  <c r="CZ790" i="29"/>
  <c r="CZ794" i="29"/>
  <c r="CB794" i="29"/>
  <c r="DC794" i="29"/>
  <c r="CM794" i="29"/>
  <c r="CT794" i="29"/>
  <c r="CU794" i="29"/>
  <c r="BT798" i="29"/>
  <c r="BZ798" i="29"/>
  <c r="BU798" i="29"/>
  <c r="DH798" i="29"/>
  <c r="DI798" i="29"/>
  <c r="DA798" i="29"/>
  <c r="CO802" i="29"/>
  <c r="DL802" i="29"/>
  <c r="CE802" i="29"/>
  <c r="CQ802" i="29"/>
  <c r="BX802" i="29"/>
  <c r="CN802" i="29"/>
  <c r="BT806" i="29"/>
  <c r="DD806" i="29"/>
  <c r="BW806" i="29"/>
  <c r="BQ806" i="29"/>
  <c r="DG806" i="29"/>
  <c r="BV806" i="29"/>
  <c r="CN806" i="29"/>
  <c r="BP810" i="29"/>
  <c r="DL810" i="29"/>
  <c r="DE810" i="29"/>
  <c r="CF810" i="29"/>
  <c r="CE810" i="29"/>
  <c r="CR810" i="29"/>
  <c r="BS810" i="29"/>
  <c r="CP814" i="29"/>
  <c r="DB814" i="29"/>
  <c r="CT814" i="29"/>
  <c r="CY814" i="29"/>
  <c r="CX814" i="29"/>
  <c r="CL814" i="29"/>
  <c r="CO819" i="29"/>
  <c r="CB819" i="29"/>
  <c r="DJ819" i="29"/>
  <c r="DL819" i="29"/>
  <c r="DG819" i="29"/>
  <c r="BV819" i="29"/>
  <c r="BQ819" i="29"/>
  <c r="DK823" i="29"/>
  <c r="CB823" i="29"/>
  <c r="CP823" i="29"/>
  <c r="CX823" i="29"/>
  <c r="CL823" i="29"/>
  <c r="CF823" i="29"/>
  <c r="CS823" i="29"/>
  <c r="CE896" i="29"/>
  <c r="CC896" i="29"/>
  <c r="CX896" i="29"/>
  <c r="BZ896" i="29"/>
  <c r="CG896" i="29"/>
  <c r="CO896" i="29"/>
  <c r="CY900" i="29"/>
  <c r="CA900" i="29"/>
  <c r="DL900" i="29"/>
  <c r="CN900" i="29"/>
  <c r="CT900" i="29"/>
  <c r="DB900" i="29"/>
  <c r="CQ904" i="29"/>
  <c r="BO904" i="29"/>
  <c r="CV904" i="29"/>
  <c r="BZ904" i="29"/>
  <c r="BY904" i="29"/>
  <c r="BX904" i="29"/>
  <c r="BS908" i="29"/>
  <c r="CS908" i="29"/>
  <c r="CL908" i="29"/>
  <c r="CT908" i="29"/>
  <c r="DA908" i="29"/>
  <c r="CP908" i="29"/>
  <c r="BR912" i="29"/>
  <c r="DE912" i="29"/>
  <c r="CX912" i="29"/>
  <c r="DD912" i="29"/>
  <c r="BW912" i="29"/>
  <c r="DB912" i="29"/>
  <c r="CL912" i="29"/>
  <c r="BT916" i="29"/>
  <c r="DJ916" i="29"/>
  <c r="DC916" i="29"/>
  <c r="CU916" i="29"/>
  <c r="BS916" i="29"/>
  <c r="CQ916" i="29"/>
  <c r="BZ920" i="29"/>
  <c r="CG920" i="29"/>
  <c r="BP920" i="29"/>
  <c r="DI924" i="29"/>
  <c r="DG924" i="29"/>
  <c r="DA924" i="29"/>
  <c r="CB924" i="29"/>
  <c r="CE924" i="29"/>
  <c r="CK928" i="29"/>
  <c r="CD928" i="29"/>
  <c r="DA928" i="29"/>
  <c r="CB928" i="29"/>
  <c r="DC928" i="29"/>
  <c r="CU928" i="29"/>
  <c r="CL932" i="29"/>
  <c r="CA932" i="29"/>
  <c r="CY932" i="29"/>
  <c r="BX932" i="29"/>
  <c r="DF932" i="29"/>
  <c r="BR932" i="29"/>
  <c r="CP936" i="29"/>
  <c r="DE936" i="29"/>
  <c r="CK936" i="29"/>
  <c r="BQ936" i="29"/>
  <c r="CB936" i="29"/>
  <c r="DD936" i="29"/>
  <c r="CE936" i="29"/>
  <c r="CL940" i="29"/>
  <c r="CI940" i="29"/>
  <c r="BV940" i="29"/>
  <c r="CD940" i="29"/>
  <c r="CE940" i="29"/>
  <c r="BP940" i="29"/>
  <c r="CP944" i="29"/>
  <c r="CV944" i="29"/>
  <c r="BP944" i="29"/>
  <c r="CX944" i="29"/>
  <c r="DI944" i="29"/>
  <c r="DK944" i="29"/>
  <c r="DD948" i="29"/>
  <c r="CS948" i="29"/>
  <c r="DA948" i="29"/>
  <c r="CA948" i="29"/>
  <c r="CE948" i="29"/>
  <c r="DI948" i="29"/>
  <c r="DF948" i="29"/>
  <c r="CT952" i="29"/>
  <c r="BT952" i="29"/>
  <c r="BQ952" i="29"/>
  <c r="CX952" i="29"/>
  <c r="DI952" i="29"/>
  <c r="CU952" i="29"/>
  <c r="CR956" i="29"/>
  <c r="CZ956" i="29"/>
  <c r="BS956" i="29"/>
  <c r="DI956" i="29"/>
  <c r="DC956" i="29"/>
  <c r="DD956" i="29"/>
  <c r="DH956" i="29"/>
  <c r="CF960" i="29"/>
  <c r="CK960" i="29"/>
  <c r="CC960" i="29"/>
  <c r="BR960" i="29"/>
  <c r="BO960" i="29"/>
  <c r="CT960" i="29"/>
  <c r="CA966" i="29"/>
  <c r="DG966" i="29"/>
  <c r="CC966" i="29"/>
  <c r="CR966" i="29"/>
  <c r="BW966" i="29"/>
  <c r="DL966" i="29"/>
  <c r="DE966" i="29"/>
  <c r="DF970" i="29"/>
  <c r="DJ970" i="29"/>
  <c r="DE970" i="29"/>
  <c r="CG970" i="29"/>
  <c r="CB970" i="29"/>
  <c r="CC970" i="29"/>
  <c r="BS974" i="29"/>
  <c r="DC974" i="29"/>
  <c r="BU974" i="29"/>
  <c r="BP974" i="29"/>
  <c r="BO974" i="29"/>
  <c r="BZ974" i="29"/>
  <c r="CL978" i="29"/>
  <c r="CR978" i="29"/>
  <c r="CO978" i="29"/>
  <c r="CQ978" i="29"/>
  <c r="CC978" i="29"/>
  <c r="CX978" i="29"/>
  <c r="DK982" i="29"/>
  <c r="CP982" i="29"/>
  <c r="CT982" i="29"/>
  <c r="DH982" i="29"/>
  <c r="CF982" i="29"/>
  <c r="CL982" i="29"/>
  <c r="DI982" i="29"/>
  <c r="CB986" i="29"/>
  <c r="CJ986" i="29"/>
  <c r="CG986" i="29"/>
  <c r="BP986" i="29"/>
  <c r="CE986" i="29"/>
  <c r="CA986" i="29"/>
  <c r="BV986" i="29"/>
  <c r="CE990" i="29"/>
  <c r="CB990" i="29"/>
  <c r="BS990" i="29"/>
  <c r="CD990" i="29"/>
  <c r="DB990" i="29"/>
  <c r="BP990" i="29"/>
  <c r="CV990" i="29"/>
  <c r="DB995" i="29"/>
  <c r="DL995" i="29"/>
  <c r="CD995" i="29"/>
  <c r="CO995" i="29"/>
  <c r="BW995" i="29"/>
  <c r="BY995" i="29"/>
  <c r="CV995" i="29"/>
  <c r="CL999" i="29"/>
  <c r="BR999" i="29"/>
  <c r="CI999" i="29"/>
  <c r="DD999" i="29"/>
  <c r="BP999" i="29"/>
  <c r="DH999" i="29"/>
  <c r="CS999" i="29"/>
  <c r="CY375" i="29"/>
  <c r="BO375" i="29"/>
  <c r="BP375" i="29"/>
  <c r="CX375" i="29"/>
  <c r="CM375" i="29"/>
  <c r="DD379" i="29"/>
  <c r="DC379" i="29"/>
  <c r="CV379" i="29"/>
  <c r="DA379" i="29"/>
  <c r="CP379" i="29"/>
  <c r="CQ379" i="29"/>
  <c r="CN383" i="29"/>
  <c r="BX383" i="29"/>
  <c r="BO383" i="29"/>
  <c r="DH383" i="29"/>
  <c r="DL383" i="29"/>
  <c r="BW383" i="29"/>
  <c r="CT387" i="29"/>
  <c r="CE387" i="29"/>
  <c r="CG387" i="29"/>
  <c r="DF387" i="29"/>
  <c r="DH387" i="29"/>
  <c r="DE387" i="29"/>
  <c r="CI391" i="29"/>
  <c r="CY391" i="29"/>
  <c r="CA391" i="29"/>
  <c r="CK391" i="29"/>
  <c r="BU391" i="29"/>
  <c r="CM391" i="29"/>
  <c r="CN395" i="29"/>
  <c r="BY395" i="29"/>
  <c r="CA395" i="29"/>
  <c r="BR395" i="29"/>
  <c r="DD395" i="29"/>
  <c r="CE395" i="29"/>
  <c r="CN399" i="29"/>
  <c r="CI399" i="29"/>
  <c r="BY399" i="29"/>
  <c r="DJ399" i="29"/>
  <c r="DH399" i="29"/>
  <c r="BR399" i="29"/>
  <c r="DI403" i="29"/>
  <c r="CK403" i="29"/>
  <c r="CY403" i="29"/>
  <c r="CA403" i="29"/>
  <c r="CH403" i="29"/>
  <c r="CI403" i="29"/>
  <c r="CU403" i="29"/>
  <c r="CO407" i="29"/>
  <c r="DD407" i="29"/>
  <c r="BS407" i="29"/>
  <c r="CR407" i="29"/>
  <c r="DJ407" i="29"/>
  <c r="BQ407" i="29"/>
  <c r="CB407" i="29"/>
  <c r="DI411" i="29"/>
  <c r="CT411" i="29"/>
  <c r="DG411" i="29"/>
  <c r="CJ411" i="29"/>
  <c r="CS411" i="29"/>
  <c r="CA411" i="29"/>
  <c r="CU411" i="29"/>
  <c r="CQ411" i="29"/>
  <c r="DL411" i="29"/>
  <c r="BS411" i="29"/>
  <c r="CF411" i="29"/>
  <c r="DF415" i="29"/>
  <c r="BO415" i="29"/>
  <c r="BW415" i="29"/>
  <c r="CO415" i="29"/>
  <c r="DE415" i="29"/>
  <c r="CR415" i="29"/>
  <c r="DL419" i="29"/>
  <c r="BZ419" i="29"/>
  <c r="CH419" i="29"/>
  <c r="DJ419" i="29"/>
  <c r="CA419" i="29"/>
  <c r="CZ419" i="29"/>
  <c r="DD419" i="29"/>
  <c r="CI423" i="29"/>
  <c r="CL423" i="29"/>
  <c r="BZ423" i="29"/>
  <c r="CP423" i="29"/>
  <c r="BT423" i="29"/>
  <c r="CF423" i="29"/>
  <c r="CU427" i="29"/>
  <c r="DC427" i="29"/>
  <c r="DB427" i="29"/>
  <c r="BS427" i="29"/>
  <c r="CI427" i="29"/>
  <c r="CN427" i="29"/>
  <c r="DF431" i="29"/>
  <c r="BO431" i="29"/>
  <c r="BW431" i="29"/>
  <c r="CT431" i="29"/>
  <c r="CY431" i="29"/>
  <c r="CR431" i="29"/>
  <c r="DK435" i="29"/>
  <c r="BQ435" i="29"/>
  <c r="BS435" i="29"/>
  <c r="BW435" i="29"/>
  <c r="BR435" i="29"/>
  <c r="CJ435" i="29"/>
  <c r="DJ435" i="29"/>
  <c r="CX441" i="29"/>
  <c r="DA441" i="29"/>
  <c r="CS441" i="29"/>
  <c r="CM441" i="29"/>
  <c r="DG441" i="29"/>
  <c r="DC441" i="29"/>
  <c r="BQ445" i="29"/>
  <c r="CH445" i="29"/>
  <c r="CQ445" i="29"/>
  <c r="CB445" i="29"/>
  <c r="CR445" i="29"/>
  <c r="BP445" i="29"/>
  <c r="CX449" i="29"/>
  <c r="CN449" i="29"/>
  <c r="CV449" i="29"/>
  <c r="CO449" i="29"/>
  <c r="DC449" i="29"/>
  <c r="CI449" i="29"/>
  <c r="DA453" i="29"/>
  <c r="BQ453" i="29"/>
  <c r="BV453" i="29"/>
  <c r="CO453" i="29"/>
  <c r="BY453" i="29"/>
  <c r="DK453" i="29"/>
  <c r="CC453" i="29"/>
  <c r="BR457" i="29"/>
  <c r="DJ457" i="29"/>
  <c r="DD457" i="29"/>
  <c r="CE457" i="29"/>
  <c r="CR457" i="29"/>
  <c r="BQ457" i="29"/>
  <c r="DB461" i="29"/>
  <c r="CR461" i="29"/>
  <c r="CD461" i="29"/>
  <c r="CO461" i="29"/>
  <c r="BW461" i="29"/>
  <c r="DI461" i="29"/>
  <c r="DE461" i="29"/>
  <c r="CS465" i="29"/>
  <c r="DG465" i="29"/>
  <c r="DF465" i="29"/>
  <c r="DL465" i="29"/>
  <c r="DE465" i="29"/>
  <c r="BX465" i="29"/>
  <c r="CI470" i="29"/>
  <c r="BY470" i="29"/>
  <c r="BS470" i="29"/>
  <c r="CE470" i="29"/>
  <c r="CN470" i="29"/>
  <c r="CR470" i="29"/>
  <c r="CI199" i="29"/>
  <c r="BO199" i="29"/>
  <c r="CR199" i="29"/>
  <c r="BY199" i="29"/>
  <c r="CV199" i="29"/>
  <c r="CN199" i="29"/>
  <c r="BV199" i="29"/>
  <c r="BO203" i="29"/>
  <c r="CI203" i="29"/>
  <c r="DH203" i="29"/>
  <c r="BX203" i="29"/>
  <c r="DB203" i="29"/>
  <c r="CF203" i="29"/>
  <c r="DF203" i="29"/>
  <c r="CE207" i="29"/>
  <c r="CH207" i="29"/>
  <c r="DI207" i="29"/>
  <c r="CW207" i="29"/>
  <c r="CM207" i="29"/>
  <c r="DG207" i="29"/>
  <c r="DK211" i="29"/>
  <c r="CI211" i="29"/>
  <c r="CH211" i="29"/>
  <c r="BT211" i="29"/>
  <c r="CS211" i="29"/>
  <c r="CQ211" i="29"/>
  <c r="CG211" i="29"/>
  <c r="CT215" i="29"/>
  <c r="CQ215" i="29"/>
  <c r="CN215" i="29"/>
  <c r="CJ215" i="29"/>
  <c r="CX215" i="29"/>
  <c r="CW215" i="29"/>
  <c r="CT219" i="29"/>
  <c r="CY219" i="29"/>
  <c r="CF219" i="29"/>
  <c r="BX219" i="29"/>
  <c r="CQ219" i="29"/>
  <c r="CG219" i="29"/>
  <c r="CB223" i="29"/>
  <c r="CV223" i="29"/>
  <c r="BU223" i="29"/>
  <c r="DD223" i="29"/>
  <c r="DF223" i="29"/>
  <c r="CZ223" i="29"/>
  <c r="DC223" i="29"/>
  <c r="CS227" i="29"/>
  <c r="BV227" i="29"/>
  <c r="DH227" i="29"/>
  <c r="DK227" i="29"/>
  <c r="CU227" i="29"/>
  <c r="DG227" i="29"/>
  <c r="DJ231" i="29"/>
  <c r="CY231" i="29"/>
  <c r="CF231" i="29"/>
  <c r="BS231" i="29"/>
  <c r="DG231" i="29"/>
  <c r="BQ231" i="29"/>
  <c r="DH235" i="29"/>
  <c r="BQ235" i="29"/>
  <c r="BY235" i="29"/>
  <c r="CA235" i="29"/>
  <c r="BP235" i="29"/>
  <c r="CF235" i="29"/>
  <c r="CM235" i="29"/>
  <c r="BO239" i="29"/>
  <c r="CK239" i="29"/>
  <c r="DL239" i="29"/>
  <c r="DI243" i="29"/>
  <c r="CR243" i="29"/>
  <c r="CL243" i="29"/>
  <c r="DL243" i="29"/>
  <c r="DE243" i="29"/>
  <c r="CN243" i="29"/>
  <c r="CU247" i="29"/>
  <c r="CO247" i="29"/>
  <c r="CE247" i="29"/>
  <c r="BU247" i="29"/>
  <c r="DH247" i="29"/>
  <c r="BO247" i="29"/>
  <c r="BX247" i="29"/>
  <c r="BW251" i="29"/>
  <c r="CD251" i="29"/>
  <c r="DG251" i="29"/>
  <c r="CG251" i="29"/>
  <c r="BQ251" i="29"/>
  <c r="CY251" i="29"/>
  <c r="BT251" i="29"/>
  <c r="DK255" i="29"/>
  <c r="CD255" i="29"/>
  <c r="DF255" i="29"/>
  <c r="BZ255" i="29"/>
  <c r="CN255" i="29"/>
  <c r="BX255" i="29"/>
  <c r="BZ259" i="29"/>
  <c r="CD259" i="29"/>
  <c r="CN259" i="29"/>
  <c r="BP259" i="29"/>
  <c r="CY259" i="29"/>
  <c r="DL259" i="29"/>
  <c r="BQ263" i="29"/>
  <c r="DB263" i="29"/>
  <c r="CF263" i="29"/>
  <c r="BX263" i="29"/>
  <c r="DI263" i="29"/>
  <c r="BR263" i="29"/>
  <c r="CK269" i="29"/>
  <c r="DJ269" i="29"/>
  <c r="CZ269" i="29"/>
  <c r="DH269" i="29"/>
  <c r="BS269" i="29"/>
  <c r="CN269" i="29"/>
  <c r="CQ273" i="29"/>
  <c r="CK273" i="29"/>
  <c r="CD273" i="29"/>
  <c r="BP273" i="29"/>
  <c r="BY273" i="29"/>
  <c r="CP273" i="29"/>
  <c r="BP277" i="29"/>
  <c r="BQ277" i="29"/>
  <c r="BZ277" i="29"/>
  <c r="CN277" i="29"/>
  <c r="CD277" i="29"/>
  <c r="DB277" i="29"/>
  <c r="BX277" i="29"/>
  <c r="DK281" i="29"/>
  <c r="CJ281" i="29"/>
  <c r="CA281" i="29"/>
  <c r="BU281" i="29"/>
  <c r="CH281" i="29"/>
  <c r="CY281" i="29"/>
  <c r="DE285" i="29"/>
  <c r="CQ285" i="29"/>
  <c r="CR285" i="29"/>
  <c r="DL285" i="29"/>
  <c r="BX285" i="29"/>
  <c r="DK285" i="29"/>
  <c r="DJ289" i="29"/>
  <c r="CS289" i="29"/>
  <c r="DK289" i="29"/>
  <c r="DA289" i="29"/>
  <c r="CG289" i="29"/>
  <c r="CB289" i="29"/>
  <c r="DL289" i="29"/>
  <c r="BV293" i="29"/>
  <c r="CQ293" i="29"/>
  <c r="CC293" i="29"/>
  <c r="DE293" i="29"/>
  <c r="CB293" i="29"/>
  <c r="CF293" i="29"/>
  <c r="CR293" i="29"/>
  <c r="DL298" i="29"/>
  <c r="BO298" i="29"/>
  <c r="BW298" i="29"/>
  <c r="CV298" i="29"/>
  <c r="DH298" i="29"/>
  <c r="CK298" i="29"/>
  <c r="BS302" i="29"/>
  <c r="BO302" i="29"/>
  <c r="BP302" i="29"/>
  <c r="BV302" i="29"/>
  <c r="CW302" i="29"/>
  <c r="BT302" i="29"/>
  <c r="CJ302" i="29"/>
  <c r="BY549" i="29"/>
  <c r="BW549" i="29"/>
  <c r="CG549" i="29"/>
  <c r="BZ549" i="29"/>
  <c r="CN549" i="29"/>
  <c r="DG549" i="29"/>
  <c r="CL553" i="29"/>
  <c r="CI553" i="29"/>
  <c r="CU553" i="29"/>
  <c r="BR553" i="29"/>
  <c r="CY553" i="29"/>
  <c r="CT553" i="29"/>
  <c r="BR557" i="29"/>
  <c r="CG557" i="29"/>
  <c r="CP557" i="29"/>
  <c r="BZ557" i="29"/>
  <c r="CW557" i="29"/>
  <c r="CU557" i="29"/>
  <c r="CQ561" i="29"/>
  <c r="CD561" i="29"/>
  <c r="DA561" i="29"/>
  <c r="DJ561" i="29"/>
  <c r="CH561" i="29"/>
  <c r="CJ561" i="29"/>
  <c r="DF565" i="29"/>
  <c r="BO565" i="29"/>
  <c r="CG565" i="29"/>
  <c r="CY565" i="29"/>
  <c r="CS565" i="29"/>
  <c r="BP565" i="29"/>
  <c r="DD565" i="29"/>
  <c r="BQ569" i="29"/>
  <c r="DJ569" i="29"/>
  <c r="CZ569" i="29"/>
  <c r="CF569" i="29"/>
  <c r="DD569" i="29"/>
  <c r="CI569" i="29"/>
  <c r="CO569" i="29"/>
  <c r="CH573" i="29"/>
  <c r="CA573" i="29"/>
  <c r="CD573" i="29"/>
  <c r="CE573" i="29"/>
  <c r="DB573" i="29"/>
  <c r="BR573" i="29"/>
  <c r="DL577" i="29"/>
  <c r="BV577" i="29"/>
  <c r="CN577" i="29"/>
  <c r="CU577" i="29"/>
  <c r="DD577" i="29"/>
  <c r="BU577" i="29"/>
  <c r="CS577" i="29"/>
  <c r="CT581" i="29"/>
  <c r="DE581" i="29"/>
  <c r="DK581" i="29"/>
  <c r="BV581" i="29"/>
  <c r="DH581" i="29"/>
  <c r="DA581" i="29"/>
  <c r="CR585" i="29"/>
  <c r="DB585" i="29"/>
  <c r="CS585" i="29"/>
  <c r="DK585" i="29"/>
  <c r="DE585" i="29"/>
  <c r="DD585" i="29"/>
  <c r="CJ589" i="29"/>
  <c r="DE589" i="29"/>
  <c r="CE589" i="29"/>
  <c r="CK589" i="29"/>
  <c r="CP589" i="29"/>
  <c r="CI589" i="29"/>
  <c r="DB593" i="29"/>
  <c r="CO593" i="29"/>
  <c r="DL593" i="29"/>
  <c r="DC593" i="29"/>
  <c r="CB593" i="29"/>
  <c r="CU593" i="29"/>
  <c r="CP593" i="29"/>
  <c r="DD597" i="29"/>
  <c r="DE597" i="29"/>
  <c r="BS597" i="29"/>
  <c r="BU597" i="29"/>
  <c r="BY597" i="29"/>
  <c r="CK597" i="29"/>
  <c r="CT601" i="29"/>
  <c r="DC601" i="29"/>
  <c r="BP601" i="29"/>
  <c r="BS601" i="29"/>
  <c r="CE601" i="29"/>
  <c r="CA601" i="29"/>
  <c r="BT605" i="29"/>
  <c r="CK605" i="29"/>
  <c r="BZ605" i="29"/>
  <c r="DK605" i="29"/>
  <c r="DE605" i="29"/>
  <c r="CT605" i="29"/>
  <c r="CH605" i="29"/>
  <c r="DH609" i="29"/>
  <c r="CL609" i="29"/>
  <c r="CB609" i="29"/>
  <c r="CJ609" i="29"/>
  <c r="DL609" i="29"/>
  <c r="CC609" i="29"/>
  <c r="DI609" i="29"/>
  <c r="BW609" i="29"/>
  <c r="CS609" i="29"/>
  <c r="BO609" i="29"/>
  <c r="BZ609" i="29"/>
  <c r="DK609" i="29"/>
  <c r="BV613" i="29"/>
  <c r="DH613" i="29"/>
  <c r="CR613" i="29"/>
  <c r="BR613" i="29"/>
  <c r="BT613" i="29"/>
  <c r="DL613" i="29"/>
  <c r="DL619" i="29"/>
  <c r="BV619" i="29"/>
  <c r="CX619" i="29"/>
  <c r="DK619" i="29"/>
  <c r="CT619" i="29"/>
  <c r="CK619" i="29"/>
  <c r="BX619" i="29"/>
  <c r="CJ623" i="29"/>
  <c r="CU623" i="29"/>
  <c r="CH623" i="29"/>
  <c r="CK623" i="29"/>
  <c r="BQ623" i="29"/>
  <c r="CV623" i="29"/>
  <c r="BP627" i="29"/>
  <c r="CH627" i="29"/>
  <c r="DG627" i="29"/>
  <c r="BO627" i="29"/>
  <c r="CC627" i="29"/>
  <c r="BZ627" i="29"/>
  <c r="DL627" i="29"/>
  <c r="BO631" i="29"/>
  <c r="BR631" i="29"/>
  <c r="CU631" i="29"/>
  <c r="BY631" i="29"/>
  <c r="BU631" i="29"/>
  <c r="CS631" i="29"/>
  <c r="DG635" i="29"/>
  <c r="DD635" i="29"/>
  <c r="DK635" i="29"/>
  <c r="CM635" i="29"/>
  <c r="DC635" i="29"/>
  <c r="CS635" i="29"/>
  <c r="CP635" i="29"/>
  <c r="CK639" i="29"/>
  <c r="CW639" i="29"/>
  <c r="CO639" i="29"/>
  <c r="CM639" i="29"/>
  <c r="BX639" i="29"/>
  <c r="CF639" i="29"/>
  <c r="CQ643" i="29"/>
  <c r="BV643" i="29"/>
  <c r="CC643" i="29"/>
  <c r="CE643" i="29"/>
  <c r="CD643" i="29"/>
  <c r="DD643" i="29"/>
  <c r="BT643" i="29"/>
  <c r="BP648" i="29"/>
  <c r="CV648" i="29"/>
  <c r="DG648" i="29"/>
  <c r="CX648" i="29"/>
  <c r="DC648" i="29"/>
  <c r="DI648" i="29"/>
  <c r="CL652" i="29"/>
  <c r="CK652" i="29"/>
  <c r="DI652" i="29"/>
  <c r="BO652" i="29"/>
  <c r="CD652" i="29"/>
  <c r="BY652" i="29"/>
  <c r="DD652" i="29"/>
  <c r="BP725" i="29"/>
  <c r="DA725" i="29"/>
  <c r="CC725" i="29"/>
  <c r="CA725" i="29"/>
  <c r="CW725" i="29"/>
  <c r="CG725" i="29"/>
  <c r="BO729" i="29"/>
  <c r="DC729" i="29"/>
  <c r="DH729" i="29"/>
  <c r="CK729" i="29"/>
  <c r="BP729" i="29"/>
  <c r="CL729" i="29"/>
  <c r="BY733" i="29"/>
  <c r="CY733" i="29"/>
  <c r="DI733" i="29"/>
  <c r="BQ733" i="29"/>
  <c r="BT733" i="29"/>
  <c r="CL733" i="29"/>
  <c r="DA737" i="29"/>
  <c r="BX737" i="29"/>
  <c r="DF737" i="29"/>
  <c r="CI737" i="29"/>
  <c r="BW737" i="29"/>
  <c r="BO737" i="29"/>
  <c r="DK737" i="29"/>
  <c r="CS741" i="29"/>
  <c r="CB741" i="29"/>
  <c r="CW741" i="29"/>
  <c r="CM741" i="29"/>
  <c r="DK741" i="29"/>
  <c r="DI745" i="29"/>
  <c r="CL745" i="29"/>
  <c r="CQ745" i="29"/>
  <c r="DD745" i="29"/>
  <c r="BU745" i="29"/>
  <c r="CJ745" i="29"/>
  <c r="CG745" i="29"/>
  <c r="DL749" i="29"/>
  <c r="CP749" i="29"/>
  <c r="CU749" i="29"/>
  <c r="CB749" i="29"/>
  <c r="BV749" i="29"/>
  <c r="BU749" i="29"/>
  <c r="CK753" i="29"/>
  <c r="CN753" i="29"/>
  <c r="CW753" i="29"/>
  <c r="BV753" i="29"/>
  <c r="BW753" i="29"/>
  <c r="BT753" i="29"/>
  <c r="CL757" i="29"/>
  <c r="DB757" i="29"/>
  <c r="CD757" i="29"/>
  <c r="CN757" i="29"/>
  <c r="CE757" i="29"/>
  <c r="CI757" i="29"/>
  <c r="DJ761" i="29"/>
  <c r="CJ761" i="29"/>
  <c r="CK761" i="29"/>
  <c r="CC761" i="29"/>
  <c r="DB761" i="29"/>
  <c r="CM761" i="29"/>
  <c r="BY765" i="29"/>
  <c r="CR765" i="29"/>
  <c r="DD765" i="29"/>
  <c r="CK765" i="29"/>
  <c r="CE765" i="29"/>
  <c r="CC765" i="29"/>
  <c r="DL769" i="29"/>
  <c r="BX769" i="29"/>
  <c r="CU769" i="29"/>
  <c r="BR769" i="29"/>
  <c r="CC773" i="29"/>
  <c r="CY773" i="29"/>
  <c r="BX777" i="29"/>
  <c r="DH777" i="29"/>
  <c r="CQ777" i="29"/>
  <c r="BU777" i="29"/>
  <c r="CZ777" i="29"/>
  <c r="DB777" i="29"/>
  <c r="CU781" i="29"/>
  <c r="DB781" i="29"/>
  <c r="CB781" i="29"/>
  <c r="CP781" i="29"/>
  <c r="BZ781" i="29"/>
  <c r="BU781" i="29"/>
  <c r="DG785" i="29"/>
  <c r="BU785" i="29"/>
  <c r="BZ785" i="29"/>
  <c r="BR785" i="29"/>
  <c r="BV785" i="29"/>
  <c r="DK785" i="29"/>
  <c r="CO785" i="29"/>
  <c r="DH791" i="29"/>
  <c r="DB791" i="29"/>
  <c r="DA791" i="29"/>
  <c r="CO791" i="29"/>
  <c r="BX791" i="29"/>
  <c r="BS791" i="29"/>
  <c r="CI795" i="29"/>
  <c r="BX795" i="29"/>
  <c r="BS795" i="29"/>
  <c r="DE795" i="29"/>
  <c r="BP795" i="29"/>
  <c r="DI795" i="29"/>
  <c r="DH799" i="29"/>
  <c r="CZ799" i="29"/>
  <c r="CU799" i="29"/>
  <c r="BY799" i="29"/>
  <c r="BR799" i="29"/>
  <c r="CV799" i="29"/>
  <c r="CA803" i="29"/>
  <c r="DD803" i="29"/>
  <c r="BT803" i="29"/>
  <c r="DK803" i="29"/>
  <c r="CN803" i="29"/>
  <c r="BY803" i="29"/>
  <c r="BY807" i="29"/>
  <c r="CC807" i="29"/>
  <c r="DL807" i="29"/>
  <c r="BQ807" i="29"/>
  <c r="CA807" i="29"/>
  <c r="CN807" i="29"/>
  <c r="CE811" i="29"/>
  <c r="CB811" i="29"/>
  <c r="BO811" i="29"/>
  <c r="DB811" i="29"/>
  <c r="BP811" i="29"/>
  <c r="CP811" i="29"/>
  <c r="CU815" i="29"/>
  <c r="BU815" i="29"/>
  <c r="DJ815" i="29"/>
  <c r="CL815" i="29"/>
  <c r="BP815" i="29"/>
  <c r="DG815" i="29"/>
  <c r="CU820" i="29"/>
  <c r="DE820" i="29"/>
  <c r="DB820" i="29"/>
  <c r="BQ820" i="29"/>
  <c r="BW820" i="29"/>
  <c r="CR820" i="29"/>
  <c r="BZ824" i="29"/>
  <c r="BU824" i="29"/>
  <c r="BV824" i="29"/>
  <c r="DF824" i="29"/>
  <c r="CP824" i="29"/>
  <c r="DG824" i="29"/>
  <c r="DI897" i="29"/>
  <c r="DC897" i="29"/>
  <c r="BV897" i="29"/>
  <c r="BS897" i="29"/>
  <c r="BT897" i="29"/>
  <c r="DE897" i="29"/>
  <c r="BX897" i="29"/>
  <c r="BS901" i="29"/>
  <c r="CM901" i="29"/>
  <c r="CT901" i="29"/>
  <c r="BX901" i="29"/>
  <c r="DL901" i="29"/>
  <c r="BQ901" i="29"/>
  <c r="DI905" i="29"/>
  <c r="CY905" i="29"/>
  <c r="CX905" i="29"/>
  <c r="DC905" i="29"/>
  <c r="CB905" i="29"/>
  <c r="CN905" i="29"/>
  <c r="CG905" i="29"/>
  <c r="BT909" i="29"/>
  <c r="DH909" i="29"/>
  <c r="BW909" i="29"/>
  <c r="BQ909" i="29"/>
  <c r="DL909" i="29"/>
  <c r="DA909" i="29"/>
  <c r="CG913" i="29"/>
  <c r="BX913" i="29"/>
  <c r="BW913" i="29"/>
  <c r="DJ913" i="29"/>
  <c r="BV913" i="29"/>
  <c r="DL913" i="29"/>
  <c r="BX917" i="29"/>
  <c r="CY917" i="29"/>
  <c r="BU917" i="29"/>
  <c r="DL917" i="29"/>
  <c r="CQ917" i="29"/>
  <c r="CB917" i="29"/>
  <c r="DE921" i="29"/>
  <c r="BU921" i="29"/>
  <c r="CJ921" i="29"/>
  <c r="BQ921" i="29"/>
  <c r="DA921" i="29"/>
  <c r="BZ921" i="29"/>
  <c r="BW921" i="29"/>
  <c r="CW925" i="29"/>
  <c r="CB925" i="29"/>
  <c r="CK925" i="29"/>
  <c r="BX925" i="29"/>
  <c r="CM925" i="29"/>
  <c r="CF925" i="29"/>
  <c r="DK929" i="29"/>
  <c r="CC929" i="29"/>
  <c r="DE929" i="29"/>
  <c r="BZ929" i="29"/>
  <c r="CK929" i="29"/>
  <c r="DH929" i="29"/>
  <c r="DJ933" i="29"/>
  <c r="DA933" i="29"/>
  <c r="CE933" i="29"/>
  <c r="CP933" i="29"/>
  <c r="CS933" i="29"/>
  <c r="DL933" i="29"/>
  <c r="DE937" i="29"/>
  <c r="CZ937" i="29"/>
  <c r="CH937" i="29"/>
  <c r="BZ937" i="29"/>
  <c r="CK937" i="29"/>
  <c r="CM937" i="29"/>
  <c r="CF941" i="29"/>
  <c r="CX941" i="29"/>
  <c r="DH941" i="29"/>
  <c r="BX941" i="29"/>
  <c r="CO941" i="29"/>
  <c r="CN941" i="29"/>
  <c r="BO945" i="29"/>
  <c r="CC945" i="29"/>
  <c r="CH945" i="29"/>
  <c r="BZ945" i="29"/>
  <c r="CK945" i="29"/>
  <c r="DB945" i="29"/>
  <c r="CF949" i="29"/>
  <c r="CZ949" i="29"/>
  <c r="DJ949" i="29"/>
  <c r="CR949" i="29"/>
  <c r="CX949" i="29"/>
  <c r="DF949" i="29"/>
  <c r="DK953" i="29"/>
  <c r="CC953" i="29"/>
  <c r="BO953" i="29"/>
  <c r="BW953" i="29"/>
  <c r="CG953" i="29"/>
  <c r="CK953" i="29"/>
  <c r="CM953" i="29"/>
  <c r="DI957" i="29"/>
  <c r="CT957" i="29"/>
  <c r="DC957" i="29"/>
  <c r="BW957" i="29"/>
  <c r="CS957" i="29"/>
  <c r="CR957" i="29"/>
  <c r="CS963" i="29"/>
  <c r="DA963" i="29"/>
  <c r="DE963" i="29"/>
  <c r="DB963" i="29"/>
  <c r="BS963" i="29"/>
  <c r="CR963" i="29"/>
  <c r="DC967" i="29"/>
  <c r="DK967" i="29"/>
  <c r="BU967" i="29"/>
  <c r="BV967" i="29"/>
  <c r="CA967" i="29"/>
  <c r="CF967" i="29"/>
  <c r="DL971" i="29"/>
  <c r="DC726" i="29"/>
  <c r="BS726" i="29"/>
  <c r="BZ726" i="29"/>
  <c r="BS730" i="29"/>
  <c r="CU738" i="29"/>
  <c r="CK742" i="29"/>
  <c r="DC746" i="29"/>
  <c r="CR754" i="29"/>
  <c r="CM758" i="29"/>
  <c r="CK762" i="29"/>
  <c r="BX766" i="29"/>
  <c r="DF774" i="29"/>
  <c r="CG778" i="29"/>
  <c r="BV782" i="29"/>
  <c r="BV786" i="29"/>
  <c r="CX796" i="29"/>
  <c r="BW800" i="29"/>
  <c r="BP804" i="29"/>
  <c r="CD812" i="29"/>
  <c r="BT816" i="29"/>
  <c r="CN821" i="29"/>
  <c r="DL825" i="29"/>
  <c r="DB902" i="29"/>
  <c r="BU906" i="29"/>
  <c r="CN910" i="29"/>
  <c r="CZ918" i="29"/>
  <c r="BO922" i="29"/>
  <c r="CA926" i="29"/>
  <c r="CF930" i="29"/>
  <c r="CT938" i="29"/>
  <c r="CX942" i="29"/>
  <c r="CA946" i="29"/>
  <c r="CY954" i="29"/>
  <c r="DA958" i="29"/>
  <c r="CI964" i="29"/>
  <c r="CL968" i="29"/>
  <c r="CZ976" i="29"/>
  <c r="BZ980" i="29"/>
  <c r="CM984" i="29"/>
  <c r="CC988" i="29"/>
  <c r="BX997" i="29"/>
  <c r="CG373" i="29"/>
  <c r="CB377" i="29"/>
  <c r="CP385" i="29"/>
  <c r="CY389" i="29"/>
  <c r="CO393" i="29"/>
  <c r="BX397" i="29"/>
  <c r="DI405" i="29"/>
  <c r="CU409" i="29"/>
  <c r="CJ413" i="29"/>
  <c r="CJ421" i="29"/>
  <c r="BQ425" i="29"/>
  <c r="DE429" i="29"/>
  <c r="CH433" i="29"/>
  <c r="BP443" i="29"/>
  <c r="CH447" i="29"/>
  <c r="BR451" i="29"/>
  <c r="CT459" i="29"/>
  <c r="CH463" i="29"/>
  <c r="BU467" i="29"/>
  <c r="BP201" i="29"/>
  <c r="CV209" i="29"/>
  <c r="CJ213" i="29"/>
  <c r="BP217" i="29"/>
  <c r="CW225" i="29"/>
  <c r="DI229" i="29"/>
  <c r="CU233" i="29"/>
  <c r="CL237" i="29"/>
  <c r="DL245" i="29"/>
  <c r="CS249" i="29"/>
  <c r="CT253" i="29"/>
  <c r="BW257" i="29"/>
  <c r="CU267" i="29"/>
  <c r="CN271" i="29"/>
  <c r="CY275" i="29"/>
  <c r="BP283" i="29"/>
  <c r="BU287" i="29"/>
  <c r="DJ291" i="29"/>
  <c r="CF296" i="29"/>
  <c r="CM551" i="29"/>
  <c r="BX555" i="29"/>
  <c r="CG559" i="29"/>
  <c r="CR567" i="29"/>
  <c r="CN571" i="29"/>
  <c r="CC575" i="29"/>
  <c r="DL579" i="29"/>
  <c r="BS587" i="29"/>
  <c r="BQ591" i="29"/>
  <c r="CG595" i="29"/>
  <c r="CZ603" i="29"/>
  <c r="CJ607" i="29"/>
  <c r="CK611" i="29"/>
  <c r="CI617" i="29"/>
  <c r="DF625" i="29"/>
  <c r="BQ629" i="29"/>
  <c r="DB633" i="29"/>
  <c r="CG637" i="29"/>
  <c r="CB646" i="29"/>
  <c r="CE650" i="29"/>
  <c r="DG723" i="29"/>
  <c r="CA731" i="29"/>
  <c r="CM735" i="29"/>
  <c r="CF739" i="29"/>
  <c r="BQ743" i="29"/>
  <c r="BZ751" i="29"/>
  <c r="CA755" i="29"/>
  <c r="BY759" i="29"/>
  <c r="CV767" i="29"/>
  <c r="BY771" i="29"/>
  <c r="DI775" i="29"/>
  <c r="CV779" i="29"/>
  <c r="CQ787" i="29"/>
  <c r="BW793" i="29"/>
  <c r="BZ797" i="29"/>
  <c r="DI805" i="29"/>
  <c r="CM809" i="29"/>
  <c r="DC813" i="29"/>
  <c r="DD817" i="29"/>
  <c r="DH826" i="29"/>
  <c r="DA899" i="29"/>
  <c r="BS903" i="29"/>
  <c r="BR907" i="29"/>
  <c r="CU915" i="29"/>
  <c r="BZ919" i="29"/>
  <c r="BT923" i="29"/>
  <c r="CL931" i="29"/>
  <c r="DE935" i="29"/>
  <c r="DC939" i="29"/>
  <c r="CN943" i="29"/>
  <c r="DJ951" i="29"/>
  <c r="CS955" i="29"/>
  <c r="CR959" i="29"/>
  <c r="CJ969" i="29"/>
  <c r="CZ973" i="29"/>
  <c r="DH977" i="29"/>
  <c r="CE981" i="29"/>
  <c r="CG989" i="29"/>
  <c r="BY994" i="29"/>
  <c r="BP998" i="29"/>
  <c r="BZ388" i="29"/>
  <c r="CO396" i="29"/>
  <c r="CT404" i="29"/>
  <c r="DI412" i="29"/>
  <c r="DI424" i="29"/>
  <c r="DA432" i="29"/>
  <c r="CH442" i="29"/>
  <c r="DL450" i="29"/>
  <c r="CD462" i="29"/>
  <c r="DH471" i="29"/>
  <c r="DJ475" i="29"/>
  <c r="CY208" i="29"/>
  <c r="CK216" i="29"/>
  <c r="CA220" i="29"/>
  <c r="BX228" i="29"/>
  <c r="DL244" i="29"/>
  <c r="CM252" i="29"/>
  <c r="DK260" i="29"/>
  <c r="CW274" i="29"/>
  <c r="CZ282" i="29"/>
  <c r="CV290" i="29"/>
  <c r="DI295" i="29"/>
  <c r="BQ562" i="29"/>
  <c r="CS570" i="29"/>
  <c r="BU574" i="29"/>
  <c r="CM590" i="29"/>
  <c r="DL598" i="29"/>
  <c r="CL606" i="29"/>
  <c r="CH610" i="29"/>
  <c r="CC628" i="29"/>
  <c r="DI636" i="29"/>
  <c r="CL645" i="29"/>
  <c r="DL378" i="29"/>
  <c r="CK398" i="29"/>
  <c r="CF406" i="29"/>
  <c r="CV414" i="29"/>
  <c r="CT414" i="29"/>
  <c r="BX418" i="29"/>
  <c r="CW426" i="29"/>
  <c r="DF434" i="29"/>
  <c r="CS444" i="29"/>
  <c r="CD452" i="29"/>
  <c r="CZ452" i="29"/>
  <c r="CF460" i="29"/>
  <c r="CA472" i="29"/>
  <c r="CG476" i="29"/>
  <c r="BX202" i="29"/>
  <c r="BT210" i="29"/>
  <c r="CM218" i="29"/>
  <c r="CQ218" i="29"/>
  <c r="BP226" i="29"/>
  <c r="DF234" i="29"/>
  <c r="CT242" i="29"/>
  <c r="DB250" i="29"/>
  <c r="CP258" i="29"/>
  <c r="DE268" i="29"/>
  <c r="CL268" i="29"/>
  <c r="BS276" i="29"/>
  <c r="CD284" i="29"/>
  <c r="CI292" i="29"/>
  <c r="DC301" i="29"/>
  <c r="DA556" i="29"/>
  <c r="CP564" i="29"/>
  <c r="DL564" i="29"/>
  <c r="BP572" i="29"/>
  <c r="BY580" i="29"/>
  <c r="BW588" i="29"/>
  <c r="DH588" i="29"/>
  <c r="CL596" i="29"/>
  <c r="CM608" i="29"/>
  <c r="CJ608" i="29"/>
  <c r="CC618" i="29"/>
  <c r="CZ626" i="29"/>
  <c r="CV626" i="29"/>
  <c r="CZ634" i="29"/>
  <c r="BS638" i="29"/>
  <c r="CR638" i="29"/>
  <c r="BY647" i="29"/>
  <c r="DH376" i="29"/>
  <c r="CL376" i="29"/>
  <c r="CE384" i="29"/>
  <c r="CL384" i="29"/>
  <c r="DA392" i="29"/>
  <c r="CN400" i="29"/>
  <c r="CS400" i="29"/>
  <c r="DK408" i="29"/>
  <c r="DE420" i="29"/>
  <c r="CP420" i="29"/>
  <c r="BY428" i="29"/>
  <c r="DE436" i="29"/>
  <c r="DA436" i="29"/>
  <c r="CP446" i="29"/>
  <c r="CR446" i="29"/>
  <c r="CI454" i="29"/>
  <c r="DA466" i="29"/>
  <c r="CB466" i="29"/>
  <c r="CX473" i="29"/>
  <c r="DG204" i="29"/>
  <c r="CW204" i="29"/>
  <c r="CT212" i="29"/>
  <c r="BO224" i="29"/>
  <c r="DB224" i="29"/>
  <c r="CG232" i="29"/>
  <c r="DL240" i="29"/>
  <c r="BX240" i="29"/>
  <c r="CY248" i="29"/>
  <c r="DC248" i="29"/>
  <c r="DA256" i="29"/>
  <c r="DL270" i="29"/>
  <c r="CF270" i="29"/>
  <c r="CL278" i="29"/>
  <c r="DA286" i="29"/>
  <c r="CN286" i="29"/>
  <c r="CA299" i="29"/>
  <c r="CN550" i="29"/>
  <c r="CP550" i="29"/>
  <c r="CQ558" i="29"/>
  <c r="DJ558" i="29"/>
  <c r="BU566" i="29"/>
  <c r="BZ578" i="29"/>
  <c r="DA578" i="29"/>
  <c r="CQ586" i="29"/>
  <c r="CF594" i="29"/>
  <c r="CK594" i="29"/>
  <c r="CM602" i="29"/>
  <c r="CC616" i="29"/>
  <c r="CX616" i="29"/>
  <c r="DG624" i="29"/>
  <c r="DL632" i="29"/>
  <c r="CI632" i="29"/>
  <c r="BY640" i="29"/>
  <c r="DB640" i="29"/>
  <c r="CI649" i="29"/>
  <c r="CE374" i="29"/>
  <c r="BP374" i="29"/>
  <c r="CB382" i="29"/>
  <c r="CV390" i="29"/>
  <c r="BQ390" i="29"/>
  <c r="CG394" i="29"/>
  <c r="BT402" i="29"/>
  <c r="BY402" i="29"/>
  <c r="CU410" i="29"/>
  <c r="DD410" i="29"/>
  <c r="CS422" i="29"/>
  <c r="DC422" i="29"/>
  <c r="BV430" i="29"/>
  <c r="CF430" i="29"/>
  <c r="DK440" i="29"/>
  <c r="BW440" i="29"/>
  <c r="DJ448" i="29"/>
  <c r="BU448" i="29"/>
  <c r="CR448" i="29"/>
  <c r="CI456" i="29"/>
  <c r="BU456" i="29"/>
  <c r="DJ464" i="29"/>
  <c r="CC464" i="29"/>
  <c r="CY469" i="29"/>
  <c r="DK469" i="29"/>
  <c r="CQ469" i="29"/>
  <c r="CB474" i="29"/>
  <c r="CM474" i="29"/>
  <c r="CL206" i="29"/>
  <c r="CW206" i="29"/>
  <c r="DC214" i="29"/>
  <c r="CI214" i="29"/>
  <c r="DL214" i="29"/>
  <c r="DA222" i="29"/>
  <c r="BO222" i="29"/>
  <c r="BT230" i="29"/>
  <c r="BW230" i="29"/>
  <c r="CV230" i="29"/>
  <c r="CG238" i="29"/>
  <c r="CH238" i="29"/>
  <c r="DH246" i="29"/>
  <c r="CI246" i="29"/>
  <c r="BV254" i="29"/>
  <c r="CG254" i="29"/>
  <c r="DG254" i="29"/>
  <c r="CZ262" i="29"/>
  <c r="BP262" i="29"/>
  <c r="DE272" i="29"/>
  <c r="CS272" i="29"/>
  <c r="CK280" i="29"/>
  <c r="DF280" i="29"/>
  <c r="CL280" i="29"/>
  <c r="CK288" i="29"/>
  <c r="CQ288" i="29"/>
  <c r="BS297" i="29"/>
  <c r="CT297" i="29"/>
  <c r="CL552" i="29"/>
  <c r="BZ552" i="29"/>
  <c r="CN552" i="29"/>
  <c r="CI560" i="29"/>
  <c r="CO560" i="29"/>
  <c r="DB568" i="29"/>
  <c r="DK568" i="29"/>
  <c r="CU576" i="29"/>
  <c r="CD576" i="29"/>
  <c r="DG584" i="29"/>
  <c r="CF584" i="29"/>
  <c r="CO592" i="29"/>
  <c r="DI592" i="29"/>
  <c r="CW600" i="29"/>
  <c r="BO600" i="29"/>
  <c r="CN600" i="29"/>
  <c r="CI604" i="29"/>
  <c r="CF604" i="29"/>
  <c r="DJ612" i="29"/>
  <c r="CY612" i="29"/>
  <c r="CJ622" i="29"/>
  <c r="DC622" i="29"/>
  <c r="BS622" i="29"/>
  <c r="CF630" i="29"/>
  <c r="CA630" i="29"/>
  <c r="BV642" i="29"/>
  <c r="DH642" i="29"/>
  <c r="CW651" i="29"/>
  <c r="DG651" i="29"/>
  <c r="CN651" i="29"/>
  <c r="CH724" i="29"/>
  <c r="BS724" i="29"/>
  <c r="BU728" i="29"/>
  <c r="CO728" i="29"/>
  <c r="DI732" i="29"/>
  <c r="BY732" i="29"/>
  <c r="BP732" i="29"/>
  <c r="CI736" i="29"/>
  <c r="BU736" i="29"/>
  <c r="BV740" i="29"/>
  <c r="CE740" i="29"/>
  <c r="DG744" i="29"/>
  <c r="CC744" i="29"/>
  <c r="CV744" i="29"/>
  <c r="CG748" i="29"/>
  <c r="CH748" i="29"/>
  <c r="DD748" i="29"/>
  <c r="CG752" i="29"/>
  <c r="CS752" i="29"/>
  <c r="CR752" i="29"/>
  <c r="CL756" i="29"/>
  <c r="BU756" i="29"/>
  <c r="BX756" i="29"/>
  <c r="CB760" i="29"/>
  <c r="CD760" i="29"/>
  <c r="CG760" i="29"/>
  <c r="CR764" i="29"/>
  <c r="CM764" i="29"/>
  <c r="DA764" i="29"/>
  <c r="BQ768" i="29"/>
  <c r="DG768" i="29"/>
  <c r="DJ768" i="29"/>
  <c r="BP772" i="29"/>
  <c r="CN772" i="29"/>
  <c r="CO772" i="29"/>
  <c r="CH776" i="29"/>
  <c r="CD776" i="29"/>
  <c r="CU776" i="29"/>
  <c r="DC780" i="29"/>
  <c r="CS780" i="29"/>
  <c r="BP780" i="29"/>
  <c r="CV780" i="29"/>
  <c r="CX784" i="29"/>
  <c r="BP784" i="29"/>
  <c r="BZ784" i="29"/>
  <c r="CS790" i="29"/>
  <c r="CA790" i="29"/>
  <c r="DB790" i="29"/>
  <c r="CL794" i="29"/>
  <c r="DJ794" i="29"/>
  <c r="CG794" i="29"/>
  <c r="BV798" i="29"/>
  <c r="CS798" i="29"/>
  <c r="BQ798" i="29"/>
  <c r="BW802" i="29"/>
  <c r="CB802" i="29"/>
  <c r="CV802" i="29"/>
  <c r="BO806" i="29"/>
  <c r="BX806" i="29"/>
  <c r="CL806" i="29"/>
  <c r="CK810" i="29"/>
  <c r="CP810" i="29"/>
  <c r="CM810" i="29"/>
  <c r="CW814" i="29"/>
  <c r="CU814" i="29"/>
  <c r="CB814" i="29"/>
  <c r="DJ814" i="29"/>
  <c r="CN819" i="29"/>
  <c r="DA819" i="29"/>
  <c r="CV819" i="29"/>
  <c r="BO823" i="29"/>
  <c r="BQ823" i="29"/>
  <c r="CM823" i="29"/>
  <c r="CM896" i="29"/>
  <c r="CF896" i="29"/>
  <c r="BY896" i="29"/>
  <c r="CU900" i="29"/>
  <c r="CG900" i="29"/>
  <c r="CK900" i="29"/>
  <c r="CI904" i="29"/>
  <c r="CF904" i="29"/>
  <c r="DE904" i="29"/>
  <c r="DE908" i="29"/>
  <c r="BV908" i="29"/>
  <c r="BW908" i="29"/>
  <c r="CN912" i="29"/>
  <c r="CJ912" i="29"/>
  <c r="CE912" i="29"/>
  <c r="CW916" i="29"/>
  <c r="BV916" i="29"/>
  <c r="BY916" i="29"/>
  <c r="CP916" i="29"/>
  <c r="CS920" i="29"/>
  <c r="CQ920" i="29"/>
  <c r="CC920" i="29"/>
  <c r="DJ924" i="29"/>
  <c r="CF924" i="29"/>
  <c r="CX924" i="29"/>
  <c r="DL928" i="29"/>
  <c r="CY928" i="29"/>
  <c r="BX928" i="29"/>
  <c r="CC932" i="29"/>
  <c r="DJ932" i="29"/>
  <c r="CJ932" i="29"/>
  <c r="CO936" i="29"/>
  <c r="CL936" i="29"/>
  <c r="CM936" i="29"/>
  <c r="BQ940" i="29"/>
  <c r="DG940" i="29"/>
  <c r="CV940" i="29"/>
  <c r="CF944" i="29"/>
  <c r="DG944" i="29"/>
  <c r="CM944" i="29"/>
  <c r="CR948" i="29"/>
  <c r="CF948" i="29"/>
  <c r="CV948" i="29"/>
  <c r="BY948" i="29"/>
  <c r="CZ952" i="29"/>
  <c r="CW952" i="29"/>
  <c r="CG952" i="29"/>
  <c r="BR956" i="29"/>
  <c r="BY956" i="29"/>
  <c r="CJ956" i="29"/>
  <c r="CY960" i="29"/>
  <c r="CA960" i="29"/>
  <c r="BX960" i="29"/>
  <c r="BU966" i="29"/>
  <c r="BP966" i="29"/>
  <c r="CO966" i="29"/>
  <c r="CV970" i="29"/>
  <c r="CO970" i="29"/>
  <c r="CZ970" i="29"/>
  <c r="DD974" i="29"/>
  <c r="CA974" i="29"/>
  <c r="DF974" i="29"/>
  <c r="CV978" i="29"/>
  <c r="BY978" i="29"/>
  <c r="CM978" i="29"/>
  <c r="CN982" i="29"/>
  <c r="DF982" i="29"/>
  <c r="CU982" i="29"/>
  <c r="CC982" i="29"/>
  <c r="CL986" i="29"/>
  <c r="CN986" i="29"/>
  <c r="CR986" i="29"/>
  <c r="BT990" i="29"/>
  <c r="CG990" i="29"/>
  <c r="CA990" i="29"/>
  <c r="DG995" i="29"/>
  <c r="BT995" i="29"/>
  <c r="BO995" i="29"/>
  <c r="CP999" i="29"/>
  <c r="DG999" i="29"/>
  <c r="BU999" i="29"/>
  <c r="CN375" i="29"/>
  <c r="CK375" i="29"/>
  <c r="CB375" i="29"/>
  <c r="BP379" i="29"/>
  <c r="CG379" i="29"/>
  <c r="CF379" i="29"/>
  <c r="CC383" i="29"/>
  <c r="CX383" i="29"/>
  <c r="BV383" i="29"/>
  <c r="CB387" i="29"/>
  <c r="BV387" i="29"/>
  <c r="CJ387" i="29"/>
  <c r="BY387" i="29"/>
  <c r="CU391" i="29"/>
  <c r="DG391" i="29"/>
  <c r="BR391" i="29"/>
  <c r="CU395" i="29"/>
  <c r="DA395" i="29"/>
  <c r="CB395" i="29"/>
  <c r="BX399" i="29"/>
  <c r="CT399" i="29"/>
  <c r="CR399" i="29"/>
  <c r="DG403" i="29"/>
  <c r="CZ403" i="29"/>
  <c r="CS403" i="29"/>
  <c r="CJ407" i="29"/>
  <c r="CQ407" i="29"/>
  <c r="CW407" i="29"/>
  <c r="CD411" i="29"/>
  <c r="CV411" i="29"/>
  <c r="CW411" i="29"/>
  <c r="DA415" i="29"/>
  <c r="BR415" i="29"/>
  <c r="CT415" i="29"/>
  <c r="DK419" i="29"/>
  <c r="CC419" i="29"/>
  <c r="BQ419" i="29"/>
  <c r="CF419" i="29"/>
  <c r="CG423" i="29"/>
  <c r="CE423" i="29"/>
  <c r="CN423" i="29"/>
  <c r="CX427" i="29"/>
  <c r="DG427" i="29"/>
  <c r="BP427" i="29"/>
  <c r="DI431" i="29"/>
  <c r="CI431" i="29"/>
  <c r="DH431" i="29"/>
  <c r="DH435" i="29"/>
  <c r="CY435" i="29"/>
  <c r="DL435" i="29"/>
  <c r="BV441" i="29"/>
  <c r="CE441" i="29"/>
  <c r="BX441" i="29"/>
  <c r="CZ445" i="29"/>
  <c r="CS445" i="29"/>
  <c r="CU445" i="29"/>
  <c r="CP449" i="29"/>
  <c r="CH449" i="29"/>
  <c r="CM449" i="29"/>
  <c r="CF453" i="29"/>
  <c r="CW453" i="29"/>
  <c r="BP453" i="29"/>
  <c r="CB453" i="29"/>
  <c r="CV457" i="29"/>
  <c r="BO457" i="29"/>
  <c r="DH457" i="29"/>
  <c r="DG461" i="29"/>
  <c r="BT461" i="29"/>
  <c r="DK461" i="29"/>
  <c r="CQ465" i="29"/>
  <c r="BZ465" i="29"/>
  <c r="CM465" i="29"/>
  <c r="CT470" i="29"/>
  <c r="CS470" i="29"/>
  <c r="CV470" i="29"/>
  <c r="DK199" i="29"/>
  <c r="BT199" i="29"/>
  <c r="BQ199" i="29"/>
  <c r="DC203" i="29"/>
  <c r="BY203" i="29"/>
  <c r="CT203" i="29"/>
  <c r="CU207" i="29"/>
  <c r="CS207" i="29"/>
  <c r="BS207" i="29"/>
  <c r="DJ211" i="29"/>
  <c r="BW211" i="29"/>
  <c r="CC211" i="29"/>
  <c r="DB211" i="29"/>
  <c r="CR215" i="29"/>
  <c r="CP215" i="29"/>
  <c r="CM215" i="29"/>
  <c r="CB219" i="29"/>
  <c r="CE219" i="29"/>
  <c r="BQ219" i="29"/>
  <c r="CY223" i="29"/>
  <c r="CA223" i="29"/>
  <c r="BQ223" i="29"/>
  <c r="CR227" i="29"/>
  <c r="CQ227" i="29"/>
  <c r="BS227" i="29"/>
  <c r="CC231" i="29"/>
  <c r="BZ231" i="29"/>
  <c r="CX231" i="29"/>
  <c r="BR235" i="29"/>
  <c r="DI235" i="29"/>
  <c r="DG235" i="29"/>
  <c r="CX239" i="29"/>
  <c r="BX239" i="29"/>
  <c r="DK239" i="29"/>
  <c r="CJ243" i="29"/>
  <c r="CC243" i="29"/>
  <c r="BO243" i="29"/>
  <c r="DK243" i="29"/>
  <c r="DB247" i="29"/>
  <c r="DA247" i="29"/>
  <c r="CT247" i="29"/>
  <c r="CS251" i="29"/>
  <c r="CN251" i="29"/>
  <c r="CC251" i="29"/>
  <c r="CO255" i="29"/>
  <c r="CC255" i="29"/>
  <c r="BU255" i="29"/>
  <c r="CO259" i="29"/>
  <c r="CT259" i="29"/>
  <c r="CZ259" i="29"/>
  <c r="DA263" i="29"/>
  <c r="CA263" i="29"/>
  <c r="DF263" i="29"/>
  <c r="BU269" i="29"/>
  <c r="BT269" i="29"/>
  <c r="DL269" i="29"/>
  <c r="DG273" i="29"/>
  <c r="DI273" i="29"/>
  <c r="DH273" i="29"/>
  <c r="CV277" i="29"/>
  <c r="DE277" i="29"/>
  <c r="CS277" i="29"/>
  <c r="CF277" i="29"/>
  <c r="CZ281" i="29"/>
  <c r="BO281" i="29"/>
  <c r="DB281" i="29"/>
  <c r="DI285" i="29"/>
  <c r="BT285" i="29"/>
  <c r="CL285" i="29"/>
  <c r="CC289" i="29"/>
  <c r="CD289" i="29"/>
  <c r="CZ289" i="29"/>
  <c r="BO293" i="29"/>
  <c r="BP293" i="29"/>
  <c r="BZ293" i="29"/>
  <c r="DD298" i="29"/>
  <c r="DF298" i="29"/>
  <c r="CY298" i="29"/>
  <c r="CH302" i="29"/>
  <c r="CO302" i="29"/>
  <c r="CK302" i="29"/>
  <c r="BT549" i="29"/>
  <c r="CF549" i="29"/>
  <c r="CB549" i="29"/>
  <c r="CQ553" i="29"/>
  <c r="DJ553" i="29"/>
  <c r="CN553" i="29"/>
  <c r="CV553" i="29"/>
  <c r="CY557" i="29"/>
  <c r="DF557" i="29"/>
  <c r="BO557" i="29"/>
  <c r="BS561" i="29"/>
  <c r="DE561" i="29"/>
  <c r="CZ561" i="29"/>
  <c r="DI565" i="29"/>
  <c r="BY565" i="29"/>
  <c r="CJ565" i="29"/>
  <c r="CN569" i="29"/>
  <c r="BX569" i="29"/>
  <c r="CC569" i="29"/>
  <c r="CZ573" i="29"/>
  <c r="CG573" i="29"/>
  <c r="BU573" i="29"/>
  <c r="CK577" i="29"/>
  <c r="BR577" i="29"/>
  <c r="CH577" i="29"/>
  <c r="CO581" i="29"/>
  <c r="BP581" i="29"/>
  <c r="CA581" i="29"/>
  <c r="CK585" i="29"/>
  <c r="DJ585" i="29"/>
  <c r="DC585" i="29"/>
  <c r="CB585" i="29"/>
  <c r="CS589" i="29"/>
  <c r="CQ589" i="29"/>
  <c r="CY589" i="29"/>
  <c r="CN593" i="29"/>
  <c r="DF593" i="29"/>
  <c r="BP593" i="29"/>
  <c r="CO597" i="29"/>
  <c r="DG597" i="29"/>
  <c r="BW597" i="29"/>
  <c r="CB601" i="29"/>
  <c r="CL601" i="29"/>
  <c r="CP601" i="29"/>
  <c r="CX605" i="29"/>
  <c r="DL605" i="29"/>
  <c r="CA605" i="29"/>
  <c r="BV609" i="29"/>
  <c r="CD609" i="29"/>
  <c r="CF609" i="29"/>
  <c r="CP613" i="29"/>
  <c r="CF613" i="29"/>
  <c r="CN613" i="29"/>
  <c r="DC619" i="29"/>
  <c r="CD619" i="29"/>
  <c r="DE619" i="29"/>
  <c r="CU619" i="29"/>
  <c r="BS623" i="29"/>
  <c r="BU623" i="29"/>
  <c r="DH623" i="29"/>
  <c r="BW627" i="29"/>
  <c r="BX627" i="29"/>
  <c r="BU627" i="29"/>
  <c r="DH631" i="29"/>
  <c r="BX631" i="29"/>
  <c r="DB631" i="29"/>
  <c r="DE635" i="29"/>
  <c r="DA635" i="29"/>
  <c r="BS635" i="29"/>
  <c r="CE639" i="29"/>
  <c r="CI639" i="29"/>
  <c r="CN639" i="29"/>
  <c r="CL643" i="29"/>
  <c r="CU643" i="29"/>
  <c r="BW643" i="29"/>
  <c r="CF648" i="29"/>
  <c r="DE648" i="29"/>
  <c r="CM648" i="29"/>
  <c r="CT652" i="29"/>
  <c r="CC652" i="29"/>
  <c r="DG652" i="29"/>
  <c r="CH652" i="29"/>
  <c r="CN725" i="29"/>
  <c r="BQ725" i="29"/>
  <c r="CU725" i="29"/>
  <c r="CM729" i="29"/>
  <c r="CV729" i="29"/>
  <c r="CF729" i="29"/>
  <c r="CI733" i="29"/>
  <c r="DE733" i="29"/>
  <c r="BU733" i="29"/>
  <c r="CV737" i="29"/>
  <c r="BS737" i="29"/>
  <c r="CO737" i="29"/>
  <c r="CJ741" i="29"/>
  <c r="CT741" i="29"/>
  <c r="BW741" i="29"/>
  <c r="CI745" i="29"/>
  <c r="BY745" i="29"/>
  <c r="CV745" i="29"/>
  <c r="BX749" i="29"/>
  <c r="BY749" i="29"/>
  <c r="CK749" i="29"/>
  <c r="CS753" i="29"/>
  <c r="CT753" i="29"/>
  <c r="BZ753" i="29"/>
  <c r="CO753" i="29"/>
  <c r="CF757" i="29"/>
  <c r="BV757" i="29"/>
  <c r="CR757" i="29"/>
  <c r="BO761" i="29"/>
  <c r="BP761" i="29"/>
  <c r="BY761" i="29"/>
  <c r="BR765" i="29"/>
  <c r="CZ765" i="29"/>
  <c r="CY765" i="29"/>
  <c r="CZ769" i="29"/>
  <c r="CM769" i="29"/>
  <c r="CF769" i="29"/>
  <c r="BP773" i="29"/>
  <c r="CW773" i="29"/>
  <c r="CF773" i="29"/>
  <c r="DA777" i="29"/>
  <c r="DE777" i="29"/>
  <c r="CO777" i="29"/>
  <c r="DH781" i="29"/>
  <c r="DE781" i="29"/>
  <c r="CG781" i="29"/>
  <c r="CS785" i="29"/>
  <c r="DE785" i="29"/>
  <c r="CE785" i="29"/>
  <c r="CC785" i="29"/>
  <c r="CH791" i="29"/>
  <c r="BQ791" i="29"/>
  <c r="CT791" i="29"/>
  <c r="BR795" i="29"/>
  <c r="CO795" i="29"/>
  <c r="CA795" i="29"/>
  <c r="CF799" i="29"/>
  <c r="BZ799" i="29"/>
  <c r="BW799" i="29"/>
  <c r="BW803" i="29"/>
  <c r="CP803" i="29"/>
  <c r="CY803" i="29"/>
  <c r="DE807" i="29"/>
  <c r="CR807" i="29"/>
  <c r="BZ807" i="29"/>
  <c r="BX811" i="29"/>
  <c r="CN811" i="29"/>
  <c r="CK811" i="29"/>
  <c r="CJ815" i="29"/>
  <c r="BT815" i="29"/>
  <c r="CZ815" i="29"/>
  <c r="DK820" i="29"/>
  <c r="CD820" i="29"/>
  <c r="BR820" i="29"/>
  <c r="CZ820" i="29"/>
  <c r="DH824" i="29"/>
  <c r="CK824" i="29"/>
  <c r="BT824" i="29"/>
  <c r="BO897" i="29"/>
  <c r="BU897" i="29"/>
  <c r="CN897" i="29"/>
  <c r="BZ901" i="29"/>
  <c r="CN901" i="29"/>
  <c r="CW901" i="29"/>
  <c r="CQ905" i="29"/>
  <c r="BW905" i="29"/>
  <c r="BY905" i="29"/>
  <c r="DJ909" i="29"/>
  <c r="CJ909" i="29"/>
  <c r="DI909" i="29"/>
  <c r="BY913" i="29"/>
  <c r="DK913" i="29"/>
  <c r="CA913" i="29"/>
  <c r="DH917" i="29"/>
  <c r="CS917" i="29"/>
  <c r="DC917" i="29"/>
  <c r="CQ921" i="29"/>
  <c r="CV921" i="29"/>
  <c r="CE921" i="29"/>
  <c r="CX921" i="29"/>
  <c r="DL925" i="29"/>
  <c r="DE925" i="29"/>
  <c r="CS925" i="29"/>
  <c r="BY929" i="29"/>
  <c r="BU929" i="29"/>
  <c r="BV929" i="29"/>
  <c r="DC933" i="29"/>
  <c r="DE933" i="29"/>
  <c r="CX933" i="29"/>
  <c r="DI937" i="29"/>
  <c r="CR937" i="29"/>
  <c r="CB937" i="29"/>
  <c r="BP941" i="29"/>
  <c r="DF941" i="29"/>
  <c r="CY941" i="29"/>
  <c r="DD945" i="29"/>
  <c r="BR945" i="29"/>
  <c r="CW945" i="29"/>
  <c r="CB949" i="29"/>
  <c r="CT949" i="29"/>
  <c r="BR949" i="29"/>
  <c r="CZ953" i="29"/>
  <c r="DD953" i="29"/>
  <c r="DC953" i="29"/>
  <c r="DB953" i="29"/>
  <c r="CD957" i="29"/>
  <c r="CX957" i="29"/>
  <c r="CA957" i="29"/>
  <c r="CU963" i="29"/>
  <c r="CO963" i="29"/>
  <c r="CB963" i="29"/>
  <c r="DF967" i="29"/>
  <c r="DJ967" i="29"/>
  <c r="CV967" i="29"/>
  <c r="CO971" i="29"/>
  <c r="CQ971" i="29"/>
  <c r="CP971" i="29"/>
  <c r="CH971" i="29"/>
  <c r="CS971" i="29"/>
  <c r="CB971" i="29"/>
  <c r="DA975" i="29"/>
  <c r="DI975" i="29"/>
  <c r="BR975" i="29"/>
  <c r="CL975" i="29"/>
  <c r="CI975" i="29"/>
  <c r="CV975" i="29"/>
  <c r="DK979" i="29"/>
  <c r="CC979" i="29"/>
  <c r="DE979" i="29"/>
  <c r="CQ979" i="29"/>
  <c r="BU979" i="29"/>
  <c r="BP979" i="29"/>
  <c r="CJ979" i="29"/>
  <c r="CE983" i="29"/>
  <c r="CM983" i="29"/>
  <c r="BY983" i="29"/>
  <c r="DG983" i="29"/>
  <c r="CJ983" i="29"/>
  <c r="CF983" i="29"/>
  <c r="CP987" i="29"/>
  <c r="CI987" i="29"/>
  <c r="CA987" i="29"/>
  <c r="CC987" i="29"/>
  <c r="BU987" i="29"/>
  <c r="BX987" i="29"/>
  <c r="CS992" i="29"/>
  <c r="BY992" i="29"/>
  <c r="DF992" i="29"/>
  <c r="CY992" i="29"/>
  <c r="CJ992" i="29"/>
  <c r="CU992" i="29"/>
  <c r="CM996" i="29"/>
  <c r="BZ996" i="29"/>
  <c r="CQ996" i="29"/>
  <c r="DG996" i="29"/>
  <c r="DL996" i="29"/>
  <c r="DC996" i="29"/>
  <c r="CD996" i="29"/>
  <c r="CB605" i="29"/>
  <c r="BO975" i="29"/>
  <c r="CH979" i="29"/>
  <c r="CU979" i="29"/>
  <c r="BT979" i="29"/>
  <c r="CS983" i="29"/>
  <c r="BV983" i="29"/>
  <c r="CN983" i="29"/>
  <c r="CQ987" i="29"/>
  <c r="CK987" i="29"/>
  <c r="DA992" i="29"/>
  <c r="BV992" i="29"/>
  <c r="BT992" i="29"/>
  <c r="CW996" i="29"/>
  <c r="CI996" i="29"/>
  <c r="BT996" i="29"/>
  <c r="DA726" i="29"/>
  <c r="BZ734" i="29"/>
  <c r="DI738" i="29"/>
  <c r="BR742" i="29"/>
  <c r="DK750" i="29"/>
  <c r="CK754" i="29"/>
  <c r="DE758" i="29"/>
  <c r="CZ762" i="29"/>
  <c r="CT774" i="29"/>
  <c r="CD778" i="29"/>
  <c r="CR786" i="29"/>
  <c r="CM792" i="29"/>
  <c r="DG796" i="29"/>
  <c r="CV800" i="29"/>
  <c r="DJ808" i="29"/>
  <c r="CQ812" i="29"/>
  <c r="CZ816" i="29"/>
  <c r="BW821" i="29"/>
  <c r="CU898" i="29"/>
  <c r="CE902" i="29"/>
  <c r="DI906" i="29"/>
  <c r="CR914" i="29"/>
  <c r="CE918" i="29"/>
  <c r="DG922" i="29"/>
  <c r="BZ926" i="29"/>
  <c r="DC934" i="29"/>
  <c r="BW938" i="29"/>
  <c r="CS942" i="29"/>
  <c r="BV950" i="29"/>
  <c r="CZ954" i="29"/>
  <c r="BW958" i="29"/>
  <c r="BW964" i="29"/>
  <c r="CT972" i="29"/>
  <c r="CS976" i="29"/>
  <c r="DH980" i="29"/>
  <c r="CR988" i="29"/>
  <c r="CR993" i="29"/>
  <c r="CY997" i="29"/>
  <c r="DD373" i="29"/>
  <c r="CD381" i="29"/>
  <c r="CC385" i="29"/>
  <c r="CP389" i="29"/>
  <c r="CV393" i="29"/>
  <c r="CT401" i="29"/>
  <c r="CD405" i="29"/>
  <c r="CB409" i="29"/>
  <c r="BX417" i="29"/>
  <c r="DK421" i="29"/>
  <c r="DF425" i="29"/>
  <c r="BY429" i="29"/>
  <c r="DF437" i="29"/>
  <c r="CU443" i="29"/>
  <c r="CV447" i="29"/>
  <c r="CE455" i="29"/>
  <c r="CH459" i="29"/>
  <c r="BX463" i="29"/>
  <c r="CN467" i="29"/>
  <c r="CH205" i="29"/>
  <c r="DC209" i="29"/>
  <c r="DC213" i="29"/>
  <c r="BR221" i="29"/>
  <c r="BO225" i="29"/>
  <c r="CR229" i="29"/>
  <c r="CN233" i="29"/>
  <c r="BZ241" i="29"/>
  <c r="DH245" i="29"/>
  <c r="CG249" i="29"/>
  <c r="BY257" i="29"/>
  <c r="CG261" i="29"/>
  <c r="CC267" i="29"/>
  <c r="BV271" i="29"/>
  <c r="BU279" i="29"/>
  <c r="BW283" i="29"/>
  <c r="CQ287" i="29"/>
  <c r="BQ291" i="29"/>
  <c r="CY300" i="29"/>
  <c r="BX551" i="29"/>
  <c r="CO555" i="29"/>
  <c r="BQ563" i="29"/>
  <c r="CD567" i="29"/>
  <c r="DG571" i="29"/>
  <c r="CS575" i="29"/>
  <c r="BW583" i="29"/>
  <c r="CT587" i="29"/>
  <c r="DA591" i="29"/>
  <c r="BZ599" i="29"/>
  <c r="CD603" i="29"/>
  <c r="DD607" i="29"/>
  <c r="DE611" i="29"/>
  <c r="CU621" i="29"/>
  <c r="BP625" i="29"/>
  <c r="CW629" i="29"/>
  <c r="DF637" i="29"/>
  <c r="CY641" i="29"/>
  <c r="CR646" i="29"/>
  <c r="DA650" i="29"/>
  <c r="BO727" i="29"/>
  <c r="BZ731" i="29"/>
  <c r="CK735" i="29"/>
  <c r="CC739" i="29"/>
  <c r="DC747" i="29"/>
  <c r="CF751" i="29"/>
  <c r="DA755" i="29"/>
  <c r="BY763" i="29"/>
  <c r="DK767" i="29"/>
  <c r="DA771" i="29"/>
  <c r="BP775" i="29"/>
  <c r="DI783" i="29"/>
  <c r="CP787" i="29"/>
  <c r="CQ793" i="29"/>
  <c r="DA801" i="29"/>
  <c r="BZ805" i="29"/>
  <c r="DB809" i="29"/>
  <c r="BT813" i="29"/>
  <c r="CI822" i="29"/>
  <c r="DE826" i="29"/>
  <c r="BU899" i="29"/>
  <c r="CT907" i="29"/>
  <c r="CA911" i="29"/>
  <c r="DI915" i="29"/>
  <c r="CZ919" i="29"/>
  <c r="CE927" i="29"/>
  <c r="CX931" i="29"/>
  <c r="CK935" i="29"/>
  <c r="CN939" i="29"/>
  <c r="CS947" i="29"/>
  <c r="CL951" i="29"/>
  <c r="BT955" i="29"/>
  <c r="CB965" i="29"/>
  <c r="DA969" i="29"/>
  <c r="DL973" i="29"/>
  <c r="BY977" i="29"/>
  <c r="BW985" i="29"/>
  <c r="CZ989" i="29"/>
  <c r="CR994" i="29"/>
  <c r="BO380" i="29"/>
  <c r="BX388" i="29"/>
  <c r="CA396" i="29"/>
  <c r="CN404" i="29"/>
  <c r="CV416" i="29"/>
  <c r="BX424" i="29"/>
  <c r="BV432" i="29"/>
  <c r="CY450" i="29"/>
  <c r="CW458" i="29"/>
  <c r="CW462" i="29"/>
  <c r="DD471" i="29"/>
  <c r="DJ200" i="29"/>
  <c r="DL208" i="29"/>
  <c r="BV216" i="29"/>
  <c r="BX220" i="29"/>
  <c r="DC236" i="29"/>
  <c r="DH244" i="29"/>
  <c r="BT252" i="29"/>
  <c r="CG266" i="29"/>
  <c r="DI274" i="29"/>
  <c r="CW282" i="29"/>
  <c r="DH290" i="29"/>
  <c r="DK554" i="29"/>
  <c r="CV562" i="29"/>
  <c r="CB570" i="29"/>
  <c r="CM582" i="29"/>
  <c r="DI590" i="29"/>
  <c r="CC598" i="29"/>
  <c r="CD606" i="29"/>
  <c r="BU620" i="29"/>
  <c r="CL628" i="29"/>
  <c r="BO636" i="29"/>
  <c r="CN378" i="29"/>
  <c r="DK386" i="29"/>
  <c r="DD398" i="29"/>
  <c r="CY406" i="29"/>
  <c r="DB414" i="29"/>
  <c r="CY418" i="29"/>
  <c r="BO418" i="29"/>
  <c r="CC426" i="29"/>
  <c r="BV434" i="29"/>
  <c r="DE444" i="29"/>
  <c r="BV452" i="29"/>
  <c r="DI460" i="29"/>
  <c r="BP472" i="29"/>
  <c r="CW472" i="29"/>
  <c r="DI476" i="29"/>
  <c r="CA202" i="29"/>
  <c r="CV210" i="29"/>
  <c r="BO218" i="29"/>
  <c r="CT226" i="29"/>
  <c r="BT234" i="29"/>
  <c r="DK234" i="29"/>
  <c r="BU242" i="29"/>
  <c r="CF250" i="29"/>
  <c r="BR258" i="29"/>
  <c r="CB268" i="29"/>
  <c r="DC276" i="29"/>
  <c r="CR284" i="29"/>
  <c r="CL284" i="29"/>
  <c r="CY292" i="29"/>
  <c r="CC301" i="29"/>
  <c r="CQ556" i="29"/>
  <c r="CM564" i="29"/>
  <c r="CK572" i="29"/>
  <c r="CR572" i="29"/>
  <c r="CN580" i="29"/>
  <c r="BZ588" i="29"/>
  <c r="CI596" i="29"/>
  <c r="BP596" i="29"/>
  <c r="DJ608" i="29"/>
  <c r="CW618" i="29"/>
  <c r="CX618" i="29"/>
  <c r="DC626" i="29"/>
  <c r="BP626" i="29"/>
  <c r="BQ634" i="29"/>
  <c r="BY638" i="29"/>
  <c r="CQ638" i="29"/>
  <c r="BV647" i="29"/>
  <c r="CJ376" i="29"/>
  <c r="BY376" i="29"/>
  <c r="BW384" i="29"/>
  <c r="CE392" i="29"/>
  <c r="BP392" i="29"/>
  <c r="BX400" i="29"/>
  <c r="DF408" i="29"/>
  <c r="CL408" i="29"/>
  <c r="DK420" i="29"/>
  <c r="CZ420" i="29"/>
  <c r="DE428" i="29"/>
  <c r="CH436" i="29"/>
  <c r="BR436" i="29"/>
  <c r="CX446" i="29"/>
  <c r="BY454" i="29"/>
  <c r="DE454" i="29"/>
  <c r="DJ466" i="29"/>
  <c r="CA473" i="29"/>
  <c r="DB473" i="29"/>
  <c r="BV204" i="29"/>
  <c r="DI204" i="29"/>
  <c r="CD212" i="29"/>
  <c r="BR224" i="29"/>
  <c r="BQ224" i="29"/>
  <c r="DD232" i="29"/>
  <c r="CP240" i="29"/>
  <c r="CY240" i="29"/>
  <c r="BZ248" i="29"/>
  <c r="CG256" i="29"/>
  <c r="CU256" i="29"/>
  <c r="DH270" i="29"/>
  <c r="DL278" i="29"/>
  <c r="CQ278" i="29"/>
  <c r="CB286" i="29"/>
  <c r="DF286" i="29"/>
  <c r="BQ299" i="29"/>
  <c r="BO550" i="29"/>
  <c r="CL550" i="29"/>
  <c r="CE558" i="29"/>
  <c r="DD566" i="29"/>
  <c r="BW566" i="29"/>
  <c r="BY578" i="29"/>
  <c r="CO586" i="29"/>
  <c r="BQ586" i="29"/>
  <c r="DE594" i="29"/>
  <c r="BP594" i="29"/>
  <c r="CO602" i="29"/>
  <c r="BX616" i="29"/>
  <c r="DF616" i="29"/>
  <c r="BQ624" i="29"/>
  <c r="BV632" i="29"/>
  <c r="CZ632" i="29"/>
  <c r="CV640" i="29"/>
  <c r="BO649" i="29"/>
  <c r="BR649" i="29"/>
  <c r="CD374" i="29"/>
  <c r="DB382" i="29"/>
  <c r="CR382" i="29"/>
  <c r="DA390" i="29"/>
  <c r="DG390" i="29"/>
  <c r="CA394" i="29"/>
  <c r="CF402" i="29"/>
  <c r="CX402" i="29"/>
  <c r="CK410" i="29"/>
  <c r="DF422" i="29"/>
  <c r="DA422" i="29"/>
  <c r="DK430" i="29"/>
  <c r="CC430" i="29"/>
  <c r="CW430" i="29"/>
  <c r="BT440" i="29"/>
  <c r="CX440" i="29"/>
  <c r="CD448" i="29"/>
  <c r="BR448" i="29"/>
  <c r="CJ448" i="29"/>
  <c r="CM456" i="29"/>
  <c r="CF456" i="29"/>
  <c r="BT464" i="29"/>
  <c r="CH464" i="29"/>
  <c r="CT469" i="29"/>
  <c r="BU469" i="29"/>
  <c r="DL469" i="29"/>
  <c r="CQ474" i="29"/>
  <c r="CL474" i="29"/>
  <c r="BX206" i="29"/>
  <c r="BY206" i="29"/>
  <c r="BZ214" i="29"/>
  <c r="BS214" i="29"/>
  <c r="CO214" i="29"/>
  <c r="CL222" i="29"/>
  <c r="BR222" i="29"/>
  <c r="CY230" i="29"/>
  <c r="BX230" i="29"/>
  <c r="CD238" i="29"/>
  <c r="DI238" i="29"/>
  <c r="DL238" i="29"/>
  <c r="CG246" i="29"/>
  <c r="CA246" i="29"/>
  <c r="BO254" i="29"/>
  <c r="BQ254" i="29"/>
  <c r="BS262" i="29"/>
  <c r="CU262" i="29"/>
  <c r="BX262" i="29"/>
  <c r="CL272" i="29"/>
  <c r="BO272" i="29"/>
  <c r="CI280" i="29"/>
  <c r="DK280" i="29"/>
  <c r="BW288" i="29"/>
  <c r="DB288" i="29"/>
  <c r="DI288" i="29"/>
  <c r="CO297" i="29"/>
  <c r="DK297" i="29"/>
  <c r="DE552" i="29"/>
  <c r="CO552" i="29"/>
  <c r="CJ560" i="29"/>
  <c r="BS560" i="29"/>
  <c r="DA560" i="29"/>
  <c r="CK568" i="29"/>
  <c r="BP568" i="29"/>
  <c r="BU576" i="29"/>
  <c r="CH576" i="29"/>
  <c r="DC584" i="29"/>
  <c r="CG584" i="29"/>
  <c r="CZ584" i="29"/>
  <c r="BW592" i="29"/>
  <c r="BR592" i="29"/>
  <c r="BQ600" i="29"/>
  <c r="CD600" i="29"/>
  <c r="DI604" i="29"/>
  <c r="CL604" i="29"/>
  <c r="CZ604" i="29"/>
  <c r="BS612" i="29"/>
  <c r="BW612" i="29"/>
  <c r="CU622" i="29"/>
  <c r="BT622" i="29"/>
  <c r="CJ630" i="29"/>
  <c r="CK630" i="29"/>
  <c r="CH630" i="29"/>
  <c r="CG642" i="29"/>
  <c r="CD642" i="29"/>
  <c r="DI651" i="29"/>
  <c r="CB651" i="29"/>
  <c r="DL724" i="29"/>
  <c r="CQ724" i="29"/>
  <c r="DH724" i="29"/>
  <c r="CS728" i="29"/>
  <c r="CD728" i="29"/>
  <c r="CC732" i="29"/>
  <c r="BS732" i="29"/>
  <c r="CN732" i="29"/>
  <c r="CH736" i="29"/>
  <c r="CN736" i="29"/>
  <c r="CT740" i="29"/>
  <c r="DF740" i="29"/>
  <c r="CG744" i="29"/>
  <c r="BW744" i="29"/>
  <c r="BT744" i="29"/>
  <c r="CU748" i="29"/>
  <c r="BW748" i="29"/>
  <c r="CY752" i="29"/>
  <c r="DF752" i="29"/>
  <c r="BR752" i="29"/>
  <c r="DJ756" i="29"/>
  <c r="CU756" i="29"/>
  <c r="BW756" i="29"/>
  <c r="CF756" i="29"/>
  <c r="DF760" i="29"/>
  <c r="BT760" i="29"/>
  <c r="CQ760" i="29"/>
  <c r="BO764" i="29"/>
  <c r="CL764" i="29"/>
  <c r="CP764" i="29"/>
  <c r="DE768" i="29"/>
  <c r="CY768" i="29"/>
  <c r="DK768" i="29"/>
  <c r="BS772" i="29"/>
  <c r="CG772" i="29"/>
  <c r="CT772" i="29"/>
  <c r="CL776" i="29"/>
  <c r="DA776" i="29"/>
  <c r="DK776" i="29"/>
  <c r="CH780" i="29"/>
  <c r="DH780" i="29"/>
  <c r="CQ780" i="29"/>
  <c r="CW784" i="29"/>
  <c r="CY784" i="29"/>
  <c r="CK784" i="29"/>
  <c r="CV790" i="29"/>
  <c r="CJ790" i="29"/>
  <c r="BY790" i="29"/>
  <c r="BV790" i="29"/>
  <c r="DA794" i="29"/>
  <c r="DI794" i="29"/>
  <c r="CC794" i="29"/>
  <c r="DB798" i="29"/>
  <c r="CQ798" i="29"/>
  <c r="CA798" i="29"/>
  <c r="CP802" i="29"/>
  <c r="BS802" i="29"/>
  <c r="CF802" i="29"/>
  <c r="CH806" i="29"/>
  <c r="CO806" i="29"/>
  <c r="DA806" i="29"/>
  <c r="DJ810" i="29"/>
  <c r="BY810" i="29"/>
  <c r="CQ810" i="29"/>
  <c r="DC814" i="29"/>
  <c r="BY814" i="29"/>
  <c r="CV814" i="29"/>
  <c r="CY819" i="29"/>
  <c r="BR819" i="29"/>
  <c r="DF819" i="29"/>
  <c r="DG823" i="29"/>
  <c r="BZ823" i="29"/>
  <c r="DA823" i="29"/>
  <c r="BP823" i="29"/>
  <c r="CS896" i="29"/>
  <c r="CP896" i="29"/>
  <c r="CZ896" i="29"/>
  <c r="DG900" i="29"/>
  <c r="DD900" i="29"/>
  <c r="BU900" i="29"/>
  <c r="CU904" i="29"/>
  <c r="BT904" i="29"/>
  <c r="CR904" i="29"/>
  <c r="BO908" i="29"/>
  <c r="CM908" i="29"/>
  <c r="CR908" i="29"/>
  <c r="DF912" i="29"/>
  <c r="CV912" i="29"/>
  <c r="CI912" i="29"/>
  <c r="DD916" i="29"/>
  <c r="CM916" i="29"/>
  <c r="CF916" i="29"/>
  <c r="DJ920" i="29"/>
  <c r="CV920" i="29"/>
  <c r="CF920" i="29"/>
  <c r="CS924" i="29"/>
  <c r="CQ924" i="29"/>
  <c r="BZ924" i="29"/>
  <c r="BT928" i="29"/>
  <c r="CW928" i="29"/>
  <c r="DB928" i="29"/>
  <c r="DL932" i="29"/>
  <c r="DI932" i="29"/>
  <c r="CE932" i="29"/>
  <c r="CJ936" i="29"/>
  <c r="CY936" i="29"/>
  <c r="CU936" i="29"/>
  <c r="CW940" i="29"/>
  <c r="CP940" i="29"/>
  <c r="DF940" i="29"/>
  <c r="CO944" i="29"/>
  <c r="CL944" i="29"/>
  <c r="BW944" i="29"/>
  <c r="BX948" i="29"/>
  <c r="CX948" i="29"/>
  <c r="BO948" i="29"/>
  <c r="BZ952" i="29"/>
  <c r="DG952" i="29"/>
  <c r="DC952" i="29"/>
  <c r="BV956" i="29"/>
  <c r="DA956" i="29"/>
  <c r="BW956" i="29"/>
  <c r="CU956" i="29"/>
  <c r="DF960" i="29"/>
  <c r="CQ960" i="29"/>
  <c r="BV960" i="29"/>
  <c r="CD966" i="29"/>
  <c r="CW966" i="29"/>
  <c r="BY966" i="29"/>
  <c r="DL970" i="29"/>
  <c r="BP970" i="29"/>
  <c r="DH970" i="29"/>
  <c r="DH974" i="29"/>
  <c r="DI974" i="29"/>
  <c r="CJ974" i="29"/>
  <c r="CW978" i="29"/>
  <c r="CN978" i="29"/>
  <c r="CK978" i="29"/>
  <c r="CE982" i="29"/>
  <c r="CM982" i="29"/>
  <c r="CI982" i="29"/>
  <c r="CF986" i="29"/>
  <c r="BQ986" i="29"/>
  <c r="CZ986" i="29"/>
  <c r="CZ990" i="29"/>
  <c r="DJ990" i="29"/>
  <c r="DE990" i="29"/>
  <c r="DA990" i="29"/>
  <c r="CP995" i="29"/>
  <c r="CK995" i="29"/>
  <c r="BR995" i="29"/>
  <c r="DC999" i="29"/>
  <c r="BQ999" i="29"/>
  <c r="CC999" i="29"/>
  <c r="CU375" i="29"/>
  <c r="DB375" i="29"/>
  <c r="CP375" i="29"/>
  <c r="BS379" i="29"/>
  <c r="DH379" i="29"/>
  <c r="CM379" i="29"/>
  <c r="DD383" i="29"/>
  <c r="DG383" i="29"/>
  <c r="CR383" i="29"/>
  <c r="CD387" i="29"/>
  <c r="CI387" i="29"/>
  <c r="CU387" i="29"/>
  <c r="BX391" i="29"/>
  <c r="DB391" i="29"/>
  <c r="BZ391" i="29"/>
  <c r="BQ395" i="29"/>
  <c r="DB395" i="29"/>
  <c r="DL395" i="29"/>
  <c r="CO395" i="29"/>
  <c r="CE399" i="29"/>
  <c r="DG399" i="29"/>
  <c r="CH399" i="29"/>
  <c r="DK403" i="29"/>
  <c r="CF403" i="29"/>
  <c r="CP403" i="29"/>
  <c r="CI407" i="29"/>
  <c r="CX407" i="29"/>
  <c r="DH407" i="29"/>
  <c r="CB411" i="29"/>
  <c r="CC411" i="29"/>
  <c r="DF411" i="29"/>
  <c r="CE415" i="29"/>
  <c r="BV415" i="29"/>
  <c r="CJ415" i="29"/>
  <c r="CP419" i="29"/>
  <c r="CQ419" i="29"/>
  <c r="BY419" i="29"/>
  <c r="CY423" i="29"/>
  <c r="DF423" i="29"/>
  <c r="CM423" i="29"/>
  <c r="DK427" i="29"/>
  <c r="CC427" i="29"/>
  <c r="BQ427" i="29"/>
  <c r="CF427" i="29"/>
  <c r="CM431" i="29"/>
  <c r="CG431" i="29"/>
  <c r="CN431" i="29"/>
  <c r="CI435" i="29"/>
  <c r="DI435" i="29"/>
  <c r="CF435" i="29"/>
  <c r="CT441" i="29"/>
  <c r="CC441" i="29"/>
  <c r="CJ441" i="29"/>
  <c r="DB445" i="29"/>
  <c r="BZ445" i="29"/>
  <c r="CM445" i="29"/>
  <c r="DI449" i="29"/>
  <c r="CD449" i="29"/>
  <c r="CQ449" i="29"/>
  <c r="CL453" i="29"/>
  <c r="CQ453" i="29"/>
  <c r="DF453" i="29"/>
  <c r="CN457" i="29"/>
  <c r="CS457" i="29"/>
  <c r="CM457" i="29"/>
  <c r="CS461" i="29"/>
  <c r="CP461" i="29"/>
  <c r="CK461" i="29"/>
  <c r="BR461" i="29"/>
  <c r="DB465" i="29"/>
  <c r="DK465" i="29"/>
  <c r="BV465" i="29"/>
  <c r="BR470" i="29"/>
  <c r="DA470" i="29"/>
  <c r="BT470" i="29"/>
  <c r="CM199" i="29"/>
  <c r="DE199" i="29"/>
  <c r="DD199" i="29"/>
  <c r="CA203" i="29"/>
  <c r="DD203" i="29"/>
  <c r="DL203" i="29"/>
  <c r="DK207" i="29"/>
  <c r="CR207" i="29"/>
  <c r="BY207" i="29"/>
  <c r="BS211" i="29"/>
  <c r="DF211" i="29"/>
  <c r="CZ211" i="29"/>
  <c r="DG215" i="29"/>
  <c r="DA215" i="29"/>
  <c r="DK215" i="29"/>
  <c r="BS219" i="29"/>
  <c r="DA219" i="29"/>
  <c r="DE219" i="29"/>
  <c r="CM219" i="29"/>
  <c r="BV223" i="29"/>
  <c r="BZ223" i="29"/>
  <c r="CH223" i="29"/>
  <c r="DA227" i="29"/>
  <c r="DF227" i="29"/>
  <c r="CW227" i="29"/>
  <c r="CB231" i="29"/>
  <c r="BO231" i="29"/>
  <c r="CN231" i="29"/>
  <c r="CN235" i="29"/>
  <c r="CE235" i="29"/>
  <c r="DC235" i="29"/>
  <c r="CG239" i="29"/>
  <c r="CD239" i="29"/>
  <c r="CL239" i="29"/>
  <c r="CM243" i="29"/>
  <c r="CV243" i="29"/>
  <c r="BR243" i="29"/>
  <c r="BW247" i="29"/>
  <c r="CP247" i="29"/>
  <c r="CM247" i="29"/>
  <c r="DF251" i="29"/>
  <c r="CA251" i="29"/>
  <c r="CU251" i="29"/>
  <c r="DH251" i="29"/>
  <c r="CM255" i="29"/>
  <c r="BT255" i="29"/>
  <c r="BS255" i="29"/>
  <c r="DA259" i="29"/>
  <c r="CF259" i="29"/>
  <c r="BT259" i="29"/>
  <c r="CS263" i="29"/>
  <c r="CN263" i="29"/>
  <c r="BW263" i="29"/>
  <c r="CQ269" i="29"/>
  <c r="CH269" i="29"/>
  <c r="BW269" i="29"/>
  <c r="CL273" i="29"/>
  <c r="CE273" i="29"/>
  <c r="DE273" i="29"/>
  <c r="BR277" i="29"/>
  <c r="BW277" i="29"/>
  <c r="DL277" i="29"/>
  <c r="BY281" i="29"/>
  <c r="CP281" i="29"/>
  <c r="DJ281" i="29"/>
  <c r="CW285" i="29"/>
  <c r="DB285" i="29"/>
  <c r="BO285" i="29"/>
  <c r="BP285" i="29"/>
  <c r="CH289" i="29"/>
  <c r="CF289" i="29"/>
  <c r="CY289" i="29"/>
  <c r="CY293" i="29"/>
  <c r="BY293" i="29"/>
  <c r="DF293" i="29"/>
  <c r="DK298" i="29"/>
  <c r="DE298" i="29"/>
  <c r="CQ298" i="29"/>
  <c r="CT302" i="29"/>
  <c r="DF302" i="29"/>
  <c r="DH302" i="29"/>
  <c r="DE549" i="29"/>
  <c r="BX549" i="29"/>
  <c r="DI549" i="29"/>
  <c r="DH553" i="29"/>
  <c r="CE553" i="29"/>
  <c r="BP553" i="29"/>
  <c r="DG557" i="29"/>
  <c r="CS557" i="29"/>
  <c r="DJ557" i="29"/>
  <c r="DG561" i="29"/>
  <c r="BR561" i="29"/>
  <c r="DI561" i="29"/>
  <c r="DH561" i="29"/>
  <c r="BR565" i="29"/>
  <c r="CH565" i="29"/>
  <c r="CR565" i="29"/>
  <c r="CG569" i="29"/>
  <c r="DC569" i="29"/>
  <c r="CE569" i="29"/>
  <c r="CR573" i="29"/>
  <c r="BO573" i="29"/>
  <c r="CM573" i="29"/>
  <c r="CO577" i="29"/>
  <c r="CX577" i="29"/>
  <c r="CY577" i="29"/>
  <c r="BY581" i="29"/>
  <c r="CU581" i="29"/>
  <c r="BZ581" i="29"/>
  <c r="BP585" i="29"/>
  <c r="BX585" i="29"/>
  <c r="CJ585" i="29"/>
  <c r="BV589" i="29"/>
  <c r="BO589" i="29"/>
  <c r="BU589" i="29"/>
  <c r="DA593" i="29"/>
  <c r="CJ593" i="29"/>
  <c r="CV593" i="29"/>
  <c r="CR593" i="29"/>
  <c r="CW597" i="29"/>
  <c r="DI597" i="29"/>
  <c r="CM597" i="29"/>
  <c r="CM601" i="29"/>
  <c r="DA601" i="29"/>
  <c r="CC601" i="29"/>
  <c r="BP605" i="29"/>
  <c r="CU605" i="29"/>
  <c r="DB609" i="29"/>
  <c r="BR609" i="29"/>
  <c r="CH609" i="29"/>
  <c r="DG613" i="29"/>
  <c r="CU613" i="29"/>
  <c r="BQ613" i="29"/>
  <c r="BP619" i="29"/>
  <c r="DI619" i="29"/>
  <c r="CJ619" i="29"/>
  <c r="CD623" i="29"/>
  <c r="CO623" i="29"/>
  <c r="CZ623" i="29"/>
  <c r="CR627" i="29"/>
  <c r="CL627" i="29"/>
  <c r="DJ627" i="29"/>
  <c r="CK627" i="29"/>
  <c r="DK631" i="29"/>
  <c r="BV631" i="29"/>
  <c r="CC631" i="29"/>
  <c r="CI635" i="29"/>
  <c r="CD635" i="29"/>
  <c r="BO635" i="29"/>
  <c r="CX639" i="29"/>
  <c r="DI639" i="29"/>
  <c r="CB639" i="29"/>
  <c r="BQ643" i="29"/>
  <c r="BZ643" i="29"/>
  <c r="CF643" i="29"/>
  <c r="CJ648" i="29"/>
  <c r="CQ648" i="29"/>
  <c r="CW648" i="29"/>
  <c r="CI652" i="29"/>
  <c r="DK652" i="29"/>
  <c r="CZ652" i="29"/>
  <c r="CK725" i="29"/>
  <c r="CF725" i="29"/>
  <c r="CI725" i="29"/>
  <c r="DK729" i="29"/>
  <c r="CP729" i="29"/>
  <c r="CX729" i="29"/>
  <c r="CH729" i="29"/>
  <c r="BZ733" i="29"/>
  <c r="BO733" i="29"/>
  <c r="DA733" i="29"/>
  <c r="DG737" i="29"/>
  <c r="CG737" i="29"/>
  <c r="CE737" i="29"/>
  <c r="BU741" i="29"/>
  <c r="CY741" i="29"/>
  <c r="CX741" i="29"/>
  <c r="BV745" i="29"/>
  <c r="CO745" i="29"/>
  <c r="CF745" i="29"/>
  <c r="CF749" i="29"/>
  <c r="CE749" i="29"/>
  <c r="CR749" i="29"/>
  <c r="BU753" i="29"/>
  <c r="CB753" i="29"/>
  <c r="CP753" i="29"/>
  <c r="BX757" i="29"/>
  <c r="CJ757" i="29"/>
  <c r="BO757" i="29"/>
  <c r="CT761" i="29"/>
  <c r="BT761" i="29"/>
  <c r="DC761" i="29"/>
  <c r="BR761" i="29"/>
  <c r="BQ765" i="29"/>
  <c r="CB765" i="29"/>
  <c r="BT765" i="29"/>
  <c r="DG769" i="29"/>
  <c r="CC769" i="29"/>
  <c r="BV769" i="29"/>
  <c r="CT773" i="29"/>
  <c r="DD773" i="29"/>
  <c r="BW773" i="29"/>
  <c r="BR777" i="29"/>
  <c r="DI777" i="29"/>
  <c r="DC777" i="29"/>
  <c r="BY781" i="29"/>
  <c r="CF781" i="29"/>
  <c r="DD781" i="29"/>
  <c r="CK785" i="29"/>
  <c r="BW785" i="29"/>
  <c r="CZ785" i="29"/>
  <c r="CJ791" i="29"/>
  <c r="CM791" i="29"/>
  <c r="CW791" i="29"/>
  <c r="DD795" i="29"/>
  <c r="DJ795" i="29"/>
  <c r="DL795" i="29"/>
  <c r="BQ795" i="29"/>
  <c r="DB799" i="29"/>
  <c r="CJ799" i="29"/>
  <c r="DL799" i="29"/>
  <c r="DL803" i="29"/>
  <c r="CJ803" i="29"/>
  <c r="CF803" i="29"/>
  <c r="CZ807" i="29"/>
  <c r="CU807" i="29"/>
  <c r="BR807" i="29"/>
  <c r="CW811" i="29"/>
  <c r="CU811" i="29"/>
  <c r="CX811" i="29"/>
  <c r="CW815" i="29"/>
  <c r="CT815" i="29"/>
  <c r="DF815" i="29"/>
  <c r="CP820" i="29"/>
  <c r="CQ820" i="29"/>
  <c r="CS820" i="29"/>
  <c r="BS824" i="29"/>
  <c r="DC824" i="29"/>
  <c r="CY824" i="29"/>
  <c r="DF897" i="29"/>
  <c r="DJ897" i="29"/>
  <c r="CJ897" i="29"/>
  <c r="CW897" i="29"/>
  <c r="BW901" i="29"/>
  <c r="BP901" i="29"/>
  <c r="CJ901" i="29"/>
  <c r="DF905" i="29"/>
  <c r="BU905" i="29"/>
  <c r="DL905" i="29"/>
  <c r="CH909" i="29"/>
  <c r="DF909" i="29"/>
  <c r="BP909" i="29"/>
  <c r="CS913" i="29"/>
  <c r="CB913" i="29"/>
  <c r="CQ913" i="29"/>
  <c r="BP917" i="29"/>
  <c r="BV917" i="29"/>
  <c r="BO917" i="29"/>
  <c r="CZ921" i="29"/>
  <c r="CD921" i="29"/>
  <c r="DI921" i="29"/>
  <c r="CG925" i="29"/>
  <c r="DD925" i="29"/>
  <c r="CT925" i="29"/>
  <c r="CZ929" i="29"/>
  <c r="BO929" i="29"/>
  <c r="DC929" i="29"/>
  <c r="CL929" i="29"/>
  <c r="CL933" i="29"/>
  <c r="DF933" i="29"/>
  <c r="BR933" i="29"/>
  <c r="CE937" i="29"/>
  <c r="BU937" i="29"/>
  <c r="DH937" i="29"/>
  <c r="DC941" i="29"/>
  <c r="CJ941" i="29"/>
  <c r="CL941" i="29"/>
  <c r="CZ945" i="29"/>
  <c r="CR945" i="29"/>
  <c r="CB945" i="29"/>
  <c r="DB949" i="29"/>
  <c r="BT949" i="29"/>
  <c r="BZ949" i="29"/>
  <c r="DI953" i="29"/>
  <c r="BR953" i="29"/>
  <c r="CW953" i="29"/>
  <c r="BV957" i="29"/>
  <c r="CY957" i="29"/>
  <c r="BU957" i="29"/>
  <c r="DI963" i="29"/>
  <c r="BZ963" i="29"/>
  <c r="CG963" i="29"/>
  <c r="CJ963" i="29"/>
  <c r="CK967" i="29"/>
  <c r="DG967" i="29"/>
  <c r="CJ967" i="29"/>
  <c r="BY971" i="29"/>
  <c r="CA971" i="29"/>
  <c r="CX971" i="29"/>
  <c r="CC971" i="29"/>
  <c r="DD971" i="29"/>
  <c r="CZ971" i="29"/>
  <c r="CK975" i="29"/>
  <c r="CS975" i="29"/>
  <c r="CO975" i="29"/>
  <c r="DB975" i="29"/>
  <c r="BX975" i="29"/>
  <c r="CR975" i="29"/>
  <c r="DC979" i="29"/>
  <c r="CT979" i="29"/>
  <c r="CI979" i="29"/>
  <c r="DB979" i="29"/>
  <c r="BW979" i="29"/>
  <c r="CR979" i="29"/>
  <c r="DF983" i="29"/>
  <c r="BO983" i="29"/>
  <c r="BW983" i="29"/>
  <c r="CO983" i="29"/>
  <c r="CW983" i="29"/>
  <c r="CR983" i="29"/>
  <c r="DL987" i="29"/>
  <c r="CX987" i="29"/>
  <c r="BS987" i="29"/>
  <c r="CY987" i="29"/>
  <c r="DE987" i="29"/>
  <c r="CZ987" i="29"/>
  <c r="CV987" i="29"/>
  <c r="BU992" i="29"/>
  <c r="CT992" i="29"/>
  <c r="CX992" i="29"/>
  <c r="DH992" i="29"/>
  <c r="BP992" i="29"/>
  <c r="DD992" i="29"/>
  <c r="DA996" i="29"/>
  <c r="BO996" i="29"/>
  <c r="BR996" i="29"/>
  <c r="DB996" i="29"/>
  <c r="DI996" i="29"/>
  <c r="DJ996" i="29"/>
  <c r="BW975" i="29"/>
  <c r="CW975" i="29"/>
  <c r="CQ975" i="29"/>
  <c r="CF975" i="29"/>
  <c r="DL979" i="29"/>
  <c r="BS979" i="29"/>
  <c r="DG979" i="29"/>
  <c r="DD979" i="29"/>
  <c r="CK983" i="29"/>
  <c r="CI983" i="29"/>
  <c r="BT983" i="29"/>
  <c r="CU987" i="29"/>
  <c r="CG987" i="29"/>
  <c r="CO987" i="29"/>
  <c r="CN987" i="29"/>
  <c r="CG992" i="29"/>
  <c r="CI992" i="29"/>
  <c r="CF992" i="29"/>
  <c r="CP996" i="29"/>
  <c r="CR996" i="29"/>
  <c r="CA996" i="29"/>
  <c r="BU996" i="29"/>
  <c r="CU730" i="29"/>
  <c r="CB734" i="29"/>
  <c r="DE738" i="29"/>
  <c r="BU746" i="29"/>
  <c r="CL750" i="29"/>
  <c r="CW754" i="29"/>
  <c r="CN758" i="29"/>
  <c r="DI766" i="29"/>
  <c r="DA770" i="29"/>
  <c r="CK774" i="29"/>
  <c r="CP782" i="29"/>
  <c r="CZ786" i="29"/>
  <c r="CQ792" i="29"/>
  <c r="DD796" i="29"/>
  <c r="CE804" i="29"/>
  <c r="DF808" i="29"/>
  <c r="CZ812" i="29"/>
  <c r="CV821" i="29"/>
  <c r="CQ825" i="29"/>
  <c r="DI898" i="29"/>
  <c r="DD902" i="29"/>
  <c r="CE910" i="29"/>
  <c r="CJ914" i="29"/>
  <c r="BQ918" i="29"/>
  <c r="BQ922" i="29"/>
  <c r="BT930" i="29"/>
  <c r="CP934" i="29"/>
  <c r="DL938" i="29"/>
  <c r="BZ946" i="29"/>
  <c r="BP950" i="29"/>
  <c r="BR958" i="29"/>
  <c r="DL968" i="29"/>
  <c r="BT972" i="29"/>
  <c r="CM976" i="29"/>
  <c r="CN984" i="29"/>
  <c r="DJ988" i="29"/>
  <c r="BY993" i="29"/>
  <c r="DG997" i="29"/>
  <c r="BR377" i="29"/>
  <c r="DF381" i="29"/>
  <c r="BS385" i="29"/>
  <c r="DI393" i="29"/>
  <c r="BW397" i="29"/>
  <c r="DB401" i="29"/>
  <c r="DH405" i="29"/>
  <c r="CC413" i="29"/>
  <c r="CU417" i="29"/>
  <c r="CZ421" i="29"/>
  <c r="CA425" i="29"/>
  <c r="BT433" i="29"/>
  <c r="DJ437" i="29"/>
  <c r="BU443" i="29"/>
  <c r="BP451" i="29"/>
  <c r="DD455" i="29"/>
  <c r="CV459" i="29"/>
  <c r="CL463" i="29"/>
  <c r="CX201" i="29"/>
  <c r="BW205" i="29"/>
  <c r="CY209" i="29"/>
  <c r="CH217" i="29"/>
  <c r="BS221" i="29"/>
  <c r="DI225" i="29"/>
  <c r="CL229" i="29"/>
  <c r="BY237" i="29"/>
  <c r="BU241" i="29"/>
  <c r="CC245" i="29"/>
  <c r="CW253" i="29"/>
  <c r="DJ257" i="29"/>
  <c r="CV261" i="29"/>
  <c r="CJ267" i="29"/>
  <c r="DI275" i="29"/>
  <c r="CA279" i="29"/>
  <c r="CY283" i="29"/>
  <c r="CP291" i="29"/>
  <c r="CT296" i="29"/>
  <c r="CV300" i="29"/>
  <c r="CV551" i="29"/>
  <c r="BZ559" i="29"/>
  <c r="BW563" i="29"/>
  <c r="DH567" i="29"/>
  <c r="CG571" i="29"/>
  <c r="CE579" i="29"/>
  <c r="CU583" i="29"/>
  <c r="DI587" i="29"/>
  <c r="BZ595" i="29"/>
  <c r="BU599" i="29"/>
  <c r="DG603" i="29"/>
  <c r="DE607" i="29"/>
  <c r="CE617" i="29"/>
  <c r="CQ621" i="29"/>
  <c r="BO625" i="29"/>
  <c r="BV633" i="29"/>
  <c r="BY637" i="29"/>
  <c r="CF641" i="29"/>
  <c r="CG646" i="29"/>
  <c r="BP723" i="29"/>
  <c r="CD727" i="29"/>
  <c r="CG731" i="29"/>
  <c r="DF739" i="29"/>
  <c r="CA743" i="29"/>
  <c r="BY747" i="29"/>
  <c r="CG751" i="29"/>
  <c r="DL759" i="29"/>
  <c r="DF763" i="29"/>
  <c r="BS767" i="29"/>
  <c r="CR771" i="29"/>
  <c r="CT779" i="29"/>
  <c r="CA783" i="29"/>
  <c r="CB787" i="29"/>
  <c r="DJ797" i="29"/>
  <c r="BR801" i="29"/>
  <c r="BS805" i="29"/>
  <c r="CR809" i="29"/>
  <c r="DC817" i="29"/>
  <c r="CY822" i="29"/>
  <c r="CP826" i="29"/>
  <c r="BV903" i="29"/>
  <c r="CV907" i="29"/>
  <c r="BZ911" i="29"/>
  <c r="CV915" i="29"/>
  <c r="CS923" i="29"/>
  <c r="BV927" i="29"/>
  <c r="BS931" i="29"/>
  <c r="DG939" i="29"/>
  <c r="CG943" i="29"/>
  <c r="DK947" i="29"/>
  <c r="CZ951" i="29"/>
  <c r="DI959" i="29"/>
  <c r="DC965" i="29"/>
  <c r="DG969" i="29"/>
  <c r="BP973" i="29"/>
  <c r="DJ981" i="29"/>
  <c r="BY985" i="29"/>
  <c r="DD989" i="29"/>
  <c r="DC998" i="29"/>
  <c r="CD380" i="29"/>
  <c r="CA388" i="29"/>
  <c r="DA396" i="29"/>
  <c r="CH412" i="29"/>
  <c r="DE416" i="29"/>
  <c r="CM424" i="29"/>
  <c r="CJ442" i="29"/>
  <c r="DK450" i="29"/>
  <c r="CA458" i="29"/>
  <c r="CV462" i="29"/>
  <c r="CJ475" i="29"/>
  <c r="BS200" i="29"/>
  <c r="BQ208" i="29"/>
  <c r="CX220" i="29"/>
  <c r="DG228" i="29"/>
  <c r="CK236" i="29"/>
  <c r="BT244" i="29"/>
  <c r="DA260" i="29"/>
  <c r="DA266" i="29"/>
  <c r="CA274" i="29"/>
  <c r="CF282" i="29"/>
  <c r="CR295" i="29"/>
  <c r="CD554" i="29"/>
  <c r="DJ562" i="29"/>
  <c r="CY574" i="29"/>
  <c r="CE582" i="29"/>
  <c r="CZ590" i="29"/>
  <c r="CR598" i="29"/>
  <c r="DJ610" i="29"/>
  <c r="CI620" i="29"/>
  <c r="CJ628" i="29"/>
  <c r="CG645" i="29"/>
  <c r="CE378" i="29"/>
  <c r="DG386" i="29"/>
  <c r="CA398" i="29"/>
  <c r="BQ406" i="29"/>
  <c r="BX414" i="29"/>
  <c r="CN418" i="29"/>
  <c r="CT426" i="29"/>
  <c r="DK434" i="29"/>
  <c r="BT434" i="29"/>
  <c r="CO444" i="29"/>
  <c r="BR452" i="29"/>
  <c r="CA460" i="29"/>
  <c r="CV472" i="29"/>
  <c r="CU476" i="29"/>
  <c r="CC476" i="29"/>
  <c r="CT202" i="29"/>
  <c r="CX210" i="29"/>
  <c r="DD218" i="29"/>
  <c r="DB226" i="29"/>
  <c r="CO234" i="29"/>
  <c r="CU242" i="29"/>
  <c r="CF242" i="29"/>
  <c r="CW250" i="29"/>
  <c r="CE258" i="29"/>
  <c r="CC268" i="29"/>
  <c r="DK276" i="29"/>
  <c r="DF284" i="29"/>
  <c r="CE292" i="29"/>
  <c r="CL292" i="29"/>
  <c r="DL301" i="29"/>
  <c r="CE556" i="29"/>
  <c r="BQ564" i="29"/>
  <c r="CQ572" i="29"/>
  <c r="BQ580" i="29"/>
  <c r="DL588" i="29"/>
  <c r="BS588" i="29"/>
  <c r="DK596" i="29"/>
  <c r="DD596" i="29"/>
  <c r="BS608" i="29"/>
  <c r="BQ618" i="29"/>
  <c r="CH618" i="29"/>
  <c r="DE626" i="29"/>
  <c r="BO634" i="29"/>
  <c r="BT634" i="29"/>
  <c r="CW638" i="29"/>
  <c r="DC647" i="29"/>
  <c r="CY647" i="29"/>
  <c r="BT376" i="29"/>
  <c r="CG376" i="29"/>
  <c r="BQ384" i="29"/>
  <c r="BW392" i="29"/>
  <c r="CW392" i="29"/>
  <c r="BO400" i="29"/>
  <c r="DC408" i="29"/>
  <c r="BV408" i="29"/>
  <c r="CN420" i="29"/>
  <c r="DB428" i="29"/>
  <c r="CC428" i="29"/>
  <c r="BZ436" i="29"/>
  <c r="DA446" i="29"/>
  <c r="DB446" i="29"/>
  <c r="CM454" i="29"/>
  <c r="BZ454" i="29"/>
  <c r="BY466" i="29"/>
  <c r="CJ473" i="29"/>
  <c r="CL473" i="29"/>
  <c r="CX204" i="29"/>
  <c r="CM212" i="29"/>
  <c r="CL212" i="29"/>
  <c r="BU224" i="29"/>
  <c r="CM232" i="29"/>
  <c r="CV232" i="29"/>
  <c r="CQ240" i="29"/>
  <c r="BT240" i="29"/>
  <c r="DA248" i="29"/>
  <c r="CQ256" i="29"/>
  <c r="CE256" i="29"/>
  <c r="CE270" i="29"/>
  <c r="BQ278" i="29"/>
  <c r="CF278" i="29"/>
  <c r="CZ286" i="29"/>
  <c r="BS299" i="29"/>
  <c r="CQ299" i="29"/>
  <c r="DG550" i="29"/>
  <c r="DL558" i="29"/>
  <c r="BZ558" i="29"/>
  <c r="DF566" i="29"/>
  <c r="CF566" i="29"/>
  <c r="CN578" i="29"/>
  <c r="BY586" i="29"/>
  <c r="CH586" i="29"/>
  <c r="BO594" i="29"/>
  <c r="CG602" i="29"/>
  <c r="CQ602" i="29"/>
  <c r="DI616" i="29"/>
  <c r="DC624" i="29"/>
  <c r="CT624" i="29"/>
  <c r="CM632" i="29"/>
  <c r="BP632" i="29"/>
  <c r="CA640" i="29"/>
  <c r="BS649" i="29"/>
  <c r="CY649" i="29"/>
  <c r="DB374" i="29"/>
  <c r="CZ382" i="29"/>
  <c r="CA382" i="29"/>
  <c r="BO390" i="29"/>
  <c r="DC394" i="29"/>
  <c r="DL394" i="29"/>
  <c r="BO402" i="29"/>
  <c r="DJ410" i="29"/>
  <c r="CI410" i="29"/>
  <c r="BS422" i="29"/>
  <c r="BX422" i="29"/>
  <c r="CU430" i="29"/>
  <c r="CL430" i="29"/>
  <c r="CI430" i="29"/>
  <c r="BY440" i="29"/>
  <c r="BV440" i="29"/>
  <c r="CW448" i="29"/>
  <c r="BO448" i="29"/>
  <c r="CL456" i="29"/>
  <c r="CK456" i="29"/>
  <c r="CB456" i="29"/>
  <c r="DB464" i="29"/>
  <c r="DF464" i="29"/>
  <c r="CD469" i="29"/>
  <c r="CC469" i="29"/>
  <c r="DH474" i="29"/>
  <c r="CV474" i="29"/>
  <c r="CU474" i="29"/>
  <c r="BU206" i="29"/>
  <c r="BZ206" i="29"/>
  <c r="BO214" i="29"/>
  <c r="BT214" i="29"/>
  <c r="CK222" i="29"/>
  <c r="CG222" i="29"/>
  <c r="CV222" i="29"/>
  <c r="BV230" i="29"/>
  <c r="CE230" i="29"/>
  <c r="BQ238" i="29"/>
  <c r="CC238" i="29"/>
  <c r="CN246" i="29"/>
  <c r="DC246" i="29"/>
  <c r="DG246" i="29"/>
  <c r="DI254" i="29"/>
  <c r="CO254" i="29"/>
  <c r="BV262" i="29"/>
  <c r="DC262" i="29"/>
  <c r="DG272" i="29"/>
  <c r="CG272" i="29"/>
  <c r="BR272" i="29"/>
  <c r="DI280" i="29"/>
  <c r="CG280" i="29"/>
  <c r="CU288" i="29"/>
  <c r="CJ288" i="29"/>
  <c r="CK297" i="29"/>
  <c r="CA297" i="29"/>
  <c r="BZ297" i="29"/>
  <c r="CX552" i="29"/>
  <c r="BW552" i="29"/>
  <c r="DC560" i="29"/>
  <c r="CS560" i="29"/>
  <c r="DJ568" i="29"/>
  <c r="CX568" i="29"/>
  <c r="BT568" i="29"/>
  <c r="CW576" i="29"/>
  <c r="CG576" i="29"/>
  <c r="CC584" i="29"/>
  <c r="CK584" i="29"/>
  <c r="DL592" i="29"/>
  <c r="CP592" i="29"/>
  <c r="BT592" i="29"/>
  <c r="CH600" i="29"/>
  <c r="CM600" i="29"/>
  <c r="CC604" i="29"/>
  <c r="DK604" i="29"/>
  <c r="CR604" i="29"/>
  <c r="DK612" i="29"/>
  <c r="BT612" i="29"/>
  <c r="BO622" i="29"/>
  <c r="CC622" i="29"/>
  <c r="BY630" i="29"/>
  <c r="DC630" i="29"/>
  <c r="CQ630" i="29"/>
  <c r="CE642" i="29"/>
  <c r="BU642" i="29"/>
  <c r="DK651" i="29"/>
  <c r="BZ651" i="29"/>
  <c r="CP724" i="29"/>
  <c r="CA724" i="29"/>
  <c r="CV724" i="29"/>
  <c r="BR728" i="29"/>
  <c r="BP728" i="29"/>
  <c r="DA732" i="29"/>
  <c r="DG732" i="29"/>
  <c r="CL736" i="29"/>
  <c r="CC736" i="29"/>
  <c r="DH736" i="29"/>
  <c r="DI740" i="29"/>
  <c r="CZ740" i="29"/>
  <c r="DE744" i="29"/>
  <c r="CP744" i="29"/>
  <c r="CT748" i="29"/>
  <c r="DA748" i="29"/>
  <c r="BT748" i="29"/>
  <c r="CD752" i="29"/>
  <c r="BO752" i="29"/>
  <c r="CF752" i="29"/>
  <c r="CO756" i="29"/>
  <c r="DK756" i="29"/>
  <c r="CH756" i="29"/>
  <c r="BO760" i="29"/>
  <c r="CI760" i="29"/>
  <c r="BS760" i="29"/>
  <c r="DC764" i="29"/>
  <c r="DK764" i="29"/>
  <c r="DJ764" i="29"/>
  <c r="CQ764" i="29"/>
  <c r="CS768" i="29"/>
  <c r="DA768" i="29"/>
  <c r="CT768" i="29"/>
  <c r="CB772" i="29"/>
  <c r="BO772" i="29"/>
  <c r="CH772" i="29"/>
  <c r="CJ776" i="29"/>
  <c r="DG776" i="29"/>
  <c r="DF776" i="29"/>
  <c r="CL780" i="29"/>
  <c r="BS780" i="29"/>
  <c r="DI780" i="29"/>
  <c r="DE784" i="29"/>
  <c r="CF784" i="29"/>
  <c r="DK784" i="29"/>
  <c r="BR790" i="29"/>
  <c r="CH790" i="29"/>
  <c r="CG790" i="29"/>
  <c r="CS794" i="29"/>
  <c r="CV794" i="29"/>
  <c r="BZ794" i="29"/>
  <c r="CV798" i="29"/>
  <c r="CW798" i="29"/>
  <c r="CT798" i="29"/>
  <c r="CL798" i="29"/>
  <c r="CR802" i="29"/>
  <c r="DH802" i="29"/>
  <c r="BO802" i="29"/>
  <c r="CB806" i="29"/>
  <c r="CC806" i="29"/>
  <c r="CF806" i="29"/>
  <c r="CH810" i="29"/>
  <c r="DI810" i="29"/>
  <c r="CA810" i="29"/>
  <c r="CJ814" i="29"/>
  <c r="DH814" i="29"/>
  <c r="CO814" i="29"/>
  <c r="BZ819" i="29"/>
  <c r="CG819" i="29"/>
  <c r="CX819" i="29"/>
  <c r="CJ823" i="29"/>
  <c r="BX823" i="29"/>
  <c r="DB823" i="29"/>
  <c r="BS896" i="29"/>
  <c r="DD896" i="29"/>
  <c r="CB896" i="29"/>
  <c r="DC900" i="29"/>
  <c r="BP900" i="29"/>
  <c r="CC900" i="29"/>
  <c r="DA900" i="29"/>
  <c r="CK904" i="29"/>
  <c r="CP904" i="29"/>
  <c r="CG904" i="29"/>
  <c r="BX908" i="29"/>
  <c r="CD908" i="29"/>
  <c r="BZ908" i="29"/>
  <c r="CD912" i="29"/>
  <c r="CO912" i="29"/>
  <c r="CW912" i="29"/>
  <c r="BQ916" i="29"/>
  <c r="BP916" i="29"/>
  <c r="BR916" i="29"/>
  <c r="DB920" i="29"/>
  <c r="CM920" i="29"/>
  <c r="CK920" i="29"/>
  <c r="CO924" i="29"/>
  <c r="BU924" i="29"/>
  <c r="DC924" i="29"/>
  <c r="BZ928" i="29"/>
  <c r="DG928" i="29"/>
  <c r="CM928" i="29"/>
  <c r="CN932" i="29"/>
  <c r="CD932" i="29"/>
  <c r="CT932" i="29"/>
  <c r="DD932" i="29"/>
  <c r="BY936" i="29"/>
  <c r="CW936" i="29"/>
  <c r="CS936" i="29"/>
  <c r="BS940" i="29"/>
  <c r="CC940" i="29"/>
  <c r="BW940" i="29"/>
  <c r="BZ944" i="29"/>
  <c r="CY944" i="29"/>
  <c r="CG944" i="29"/>
  <c r="BQ948" i="29"/>
  <c r="DL948" i="29"/>
  <c r="BW948" i="29"/>
  <c r="CJ952" i="29"/>
  <c r="CL952" i="29"/>
  <c r="CM952" i="29"/>
  <c r="DL956" i="29"/>
  <c r="BT956" i="29"/>
  <c r="CG956" i="29"/>
  <c r="BP960" i="29"/>
  <c r="BS960" i="29"/>
  <c r="DL960" i="29"/>
  <c r="BR966" i="29"/>
  <c r="DB966" i="29"/>
  <c r="BV966" i="29"/>
  <c r="CJ966" i="29"/>
  <c r="CJ970" i="29"/>
  <c r="BQ970" i="29"/>
  <c r="CL970" i="29"/>
  <c r="CH974" i="29"/>
  <c r="CL974" i="29"/>
  <c r="BY974" i="29"/>
  <c r="BW978" i="29"/>
  <c r="CP978" i="29"/>
  <c r="DF978" i="29"/>
  <c r="DE982" i="29"/>
  <c r="BQ982" i="29"/>
  <c r="CB982" i="29"/>
  <c r="CO986" i="29"/>
  <c r="CI986" i="29"/>
  <c r="DK986" i="29"/>
  <c r="BX990" i="29"/>
  <c r="CJ990" i="29"/>
  <c r="CQ990" i="29"/>
  <c r="DD995" i="29"/>
  <c r="CC995" i="29"/>
  <c r="CM995" i="29"/>
  <c r="DJ999" i="29"/>
  <c r="CU999" i="29"/>
  <c r="CF999" i="29"/>
  <c r="BT999" i="29"/>
  <c r="DK375" i="29"/>
  <c r="CV375" i="29"/>
  <c r="CQ375" i="29"/>
  <c r="DE379" i="29"/>
  <c r="CR379" i="29"/>
  <c r="DI379" i="29"/>
  <c r="DK383" i="29"/>
  <c r="DF383" i="29"/>
  <c r="CT383" i="29"/>
  <c r="DC387" i="29"/>
  <c r="BQ387" i="29"/>
  <c r="CQ387" i="29"/>
  <c r="CE391" i="29"/>
  <c r="CV391" i="29"/>
  <c r="BQ391" i="29"/>
  <c r="DJ395" i="29"/>
  <c r="CV395" i="29"/>
  <c r="DF395" i="29"/>
  <c r="CC399" i="29"/>
  <c r="DB399" i="29"/>
  <c r="CP399" i="29"/>
  <c r="CM403" i="29"/>
  <c r="DB403" i="29"/>
  <c r="DC403" i="29"/>
  <c r="DE403" i="29"/>
  <c r="BX407" i="29"/>
  <c r="DA407" i="29"/>
  <c r="DB407" i="29"/>
  <c r="DE411" i="29"/>
  <c r="BQ411" i="29"/>
  <c r="DH411" i="29"/>
  <c r="DI415" i="29"/>
  <c r="CD415" i="29"/>
  <c r="DH415" i="29"/>
  <c r="BU419" i="29"/>
  <c r="CY419" i="29"/>
  <c r="CB419" i="29"/>
  <c r="CD423" i="29"/>
  <c r="BO423" i="29"/>
  <c r="CJ423" i="29"/>
  <c r="CP427" i="29"/>
  <c r="CQ427" i="29"/>
  <c r="BY427" i="29"/>
  <c r="DA431" i="29"/>
  <c r="BR431" i="29"/>
  <c r="CO431" i="29"/>
  <c r="DD435" i="29"/>
  <c r="DE435" i="29"/>
  <c r="BO435" i="29"/>
  <c r="CV435" i="29"/>
  <c r="BY441" i="29"/>
  <c r="CK441" i="29"/>
  <c r="DB441" i="29"/>
  <c r="BU445" i="29"/>
  <c r="CN445" i="29"/>
  <c r="DL445" i="29"/>
  <c r="CF449" i="29"/>
  <c r="BZ449" i="29"/>
  <c r="CB449" i="29"/>
  <c r="CS453" i="29"/>
  <c r="BT453" i="29"/>
  <c r="CE453" i="29"/>
  <c r="DL457" i="29"/>
  <c r="CO457" i="29"/>
  <c r="DG457" i="29"/>
  <c r="CL461" i="29"/>
  <c r="CC461" i="29"/>
  <c r="BO461" i="29"/>
  <c r="CU465" i="29"/>
  <c r="BU465" i="29"/>
  <c r="CX465" i="29"/>
  <c r="DE470" i="29"/>
  <c r="DJ470" i="29"/>
  <c r="BO470" i="29"/>
  <c r="CJ470" i="29"/>
  <c r="CK199" i="29"/>
  <c r="CH199" i="29"/>
  <c r="CL199" i="29"/>
  <c r="BS203" i="29"/>
  <c r="BP203" i="29"/>
  <c r="DI203" i="29"/>
  <c r="CK207" i="29"/>
  <c r="BQ207" i="29"/>
  <c r="CT207" i="29"/>
  <c r="BX211" i="29"/>
  <c r="DA211" i="29"/>
  <c r="BQ211" i="29"/>
  <c r="CD215" i="29"/>
  <c r="CA215" i="29"/>
  <c r="CG215" i="29"/>
  <c r="CD219" i="29"/>
  <c r="DL219" i="29"/>
  <c r="BO219" i="29"/>
  <c r="DJ223" i="29"/>
  <c r="CF223" i="29"/>
  <c r="DK223" i="29"/>
  <c r="CT227" i="29"/>
  <c r="DL227" i="29"/>
  <c r="BT227" i="29"/>
  <c r="DC227" i="29"/>
  <c r="DA231" i="29"/>
  <c r="DE231" i="29"/>
  <c r="CI231" i="29"/>
  <c r="BZ235" i="29"/>
  <c r="DJ235" i="29"/>
  <c r="DB235" i="29"/>
  <c r="BT239" i="29"/>
  <c r="CU239" i="29"/>
  <c r="CI239" i="29"/>
  <c r="DG243" i="29"/>
  <c r="BS243" i="29"/>
  <c r="BW243" i="29"/>
  <c r="DC247" i="29"/>
  <c r="DI247" i="29"/>
  <c r="CD247" i="29"/>
  <c r="DC251" i="29"/>
  <c r="CV251" i="29"/>
  <c r="CR251" i="29"/>
  <c r="CH255" i="29"/>
  <c r="CL255" i="29"/>
  <c r="CS255" i="29"/>
  <c r="DC259" i="29"/>
  <c r="CA259" i="29"/>
  <c r="CK259" i="29"/>
  <c r="CB259" i="29"/>
  <c r="CI263" i="29"/>
  <c r="BO263" i="29"/>
  <c r="BV263" i="29"/>
  <c r="CT269" i="29"/>
  <c r="CA269" i="29"/>
  <c r="CO269" i="29"/>
  <c r="BU273" i="29"/>
  <c r="DF273" i="29"/>
  <c r="CW273" i="29"/>
  <c r="CM277" i="29"/>
  <c r="CT277" i="29"/>
  <c r="CK277" i="29"/>
  <c r="CE281" i="29"/>
  <c r="CB281" i="29"/>
  <c r="DC281" i="29"/>
  <c r="CO285" i="29"/>
  <c r="DH285" i="29"/>
  <c r="DD285" i="29"/>
  <c r="BS289" i="29"/>
  <c r="BO289" i="29"/>
  <c r="CO289" i="29"/>
  <c r="CN293" i="29"/>
  <c r="CD293" i="29"/>
  <c r="CX293" i="29"/>
  <c r="CA293" i="29"/>
  <c r="CX298" i="29"/>
  <c r="BX298" i="29"/>
  <c r="CA298" i="29"/>
  <c r="BW302" i="29"/>
  <c r="DD302" i="29"/>
  <c r="DA302" i="29"/>
  <c r="CP549" i="29"/>
  <c r="BQ549" i="29"/>
  <c r="DB549" i="29"/>
  <c r="CZ553" i="29"/>
  <c r="BY553" i="29"/>
  <c r="CB553" i="29"/>
  <c r="CX557" i="29"/>
  <c r="CR557" i="29"/>
  <c r="BQ557" i="29"/>
  <c r="CL561" i="29"/>
  <c r="CU561" i="29"/>
  <c r="BW561" i="29"/>
  <c r="DA565" i="29"/>
  <c r="BV565" i="29"/>
  <c r="CL565" i="29"/>
  <c r="CP569" i="29"/>
  <c r="CY569" i="29"/>
  <c r="CH569" i="29"/>
  <c r="BY569" i="29"/>
  <c r="CP573" i="29"/>
  <c r="CB573" i="29"/>
  <c r="CJ573" i="29"/>
  <c r="CV577" i="29"/>
  <c r="BO577" i="29"/>
  <c r="DE577" i="29"/>
  <c r="CN581" i="29"/>
  <c r="DB581" i="29"/>
  <c r="CY581" i="29"/>
  <c r="CG585" i="29"/>
  <c r="CD585" i="29"/>
  <c r="CW585" i="29"/>
  <c r="CW589" i="29"/>
  <c r="DB589" i="29"/>
  <c r="CM589" i="29"/>
  <c r="CT593" i="29"/>
  <c r="CC593" i="29"/>
  <c r="CW593" i="29"/>
  <c r="CH597" i="29"/>
  <c r="BQ597" i="29"/>
  <c r="BO597" i="29"/>
  <c r="DE601" i="29"/>
  <c r="CS601" i="29"/>
  <c r="CO601" i="29"/>
  <c r="CX601" i="29"/>
  <c r="CQ605" i="29"/>
  <c r="BX605" i="29"/>
  <c r="CP605" i="29"/>
  <c r="DG609" i="29"/>
  <c r="DF609" i="29"/>
  <c r="DJ609" i="29"/>
  <c r="CB613" i="29"/>
  <c r="DA613" i="29"/>
  <c r="CL619" i="29"/>
  <c r="CP619" i="29"/>
  <c r="CZ619" i="29"/>
  <c r="CF623" i="29"/>
  <c r="BP623" i="29"/>
  <c r="BW623" i="29"/>
  <c r="DK627" i="29"/>
  <c r="BQ627" i="29"/>
  <c r="CT627" i="29"/>
  <c r="CJ631" i="29"/>
  <c r="CI631" i="29"/>
  <c r="CF631" i="29"/>
  <c r="CZ635" i="29"/>
  <c r="CH635" i="29"/>
  <c r="CA635" i="29"/>
  <c r="CQ635" i="29"/>
  <c r="CL639" i="29"/>
  <c r="CC639" i="29"/>
  <c r="BT639" i="29"/>
  <c r="DC643" i="29"/>
  <c r="DE643" i="29"/>
  <c r="BP643" i="29"/>
  <c r="CD648" i="29"/>
  <c r="CG648" i="29"/>
  <c r="CU648" i="29"/>
  <c r="BU652" i="29"/>
  <c r="CW652" i="29"/>
  <c r="DF652" i="29"/>
  <c r="DJ725" i="29"/>
  <c r="CX725" i="29"/>
  <c r="CM725" i="29"/>
  <c r="CD729" i="29"/>
  <c r="CS729" i="29"/>
  <c r="CY729" i="29"/>
  <c r="CN733" i="29"/>
  <c r="CB733" i="29"/>
  <c r="DK733" i="29"/>
  <c r="CK737" i="29"/>
  <c r="CD737" i="29"/>
  <c r="BV737" i="29"/>
  <c r="BT737" i="29"/>
  <c r="DH741" i="29"/>
  <c r="CL741" i="29"/>
  <c r="CO741" i="29"/>
  <c r="CB745" i="29"/>
  <c r="CH745" i="29"/>
  <c r="CP745" i="29"/>
  <c r="CM749" i="29"/>
  <c r="BR749" i="29"/>
  <c r="CD749" i="29"/>
  <c r="CF753" i="29"/>
  <c r="BS753" i="29"/>
  <c r="BR753" i="29"/>
  <c r="BT757" i="29"/>
  <c r="BQ757" i="29"/>
  <c r="CT757" i="29"/>
  <c r="CY761" i="29"/>
  <c r="BU761" i="29"/>
  <c r="CB761" i="29"/>
  <c r="DF765" i="29"/>
  <c r="CI765" i="29"/>
  <c r="CN765" i="29"/>
  <c r="CY769" i="29"/>
  <c r="BZ769" i="29"/>
  <c r="CB769" i="29"/>
  <c r="BY769" i="29"/>
  <c r="BQ773" i="29"/>
  <c r="BZ773" i="29"/>
  <c r="DI773" i="29"/>
  <c r="CB777" i="29"/>
  <c r="CT777" i="29"/>
  <c r="BV777" i="29"/>
  <c r="CV781" i="29"/>
  <c r="DC781" i="29"/>
  <c r="BR781" i="29"/>
  <c r="DL785" i="29"/>
  <c r="CU785" i="29"/>
  <c r="CB785" i="29"/>
  <c r="CX791" i="29"/>
  <c r="CK791" i="29"/>
  <c r="CL791" i="29"/>
  <c r="CB795" i="29"/>
  <c r="CR795" i="29"/>
  <c r="CV795" i="29"/>
  <c r="DJ799" i="29"/>
  <c r="CB799" i="29"/>
  <c r="DK799" i="29"/>
  <c r="BP803" i="29"/>
  <c r="DC803" i="29"/>
  <c r="BZ803" i="29"/>
  <c r="CI803" i="29"/>
  <c r="DB807" i="29"/>
  <c r="DI807" i="29"/>
  <c r="CL807" i="29"/>
  <c r="BT811" i="29"/>
  <c r="CL811" i="29"/>
  <c r="BU811" i="29"/>
  <c r="DK815" i="29"/>
  <c r="BS815" i="29"/>
  <c r="CX815" i="29"/>
  <c r="BU820" i="29"/>
  <c r="CW820" i="29"/>
  <c r="BP820" i="29"/>
  <c r="BW824" i="29"/>
  <c r="CC824" i="29"/>
  <c r="CI824" i="29"/>
  <c r="BZ897" i="29"/>
  <c r="DG897" i="29"/>
  <c r="CF897" i="29"/>
  <c r="CQ901" i="29"/>
  <c r="BO901" i="29"/>
  <c r="BU901" i="29"/>
  <c r="DJ905" i="29"/>
  <c r="CH905" i="29"/>
  <c r="CR905" i="29"/>
  <c r="CV905" i="29"/>
  <c r="CT909" i="29"/>
  <c r="CF909" i="29"/>
  <c r="CV909" i="29"/>
  <c r="BQ913" i="29"/>
  <c r="CT913" i="29"/>
  <c r="CX913" i="29"/>
  <c r="DJ917" i="29"/>
  <c r="CI917" i="29"/>
  <c r="CX917" i="29"/>
  <c r="CY921" i="29"/>
  <c r="BP921" i="29"/>
  <c r="CG921" i="29"/>
  <c r="CN925" i="29"/>
  <c r="BR925" i="29"/>
  <c r="DJ925" i="29"/>
  <c r="DI929" i="29"/>
  <c r="BR929" i="29"/>
  <c r="CW929" i="29"/>
  <c r="CT933" i="29"/>
  <c r="DI933" i="29"/>
  <c r="CQ933" i="29"/>
  <c r="CU937" i="29"/>
  <c r="DK937" i="29"/>
  <c r="DC937" i="29"/>
  <c r="BV937" i="29"/>
  <c r="CH941" i="29"/>
  <c r="CM941" i="29"/>
  <c r="CE941" i="29"/>
  <c r="CN945" i="29"/>
  <c r="BU945" i="29"/>
  <c r="CV945" i="29"/>
  <c r="CE949" i="29"/>
  <c r="CV949" i="29"/>
  <c r="CJ949" i="29"/>
  <c r="BS953" i="29"/>
  <c r="CR953" i="29"/>
  <c r="CB953" i="29"/>
  <c r="CN957" i="29"/>
  <c r="CW957" i="29"/>
  <c r="CB957" i="29"/>
  <c r="CM963" i="29"/>
  <c r="CT963" i="29"/>
  <c r="CY963" i="29"/>
  <c r="CX967" i="29"/>
  <c r="BO967" i="29"/>
  <c r="CQ967" i="29"/>
  <c r="DJ971" i="29"/>
  <c r="BS971" i="29"/>
  <c r="BV971" i="29"/>
  <c r="CK971" i="29"/>
  <c r="DC971" i="29"/>
  <c r="BP971" i="29"/>
  <c r="CJ971" i="29"/>
  <c r="CE975" i="29"/>
  <c r="CM975" i="29"/>
  <c r="CD975" i="29"/>
  <c r="CG975" i="29"/>
  <c r="CN975" i="29"/>
  <c r="CJ975" i="29"/>
  <c r="CX979" i="29"/>
  <c r="CL979" i="29"/>
  <c r="CA979" i="29"/>
  <c r="CO979" i="29"/>
  <c r="CY979" i="29"/>
  <c r="CB979" i="29"/>
  <c r="DA983" i="29"/>
  <c r="DI983" i="29"/>
  <c r="BR983" i="29"/>
  <c r="CD983" i="29"/>
  <c r="CG983" i="29"/>
  <c r="DH983" i="29"/>
  <c r="DK987" i="29"/>
  <c r="CS987" i="29"/>
  <c r="DG987" i="29"/>
  <c r="CH987" i="29"/>
  <c r="BZ987" i="29"/>
  <c r="CB987" i="29"/>
  <c r="CF987" i="29"/>
  <c r="DE992" i="29"/>
  <c r="CD992" i="29"/>
  <c r="CH992" i="29"/>
  <c r="CA992" i="29"/>
  <c r="CV992" i="29"/>
  <c r="CE992" i="29"/>
  <c r="CF996" i="29"/>
  <c r="CS996" i="29"/>
  <c r="CU996" i="29"/>
  <c r="BV996" i="29"/>
  <c r="BS996" i="29"/>
  <c r="CO996" i="29"/>
  <c r="CN730" i="29"/>
  <c r="CJ734" i="29"/>
  <c r="CB742" i="29"/>
  <c r="BP746" i="29"/>
  <c r="DE750" i="29"/>
  <c r="DE754" i="29"/>
  <c r="CT762" i="29"/>
  <c r="CA766" i="29"/>
  <c r="CS770" i="29"/>
  <c r="CZ778" i="29"/>
  <c r="CD782" i="29"/>
  <c r="DD786" i="29"/>
  <c r="CF792" i="29"/>
  <c r="CE800" i="29"/>
  <c r="CF804" i="29"/>
  <c r="CA808" i="29"/>
  <c r="CI816" i="29"/>
  <c r="CF821" i="29"/>
  <c r="CB825" i="29"/>
  <c r="CB898" i="29"/>
  <c r="DA906" i="29"/>
  <c r="CC910" i="29"/>
  <c r="CV914" i="29"/>
  <c r="DC922" i="29"/>
  <c r="CQ926" i="29"/>
  <c r="CS930" i="29"/>
  <c r="BR934" i="29"/>
  <c r="DE942" i="29"/>
  <c r="CX946" i="29"/>
  <c r="CA950" i="29"/>
  <c r="BQ954" i="29"/>
  <c r="BP964" i="29"/>
  <c r="CE968" i="29"/>
  <c r="DB972" i="29"/>
  <c r="BY980" i="29"/>
  <c r="BU984" i="29"/>
  <c r="DE988" i="29"/>
  <c r="DA993" i="29"/>
  <c r="CQ373" i="29"/>
  <c r="CY377" i="29"/>
  <c r="CJ381" i="29"/>
  <c r="CW389" i="29"/>
  <c r="BV393" i="29"/>
  <c r="CK397" i="29"/>
  <c r="DD401" i="29"/>
  <c r="BQ409" i="29"/>
  <c r="BY413" i="29"/>
  <c r="CQ417" i="29"/>
  <c r="CY425" i="29"/>
  <c r="CO429" i="29"/>
  <c r="CL433" i="29"/>
  <c r="CN437" i="29"/>
  <c r="BX447" i="29"/>
  <c r="BZ451" i="29"/>
  <c r="DF455" i="29"/>
  <c r="DD463" i="29"/>
  <c r="CU467" i="29"/>
  <c r="CQ201" i="29"/>
  <c r="CF205" i="29"/>
  <c r="DF213" i="29"/>
  <c r="BT217" i="29"/>
  <c r="CE221" i="29"/>
  <c r="CF225" i="29"/>
  <c r="BU233" i="29"/>
  <c r="CQ237" i="29"/>
  <c r="DB241" i="29"/>
  <c r="BO249" i="29"/>
  <c r="BW253" i="29"/>
  <c r="CX257" i="29"/>
  <c r="BS261" i="29"/>
  <c r="CC271" i="29"/>
  <c r="DK275" i="29"/>
  <c r="CJ279" i="29"/>
  <c r="BR287" i="29"/>
  <c r="CU291" i="29"/>
  <c r="BT296" i="29"/>
  <c r="CU300" i="29"/>
  <c r="BT555" i="29"/>
  <c r="CD559" i="29"/>
  <c r="CV563" i="29"/>
  <c r="DD571" i="29"/>
  <c r="CM575" i="29"/>
  <c r="CK579" i="29"/>
  <c r="BS583" i="29"/>
  <c r="DJ591" i="29"/>
  <c r="DF595" i="29"/>
  <c r="CE599" i="29"/>
  <c r="BQ603" i="29"/>
  <c r="CE611" i="29"/>
  <c r="CA617" i="29"/>
  <c r="CX621" i="29"/>
  <c r="CU629" i="29"/>
  <c r="CF633" i="29"/>
  <c r="CR637" i="29"/>
  <c r="CA641" i="29"/>
  <c r="CI650" i="29"/>
  <c r="CB723" i="29"/>
  <c r="DE727" i="29"/>
  <c r="CP735" i="29"/>
  <c r="CI739" i="29"/>
  <c r="DA743" i="29"/>
  <c r="DL747" i="29"/>
  <c r="CP755" i="29"/>
  <c r="DG759" i="29"/>
  <c r="BV763" i="29"/>
  <c r="DG771" i="29"/>
  <c r="CG775" i="29"/>
  <c r="CP779" i="29"/>
  <c r="BX783" i="29"/>
  <c r="CW793" i="29"/>
  <c r="CV797" i="29"/>
  <c r="DB801" i="29"/>
  <c r="DH805" i="29"/>
  <c r="CT813" i="29"/>
  <c r="BZ817" i="29"/>
  <c r="DK822" i="29"/>
  <c r="BP899" i="29"/>
  <c r="CN903" i="29"/>
  <c r="DD907" i="29"/>
  <c r="BP911" i="29"/>
  <c r="DB919" i="29"/>
  <c r="BQ923" i="29"/>
  <c r="CR927" i="29"/>
  <c r="CX935" i="29"/>
  <c r="BU939" i="29"/>
  <c r="DF943" i="29"/>
  <c r="CV947" i="29"/>
  <c r="BQ955" i="29"/>
  <c r="CO959" i="29"/>
  <c r="CF965" i="29"/>
  <c r="CY973" i="29"/>
  <c r="CP977" i="29"/>
  <c r="CW981" i="29"/>
  <c r="CZ985" i="29"/>
  <c r="CC994" i="29"/>
  <c r="BR998" i="29"/>
  <c r="CV380" i="29"/>
  <c r="DJ388" i="29"/>
  <c r="CL404" i="29"/>
  <c r="DL412" i="29"/>
  <c r="CR416" i="29"/>
  <c r="BX432" i="29"/>
  <c r="CO442" i="29"/>
  <c r="DJ450" i="29"/>
  <c r="DF458" i="29"/>
  <c r="CL471" i="29"/>
  <c r="BZ475" i="29"/>
  <c r="CS200" i="29"/>
  <c r="BZ216" i="29"/>
  <c r="CQ220" i="29"/>
  <c r="CJ228" i="29"/>
  <c r="BU236" i="29"/>
  <c r="CL252" i="29"/>
  <c r="CY260" i="29"/>
  <c r="CB266" i="29"/>
  <c r="DB282" i="29"/>
  <c r="BR290" i="29"/>
  <c r="BY295" i="29"/>
  <c r="CE554" i="29"/>
  <c r="BU570" i="29"/>
  <c r="BV574" i="29"/>
  <c r="BR582" i="29"/>
  <c r="CN590" i="29"/>
  <c r="CF606" i="29"/>
  <c r="CP610" i="29"/>
  <c r="CR620" i="29"/>
  <c r="CO636" i="29"/>
  <c r="BY645" i="29"/>
  <c r="CS378" i="29"/>
  <c r="CW386" i="29"/>
  <c r="CI398" i="29"/>
  <c r="CE406" i="29"/>
  <c r="DH414" i="29"/>
  <c r="CA418" i="29"/>
  <c r="CB426" i="29"/>
  <c r="BX434" i="29"/>
  <c r="DA444" i="29"/>
  <c r="CJ444" i="29"/>
  <c r="CN452" i="29"/>
  <c r="BY460" i="29"/>
  <c r="CO472" i="29"/>
  <c r="CT476" i="29"/>
  <c r="CK202" i="29"/>
  <c r="CI210" i="29"/>
  <c r="DH210" i="29"/>
  <c r="CA218" i="29"/>
  <c r="CR226" i="29"/>
  <c r="CB234" i="29"/>
  <c r="DC242" i="29"/>
  <c r="BP250" i="29"/>
  <c r="CQ258" i="29"/>
  <c r="CD258" i="29"/>
  <c r="BP268" i="29"/>
  <c r="CQ276" i="29"/>
  <c r="CX284" i="29"/>
  <c r="CM292" i="29"/>
  <c r="CP301" i="29"/>
  <c r="CB556" i="29"/>
  <c r="DD564" i="29"/>
  <c r="BY572" i="29"/>
  <c r="DF580" i="29"/>
  <c r="BV588" i="29"/>
  <c r="CV588" i="29"/>
  <c r="CS596" i="29"/>
  <c r="CU608" i="29"/>
  <c r="CA608" i="29"/>
  <c r="CN618" i="29"/>
  <c r="DK626" i="29"/>
  <c r="CQ626" i="29"/>
  <c r="BR634" i="29"/>
  <c r="CN634" i="29"/>
  <c r="BU638" i="29"/>
  <c r="DF647" i="29"/>
  <c r="CV647" i="29"/>
  <c r="CY376" i="29"/>
  <c r="BT384" i="29"/>
  <c r="DL384" i="29"/>
  <c r="BT392" i="29"/>
  <c r="CX400" i="29"/>
  <c r="CW400" i="29"/>
  <c r="CE408" i="29"/>
  <c r="BQ408" i="29"/>
  <c r="CO420" i="29"/>
  <c r="CR428" i="29"/>
  <c r="CI428" i="29"/>
  <c r="CC436" i="29"/>
  <c r="CE446" i="29"/>
  <c r="BW446" i="29"/>
  <c r="BX454" i="29"/>
  <c r="CS466" i="29"/>
  <c r="CL466" i="29"/>
  <c r="DF473" i="29"/>
  <c r="DL204" i="29"/>
  <c r="CJ204" i="29"/>
  <c r="CQ212" i="29"/>
  <c r="CG212" i="29"/>
  <c r="CS224" i="29"/>
  <c r="CH232" i="29"/>
  <c r="CA232" i="29"/>
  <c r="CD240" i="29"/>
  <c r="BR248" i="29"/>
  <c r="DH248" i="29"/>
  <c r="CC256" i="29"/>
  <c r="CU270" i="29"/>
  <c r="BU270" i="29"/>
  <c r="CY278" i="29"/>
  <c r="DC278" i="29"/>
  <c r="CY286" i="29"/>
  <c r="DF299" i="29"/>
  <c r="CL299" i="29"/>
  <c r="DH550" i="29"/>
  <c r="CO558" i="29"/>
  <c r="DB558" i="29"/>
  <c r="DB566" i="29"/>
  <c r="BW578" i="29"/>
  <c r="DC578" i="29"/>
  <c r="CR586" i="29"/>
  <c r="DL594" i="29"/>
  <c r="CR594" i="29"/>
  <c r="BZ602" i="29"/>
  <c r="CZ602" i="29"/>
  <c r="DB616" i="29"/>
  <c r="DK624" i="29"/>
  <c r="DH624" i="29"/>
  <c r="CK632" i="29"/>
  <c r="BP640" i="29"/>
  <c r="CM640" i="29"/>
  <c r="DD649" i="29"/>
  <c r="BS374" i="29"/>
  <c r="CM374" i="29"/>
  <c r="BP382" i="29"/>
  <c r="BQ382" i="29"/>
  <c r="BW390" i="29"/>
  <c r="DF394" i="29"/>
  <c r="CQ394" i="29"/>
  <c r="CQ402" i="29"/>
  <c r="CR410" i="29"/>
  <c r="DL410" i="29"/>
  <c r="CA422" i="29"/>
  <c r="CT422" i="29"/>
  <c r="CD430" i="29"/>
  <c r="DH430" i="29"/>
  <c r="BZ440" i="29"/>
  <c r="DF440" i="29"/>
  <c r="CJ440" i="29"/>
  <c r="BV448" i="29"/>
  <c r="CN448" i="29"/>
  <c r="DJ456" i="29"/>
  <c r="CH456" i="29"/>
  <c r="BX464" i="29"/>
  <c r="DL464" i="29"/>
  <c r="CX464" i="29"/>
  <c r="CR469" i="29"/>
  <c r="CB469" i="29"/>
  <c r="BO474" i="29"/>
  <c r="BZ474" i="29"/>
  <c r="DG206" i="29"/>
  <c r="BR206" i="29"/>
  <c r="CC206" i="29"/>
  <c r="CR214" i="29"/>
  <c r="CD214" i="29"/>
  <c r="CD222" i="29"/>
  <c r="CM222" i="29"/>
  <c r="CQ230" i="29"/>
  <c r="DF230" i="29"/>
  <c r="BP230" i="29"/>
  <c r="BS238" i="29"/>
  <c r="CE238" i="29"/>
  <c r="CJ246" i="29"/>
  <c r="BY246" i="29"/>
  <c r="CV254" i="29"/>
  <c r="CZ254" i="29"/>
  <c r="BS254" i="29"/>
  <c r="BO262" i="29"/>
  <c r="DE262" i="29"/>
  <c r="CD272" i="29"/>
  <c r="CW272" i="29"/>
  <c r="BT280" i="29"/>
  <c r="DD280" i="29"/>
  <c r="DL280" i="29"/>
  <c r="CZ288" i="29"/>
  <c r="DH288" i="29"/>
  <c r="CV297" i="29"/>
  <c r="CW297" i="29"/>
  <c r="CP297" i="29"/>
  <c r="DA552" i="29"/>
  <c r="DD552" i="29"/>
  <c r="CE560" i="29"/>
  <c r="CA560" i="29"/>
  <c r="CI568" i="29"/>
  <c r="BW568" i="29"/>
  <c r="DH568" i="29"/>
  <c r="DE576" i="29"/>
  <c r="BX576" i="29"/>
  <c r="CE584" i="29"/>
  <c r="CY584" i="29"/>
  <c r="CL592" i="29"/>
  <c r="DJ592" i="29"/>
  <c r="CB592" i="29"/>
  <c r="CU600" i="29"/>
  <c r="BX600" i="29"/>
  <c r="CK604" i="29"/>
  <c r="DJ604" i="29"/>
  <c r="CL612" i="29"/>
  <c r="CK612" i="29"/>
  <c r="DH612" i="29"/>
  <c r="BZ622" i="29"/>
  <c r="CS622" i="29"/>
  <c r="DH630" i="29"/>
  <c r="BX630" i="29"/>
  <c r="DD642" i="29"/>
  <c r="CH642" i="29"/>
  <c r="DF642" i="29"/>
  <c r="BW651" i="29"/>
  <c r="DB651" i="29"/>
  <c r="DI724" i="29"/>
  <c r="CD724" i="29"/>
  <c r="DA728" i="29"/>
  <c r="DB728" i="29"/>
  <c r="DH728" i="29"/>
  <c r="BZ732" i="29"/>
  <c r="CR732" i="29"/>
  <c r="DJ736" i="29"/>
  <c r="DA736" i="29"/>
  <c r="CW740" i="29"/>
  <c r="DC740" i="29"/>
  <c r="DD740" i="29"/>
  <c r="BY744" i="29"/>
  <c r="BX744" i="29"/>
  <c r="BS748" i="29"/>
  <c r="DI748" i="29"/>
  <c r="BP748" i="29"/>
  <c r="DB752" i="29"/>
  <c r="CE752" i="29"/>
  <c r="DD752" i="29"/>
  <c r="DG756" i="29"/>
  <c r="BV756" i="29"/>
  <c r="CB756" i="29"/>
  <c r="BR760" i="29"/>
  <c r="CV760" i="29"/>
  <c r="DB760" i="29"/>
  <c r="BY764" i="29"/>
  <c r="DH764" i="29"/>
  <c r="CK764" i="29"/>
  <c r="DD768" i="29"/>
  <c r="CV768" i="29"/>
  <c r="CC768" i="29"/>
  <c r="BY772" i="29"/>
  <c r="DG772" i="29"/>
  <c r="DK772" i="29"/>
  <c r="CJ772" i="29"/>
  <c r="DH776" i="29"/>
  <c r="CP776" i="29"/>
  <c r="CN776" i="29"/>
  <c r="DK780" i="29"/>
  <c r="CG780" i="29"/>
  <c r="CN780" i="29"/>
  <c r="CA784" i="29"/>
  <c r="CZ784" i="29"/>
  <c r="CE784" i="29"/>
  <c r="CI790" i="29"/>
  <c r="CX790" i="29"/>
  <c r="BQ790" i="29"/>
  <c r="CO794" i="29"/>
  <c r="BW794" i="29"/>
  <c r="CR794" i="29"/>
  <c r="DJ798" i="29"/>
  <c r="DK798" i="29"/>
  <c r="CH798" i="29"/>
  <c r="CZ802" i="29"/>
  <c r="DI802" i="29"/>
  <c r="BP802" i="29"/>
  <c r="DJ806" i="29"/>
  <c r="DF806" i="29"/>
  <c r="CA806" i="29"/>
  <c r="CW806" i="29"/>
  <c r="CX810" i="29"/>
  <c r="BO810" i="29"/>
  <c r="CW810" i="29"/>
  <c r="BZ814" i="29"/>
  <c r="BS814" i="29"/>
  <c r="BT814" i="29"/>
  <c r="BY819" i="29"/>
  <c r="CM819" i="29"/>
  <c r="DI819" i="29"/>
  <c r="CR823" i="29"/>
  <c r="CH823" i="29"/>
  <c r="CT823" i="29"/>
  <c r="BO896" i="29"/>
  <c r="BU896" i="29"/>
  <c r="CR896" i="29"/>
  <c r="CI900" i="29"/>
  <c r="BZ900" i="29"/>
  <c r="CS900" i="29"/>
  <c r="CA904" i="29"/>
  <c r="DL904" i="29"/>
  <c r="BV904" i="29"/>
  <c r="CY908" i="29"/>
  <c r="CE908" i="29"/>
  <c r="CB908" i="29"/>
  <c r="DC908" i="29"/>
  <c r="CP912" i="29"/>
  <c r="BV912" i="29"/>
  <c r="CQ912" i="29"/>
  <c r="CR916" i="29"/>
  <c r="CE916" i="29"/>
  <c r="BU916" i="29"/>
  <c r="DK920" i="29"/>
  <c r="DF920" i="29"/>
  <c r="CX920" i="29"/>
  <c r="BX924" i="29"/>
  <c r="CY924" i="29"/>
  <c r="DK924" i="29"/>
  <c r="CJ928" i="29"/>
  <c r="CL928" i="29"/>
  <c r="BW928" i="29"/>
  <c r="BQ932" i="29"/>
  <c r="CI932" i="29"/>
  <c r="BP932" i="29"/>
  <c r="CF936" i="29"/>
  <c r="DG936" i="29"/>
  <c r="DC936" i="29"/>
  <c r="CS940" i="29"/>
  <c r="CO940" i="29"/>
  <c r="CJ940" i="29"/>
  <c r="CK940" i="29"/>
  <c r="CK944" i="29"/>
  <c r="CW944" i="29"/>
  <c r="DB944" i="29"/>
  <c r="CY948" i="29"/>
  <c r="CD948" i="29"/>
  <c r="CN948" i="29"/>
  <c r="BU952" i="29"/>
  <c r="CY952" i="29"/>
  <c r="DB952" i="29"/>
  <c r="CD956" i="29"/>
  <c r="CX956" i="29"/>
  <c r="CE956" i="29"/>
  <c r="BU960" i="29"/>
  <c r="DD960" i="29"/>
  <c r="DI960" i="29"/>
  <c r="DC966" i="29"/>
  <c r="DK966" i="29"/>
  <c r="CX966" i="29"/>
  <c r="CI970" i="29"/>
  <c r="CP970" i="29"/>
  <c r="DG970" i="29"/>
  <c r="CY974" i="29"/>
  <c r="CB974" i="29"/>
  <c r="DK974" i="29"/>
  <c r="DL974" i="29"/>
  <c r="DL978" i="29"/>
  <c r="BX978" i="29"/>
  <c r="BU978" i="29"/>
  <c r="DL982" i="29"/>
  <c r="DA982" i="29"/>
  <c r="BR982" i="29"/>
  <c r="BO986" i="29"/>
  <c r="CM986" i="29"/>
  <c r="CV986" i="29"/>
  <c r="CX990" i="29"/>
  <c r="BO990" i="29"/>
  <c r="DG990" i="29"/>
  <c r="CG995" i="29"/>
  <c r="DA995" i="29"/>
  <c r="CU995" i="29"/>
  <c r="CD999" i="29"/>
  <c r="CY999" i="29"/>
  <c r="CO999" i="29"/>
  <c r="BX375" i="29"/>
  <c r="DJ375" i="29"/>
  <c r="BR375" i="29"/>
  <c r="CB379" i="29"/>
  <c r="CL379" i="29"/>
  <c r="BT379" i="29"/>
  <c r="CZ379" i="29"/>
  <c r="BT383" i="29"/>
  <c r="CV383" i="29"/>
  <c r="CL383" i="29"/>
  <c r="CZ387" i="29"/>
  <c r="BR387" i="29"/>
  <c r="BZ387" i="29"/>
  <c r="CN391" i="29"/>
  <c r="CT391" i="29"/>
  <c r="CB391" i="29"/>
  <c r="CK395" i="29"/>
  <c r="DE395" i="29"/>
  <c r="DK395" i="29"/>
  <c r="BO399" i="29"/>
  <c r="CV399" i="29"/>
  <c r="DA399" i="29"/>
  <c r="CT403" i="29"/>
  <c r="CV403" i="29"/>
  <c r="DF403" i="29"/>
  <c r="CE407" i="29"/>
  <c r="DF407" i="29"/>
  <c r="CD407" i="29"/>
  <c r="CI411" i="29"/>
  <c r="DB411" i="29"/>
  <c r="CG411" i="29"/>
  <c r="CE411" i="29"/>
  <c r="CM415" i="29"/>
  <c r="CL415" i="29"/>
  <c r="CN415" i="29"/>
  <c r="CX419" i="29"/>
  <c r="DG419" i="29"/>
  <c r="BP419" i="29"/>
  <c r="DB423" i="29"/>
  <c r="BW423" i="29"/>
  <c r="DH423" i="29"/>
  <c r="BU427" i="29"/>
  <c r="CY427" i="29"/>
  <c r="CB427" i="29"/>
  <c r="CE431" i="29"/>
  <c r="CA431" i="29"/>
  <c r="CJ431" i="29"/>
  <c r="CG435" i="29"/>
  <c r="DC435" i="29"/>
  <c r="DA435" i="29"/>
  <c r="CQ441" i="29"/>
  <c r="CH441" i="29"/>
  <c r="BP441" i="29"/>
  <c r="CV445" i="29"/>
  <c r="CA445" i="29"/>
  <c r="DK445" i="29"/>
  <c r="CL445" i="29"/>
  <c r="CK449" i="29"/>
  <c r="BO449" i="29"/>
  <c r="CY449" i="29"/>
  <c r="CZ453" i="29"/>
  <c r="CG453" i="29"/>
  <c r="DC453" i="29"/>
  <c r="CJ457" i="29"/>
  <c r="BX457" i="29"/>
  <c r="BS457" i="29"/>
  <c r="CH461" i="29"/>
  <c r="DA461" i="29"/>
  <c r="CM461" i="29"/>
  <c r="CC465" i="29"/>
  <c r="CB465" i="29"/>
  <c r="BY465" i="29"/>
  <c r="CC470" i="29"/>
  <c r="DG470" i="29"/>
  <c r="DD470" i="29"/>
  <c r="BS199" i="29"/>
  <c r="DH199" i="29"/>
  <c r="BZ199" i="29"/>
  <c r="DK203" i="29"/>
  <c r="CW203" i="29"/>
  <c r="BT203" i="29"/>
  <c r="BZ203" i="29"/>
  <c r="DC207" i="29"/>
  <c r="CD207" i="29"/>
  <c r="CB207" i="29"/>
  <c r="CX211" i="29"/>
  <c r="CV211" i="29"/>
  <c r="CO211" i="29"/>
  <c r="CF215" i="29"/>
  <c r="DD215" i="29"/>
  <c r="BT215" i="29"/>
  <c r="BP219" i="29"/>
  <c r="DF219" i="29"/>
  <c r="CJ219" i="29"/>
  <c r="CS223" i="29"/>
  <c r="CP223" i="29"/>
  <c r="CW223" i="29"/>
  <c r="CC227" i="29"/>
  <c r="CP227" i="29"/>
  <c r="CX227" i="29"/>
  <c r="CT231" i="29"/>
  <c r="DL231" i="29"/>
  <c r="CE231" i="29"/>
  <c r="CI235" i="29"/>
  <c r="BX235" i="29"/>
  <c r="BO235" i="29"/>
  <c r="CK235" i="29"/>
  <c r="BZ239" i="29"/>
  <c r="DI239" i="29"/>
  <c r="BV239" i="29"/>
  <c r="DJ243" i="29"/>
  <c r="CF243" i="29"/>
  <c r="DF243" i="29"/>
  <c r="DJ247" i="29"/>
  <c r="BS247" i="29"/>
  <c r="DF247" i="29"/>
  <c r="CO251" i="29"/>
  <c r="BV251" i="29"/>
  <c r="CJ251" i="29"/>
  <c r="CE255" i="29"/>
  <c r="CB255" i="29"/>
  <c r="CG255" i="29"/>
  <c r="CP259" i="29"/>
  <c r="DD259" i="29"/>
  <c r="CR259" i="29"/>
  <c r="CX263" i="29"/>
  <c r="CV263" i="29"/>
  <c r="CM263" i="29"/>
  <c r="CL269" i="29"/>
  <c r="CC269" i="29"/>
  <c r="CG269" i="29"/>
  <c r="CV269" i="29"/>
  <c r="CI273" i="29"/>
  <c r="CR273" i="29"/>
  <c r="CG273" i="29"/>
  <c r="BS277" i="29"/>
  <c r="BT277" i="29"/>
  <c r="CL277" i="29"/>
  <c r="CU281" i="29"/>
  <c r="DE281" i="29"/>
  <c r="DD281" i="29"/>
  <c r="DC285" i="29"/>
  <c r="BV285" i="29"/>
  <c r="CK285" i="29"/>
  <c r="BZ289" i="29"/>
  <c r="CK289" i="29"/>
  <c r="CT289" i="29"/>
  <c r="DA293" i="29"/>
  <c r="DK293" i="29"/>
  <c r="CH293" i="29"/>
  <c r="CF298" i="29"/>
  <c r="CC298" i="29"/>
  <c r="DG298" i="29"/>
  <c r="DK302" i="29"/>
  <c r="CF302" i="29"/>
  <c r="CL302" i="29"/>
  <c r="BU302" i="29"/>
  <c r="BV549" i="29"/>
  <c r="CV549" i="29"/>
  <c r="CA549" i="29"/>
  <c r="BS553" i="29"/>
  <c r="BW553" i="29"/>
  <c r="DK553" i="29"/>
  <c r="DB557" i="29"/>
  <c r="DC557" i="29"/>
  <c r="DL557" i="29"/>
  <c r="BQ561" i="29"/>
  <c r="BZ561" i="29"/>
  <c r="BX561" i="29"/>
  <c r="CE565" i="29"/>
  <c r="CT565" i="29"/>
  <c r="CF565" i="29"/>
  <c r="DG569" i="29"/>
  <c r="BV569" i="29"/>
  <c r="BZ569" i="29"/>
  <c r="DA573" i="29"/>
  <c r="BW573" i="29"/>
  <c r="DE573" i="29"/>
  <c r="DF577" i="29"/>
  <c r="CQ577" i="29"/>
  <c r="DC577" i="29"/>
  <c r="CF577" i="29"/>
  <c r="CJ581" i="29"/>
  <c r="BU581" i="29"/>
  <c r="BS581" i="29"/>
  <c r="BZ585" i="29"/>
  <c r="CE585" i="29"/>
  <c r="BQ585" i="29"/>
  <c r="CC589" i="29"/>
  <c r="CN589" i="29"/>
  <c r="BR589" i="29"/>
  <c r="DG593" i="29"/>
  <c r="CM593" i="29"/>
  <c r="BX593" i="29"/>
  <c r="CS597" i="29"/>
  <c r="DA597" i="29"/>
  <c r="DB597" i="29"/>
  <c r="CR601" i="29"/>
  <c r="CU601" i="29"/>
  <c r="CV601" i="29"/>
  <c r="DJ605" i="29"/>
  <c r="CR605" i="29"/>
  <c r="DB605" i="29"/>
  <c r="CT609" i="29"/>
  <c r="CP609" i="29"/>
  <c r="BX609" i="29"/>
  <c r="CV609" i="29"/>
  <c r="DF613" i="29"/>
  <c r="CM613" i="29"/>
  <c r="CJ613" i="29"/>
  <c r="CQ619" i="29"/>
  <c r="DA619" i="29"/>
  <c r="CW619" i="29"/>
  <c r="CY623" i="29"/>
  <c r="CE623" i="29"/>
  <c r="BT623" i="29"/>
  <c r="CB627" i="29"/>
  <c r="CM627" i="29"/>
  <c r="DC627" i="29"/>
  <c r="DJ631" i="29"/>
  <c r="CH631" i="29"/>
  <c r="CA631" i="29"/>
  <c r="CR635" i="29"/>
  <c r="BX635" i="29"/>
  <c r="CX635" i="29"/>
  <c r="DA639" i="29"/>
  <c r="DE639" i="29"/>
  <c r="CQ639" i="29"/>
  <c r="DG643" i="29"/>
  <c r="BR643" i="29"/>
  <c r="BS643" i="29"/>
  <c r="CZ643" i="29"/>
  <c r="CB648" i="29"/>
  <c r="DA648" i="29"/>
  <c r="DK648" i="29"/>
  <c r="CP652" i="29"/>
  <c r="DH652" i="29"/>
  <c r="DC652" i="29"/>
  <c r="CH725" i="29"/>
  <c r="CJ725" i="29"/>
  <c r="CR725" i="29"/>
  <c r="CR729" i="29"/>
  <c r="CA729" i="29"/>
  <c r="CG729" i="29"/>
  <c r="BX733" i="29"/>
  <c r="DJ733" i="29"/>
  <c r="CK733" i="29"/>
  <c r="CC737" i="29"/>
  <c r="CB737" i="29"/>
  <c r="CX737" i="29"/>
  <c r="CC741" i="29"/>
  <c r="DG741" i="29"/>
  <c r="DF741" i="29"/>
  <c r="BQ745" i="29"/>
  <c r="CA745" i="29"/>
  <c r="DK745" i="29"/>
  <c r="CK745" i="29"/>
  <c r="BZ749" i="29"/>
  <c r="CY749" i="29"/>
  <c r="DG749" i="29"/>
  <c r="DG753" i="29"/>
  <c r="CG753" i="29"/>
  <c r="CU753" i="29"/>
  <c r="CB757" i="29"/>
  <c r="CU757" i="29"/>
  <c r="CS757" i="29"/>
  <c r="CU761" i="29"/>
  <c r="CR761" i="29"/>
  <c r="BV761" i="29"/>
  <c r="BX765" i="29"/>
  <c r="CM765" i="29"/>
  <c r="CP765" i="29"/>
  <c r="DD769" i="29"/>
  <c r="BU769" i="29"/>
  <c r="DB769" i="29"/>
  <c r="CN773" i="29"/>
  <c r="BS773" i="29"/>
  <c r="CP773" i="29"/>
  <c r="BP777" i="29"/>
  <c r="BW777" i="29"/>
  <c r="BQ777" i="29"/>
  <c r="CE777" i="29"/>
  <c r="CL781" i="29"/>
  <c r="CN781" i="29"/>
  <c r="BW781" i="29"/>
  <c r="CQ785" i="29"/>
  <c r="BS785" i="29"/>
  <c r="CD785" i="29"/>
  <c r="DK791" i="29"/>
  <c r="BW791" i="29"/>
  <c r="CG791" i="29"/>
  <c r="CT795" i="29"/>
  <c r="BW795" i="29"/>
  <c r="DG795" i="29"/>
  <c r="CM799" i="29"/>
  <c r="BS799" i="29"/>
  <c r="BT799" i="29"/>
  <c r="CX803" i="29"/>
  <c r="BX803" i="29"/>
  <c r="CT803" i="29"/>
  <c r="DA807" i="29"/>
  <c r="DF807" i="29"/>
  <c r="CY807" i="29"/>
  <c r="CZ811" i="29"/>
  <c r="DE811" i="29"/>
  <c r="DJ811" i="29"/>
  <c r="CQ811" i="29"/>
  <c r="CG815" i="29"/>
  <c r="BV815" i="29"/>
  <c r="CH815" i="29"/>
  <c r="CY820" i="29"/>
  <c r="CX820" i="29"/>
  <c r="CB820" i="29"/>
  <c r="DB824" i="29"/>
  <c r="DK824" i="29"/>
  <c r="CA824" i="29"/>
  <c r="CU897" i="29"/>
  <c r="CY897" i="29"/>
  <c r="BP897" i="29"/>
  <c r="DF901" i="29"/>
  <c r="DB901" i="29"/>
  <c r="CG901" i="29"/>
  <c r="CD905" i="29"/>
  <c r="DK905" i="29"/>
  <c r="BX905" i="29"/>
  <c r="CP909" i="29"/>
  <c r="CM909" i="29"/>
  <c r="BY909" i="29"/>
  <c r="DC913" i="29"/>
  <c r="BO913" i="29"/>
  <c r="DG913" i="29"/>
  <c r="CH913" i="29"/>
  <c r="CO917" i="29"/>
  <c r="DF917" i="29"/>
  <c r="CC917" i="29"/>
  <c r="BT921" i="29"/>
  <c r="BV921" i="29"/>
  <c r="CU921" i="29"/>
  <c r="CI925" i="29"/>
  <c r="DA925" i="29"/>
  <c r="CZ925" i="29"/>
  <c r="BS929" i="29"/>
  <c r="CR929" i="29"/>
  <c r="CB929" i="29"/>
  <c r="BT933" i="29"/>
  <c r="CA933" i="29"/>
  <c r="DD933" i="29"/>
  <c r="DD937" i="29"/>
  <c r="BR937" i="29"/>
  <c r="CW937" i="29"/>
  <c r="BU941" i="29"/>
  <c r="DD941" i="29"/>
  <c r="CC941" i="29"/>
  <c r="CU945" i="29"/>
  <c r="BS945" i="29"/>
  <c r="DC945" i="29"/>
  <c r="CA945" i="29"/>
  <c r="BW949" i="29"/>
  <c r="DD949" i="29"/>
  <c r="CK949" i="29"/>
  <c r="BX953" i="29"/>
  <c r="BU953" i="29"/>
  <c r="DH953" i="29"/>
  <c r="DG957" i="29"/>
  <c r="CU957" i="29"/>
  <c r="BQ957" i="29"/>
  <c r="BR963" i="29"/>
  <c r="CQ963" i="29"/>
  <c r="BP963" i="29"/>
  <c r="CC967" i="29"/>
  <c r="BY967" i="29"/>
  <c r="CN967" i="29"/>
  <c r="CT971" i="29"/>
  <c r="CW971" i="29"/>
  <c r="DA971" i="29"/>
  <c r="CU971" i="29"/>
  <c r="BO971" i="29"/>
  <c r="CR971" i="29"/>
  <c r="DF975" i="29"/>
  <c r="AC301" i="115"/>
  <c r="Q301" i="115"/>
  <c r="R301" i="115" s="1"/>
  <c r="AD301" i="115"/>
  <c r="P302" i="115"/>
  <c r="T237" i="115"/>
  <c r="W237" i="115" s="1"/>
  <c r="X237" i="115" s="1"/>
  <c r="V237" i="115"/>
  <c r="AC112" i="115"/>
  <c r="Q112" i="115"/>
  <c r="R112" i="115" s="1"/>
  <c r="AD112" i="115"/>
  <c r="P113" i="115"/>
  <c r="U111" i="115"/>
  <c r="S111" i="115"/>
  <c r="V110" i="115"/>
  <c r="T110" i="115"/>
  <c r="W110" i="115" s="1"/>
  <c r="X110" i="115" s="1"/>
  <c r="U238" i="115"/>
  <c r="S238" i="115"/>
  <c r="AC239" i="115"/>
  <c r="Q239" i="115"/>
  <c r="R239" i="115" s="1"/>
  <c r="AD239" i="115"/>
  <c r="P240" i="115"/>
  <c r="V299" i="115"/>
  <c r="T299" i="115"/>
  <c r="W299" i="115" s="1"/>
  <c r="X299" i="115" s="1"/>
  <c r="U300" i="115"/>
  <c r="S300" i="115"/>
  <c r="U437" i="29"/>
  <c r="U613" i="29"/>
  <c r="U615" i="29"/>
  <c r="Q615" i="29"/>
  <c r="S615" i="29"/>
  <c r="R615" i="29"/>
  <c r="T615" i="29"/>
  <c r="P615" i="29"/>
  <c r="S614" i="29"/>
  <c r="Q614" i="29"/>
  <c r="R614" i="29"/>
  <c r="T614" i="29"/>
  <c r="P614" i="29"/>
  <c r="Q439" i="29"/>
  <c r="T439" i="29"/>
  <c r="R439" i="29"/>
  <c r="S439" i="29"/>
  <c r="P439" i="29"/>
  <c r="Q788" i="29"/>
  <c r="R788" i="29"/>
  <c r="P788" i="29"/>
  <c r="T788" i="29"/>
  <c r="S788" i="29"/>
  <c r="T438" i="29"/>
  <c r="R438" i="29"/>
  <c r="P438" i="29"/>
  <c r="Q438" i="29"/>
  <c r="S438" i="29"/>
  <c r="Q961" i="29"/>
  <c r="P961" i="29"/>
  <c r="S961" i="29"/>
  <c r="T961" i="29"/>
  <c r="R961" i="29"/>
  <c r="Q962" i="29"/>
  <c r="S962" i="29"/>
  <c r="T962" i="29"/>
  <c r="P962" i="29"/>
  <c r="R962" i="29"/>
  <c r="R789" i="29"/>
  <c r="P789" i="29"/>
  <c r="Q789" i="29"/>
  <c r="T789" i="29"/>
  <c r="S789" i="29"/>
  <c r="U265" i="29"/>
  <c r="R265" i="29"/>
  <c r="S265" i="29"/>
  <c r="P265" i="29"/>
  <c r="T265" i="29"/>
  <c r="Q265" i="29"/>
  <c r="U264" i="29"/>
  <c r="S264" i="29"/>
  <c r="Q264" i="29"/>
  <c r="P264" i="29"/>
  <c r="T264" i="29"/>
  <c r="R264" i="29"/>
  <c r="U49" i="115"/>
  <c r="AC50" i="115"/>
  <c r="P51" i="115"/>
  <c r="AD50" i="115"/>
  <c r="V48" i="115"/>
  <c r="W48" i="115"/>
  <c r="X48" i="115" s="1"/>
  <c r="AH916" i="29"/>
  <c r="AI916" i="29" s="1"/>
  <c r="AJ916" i="29" s="1"/>
  <c r="AG917" i="29" s="1"/>
  <c r="K490" i="29"/>
  <c r="Q473" i="29"/>
  <c r="R473" i="29"/>
  <c r="T473" i="29"/>
  <c r="P473" i="29"/>
  <c r="S473" i="29"/>
  <c r="Q633" i="29"/>
  <c r="S633" i="29"/>
  <c r="R633" i="29"/>
  <c r="P633" i="29"/>
  <c r="T633" i="29"/>
  <c r="T565" i="29"/>
  <c r="S565" i="29"/>
  <c r="Q565" i="29"/>
  <c r="P565" i="29"/>
  <c r="R565" i="29"/>
  <c r="S993" i="29"/>
  <c r="Q993" i="29"/>
  <c r="T993" i="29"/>
  <c r="P993" i="29"/>
  <c r="R993" i="29"/>
  <c r="T950" i="29"/>
  <c r="R950" i="29"/>
  <c r="S950" i="29"/>
  <c r="Q950" i="29"/>
  <c r="P950" i="29"/>
  <c r="P948" i="29"/>
  <c r="R948" i="29"/>
  <c r="S948" i="29"/>
  <c r="Q948" i="29"/>
  <c r="T948" i="29"/>
  <c r="R382" i="29"/>
  <c r="S382" i="29"/>
  <c r="P382" i="29"/>
  <c r="T382" i="29"/>
  <c r="Q382" i="29"/>
  <c r="R385" i="29"/>
  <c r="S385" i="29"/>
  <c r="Q385" i="29"/>
  <c r="T385" i="29"/>
  <c r="P385" i="29"/>
  <c r="Q428" i="29"/>
  <c r="P428" i="29"/>
  <c r="R428" i="29"/>
  <c r="S428" i="29"/>
  <c r="T428" i="29"/>
  <c r="R379" i="29"/>
  <c r="Q379" i="29"/>
  <c r="T379" i="29"/>
  <c r="P379" i="29"/>
  <c r="S379" i="29"/>
  <c r="E75" i="29"/>
  <c r="P443" i="29"/>
  <c r="S443" i="29"/>
  <c r="Q443" i="29"/>
  <c r="R443" i="29"/>
  <c r="T443" i="29"/>
  <c r="P395" i="29"/>
  <c r="S395" i="29"/>
  <c r="Q395" i="29"/>
  <c r="R395" i="29"/>
  <c r="T395" i="29"/>
  <c r="T447" i="29"/>
  <c r="P447" i="29"/>
  <c r="S447" i="29"/>
  <c r="Q447" i="29"/>
  <c r="R447" i="29"/>
  <c r="S399" i="29"/>
  <c r="Q399" i="29"/>
  <c r="R399" i="29"/>
  <c r="T399" i="29"/>
  <c r="P399" i="29"/>
  <c r="P437" i="29"/>
  <c r="Q437" i="29"/>
  <c r="T437" i="29"/>
  <c r="S437" i="29"/>
  <c r="R437" i="29"/>
  <c r="S639" i="29"/>
  <c r="R639" i="29"/>
  <c r="T639" i="29"/>
  <c r="Q639" i="29"/>
  <c r="P639" i="29"/>
  <c r="P601" i="29"/>
  <c r="R601" i="29"/>
  <c r="Q601" i="29"/>
  <c r="T601" i="29"/>
  <c r="S601" i="29"/>
  <c r="P567" i="29"/>
  <c r="T567" i="29"/>
  <c r="S567" i="29"/>
  <c r="R567" i="29"/>
  <c r="Q567" i="29"/>
  <c r="T381" i="29"/>
  <c r="S381" i="29"/>
  <c r="P381" i="29"/>
  <c r="R381" i="29"/>
  <c r="Q381" i="29"/>
  <c r="P599" i="29"/>
  <c r="R599" i="29"/>
  <c r="T599" i="29"/>
  <c r="Q599" i="29"/>
  <c r="S599" i="29"/>
  <c r="R578" i="29"/>
  <c r="T578" i="29"/>
  <c r="Q578" i="29"/>
  <c r="P578" i="29"/>
  <c r="S578" i="29"/>
  <c r="T801" i="29"/>
  <c r="S801" i="29"/>
  <c r="R801" i="29"/>
  <c r="Q801" i="29"/>
  <c r="P801" i="29"/>
  <c r="R754" i="29"/>
  <c r="T754" i="29"/>
  <c r="Q754" i="29"/>
  <c r="S754" i="29"/>
  <c r="P754" i="29"/>
  <c r="T963" i="29"/>
  <c r="Q963" i="29"/>
  <c r="P963" i="29"/>
  <c r="S963" i="29"/>
  <c r="R963" i="29"/>
  <c r="T945" i="29"/>
  <c r="S945" i="29"/>
  <c r="Q945" i="29"/>
  <c r="P945" i="29"/>
  <c r="R945" i="29"/>
  <c r="R743" i="29"/>
  <c r="P743" i="29"/>
  <c r="S743" i="29"/>
  <c r="Q743" i="29"/>
  <c r="T743" i="29"/>
  <c r="S986" i="29"/>
  <c r="R986" i="29"/>
  <c r="Q986" i="29"/>
  <c r="T986" i="29"/>
  <c r="P986" i="29"/>
  <c r="P805" i="29"/>
  <c r="S805" i="29"/>
  <c r="R805" i="29"/>
  <c r="Q805" i="29"/>
  <c r="T805" i="29"/>
  <c r="P753" i="29"/>
  <c r="Q753" i="29"/>
  <c r="S753" i="29"/>
  <c r="T753" i="29"/>
  <c r="R753" i="29"/>
  <c r="Q957" i="29"/>
  <c r="S957" i="29"/>
  <c r="P957" i="29"/>
  <c r="R957" i="29"/>
  <c r="T957" i="29"/>
  <c r="T756" i="29"/>
  <c r="Q756" i="29"/>
  <c r="S756" i="29"/>
  <c r="R756" i="29"/>
  <c r="P756" i="29"/>
  <c r="R995" i="29"/>
  <c r="P995" i="29"/>
  <c r="S995" i="29"/>
  <c r="Q995" i="29"/>
  <c r="T995" i="29"/>
  <c r="P901" i="29"/>
  <c r="R901" i="29"/>
  <c r="Q901" i="29"/>
  <c r="T901" i="29"/>
  <c r="S901" i="29"/>
  <c r="S426" i="29"/>
  <c r="Q426" i="29"/>
  <c r="R426" i="29"/>
  <c r="P426" i="29"/>
  <c r="T426" i="29"/>
  <c r="R446" i="29"/>
  <c r="Q446" i="29"/>
  <c r="S446" i="29"/>
  <c r="P446" i="29"/>
  <c r="T446" i="29"/>
  <c r="S472" i="29"/>
  <c r="Q472" i="29"/>
  <c r="T472" i="29"/>
  <c r="P472" i="29"/>
  <c r="R472" i="29"/>
  <c r="S380" i="29"/>
  <c r="T380" i="29"/>
  <c r="P380" i="29"/>
  <c r="Q380" i="29"/>
  <c r="R380" i="29"/>
  <c r="T396" i="29"/>
  <c r="R396" i="29"/>
  <c r="S396" i="29"/>
  <c r="Q396" i="29"/>
  <c r="P396" i="29"/>
  <c r="T406" i="29"/>
  <c r="R406" i="29"/>
  <c r="S406" i="29"/>
  <c r="Q406" i="29"/>
  <c r="P406" i="29"/>
  <c r="S430" i="29"/>
  <c r="P430" i="29"/>
  <c r="R430" i="29"/>
  <c r="T430" i="29"/>
  <c r="Q430" i="29"/>
  <c r="R421" i="29"/>
  <c r="T421" i="29"/>
  <c r="Q421" i="29"/>
  <c r="S421" i="29"/>
  <c r="T442" i="29"/>
  <c r="Q442" i="29"/>
  <c r="S442" i="29"/>
  <c r="R442" i="29"/>
  <c r="P442" i="29"/>
  <c r="S456" i="29"/>
  <c r="T456" i="29"/>
  <c r="Q456" i="29"/>
  <c r="P456" i="29"/>
  <c r="R456" i="29"/>
  <c r="T376" i="29"/>
  <c r="S376" i="29"/>
  <c r="R376" i="29"/>
  <c r="Q376" i="29"/>
  <c r="P376" i="29"/>
  <c r="T394" i="29"/>
  <c r="S394" i="29"/>
  <c r="Q394" i="29"/>
  <c r="P394" i="29"/>
  <c r="R394" i="29"/>
  <c r="S405" i="29"/>
  <c r="T405" i="29"/>
  <c r="P405" i="29"/>
  <c r="Q405" i="29"/>
  <c r="R405" i="29"/>
  <c r="Q416" i="29"/>
  <c r="P416" i="29"/>
  <c r="S416" i="29"/>
  <c r="R416" i="29"/>
  <c r="T416" i="29"/>
  <c r="T457" i="29"/>
  <c r="Q457" i="29"/>
  <c r="P457" i="29"/>
  <c r="S457" i="29"/>
  <c r="R457" i="29"/>
  <c r="R377" i="29"/>
  <c r="T377" i="29"/>
  <c r="Q377" i="29"/>
  <c r="P377" i="29"/>
  <c r="S377" i="29"/>
  <c r="R415" i="29"/>
  <c r="S415" i="29"/>
  <c r="P415" i="29"/>
  <c r="Q415" i="29"/>
  <c r="T415" i="29"/>
  <c r="T427" i="29"/>
  <c r="Q427" i="29"/>
  <c r="S427" i="29"/>
  <c r="R427" i="29"/>
  <c r="Q459" i="29"/>
  <c r="R459" i="29"/>
  <c r="T459" i="29"/>
  <c r="P459" i="29"/>
  <c r="S459" i="29"/>
  <c r="R586" i="29"/>
  <c r="S586" i="29"/>
  <c r="Q586" i="29"/>
  <c r="T586" i="29"/>
  <c r="P586" i="29"/>
  <c r="R594" i="29"/>
  <c r="S594" i="29"/>
  <c r="T594" i="29"/>
  <c r="P594" i="29"/>
  <c r="Q594" i="29"/>
  <c r="T605" i="29"/>
  <c r="R605" i="29"/>
  <c r="S605" i="29"/>
  <c r="P605" i="29"/>
  <c r="Q605" i="29"/>
  <c r="T619" i="29"/>
  <c r="Q619" i="29"/>
  <c r="P619" i="29"/>
  <c r="S619" i="29"/>
  <c r="R619" i="29"/>
  <c r="Q652" i="29"/>
  <c r="P652" i="29"/>
  <c r="S652" i="29"/>
  <c r="T652" i="29"/>
  <c r="R652" i="29"/>
  <c r="R575" i="29"/>
  <c r="S575" i="29"/>
  <c r="Q575" i="29"/>
  <c r="T575" i="29"/>
  <c r="P575" i="29"/>
  <c r="R585" i="29"/>
  <c r="P585" i="29"/>
  <c r="Q585" i="29"/>
  <c r="T585" i="29"/>
  <c r="S585" i="29"/>
  <c r="P608" i="29"/>
  <c r="T608" i="29"/>
  <c r="R608" i="29"/>
  <c r="S608" i="29"/>
  <c r="Q608" i="29"/>
  <c r="R632" i="29"/>
  <c r="T632" i="29"/>
  <c r="P632" i="29"/>
  <c r="S632" i="29"/>
  <c r="Q632" i="29"/>
  <c r="P476" i="29"/>
  <c r="T476" i="29"/>
  <c r="S476" i="29"/>
  <c r="R476" i="29"/>
  <c r="Q476" i="29"/>
  <c r="Q610" i="29"/>
  <c r="S610" i="29"/>
  <c r="T610" i="29"/>
  <c r="P610" i="29"/>
  <c r="R610" i="29"/>
  <c r="Q637" i="29"/>
  <c r="R637" i="29"/>
  <c r="T637" i="29"/>
  <c r="P637" i="29"/>
  <c r="S637" i="29"/>
  <c r="S651" i="29"/>
  <c r="P651" i="29"/>
  <c r="R651" i="29"/>
  <c r="Q651" i="29"/>
  <c r="T651" i="29"/>
  <c r="P563" i="29"/>
  <c r="R563" i="29"/>
  <c r="S563" i="29"/>
  <c r="Q563" i="29"/>
  <c r="T563" i="29"/>
  <c r="P571" i="29"/>
  <c r="S571" i="29"/>
  <c r="R571" i="29"/>
  <c r="Q571" i="29"/>
  <c r="T571" i="29"/>
  <c r="R581" i="29"/>
  <c r="T581" i="29"/>
  <c r="Q581" i="29"/>
  <c r="P581" i="29"/>
  <c r="S581" i="29"/>
  <c r="R611" i="29"/>
  <c r="Q611" i="29"/>
  <c r="T611" i="29"/>
  <c r="P611" i="29"/>
  <c r="S611" i="29"/>
  <c r="R623" i="29"/>
  <c r="P623" i="29"/>
  <c r="T623" i="29"/>
  <c r="S623" i="29"/>
  <c r="Q623" i="29"/>
  <c r="R634" i="29"/>
  <c r="T634" i="29"/>
  <c r="S634" i="29"/>
  <c r="Q634" i="29"/>
  <c r="P634" i="29"/>
  <c r="S646" i="29"/>
  <c r="P646" i="29"/>
  <c r="T646" i="29"/>
  <c r="R646" i="29"/>
  <c r="Q646" i="29"/>
  <c r="R724" i="29"/>
  <c r="Q724" i="29"/>
  <c r="S724" i="29"/>
  <c r="P724" i="29"/>
  <c r="T724" i="29"/>
  <c r="R733" i="29"/>
  <c r="P733" i="29"/>
  <c r="T733" i="29"/>
  <c r="S733" i="29"/>
  <c r="Q733" i="29"/>
  <c r="Q795" i="29"/>
  <c r="T795" i="29"/>
  <c r="R795" i="29"/>
  <c r="S795" i="29"/>
  <c r="P795" i="29"/>
  <c r="R817" i="29"/>
  <c r="S817" i="29"/>
  <c r="Q817" i="29"/>
  <c r="P817" i="29"/>
  <c r="T817" i="29"/>
  <c r="T736" i="29"/>
  <c r="Q736" i="29"/>
  <c r="R736" i="29"/>
  <c r="S736" i="29"/>
  <c r="P736" i="29"/>
  <c r="R748" i="29"/>
  <c r="P748" i="29"/>
  <c r="T748" i="29"/>
  <c r="S748" i="29"/>
  <c r="Q748" i="29"/>
  <c r="Q766" i="29"/>
  <c r="P766" i="29"/>
  <c r="T766" i="29"/>
  <c r="R766" i="29"/>
  <c r="S766" i="29"/>
  <c r="Q774" i="29"/>
  <c r="P774" i="29"/>
  <c r="S774" i="29"/>
  <c r="T774" i="29"/>
  <c r="R774" i="29"/>
  <c r="Q784" i="29"/>
  <c r="T784" i="29"/>
  <c r="R784" i="29"/>
  <c r="S784" i="29"/>
  <c r="P784" i="29"/>
  <c r="S808" i="29"/>
  <c r="R808" i="29"/>
  <c r="Q808" i="29"/>
  <c r="T808" i="29"/>
  <c r="P808" i="29"/>
  <c r="Q727" i="29"/>
  <c r="P727" i="29"/>
  <c r="R727" i="29"/>
  <c r="S727" i="29"/>
  <c r="T727" i="29"/>
  <c r="R735" i="29"/>
  <c r="S735" i="29"/>
  <c r="T735" i="29"/>
  <c r="Q735" i="29"/>
  <c r="P735" i="29"/>
  <c r="R790" i="29"/>
  <c r="S790" i="29"/>
  <c r="Q790" i="29"/>
  <c r="P790" i="29"/>
  <c r="T790" i="29"/>
  <c r="R813" i="29"/>
  <c r="S813" i="29"/>
  <c r="P813" i="29"/>
  <c r="Q813" i="29"/>
  <c r="T813" i="29"/>
  <c r="R730" i="29"/>
  <c r="T730" i="29"/>
  <c r="P730" i="29"/>
  <c r="S730" i="29"/>
  <c r="Q730" i="29"/>
  <c r="T738" i="29"/>
  <c r="R738" i="29"/>
  <c r="P738" i="29"/>
  <c r="Q738" i="29"/>
  <c r="S738" i="29"/>
  <c r="P780" i="29"/>
  <c r="Q780" i="29"/>
  <c r="S780" i="29"/>
  <c r="T780" i="29"/>
  <c r="R780" i="29"/>
  <c r="T800" i="29"/>
  <c r="P800" i="29"/>
  <c r="Q800" i="29"/>
  <c r="R800" i="29"/>
  <c r="S800" i="29"/>
  <c r="T823" i="29"/>
  <c r="S823" i="29"/>
  <c r="R823" i="29"/>
  <c r="P823" i="29"/>
  <c r="Q823" i="29"/>
  <c r="T904" i="29"/>
  <c r="R904" i="29"/>
  <c r="Q904" i="29"/>
  <c r="P904" i="29"/>
  <c r="S904" i="29"/>
  <c r="T960" i="29"/>
  <c r="Q960" i="29"/>
  <c r="R960" i="29"/>
  <c r="P960" i="29"/>
  <c r="S960" i="29"/>
  <c r="P982" i="29"/>
  <c r="S982" i="29"/>
  <c r="R982" i="29"/>
  <c r="T982" i="29"/>
  <c r="Q982" i="29"/>
  <c r="R940" i="29"/>
  <c r="P940" i="29"/>
  <c r="Q940" i="29"/>
  <c r="S940" i="29"/>
  <c r="T940" i="29"/>
  <c r="R947" i="29"/>
  <c r="Q947" i="29"/>
  <c r="T947" i="29"/>
  <c r="P947" i="29"/>
  <c r="S947" i="29"/>
  <c r="T966" i="29"/>
  <c r="Q966" i="29"/>
  <c r="R966" i="29"/>
  <c r="S966" i="29"/>
  <c r="P966" i="29"/>
  <c r="Q987" i="29"/>
  <c r="P987" i="29"/>
  <c r="R987" i="29"/>
  <c r="T987" i="29"/>
  <c r="S987" i="29"/>
  <c r="S977" i="29"/>
  <c r="P977" i="29"/>
  <c r="R977" i="29"/>
  <c r="Q977" i="29"/>
  <c r="T977" i="29"/>
  <c r="S994" i="29"/>
  <c r="T994" i="29"/>
  <c r="P994" i="29"/>
  <c r="R994" i="29"/>
  <c r="Q994" i="29"/>
  <c r="T912" i="29"/>
  <c r="R912" i="29"/>
  <c r="Q912" i="29"/>
  <c r="P912" i="29"/>
  <c r="S912" i="29"/>
  <c r="Q920" i="29"/>
  <c r="R920" i="29"/>
  <c r="P920" i="29"/>
  <c r="S920" i="29"/>
  <c r="T920" i="29"/>
  <c r="P928" i="29"/>
  <c r="R928" i="29"/>
  <c r="Q928" i="29"/>
  <c r="T928" i="29"/>
  <c r="S928" i="29"/>
  <c r="Q951" i="29"/>
  <c r="R951" i="29"/>
  <c r="T951" i="29"/>
  <c r="P951" i="29"/>
  <c r="S951" i="29"/>
  <c r="T968" i="29"/>
  <c r="P968" i="29"/>
  <c r="R968" i="29"/>
  <c r="S968" i="29"/>
  <c r="Q968" i="29"/>
  <c r="R990" i="29"/>
  <c r="S990" i="29"/>
  <c r="T990" i="29"/>
  <c r="Q990" i="29"/>
  <c r="P990" i="29"/>
  <c r="Q383" i="29"/>
  <c r="T383" i="29"/>
  <c r="R383" i="29"/>
  <c r="S383" i="29"/>
  <c r="P383" i="29"/>
  <c r="Q592" i="29"/>
  <c r="T592" i="29"/>
  <c r="S592" i="29"/>
  <c r="P592" i="29"/>
  <c r="R592" i="29"/>
  <c r="Q953" i="29"/>
  <c r="S953" i="29"/>
  <c r="T953" i="29"/>
  <c r="P953" i="29"/>
  <c r="R953" i="29"/>
  <c r="T999" i="29"/>
  <c r="S999" i="29"/>
  <c r="Q999" i="29"/>
  <c r="P999" i="29"/>
  <c r="R999" i="29"/>
  <c r="Q451" i="29"/>
  <c r="T451" i="29"/>
  <c r="S451" i="29"/>
  <c r="R451" i="29"/>
  <c r="P451" i="29"/>
  <c r="S409" i="29"/>
  <c r="T409" i="29"/>
  <c r="P409" i="29"/>
  <c r="Q409" i="29"/>
  <c r="R409" i="29"/>
  <c r="S445" i="29"/>
  <c r="T445" i="29"/>
  <c r="P445" i="29"/>
  <c r="Q445" i="29"/>
  <c r="R445" i="29"/>
  <c r="Q378" i="29"/>
  <c r="S378" i="29"/>
  <c r="P378" i="29"/>
  <c r="T378" i="29"/>
  <c r="R378" i="29"/>
  <c r="S397" i="29"/>
  <c r="T397" i="29"/>
  <c r="P397" i="29"/>
  <c r="Q397" i="29"/>
  <c r="R397" i="29"/>
  <c r="P408" i="29"/>
  <c r="R408" i="29"/>
  <c r="S408" i="29"/>
  <c r="Q408" i="29"/>
  <c r="T408" i="29"/>
  <c r="P461" i="29"/>
  <c r="T461" i="29"/>
  <c r="Q461" i="29"/>
  <c r="S461" i="29"/>
  <c r="R461" i="29"/>
  <c r="R417" i="29"/>
  <c r="Q417" i="29"/>
  <c r="T417" i="29"/>
  <c r="P417" i="29"/>
  <c r="S417" i="29"/>
  <c r="S465" i="29"/>
  <c r="Q465" i="29"/>
  <c r="T465" i="29"/>
  <c r="P465" i="29"/>
  <c r="R465" i="29"/>
  <c r="T573" i="29"/>
  <c r="P573" i="29"/>
  <c r="S573" i="29"/>
  <c r="R573" i="29"/>
  <c r="Q573" i="29"/>
  <c r="R607" i="29"/>
  <c r="Q607" i="29"/>
  <c r="T607" i="29"/>
  <c r="P607" i="29"/>
  <c r="S607" i="29"/>
  <c r="S626" i="29"/>
  <c r="R626" i="29"/>
  <c r="Q626" i="29"/>
  <c r="P626" i="29"/>
  <c r="T626" i="29"/>
  <c r="T561" i="29"/>
  <c r="R561" i="29"/>
  <c r="S561" i="29"/>
  <c r="Q561" i="29"/>
  <c r="P561" i="29"/>
  <c r="Q568" i="29"/>
  <c r="P568" i="29"/>
  <c r="S568" i="29"/>
  <c r="T568" i="29"/>
  <c r="R568" i="29"/>
  <c r="S622" i="29"/>
  <c r="T622" i="29"/>
  <c r="Q622" i="29"/>
  <c r="P622" i="29"/>
  <c r="R622" i="29"/>
  <c r="S635" i="29"/>
  <c r="Q635" i="29"/>
  <c r="P635" i="29"/>
  <c r="R635" i="29"/>
  <c r="T635" i="29"/>
  <c r="R550" i="29"/>
  <c r="S550" i="29"/>
  <c r="T550" i="29"/>
  <c r="P550" i="29"/>
  <c r="Q550" i="29"/>
  <c r="T572" i="29"/>
  <c r="R572" i="29"/>
  <c r="Q572" i="29"/>
  <c r="S572" i="29"/>
  <c r="P572" i="29"/>
  <c r="Q620" i="29"/>
  <c r="P620" i="29"/>
  <c r="S620" i="29"/>
  <c r="R620" i="29"/>
  <c r="T620" i="29"/>
  <c r="Q644" i="29"/>
  <c r="T644" i="29"/>
  <c r="P644" i="29"/>
  <c r="R644" i="29"/>
  <c r="S644" i="29"/>
  <c r="S551" i="29"/>
  <c r="P551" i="29"/>
  <c r="R551" i="29"/>
  <c r="T551" i="29"/>
  <c r="Q551" i="29"/>
  <c r="S559" i="29"/>
  <c r="R559" i="29"/>
  <c r="T559" i="29"/>
  <c r="Q559" i="29"/>
  <c r="P559" i="29"/>
  <c r="Q564" i="29"/>
  <c r="P564" i="29"/>
  <c r="R564" i="29"/>
  <c r="S564" i="29"/>
  <c r="T564" i="29"/>
  <c r="Q595" i="29"/>
  <c r="T595" i="29"/>
  <c r="S595" i="29"/>
  <c r="R595" i="29"/>
  <c r="P595" i="29"/>
  <c r="S604" i="29"/>
  <c r="P604" i="29"/>
  <c r="Q604" i="29"/>
  <c r="R604" i="29"/>
  <c r="T604" i="29"/>
  <c r="Q616" i="29"/>
  <c r="P616" i="29"/>
  <c r="R616" i="29"/>
  <c r="S616" i="29"/>
  <c r="T616" i="29"/>
  <c r="R625" i="29"/>
  <c r="S625" i="29"/>
  <c r="Q625" i="29"/>
  <c r="T625" i="29"/>
  <c r="P625" i="29"/>
  <c r="R636" i="29"/>
  <c r="S636" i="29"/>
  <c r="Q636" i="29"/>
  <c r="T636" i="29"/>
  <c r="P636" i="29"/>
  <c r="R638" i="29"/>
  <c r="T638" i="29"/>
  <c r="P638" i="29"/>
  <c r="S638" i="29"/>
  <c r="Q638" i="29"/>
  <c r="Q728" i="29"/>
  <c r="R728" i="29"/>
  <c r="P728" i="29"/>
  <c r="T728" i="29"/>
  <c r="S728" i="29"/>
  <c r="R744" i="29"/>
  <c r="P744" i="29"/>
  <c r="Q744" i="29"/>
  <c r="S744" i="29"/>
  <c r="T744" i="29"/>
  <c r="S767" i="29"/>
  <c r="R767" i="29"/>
  <c r="T767" i="29"/>
  <c r="Q767" i="29"/>
  <c r="P767" i="29"/>
  <c r="T798" i="29"/>
  <c r="P798" i="29"/>
  <c r="Q798" i="29"/>
  <c r="R798" i="29"/>
  <c r="S798" i="29"/>
  <c r="Q819" i="29"/>
  <c r="R819" i="29"/>
  <c r="S819" i="29"/>
  <c r="T819" i="29"/>
  <c r="P819" i="29"/>
  <c r="R750" i="29"/>
  <c r="P750" i="29"/>
  <c r="Q750" i="29"/>
  <c r="T750" i="29"/>
  <c r="S750" i="29"/>
  <c r="S757" i="29"/>
  <c r="R757" i="29"/>
  <c r="P757" i="29"/>
  <c r="T757" i="29"/>
  <c r="Q757" i="29"/>
  <c r="T792" i="29"/>
  <c r="S792" i="29"/>
  <c r="P792" i="29"/>
  <c r="R792" i="29"/>
  <c r="Q792" i="29"/>
  <c r="Q810" i="29"/>
  <c r="R810" i="29"/>
  <c r="P810" i="29"/>
  <c r="T810" i="29"/>
  <c r="S810" i="29"/>
  <c r="S765" i="29"/>
  <c r="P765" i="29"/>
  <c r="R765" i="29"/>
  <c r="T765" i="29"/>
  <c r="Q765" i="29"/>
  <c r="S773" i="29"/>
  <c r="P773" i="29"/>
  <c r="R773" i="29"/>
  <c r="T773" i="29"/>
  <c r="Q773" i="29"/>
  <c r="T796" i="29"/>
  <c r="Q796" i="29"/>
  <c r="R796" i="29"/>
  <c r="S796" i="29"/>
  <c r="P796" i="29"/>
  <c r="R818" i="29"/>
  <c r="P818" i="29"/>
  <c r="T818" i="29"/>
  <c r="S818" i="29"/>
  <c r="Q818" i="29"/>
  <c r="R740" i="29"/>
  <c r="P740" i="29"/>
  <c r="Q740" i="29"/>
  <c r="S740" i="29"/>
  <c r="T740" i="29"/>
  <c r="Q768" i="29"/>
  <c r="P768" i="29"/>
  <c r="R768" i="29"/>
  <c r="T768" i="29"/>
  <c r="S768" i="29"/>
  <c r="P775" i="29"/>
  <c r="Q775" i="29"/>
  <c r="T775" i="29"/>
  <c r="S775" i="29"/>
  <c r="R775" i="29"/>
  <c r="R782" i="29"/>
  <c r="P782" i="29"/>
  <c r="S782" i="29"/>
  <c r="T782" i="29"/>
  <c r="Q782" i="29"/>
  <c r="R807" i="29"/>
  <c r="P807" i="29"/>
  <c r="Q807" i="29"/>
  <c r="T807" i="29"/>
  <c r="S807" i="29"/>
  <c r="Q897" i="29"/>
  <c r="T897" i="29"/>
  <c r="R897" i="29"/>
  <c r="P897" i="29"/>
  <c r="S897" i="29"/>
  <c r="S906" i="29"/>
  <c r="P906" i="29"/>
  <c r="Q906" i="29"/>
  <c r="T906" i="29"/>
  <c r="R906" i="29"/>
  <c r="R914" i="29"/>
  <c r="Q914" i="29"/>
  <c r="P914" i="29"/>
  <c r="S914" i="29"/>
  <c r="T914" i="29"/>
  <c r="S922" i="29"/>
  <c r="P922" i="29"/>
  <c r="Q922" i="29"/>
  <c r="T922" i="29"/>
  <c r="R922" i="29"/>
  <c r="P930" i="29"/>
  <c r="S930" i="29"/>
  <c r="R930" i="29"/>
  <c r="Q930" i="29"/>
  <c r="T930" i="29"/>
  <c r="Q969" i="29"/>
  <c r="T969" i="29"/>
  <c r="S969" i="29"/>
  <c r="P969" i="29"/>
  <c r="R969" i="29"/>
  <c r="R998" i="29"/>
  <c r="T998" i="29"/>
  <c r="P998" i="29"/>
  <c r="S998" i="29"/>
  <c r="Q998" i="29"/>
  <c r="R908" i="29"/>
  <c r="T908" i="29"/>
  <c r="Q908" i="29"/>
  <c r="P908" i="29"/>
  <c r="S908" i="29"/>
  <c r="S916" i="29"/>
  <c r="P916" i="29"/>
  <c r="R916" i="29"/>
  <c r="Q916" i="29"/>
  <c r="T916" i="29"/>
  <c r="Q924" i="29"/>
  <c r="P924" i="29"/>
  <c r="T924" i="29"/>
  <c r="R924" i="29"/>
  <c r="S924" i="29"/>
  <c r="T932" i="29"/>
  <c r="R932" i="29"/>
  <c r="Q932" i="29"/>
  <c r="P932" i="29"/>
  <c r="S932" i="29"/>
  <c r="R942" i="29"/>
  <c r="T942" i="29"/>
  <c r="Q942" i="29"/>
  <c r="S942" i="29"/>
  <c r="P942" i="29"/>
  <c r="R973" i="29"/>
  <c r="Q973" i="29"/>
  <c r="T973" i="29"/>
  <c r="S973" i="29"/>
  <c r="P973" i="29"/>
  <c r="R991" i="29"/>
  <c r="Q991" i="29"/>
  <c r="P991" i="29"/>
  <c r="T991" i="29"/>
  <c r="S991" i="29"/>
  <c r="Q910" i="29"/>
  <c r="R910" i="29"/>
  <c r="P910" i="29"/>
  <c r="S910" i="29"/>
  <c r="T910" i="29"/>
  <c r="T918" i="29"/>
  <c r="Q918" i="29"/>
  <c r="P918" i="29"/>
  <c r="S918" i="29"/>
  <c r="R918" i="29"/>
  <c r="Q926" i="29"/>
  <c r="P926" i="29"/>
  <c r="R926" i="29"/>
  <c r="S926" i="29"/>
  <c r="T926" i="29"/>
  <c r="R934" i="29"/>
  <c r="Q934" i="29"/>
  <c r="S934" i="29"/>
  <c r="T934" i="29"/>
  <c r="P934" i="29"/>
  <c r="R944" i="29"/>
  <c r="P944" i="29"/>
  <c r="S944" i="29"/>
  <c r="T944" i="29"/>
  <c r="Q944" i="29"/>
  <c r="S959" i="29"/>
  <c r="P959" i="29"/>
  <c r="R959" i="29"/>
  <c r="Q959" i="29"/>
  <c r="T959" i="29"/>
  <c r="R980" i="29"/>
  <c r="Q980" i="29"/>
  <c r="T980" i="29"/>
  <c r="S980" i="29"/>
  <c r="P980" i="29"/>
  <c r="Q997" i="29"/>
  <c r="P997" i="29"/>
  <c r="S997" i="29"/>
  <c r="R997" i="29"/>
  <c r="T997" i="29"/>
  <c r="P954" i="29"/>
  <c r="T954" i="29"/>
  <c r="R954" i="29"/>
  <c r="Q954" i="29"/>
  <c r="S954" i="29"/>
  <c r="T974" i="29"/>
  <c r="Q974" i="29"/>
  <c r="R974" i="29"/>
  <c r="S974" i="29"/>
  <c r="P974" i="29"/>
  <c r="Q992" i="29"/>
  <c r="R992" i="29"/>
  <c r="S992" i="29"/>
  <c r="T992" i="29"/>
  <c r="P992" i="29"/>
  <c r="T391" i="29"/>
  <c r="P391" i="29"/>
  <c r="S391" i="29"/>
  <c r="Q391" i="29"/>
  <c r="R391" i="29"/>
  <c r="P549" i="29"/>
  <c r="Q549" i="29"/>
  <c r="T549" i="29"/>
  <c r="S549" i="29"/>
  <c r="R549" i="29"/>
  <c r="R580" i="29"/>
  <c r="Q580" i="29"/>
  <c r="T580" i="29"/>
  <c r="S580" i="29"/>
  <c r="P580" i="29"/>
  <c r="Q900" i="29"/>
  <c r="S900" i="29"/>
  <c r="P900" i="29"/>
  <c r="R900" i="29"/>
  <c r="T900" i="29"/>
  <c r="T797" i="29"/>
  <c r="S797" i="29"/>
  <c r="R797" i="29"/>
  <c r="Q797" i="29"/>
  <c r="P797" i="29"/>
  <c r="P988" i="29"/>
  <c r="Q988" i="29"/>
  <c r="S988" i="29"/>
  <c r="T988" i="29"/>
  <c r="R988" i="29"/>
  <c r="S475" i="29"/>
  <c r="P475" i="29"/>
  <c r="Q475" i="29"/>
  <c r="R475" i="29"/>
  <c r="T475" i="29"/>
  <c r="R375" i="29"/>
  <c r="T375" i="29"/>
  <c r="P375" i="29"/>
  <c r="Q375" i="29"/>
  <c r="S375" i="29"/>
  <c r="T434" i="29"/>
  <c r="P434" i="29"/>
  <c r="S434" i="29"/>
  <c r="Q434" i="29"/>
  <c r="R434" i="29"/>
  <c r="P411" i="29"/>
  <c r="S411" i="29"/>
  <c r="Q411" i="29"/>
  <c r="R411" i="29"/>
  <c r="T411" i="29"/>
  <c r="S469" i="29"/>
  <c r="Q469" i="29"/>
  <c r="R469" i="29"/>
  <c r="T469" i="29"/>
  <c r="P469" i="29"/>
  <c r="S466" i="29"/>
  <c r="Q466" i="29"/>
  <c r="R466" i="29"/>
  <c r="T466" i="29"/>
  <c r="P466" i="29"/>
  <c r="T454" i="29"/>
  <c r="Q454" i="29"/>
  <c r="P454" i="29"/>
  <c r="S454" i="29"/>
  <c r="R454" i="29"/>
  <c r="R423" i="29"/>
  <c r="Q423" i="29"/>
  <c r="T423" i="29"/>
  <c r="S423" i="29"/>
  <c r="S597" i="29"/>
  <c r="P597" i="29"/>
  <c r="Q597" i="29"/>
  <c r="R597" i="29"/>
  <c r="T597" i="29"/>
  <c r="R588" i="29"/>
  <c r="Q588" i="29"/>
  <c r="S588" i="29"/>
  <c r="T588" i="29"/>
  <c r="P588" i="29"/>
  <c r="T809" i="29"/>
  <c r="Q809" i="29"/>
  <c r="P809" i="29"/>
  <c r="S809" i="29"/>
  <c r="R809" i="29"/>
  <c r="S387" i="29"/>
  <c r="R387" i="29"/>
  <c r="T387" i="29"/>
  <c r="Q387" i="29"/>
  <c r="P387" i="29"/>
  <c r="P760" i="29"/>
  <c r="Q760" i="29"/>
  <c r="T760" i="29"/>
  <c r="S760" i="29"/>
  <c r="R760" i="29"/>
  <c r="Q569" i="29"/>
  <c r="S569" i="29"/>
  <c r="T569" i="29"/>
  <c r="R569" i="29"/>
  <c r="P569" i="29"/>
  <c r="S783" i="29"/>
  <c r="R783" i="29"/>
  <c r="Q783" i="29"/>
  <c r="T783" i="29"/>
  <c r="P783" i="29"/>
  <c r="S979" i="29"/>
  <c r="Q979" i="29"/>
  <c r="T979" i="29"/>
  <c r="P979" i="29"/>
  <c r="R979" i="29"/>
  <c r="R943" i="29"/>
  <c r="P943" i="29"/>
  <c r="S943" i="29"/>
  <c r="Q943" i="29"/>
  <c r="T943" i="29"/>
  <c r="R752" i="29"/>
  <c r="Q752" i="29"/>
  <c r="P752" i="29"/>
  <c r="T752" i="29"/>
  <c r="S752" i="29"/>
  <c r="P745" i="29"/>
  <c r="R745" i="29"/>
  <c r="Q745" i="29"/>
  <c r="S745" i="29"/>
  <c r="T745" i="29"/>
  <c r="T896" i="29"/>
  <c r="S896" i="29"/>
  <c r="Q896" i="29"/>
  <c r="R896" i="29"/>
  <c r="P896" i="29"/>
  <c r="Q787" i="29"/>
  <c r="R787" i="29"/>
  <c r="S787" i="29"/>
  <c r="T787" i="29"/>
  <c r="P787" i="29"/>
  <c r="P975" i="29"/>
  <c r="T975" i="29"/>
  <c r="R975" i="29"/>
  <c r="Q975" i="29"/>
  <c r="S975" i="29"/>
  <c r="P939" i="29"/>
  <c r="R939" i="29"/>
  <c r="Q939" i="29"/>
  <c r="T939" i="29"/>
  <c r="S939" i="29"/>
  <c r="P739" i="29"/>
  <c r="T739" i="29"/>
  <c r="S739" i="29"/>
  <c r="R739" i="29"/>
  <c r="Q739" i="29"/>
  <c r="Q941" i="29"/>
  <c r="S941" i="29"/>
  <c r="T941" i="29"/>
  <c r="P941" i="29"/>
  <c r="R941" i="29"/>
  <c r="Q388" i="29"/>
  <c r="T388" i="29"/>
  <c r="P388" i="29"/>
  <c r="S388" i="29"/>
  <c r="R388" i="29"/>
  <c r="R441" i="29"/>
  <c r="Q441" i="29"/>
  <c r="S441" i="29"/>
  <c r="T441" i="29"/>
  <c r="P441" i="29"/>
  <c r="Q455" i="29"/>
  <c r="T455" i="29"/>
  <c r="S455" i="29"/>
  <c r="R455" i="29"/>
  <c r="P455" i="29"/>
  <c r="R373" i="29"/>
  <c r="P373" i="29"/>
  <c r="S373" i="29"/>
  <c r="Q373" i="29"/>
  <c r="T373" i="29"/>
  <c r="T390" i="29"/>
  <c r="R390" i="29"/>
  <c r="S390" i="29"/>
  <c r="Q390" i="29"/>
  <c r="P390" i="29"/>
  <c r="S401" i="29"/>
  <c r="T401" i="29"/>
  <c r="P401" i="29"/>
  <c r="Q401" i="29"/>
  <c r="R401" i="29"/>
  <c r="Q420" i="29"/>
  <c r="T420" i="29"/>
  <c r="R420" i="29"/>
  <c r="S420" i="29"/>
  <c r="P463" i="29"/>
  <c r="R463" i="29"/>
  <c r="Q463" i="29"/>
  <c r="T463" i="29"/>
  <c r="S463" i="29"/>
  <c r="Q384" i="29"/>
  <c r="S384" i="29"/>
  <c r="P384" i="29"/>
  <c r="R384" i="29"/>
  <c r="T384" i="29"/>
  <c r="Q432" i="29"/>
  <c r="T432" i="29"/>
  <c r="R432" i="29"/>
  <c r="S432" i="29"/>
  <c r="P432" i="29"/>
  <c r="Q448" i="29"/>
  <c r="R448" i="29"/>
  <c r="S448" i="29"/>
  <c r="T448" i="29"/>
  <c r="P448" i="29"/>
  <c r="R468" i="29"/>
  <c r="P468" i="29"/>
  <c r="Q468" i="29"/>
  <c r="T468" i="29"/>
  <c r="S468" i="29"/>
  <c r="R389" i="29"/>
  <c r="S389" i="29"/>
  <c r="Q389" i="29"/>
  <c r="T389" i="29"/>
  <c r="P389" i="29"/>
  <c r="R400" i="29"/>
  <c r="S400" i="29"/>
  <c r="P400" i="29"/>
  <c r="Q400" i="29"/>
  <c r="T400" i="29"/>
  <c r="T410" i="29"/>
  <c r="S410" i="29"/>
  <c r="P410" i="29"/>
  <c r="Q410" i="29"/>
  <c r="R410" i="29"/>
  <c r="R431" i="29"/>
  <c r="T431" i="29"/>
  <c r="Q431" i="29"/>
  <c r="S431" i="29"/>
  <c r="P431" i="29"/>
  <c r="S464" i="29"/>
  <c r="T464" i="29"/>
  <c r="Q464" i="29"/>
  <c r="P464" i="29"/>
  <c r="R464" i="29"/>
  <c r="T386" i="29"/>
  <c r="P386" i="29"/>
  <c r="S386" i="29"/>
  <c r="Q386" i="29"/>
  <c r="R386" i="29"/>
  <c r="Q422" i="29"/>
  <c r="P422" i="29"/>
  <c r="S422" i="29"/>
  <c r="T422" i="29"/>
  <c r="R422" i="29"/>
  <c r="S449" i="29"/>
  <c r="P449" i="29"/>
  <c r="Q449" i="29"/>
  <c r="T449" i="29"/>
  <c r="R449" i="29"/>
  <c r="R552" i="29"/>
  <c r="S552" i="29"/>
  <c r="Q552" i="29"/>
  <c r="T552" i="29"/>
  <c r="P552" i="29"/>
  <c r="R598" i="29"/>
  <c r="T598" i="29"/>
  <c r="Q598" i="29"/>
  <c r="P598" i="29"/>
  <c r="S598" i="29"/>
  <c r="R612" i="29"/>
  <c r="S612" i="29"/>
  <c r="Q612" i="29"/>
  <c r="P612" i="29"/>
  <c r="T612" i="29"/>
  <c r="R640" i="29"/>
  <c r="S640" i="29"/>
  <c r="T640" i="29"/>
  <c r="Q640" i="29"/>
  <c r="P640" i="29"/>
  <c r="Q557" i="29"/>
  <c r="T557" i="29"/>
  <c r="R557" i="29"/>
  <c r="S557" i="29"/>
  <c r="P557" i="29"/>
  <c r="Q562" i="29"/>
  <c r="S562" i="29"/>
  <c r="T562" i="29"/>
  <c r="P562" i="29"/>
  <c r="R562" i="29"/>
  <c r="T570" i="29"/>
  <c r="Q570" i="29"/>
  <c r="P570" i="29"/>
  <c r="R570" i="29"/>
  <c r="S570" i="29"/>
  <c r="R591" i="29"/>
  <c r="T591" i="29"/>
  <c r="P591" i="29"/>
  <c r="Q591" i="29"/>
  <c r="S591" i="29"/>
  <c r="S600" i="29"/>
  <c r="T600" i="29"/>
  <c r="P600" i="29"/>
  <c r="Q600" i="29"/>
  <c r="R600" i="29"/>
  <c r="R628" i="29"/>
  <c r="S628" i="29"/>
  <c r="P628" i="29"/>
  <c r="T628" i="29"/>
  <c r="Q628" i="29"/>
  <c r="Q648" i="29"/>
  <c r="S648" i="29"/>
  <c r="T648" i="29"/>
  <c r="R648" i="29"/>
  <c r="P648" i="29"/>
  <c r="Q553" i="29"/>
  <c r="R553" i="29"/>
  <c r="P553" i="29"/>
  <c r="T553" i="29"/>
  <c r="S553" i="29"/>
  <c r="R582" i="29"/>
  <c r="S582" i="29"/>
  <c r="P582" i="29"/>
  <c r="Q582" i="29"/>
  <c r="T582" i="29"/>
  <c r="R590" i="29"/>
  <c r="Q590" i="29"/>
  <c r="S590" i="29"/>
  <c r="T590" i="29"/>
  <c r="P590" i="29"/>
  <c r="Q624" i="29"/>
  <c r="R624" i="29"/>
  <c r="P624" i="29"/>
  <c r="S624" i="29"/>
  <c r="T624" i="29"/>
  <c r="T647" i="29"/>
  <c r="Q647" i="29"/>
  <c r="P647" i="29"/>
  <c r="S647" i="29"/>
  <c r="R647" i="29"/>
  <c r="P555" i="29"/>
  <c r="T555" i="29"/>
  <c r="R555" i="29"/>
  <c r="S555" i="29"/>
  <c r="Q555" i="29"/>
  <c r="Q560" i="29"/>
  <c r="S560" i="29"/>
  <c r="T560" i="29"/>
  <c r="P560" i="29"/>
  <c r="R560" i="29"/>
  <c r="T574" i="29"/>
  <c r="Q574" i="29"/>
  <c r="P574" i="29"/>
  <c r="R574" i="29"/>
  <c r="S574" i="29"/>
  <c r="R587" i="29"/>
  <c r="T587" i="29"/>
  <c r="P587" i="29"/>
  <c r="S587" i="29"/>
  <c r="Q587" i="29"/>
  <c r="S596" i="29"/>
  <c r="R596" i="29"/>
  <c r="Q596" i="29"/>
  <c r="T596" i="29"/>
  <c r="Q606" i="29"/>
  <c r="R606" i="29"/>
  <c r="T606" i="29"/>
  <c r="P606" i="29"/>
  <c r="S606" i="29"/>
  <c r="S618" i="29"/>
  <c r="P618" i="29"/>
  <c r="Q618" i="29"/>
  <c r="T618" i="29"/>
  <c r="R618" i="29"/>
  <c r="R627" i="29"/>
  <c r="S627" i="29"/>
  <c r="Q627" i="29"/>
  <c r="P627" i="29"/>
  <c r="T627" i="29"/>
  <c r="Q641" i="29"/>
  <c r="T641" i="29"/>
  <c r="P641" i="29"/>
  <c r="R641" i="29"/>
  <c r="S641" i="29"/>
  <c r="S643" i="29"/>
  <c r="Q643" i="29"/>
  <c r="R643" i="29"/>
  <c r="T643" i="29"/>
  <c r="P643" i="29"/>
  <c r="R729" i="29"/>
  <c r="P729" i="29"/>
  <c r="T729" i="29"/>
  <c r="Q729" i="29"/>
  <c r="S729" i="29"/>
  <c r="R737" i="29"/>
  <c r="S737" i="29"/>
  <c r="P737" i="29"/>
  <c r="Q737" i="29"/>
  <c r="T737" i="29"/>
  <c r="R746" i="29"/>
  <c r="Q746" i="29"/>
  <c r="T746" i="29"/>
  <c r="P746" i="29"/>
  <c r="S746" i="29"/>
  <c r="Q781" i="29"/>
  <c r="T781" i="29"/>
  <c r="P781" i="29"/>
  <c r="R781" i="29"/>
  <c r="S781" i="29"/>
  <c r="T804" i="29"/>
  <c r="Q804" i="29"/>
  <c r="R804" i="29"/>
  <c r="S804" i="29"/>
  <c r="P804" i="29"/>
  <c r="P821" i="29"/>
  <c r="S821" i="29"/>
  <c r="T821" i="29"/>
  <c r="R821" i="29"/>
  <c r="Q821" i="29"/>
  <c r="T732" i="29"/>
  <c r="Q732" i="29"/>
  <c r="S732" i="29"/>
  <c r="R732" i="29"/>
  <c r="P732" i="29"/>
  <c r="Q770" i="29"/>
  <c r="T770" i="29"/>
  <c r="S770" i="29"/>
  <c r="R770" i="29"/>
  <c r="Q777" i="29"/>
  <c r="R777" i="29"/>
  <c r="S777" i="29"/>
  <c r="P777" i="29"/>
  <c r="T777" i="29"/>
  <c r="R799" i="29"/>
  <c r="Q799" i="29"/>
  <c r="S799" i="29"/>
  <c r="P799" i="29"/>
  <c r="T799" i="29"/>
  <c r="R814" i="29"/>
  <c r="S814" i="29"/>
  <c r="T814" i="29"/>
  <c r="Q814" i="29"/>
  <c r="P814" i="29"/>
  <c r="R731" i="29"/>
  <c r="S731" i="29"/>
  <c r="Q731" i="29"/>
  <c r="P731" i="29"/>
  <c r="T731" i="29"/>
  <c r="S803" i="29"/>
  <c r="P803" i="29"/>
  <c r="R803" i="29"/>
  <c r="T803" i="29"/>
  <c r="Q803" i="29"/>
  <c r="R825" i="29"/>
  <c r="P825" i="29"/>
  <c r="S825" i="29"/>
  <c r="T825" i="29"/>
  <c r="Q825" i="29"/>
  <c r="T734" i="29"/>
  <c r="P734" i="29"/>
  <c r="R734" i="29"/>
  <c r="Q734" i="29"/>
  <c r="S734" i="29"/>
  <c r="R742" i="29"/>
  <c r="Q742" i="29"/>
  <c r="T742" i="29"/>
  <c r="P742" i="29"/>
  <c r="S742" i="29"/>
  <c r="S761" i="29"/>
  <c r="T761" i="29"/>
  <c r="Q761" i="29"/>
  <c r="P761" i="29"/>
  <c r="R761" i="29"/>
  <c r="S776" i="29"/>
  <c r="R776" i="29"/>
  <c r="T776" i="29"/>
  <c r="Q776" i="29"/>
  <c r="P776" i="29"/>
  <c r="T791" i="29"/>
  <c r="S791" i="29"/>
  <c r="P791" i="29"/>
  <c r="Q791" i="29"/>
  <c r="R791" i="29"/>
  <c r="P816" i="29"/>
  <c r="S816" i="29"/>
  <c r="Q816" i="29"/>
  <c r="R816" i="29"/>
  <c r="T816" i="29"/>
  <c r="R899" i="29"/>
  <c r="Q899" i="29"/>
  <c r="T899" i="29"/>
  <c r="P899" i="29"/>
  <c r="S899" i="29"/>
  <c r="R938" i="29"/>
  <c r="P938" i="29"/>
  <c r="Q938" i="29"/>
  <c r="T938" i="29"/>
  <c r="S938" i="29"/>
  <c r="Q972" i="29"/>
  <c r="T972" i="29"/>
  <c r="P972" i="29"/>
  <c r="R972" i="29"/>
  <c r="S972" i="29"/>
  <c r="R952" i="29"/>
  <c r="Q952" i="29"/>
  <c r="T952" i="29"/>
  <c r="P952" i="29"/>
  <c r="S952" i="29"/>
  <c r="R976" i="29"/>
  <c r="S976" i="29"/>
  <c r="Q976" i="29"/>
  <c r="T976" i="29"/>
  <c r="P976" i="29"/>
  <c r="T996" i="29"/>
  <c r="S996" i="29"/>
  <c r="R996" i="29"/>
  <c r="P996" i="29"/>
  <c r="Q996" i="29"/>
  <c r="R946" i="29"/>
  <c r="P946" i="29"/>
  <c r="S946" i="29"/>
  <c r="Q946" i="29"/>
  <c r="T946" i="29"/>
  <c r="P964" i="29"/>
  <c r="R964" i="29"/>
  <c r="S964" i="29"/>
  <c r="Q964" i="29"/>
  <c r="T964" i="29"/>
  <c r="Q983" i="29"/>
  <c r="T983" i="29"/>
  <c r="P983" i="29"/>
  <c r="R983" i="29"/>
  <c r="S983" i="29"/>
  <c r="Q907" i="29"/>
  <c r="T907" i="29"/>
  <c r="S907" i="29"/>
  <c r="P907" i="29"/>
  <c r="R907" i="29"/>
  <c r="Q915" i="29"/>
  <c r="T915" i="29"/>
  <c r="P915" i="29"/>
  <c r="R915" i="29"/>
  <c r="S915" i="29"/>
  <c r="Q923" i="29"/>
  <c r="P923" i="29"/>
  <c r="R923" i="29"/>
  <c r="S923" i="29"/>
  <c r="T923" i="29"/>
  <c r="T931" i="29"/>
  <c r="S931" i="29"/>
  <c r="P931" i="29"/>
  <c r="Q931" i="29"/>
  <c r="R931" i="29"/>
  <c r="T956" i="29"/>
  <c r="Q956" i="29"/>
  <c r="R956" i="29"/>
  <c r="S956" i="29"/>
  <c r="P956" i="29"/>
  <c r="Q981" i="29"/>
  <c r="S981" i="29"/>
  <c r="P981" i="29"/>
  <c r="T981" i="29"/>
  <c r="R981" i="29"/>
  <c r="P458" i="29"/>
  <c r="S458" i="29"/>
  <c r="Q458" i="29"/>
  <c r="R458" i="29"/>
  <c r="T458" i="29"/>
  <c r="T412" i="29"/>
  <c r="P412" i="29"/>
  <c r="R412" i="29"/>
  <c r="S412" i="29"/>
  <c r="Q412" i="29"/>
  <c r="P815" i="29"/>
  <c r="S815" i="29"/>
  <c r="T815" i="29"/>
  <c r="Q815" i="29"/>
  <c r="R815" i="29"/>
  <c r="Q793" i="29"/>
  <c r="R793" i="29"/>
  <c r="S793" i="29"/>
  <c r="T793" i="29"/>
  <c r="P793" i="29"/>
  <c r="R749" i="29"/>
  <c r="P749" i="29"/>
  <c r="Q749" i="29"/>
  <c r="S749" i="29"/>
  <c r="T749" i="29"/>
  <c r="S747" i="29"/>
  <c r="T747" i="29"/>
  <c r="P747" i="29"/>
  <c r="R747" i="29"/>
  <c r="Q747" i="29"/>
  <c r="T436" i="29"/>
  <c r="S436" i="29"/>
  <c r="R436" i="29"/>
  <c r="P436" i="29"/>
  <c r="Q436" i="29"/>
  <c r="T398" i="29"/>
  <c r="R398" i="29"/>
  <c r="S398" i="29"/>
  <c r="P398" i="29"/>
  <c r="Q398" i="29"/>
  <c r="R435" i="29"/>
  <c r="S435" i="29"/>
  <c r="Q435" i="29"/>
  <c r="T435" i="29"/>
  <c r="P435" i="29"/>
  <c r="S460" i="29"/>
  <c r="T460" i="29"/>
  <c r="R460" i="29"/>
  <c r="Q460" i="29"/>
  <c r="P460" i="29"/>
  <c r="R429" i="29"/>
  <c r="Q429" i="29"/>
  <c r="P429" i="29"/>
  <c r="T429" i="29"/>
  <c r="S429" i="29"/>
  <c r="F75" i="29"/>
  <c r="Q403" i="29"/>
  <c r="R403" i="29"/>
  <c r="T403" i="29"/>
  <c r="P403" i="29"/>
  <c r="S403" i="29"/>
  <c r="Q462" i="29"/>
  <c r="R462" i="29"/>
  <c r="T462" i="29"/>
  <c r="P462" i="29"/>
  <c r="S462" i="29"/>
  <c r="T407" i="29"/>
  <c r="P407" i="29"/>
  <c r="S407" i="29"/>
  <c r="Q407" i="29"/>
  <c r="R407" i="29"/>
  <c r="Q450" i="29"/>
  <c r="T450" i="29"/>
  <c r="S450" i="29"/>
  <c r="R450" i="29"/>
  <c r="P450" i="29"/>
  <c r="T650" i="29"/>
  <c r="R650" i="29"/>
  <c r="Q650" i="29"/>
  <c r="S650" i="29"/>
  <c r="P650" i="29"/>
  <c r="P826" i="29"/>
  <c r="R826" i="29"/>
  <c r="S826" i="29"/>
  <c r="Q826" i="29"/>
  <c r="T826" i="29"/>
  <c r="T584" i="29"/>
  <c r="S584" i="29"/>
  <c r="P584" i="29"/>
  <c r="R584" i="29"/>
  <c r="Q584" i="29"/>
  <c r="R779" i="29"/>
  <c r="Q779" i="29"/>
  <c r="T779" i="29"/>
  <c r="P779" i="29"/>
  <c r="S779" i="29"/>
  <c r="Q613" i="29"/>
  <c r="S613" i="29"/>
  <c r="T613" i="29"/>
  <c r="P613" i="29"/>
  <c r="R613" i="29"/>
  <c r="Q603" i="29"/>
  <c r="R603" i="29"/>
  <c r="T603" i="29"/>
  <c r="P603" i="29"/>
  <c r="S603" i="29"/>
  <c r="Q806" i="29"/>
  <c r="S806" i="29"/>
  <c r="R806" i="29"/>
  <c r="T806" i="29"/>
  <c r="P806" i="29"/>
  <c r="P758" i="29"/>
  <c r="R758" i="29"/>
  <c r="Q758" i="29"/>
  <c r="T758" i="29"/>
  <c r="S758" i="29"/>
  <c r="P971" i="29"/>
  <c r="Q971" i="29"/>
  <c r="T971" i="29"/>
  <c r="S971" i="29"/>
  <c r="R971" i="29"/>
  <c r="S935" i="29"/>
  <c r="P935" i="29"/>
  <c r="R935" i="29"/>
  <c r="Q935" i="29"/>
  <c r="T935" i="29"/>
  <c r="S755" i="29"/>
  <c r="Q755" i="29"/>
  <c r="T755" i="29"/>
  <c r="P755" i="29"/>
  <c r="R755" i="29"/>
  <c r="T741" i="29"/>
  <c r="S741" i="29"/>
  <c r="R741" i="29"/>
  <c r="Q741" i="29"/>
  <c r="P741" i="29"/>
  <c r="Q822" i="29"/>
  <c r="S822" i="29"/>
  <c r="T822" i="29"/>
  <c r="P822" i="29"/>
  <c r="R822" i="29"/>
  <c r="T762" i="29"/>
  <c r="S762" i="29"/>
  <c r="Q762" i="29"/>
  <c r="R762" i="29"/>
  <c r="P762" i="29"/>
  <c r="T967" i="29"/>
  <c r="Q967" i="29"/>
  <c r="R967" i="29"/>
  <c r="P967" i="29"/>
  <c r="S967" i="29"/>
  <c r="T905" i="29"/>
  <c r="P905" i="29"/>
  <c r="S905" i="29"/>
  <c r="R905" i="29"/>
  <c r="Q905" i="29"/>
  <c r="S751" i="29"/>
  <c r="Q751" i="29"/>
  <c r="T751" i="29"/>
  <c r="P751" i="29"/>
  <c r="R751" i="29"/>
  <c r="Q903" i="29"/>
  <c r="R903" i="29"/>
  <c r="S903" i="29"/>
  <c r="T903" i="29"/>
  <c r="P903" i="29"/>
  <c r="Q418" i="29"/>
  <c r="T418" i="29"/>
  <c r="S418" i="29"/>
  <c r="R418" i="29"/>
  <c r="P418" i="29"/>
  <c r="Q444" i="29"/>
  <c r="R444" i="29"/>
  <c r="S444" i="29"/>
  <c r="T444" i="29"/>
  <c r="P444" i="29"/>
  <c r="T470" i="29"/>
  <c r="R470" i="29"/>
  <c r="Q470" i="29"/>
  <c r="P470" i="29"/>
  <c r="S470" i="29"/>
  <c r="Q374" i="29"/>
  <c r="S374" i="29"/>
  <c r="P374" i="29"/>
  <c r="R374" i="29"/>
  <c r="T374" i="29"/>
  <c r="S393" i="29"/>
  <c r="T393" i="29"/>
  <c r="P393" i="29"/>
  <c r="R393" i="29"/>
  <c r="Q393" i="29"/>
  <c r="Q404" i="29"/>
  <c r="T404" i="29"/>
  <c r="P404" i="29"/>
  <c r="R404" i="29"/>
  <c r="S404" i="29"/>
  <c r="Q424" i="29"/>
  <c r="R424" i="29"/>
  <c r="T424" i="29"/>
  <c r="S424" i="29"/>
  <c r="P424" i="29"/>
  <c r="R467" i="29"/>
  <c r="P467" i="29"/>
  <c r="Q467" i="29"/>
  <c r="T467" i="29"/>
  <c r="S467" i="29"/>
  <c r="R419" i="29"/>
  <c r="P419" i="29"/>
  <c r="T419" i="29"/>
  <c r="S419" i="29"/>
  <c r="Q419" i="29"/>
  <c r="Q440" i="29"/>
  <c r="T440" i="29"/>
  <c r="R440" i="29"/>
  <c r="P440" i="29"/>
  <c r="S440" i="29"/>
  <c r="S453" i="29"/>
  <c r="P453" i="29"/>
  <c r="Q453" i="29"/>
  <c r="T453" i="29"/>
  <c r="R453" i="29"/>
  <c r="Q474" i="29"/>
  <c r="S474" i="29"/>
  <c r="R474" i="29"/>
  <c r="T474" i="29"/>
  <c r="P474" i="29"/>
  <c r="R392" i="29"/>
  <c r="S392" i="29"/>
  <c r="Q392" i="29"/>
  <c r="T392" i="29"/>
  <c r="P392" i="29"/>
  <c r="T402" i="29"/>
  <c r="P402" i="29"/>
  <c r="S402" i="29"/>
  <c r="Q402" i="29"/>
  <c r="R402" i="29"/>
  <c r="S414" i="29"/>
  <c r="P414" i="29"/>
  <c r="Q414" i="29"/>
  <c r="T414" i="29"/>
  <c r="R414" i="29"/>
  <c r="R433" i="29"/>
  <c r="S433" i="29"/>
  <c r="Q433" i="29"/>
  <c r="T433" i="29"/>
  <c r="P433" i="29"/>
  <c r="S471" i="29"/>
  <c r="P471" i="29"/>
  <c r="T471" i="29"/>
  <c r="Q471" i="29"/>
  <c r="R471" i="29"/>
  <c r="R413" i="29"/>
  <c r="P413" i="29"/>
  <c r="T413" i="29"/>
  <c r="Q413" i="29"/>
  <c r="S413" i="29"/>
  <c r="R425" i="29"/>
  <c r="T425" i="29"/>
  <c r="P425" i="29"/>
  <c r="S425" i="29"/>
  <c r="Q425" i="29"/>
  <c r="R452" i="29"/>
  <c r="Q452" i="29"/>
  <c r="T452" i="29"/>
  <c r="P452" i="29"/>
  <c r="S452" i="29"/>
  <c r="Q554" i="29"/>
  <c r="S554" i="29"/>
  <c r="T554" i="29"/>
  <c r="P554" i="29"/>
  <c r="R554" i="29"/>
  <c r="Q566" i="29"/>
  <c r="R566" i="29"/>
  <c r="P566" i="29"/>
  <c r="S566" i="29"/>
  <c r="T566" i="29"/>
  <c r="T576" i="29"/>
  <c r="Q576" i="29"/>
  <c r="P576" i="29"/>
  <c r="R576" i="29"/>
  <c r="S576" i="29"/>
  <c r="R617" i="29"/>
  <c r="T617" i="29"/>
  <c r="P617" i="29"/>
  <c r="Q617" i="29"/>
  <c r="S617" i="29"/>
  <c r="R642" i="29"/>
  <c r="T642" i="29"/>
  <c r="S642" i="29"/>
  <c r="P642" i="29"/>
  <c r="Q642" i="29"/>
  <c r="Q558" i="29"/>
  <c r="R558" i="29"/>
  <c r="S558" i="29"/>
  <c r="T558" i="29"/>
  <c r="P558" i="29"/>
  <c r="R583" i="29"/>
  <c r="Q583" i="29"/>
  <c r="P583" i="29"/>
  <c r="T583" i="29"/>
  <c r="S583" i="29"/>
  <c r="R593" i="29"/>
  <c r="Q593" i="29"/>
  <c r="P593" i="29"/>
  <c r="S593" i="29"/>
  <c r="T593" i="29"/>
  <c r="R630" i="29"/>
  <c r="Q630" i="29"/>
  <c r="T630" i="29"/>
  <c r="P630" i="29"/>
  <c r="S630" i="29"/>
  <c r="R577" i="29"/>
  <c r="P577" i="29"/>
  <c r="Q577" i="29"/>
  <c r="T577" i="29"/>
  <c r="S577" i="29"/>
  <c r="S602" i="29"/>
  <c r="T602" i="29"/>
  <c r="Q602" i="29"/>
  <c r="R602" i="29"/>
  <c r="P602" i="29"/>
  <c r="Q629" i="29"/>
  <c r="R629" i="29"/>
  <c r="P629" i="29"/>
  <c r="S629" i="29"/>
  <c r="T629" i="29"/>
  <c r="Q649" i="29"/>
  <c r="P649" i="29"/>
  <c r="T649" i="29"/>
  <c r="R649" i="29"/>
  <c r="S649" i="29"/>
  <c r="Q556" i="29"/>
  <c r="P556" i="29"/>
  <c r="R556" i="29"/>
  <c r="S556" i="29"/>
  <c r="T556" i="29"/>
  <c r="R579" i="29"/>
  <c r="P579" i="29"/>
  <c r="T579" i="29"/>
  <c r="Q579" i="29"/>
  <c r="S579" i="29"/>
  <c r="R589" i="29"/>
  <c r="T589" i="29"/>
  <c r="Q589" i="29"/>
  <c r="P589" i="29"/>
  <c r="S589" i="29"/>
  <c r="R609" i="29"/>
  <c r="T609" i="29"/>
  <c r="Q609" i="29"/>
  <c r="P609" i="29"/>
  <c r="S609" i="29"/>
  <c r="R621" i="29"/>
  <c r="Q621" i="29"/>
  <c r="P621" i="29"/>
  <c r="S621" i="29"/>
  <c r="T621" i="29"/>
  <c r="R631" i="29"/>
  <c r="S631" i="29"/>
  <c r="P631" i="29"/>
  <c r="T631" i="29"/>
  <c r="Q631" i="29"/>
  <c r="R645" i="29"/>
  <c r="T645" i="29"/>
  <c r="Q645" i="29"/>
  <c r="P645" i="29"/>
  <c r="S645" i="29"/>
  <c r="Q723" i="29"/>
  <c r="S723" i="29"/>
  <c r="R723" i="29"/>
  <c r="P723" i="29"/>
  <c r="T723" i="29"/>
  <c r="S763" i="29"/>
  <c r="Q763" i="29"/>
  <c r="R763" i="29"/>
  <c r="T763" i="29"/>
  <c r="P763" i="29"/>
  <c r="S771" i="29"/>
  <c r="Q771" i="29"/>
  <c r="R771" i="29"/>
  <c r="T771" i="29"/>
  <c r="P771" i="29"/>
  <c r="T786" i="29"/>
  <c r="Q786" i="29"/>
  <c r="R786" i="29"/>
  <c r="P786" i="29"/>
  <c r="S786" i="29"/>
  <c r="T812" i="29"/>
  <c r="S812" i="29"/>
  <c r="R812" i="29"/>
  <c r="P812" i="29"/>
  <c r="Q812" i="29"/>
  <c r="Q824" i="29"/>
  <c r="P824" i="29"/>
  <c r="R824" i="29"/>
  <c r="T824" i="29"/>
  <c r="S824" i="29"/>
  <c r="R778" i="29"/>
  <c r="T778" i="29"/>
  <c r="P778" i="29"/>
  <c r="Q778" i="29"/>
  <c r="S778" i="29"/>
  <c r="Q802" i="29"/>
  <c r="T802" i="29"/>
  <c r="R802" i="29"/>
  <c r="S802" i="29"/>
  <c r="P802" i="29"/>
  <c r="S725" i="29"/>
  <c r="T725" i="29"/>
  <c r="Q725" i="29"/>
  <c r="R725" i="29"/>
  <c r="P725" i="29"/>
  <c r="S759" i="29"/>
  <c r="P759" i="29"/>
  <c r="T759" i="29"/>
  <c r="R759" i="29"/>
  <c r="Q759" i="29"/>
  <c r="S769" i="29"/>
  <c r="P769" i="29"/>
  <c r="Q769" i="29"/>
  <c r="R769" i="29"/>
  <c r="T769" i="29"/>
  <c r="S785" i="29"/>
  <c r="P785" i="29"/>
  <c r="R785" i="29"/>
  <c r="T785" i="29"/>
  <c r="Q785" i="29"/>
  <c r="R811" i="29"/>
  <c r="P811" i="29"/>
  <c r="T811" i="29"/>
  <c r="Q811" i="29"/>
  <c r="S811" i="29"/>
  <c r="R726" i="29"/>
  <c r="P726" i="29"/>
  <c r="S726" i="29"/>
  <c r="Q726" i="29"/>
  <c r="T726" i="29"/>
  <c r="Q764" i="29"/>
  <c r="P764" i="29"/>
  <c r="R764" i="29"/>
  <c r="T764" i="29"/>
  <c r="S764" i="29"/>
  <c r="Q772" i="29"/>
  <c r="T772" i="29"/>
  <c r="P772" i="29"/>
  <c r="R772" i="29"/>
  <c r="S772" i="29"/>
  <c r="P794" i="29"/>
  <c r="R794" i="29"/>
  <c r="S794" i="29"/>
  <c r="T794" i="29"/>
  <c r="Q794" i="29"/>
  <c r="Q820" i="29"/>
  <c r="T820" i="29"/>
  <c r="S820" i="29"/>
  <c r="R820" i="29"/>
  <c r="P820" i="29"/>
  <c r="R902" i="29"/>
  <c r="Q902" i="29"/>
  <c r="T902" i="29"/>
  <c r="P902" i="29"/>
  <c r="S902" i="29"/>
  <c r="Q909" i="29"/>
  <c r="P909" i="29"/>
  <c r="T909" i="29"/>
  <c r="R909" i="29"/>
  <c r="S909" i="29"/>
  <c r="Q917" i="29"/>
  <c r="P917" i="29"/>
  <c r="T917" i="29"/>
  <c r="S917" i="29"/>
  <c r="R917" i="29"/>
  <c r="S925" i="29"/>
  <c r="Q925" i="29"/>
  <c r="P925" i="29"/>
  <c r="T925" i="29"/>
  <c r="R925" i="29"/>
  <c r="T933" i="29"/>
  <c r="R933" i="29"/>
  <c r="P933" i="29"/>
  <c r="S933" i="29"/>
  <c r="Q933" i="29"/>
  <c r="Q955" i="29"/>
  <c r="S955" i="29"/>
  <c r="R955" i="29"/>
  <c r="T955" i="29"/>
  <c r="P955" i="29"/>
  <c r="T978" i="29"/>
  <c r="Q978" i="29"/>
  <c r="R978" i="29"/>
  <c r="P978" i="29"/>
  <c r="S978" i="29"/>
  <c r="Q911" i="29"/>
  <c r="R911" i="29"/>
  <c r="P911" i="29"/>
  <c r="T911" i="29"/>
  <c r="S911" i="29"/>
  <c r="Q919" i="29"/>
  <c r="R919" i="29"/>
  <c r="T919" i="29"/>
  <c r="S919" i="29"/>
  <c r="P919" i="29"/>
  <c r="T927" i="29"/>
  <c r="Q927" i="29"/>
  <c r="S927" i="29"/>
  <c r="R927" i="29"/>
  <c r="P927" i="29"/>
  <c r="P937" i="29"/>
  <c r="S937" i="29"/>
  <c r="T937" i="29"/>
  <c r="R937" i="29"/>
  <c r="Q937" i="29"/>
  <c r="R958" i="29"/>
  <c r="S958" i="29"/>
  <c r="Q958" i="29"/>
  <c r="T958" i="29"/>
  <c r="P958" i="29"/>
  <c r="S985" i="29"/>
  <c r="R985" i="29"/>
  <c r="Q985" i="29"/>
  <c r="T985" i="29"/>
  <c r="P985" i="29"/>
  <c r="R898" i="29"/>
  <c r="Q898" i="29"/>
  <c r="S898" i="29"/>
  <c r="T898" i="29"/>
  <c r="P898" i="29"/>
  <c r="Q913" i="29"/>
  <c r="S913" i="29"/>
  <c r="P913" i="29"/>
  <c r="R913" i="29"/>
  <c r="T913" i="29"/>
  <c r="Q921" i="29"/>
  <c r="P921" i="29"/>
  <c r="R921" i="29"/>
  <c r="S921" i="29"/>
  <c r="T921" i="29"/>
  <c r="T929" i="29"/>
  <c r="Q929" i="29"/>
  <c r="R929" i="29"/>
  <c r="S929" i="29"/>
  <c r="P929" i="29"/>
  <c r="Q949" i="29"/>
  <c r="P949" i="29"/>
  <c r="S949" i="29"/>
  <c r="R949" i="29"/>
  <c r="T949" i="29"/>
  <c r="T970" i="29"/>
  <c r="P970" i="29"/>
  <c r="Q970" i="29"/>
  <c r="R970" i="29"/>
  <c r="S970" i="29"/>
  <c r="P989" i="29"/>
  <c r="S989" i="29"/>
  <c r="Q989" i="29"/>
  <c r="T989" i="29"/>
  <c r="R989" i="29"/>
  <c r="R936" i="29"/>
  <c r="Q936" i="29"/>
  <c r="P936" i="29"/>
  <c r="S936" i="29"/>
  <c r="T936" i="29"/>
  <c r="T965" i="29"/>
  <c r="S965" i="29"/>
  <c r="P965" i="29"/>
  <c r="R965" i="29"/>
  <c r="Q965" i="29"/>
  <c r="R984" i="29"/>
  <c r="P984" i="29"/>
  <c r="Q984" i="29"/>
  <c r="T984" i="29"/>
  <c r="S984" i="29"/>
  <c r="AH742" i="29"/>
  <c r="AH566" i="29"/>
  <c r="K483" i="29"/>
  <c r="P258" i="29"/>
  <c r="T258" i="29"/>
  <c r="S258" i="29"/>
  <c r="R258" i="29"/>
  <c r="Q258" i="29"/>
  <c r="P260" i="29"/>
  <c r="Q260" i="29"/>
  <c r="T260" i="29"/>
  <c r="S260" i="29"/>
  <c r="R260" i="29"/>
  <c r="P262" i="29"/>
  <c r="S262" i="29"/>
  <c r="T262" i="29"/>
  <c r="R262" i="29"/>
  <c r="Q262" i="29"/>
  <c r="P219" i="29"/>
  <c r="T219" i="29"/>
  <c r="S219" i="29"/>
  <c r="Q219" i="29"/>
  <c r="R219" i="29"/>
  <c r="P218" i="29"/>
  <c r="T218" i="29"/>
  <c r="S218" i="29"/>
  <c r="Q218" i="29"/>
  <c r="R218" i="29"/>
  <c r="CR781" i="29" l="1"/>
  <c r="DG226" i="29"/>
  <c r="CC923" i="29"/>
  <c r="DG607" i="29"/>
  <c r="DG658" i="29" s="1"/>
  <c r="AP598" i="29" s="1"/>
  <c r="CR651" i="29"/>
  <c r="DG400" i="29"/>
  <c r="CC431" i="29"/>
  <c r="CM772" i="29"/>
  <c r="CM945" i="29"/>
  <c r="CC781" i="29"/>
  <c r="DB420" i="29"/>
  <c r="CM458" i="29"/>
  <c r="DB770" i="29"/>
  <c r="CH420" i="29"/>
  <c r="CC576" i="29"/>
  <c r="DG960" i="29"/>
  <c r="CM598" i="29"/>
  <c r="CM981" i="29"/>
  <c r="CH596" i="29"/>
  <c r="CC226" i="29"/>
  <c r="CC308" i="29" s="1"/>
  <c r="AP218" i="29" s="1"/>
  <c r="CH943" i="29"/>
  <c r="CH1005" i="29" s="1"/>
  <c r="AP920" i="29" s="1"/>
  <c r="CH770" i="29"/>
  <c r="CR954" i="29"/>
  <c r="CR825" i="29"/>
  <c r="DG954" i="29"/>
  <c r="CM924" i="29"/>
  <c r="CR576" i="29"/>
  <c r="CR960" i="29"/>
  <c r="DB596" i="29"/>
  <c r="DB658" i="29" s="1"/>
  <c r="AP593" i="29" s="1"/>
  <c r="DG923" i="29"/>
  <c r="CC607" i="29"/>
  <c r="CM227" i="29"/>
  <c r="CR750" i="29"/>
  <c r="CM577" i="29"/>
  <c r="DG431" i="29"/>
  <c r="DG750" i="29"/>
  <c r="DG832" i="29" s="1"/>
  <c r="AP772" i="29" s="1"/>
  <c r="CC400" i="29"/>
  <c r="CR301" i="29"/>
  <c r="CM634" i="29"/>
  <c r="CM284" i="29"/>
  <c r="CM401" i="29"/>
  <c r="CM751" i="29"/>
  <c r="CR607" i="29"/>
  <c r="CC954" i="29"/>
  <c r="CR961" i="29"/>
  <c r="CM808" i="29"/>
  <c r="CR998" i="29"/>
  <c r="DG257" i="29"/>
  <c r="CC750" i="29"/>
  <c r="CR475" i="29"/>
  <c r="CR482" i="29" s="1"/>
  <c r="AP407" i="29" s="1"/>
  <c r="AM482" i="29"/>
  <c r="BG378" i="29" s="1"/>
  <c r="AF482" i="29"/>
  <c r="AZ378" i="29" s="1"/>
  <c r="Y237" i="115"/>
  <c r="Z237" i="115" s="1"/>
  <c r="AA237" i="115" s="1"/>
  <c r="AU756" i="29" s="1"/>
  <c r="Y173" i="115"/>
  <c r="Z173" i="115" s="1"/>
  <c r="AA173" i="115" s="1"/>
  <c r="AU581" i="29" s="1"/>
  <c r="Y110" i="115"/>
  <c r="Z110" i="115" s="1"/>
  <c r="AA110" i="115" s="1"/>
  <c r="AU405" i="29" s="1"/>
  <c r="Y48" i="115"/>
  <c r="Z48" i="115" s="1"/>
  <c r="AE595" i="118"/>
  <c r="AF595" i="118" s="1"/>
  <c r="AI595" i="118"/>
  <c r="AJ595" i="118" s="1"/>
  <c r="AX460" i="118"/>
  <c r="BG460" i="118" s="1"/>
  <c r="BP460" i="118"/>
  <c r="AD460" i="118"/>
  <c r="O460" i="118"/>
  <c r="AC905" i="29"/>
  <c r="AK905" i="29" s="1"/>
  <c r="AO905" i="29" s="1"/>
  <c r="AD905" i="29"/>
  <c r="AT595" i="118"/>
  <c r="BL595" i="118"/>
  <c r="BR595" i="118" s="1"/>
  <c r="Q595" i="118"/>
  <c r="AK595" i="118"/>
  <c r="AL595" i="118" s="1"/>
  <c r="AP595" i="118"/>
  <c r="X1008" i="29"/>
  <c r="X835" i="29"/>
  <c r="X661" i="29"/>
  <c r="X485" i="29"/>
  <c r="Y299" i="115"/>
  <c r="Z299" i="115" s="1"/>
  <c r="AA299" i="115" s="1"/>
  <c r="AU928" i="29" s="1"/>
  <c r="X849" i="29"/>
  <c r="X1014" i="29"/>
  <c r="X493" i="29"/>
  <c r="X498" i="29"/>
  <c r="X492" i="29"/>
  <c r="X496" i="29"/>
  <c r="X497" i="29"/>
  <c r="X1013" i="29"/>
  <c r="X1017" i="29"/>
  <c r="X842" i="29"/>
  <c r="X845" i="29"/>
  <c r="X841" i="29"/>
  <c r="X670" i="29"/>
  <c r="X667" i="29"/>
  <c r="X666" i="29"/>
  <c r="X1020" i="29"/>
  <c r="X1015" i="29"/>
  <c r="X500" i="29"/>
  <c r="X676" i="29"/>
  <c r="X672" i="29"/>
  <c r="X675" i="29"/>
  <c r="X674" i="29"/>
  <c r="X1019" i="29"/>
  <c r="X1022" i="29"/>
  <c r="X848" i="29"/>
  <c r="X671" i="29"/>
  <c r="X499" i="29"/>
  <c r="X668" i="29"/>
  <c r="X673" i="29"/>
  <c r="X846" i="29"/>
  <c r="X1016" i="29"/>
  <c r="X843" i="29"/>
  <c r="X840" i="29"/>
  <c r="X847" i="29"/>
  <c r="X844" i="29"/>
  <c r="X669" i="29"/>
  <c r="X850" i="29"/>
  <c r="X1021" i="29"/>
  <c r="X1023" i="29"/>
  <c r="X495" i="29"/>
  <c r="X491" i="29"/>
  <c r="X494" i="29"/>
  <c r="X1018" i="29"/>
  <c r="CH726" i="29"/>
  <c r="DB202" i="29"/>
  <c r="DB308" i="29" s="1"/>
  <c r="AP243" i="29" s="1"/>
  <c r="CR549" i="29"/>
  <c r="CH552" i="29"/>
  <c r="CH723" i="29"/>
  <c r="DB899" i="29"/>
  <c r="DB1005" i="29" s="1"/>
  <c r="AP940" i="29" s="1"/>
  <c r="CH376" i="29"/>
  <c r="CR727" i="29"/>
  <c r="CR551" i="29"/>
  <c r="BX896" i="29"/>
  <c r="BX1005" i="29" s="1"/>
  <c r="AP910" i="29" s="1"/>
  <c r="DB376" i="29"/>
  <c r="CH202" i="29"/>
  <c r="CR555" i="29"/>
  <c r="CR205" i="29"/>
  <c r="DB726" i="29"/>
  <c r="BX723" i="29"/>
  <c r="BX832" i="29" s="1"/>
  <c r="AP737" i="29" s="1"/>
  <c r="G16" i="29"/>
  <c r="AQ900" i="29" s="1"/>
  <c r="X490" i="29"/>
  <c r="AL482" i="29"/>
  <c r="BF378" i="29" s="1"/>
  <c r="AD734" i="29"/>
  <c r="AC734" i="29"/>
  <c r="AE560" i="29"/>
  <c r="AF560" i="29" s="1"/>
  <c r="AC561" i="29" s="1"/>
  <c r="AC327" i="118"/>
  <c r="AQ327" i="118"/>
  <c r="BO327" i="118"/>
  <c r="AH327" i="118"/>
  <c r="Z327" i="118"/>
  <c r="AW327" i="118"/>
  <c r="BF327" i="118" s="1"/>
  <c r="Q59" i="118"/>
  <c r="AK59" i="118"/>
  <c r="AL59" i="118" s="1"/>
  <c r="AP59" i="118"/>
  <c r="BL59" i="118"/>
  <c r="BR59" i="118" s="1"/>
  <c r="AT59" i="118"/>
  <c r="AI59" i="118"/>
  <c r="AJ59" i="118" s="1"/>
  <c r="AM59" i="118"/>
  <c r="AE59" i="118"/>
  <c r="AF59" i="118" s="1"/>
  <c r="X194" i="118"/>
  <c r="AE239" i="115"/>
  <c r="AV758" i="29" s="1"/>
  <c r="AE175" i="115"/>
  <c r="AV583" i="29" s="1"/>
  <c r="AB236" i="115"/>
  <c r="BK755" i="29" s="1"/>
  <c r="AE50" i="115"/>
  <c r="AV234" i="29" s="1"/>
  <c r="AE112" i="115"/>
  <c r="AV407" i="29" s="1"/>
  <c r="AE301" i="115"/>
  <c r="AV930" i="29" s="1"/>
  <c r="AB298" i="115"/>
  <c r="BK927" i="29" s="1"/>
  <c r="AB109" i="115"/>
  <c r="BK404" i="29" s="1"/>
  <c r="AB47" i="115"/>
  <c r="BK231" i="29" s="1"/>
  <c r="AA48" i="115"/>
  <c r="AU232" i="29" s="1"/>
  <c r="AQ902" i="29"/>
  <c r="BH902" i="29"/>
  <c r="AQ378" i="29"/>
  <c r="BH378" i="29"/>
  <c r="BH901" i="29"/>
  <c r="AQ901" i="29"/>
  <c r="AN555" i="29"/>
  <c r="BE555" i="29" s="1"/>
  <c r="AQ554" i="29"/>
  <c r="BH554" i="29"/>
  <c r="AB172" i="115"/>
  <c r="BK580" i="29" s="1"/>
  <c r="U175" i="115"/>
  <c r="S175" i="115"/>
  <c r="Q51" i="115"/>
  <c r="R51" i="115" s="1"/>
  <c r="S51" i="115" s="1"/>
  <c r="T51" i="115" s="1"/>
  <c r="AQ204" i="29"/>
  <c r="BH204" i="29"/>
  <c r="AQ728" i="29"/>
  <c r="BH728" i="29"/>
  <c r="V174" i="115"/>
  <c r="T174" i="115"/>
  <c r="W174" i="115" s="1"/>
  <c r="X174" i="115" s="1"/>
  <c r="Y174" i="115" s="1"/>
  <c r="Z174" i="115" s="1"/>
  <c r="AD176" i="115"/>
  <c r="Q176" i="115"/>
  <c r="R176" i="115" s="1"/>
  <c r="AC176" i="115"/>
  <c r="P177" i="115"/>
  <c r="AY902" i="29"/>
  <c r="AY728" i="29"/>
  <c r="AY378" i="29"/>
  <c r="AN379" i="29"/>
  <c r="BX201" i="29"/>
  <c r="BX308" i="29" s="1"/>
  <c r="AP213" i="29" s="1"/>
  <c r="AN205" i="29"/>
  <c r="AY204" i="29"/>
  <c r="AN903" i="29"/>
  <c r="AN729" i="29"/>
  <c r="CH613" i="29"/>
  <c r="CH201" i="29"/>
  <c r="AY554" i="29"/>
  <c r="AY901" i="29"/>
  <c r="K512" i="29"/>
  <c r="AG482" i="29"/>
  <c r="BA378" i="29" s="1"/>
  <c r="K158" i="29"/>
  <c r="C21" i="29"/>
  <c r="BQ658" i="29"/>
  <c r="AP556" i="29" s="1"/>
  <c r="DD482" i="29"/>
  <c r="AP419" i="29" s="1"/>
  <c r="CR201" i="29"/>
  <c r="BZ308" i="29"/>
  <c r="AP215" i="29" s="1"/>
  <c r="DE308" i="29"/>
  <c r="AP246" i="29" s="1"/>
  <c r="BZ658" i="29"/>
  <c r="AP565" i="29" s="1"/>
  <c r="BP832" i="29"/>
  <c r="AP729" i="29" s="1"/>
  <c r="CS308" i="29"/>
  <c r="AP234" i="29" s="1"/>
  <c r="CY832" i="29"/>
  <c r="AP764" i="29" s="1"/>
  <c r="DI308" i="29"/>
  <c r="AP250" i="29" s="1"/>
  <c r="CY658" i="29"/>
  <c r="AP590" i="29" s="1"/>
  <c r="BV1005" i="29"/>
  <c r="AP908" i="29" s="1"/>
  <c r="CL832" i="29"/>
  <c r="AP751" i="29" s="1"/>
  <c r="CU308" i="29"/>
  <c r="AP236" i="29" s="1"/>
  <c r="CI482" i="29"/>
  <c r="AP398" i="29" s="1"/>
  <c r="CJ658" i="29"/>
  <c r="AP575" i="29" s="1"/>
  <c r="DI832" i="29"/>
  <c r="AP774" i="29" s="1"/>
  <c r="CE482" i="29"/>
  <c r="AP394" i="29" s="1"/>
  <c r="BY482" i="29"/>
  <c r="AP388" i="29" s="1"/>
  <c r="CQ1005" i="29"/>
  <c r="AP929" i="29" s="1"/>
  <c r="BQ832" i="29"/>
  <c r="AP730" i="29" s="1"/>
  <c r="CA308" i="29"/>
  <c r="AP216" i="29" s="1"/>
  <c r="BP482" i="29"/>
  <c r="AP379" i="29" s="1"/>
  <c r="BU482" i="29"/>
  <c r="AP384" i="29" s="1"/>
  <c r="CA482" i="29"/>
  <c r="AP390" i="29" s="1"/>
  <c r="CP832" i="29"/>
  <c r="AP755" i="29" s="1"/>
  <c r="BY832" i="29"/>
  <c r="AP738" i="29" s="1"/>
  <c r="BV832" i="29"/>
  <c r="AP735" i="29" s="1"/>
  <c r="DL482" i="29"/>
  <c r="AP427" i="29" s="1"/>
  <c r="BO482" i="29"/>
  <c r="AP378" i="29" s="1"/>
  <c r="BT482" i="29"/>
  <c r="AP383" i="29" s="1"/>
  <c r="DK482" i="29"/>
  <c r="AP426" i="29" s="1"/>
  <c r="DJ832" i="29"/>
  <c r="AP775" i="29" s="1"/>
  <c r="DH308" i="29"/>
  <c r="AP249" i="29" s="1"/>
  <c r="BU1005" i="29"/>
  <c r="AP907" i="29" s="1"/>
  <c r="CQ308" i="29"/>
  <c r="AP232" i="29" s="1"/>
  <c r="CP658" i="29"/>
  <c r="AP581" i="29" s="1"/>
  <c r="CB1005" i="29"/>
  <c r="AP914" i="29" s="1"/>
  <c r="CS1005" i="29"/>
  <c r="AP931" i="29" s="1"/>
  <c r="CB658" i="29"/>
  <c r="AP567" i="29" s="1"/>
  <c r="CG658" i="29"/>
  <c r="AP572" i="29" s="1"/>
  <c r="BV308" i="29"/>
  <c r="AP211" i="29" s="1"/>
  <c r="CX1005" i="29"/>
  <c r="AP936" i="29" s="1"/>
  <c r="DD832" i="29"/>
  <c r="AP769" i="29" s="1"/>
  <c r="DF658" i="29"/>
  <c r="AP597" i="29" s="1"/>
  <c r="CT308" i="29"/>
  <c r="AP235" i="29" s="1"/>
  <c r="CO308" i="29"/>
  <c r="AP230" i="29" s="1"/>
  <c r="CB308" i="29"/>
  <c r="AP217" i="29" s="1"/>
  <c r="CL1005" i="29"/>
  <c r="AP924" i="29" s="1"/>
  <c r="CE1005" i="29"/>
  <c r="AP917" i="29" s="1"/>
  <c r="BS658" i="29"/>
  <c r="AP558" i="29" s="1"/>
  <c r="BU308" i="29"/>
  <c r="AP210" i="29" s="1"/>
  <c r="CN1005" i="29"/>
  <c r="AP926" i="29" s="1"/>
  <c r="DC308" i="29"/>
  <c r="AP244" i="29" s="1"/>
  <c r="CY308" i="29"/>
  <c r="AP240" i="29" s="1"/>
  <c r="BP658" i="29"/>
  <c r="AP555" i="29" s="1"/>
  <c r="DH658" i="29"/>
  <c r="AP599" i="29" s="1"/>
  <c r="DC658" i="29"/>
  <c r="AP594" i="29" s="1"/>
  <c r="CX308" i="29"/>
  <c r="AP239" i="29" s="1"/>
  <c r="DA308" i="29"/>
  <c r="AP242" i="29" s="1"/>
  <c r="DH1005" i="29"/>
  <c r="AP946" i="29" s="1"/>
  <c r="BR1005" i="29"/>
  <c r="AP904" i="29" s="1"/>
  <c r="BY658" i="29"/>
  <c r="AP564" i="29" s="1"/>
  <c r="CO482" i="29"/>
  <c r="AP404" i="29" s="1"/>
  <c r="BT832" i="29"/>
  <c r="AP733" i="29" s="1"/>
  <c r="DE658" i="29"/>
  <c r="AP596" i="29" s="1"/>
  <c r="BX482" i="29"/>
  <c r="AP387" i="29" s="1"/>
  <c r="CL482" i="29"/>
  <c r="AP401" i="29" s="1"/>
  <c r="DA482" i="29"/>
  <c r="AP416" i="29" s="1"/>
  <c r="BS1005" i="29"/>
  <c r="AP905" i="29" s="1"/>
  <c r="CG832" i="29"/>
  <c r="AP746" i="29" s="1"/>
  <c r="DA832" i="29"/>
  <c r="AP766" i="29" s="1"/>
  <c r="BO308" i="29"/>
  <c r="AP204" i="29" s="1"/>
  <c r="BS482" i="29"/>
  <c r="AP382" i="29" s="1"/>
  <c r="DH482" i="29"/>
  <c r="AP423" i="29" s="1"/>
  <c r="DK1005" i="29"/>
  <c r="AP949" i="29" s="1"/>
  <c r="CE832" i="29"/>
  <c r="AP744" i="29" s="1"/>
  <c r="BO1005" i="29"/>
  <c r="AP901" i="29" s="1"/>
  <c r="CX832" i="29"/>
  <c r="AP763" i="29" s="1"/>
  <c r="CX482" i="29"/>
  <c r="AP413" i="29" s="1"/>
  <c r="CD482" i="29"/>
  <c r="AP393" i="29" s="1"/>
  <c r="CL308" i="29"/>
  <c r="AP227" i="29" s="1"/>
  <c r="BO832" i="29"/>
  <c r="AP728" i="29" s="1"/>
  <c r="DK832" i="29"/>
  <c r="AP776" i="29" s="1"/>
  <c r="CI658" i="29"/>
  <c r="AP574" i="29" s="1"/>
  <c r="BR832" i="29"/>
  <c r="AP731" i="29" s="1"/>
  <c r="CS482" i="29"/>
  <c r="AP408" i="29" s="1"/>
  <c r="BO658" i="29"/>
  <c r="AP554" i="29" s="1"/>
  <c r="CP308" i="29"/>
  <c r="AP231" i="29" s="1"/>
  <c r="CK1005" i="29"/>
  <c r="AP923" i="29" s="1"/>
  <c r="CO658" i="29"/>
  <c r="AP580" i="29" s="1"/>
  <c r="CK308" i="29"/>
  <c r="AP226" i="29" s="1"/>
  <c r="DD1005" i="29"/>
  <c r="AP942" i="29" s="1"/>
  <c r="CI832" i="29"/>
  <c r="AP748" i="29" s="1"/>
  <c r="CF658" i="29"/>
  <c r="AP571" i="29" s="1"/>
  <c r="BW658" i="29"/>
  <c r="AP562" i="29" s="1"/>
  <c r="CN308" i="29"/>
  <c r="AP229" i="29" s="1"/>
  <c r="CO1005" i="29"/>
  <c r="AP927" i="29" s="1"/>
  <c r="DJ482" i="29"/>
  <c r="AP425" i="29" s="1"/>
  <c r="CK658" i="29"/>
  <c r="AP576" i="29" s="1"/>
  <c r="BQ1005" i="29"/>
  <c r="AP903" i="29" s="1"/>
  <c r="CT658" i="29"/>
  <c r="AP585" i="29" s="1"/>
  <c r="CY1005" i="29"/>
  <c r="AP937" i="29" s="1"/>
  <c r="CD832" i="29"/>
  <c r="AP743" i="29" s="1"/>
  <c r="BP308" i="29"/>
  <c r="AP205" i="29" s="1"/>
  <c r="DE1005" i="29"/>
  <c r="AP943" i="29" s="1"/>
  <c r="DA658" i="29"/>
  <c r="AP592" i="29" s="1"/>
  <c r="CD308" i="29"/>
  <c r="AP219" i="29" s="1"/>
  <c r="DI1005" i="29"/>
  <c r="AP947" i="29" s="1"/>
  <c r="CN832" i="29"/>
  <c r="AP753" i="29" s="1"/>
  <c r="CZ658" i="29"/>
  <c r="AP591" i="29" s="1"/>
  <c r="CK832" i="29"/>
  <c r="AP750" i="29" s="1"/>
  <c r="CO832" i="29"/>
  <c r="AP754" i="29" s="1"/>
  <c r="CW482" i="29"/>
  <c r="AP412" i="29" s="1"/>
  <c r="BV482" i="29"/>
  <c r="AP385" i="29" s="1"/>
  <c r="DC832" i="29"/>
  <c r="AP768" i="29" s="1"/>
  <c r="BU832" i="29"/>
  <c r="AP734" i="29" s="1"/>
  <c r="DK308" i="29"/>
  <c r="AP252" i="29" s="1"/>
  <c r="DC482" i="29"/>
  <c r="AP418" i="29" s="1"/>
  <c r="CY482" i="29"/>
  <c r="AP414" i="29" s="1"/>
  <c r="DI482" i="29"/>
  <c r="AP424" i="29" s="1"/>
  <c r="BV658" i="29"/>
  <c r="AP561" i="29" s="1"/>
  <c r="CQ482" i="29"/>
  <c r="AP406" i="29" s="1"/>
  <c r="CP1005" i="29"/>
  <c r="AP928" i="29" s="1"/>
  <c r="BY308" i="29"/>
  <c r="AP214" i="29" s="1"/>
  <c r="BZ1005" i="29"/>
  <c r="AP912" i="29" s="1"/>
  <c r="CX658" i="29"/>
  <c r="AP589" i="29" s="1"/>
  <c r="DF308" i="29"/>
  <c r="AP247" i="29" s="1"/>
  <c r="DA1005" i="29"/>
  <c r="AP939" i="29" s="1"/>
  <c r="DC1005" i="29"/>
  <c r="AP941" i="29" s="1"/>
  <c r="BU658" i="29"/>
  <c r="AP560" i="29" s="1"/>
  <c r="BP1005" i="29"/>
  <c r="AP902" i="29" s="1"/>
  <c r="CL658" i="29"/>
  <c r="AP577" i="29" s="1"/>
  <c r="DL658" i="29"/>
  <c r="AP603" i="29" s="1"/>
  <c r="BW1005" i="29"/>
  <c r="AP909" i="29" s="1"/>
  <c r="CQ832" i="29"/>
  <c r="AP756" i="29" s="1"/>
  <c r="CJ482" i="29"/>
  <c r="AP399" i="29" s="1"/>
  <c r="CA658" i="29"/>
  <c r="AP566" i="29" s="1"/>
  <c r="CB832" i="29"/>
  <c r="AP741" i="29" s="1"/>
  <c r="DI658" i="29"/>
  <c r="AP600" i="29" s="1"/>
  <c r="BQ308" i="29"/>
  <c r="AP206" i="29" s="1"/>
  <c r="BY1005" i="29"/>
  <c r="AP911" i="29" s="1"/>
  <c r="BZ832" i="29"/>
  <c r="AP739" i="29" s="1"/>
  <c r="CF832" i="29"/>
  <c r="AP745" i="29" s="1"/>
  <c r="CU658" i="29"/>
  <c r="AP586" i="29" s="1"/>
  <c r="DL308" i="29"/>
  <c r="AP253" i="29" s="1"/>
  <c r="BT1005" i="29"/>
  <c r="AP906" i="29" s="1"/>
  <c r="CQ658" i="29"/>
  <c r="AP582" i="29" s="1"/>
  <c r="CN482" i="29"/>
  <c r="AP403" i="29" s="1"/>
  <c r="DF832" i="29"/>
  <c r="AP771" i="29" s="1"/>
  <c r="BS832" i="29"/>
  <c r="AP732" i="29" s="1"/>
  <c r="CS658" i="29"/>
  <c r="AP584" i="29" s="1"/>
  <c r="CF308" i="29"/>
  <c r="AP221" i="29" s="1"/>
  <c r="CD1005" i="29"/>
  <c r="AP916" i="29" s="1"/>
  <c r="DF1005" i="29"/>
  <c r="AP944" i="29" s="1"/>
  <c r="DJ658" i="29"/>
  <c r="AP601" i="29" s="1"/>
  <c r="DJ1005" i="29"/>
  <c r="AP948" i="29" s="1"/>
  <c r="BS308" i="29"/>
  <c r="AP208" i="29" s="1"/>
  <c r="BW482" i="29"/>
  <c r="AP386" i="29" s="1"/>
  <c r="DE832" i="29"/>
  <c r="AP770" i="29" s="1"/>
  <c r="CF482" i="29"/>
  <c r="AP395" i="29" s="1"/>
  <c r="CI1005" i="29"/>
  <c r="AP921" i="29" s="1"/>
  <c r="DL832" i="29"/>
  <c r="AP777" i="29" s="1"/>
  <c r="CZ482" i="29"/>
  <c r="AP415" i="29" s="1"/>
  <c r="CV658" i="29"/>
  <c r="AP587" i="29" s="1"/>
  <c r="BX658" i="29"/>
  <c r="AP563" i="29" s="1"/>
  <c r="DD308" i="29"/>
  <c r="AP245" i="29" s="1"/>
  <c r="CZ1005" i="29"/>
  <c r="AP938" i="29" s="1"/>
  <c r="CU832" i="29"/>
  <c r="AP760" i="29" s="1"/>
  <c r="BT308" i="29"/>
  <c r="AP209" i="29" s="1"/>
  <c r="CF1005" i="29"/>
  <c r="AP918" i="29" s="1"/>
  <c r="CG482" i="29"/>
  <c r="AP396" i="29" s="1"/>
  <c r="CN658" i="29"/>
  <c r="AP579" i="29" s="1"/>
  <c r="CV308" i="29"/>
  <c r="AP237" i="29" s="1"/>
  <c r="CG1005" i="29"/>
  <c r="AP919" i="29" s="1"/>
  <c r="CA1005" i="29"/>
  <c r="AP913" i="29" s="1"/>
  <c r="CP482" i="29"/>
  <c r="AP405" i="29" s="1"/>
  <c r="BR658" i="29"/>
  <c r="AP557" i="29" s="1"/>
  <c r="CE658" i="29"/>
  <c r="AP570" i="29" s="1"/>
  <c r="CG308" i="29"/>
  <c r="AP222" i="29" s="1"/>
  <c r="CZ308" i="29"/>
  <c r="AP241" i="29" s="1"/>
  <c r="CT1005" i="29"/>
  <c r="AP932" i="29" s="1"/>
  <c r="DL1005" i="29"/>
  <c r="AP950" i="29" s="1"/>
  <c r="CZ832" i="29"/>
  <c r="AP765" i="29" s="1"/>
  <c r="CT482" i="29"/>
  <c r="AP409" i="29" s="1"/>
  <c r="DD658" i="29"/>
  <c r="AP595" i="29" s="1"/>
  <c r="BR308" i="29"/>
  <c r="AP207" i="29" s="1"/>
  <c r="CW1005" i="29"/>
  <c r="AP935" i="29" s="1"/>
  <c r="CW832" i="29"/>
  <c r="AP762" i="29" s="1"/>
  <c r="CW658" i="29"/>
  <c r="AP588" i="29" s="1"/>
  <c r="DK658" i="29"/>
  <c r="AP602" i="29" s="1"/>
  <c r="CW308" i="29"/>
  <c r="AP238" i="29" s="1"/>
  <c r="CJ308" i="29"/>
  <c r="AP225" i="29" s="1"/>
  <c r="CJ1005" i="29"/>
  <c r="AP922" i="29" s="1"/>
  <c r="CV1005" i="29"/>
  <c r="AP934" i="29" s="1"/>
  <c r="CJ832" i="29"/>
  <c r="AP749" i="29" s="1"/>
  <c r="CA832" i="29"/>
  <c r="AP740" i="29" s="1"/>
  <c r="CU482" i="29"/>
  <c r="AP410" i="29" s="1"/>
  <c r="BW832" i="29"/>
  <c r="AP736" i="29" s="1"/>
  <c r="CI308" i="29"/>
  <c r="AP224" i="29" s="1"/>
  <c r="BR482" i="29"/>
  <c r="AP381" i="29" s="1"/>
  <c r="BT658" i="29"/>
  <c r="AP559" i="29" s="1"/>
  <c r="CD658" i="29"/>
  <c r="AP569" i="29" s="1"/>
  <c r="DJ308" i="29"/>
  <c r="AP251" i="29" s="1"/>
  <c r="DH832" i="29"/>
  <c r="AP773" i="29" s="1"/>
  <c r="DF482" i="29"/>
  <c r="AP421" i="29" s="1"/>
  <c r="CU1005" i="29"/>
  <c r="AP933" i="29" s="1"/>
  <c r="CV832" i="29"/>
  <c r="AP761" i="29" s="1"/>
  <c r="CS832" i="29"/>
  <c r="AP758" i="29" s="1"/>
  <c r="BW308" i="29"/>
  <c r="AP212" i="29" s="1"/>
  <c r="CE308" i="29"/>
  <c r="AP220" i="29" s="1"/>
  <c r="BQ482" i="29"/>
  <c r="AP380" i="29" s="1"/>
  <c r="CK482" i="29"/>
  <c r="AP400" i="29" s="1"/>
  <c r="DE482" i="29"/>
  <c r="AP420" i="29" s="1"/>
  <c r="CV482" i="29"/>
  <c r="AP411" i="29" s="1"/>
  <c r="BZ482" i="29"/>
  <c r="AP389" i="29" s="1"/>
  <c r="CB482" i="29"/>
  <c r="AP391" i="29" s="1"/>
  <c r="CT832" i="29"/>
  <c r="AP759" i="29" s="1"/>
  <c r="T300" i="115"/>
  <c r="W300" i="115" s="1"/>
  <c r="X300" i="115" s="1"/>
  <c r="V300" i="115"/>
  <c r="S112" i="115"/>
  <c r="U112" i="115"/>
  <c r="AC302" i="115"/>
  <c r="Q302" i="115"/>
  <c r="R302" i="115" s="1"/>
  <c r="AD302" i="115"/>
  <c r="P303" i="115"/>
  <c r="U239" i="115"/>
  <c r="S239" i="115"/>
  <c r="Q113" i="115"/>
  <c r="R113" i="115" s="1"/>
  <c r="AC113" i="115"/>
  <c r="AD113" i="115"/>
  <c r="P114" i="115"/>
  <c r="Q240" i="115"/>
  <c r="R240" i="115" s="1"/>
  <c r="AC240" i="115"/>
  <c r="AD240" i="115"/>
  <c r="P241" i="115"/>
  <c r="T238" i="115"/>
  <c r="W238" i="115" s="1"/>
  <c r="X238" i="115" s="1"/>
  <c r="V238" i="115"/>
  <c r="V111" i="115"/>
  <c r="T111" i="115"/>
  <c r="W111" i="115" s="1"/>
  <c r="X111" i="115" s="1"/>
  <c r="S301" i="115"/>
  <c r="U301" i="115"/>
  <c r="G15" i="29"/>
  <c r="D21" i="29"/>
  <c r="F21" i="29"/>
  <c r="E21" i="29"/>
  <c r="P52" i="115"/>
  <c r="AC51" i="115"/>
  <c r="AD51" i="115"/>
  <c r="U50" i="115"/>
  <c r="W49" i="115"/>
  <c r="X49" i="115" s="1"/>
  <c r="V49" i="115"/>
  <c r="AH917" i="29"/>
  <c r="AI917" i="29" s="1"/>
  <c r="AJ917" i="29" s="1"/>
  <c r="AG918" i="29" s="1"/>
  <c r="AI566" i="29"/>
  <c r="AJ566" i="29" s="1"/>
  <c r="AG567" i="29" s="1"/>
  <c r="K833" i="29"/>
  <c r="AG832" i="29" s="1"/>
  <c r="BA728" i="29" s="1"/>
  <c r="K60" i="111"/>
  <c r="K60" i="110"/>
  <c r="K659" i="29"/>
  <c r="AI742" i="29"/>
  <c r="AJ742" i="29" s="1"/>
  <c r="AG743" i="29" s="1"/>
  <c r="DG308" i="29" l="1"/>
  <c r="AP248" i="29" s="1"/>
  <c r="DG482" i="29"/>
  <c r="AP422" i="29" s="1"/>
  <c r="CC658" i="29"/>
  <c r="AP568" i="29" s="1"/>
  <c r="CC1005" i="29"/>
  <c r="AP915" i="29" s="1"/>
  <c r="CM308" i="29"/>
  <c r="AP228" i="29" s="1"/>
  <c r="CR832" i="29"/>
  <c r="AP757" i="29" s="1"/>
  <c r="CM482" i="29"/>
  <c r="AP402" i="29" s="1"/>
  <c r="CC482" i="29"/>
  <c r="AP392" i="29" s="1"/>
  <c r="DB482" i="29"/>
  <c r="AP417" i="29" s="1"/>
  <c r="CH308" i="29"/>
  <c r="AP223" i="29" s="1"/>
  <c r="CM658" i="29"/>
  <c r="AP578" i="29" s="1"/>
  <c r="DG1005" i="29"/>
  <c r="AP945" i="29" s="1"/>
  <c r="CM1005" i="29"/>
  <c r="AP925" i="29" s="1"/>
  <c r="DB832" i="29"/>
  <c r="AP767" i="29" s="1"/>
  <c r="CM832" i="29"/>
  <c r="AP752" i="29" s="1"/>
  <c r="CC832" i="29"/>
  <c r="AP742" i="29" s="1"/>
  <c r="CH482" i="29"/>
  <c r="AP397" i="29" s="1"/>
  <c r="CR308" i="29"/>
  <c r="AP233" i="29" s="1"/>
  <c r="CR1005" i="29"/>
  <c r="AP930" i="29" s="1"/>
  <c r="AL832" i="29"/>
  <c r="BF728" i="29" s="1"/>
  <c r="BF729" i="29" s="1"/>
  <c r="AH832" i="29"/>
  <c r="BB728" i="29" s="1"/>
  <c r="BB729" i="29" s="1"/>
  <c r="AF658" i="29"/>
  <c r="AZ554" i="29" s="1"/>
  <c r="AZ555" i="29" s="1"/>
  <c r="AL658" i="29"/>
  <c r="BF554" i="29" s="1"/>
  <c r="BF555" i="29" s="1"/>
  <c r="AB110" i="115"/>
  <c r="BK405" i="29" s="1"/>
  <c r="AM832" i="29"/>
  <c r="BG728" i="29" s="1"/>
  <c r="BG729" i="29" s="1"/>
  <c r="AF832" i="29"/>
  <c r="AZ728" i="29" s="1"/>
  <c r="AZ729" i="29" s="1"/>
  <c r="AB237" i="115"/>
  <c r="BK756" i="29" s="1"/>
  <c r="Y238" i="115"/>
  <c r="Z238" i="115" s="1"/>
  <c r="AA238" i="115" s="1"/>
  <c r="AU757" i="29" s="1"/>
  <c r="Y111" i="115"/>
  <c r="Z111" i="115" s="1"/>
  <c r="AA111" i="115" s="1"/>
  <c r="AU406" i="29" s="1"/>
  <c r="Y49" i="115"/>
  <c r="Z49" i="115" s="1"/>
  <c r="AA49" i="115" s="1"/>
  <c r="AU233" i="29" s="1"/>
  <c r="AB299" i="115"/>
  <c r="BK928" i="29" s="1"/>
  <c r="CH832" i="29"/>
  <c r="AP747" i="29" s="1"/>
  <c r="AP460" i="118"/>
  <c r="Q460" i="118"/>
  <c r="AT460" i="118"/>
  <c r="BL460" i="118"/>
  <c r="BR460" i="118" s="1"/>
  <c r="AK460" i="118"/>
  <c r="AL460" i="118" s="1"/>
  <c r="AM460" i="118"/>
  <c r="AE460" i="118"/>
  <c r="AF460" i="118" s="1"/>
  <c r="AI460" i="118"/>
  <c r="AJ460" i="118" s="1"/>
  <c r="BC595" i="118"/>
  <c r="AZ595" i="118"/>
  <c r="BI595" i="118" s="1"/>
  <c r="AE905" i="29"/>
  <c r="AF905" i="29" s="1"/>
  <c r="N596" i="118"/>
  <c r="P596" i="118"/>
  <c r="Y300" i="115"/>
  <c r="Z300" i="115" s="1"/>
  <c r="AA300" i="115" s="1"/>
  <c r="AU929" i="29" s="1"/>
  <c r="AM658" i="29"/>
  <c r="BG554" i="29" s="1"/>
  <c r="BG555" i="29" s="1"/>
  <c r="AT378" i="29"/>
  <c r="CH658" i="29"/>
  <c r="AP573" i="29" s="1"/>
  <c r="CR658" i="29"/>
  <c r="AP583" i="29" s="1"/>
  <c r="AE734" i="29"/>
  <c r="AF734" i="29" s="1"/>
  <c r="AK734" i="29"/>
  <c r="AD561" i="29"/>
  <c r="AE561" i="29" s="1"/>
  <c r="AF561" i="29" s="1"/>
  <c r="AK561" i="29"/>
  <c r="AO561" i="29" s="1"/>
  <c r="AX327" i="118"/>
  <c r="BG327" i="118" s="1"/>
  <c r="O327" i="118"/>
  <c r="AD327" i="118"/>
  <c r="BP327" i="118"/>
  <c r="AZ59" i="118"/>
  <c r="BI59" i="118" s="1"/>
  <c r="BC59" i="118"/>
  <c r="N60" i="118"/>
  <c r="P60" i="118"/>
  <c r="Y194" i="118"/>
  <c r="AC194" i="118" s="1"/>
  <c r="O194" i="118" s="1"/>
  <c r="AA194" i="118"/>
  <c r="AB194" i="118" s="1"/>
  <c r="AX555" i="29"/>
  <c r="AN556" i="29"/>
  <c r="BH556" i="29" s="1"/>
  <c r="BC555" i="29"/>
  <c r="AE113" i="115"/>
  <c r="AV408" i="29" s="1"/>
  <c r="BD555" i="29"/>
  <c r="AE302" i="115"/>
  <c r="AV931" i="29" s="1"/>
  <c r="BA555" i="29"/>
  <c r="AY555" i="29"/>
  <c r="AE51" i="115"/>
  <c r="AV235" i="29" s="1"/>
  <c r="AE240" i="115"/>
  <c r="AV759" i="29" s="1"/>
  <c r="AE176" i="115"/>
  <c r="AV584" i="29" s="1"/>
  <c r="AA174" i="115"/>
  <c r="AU582" i="29" s="1"/>
  <c r="V175" i="115"/>
  <c r="T175" i="115"/>
  <c r="W175" i="115" s="1"/>
  <c r="X175" i="115" s="1"/>
  <c r="Q52" i="115"/>
  <c r="R52" i="115" s="1"/>
  <c r="S52" i="115" s="1"/>
  <c r="T52" i="115" s="1"/>
  <c r="AQ205" i="29"/>
  <c r="BH205" i="29"/>
  <c r="S176" i="115"/>
  <c r="U176" i="115"/>
  <c r="AQ555" i="29"/>
  <c r="BH555" i="29"/>
  <c r="AB173" i="115"/>
  <c r="BK581" i="29" s="1"/>
  <c r="AB48" i="115"/>
  <c r="BK232" i="29" s="1"/>
  <c r="AQ729" i="29"/>
  <c r="BH729" i="29"/>
  <c r="AQ903" i="29"/>
  <c r="BH903" i="29"/>
  <c r="AQ379" i="29"/>
  <c r="BH379" i="29"/>
  <c r="Q177" i="115"/>
  <c r="R177" i="115" s="1"/>
  <c r="AD177" i="115"/>
  <c r="AC177" i="115"/>
  <c r="P178" i="115"/>
  <c r="AY205" i="29"/>
  <c r="AX205" i="29"/>
  <c r="AY903" i="29"/>
  <c r="AN904" i="29"/>
  <c r="AY729" i="29"/>
  <c r="AX729" i="29"/>
  <c r="BE729" i="29"/>
  <c r="BD729" i="29"/>
  <c r="BA729" i="29"/>
  <c r="AN730" i="29"/>
  <c r="BE379" i="29"/>
  <c r="AX379" i="29"/>
  <c r="BG379" i="29"/>
  <c r="BC379" i="29"/>
  <c r="AY379" i="29"/>
  <c r="AZ379" i="29"/>
  <c r="BF379" i="29"/>
  <c r="BB379" i="29"/>
  <c r="BD379" i="29"/>
  <c r="BA379" i="29"/>
  <c r="AN380" i="29"/>
  <c r="AN206" i="29"/>
  <c r="K862" i="29"/>
  <c r="AI832" i="29"/>
  <c r="BC728" i="29" s="1"/>
  <c r="K688" i="29"/>
  <c r="AH658" i="29"/>
  <c r="BB554" i="29" s="1"/>
  <c r="U240" i="115"/>
  <c r="S240" i="115"/>
  <c r="T301" i="115"/>
  <c r="W301" i="115" s="1"/>
  <c r="X301" i="115" s="1"/>
  <c r="V301" i="115"/>
  <c r="Q303" i="115"/>
  <c r="R303" i="115" s="1"/>
  <c r="AC303" i="115"/>
  <c r="AD303" i="115"/>
  <c r="P304" i="115"/>
  <c r="T239" i="115"/>
  <c r="W239" i="115" s="1"/>
  <c r="X239" i="115" s="1"/>
  <c r="V239" i="115"/>
  <c r="AC114" i="115"/>
  <c r="Q114" i="115"/>
  <c r="R114" i="115" s="1"/>
  <c r="AD114" i="115"/>
  <c r="P115" i="115"/>
  <c r="S113" i="115"/>
  <c r="U113" i="115"/>
  <c r="V112" i="115"/>
  <c r="T112" i="115"/>
  <c r="W112" i="115" s="1"/>
  <c r="X112" i="115" s="1"/>
  <c r="Y112" i="115" s="1"/>
  <c r="Z112" i="115" s="1"/>
  <c r="AC241" i="115"/>
  <c r="Q241" i="115"/>
  <c r="R241" i="115" s="1"/>
  <c r="AD241" i="115"/>
  <c r="P242" i="115"/>
  <c r="S302" i="115"/>
  <c r="U302" i="115"/>
  <c r="AE833" i="29"/>
  <c r="AE855" i="29" s="1"/>
  <c r="AC52" i="115"/>
  <c r="P53" i="115"/>
  <c r="AD52" i="115"/>
  <c r="V50" i="115"/>
  <c r="W50" i="115"/>
  <c r="X50" i="115" s="1"/>
  <c r="U51" i="115"/>
  <c r="AD659" i="29"/>
  <c r="AD681" i="29" s="1"/>
  <c r="AE659" i="29"/>
  <c r="AE681" i="29" s="1"/>
  <c r="AH918" i="29"/>
  <c r="AI918" i="29" s="1"/>
  <c r="AJ918" i="29" s="1"/>
  <c r="AH567" i="29"/>
  <c r="AI567" i="29" s="1"/>
  <c r="AJ567" i="29" s="1"/>
  <c r="AG568" i="29" s="1"/>
  <c r="AA659" i="29"/>
  <c r="AC659" i="29"/>
  <c r="AC681" i="29" s="1"/>
  <c r="AA833" i="29"/>
  <c r="AC833" i="29"/>
  <c r="AC855" i="29" s="1"/>
  <c r="AH743" i="29"/>
  <c r="S142" i="93"/>
  <c r="BD556" i="29" l="1"/>
  <c r="AT728" i="29"/>
  <c r="Y239" i="115"/>
  <c r="Z239" i="115" s="1"/>
  <c r="AA239" i="115" s="1"/>
  <c r="AU758" i="29" s="1"/>
  <c r="Y50" i="115"/>
  <c r="Z50" i="115" s="1"/>
  <c r="AA50" i="115" s="1"/>
  <c r="AU234" i="29" s="1"/>
  <c r="X596" i="118"/>
  <c r="AC906" i="29"/>
  <c r="AK906" i="29" s="1"/>
  <c r="AO906" i="29" s="1"/>
  <c r="AD906" i="29"/>
  <c r="AZ460" i="118"/>
  <c r="BI460" i="118" s="1"/>
  <c r="BC460" i="118"/>
  <c r="N461" i="118"/>
  <c r="P461" i="118"/>
  <c r="BF556" i="29"/>
  <c r="AY556" i="29"/>
  <c r="AO734" i="29"/>
  <c r="Y175" i="115"/>
  <c r="Z175" i="115" s="1"/>
  <c r="AA175" i="115" s="1"/>
  <c r="AB175" i="115" s="1"/>
  <c r="BK583" i="29" s="1"/>
  <c r="Y301" i="115"/>
  <c r="Z301" i="115" s="1"/>
  <c r="AA301" i="115" s="1"/>
  <c r="AU930" i="29" s="1"/>
  <c r="AQ556" i="29"/>
  <c r="AC735" i="29"/>
  <c r="AD735" i="29"/>
  <c r="AC562" i="29"/>
  <c r="AD562" i="29"/>
  <c r="AK327" i="118"/>
  <c r="AL327" i="118" s="1"/>
  <c r="AI327" i="118"/>
  <c r="AJ327" i="118" s="1"/>
  <c r="BL327" i="118"/>
  <c r="BR327" i="118" s="1"/>
  <c r="AM327" i="118"/>
  <c r="AP327" i="118"/>
  <c r="Q327" i="118"/>
  <c r="AT327" i="118"/>
  <c r="AE327" i="118"/>
  <c r="AF327" i="118" s="1"/>
  <c r="X60" i="118"/>
  <c r="Q194" i="118"/>
  <c r="AK194" i="118"/>
  <c r="AL194" i="118" s="1"/>
  <c r="AP194" i="118"/>
  <c r="BL194" i="118"/>
  <c r="AT194" i="118"/>
  <c r="AM194" i="118"/>
  <c r="AI194" i="118"/>
  <c r="AJ194" i="118" s="1"/>
  <c r="BP194" i="118"/>
  <c r="AD194" i="118"/>
  <c r="AX194" i="118"/>
  <c r="BG194" i="118" s="1"/>
  <c r="AH194" i="118"/>
  <c r="BO194" i="118"/>
  <c r="AQ194" i="118"/>
  <c r="AW194" i="118"/>
  <c r="BF194" i="118" s="1"/>
  <c r="AE194" i="118"/>
  <c r="AF194" i="118" s="1"/>
  <c r="Z194" i="118"/>
  <c r="AX556" i="29"/>
  <c r="BE556" i="29"/>
  <c r="AN557" i="29"/>
  <c r="BH557" i="29" s="1"/>
  <c r="BA556" i="29"/>
  <c r="AZ556" i="29"/>
  <c r="BC556" i="29"/>
  <c r="BG556" i="29"/>
  <c r="BG557" i="29" s="1"/>
  <c r="AE52" i="115"/>
  <c r="AV236" i="29" s="1"/>
  <c r="AB49" i="115"/>
  <c r="BK233" i="29" s="1"/>
  <c r="AE241" i="115"/>
  <c r="AV760" i="29" s="1"/>
  <c r="AE114" i="115"/>
  <c r="AV409" i="29" s="1"/>
  <c r="AE303" i="115"/>
  <c r="AV932" i="29" s="1"/>
  <c r="AB174" i="115"/>
  <c r="BK582" i="29" s="1"/>
  <c r="AE177" i="115"/>
  <c r="AV585" i="29" s="1"/>
  <c r="T176" i="115"/>
  <c r="W176" i="115" s="1"/>
  <c r="X176" i="115" s="1"/>
  <c r="V176" i="115"/>
  <c r="AQ380" i="29"/>
  <c r="BH380" i="29"/>
  <c r="S177" i="115"/>
  <c r="U177" i="115"/>
  <c r="AA112" i="115"/>
  <c r="AU407" i="29" s="1"/>
  <c r="AQ730" i="29"/>
  <c r="BH730" i="29"/>
  <c r="Q53" i="115"/>
  <c r="R53" i="115" s="1"/>
  <c r="S53" i="115" s="1"/>
  <c r="T53" i="115" s="1"/>
  <c r="AC178" i="115"/>
  <c r="P179" i="115"/>
  <c r="Q178" i="115"/>
  <c r="R178" i="115" s="1"/>
  <c r="AD178" i="115"/>
  <c r="AB238" i="115"/>
  <c r="BK757" i="29" s="1"/>
  <c r="AQ904" i="29"/>
  <c r="BH904" i="29"/>
  <c r="AN207" i="29"/>
  <c r="AQ206" i="29"/>
  <c r="BH206" i="29"/>
  <c r="AB300" i="115"/>
  <c r="BK929" i="29" s="1"/>
  <c r="AB111" i="115"/>
  <c r="BK406" i="29" s="1"/>
  <c r="AX206" i="29"/>
  <c r="BC729" i="29"/>
  <c r="BC730" i="29" s="1"/>
  <c r="AT379" i="29"/>
  <c r="AY206" i="29"/>
  <c r="BA730" i="29"/>
  <c r="AX730" i="29"/>
  <c r="BF730" i="29"/>
  <c r="BG730" i="29"/>
  <c r="BB730" i="29"/>
  <c r="BE730" i="29"/>
  <c r="BD730" i="29"/>
  <c r="AZ730" i="29"/>
  <c r="AY730" i="29"/>
  <c r="AN731" i="29"/>
  <c r="AY904" i="29"/>
  <c r="AN905" i="29"/>
  <c r="AT554" i="29"/>
  <c r="BB555" i="29"/>
  <c r="BE380" i="29"/>
  <c r="BC380" i="29"/>
  <c r="AZ380" i="29"/>
  <c r="BA380" i="29"/>
  <c r="AY380" i="29"/>
  <c r="BF380" i="29"/>
  <c r="BB380" i="29"/>
  <c r="AX380" i="29"/>
  <c r="BG380" i="29"/>
  <c r="BD380" i="29"/>
  <c r="AN381" i="29"/>
  <c r="U241" i="115"/>
  <c r="S241" i="115"/>
  <c r="Q242" i="115"/>
  <c r="R242" i="115" s="1"/>
  <c r="AC242" i="115"/>
  <c r="AD242" i="115"/>
  <c r="P243" i="115"/>
  <c r="V113" i="115"/>
  <c r="T113" i="115"/>
  <c r="W113" i="115" s="1"/>
  <c r="X113" i="115" s="1"/>
  <c r="S114" i="115"/>
  <c r="U114" i="115"/>
  <c r="S303" i="115"/>
  <c r="U303" i="115"/>
  <c r="V302" i="115"/>
  <c r="T302" i="115"/>
  <c r="W302" i="115" s="1"/>
  <c r="X302" i="115" s="1"/>
  <c r="AC115" i="115"/>
  <c r="Q115" i="115"/>
  <c r="R115" i="115" s="1"/>
  <c r="AD115" i="115"/>
  <c r="P116" i="115"/>
  <c r="AC304" i="115"/>
  <c r="Q304" i="115"/>
  <c r="R304" i="115" s="1"/>
  <c r="AD304" i="115"/>
  <c r="P305" i="115"/>
  <c r="V240" i="115"/>
  <c r="T240" i="115"/>
  <c r="W240" i="115" s="1"/>
  <c r="X240" i="115" s="1"/>
  <c r="Y240" i="115" s="1"/>
  <c r="Z240" i="115" s="1"/>
  <c r="AD53" i="115"/>
  <c r="AC53" i="115"/>
  <c r="P54" i="115"/>
  <c r="U52" i="115"/>
  <c r="W51" i="115"/>
  <c r="X51" i="115" s="1"/>
  <c r="V51" i="115"/>
  <c r="AG919" i="29"/>
  <c r="AH919" i="29"/>
  <c r="AI743" i="29"/>
  <c r="AJ743" i="29" s="1"/>
  <c r="AG744" i="29" s="1"/>
  <c r="AH568" i="29"/>
  <c r="AQ557" i="29" l="1"/>
  <c r="AU583" i="29"/>
  <c r="AB239" i="115"/>
  <c r="BK758" i="29" s="1"/>
  <c r="Y176" i="115"/>
  <c r="Z176" i="115" s="1"/>
  <c r="AA176" i="115" s="1"/>
  <c r="AU584" i="29" s="1"/>
  <c r="Y113" i="115"/>
  <c r="Z113" i="115" s="1"/>
  <c r="AA113" i="115" s="1"/>
  <c r="AU408" i="29" s="1"/>
  <c r="Y51" i="115"/>
  <c r="Z51" i="115" s="1"/>
  <c r="AA51" i="115" s="1"/>
  <c r="AU235" i="29" s="1"/>
  <c r="AY557" i="29"/>
  <c r="AE906" i="29"/>
  <c r="AF906" i="29" s="1"/>
  <c r="AC907" i="29" s="1"/>
  <c r="X461" i="118"/>
  <c r="AA596" i="118"/>
  <c r="AB596" i="118" s="1"/>
  <c r="Y596" i="118"/>
  <c r="Y302" i="115"/>
  <c r="Z302" i="115" s="1"/>
  <c r="AA302" i="115" s="1"/>
  <c r="AU931" i="29" s="1"/>
  <c r="BF557" i="29"/>
  <c r="BE557" i="29"/>
  <c r="AN558" i="29"/>
  <c r="BG558" i="29" s="1"/>
  <c r="AZ557" i="29"/>
  <c r="AX557" i="29"/>
  <c r="BD557" i="29"/>
  <c r="BA557" i="29"/>
  <c r="AE735" i="29"/>
  <c r="AF735" i="29" s="1"/>
  <c r="AK735" i="29"/>
  <c r="AE562" i="29"/>
  <c r="AF562" i="29" s="1"/>
  <c r="AK562" i="29"/>
  <c r="AO562" i="29" s="1"/>
  <c r="AZ327" i="118"/>
  <c r="BI327" i="118" s="1"/>
  <c r="BC327" i="118"/>
  <c r="P328" i="118"/>
  <c r="N328" i="118"/>
  <c r="BC557" i="29"/>
  <c r="Y60" i="118"/>
  <c r="AC60" i="118" s="1"/>
  <c r="O60" i="118" s="1"/>
  <c r="AA60" i="118"/>
  <c r="AB60" i="118" s="1"/>
  <c r="BR194" i="118"/>
  <c r="AZ194" i="118"/>
  <c r="BI194" i="118" s="1"/>
  <c r="BC194" i="118"/>
  <c r="N195" i="118"/>
  <c r="P195" i="118"/>
  <c r="AE178" i="115"/>
  <c r="AV586" i="29" s="1"/>
  <c r="AE53" i="115"/>
  <c r="AV237" i="29" s="1"/>
  <c r="AB112" i="115"/>
  <c r="BK407" i="29" s="1"/>
  <c r="AE115" i="115"/>
  <c r="AV410" i="29" s="1"/>
  <c r="AB301" i="115"/>
  <c r="BK930" i="29" s="1"/>
  <c r="AB50" i="115"/>
  <c r="BK234" i="29" s="1"/>
  <c r="AE304" i="115"/>
  <c r="AV933" i="29" s="1"/>
  <c r="AE242" i="115"/>
  <c r="AV761" i="29" s="1"/>
  <c r="AQ207" i="29"/>
  <c r="BH207" i="29"/>
  <c r="AA240" i="115"/>
  <c r="AU759" i="29" s="1"/>
  <c r="AQ731" i="29"/>
  <c r="BH731" i="29"/>
  <c r="AY207" i="29"/>
  <c r="AD179" i="115"/>
  <c r="P180" i="115"/>
  <c r="Q179" i="115"/>
  <c r="R179" i="115" s="1"/>
  <c r="AC179" i="115"/>
  <c r="Q54" i="115"/>
  <c r="R54" i="115" s="1"/>
  <c r="S54" i="115" s="1"/>
  <c r="T54" i="115" s="1"/>
  <c r="AX207" i="29"/>
  <c r="AQ381" i="29"/>
  <c r="BH381" i="29"/>
  <c r="T177" i="115"/>
  <c r="W177" i="115" s="1"/>
  <c r="X177" i="115" s="1"/>
  <c r="Y177" i="115" s="1"/>
  <c r="Z177" i="115" s="1"/>
  <c r="V177" i="115"/>
  <c r="U178" i="115"/>
  <c r="S178" i="115"/>
  <c r="AN208" i="29"/>
  <c r="AQ905" i="29"/>
  <c r="BH905" i="29"/>
  <c r="AT729" i="29"/>
  <c r="AX381" i="29"/>
  <c r="BC381" i="29"/>
  <c r="BA381" i="29"/>
  <c r="BE381" i="29"/>
  <c r="BD381" i="29"/>
  <c r="BG381" i="29"/>
  <c r="AZ381" i="29"/>
  <c r="BF381" i="29"/>
  <c r="BB381" i="29"/>
  <c r="AY381" i="29"/>
  <c r="AN382" i="29"/>
  <c r="AY905" i="29"/>
  <c r="AN906" i="29"/>
  <c r="AT730" i="29"/>
  <c r="BB731" i="29"/>
  <c r="AY731" i="29"/>
  <c r="BG731" i="29"/>
  <c r="BC731" i="29"/>
  <c r="BF731" i="29"/>
  <c r="BA731" i="29"/>
  <c r="AX731" i="29"/>
  <c r="BE731" i="29"/>
  <c r="BD731" i="29"/>
  <c r="AZ731" i="29"/>
  <c r="AN732" i="29"/>
  <c r="AT380" i="29"/>
  <c r="AT555" i="29"/>
  <c r="BB556" i="29"/>
  <c r="U115" i="115"/>
  <c r="S115" i="115"/>
  <c r="V114" i="115"/>
  <c r="T114" i="115"/>
  <c r="W114" i="115" s="1"/>
  <c r="X114" i="115" s="1"/>
  <c r="Y114" i="115" s="1"/>
  <c r="Z114" i="115" s="1"/>
  <c r="AA114" i="115" s="1"/>
  <c r="AU409" i="29" s="1"/>
  <c r="S304" i="115"/>
  <c r="U304" i="115"/>
  <c r="AC116" i="115"/>
  <c r="Q116" i="115"/>
  <c r="R116" i="115" s="1"/>
  <c r="AD116" i="115"/>
  <c r="P117" i="115"/>
  <c r="V303" i="115"/>
  <c r="T303" i="115"/>
  <c r="W303" i="115" s="1"/>
  <c r="X303" i="115" s="1"/>
  <c r="V241" i="115"/>
  <c r="T241" i="115"/>
  <c r="W241" i="115" s="1"/>
  <c r="X241" i="115" s="1"/>
  <c r="Y241" i="115" s="1"/>
  <c r="Z241" i="115" s="1"/>
  <c r="AC305" i="115"/>
  <c r="Q305" i="115"/>
  <c r="R305" i="115" s="1"/>
  <c r="AD305" i="115"/>
  <c r="P306" i="115"/>
  <c r="AC243" i="115"/>
  <c r="Q243" i="115"/>
  <c r="R243" i="115" s="1"/>
  <c r="AD243" i="115"/>
  <c r="P244" i="115"/>
  <c r="U242" i="115"/>
  <c r="S242" i="115"/>
  <c r="U53" i="115"/>
  <c r="V52" i="115"/>
  <c r="W52" i="115"/>
  <c r="X52" i="115" s="1"/>
  <c r="AC54" i="115"/>
  <c r="P55" i="115"/>
  <c r="AD54" i="115"/>
  <c r="AI919" i="29"/>
  <c r="AJ919" i="29" s="1"/>
  <c r="AG920" i="29" s="1"/>
  <c r="AH744" i="29"/>
  <c r="AI744" i="29" s="1"/>
  <c r="AJ744" i="29" s="1"/>
  <c r="AG745" i="29" s="1"/>
  <c r="AI568" i="29"/>
  <c r="AJ568" i="29" s="1"/>
  <c r="AG569" i="29" s="1"/>
  <c r="D74" i="29"/>
  <c r="E74" i="29"/>
  <c r="F74" i="29"/>
  <c r="G73" i="29"/>
  <c r="F73" i="29"/>
  <c r="E73" i="29"/>
  <c r="D73" i="29"/>
  <c r="C73" i="29"/>
  <c r="G72" i="29"/>
  <c r="F72" i="29"/>
  <c r="E72" i="29"/>
  <c r="D72" i="29"/>
  <c r="C72" i="29"/>
  <c r="BA558" i="29" l="1"/>
  <c r="AN559" i="29"/>
  <c r="AY559" i="29" s="1"/>
  <c r="BH558" i="29"/>
  <c r="AY558" i="29"/>
  <c r="AQ558" i="29"/>
  <c r="AX558" i="29"/>
  <c r="Y52" i="115"/>
  <c r="Z52" i="115" s="1"/>
  <c r="BD558" i="29"/>
  <c r="BC558" i="29"/>
  <c r="Y303" i="115"/>
  <c r="Z303" i="115" s="1"/>
  <c r="AA303" i="115" s="1"/>
  <c r="AU932" i="29" s="1"/>
  <c r="AD907" i="29"/>
  <c r="AE907" i="29" s="1"/>
  <c r="AF907" i="29" s="1"/>
  <c r="AH596" i="118"/>
  <c r="AA461" i="118"/>
  <c r="AB461" i="118" s="1"/>
  <c r="Y461" i="118"/>
  <c r="AH461" i="118" s="1"/>
  <c r="AC596" i="118"/>
  <c r="AQ596" i="118"/>
  <c r="Z596" i="118"/>
  <c r="BO596" i="118"/>
  <c r="AW596" i="118"/>
  <c r="BF596" i="118" s="1"/>
  <c r="AK907" i="29"/>
  <c r="AO907" i="29" s="1"/>
  <c r="BE558" i="29"/>
  <c r="AO735" i="29"/>
  <c r="BF558" i="29"/>
  <c r="BF559" i="29" s="1"/>
  <c r="AZ558" i="29"/>
  <c r="AD736" i="29"/>
  <c r="AC736" i="29"/>
  <c r="AC563" i="29"/>
  <c r="AD563" i="29"/>
  <c r="X328" i="118"/>
  <c r="Y328" i="118" s="1"/>
  <c r="AH328" i="118" s="1"/>
  <c r="AH60" i="118"/>
  <c r="Q60" i="118"/>
  <c r="AK60" i="118"/>
  <c r="AL60" i="118" s="1"/>
  <c r="AT60" i="118"/>
  <c r="AP60" i="118"/>
  <c r="BL60" i="118"/>
  <c r="AD60" i="118"/>
  <c r="AX60" i="118"/>
  <c r="BG60" i="118" s="1"/>
  <c r="BP60" i="118"/>
  <c r="AM60" i="118"/>
  <c r="AI60" i="118"/>
  <c r="AJ60" i="118" s="1"/>
  <c r="BO60" i="118"/>
  <c r="AW60" i="118"/>
  <c r="BF60" i="118" s="1"/>
  <c r="AQ60" i="118"/>
  <c r="AE60" i="118"/>
  <c r="AF60" i="118" s="1"/>
  <c r="Z60" i="118"/>
  <c r="X195" i="118"/>
  <c r="AE305" i="115"/>
  <c r="AV934" i="29" s="1"/>
  <c r="AE54" i="115"/>
  <c r="AV238" i="29" s="1"/>
  <c r="AB302" i="115"/>
  <c r="BK931" i="29" s="1"/>
  <c r="AE179" i="115"/>
  <c r="AV587" i="29" s="1"/>
  <c r="AB240" i="115"/>
  <c r="BK759" i="29" s="1"/>
  <c r="AN209" i="29"/>
  <c r="AN210" i="29" s="1"/>
  <c r="BH210" i="29" s="1"/>
  <c r="AY208" i="29"/>
  <c r="AE243" i="115"/>
  <c r="AV762" i="29" s="1"/>
  <c r="AE116" i="115"/>
  <c r="AV411" i="29" s="1"/>
  <c r="AX208" i="29"/>
  <c r="T178" i="115"/>
  <c r="W178" i="115" s="1"/>
  <c r="X178" i="115" s="1"/>
  <c r="Y178" i="115" s="1"/>
  <c r="Z178" i="115" s="1"/>
  <c r="AA178" i="115" s="1"/>
  <c r="V178" i="115"/>
  <c r="AA52" i="115"/>
  <c r="AU236" i="29" s="1"/>
  <c r="AQ208" i="29"/>
  <c r="BH208" i="29"/>
  <c r="AA177" i="115"/>
  <c r="AU585" i="29" s="1"/>
  <c r="AD180" i="115"/>
  <c r="AC180" i="115"/>
  <c r="P181" i="115"/>
  <c r="Q180" i="115"/>
  <c r="R180" i="115" s="1"/>
  <c r="AQ906" i="29"/>
  <c r="BH906" i="29"/>
  <c r="AQ732" i="29"/>
  <c r="BH732" i="29"/>
  <c r="AQ559" i="29"/>
  <c r="AQ382" i="29"/>
  <c r="BH382" i="29"/>
  <c r="AA241" i="115"/>
  <c r="AU760" i="29" s="1"/>
  <c r="S179" i="115"/>
  <c r="U179" i="115"/>
  <c r="Q55" i="115"/>
  <c r="R55" i="115" s="1"/>
  <c r="S55" i="115" s="1"/>
  <c r="T55" i="115" s="1"/>
  <c r="AB176" i="115"/>
  <c r="BK584" i="29" s="1"/>
  <c r="AB51" i="115"/>
  <c r="BK235" i="29" s="1"/>
  <c r="AB113" i="115"/>
  <c r="BK408" i="29" s="1"/>
  <c r="AT381" i="29"/>
  <c r="BC732" i="29"/>
  <c r="AX732" i="29"/>
  <c r="AY732" i="29"/>
  <c r="BD732" i="29"/>
  <c r="BE732" i="29"/>
  <c r="BA732" i="29"/>
  <c r="BB732" i="29"/>
  <c r="BG732" i="29"/>
  <c r="AZ732" i="29"/>
  <c r="BF732" i="29"/>
  <c r="AN733" i="29"/>
  <c r="AN560" i="29"/>
  <c r="AT556" i="29"/>
  <c r="BB557" i="29"/>
  <c r="AT731" i="29"/>
  <c r="AY382" i="29"/>
  <c r="BD382" i="29"/>
  <c r="BG382" i="29"/>
  <c r="AX382" i="29"/>
  <c r="BC382" i="29"/>
  <c r="AZ382" i="29"/>
  <c r="BE382" i="29"/>
  <c r="BB382" i="29"/>
  <c r="BF382" i="29"/>
  <c r="BA382" i="29"/>
  <c r="AN383" i="29"/>
  <c r="AY906" i="29"/>
  <c r="AN907" i="29"/>
  <c r="AC306" i="115"/>
  <c r="Q306" i="115"/>
  <c r="R306" i="115" s="1"/>
  <c r="AD306" i="115"/>
  <c r="P307" i="115"/>
  <c r="U243" i="115"/>
  <c r="S243" i="115"/>
  <c r="V115" i="115"/>
  <c r="T115" i="115"/>
  <c r="W115" i="115" s="1"/>
  <c r="X115" i="115" s="1"/>
  <c r="Q244" i="115"/>
  <c r="R244" i="115" s="1"/>
  <c r="AC244" i="115"/>
  <c r="AD244" i="115"/>
  <c r="P245" i="115"/>
  <c r="T304" i="115"/>
  <c r="W304" i="115" s="1"/>
  <c r="X304" i="115" s="1"/>
  <c r="V304" i="115"/>
  <c r="U305" i="115"/>
  <c r="S305" i="115"/>
  <c r="U116" i="115"/>
  <c r="S116" i="115"/>
  <c r="AB114" i="115"/>
  <c r="BK409" i="29" s="1"/>
  <c r="V242" i="115"/>
  <c r="T242" i="115"/>
  <c r="W242" i="115" s="1"/>
  <c r="X242" i="115" s="1"/>
  <c r="Y242" i="115" s="1"/>
  <c r="Z242" i="115" s="1"/>
  <c r="Q117" i="115"/>
  <c r="R117" i="115" s="1"/>
  <c r="AC117" i="115"/>
  <c r="AD117" i="115"/>
  <c r="P118" i="115"/>
  <c r="AH920" i="29"/>
  <c r="AI920" i="29" s="1"/>
  <c r="AJ920" i="29" s="1"/>
  <c r="AG921" i="29" s="1"/>
  <c r="P56" i="115"/>
  <c r="AD55" i="115"/>
  <c r="AC55" i="115"/>
  <c r="U54" i="115"/>
  <c r="W53" i="115"/>
  <c r="X53" i="115" s="1"/>
  <c r="V53" i="115"/>
  <c r="AH745" i="29"/>
  <c r="AH569" i="29"/>
  <c r="C76" i="29"/>
  <c r="BA559" i="29" l="1"/>
  <c r="BA560" i="29" s="1"/>
  <c r="AX559" i="29"/>
  <c r="AX560" i="29" s="1"/>
  <c r="BG559" i="29"/>
  <c r="BG560" i="29" s="1"/>
  <c r="BH559" i="29"/>
  <c r="AZ559" i="29"/>
  <c r="AZ560" i="29" s="1"/>
  <c r="BE559" i="29"/>
  <c r="BE560" i="29" s="1"/>
  <c r="BD559" i="29"/>
  <c r="BD560" i="29" s="1"/>
  <c r="AQ210" i="29"/>
  <c r="BC559" i="29"/>
  <c r="BC560" i="29" s="1"/>
  <c r="AB303" i="115"/>
  <c r="BK932" i="29" s="1"/>
  <c r="Y115" i="115"/>
  <c r="Z115" i="115" s="1"/>
  <c r="AA115" i="115" s="1"/>
  <c r="AU410" i="29" s="1"/>
  <c r="Y53" i="115"/>
  <c r="Z53" i="115" s="1"/>
  <c r="AA53" i="115" s="1"/>
  <c r="AU237" i="29" s="1"/>
  <c r="AD908" i="29"/>
  <c r="AC908" i="29"/>
  <c r="AC461" i="118"/>
  <c r="BO461" i="118"/>
  <c r="Z461" i="118"/>
  <c r="AQ461" i="118"/>
  <c r="AW461" i="118"/>
  <c r="BF461" i="118" s="1"/>
  <c r="BP596" i="118"/>
  <c r="AD596" i="118"/>
  <c r="AX596" i="118"/>
  <c r="BG596" i="118" s="1"/>
  <c r="O596" i="118"/>
  <c r="Y304" i="115"/>
  <c r="Z304" i="115" s="1"/>
  <c r="AA304" i="115" s="1"/>
  <c r="AU933" i="29" s="1"/>
  <c r="AE736" i="29"/>
  <c r="AF736" i="29" s="1"/>
  <c r="AK736" i="29"/>
  <c r="AO736" i="29" s="1"/>
  <c r="AK563" i="29"/>
  <c r="AO563" i="29" s="1"/>
  <c r="AE563" i="29"/>
  <c r="AF563" i="29" s="1"/>
  <c r="AA328" i="118"/>
  <c r="AB328" i="118" s="1"/>
  <c r="AC328" i="118"/>
  <c r="Z328" i="118"/>
  <c r="BO328" i="118"/>
  <c r="AW328" i="118"/>
  <c r="BF328" i="118" s="1"/>
  <c r="AQ328" i="118"/>
  <c r="AZ60" i="118"/>
  <c r="BI60" i="118" s="1"/>
  <c r="BC60" i="118"/>
  <c r="BR60" i="118"/>
  <c r="P61" i="118"/>
  <c r="N61" i="118"/>
  <c r="Y195" i="118"/>
  <c r="AC195" i="118" s="1"/>
  <c r="AA195" i="118"/>
  <c r="AB195" i="118" s="1"/>
  <c r="AE306" i="115"/>
  <c r="AV935" i="29" s="1"/>
  <c r="AN211" i="29"/>
  <c r="BH211" i="29" s="1"/>
  <c r="BH209" i="29"/>
  <c r="AY210" i="29"/>
  <c r="AY209" i="29"/>
  <c r="AQ209" i="29"/>
  <c r="AE244" i="115"/>
  <c r="AV763" i="29" s="1"/>
  <c r="AB177" i="115"/>
  <c r="BK585" i="29" s="1"/>
  <c r="AE55" i="115"/>
  <c r="AV239" i="29" s="1"/>
  <c r="AE117" i="115"/>
  <c r="AV412" i="29" s="1"/>
  <c r="AX209" i="29"/>
  <c r="AB241" i="115"/>
  <c r="BK760" i="29" s="1"/>
  <c r="AE180" i="115"/>
  <c r="AV588" i="29" s="1"/>
  <c r="AQ733" i="29"/>
  <c r="BH733" i="29"/>
  <c r="S180" i="115"/>
  <c r="U180" i="115"/>
  <c r="AB52" i="115"/>
  <c r="BK236" i="29" s="1"/>
  <c r="Q56" i="115"/>
  <c r="R56" i="115" s="1"/>
  <c r="S56" i="115" s="1"/>
  <c r="T56" i="115" s="1"/>
  <c r="AQ907" i="29"/>
  <c r="BH907" i="29"/>
  <c r="T179" i="115"/>
  <c r="W179" i="115" s="1"/>
  <c r="X179" i="115" s="1"/>
  <c r="V179" i="115"/>
  <c r="AA242" i="115"/>
  <c r="AU761" i="29" s="1"/>
  <c r="AQ560" i="29"/>
  <c r="BH560" i="29"/>
  <c r="Q181" i="115"/>
  <c r="R181" i="115" s="1"/>
  <c r="AD181" i="115"/>
  <c r="P182" i="115"/>
  <c r="AC181" i="115"/>
  <c r="AQ383" i="29"/>
  <c r="BH383" i="29"/>
  <c r="AU586" i="29"/>
  <c r="AB178" i="115"/>
  <c r="BK586" i="29" s="1"/>
  <c r="AY560" i="29"/>
  <c r="BF560" i="29"/>
  <c r="AN561" i="29"/>
  <c r="BB558" i="29"/>
  <c r="AT557" i="29"/>
  <c r="AT732" i="29"/>
  <c r="AZ383" i="29"/>
  <c r="BG383" i="29"/>
  <c r="AX383" i="29"/>
  <c r="BF383" i="29"/>
  <c r="BE383" i="29"/>
  <c r="AY383" i="29"/>
  <c r="BB383" i="29"/>
  <c r="BC383" i="29"/>
  <c r="BD383" i="29"/>
  <c r="BA383" i="29"/>
  <c r="AN384" i="29"/>
  <c r="AY907" i="29"/>
  <c r="AN908" i="29"/>
  <c r="AT382" i="29"/>
  <c r="BD733" i="29"/>
  <c r="BE733" i="29"/>
  <c r="AZ733" i="29"/>
  <c r="AX733" i="29"/>
  <c r="BB733" i="29"/>
  <c r="BF733" i="29"/>
  <c r="BG733" i="29"/>
  <c r="BA733" i="29"/>
  <c r="BC733" i="29"/>
  <c r="AY733" i="29"/>
  <c r="AN734" i="29"/>
  <c r="T305" i="115"/>
  <c r="W305" i="115" s="1"/>
  <c r="X305" i="115" s="1"/>
  <c r="V305" i="115"/>
  <c r="U306" i="115"/>
  <c r="S306" i="115"/>
  <c r="Q307" i="115"/>
  <c r="R307" i="115" s="1"/>
  <c r="AC307" i="115"/>
  <c r="AD307" i="115"/>
  <c r="P308" i="115"/>
  <c r="V116" i="115"/>
  <c r="T116" i="115"/>
  <c r="W116" i="115" s="1"/>
  <c r="X116" i="115" s="1"/>
  <c r="V243" i="115"/>
  <c r="T243" i="115"/>
  <c r="W243" i="115" s="1"/>
  <c r="X243" i="115" s="1"/>
  <c r="AC118" i="115"/>
  <c r="Q118" i="115"/>
  <c r="R118" i="115" s="1"/>
  <c r="AD118" i="115"/>
  <c r="P119" i="115"/>
  <c r="S117" i="115"/>
  <c r="U117" i="115"/>
  <c r="Q245" i="115"/>
  <c r="R245" i="115" s="1"/>
  <c r="AC245" i="115"/>
  <c r="AD245" i="115"/>
  <c r="P246" i="115"/>
  <c r="S244" i="115"/>
  <c r="U244" i="115"/>
  <c r="AC56" i="115"/>
  <c r="P57" i="115"/>
  <c r="AD56" i="115"/>
  <c r="V54" i="115"/>
  <c r="W54" i="115"/>
  <c r="X54" i="115" s="1"/>
  <c r="U55" i="115"/>
  <c r="AH921" i="29"/>
  <c r="AI921" i="29" s="1"/>
  <c r="AJ921" i="29" s="1"/>
  <c r="AG922" i="29" s="1"/>
  <c r="AI745" i="29"/>
  <c r="AJ745" i="29" s="1"/>
  <c r="AG746" i="29" s="1"/>
  <c r="AI569" i="29"/>
  <c r="AJ569" i="29" s="1"/>
  <c r="AG570" i="29" s="1"/>
  <c r="C83" i="29"/>
  <c r="C86" i="29" s="1"/>
  <c r="AE504" i="29"/>
  <c r="AD504" i="29"/>
  <c r="AC504" i="29"/>
  <c r="U336" i="29"/>
  <c r="T336" i="29"/>
  <c r="S336" i="29"/>
  <c r="R336" i="29"/>
  <c r="Q336" i="29"/>
  <c r="P336" i="29"/>
  <c r="U335" i="29"/>
  <c r="T335" i="29"/>
  <c r="S335" i="29"/>
  <c r="R335" i="29"/>
  <c r="Q335" i="29"/>
  <c r="P335" i="29"/>
  <c r="U334" i="29"/>
  <c r="T334" i="29"/>
  <c r="S334" i="29"/>
  <c r="R334" i="29"/>
  <c r="Q334" i="29"/>
  <c r="P334" i="29"/>
  <c r="U333" i="29"/>
  <c r="T333" i="29"/>
  <c r="S333" i="29"/>
  <c r="R333" i="29"/>
  <c r="Q333" i="29"/>
  <c r="P333" i="29"/>
  <c r="U332" i="29"/>
  <c r="T332" i="29"/>
  <c r="S332" i="29"/>
  <c r="R332" i="29"/>
  <c r="Q332" i="29"/>
  <c r="P332" i="29"/>
  <c r="U331" i="29"/>
  <c r="T331" i="29"/>
  <c r="S331" i="29"/>
  <c r="R331" i="29"/>
  <c r="Q331" i="29"/>
  <c r="P331" i="29"/>
  <c r="AE330" i="29"/>
  <c r="AD330" i="29"/>
  <c r="AC330" i="29"/>
  <c r="AA330" i="29"/>
  <c r="U330" i="29"/>
  <c r="T330" i="29"/>
  <c r="S330" i="29"/>
  <c r="R330" i="29"/>
  <c r="Q330" i="29"/>
  <c r="P330" i="29"/>
  <c r="U329" i="29"/>
  <c r="T329" i="29"/>
  <c r="S329" i="29"/>
  <c r="R329" i="29"/>
  <c r="Q329" i="29"/>
  <c r="P329" i="29"/>
  <c r="U328" i="29"/>
  <c r="T328" i="29"/>
  <c r="S328" i="29"/>
  <c r="R328" i="29"/>
  <c r="Q328" i="29"/>
  <c r="P328" i="29"/>
  <c r="U327" i="29"/>
  <c r="T327" i="29"/>
  <c r="S327" i="29"/>
  <c r="R327" i="29"/>
  <c r="Q327" i="29"/>
  <c r="P327" i="29"/>
  <c r="U326" i="29"/>
  <c r="T326" i="29"/>
  <c r="S326" i="29"/>
  <c r="R326" i="29"/>
  <c r="Q326" i="29"/>
  <c r="P326" i="29"/>
  <c r="U325" i="29"/>
  <c r="T325" i="29"/>
  <c r="S325" i="29"/>
  <c r="R325" i="29"/>
  <c r="Q325" i="29"/>
  <c r="P325" i="29"/>
  <c r="U324" i="29"/>
  <c r="T324" i="29"/>
  <c r="S324" i="29"/>
  <c r="R324" i="29"/>
  <c r="Q324" i="29"/>
  <c r="P324" i="29"/>
  <c r="U323" i="29"/>
  <c r="T323" i="29"/>
  <c r="S323" i="29"/>
  <c r="R323" i="29"/>
  <c r="Q323" i="29"/>
  <c r="P323" i="29"/>
  <c r="U322" i="29"/>
  <c r="T322" i="29"/>
  <c r="S322" i="29"/>
  <c r="R322" i="29"/>
  <c r="Q322" i="29"/>
  <c r="P322" i="29"/>
  <c r="U321" i="29"/>
  <c r="T321" i="29"/>
  <c r="S321" i="29"/>
  <c r="R321" i="29"/>
  <c r="Q321" i="29"/>
  <c r="P321" i="29"/>
  <c r="U320" i="29"/>
  <c r="T320" i="29"/>
  <c r="S320" i="29"/>
  <c r="R320" i="29"/>
  <c r="Q320" i="29"/>
  <c r="P320" i="29"/>
  <c r="U319" i="29"/>
  <c r="T319" i="29"/>
  <c r="S319" i="29"/>
  <c r="R319" i="29"/>
  <c r="Q319" i="29"/>
  <c r="P319" i="29"/>
  <c r="U318" i="29"/>
  <c r="T318" i="29"/>
  <c r="S318" i="29"/>
  <c r="R318" i="29"/>
  <c r="Q318" i="29"/>
  <c r="P318" i="29"/>
  <c r="U317" i="29"/>
  <c r="T317" i="29"/>
  <c r="S317" i="29"/>
  <c r="R317" i="29"/>
  <c r="Q317" i="29"/>
  <c r="P317" i="29"/>
  <c r="U316" i="29"/>
  <c r="T316" i="29"/>
  <c r="S316" i="29"/>
  <c r="R316" i="29"/>
  <c r="Q316" i="29"/>
  <c r="P316" i="29"/>
  <c r="U315" i="29"/>
  <c r="T315" i="29"/>
  <c r="S315" i="29"/>
  <c r="R315" i="29"/>
  <c r="Q315" i="29"/>
  <c r="P315" i="29"/>
  <c r="U313" i="29"/>
  <c r="T313" i="29"/>
  <c r="S313" i="29"/>
  <c r="R313" i="29"/>
  <c r="Q313" i="29"/>
  <c r="P313" i="29"/>
  <c r="U312" i="29"/>
  <c r="T312" i="29"/>
  <c r="S312" i="29"/>
  <c r="R312" i="29"/>
  <c r="Q312" i="29"/>
  <c r="P312" i="29"/>
  <c r="U311" i="29"/>
  <c r="T311" i="29"/>
  <c r="S311" i="29"/>
  <c r="R311" i="29"/>
  <c r="Q311" i="29"/>
  <c r="P311" i="29"/>
  <c r="T310" i="29"/>
  <c r="S310" i="29"/>
  <c r="R310" i="29"/>
  <c r="Q310" i="29"/>
  <c r="U309" i="29"/>
  <c r="T309" i="29"/>
  <c r="S309" i="29"/>
  <c r="R309" i="29"/>
  <c r="Q309" i="29"/>
  <c r="P309" i="29"/>
  <c r="U308" i="29"/>
  <c r="T308" i="29"/>
  <c r="S308" i="29"/>
  <c r="R308" i="29"/>
  <c r="Q308" i="29"/>
  <c r="P308" i="29"/>
  <c r="U307" i="29"/>
  <c r="T307" i="29"/>
  <c r="S307" i="29"/>
  <c r="R307" i="29"/>
  <c r="Q307" i="29"/>
  <c r="P307" i="29"/>
  <c r="U306" i="29"/>
  <c r="T306" i="29"/>
  <c r="S306" i="29"/>
  <c r="R306" i="29"/>
  <c r="Q306" i="29"/>
  <c r="P306" i="29"/>
  <c r="O53" i="29"/>
  <c r="BM55" i="29" s="1"/>
  <c r="G11" i="29"/>
  <c r="F11" i="29"/>
  <c r="E11" i="29"/>
  <c r="D11" i="29"/>
  <c r="E85" i="30"/>
  <c r="E80" i="30"/>
  <c r="E79" i="30"/>
  <c r="E78" i="30"/>
  <c r="E77" i="30"/>
  <c r="E76" i="30"/>
  <c r="E75" i="30"/>
  <c r="E74" i="30"/>
  <c r="E73" i="30"/>
  <c r="E72" i="30"/>
  <c r="E71" i="30"/>
  <c r="E70" i="30"/>
  <c r="E69" i="30"/>
  <c r="E68" i="30"/>
  <c r="E67" i="30"/>
  <c r="E66" i="30"/>
  <c r="E65" i="30"/>
  <c r="E64" i="30"/>
  <c r="E63" i="30"/>
  <c r="K55" i="30"/>
  <c r="D37" i="30"/>
  <c r="H37" i="30" s="1"/>
  <c r="D36" i="30"/>
  <c r="H36" i="30" s="1"/>
  <c r="H35" i="30"/>
  <c r="H34" i="30"/>
  <c r="E34" i="30"/>
  <c r="F18" i="30"/>
  <c r="F17" i="30"/>
  <c r="F14" i="30"/>
  <c r="I8" i="30"/>
  <c r="H8" i="30"/>
  <c r="F8" i="30"/>
  <c r="S243" i="93"/>
  <c r="S231" i="93"/>
  <c r="S204" i="93"/>
  <c r="S175" i="93"/>
  <c r="S164" i="93"/>
  <c r="S155" i="93"/>
  <c r="S116" i="93"/>
  <c r="S115" i="93" s="1"/>
  <c r="P8" i="93"/>
  <c r="O8" i="93"/>
  <c r="H8" i="93"/>
  <c r="F7" i="19"/>
  <c r="N18" i="59"/>
  <c r="N17" i="59"/>
  <c r="M17" i="59"/>
  <c r="N16" i="59"/>
  <c r="M16" i="59"/>
  <c r="I16" i="59"/>
  <c r="N15" i="59"/>
  <c r="M15" i="59"/>
  <c r="I15" i="59"/>
  <c r="N14" i="59"/>
  <c r="M14" i="59"/>
  <c r="I14" i="59"/>
  <c r="N13" i="59"/>
  <c r="E75" i="98"/>
  <c r="E72" i="98"/>
  <c r="Y243" i="115" l="1"/>
  <c r="Z243" i="115" s="1"/>
  <c r="AA243" i="115" s="1"/>
  <c r="AU762" i="29" s="1"/>
  <c r="Y116" i="115"/>
  <c r="Z116" i="115" s="1"/>
  <c r="AA116" i="115" s="1"/>
  <c r="AU411" i="29" s="1"/>
  <c r="Y54" i="115"/>
  <c r="Z54" i="115" s="1"/>
  <c r="AA54" i="115" s="1"/>
  <c r="AU238" i="29" s="1"/>
  <c r="H65" i="30"/>
  <c r="F65" i="30"/>
  <c r="J65" i="30" s="1"/>
  <c r="H69" i="30"/>
  <c r="F69" i="30"/>
  <c r="G69" i="30" s="1"/>
  <c r="H73" i="30"/>
  <c r="F73" i="30"/>
  <c r="J73" i="30" s="1"/>
  <c r="H77" i="30"/>
  <c r="F77" i="30"/>
  <c r="G77" i="30" s="1"/>
  <c r="H66" i="30"/>
  <c r="F66" i="30"/>
  <c r="G66" i="30" s="1"/>
  <c r="F70" i="30"/>
  <c r="H70" i="30"/>
  <c r="F74" i="30"/>
  <c r="G74" i="30" s="1"/>
  <c r="H74" i="30"/>
  <c r="H78" i="30"/>
  <c r="F78" i="30"/>
  <c r="G78" i="30" s="1"/>
  <c r="H63" i="30"/>
  <c r="F63" i="30"/>
  <c r="G63" i="30" s="1"/>
  <c r="F67" i="30"/>
  <c r="H67" i="30"/>
  <c r="F71" i="30"/>
  <c r="G71" i="30" s="1"/>
  <c r="H71" i="30"/>
  <c r="F75" i="30"/>
  <c r="H75" i="30"/>
  <c r="F79" i="30"/>
  <c r="J79" i="30" s="1"/>
  <c r="H79" i="30"/>
  <c r="H64" i="30"/>
  <c r="F64" i="30"/>
  <c r="G64" i="30" s="1"/>
  <c r="H68" i="30"/>
  <c r="F68" i="30"/>
  <c r="J68" i="30" s="1"/>
  <c r="H72" i="30"/>
  <c r="F72" i="30"/>
  <c r="J72" i="30" s="1"/>
  <c r="H76" i="30"/>
  <c r="F76" i="30"/>
  <c r="G76" i="30" s="1"/>
  <c r="H80" i="30"/>
  <c r="F80" i="30"/>
  <c r="G80" i="30" s="1"/>
  <c r="AE596" i="118"/>
  <c r="AF596" i="118" s="1"/>
  <c r="AP596" i="118"/>
  <c r="AT596" i="118"/>
  <c r="BL596" i="118"/>
  <c r="BR596" i="118" s="1"/>
  <c r="AK596" i="118"/>
  <c r="AL596" i="118" s="1"/>
  <c r="Q596" i="118"/>
  <c r="AM596" i="118"/>
  <c r="AI596" i="118"/>
  <c r="AJ596" i="118" s="1"/>
  <c r="AK908" i="29"/>
  <c r="AO908" i="29" s="1"/>
  <c r="AE908" i="29"/>
  <c r="AF908" i="29" s="1"/>
  <c r="BP461" i="118"/>
  <c r="AX461" i="118"/>
  <c r="BG461" i="118" s="1"/>
  <c r="AD461" i="118"/>
  <c r="O461" i="118"/>
  <c r="AE461" i="118" s="1"/>
  <c r="AF461" i="118" s="1"/>
  <c r="Y305" i="115"/>
  <c r="Z305" i="115" s="1"/>
  <c r="AA305" i="115" s="1"/>
  <c r="AU934" i="29" s="1"/>
  <c r="Y179" i="115"/>
  <c r="Z179" i="115" s="1"/>
  <c r="AA179" i="115" s="1"/>
  <c r="AU587" i="29" s="1"/>
  <c r="AC737" i="29"/>
  <c r="AD737" i="29"/>
  <c r="AC564" i="29"/>
  <c r="AD564" i="29"/>
  <c r="AX328" i="118"/>
  <c r="BG328" i="118" s="1"/>
  <c r="AD328" i="118"/>
  <c r="BP328" i="118"/>
  <c r="O328" i="118"/>
  <c r="AH195" i="118"/>
  <c r="AY211" i="29"/>
  <c r="X61" i="118"/>
  <c r="AX195" i="118"/>
  <c r="BG195" i="118" s="1"/>
  <c r="AD195" i="118"/>
  <c r="BP195" i="118"/>
  <c r="O195" i="118"/>
  <c r="BO195" i="118"/>
  <c r="AW195" i="118"/>
  <c r="BF195" i="118" s="1"/>
  <c r="AQ195" i="118"/>
  <c r="Z195" i="118"/>
  <c r="AQ211" i="29"/>
  <c r="AN212" i="29"/>
  <c r="BH212" i="29" s="1"/>
  <c r="AE56" i="115"/>
  <c r="AV240" i="29" s="1"/>
  <c r="AE118" i="115"/>
  <c r="AV413" i="29" s="1"/>
  <c r="AE307" i="115"/>
  <c r="AV936" i="29" s="1"/>
  <c r="AE245" i="115"/>
  <c r="AV764" i="29" s="1"/>
  <c r="AE181" i="115"/>
  <c r="AV589" i="29" s="1"/>
  <c r="AX210" i="29"/>
  <c r="AQ384" i="29"/>
  <c r="BH384" i="29"/>
  <c r="Q57" i="115"/>
  <c r="R57" i="115" s="1"/>
  <c r="S57" i="115" s="1"/>
  <c r="T57" i="115" s="1"/>
  <c r="AQ734" i="29"/>
  <c r="BH734" i="29"/>
  <c r="AQ908" i="29"/>
  <c r="BH908" i="29"/>
  <c r="AB53" i="115"/>
  <c r="BK237" i="29" s="1"/>
  <c r="Q182" i="115"/>
  <c r="R182" i="115" s="1"/>
  <c r="AD182" i="115"/>
  <c r="P183" i="115"/>
  <c r="AC182" i="115"/>
  <c r="AB304" i="115"/>
  <c r="BK933" i="29" s="1"/>
  <c r="AQ561" i="29"/>
  <c r="BH561" i="29"/>
  <c r="AB115" i="115"/>
  <c r="BK410" i="29" s="1"/>
  <c r="U181" i="115"/>
  <c r="S181" i="115"/>
  <c r="AB242" i="115"/>
  <c r="BK761" i="29" s="1"/>
  <c r="V180" i="115"/>
  <c r="T180" i="115"/>
  <c r="W180" i="115" s="1"/>
  <c r="X180" i="115" s="1"/>
  <c r="AT733" i="29"/>
  <c r="BA384" i="29"/>
  <c r="AY384" i="29"/>
  <c r="BB384" i="29"/>
  <c r="BC384" i="29"/>
  <c r="BF384" i="29"/>
  <c r="BG384" i="29"/>
  <c r="AX384" i="29"/>
  <c r="AZ384" i="29"/>
  <c r="BE384" i="29"/>
  <c r="BD384" i="29"/>
  <c r="AN385" i="29"/>
  <c r="AT383" i="29"/>
  <c r="AT558" i="29"/>
  <c r="BB559" i="29"/>
  <c r="AY561" i="29"/>
  <c r="BF561" i="29"/>
  <c r="BD561" i="29"/>
  <c r="BC561" i="29"/>
  <c r="BE561" i="29"/>
  <c r="AZ561" i="29"/>
  <c r="AX561" i="29"/>
  <c r="BA561" i="29"/>
  <c r="BG561" i="29"/>
  <c r="AN562" i="29"/>
  <c r="BA734" i="29"/>
  <c r="BD734" i="29"/>
  <c r="AX734" i="29"/>
  <c r="AZ734" i="29"/>
  <c r="BG734" i="29"/>
  <c r="BF734" i="29"/>
  <c r="BE734" i="29"/>
  <c r="BB734" i="29"/>
  <c r="BC734" i="29"/>
  <c r="AY734" i="29"/>
  <c r="AN735" i="29"/>
  <c r="AY908" i="29"/>
  <c r="AN909" i="29"/>
  <c r="Q246" i="115"/>
  <c r="R246" i="115" s="1"/>
  <c r="AC246" i="115"/>
  <c r="AD246" i="115"/>
  <c r="P247" i="115"/>
  <c r="S245" i="115"/>
  <c r="U245" i="115"/>
  <c r="V117" i="115"/>
  <c r="T117" i="115"/>
  <c r="W117" i="115" s="1"/>
  <c r="X117" i="115" s="1"/>
  <c r="U118" i="115"/>
  <c r="S118" i="115"/>
  <c r="AC119" i="115"/>
  <c r="Q119" i="115"/>
  <c r="R119" i="115" s="1"/>
  <c r="AD119" i="115"/>
  <c r="P120" i="115"/>
  <c r="AC308" i="115"/>
  <c r="Q308" i="115"/>
  <c r="R308" i="115" s="1"/>
  <c r="AD308" i="115"/>
  <c r="P309" i="115"/>
  <c r="S307" i="115"/>
  <c r="U307" i="115"/>
  <c r="V244" i="115"/>
  <c r="T244" i="115"/>
  <c r="W244" i="115" s="1"/>
  <c r="X244" i="115" s="1"/>
  <c r="V306" i="115"/>
  <c r="T306" i="115"/>
  <c r="W306" i="115" s="1"/>
  <c r="X306" i="115" s="1"/>
  <c r="G67" i="30"/>
  <c r="J75" i="30"/>
  <c r="G70" i="30"/>
  <c r="U56" i="115"/>
  <c r="W55" i="115"/>
  <c r="X55" i="115" s="1"/>
  <c r="V55" i="115"/>
  <c r="P58" i="115"/>
  <c r="AC57" i="115"/>
  <c r="AD57" i="115"/>
  <c r="N53" i="29"/>
  <c r="BL55" i="29" s="1"/>
  <c r="AH922" i="29"/>
  <c r="AC328" i="29"/>
  <c r="R53" i="29"/>
  <c r="BP55" i="29" s="1"/>
  <c r="K53" i="29"/>
  <c r="AL55" i="29" s="1"/>
  <c r="L53" i="29"/>
  <c r="AM55" i="29" s="1"/>
  <c r="M53" i="29"/>
  <c r="BK55" i="29" s="1"/>
  <c r="C80" i="29"/>
  <c r="AH746" i="29"/>
  <c r="AH570" i="29"/>
  <c r="AM388" i="29"/>
  <c r="AM379" i="29"/>
  <c r="AM395" i="29"/>
  <c r="AM390" i="29"/>
  <c r="AM385" i="29"/>
  <c r="AM381" i="29"/>
  <c r="AM380" i="29"/>
  <c r="AM396" i="29"/>
  <c r="AM387" i="29"/>
  <c r="AM394" i="29"/>
  <c r="AM397" i="29"/>
  <c r="AM384" i="29"/>
  <c r="AM400" i="29"/>
  <c r="AM391" i="29"/>
  <c r="AM382" i="29"/>
  <c r="AM402" i="29"/>
  <c r="AM392" i="29"/>
  <c r="AM383" i="29"/>
  <c r="AM399" i="29"/>
  <c r="AM398" i="29"/>
  <c r="AM393" i="29"/>
  <c r="AM386" i="29"/>
  <c r="AM389" i="29"/>
  <c r="AM401" i="29"/>
  <c r="AM212" i="29"/>
  <c r="AM228" i="29"/>
  <c r="AM211" i="29"/>
  <c r="AM227" i="29"/>
  <c r="AM222" i="29"/>
  <c r="AM209" i="29"/>
  <c r="AM226" i="29"/>
  <c r="AM213" i="29"/>
  <c r="AM216" i="29"/>
  <c r="AM215" i="29"/>
  <c r="AM217" i="29"/>
  <c r="AM221" i="29"/>
  <c r="AM220" i="29"/>
  <c r="AM219" i="29"/>
  <c r="AM206" i="29"/>
  <c r="AM225" i="29"/>
  <c r="AM210" i="29"/>
  <c r="AM208" i="29"/>
  <c r="AM224" i="29"/>
  <c r="AM207" i="29"/>
  <c r="AM223" i="29"/>
  <c r="AM214" i="29"/>
  <c r="AM218" i="29"/>
  <c r="AM205" i="29"/>
  <c r="S53" i="93"/>
  <c r="R203" i="29"/>
  <c r="S300" i="29"/>
  <c r="R205" i="29"/>
  <c r="Q207" i="29"/>
  <c r="S215" i="29"/>
  <c r="Q217" i="29"/>
  <c r="R223" i="29"/>
  <c r="S231" i="29"/>
  <c r="R235" i="29"/>
  <c r="S245" i="29"/>
  <c r="S253" i="29"/>
  <c r="S257" i="29"/>
  <c r="Q266" i="29"/>
  <c r="S270" i="29"/>
  <c r="Q293" i="29"/>
  <c r="Q295" i="29"/>
  <c r="P297" i="29"/>
  <c r="T301" i="29"/>
  <c r="G167" i="29"/>
  <c r="P254" i="29"/>
  <c r="R256" i="29"/>
  <c r="P259" i="29"/>
  <c r="S269" i="29"/>
  <c r="Q289" i="29"/>
  <c r="S294" i="29"/>
  <c r="S296" i="29"/>
  <c r="Q209" i="29"/>
  <c r="P211" i="29"/>
  <c r="Q213" i="29"/>
  <c r="P221" i="29"/>
  <c r="Q225" i="29"/>
  <c r="S227" i="29"/>
  <c r="Q229" i="29"/>
  <c r="S233" i="29"/>
  <c r="Q237" i="29"/>
  <c r="Q241" i="29"/>
  <c r="T243" i="29"/>
  <c r="S247" i="29"/>
  <c r="U249" i="29"/>
  <c r="R249" i="29"/>
  <c r="U251" i="29"/>
  <c r="U272" i="29"/>
  <c r="S272" i="29"/>
  <c r="U274" i="29"/>
  <c r="S274" i="29"/>
  <c r="U276" i="29"/>
  <c r="S276" i="29"/>
  <c r="U278" i="29"/>
  <c r="S278" i="29"/>
  <c r="U280" i="29"/>
  <c r="S280" i="29"/>
  <c r="U282" i="29"/>
  <c r="S282" i="29"/>
  <c r="U284" i="29"/>
  <c r="P284" i="29"/>
  <c r="U286" i="29"/>
  <c r="T288" i="29"/>
  <c r="R290" i="29"/>
  <c r="T292" i="29"/>
  <c r="R204" i="29"/>
  <c r="T206" i="29"/>
  <c r="R208" i="29"/>
  <c r="P210" i="29"/>
  <c r="Q212" i="29"/>
  <c r="T214" i="29"/>
  <c r="S216" i="29"/>
  <c r="P220" i="29"/>
  <c r="R222" i="29"/>
  <c r="T224" i="29"/>
  <c r="Q226" i="29"/>
  <c r="P228" i="29"/>
  <c r="P230" i="29"/>
  <c r="T232" i="29"/>
  <c r="R234" i="29"/>
  <c r="P236" i="29"/>
  <c r="R240" i="29"/>
  <c r="T242" i="29"/>
  <c r="T246" i="29"/>
  <c r="U248" i="29"/>
  <c r="S248" i="29"/>
  <c r="U250" i="29"/>
  <c r="R250" i="29"/>
  <c r="U252" i="29"/>
  <c r="R252" i="29"/>
  <c r="R263" i="29"/>
  <c r="U267" i="29"/>
  <c r="S267" i="29"/>
  <c r="U271" i="29"/>
  <c r="Q271" i="29"/>
  <c r="U273" i="29"/>
  <c r="S273" i="29"/>
  <c r="U275" i="29"/>
  <c r="P275" i="29"/>
  <c r="Q277" i="29"/>
  <c r="U279" i="29"/>
  <c r="P279" i="29"/>
  <c r="U281" i="29"/>
  <c r="T281" i="29"/>
  <c r="U283" i="29"/>
  <c r="S283" i="29"/>
  <c r="U285" i="29"/>
  <c r="P285" i="29"/>
  <c r="U287" i="29"/>
  <c r="S287" i="29"/>
  <c r="T291" i="29"/>
  <c r="U299" i="29"/>
  <c r="T299" i="29"/>
  <c r="U200" i="29"/>
  <c r="S202" i="29"/>
  <c r="U302" i="29"/>
  <c r="AC502" i="29"/>
  <c r="D170" i="29"/>
  <c r="G170" i="29" s="1"/>
  <c r="I170" i="29" s="1"/>
  <c r="D168" i="29"/>
  <c r="G168" i="29" s="1"/>
  <c r="I168" i="29" s="1"/>
  <c r="D169" i="29"/>
  <c r="G169" i="29" s="1"/>
  <c r="I169" i="29" s="1"/>
  <c r="AI378" i="29"/>
  <c r="AJ378" i="29" s="1"/>
  <c r="AG379" i="29" s="1"/>
  <c r="F76" i="29"/>
  <c r="G76" i="29"/>
  <c r="S92" i="93"/>
  <c r="U253" i="29"/>
  <c r="U254" i="29"/>
  <c r="S125" i="93"/>
  <c r="U240" i="29"/>
  <c r="U242" i="29"/>
  <c r="AC503" i="29"/>
  <c r="AE503" i="29"/>
  <c r="U245" i="29"/>
  <c r="U300" i="29"/>
  <c r="U296" i="29"/>
  <c r="U297" i="29"/>
  <c r="U257" i="29"/>
  <c r="U259" i="29"/>
  <c r="U270" i="29"/>
  <c r="U294" i="29"/>
  <c r="U295" i="29"/>
  <c r="U301" i="29"/>
  <c r="S73" i="93"/>
  <c r="S181" i="93"/>
  <c r="S174" i="93" s="1"/>
  <c r="U207" i="29"/>
  <c r="U209" i="29"/>
  <c r="U211" i="29"/>
  <c r="U223" i="29"/>
  <c r="U225" i="29"/>
  <c r="U227" i="29"/>
  <c r="U229" i="29"/>
  <c r="U231" i="29"/>
  <c r="U233" i="29"/>
  <c r="U235" i="29"/>
  <c r="U204" i="29"/>
  <c r="U206" i="29"/>
  <c r="U208" i="29"/>
  <c r="U210" i="29"/>
  <c r="U212" i="29"/>
  <c r="U214" i="29"/>
  <c r="U216" i="29"/>
  <c r="U222" i="29"/>
  <c r="U224" i="29"/>
  <c r="U226" i="29"/>
  <c r="U228" i="29"/>
  <c r="U230" i="29"/>
  <c r="U232" i="29"/>
  <c r="U234" i="29"/>
  <c r="U236" i="29"/>
  <c r="U238" i="29"/>
  <c r="U205" i="29"/>
  <c r="U213" i="29"/>
  <c r="U215" i="29"/>
  <c r="U217" i="29"/>
  <c r="U239" i="29"/>
  <c r="U202" i="29"/>
  <c r="U203" i="29"/>
  <c r="U241" i="29"/>
  <c r="U243" i="29"/>
  <c r="U255" i="29"/>
  <c r="U261" i="29"/>
  <c r="U268" i="29"/>
  <c r="U256" i="29"/>
  <c r="U269" i="29"/>
  <c r="U289" i="29"/>
  <c r="U291" i="29"/>
  <c r="U288" i="29"/>
  <c r="U290" i="29"/>
  <c r="U292" i="29"/>
  <c r="AB116" i="115" l="1"/>
  <c r="BK411" i="29" s="1"/>
  <c r="Y244" i="115"/>
  <c r="Z244" i="115" s="1"/>
  <c r="AA244" i="115" s="1"/>
  <c r="AU763" i="29" s="1"/>
  <c r="Y117" i="115"/>
  <c r="Z117" i="115" s="1"/>
  <c r="AA117" i="115" s="1"/>
  <c r="AU412" i="29" s="1"/>
  <c r="Y55" i="115"/>
  <c r="Z55" i="115" s="1"/>
  <c r="AA55" i="115" s="1"/>
  <c r="AU239" i="29" s="1"/>
  <c r="AB305" i="115"/>
  <c r="BK934" i="29" s="1"/>
  <c r="AQ212" i="29"/>
  <c r="BC596" i="118"/>
  <c r="AZ596" i="118"/>
  <c r="BI596" i="118" s="1"/>
  <c r="AP461" i="118"/>
  <c r="AK461" i="118"/>
  <c r="AL461" i="118" s="1"/>
  <c r="Q461" i="118"/>
  <c r="AT461" i="118"/>
  <c r="BL461" i="118"/>
  <c r="BR461" i="118" s="1"/>
  <c r="AI461" i="118"/>
  <c r="AJ461" i="118" s="1"/>
  <c r="AM461" i="118"/>
  <c r="AD909" i="29"/>
  <c r="AC909" i="29"/>
  <c r="N597" i="118"/>
  <c r="P597" i="118"/>
  <c r="Y306" i="115"/>
  <c r="Z306" i="115" s="1"/>
  <c r="AA306" i="115" s="1"/>
  <c r="AU935" i="29" s="1"/>
  <c r="Y180" i="115"/>
  <c r="Z180" i="115" s="1"/>
  <c r="AA180" i="115" s="1"/>
  <c r="AU588" i="29" s="1"/>
  <c r="G68" i="30"/>
  <c r="I68" i="30" s="1"/>
  <c r="K68" i="30" s="1"/>
  <c r="K315" i="29" s="1"/>
  <c r="AE737" i="29"/>
  <c r="AF737" i="29" s="1"/>
  <c r="AK737" i="29"/>
  <c r="AO737" i="29" s="1"/>
  <c r="AE564" i="29"/>
  <c r="AF564" i="29" s="1"/>
  <c r="AK564" i="29"/>
  <c r="AO564" i="29" s="1"/>
  <c r="AI328" i="118"/>
  <c r="AJ328" i="118" s="1"/>
  <c r="AT328" i="118"/>
  <c r="AK328" i="118"/>
  <c r="AL328" i="118" s="1"/>
  <c r="BL328" i="118"/>
  <c r="BR328" i="118" s="1"/>
  <c r="AP328" i="118"/>
  <c r="AM328" i="118"/>
  <c r="Q328" i="118"/>
  <c r="AE328" i="118"/>
  <c r="AF328" i="118" s="1"/>
  <c r="AN213" i="29"/>
  <c r="AN214" i="29" s="1"/>
  <c r="AY212" i="29"/>
  <c r="Y61" i="118"/>
  <c r="AH61" i="118" s="1"/>
  <c r="AA61" i="118"/>
  <c r="AB61" i="118" s="1"/>
  <c r="Q195" i="118"/>
  <c r="AK195" i="118"/>
  <c r="AL195" i="118" s="1"/>
  <c r="AP195" i="118"/>
  <c r="BL195" i="118"/>
  <c r="BR195" i="118" s="1"/>
  <c r="AT195" i="118"/>
  <c r="AM195" i="118"/>
  <c r="AE195" i="118"/>
  <c r="AF195" i="118" s="1"/>
  <c r="AI195" i="118"/>
  <c r="AJ195" i="118" s="1"/>
  <c r="AE182" i="115"/>
  <c r="AV590" i="29" s="1"/>
  <c r="AE246" i="115"/>
  <c r="AV765" i="29" s="1"/>
  <c r="AB243" i="115"/>
  <c r="BK762" i="29" s="1"/>
  <c r="AE57" i="115"/>
  <c r="AV241" i="29" s="1"/>
  <c r="AB54" i="115"/>
  <c r="BK238" i="29" s="1"/>
  <c r="AE308" i="115"/>
  <c r="AV937" i="29" s="1"/>
  <c r="AE119" i="115"/>
  <c r="AV414" i="29" s="1"/>
  <c r="AB179" i="115"/>
  <c r="BK587" i="29" s="1"/>
  <c r="AX211" i="29"/>
  <c r="AQ562" i="29"/>
  <c r="BH562" i="29"/>
  <c r="AQ735" i="29"/>
  <c r="BH735" i="29"/>
  <c r="S182" i="115"/>
  <c r="U182" i="115"/>
  <c r="AS898" i="29"/>
  <c r="BJ898" i="29"/>
  <c r="BJ551" i="29"/>
  <c r="AS725" i="29"/>
  <c r="BI898" i="29"/>
  <c r="BI551" i="29"/>
  <c r="AS551" i="29"/>
  <c r="BJ725" i="29"/>
  <c r="BI725" i="29"/>
  <c r="BJ375" i="29"/>
  <c r="BJ201" i="29"/>
  <c r="AS375" i="29"/>
  <c r="BI375" i="29"/>
  <c r="BI201" i="29"/>
  <c r="I167" i="29"/>
  <c r="W201" i="29" s="1"/>
  <c r="AQ909" i="29"/>
  <c r="BH909" i="29"/>
  <c r="AQ385" i="29"/>
  <c r="BH385" i="29"/>
  <c r="Q58" i="115"/>
  <c r="R58" i="115" s="1"/>
  <c r="S58" i="115" s="1"/>
  <c r="T58" i="115" s="1"/>
  <c r="V181" i="115"/>
  <c r="T181" i="115"/>
  <c r="W181" i="115" s="1"/>
  <c r="X181" i="115" s="1"/>
  <c r="AC183" i="115"/>
  <c r="Q183" i="115"/>
  <c r="R183" i="115" s="1"/>
  <c r="AD183" i="115"/>
  <c r="P184" i="115"/>
  <c r="BB560" i="29"/>
  <c r="AT559" i="29"/>
  <c r="AY909" i="29"/>
  <c r="AN910" i="29"/>
  <c r="AY562" i="29"/>
  <c r="BF562" i="29"/>
  <c r="BE562" i="29"/>
  <c r="AZ562" i="29"/>
  <c r="BG562" i="29"/>
  <c r="BA562" i="29"/>
  <c r="BD562" i="29"/>
  <c r="BC562" i="29"/>
  <c r="AX562" i="29"/>
  <c r="AN563" i="29"/>
  <c r="AR201" i="29"/>
  <c r="AR725" i="29"/>
  <c r="AR898" i="29"/>
  <c r="AR375" i="29"/>
  <c r="AR551" i="29"/>
  <c r="AS201" i="29"/>
  <c r="BA735" i="29"/>
  <c r="AY735" i="29"/>
  <c r="BF735" i="29"/>
  <c r="BG735" i="29"/>
  <c r="BB735" i="29"/>
  <c r="BC735" i="29"/>
  <c r="AZ735" i="29"/>
  <c r="AX735" i="29"/>
  <c r="BD735" i="29"/>
  <c r="BE735" i="29"/>
  <c r="AN736" i="29"/>
  <c r="AT734" i="29"/>
  <c r="AX385" i="29"/>
  <c r="AZ385" i="29"/>
  <c r="BE385" i="29"/>
  <c r="BG385" i="29"/>
  <c r="BC385" i="29"/>
  <c r="BF385" i="29"/>
  <c r="AY385" i="29"/>
  <c r="BA385" i="29"/>
  <c r="BB385" i="29"/>
  <c r="BD385" i="29"/>
  <c r="AN386" i="29"/>
  <c r="AT384" i="29"/>
  <c r="S199" i="29"/>
  <c r="T200" i="29"/>
  <c r="V307" i="115"/>
  <c r="T307" i="115"/>
  <c r="W307" i="115" s="1"/>
  <c r="X307" i="115" s="1"/>
  <c r="S308" i="115"/>
  <c r="U308" i="115"/>
  <c r="AC309" i="115"/>
  <c r="Q309" i="115"/>
  <c r="R309" i="115" s="1"/>
  <c r="AD309" i="115"/>
  <c r="P310" i="115"/>
  <c r="S119" i="115"/>
  <c r="U119" i="115"/>
  <c r="V118" i="115"/>
  <c r="T118" i="115"/>
  <c r="W118" i="115" s="1"/>
  <c r="X118" i="115" s="1"/>
  <c r="AC120" i="115"/>
  <c r="Q120" i="115"/>
  <c r="R120" i="115" s="1"/>
  <c r="AD120" i="115"/>
  <c r="P121" i="115"/>
  <c r="V245" i="115"/>
  <c r="T245" i="115"/>
  <c r="W245" i="115" s="1"/>
  <c r="X245" i="115" s="1"/>
  <c r="AC247" i="115"/>
  <c r="Q247" i="115"/>
  <c r="R247" i="115" s="1"/>
  <c r="AD247" i="115"/>
  <c r="P248" i="115"/>
  <c r="S246" i="115"/>
  <c r="U246" i="115"/>
  <c r="J77" i="30"/>
  <c r="J69" i="30"/>
  <c r="J78" i="30"/>
  <c r="G65" i="30"/>
  <c r="I65" i="30" s="1"/>
  <c r="K65" i="30" s="1"/>
  <c r="K311" i="29" s="1"/>
  <c r="G75" i="30"/>
  <c r="I75" i="30" s="1"/>
  <c r="K75" i="30" s="1"/>
  <c r="K322" i="29" s="1"/>
  <c r="X322" i="29" s="1"/>
  <c r="J67" i="30"/>
  <c r="J76" i="30"/>
  <c r="U263" i="29"/>
  <c r="U266" i="29"/>
  <c r="J70" i="30"/>
  <c r="G79" i="30"/>
  <c r="I79" i="30" s="1"/>
  <c r="K79" i="30" s="1"/>
  <c r="K326" i="29" s="1"/>
  <c r="J71" i="30"/>
  <c r="G73" i="30"/>
  <c r="I73" i="30" s="1"/>
  <c r="K73" i="30" s="1"/>
  <c r="K320" i="29" s="1"/>
  <c r="X320" i="29" s="1"/>
  <c r="G72" i="30"/>
  <c r="I72" i="30" s="1"/>
  <c r="K72" i="30" s="1"/>
  <c r="K319" i="29" s="1"/>
  <c r="X319" i="29" s="1"/>
  <c r="J66" i="30"/>
  <c r="J74" i="30"/>
  <c r="I63" i="30"/>
  <c r="C75" i="29"/>
  <c r="J63" i="30"/>
  <c r="J64" i="30"/>
  <c r="J80" i="30"/>
  <c r="I159" i="29"/>
  <c r="X833" i="29"/>
  <c r="F19" i="29" s="1"/>
  <c r="X659" i="29"/>
  <c r="E19" i="29" s="1"/>
  <c r="U57" i="115"/>
  <c r="P59" i="115"/>
  <c r="AD58" i="115"/>
  <c r="AC58" i="115"/>
  <c r="V56" i="115"/>
  <c r="W56" i="115"/>
  <c r="X56" i="115" s="1"/>
  <c r="V549" i="29"/>
  <c r="U411" i="29"/>
  <c r="U770" i="29"/>
  <c r="F16" i="29" s="1"/>
  <c r="AQ727" i="29" s="1"/>
  <c r="P596" i="29"/>
  <c r="E15" i="29" s="1"/>
  <c r="U423" i="29"/>
  <c r="P770" i="29"/>
  <c r="F15" i="29" s="1"/>
  <c r="U587" i="29"/>
  <c r="P423" i="29"/>
  <c r="U596" i="29"/>
  <c r="AD328" i="29"/>
  <c r="U237" i="29"/>
  <c r="U247" i="29"/>
  <c r="AI922" i="29"/>
  <c r="AJ922" i="29" s="1"/>
  <c r="AG923" i="29" s="1"/>
  <c r="U420" i="29"/>
  <c r="U427" i="29"/>
  <c r="U432" i="29"/>
  <c r="U431" i="29"/>
  <c r="P421" i="29"/>
  <c r="U421" i="29"/>
  <c r="P427" i="29"/>
  <c r="P420" i="29"/>
  <c r="U246" i="29"/>
  <c r="AE329" i="29"/>
  <c r="AI746" i="29"/>
  <c r="AJ746" i="29" s="1"/>
  <c r="AG747" i="29" s="1"/>
  <c r="AI570" i="29"/>
  <c r="AJ570" i="29" s="1"/>
  <c r="AG571" i="29" s="1"/>
  <c r="AH379" i="29"/>
  <c r="AD323" i="29"/>
  <c r="I67" i="30"/>
  <c r="AC326" i="29"/>
  <c r="AD318" i="29"/>
  <c r="I66" i="30"/>
  <c r="AD321" i="29"/>
  <c r="AC490" i="29"/>
  <c r="AE489" i="29"/>
  <c r="I77" i="30"/>
  <c r="I69" i="30"/>
  <c r="AE325" i="29"/>
  <c r="AE501" i="29"/>
  <c r="AD485" i="29"/>
  <c r="AD486" i="29"/>
  <c r="I76" i="30"/>
  <c r="AD313" i="29"/>
  <c r="I71" i="30"/>
  <c r="I64" i="30"/>
  <c r="I74" i="30"/>
  <c r="AE499" i="29"/>
  <c r="AD500" i="29"/>
  <c r="AE492" i="29"/>
  <c r="I80" i="30"/>
  <c r="AD324" i="29"/>
  <c r="AE316" i="29"/>
  <c r="I78" i="30"/>
  <c r="I70" i="30"/>
  <c r="AD496" i="29"/>
  <c r="AD497" i="29"/>
  <c r="F83" i="29"/>
  <c r="F86" i="29" s="1"/>
  <c r="G83" i="29"/>
  <c r="G86" i="29" s="1"/>
  <c r="U277" i="29"/>
  <c r="U298" i="29"/>
  <c r="P201" i="29"/>
  <c r="U201" i="29"/>
  <c r="AG205" i="29"/>
  <c r="U221" i="29"/>
  <c r="U220" i="29"/>
  <c r="P289" i="29"/>
  <c r="P270" i="29"/>
  <c r="R289" i="29"/>
  <c r="T289" i="29"/>
  <c r="S289" i="29"/>
  <c r="Q301" i="29"/>
  <c r="Q224" i="29"/>
  <c r="R225" i="29"/>
  <c r="S297" i="29"/>
  <c r="Q254" i="29"/>
  <c r="T254" i="29"/>
  <c r="S254" i="29"/>
  <c r="R254" i="29"/>
  <c r="P217" i="29"/>
  <c r="Q257" i="29"/>
  <c r="R269" i="29"/>
  <c r="P257" i="29"/>
  <c r="Q270" i="29"/>
  <c r="T253" i="29"/>
  <c r="R301" i="29"/>
  <c r="T270" i="29"/>
  <c r="S301" i="29"/>
  <c r="R270" i="29"/>
  <c r="R257" i="29"/>
  <c r="S203" i="29"/>
  <c r="T203" i="29"/>
  <c r="S217" i="29"/>
  <c r="Q203" i="29"/>
  <c r="P301" i="29"/>
  <c r="Q269" i="29"/>
  <c r="T257" i="29"/>
  <c r="R217" i="29"/>
  <c r="T217" i="29"/>
  <c r="P203" i="29"/>
  <c r="T231" i="29"/>
  <c r="S295" i="29"/>
  <c r="Q223" i="29"/>
  <c r="R300" i="29"/>
  <c r="Q259" i="29"/>
  <c r="P207" i="29"/>
  <c r="R207" i="29"/>
  <c r="P300" i="29"/>
  <c r="P295" i="29"/>
  <c r="R295" i="29"/>
  <c r="P253" i="29"/>
  <c r="T266" i="29"/>
  <c r="R253" i="29"/>
  <c r="R231" i="29"/>
  <c r="S207" i="29"/>
  <c r="T300" i="29"/>
  <c r="T295" i="29"/>
  <c r="P245" i="29"/>
  <c r="Q253" i="29"/>
  <c r="T207" i="29"/>
  <c r="P231" i="29"/>
  <c r="P296" i="29"/>
  <c r="T259" i="29"/>
  <c r="P266" i="29"/>
  <c r="R266" i="29"/>
  <c r="Q231" i="29"/>
  <c r="Q300" i="29"/>
  <c r="T256" i="29"/>
  <c r="T293" i="29"/>
  <c r="R202" i="29"/>
  <c r="R297" i="29"/>
  <c r="S266" i="29"/>
  <c r="Q235" i="29"/>
  <c r="S235" i="29"/>
  <c r="T205" i="29"/>
  <c r="P235" i="29"/>
  <c r="P223" i="29"/>
  <c r="S205" i="29"/>
  <c r="P294" i="29"/>
  <c r="T297" i="29"/>
  <c r="R293" i="29"/>
  <c r="T269" i="29"/>
  <c r="T215" i="29"/>
  <c r="Q205" i="29"/>
  <c r="P205" i="29"/>
  <c r="S223" i="29"/>
  <c r="R215" i="29"/>
  <c r="Q245" i="29"/>
  <c r="P224" i="29"/>
  <c r="S293" i="29"/>
  <c r="P269" i="29"/>
  <c r="S256" i="29"/>
  <c r="T235" i="29"/>
  <c r="T223" i="29"/>
  <c r="Q215" i="29"/>
  <c r="Q297" i="29"/>
  <c r="T245" i="29"/>
  <c r="P215" i="29"/>
  <c r="U244" i="29"/>
  <c r="T294" i="29"/>
  <c r="R245" i="29"/>
  <c r="R241" i="29"/>
  <c r="S290" i="29"/>
  <c r="P256" i="29"/>
  <c r="R259" i="29"/>
  <c r="Q296" i="29"/>
  <c r="Q294" i="29"/>
  <c r="R294" i="29"/>
  <c r="S259" i="29"/>
  <c r="T296" i="29"/>
  <c r="R296" i="29"/>
  <c r="Q256" i="29"/>
  <c r="P288" i="29"/>
  <c r="R288" i="29"/>
  <c r="P263" i="29"/>
  <c r="P227" i="29"/>
  <c r="R216" i="29"/>
  <c r="Q242" i="29"/>
  <c r="R237" i="29"/>
  <c r="S208" i="29"/>
  <c r="P206" i="29"/>
  <c r="Q291" i="29"/>
  <c r="R230" i="29"/>
  <c r="T222" i="29"/>
  <c r="R292" i="29"/>
  <c r="R221" i="29"/>
  <c r="T240" i="29"/>
  <c r="S228" i="29"/>
  <c r="P212" i="29"/>
  <c r="Q240" i="29"/>
  <c r="T204" i="29"/>
  <c r="P222" i="29"/>
  <c r="T212" i="29"/>
  <c r="T202" i="29"/>
  <c r="R233" i="29"/>
  <c r="S222" i="29"/>
  <c r="S212" i="29"/>
  <c r="S204" i="29"/>
  <c r="P240" i="29"/>
  <c r="T230" i="29"/>
  <c r="S242" i="29"/>
  <c r="P209" i="29"/>
  <c r="R232" i="29"/>
  <c r="S224" i="29"/>
  <c r="S209" i="29"/>
  <c r="R214" i="29"/>
  <c r="T236" i="29"/>
  <c r="S206" i="29"/>
  <c r="S234" i="29"/>
  <c r="T234" i="29"/>
  <c r="Q290" i="29"/>
  <c r="S291" i="29"/>
  <c r="T263" i="29"/>
  <c r="S213" i="29"/>
  <c r="R220" i="29"/>
  <c r="T220" i="29"/>
  <c r="S243" i="29"/>
  <c r="R229" i="29"/>
  <c r="S211" i="29"/>
  <c r="S236" i="29"/>
  <c r="R226" i="29"/>
  <c r="Q201" i="29"/>
  <c r="T208" i="29"/>
  <c r="T216" i="29"/>
  <c r="P213" i="29"/>
  <c r="R227" i="29"/>
  <c r="R210" i="29"/>
  <c r="Q243" i="29"/>
  <c r="Q208" i="29"/>
  <c r="T226" i="29"/>
  <c r="Q206" i="29"/>
  <c r="S292" i="29"/>
  <c r="R291" i="29"/>
  <c r="P290" i="29"/>
  <c r="S263" i="29"/>
  <c r="S240" i="29"/>
  <c r="R242" i="29"/>
  <c r="T237" i="29"/>
  <c r="T233" i="29"/>
  <c r="T229" i="29"/>
  <c r="T225" i="29"/>
  <c r="T221" i="29"/>
  <c r="T211" i="29"/>
  <c r="P202" i="29"/>
  <c r="P233" i="29"/>
  <c r="Q202" i="29"/>
  <c r="S237" i="29"/>
  <c r="S229" i="29"/>
  <c r="S225" i="29"/>
  <c r="R211" i="29"/>
  <c r="R228" i="29"/>
  <c r="S226" i="29"/>
  <c r="R212" i="29"/>
  <c r="S210" i="29"/>
  <c r="R201" i="29"/>
  <c r="P225" i="29"/>
  <c r="P204" i="29"/>
  <c r="Q236" i="29"/>
  <c r="Q220" i="29"/>
  <c r="T228" i="29"/>
  <c r="P243" i="29"/>
  <c r="Q216" i="29"/>
  <c r="Q234" i="29"/>
  <c r="Q232" i="29"/>
  <c r="P241" i="29"/>
  <c r="Q263" i="29"/>
  <c r="P234" i="29"/>
  <c r="Q230" i="29"/>
  <c r="P226" i="29"/>
  <c r="Q222" i="29"/>
  <c r="P216" i="29"/>
  <c r="P208" i="29"/>
  <c r="Q204" i="29"/>
  <c r="T290" i="29"/>
  <c r="T241" i="29"/>
  <c r="Q233" i="29"/>
  <c r="Q227" i="29"/>
  <c r="Q221" i="29"/>
  <c r="Q211" i="29"/>
  <c r="S288" i="29"/>
  <c r="P291" i="29"/>
  <c r="R243" i="29"/>
  <c r="S241" i="29"/>
  <c r="P242" i="29"/>
  <c r="T227" i="29"/>
  <c r="T213" i="29"/>
  <c r="T209" i="29"/>
  <c r="P237" i="29"/>
  <c r="P229" i="29"/>
  <c r="S221" i="29"/>
  <c r="R213" i="29"/>
  <c r="R209" i="29"/>
  <c r="R236" i="29"/>
  <c r="S232" i="29"/>
  <c r="S230" i="29"/>
  <c r="R224" i="29"/>
  <c r="S220" i="29"/>
  <c r="S214" i="29"/>
  <c r="R206" i="29"/>
  <c r="T201" i="29"/>
  <c r="P292" i="29"/>
  <c r="Q292" i="29"/>
  <c r="Q228" i="29"/>
  <c r="Q210" i="29"/>
  <c r="Q214" i="29"/>
  <c r="P232" i="29"/>
  <c r="P214" i="29"/>
  <c r="Q288" i="29"/>
  <c r="T210" i="29"/>
  <c r="S201" i="29"/>
  <c r="P293" i="29"/>
  <c r="U293" i="29"/>
  <c r="AC323" i="29"/>
  <c r="AE318" i="29"/>
  <c r="AD502" i="29"/>
  <c r="P250" i="29"/>
  <c r="R275" i="29"/>
  <c r="T273" i="29"/>
  <c r="H71" i="98"/>
  <c r="H32" i="98" s="1"/>
  <c r="S286" i="29"/>
  <c r="R286" i="29"/>
  <c r="T199" i="29"/>
  <c r="R199" i="29"/>
  <c r="S251" i="29"/>
  <c r="P251" i="29"/>
  <c r="S271" i="29"/>
  <c r="T251" i="29"/>
  <c r="R278" i="29"/>
  <c r="T280" i="29"/>
  <c r="AI56" i="29"/>
  <c r="C45" i="29"/>
  <c r="F33" i="59"/>
  <c r="W47" i="59" s="1"/>
  <c r="T282" i="29"/>
  <c r="T277" i="29"/>
  <c r="P283" i="29"/>
  <c r="T275" i="29"/>
  <c r="R273" i="29"/>
  <c r="Q273" i="29"/>
  <c r="P273" i="29"/>
  <c r="Q278" i="29"/>
  <c r="Q272" i="29"/>
  <c r="R280" i="29"/>
  <c r="R272" i="29"/>
  <c r="Q283" i="29"/>
  <c r="P280" i="29"/>
  <c r="T272" i="29"/>
  <c r="P277" i="29"/>
  <c r="R283" i="29"/>
  <c r="Q286" i="29"/>
  <c r="Q280" i="29"/>
  <c r="P272" i="29"/>
  <c r="S281" i="29"/>
  <c r="T284" i="29"/>
  <c r="P271" i="29"/>
  <c r="R271" i="29"/>
  <c r="Q276" i="29"/>
  <c r="T271" i="29"/>
  <c r="Q274" i="29"/>
  <c r="R285" i="29"/>
  <c r="R274" i="29"/>
  <c r="P274" i="29"/>
  <c r="Q285" i="29"/>
  <c r="R287" i="29"/>
  <c r="R282" i="29"/>
  <c r="R276" i="29"/>
  <c r="P282" i="29"/>
  <c r="T276" i="29"/>
  <c r="S285" i="29"/>
  <c r="T285" i="29"/>
  <c r="T279" i="29"/>
  <c r="R279" i="29"/>
  <c r="S279" i="29"/>
  <c r="Q279" i="29"/>
  <c r="T287" i="29"/>
  <c r="Q282" i="29"/>
  <c r="P276" i="29"/>
  <c r="T274" i="29"/>
  <c r="R248" i="29"/>
  <c r="T249" i="29"/>
  <c r="T252" i="29"/>
  <c r="T248" i="29"/>
  <c r="P249" i="29"/>
  <c r="R251" i="29"/>
  <c r="AE493" i="29"/>
  <c r="S252" i="29"/>
  <c r="P200" i="29"/>
  <c r="R299" i="29"/>
  <c r="Q252" i="29"/>
  <c r="Q251" i="29"/>
  <c r="R281" i="29"/>
  <c r="R277" i="29"/>
  <c r="Q287" i="29"/>
  <c r="P286" i="29"/>
  <c r="T283" i="29"/>
  <c r="P278" i="29"/>
  <c r="S277" i="29"/>
  <c r="Q284" i="29"/>
  <c r="P281" i="29"/>
  <c r="Q275" i="29"/>
  <c r="P299" i="29"/>
  <c r="P199" i="29"/>
  <c r="Q281" i="29"/>
  <c r="P252" i="29"/>
  <c r="R284" i="29"/>
  <c r="P287" i="29"/>
  <c r="T286" i="29"/>
  <c r="T278" i="29"/>
  <c r="S284" i="29"/>
  <c r="S275" i="29"/>
  <c r="Q199" i="29"/>
  <c r="S299" i="29"/>
  <c r="Q299" i="29"/>
  <c r="S249" i="29"/>
  <c r="Q246" i="29"/>
  <c r="Q248" i="29"/>
  <c r="T247" i="29"/>
  <c r="S124" i="93"/>
  <c r="C78" i="29" s="1"/>
  <c r="P247" i="29"/>
  <c r="R267" i="29"/>
  <c r="Q249" i="29"/>
  <c r="P248" i="29"/>
  <c r="S200" i="29"/>
  <c r="R200" i="29"/>
  <c r="Q200" i="29"/>
  <c r="AD493" i="29"/>
  <c r="AC493" i="29"/>
  <c r="T250" i="29"/>
  <c r="Q298" i="29"/>
  <c r="P298" i="29"/>
  <c r="R298" i="29"/>
  <c r="T298" i="29"/>
  <c r="S298" i="29"/>
  <c r="P267" i="29"/>
  <c r="Q250" i="29"/>
  <c r="R247" i="29"/>
  <c r="Q247" i="29"/>
  <c r="S40" i="93"/>
  <c r="S244" i="29"/>
  <c r="T244" i="29"/>
  <c r="P244" i="29"/>
  <c r="R244" i="29"/>
  <c r="Q244" i="29"/>
  <c r="Q267" i="29"/>
  <c r="Q302" i="29"/>
  <c r="T302" i="29"/>
  <c r="P302" i="29"/>
  <c r="R302" i="29"/>
  <c r="S302" i="29"/>
  <c r="R246" i="29"/>
  <c r="S246" i="29"/>
  <c r="T267" i="29"/>
  <c r="P246" i="29"/>
  <c r="S250" i="29"/>
  <c r="R239" i="29"/>
  <c r="P239" i="29"/>
  <c r="T239" i="29"/>
  <c r="S239" i="29"/>
  <c r="Q239" i="29"/>
  <c r="R238" i="29"/>
  <c r="Q238" i="29"/>
  <c r="P238" i="29"/>
  <c r="T238" i="29"/>
  <c r="S238" i="29"/>
  <c r="S268" i="29"/>
  <c r="P268" i="29"/>
  <c r="Q268" i="29"/>
  <c r="T268" i="29"/>
  <c r="R268" i="29"/>
  <c r="S255" i="29"/>
  <c r="P255" i="29"/>
  <c r="T255" i="29"/>
  <c r="Q255" i="29"/>
  <c r="R255" i="29"/>
  <c r="S261" i="29"/>
  <c r="P261" i="29"/>
  <c r="T261" i="29"/>
  <c r="Q261" i="29"/>
  <c r="R261" i="29"/>
  <c r="G16" i="30"/>
  <c r="AY213" i="29" l="1"/>
  <c r="BH213" i="29"/>
  <c r="Y245" i="115"/>
  <c r="Z245" i="115" s="1"/>
  <c r="AA245" i="115" s="1"/>
  <c r="AU764" i="29" s="1"/>
  <c r="Y181" i="115"/>
  <c r="Z181" i="115" s="1"/>
  <c r="AA181" i="115" s="1"/>
  <c r="AU589" i="29" s="1"/>
  <c r="Y118" i="115"/>
  <c r="Z118" i="115" s="1"/>
  <c r="AA118" i="115" s="1"/>
  <c r="AU413" i="29" s="1"/>
  <c r="Y56" i="115"/>
  <c r="Z56" i="115" s="1"/>
  <c r="AA56" i="115" s="1"/>
  <c r="AU240" i="29" s="1"/>
  <c r="AE909" i="29"/>
  <c r="AF909" i="29" s="1"/>
  <c r="AK909" i="29"/>
  <c r="AO909" i="29" s="1"/>
  <c r="AZ461" i="118"/>
  <c r="BI461" i="118" s="1"/>
  <c r="BC461" i="118"/>
  <c r="X597" i="118"/>
  <c r="P462" i="118"/>
  <c r="N462" i="118"/>
  <c r="Y307" i="115"/>
  <c r="Z307" i="115" s="1"/>
  <c r="AA307" i="115" s="1"/>
  <c r="AU936" i="29" s="1"/>
  <c r="AQ213" i="29"/>
  <c r="AD738" i="29"/>
  <c r="AC738" i="29"/>
  <c r="AC565" i="29"/>
  <c r="AD565" i="29"/>
  <c r="N329" i="118"/>
  <c r="P329" i="118"/>
  <c r="BC328" i="118"/>
  <c r="AZ328" i="118"/>
  <c r="BI328" i="118" s="1"/>
  <c r="AC61" i="118"/>
  <c r="BP61" i="118" s="1"/>
  <c r="BO61" i="118"/>
  <c r="AW61" i="118"/>
  <c r="BF61" i="118" s="1"/>
  <c r="AQ61" i="118"/>
  <c r="Z61" i="118"/>
  <c r="AZ195" i="118"/>
  <c r="BI195" i="118" s="1"/>
  <c r="BC195" i="118"/>
  <c r="P196" i="118"/>
  <c r="N196" i="118"/>
  <c r="AE120" i="115"/>
  <c r="AV415" i="29" s="1"/>
  <c r="AB180" i="115"/>
  <c r="BK588" i="29" s="1"/>
  <c r="AE309" i="115"/>
  <c r="AV938" i="29" s="1"/>
  <c r="AB306" i="115"/>
  <c r="BK935" i="29" s="1"/>
  <c r="AE247" i="115"/>
  <c r="AV766" i="29" s="1"/>
  <c r="AE58" i="115"/>
  <c r="AV242" i="29" s="1"/>
  <c r="AB117" i="115"/>
  <c r="BK412" i="29" s="1"/>
  <c r="AE183" i="115"/>
  <c r="AV591" i="29" s="1"/>
  <c r="AX212" i="29"/>
  <c r="BJ902" i="29"/>
  <c r="BJ903" i="29" s="1"/>
  <c r="BJ904" i="29" s="1"/>
  <c r="BJ905" i="29" s="1"/>
  <c r="BJ906" i="29" s="1"/>
  <c r="BJ907" i="29" s="1"/>
  <c r="BJ908" i="29" s="1"/>
  <c r="BJ909" i="29" s="1"/>
  <c r="BJ910" i="29" s="1"/>
  <c r="BJ729" i="29"/>
  <c r="BJ730" i="29" s="1"/>
  <c r="BJ731" i="29" s="1"/>
  <c r="BJ732" i="29" s="1"/>
  <c r="BJ733" i="29" s="1"/>
  <c r="BJ734" i="29" s="1"/>
  <c r="BJ735" i="29" s="1"/>
  <c r="BJ736" i="29" s="1"/>
  <c r="BJ205" i="29"/>
  <c r="BJ555" i="29"/>
  <c r="BJ556" i="29" s="1"/>
  <c r="BJ557" i="29" s="1"/>
  <c r="BJ558" i="29" s="1"/>
  <c r="BJ559" i="29" s="1"/>
  <c r="BJ560" i="29" s="1"/>
  <c r="BJ561" i="29" s="1"/>
  <c r="BJ562" i="29" s="1"/>
  <c r="BJ563" i="29" s="1"/>
  <c r="BJ379" i="29"/>
  <c r="BJ380" i="29" s="1"/>
  <c r="BJ381" i="29" s="1"/>
  <c r="BJ382" i="29" s="1"/>
  <c r="BJ383" i="29" s="1"/>
  <c r="BJ384" i="29" s="1"/>
  <c r="BJ385" i="29" s="1"/>
  <c r="BJ386" i="29" s="1"/>
  <c r="AQ214" i="29"/>
  <c r="BH214" i="29"/>
  <c r="AQ910" i="29"/>
  <c r="BH910" i="29"/>
  <c r="Q184" i="115"/>
  <c r="R184" i="115" s="1"/>
  <c r="AD184" i="115"/>
  <c r="P185" i="115"/>
  <c r="AC184" i="115"/>
  <c r="AB244" i="115"/>
  <c r="BK763" i="29" s="1"/>
  <c r="BI555" i="29"/>
  <c r="BI379" i="29"/>
  <c r="BI729" i="29"/>
  <c r="BI205" i="29"/>
  <c r="T182" i="115"/>
  <c r="W182" i="115" s="1"/>
  <c r="X182" i="115" s="1"/>
  <c r="V182" i="115"/>
  <c r="AB55" i="115"/>
  <c r="BK239" i="29" s="1"/>
  <c r="Q59" i="115"/>
  <c r="R59" i="115" s="1"/>
  <c r="S59" i="115" s="1"/>
  <c r="T59" i="115" s="1"/>
  <c r="AQ386" i="29"/>
  <c r="BH386" i="29"/>
  <c r="AQ736" i="29"/>
  <c r="BH736" i="29"/>
  <c r="AQ563" i="29"/>
  <c r="BH563" i="29"/>
  <c r="U183" i="115"/>
  <c r="S183" i="115"/>
  <c r="K80" i="30"/>
  <c r="K327" i="29" s="1"/>
  <c r="X327" i="29" s="1"/>
  <c r="K77" i="30"/>
  <c r="K324" i="29" s="1"/>
  <c r="X324" i="29" s="1"/>
  <c r="K71" i="30"/>
  <c r="K318" i="29" s="1"/>
  <c r="X318" i="29" s="1"/>
  <c r="K69" i="30"/>
  <c r="K316" i="29" s="1"/>
  <c r="AT385" i="29"/>
  <c r="AY736" i="29"/>
  <c r="BE736" i="29"/>
  <c r="BF736" i="29"/>
  <c r="BC736" i="29"/>
  <c r="BD736" i="29"/>
  <c r="AZ736" i="29"/>
  <c r="BG736" i="29"/>
  <c r="AX736" i="29"/>
  <c r="BA736" i="29"/>
  <c r="BB736" i="29"/>
  <c r="AN737" i="29"/>
  <c r="AT735" i="29"/>
  <c r="BE386" i="29"/>
  <c r="AZ386" i="29"/>
  <c r="BD386" i="29"/>
  <c r="BG386" i="29"/>
  <c r="BA386" i="29"/>
  <c r="BB386" i="29"/>
  <c r="BC386" i="29"/>
  <c r="BF386" i="29"/>
  <c r="AY386" i="29"/>
  <c r="AX386" i="29"/>
  <c r="AN387" i="29"/>
  <c r="AX563" i="29"/>
  <c r="BE563" i="29"/>
  <c r="BD563" i="29"/>
  <c r="BG563" i="29"/>
  <c r="AZ563" i="29"/>
  <c r="BC563" i="29"/>
  <c r="BF563" i="29"/>
  <c r="AY563" i="29"/>
  <c r="BA563" i="29"/>
  <c r="AN564" i="29"/>
  <c r="AY214" i="29"/>
  <c r="AR205" i="29"/>
  <c r="AR902" i="29"/>
  <c r="AR903" i="29" s="1"/>
  <c r="AR904" i="29" s="1"/>
  <c r="AR905" i="29" s="1"/>
  <c r="AR906" i="29" s="1"/>
  <c r="AR907" i="29" s="1"/>
  <c r="AR908" i="29" s="1"/>
  <c r="AR909" i="29" s="1"/>
  <c r="AR910" i="29" s="1"/>
  <c r="AR555" i="29"/>
  <c r="AR556" i="29" s="1"/>
  <c r="AR557" i="29" s="1"/>
  <c r="AR558" i="29" s="1"/>
  <c r="AR559" i="29" s="1"/>
  <c r="AR560" i="29" s="1"/>
  <c r="AR561" i="29" s="1"/>
  <c r="AR562" i="29" s="1"/>
  <c r="AR563" i="29" s="1"/>
  <c r="AR379" i="29"/>
  <c r="AR380" i="29" s="1"/>
  <c r="AR381" i="29" s="1"/>
  <c r="AR382" i="29" s="1"/>
  <c r="AR383" i="29" s="1"/>
  <c r="AR384" i="29" s="1"/>
  <c r="AR385" i="29" s="1"/>
  <c r="AR386" i="29" s="1"/>
  <c r="AR729" i="29"/>
  <c r="AR730" i="29" s="1"/>
  <c r="AR731" i="29" s="1"/>
  <c r="AR732" i="29" s="1"/>
  <c r="AR733" i="29" s="1"/>
  <c r="AR734" i="29" s="1"/>
  <c r="AR735" i="29" s="1"/>
  <c r="AR736" i="29" s="1"/>
  <c r="AY910" i="29"/>
  <c r="AN911" i="29"/>
  <c r="BB561" i="29"/>
  <c r="AT560" i="29"/>
  <c r="AN215" i="29"/>
  <c r="CA65" i="29"/>
  <c r="BY65" i="29"/>
  <c r="BZ65" i="29"/>
  <c r="BX65" i="29"/>
  <c r="BW65" i="29"/>
  <c r="AD54" i="29"/>
  <c r="Z55" i="29"/>
  <c r="BK57" i="29" s="1"/>
  <c r="AD57" i="29"/>
  <c r="BO59" i="29" s="1"/>
  <c r="Z58" i="29"/>
  <c r="BK60" i="29" s="1"/>
  <c r="AD60" i="29"/>
  <c r="BO62" i="29" s="1"/>
  <c r="Z61" i="29"/>
  <c r="BK63" i="29" s="1"/>
  <c r="AD63" i="29"/>
  <c r="BO65" i="29" s="1"/>
  <c r="Z64" i="29"/>
  <c r="BK66" i="29" s="1"/>
  <c r="AD66" i="29"/>
  <c r="BO68" i="29" s="1"/>
  <c r="Z67" i="29"/>
  <c r="BK69" i="29" s="1"/>
  <c r="Y55" i="29"/>
  <c r="AM57" i="29" s="1"/>
  <c r="Y58" i="29"/>
  <c r="AM60" i="29" s="1"/>
  <c r="AC61" i="29"/>
  <c r="BN63" i="29" s="1"/>
  <c r="AG63" i="29"/>
  <c r="BR65" i="29" s="1"/>
  <c r="AC64" i="29"/>
  <c r="BN66" i="29" s="1"/>
  <c r="Y67" i="29"/>
  <c r="AM69" i="29" s="1"/>
  <c r="AE54" i="29"/>
  <c r="BP56" i="29" s="1"/>
  <c r="W55" i="29"/>
  <c r="AK57" i="29" s="1"/>
  <c r="AA55" i="29"/>
  <c r="BL57" i="29" s="1"/>
  <c r="AE57" i="29"/>
  <c r="BP59" i="29" s="1"/>
  <c r="W58" i="29"/>
  <c r="AK60" i="29" s="1"/>
  <c r="AA58" i="29"/>
  <c r="BL60" i="29" s="1"/>
  <c r="AE60" i="29"/>
  <c r="BP62" i="29" s="1"/>
  <c r="W61" i="29"/>
  <c r="AK63" i="29" s="1"/>
  <c r="AA61" i="29"/>
  <c r="BL63" i="29" s="1"/>
  <c r="AE63" i="29"/>
  <c r="W64" i="29"/>
  <c r="AK66" i="29" s="1"/>
  <c r="AA64" i="29"/>
  <c r="BL66" i="29" s="1"/>
  <c r="AE66" i="29"/>
  <c r="BP68" i="29" s="1"/>
  <c r="W67" i="29"/>
  <c r="AK69" i="29" s="1"/>
  <c r="AA67" i="29"/>
  <c r="BL69" i="29" s="1"/>
  <c r="AG54" i="29"/>
  <c r="BR56" i="29" s="1"/>
  <c r="AC55" i="29"/>
  <c r="BN57" i="29" s="1"/>
  <c r="AG57" i="29"/>
  <c r="BR59" i="29" s="1"/>
  <c r="Y61" i="29"/>
  <c r="AM63" i="29" s="1"/>
  <c r="Y64" i="29"/>
  <c r="AM66" i="29" s="1"/>
  <c r="AC67" i="29"/>
  <c r="BN69" i="29" s="1"/>
  <c r="AF54" i="29"/>
  <c r="BQ56" i="29" s="1"/>
  <c r="X55" i="29"/>
  <c r="AL57" i="29" s="1"/>
  <c r="AB55" i="29"/>
  <c r="BM57" i="29" s="1"/>
  <c r="AF57" i="29"/>
  <c r="BQ59" i="29" s="1"/>
  <c r="X58" i="29"/>
  <c r="AB58" i="29"/>
  <c r="BM60" i="29" s="1"/>
  <c r="AF60" i="29"/>
  <c r="BQ62" i="29" s="1"/>
  <c r="X61" i="29"/>
  <c r="AL63" i="29" s="1"/>
  <c r="AB61" i="29"/>
  <c r="BM63" i="29" s="1"/>
  <c r="AF63" i="29"/>
  <c r="BQ65" i="29" s="1"/>
  <c r="X64" i="29"/>
  <c r="AL66" i="29" s="1"/>
  <c r="AB64" i="29"/>
  <c r="BM66" i="29" s="1"/>
  <c r="AF66" i="29"/>
  <c r="X67" i="29"/>
  <c r="AL69" i="29" s="1"/>
  <c r="AB67" i="29"/>
  <c r="BM69" i="29" s="1"/>
  <c r="AC58" i="29"/>
  <c r="BN60" i="29" s="1"/>
  <c r="AG60" i="29"/>
  <c r="BR62" i="29" s="1"/>
  <c r="AG66" i="29"/>
  <c r="BR68" i="29" s="1"/>
  <c r="AB54" i="29"/>
  <c r="BM56" i="29" s="1"/>
  <c r="E16" i="29"/>
  <c r="AC248" i="115"/>
  <c r="Q248" i="115"/>
  <c r="R248" i="115" s="1"/>
  <c r="AD248" i="115"/>
  <c r="P249" i="115"/>
  <c r="S120" i="115"/>
  <c r="U120" i="115"/>
  <c r="S309" i="115"/>
  <c r="U309" i="115"/>
  <c r="BO56" i="29"/>
  <c r="AL60" i="29"/>
  <c r="BP65" i="29"/>
  <c r="BQ68" i="29"/>
  <c r="AC121" i="115"/>
  <c r="Q121" i="115"/>
  <c r="R121" i="115" s="1"/>
  <c r="AD121" i="115"/>
  <c r="P122" i="115"/>
  <c r="T119" i="115"/>
  <c r="W119" i="115" s="1"/>
  <c r="X119" i="115" s="1"/>
  <c r="V119" i="115"/>
  <c r="V308" i="115"/>
  <c r="T308" i="115"/>
  <c r="W308" i="115" s="1"/>
  <c r="X308" i="115" s="1"/>
  <c r="AC310" i="115"/>
  <c r="Q310" i="115"/>
  <c r="R310" i="115" s="1"/>
  <c r="AD310" i="115"/>
  <c r="P311" i="115"/>
  <c r="V246" i="115"/>
  <c r="T246" i="115"/>
  <c r="W246" i="115" s="1"/>
  <c r="X246" i="115" s="1"/>
  <c r="Y246" i="115" s="1"/>
  <c r="Z246" i="115" s="1"/>
  <c r="S247" i="115"/>
  <c r="U247" i="115"/>
  <c r="W438" i="29"/>
  <c r="W439" i="29"/>
  <c r="W788" i="29"/>
  <c r="W615" i="29"/>
  <c r="W961" i="29"/>
  <c r="W789" i="29"/>
  <c r="W962" i="29"/>
  <c r="W614" i="29"/>
  <c r="C16" i="29"/>
  <c r="D15" i="29"/>
  <c r="D16" i="29"/>
  <c r="V789" i="29"/>
  <c r="V788" i="29"/>
  <c r="V614" i="29"/>
  <c r="V439" i="29"/>
  <c r="V961" i="29"/>
  <c r="V438" i="29"/>
  <c r="V615" i="29"/>
  <c r="V962" i="29"/>
  <c r="K78" i="30"/>
  <c r="K325" i="29" s="1"/>
  <c r="X325" i="29" s="1"/>
  <c r="K70" i="30"/>
  <c r="K317" i="29" s="1"/>
  <c r="X317" i="29" s="1"/>
  <c r="K76" i="30"/>
  <c r="K323" i="29" s="1"/>
  <c r="X323" i="29" s="1"/>
  <c r="K67" i="30"/>
  <c r="K313" i="29" s="1"/>
  <c r="C15" i="29"/>
  <c r="W307" i="29"/>
  <c r="W265" i="29"/>
  <c r="W264" i="29"/>
  <c r="V264" i="29"/>
  <c r="V265" i="29"/>
  <c r="X487" i="29"/>
  <c r="X483" i="29"/>
  <c r="X311" i="29"/>
  <c r="X315" i="29"/>
  <c r="K74" i="30"/>
  <c r="K321" i="29" s="1"/>
  <c r="X321" i="29" s="1"/>
  <c r="K66" i="30"/>
  <c r="K312" i="29" s="1"/>
  <c r="X326" i="29"/>
  <c r="K64" i="30"/>
  <c r="K310" i="29" s="1"/>
  <c r="K165" i="29"/>
  <c r="K166" i="29"/>
  <c r="K161" i="29"/>
  <c r="K162" i="29"/>
  <c r="K164" i="29"/>
  <c r="K159" i="29"/>
  <c r="K160" i="29"/>
  <c r="K163" i="29"/>
  <c r="C54" i="29"/>
  <c r="P60" i="115"/>
  <c r="AC59" i="115"/>
  <c r="AD59" i="115"/>
  <c r="U58" i="115"/>
  <c r="W57" i="115"/>
  <c r="X57" i="115" s="1"/>
  <c r="V57" i="115"/>
  <c r="K168" i="29"/>
  <c r="K170" i="29"/>
  <c r="S39" i="93"/>
  <c r="C77" i="29" s="1"/>
  <c r="H72" i="98"/>
  <c r="H73" i="98" s="1"/>
  <c r="H75" i="98"/>
  <c r="H76" i="98" s="1"/>
  <c r="AH923" i="29"/>
  <c r="AC329" i="29"/>
  <c r="AJ56" i="29"/>
  <c r="V1026" i="29"/>
  <c r="V1025" i="29"/>
  <c r="V1024" i="29"/>
  <c r="V1023" i="29"/>
  <c r="V1022" i="29"/>
  <c r="V1021" i="29"/>
  <c r="V1020" i="29"/>
  <c r="V1019" i="29"/>
  <c r="V1018" i="29"/>
  <c r="V1017" i="29"/>
  <c r="V1016" i="29"/>
  <c r="V1015" i="29"/>
  <c r="V1014" i="29"/>
  <c r="V1013" i="29"/>
  <c r="V1012" i="29"/>
  <c r="V1010" i="29"/>
  <c r="V1009" i="29"/>
  <c r="V1008" i="29"/>
  <c r="V1007" i="29"/>
  <c r="V1006" i="29"/>
  <c r="V1002" i="29"/>
  <c r="V1000" i="29"/>
  <c r="V991" i="29"/>
  <c r="V896" i="29"/>
  <c r="V860" i="29"/>
  <c r="V859" i="29"/>
  <c r="V858" i="29"/>
  <c r="V857" i="29"/>
  <c r="V856" i="29"/>
  <c r="V855" i="29"/>
  <c r="V854" i="29"/>
  <c r="V993" i="29"/>
  <c r="V897" i="29"/>
  <c r="V1001" i="29"/>
  <c r="V992" i="29"/>
  <c r="V1033" i="29"/>
  <c r="V1032" i="29"/>
  <c r="V1031" i="29"/>
  <c r="V1030" i="29"/>
  <c r="V1029" i="29"/>
  <c r="V1028" i="29"/>
  <c r="V1027" i="29"/>
  <c r="V1005" i="29"/>
  <c r="V1004" i="29"/>
  <c r="V1003" i="29"/>
  <c r="V994" i="29"/>
  <c r="V828" i="29"/>
  <c r="V832" i="29"/>
  <c r="V831" i="29"/>
  <c r="V830" i="29"/>
  <c r="V821" i="29"/>
  <c r="V820" i="29"/>
  <c r="V819" i="29"/>
  <c r="V724" i="29"/>
  <c r="V723" i="29"/>
  <c r="V852" i="29"/>
  <c r="V851" i="29"/>
  <c r="V850" i="29"/>
  <c r="V849" i="29"/>
  <c r="V848" i="29"/>
  <c r="V847" i="29"/>
  <c r="V846" i="29"/>
  <c r="V845" i="29"/>
  <c r="V844" i="29"/>
  <c r="V843" i="29"/>
  <c r="V842" i="29"/>
  <c r="V841" i="29"/>
  <c r="V840" i="29"/>
  <c r="V839" i="29"/>
  <c r="V837" i="29"/>
  <c r="V836" i="29"/>
  <c r="V835" i="29"/>
  <c r="V834" i="29"/>
  <c r="V833" i="29"/>
  <c r="V829" i="29"/>
  <c r="V827" i="29"/>
  <c r="V853" i="29"/>
  <c r="V818" i="29"/>
  <c r="V686" i="29"/>
  <c r="V685" i="29"/>
  <c r="V684" i="29"/>
  <c r="V683" i="29"/>
  <c r="V682" i="29"/>
  <c r="V681" i="29"/>
  <c r="V680" i="29"/>
  <c r="V658" i="29"/>
  <c r="V657" i="29"/>
  <c r="V656" i="29"/>
  <c r="V677" i="29"/>
  <c r="V673" i="29"/>
  <c r="V669" i="29"/>
  <c r="V665" i="29"/>
  <c r="V661" i="29"/>
  <c r="V654" i="29"/>
  <c r="V678" i="29"/>
  <c r="V674" i="29"/>
  <c r="V670" i="29"/>
  <c r="V666" i="29"/>
  <c r="V662" i="29"/>
  <c r="V653" i="29"/>
  <c r="V510" i="29"/>
  <c r="V509" i="29"/>
  <c r="V508" i="29"/>
  <c r="V507" i="29"/>
  <c r="V506" i="29"/>
  <c r="V505" i="29"/>
  <c r="V478" i="29"/>
  <c r="V679" i="29"/>
  <c r="V675" i="29"/>
  <c r="V671" i="29"/>
  <c r="V667" i="29"/>
  <c r="V663" i="29"/>
  <c r="V659" i="29"/>
  <c r="V655" i="29"/>
  <c r="V647" i="29"/>
  <c r="V646" i="29"/>
  <c r="V645" i="29"/>
  <c r="V504" i="29"/>
  <c r="V676" i="29"/>
  <c r="V672" i="29"/>
  <c r="V668" i="29"/>
  <c r="V660" i="29"/>
  <c r="V644" i="29"/>
  <c r="V550" i="29"/>
  <c r="V503" i="29"/>
  <c r="V502" i="29"/>
  <c r="V501" i="29"/>
  <c r="V500" i="29"/>
  <c r="V499" i="29"/>
  <c r="V498" i="29"/>
  <c r="V497" i="29"/>
  <c r="V496" i="29"/>
  <c r="V495" i="29"/>
  <c r="V494" i="29"/>
  <c r="V493" i="29"/>
  <c r="V492" i="29"/>
  <c r="V491" i="29"/>
  <c r="V490" i="29"/>
  <c r="V489" i="29"/>
  <c r="V487" i="29"/>
  <c r="V486" i="29"/>
  <c r="V485" i="29"/>
  <c r="V484" i="29"/>
  <c r="V483" i="29"/>
  <c r="V479" i="29"/>
  <c r="V477" i="29"/>
  <c r="V480" i="29"/>
  <c r="V470" i="29"/>
  <c r="V468" i="29"/>
  <c r="V374" i="29"/>
  <c r="V481" i="29"/>
  <c r="V482" i="29"/>
  <c r="V471" i="29"/>
  <c r="V469" i="29"/>
  <c r="V373" i="29"/>
  <c r="V401" i="29"/>
  <c r="V588" i="29"/>
  <c r="V603" i="29"/>
  <c r="V807" i="29"/>
  <c r="V792" i="29"/>
  <c r="V817" i="29"/>
  <c r="V915" i="29"/>
  <c r="V953" i="29"/>
  <c r="V979" i="29"/>
  <c r="V446" i="29"/>
  <c r="V464" i="29"/>
  <c r="V420" i="29"/>
  <c r="V411" i="29"/>
  <c r="V592" i="29"/>
  <c r="V628" i="29"/>
  <c r="V651" i="29"/>
  <c r="V609" i="29"/>
  <c r="V621" i="29"/>
  <c r="V772" i="29"/>
  <c r="V778" i="29"/>
  <c r="V725" i="29"/>
  <c r="V750" i="29"/>
  <c r="V928" i="29"/>
  <c r="V441" i="29"/>
  <c r="V409" i="29"/>
  <c r="V384" i="29"/>
  <c r="V649" i="29"/>
  <c r="V652" i="29"/>
  <c r="V558" i="29"/>
  <c r="V598" i="29"/>
  <c r="V630" i="29"/>
  <c r="V731" i="29"/>
  <c r="V759" i="29"/>
  <c r="V959" i="29"/>
  <c r="V580" i="29"/>
  <c r="V623" i="29"/>
  <c r="V560" i="29"/>
  <c r="V563" i="29"/>
  <c r="V602" i="29"/>
  <c r="V616" i="29"/>
  <c r="V803" i="29"/>
  <c r="V746" i="29"/>
  <c r="V813" i="29"/>
  <c r="V995" i="29"/>
  <c r="V917" i="29"/>
  <c r="V971" i="29"/>
  <c r="V378" i="29"/>
  <c r="V460" i="29"/>
  <c r="V427" i="29"/>
  <c r="V476" i="29"/>
  <c r="V389" i="29"/>
  <c r="V437" i="29"/>
  <c r="V398" i="29"/>
  <c r="V586" i="29"/>
  <c r="V785" i="29"/>
  <c r="V776" i="29"/>
  <c r="V783" i="29"/>
  <c r="V577" i="29"/>
  <c r="V822" i="29"/>
  <c r="V757" i="29"/>
  <c r="V798" i="29"/>
  <c r="V595" i="29"/>
  <c r="V815" i="29"/>
  <c r="V967" i="29"/>
  <c r="V986" i="29"/>
  <c r="V926" i="29"/>
  <c r="V629" i="29"/>
  <c r="V608" i="29"/>
  <c r="V900" i="29"/>
  <c r="V564" i="29"/>
  <c r="V611" i="29"/>
  <c r="V555" i="29"/>
  <c r="V739" i="29"/>
  <c r="V794" i="29"/>
  <c r="V964" i="29"/>
  <c r="V937" i="29"/>
  <c r="V984" i="29"/>
  <c r="V906" i="29"/>
  <c r="V463" i="29"/>
  <c r="V402" i="29"/>
  <c r="V407" i="29"/>
  <c r="V571" i="29"/>
  <c r="V749" i="29"/>
  <c r="V741" i="29"/>
  <c r="V605" i="29"/>
  <c r="V648" i="29"/>
  <c r="V973" i="29"/>
  <c r="V968" i="29"/>
  <c r="V956" i="29"/>
  <c r="V432" i="29"/>
  <c r="V452" i="29"/>
  <c r="V444" i="29"/>
  <c r="V375" i="29"/>
  <c r="V440" i="29"/>
  <c r="V391" i="29"/>
  <c r="V642" i="29"/>
  <c r="V572" i="29"/>
  <c r="V793" i="29"/>
  <c r="V745" i="29"/>
  <c r="V981" i="29"/>
  <c r="V947" i="29"/>
  <c r="V969" i="29"/>
  <c r="V930" i="29"/>
  <c r="V950" i="29"/>
  <c r="V732" i="29"/>
  <c r="V428" i="29"/>
  <c r="V382" i="29"/>
  <c r="V405" i="29"/>
  <c r="V576" i="29"/>
  <c r="V591" i="29"/>
  <c r="V636" i="29"/>
  <c r="V774" i="29"/>
  <c r="V811" i="29"/>
  <c r="V737" i="29"/>
  <c r="V989" i="29"/>
  <c r="V977" i="29"/>
  <c r="V941" i="29"/>
  <c r="V631" i="29"/>
  <c r="V627" i="29"/>
  <c r="V604" i="29"/>
  <c r="V755" i="29"/>
  <c r="V945" i="29"/>
  <c r="V940" i="29"/>
  <c r="V903" i="29"/>
  <c r="V975" i="29"/>
  <c r="V451" i="29"/>
  <c r="V381" i="29"/>
  <c r="V472" i="29"/>
  <c r="V404" i="29"/>
  <c r="V462" i="29"/>
  <c r="V416" i="29"/>
  <c r="V584" i="29"/>
  <c r="V816" i="29"/>
  <c r="V771" i="29"/>
  <c r="V762" i="29"/>
  <c r="V736" i="29"/>
  <c r="V747" i="29"/>
  <c r="V766" i="29"/>
  <c r="V756" i="29"/>
  <c r="V728" i="29"/>
  <c r="V573" i="29"/>
  <c r="V551" i="29"/>
  <c r="V787" i="29"/>
  <c r="V780" i="29"/>
  <c r="V742" i="29"/>
  <c r="V795" i="29"/>
  <c r="V770" i="29"/>
  <c r="V907" i="29"/>
  <c r="V899" i="29"/>
  <c r="V983" i="29"/>
  <c r="V927" i="29"/>
  <c r="V447" i="29"/>
  <c r="V925" i="29"/>
  <c r="V590" i="29"/>
  <c r="V920" i="29"/>
  <c r="V606" i="29"/>
  <c r="V625" i="29"/>
  <c r="V824" i="29"/>
  <c r="V931" i="29"/>
  <c r="V957" i="29"/>
  <c r="V454" i="29"/>
  <c r="V453" i="29"/>
  <c r="V394" i="29"/>
  <c r="V791" i="29"/>
  <c r="V912" i="29"/>
  <c r="V634" i="29"/>
  <c r="V554" i="29"/>
  <c r="V825" i="29"/>
  <c r="V421" i="29"/>
  <c r="V424" i="29"/>
  <c r="V429" i="29"/>
  <c r="V392" i="29"/>
  <c r="V637" i="29"/>
  <c r="V430" i="29"/>
  <c r="V456" i="29"/>
  <c r="V425" i="29"/>
  <c r="V380" i="29"/>
  <c r="V379" i="29"/>
  <c r="V593" i="29"/>
  <c r="V632" i="29"/>
  <c r="V610" i="29"/>
  <c r="V562" i="29"/>
  <c r="V559" i="29"/>
  <c r="V733" i="29"/>
  <c r="V935" i="29"/>
  <c r="V946" i="29"/>
  <c r="V918" i="29"/>
  <c r="V622" i="29"/>
  <c r="V626" i="29"/>
  <c r="V797" i="29"/>
  <c r="V997" i="29"/>
  <c r="V901" i="29"/>
  <c r="V423" i="29"/>
  <c r="V458" i="29"/>
  <c r="V436" i="29"/>
  <c r="V386" i="29"/>
  <c r="V569" i="29"/>
  <c r="V565" i="29"/>
  <c r="V786" i="29"/>
  <c r="V952" i="29"/>
  <c r="V955" i="29"/>
  <c r="V908" i="29"/>
  <c r="V619" i="29"/>
  <c r="V589" i="29"/>
  <c r="V612" i="29"/>
  <c r="V575" i="29"/>
  <c r="V738" i="29"/>
  <c r="V808" i="29"/>
  <c r="V933" i="29"/>
  <c r="V990" i="29"/>
  <c r="V965" i="29"/>
  <c r="V934" i="29"/>
  <c r="V963" i="29"/>
  <c r="V435" i="29"/>
  <c r="V450" i="29"/>
  <c r="V455" i="29"/>
  <c r="V426" i="29"/>
  <c r="V466" i="29"/>
  <c r="V406" i="29"/>
  <c r="V388" i="29"/>
  <c r="V561" i="29"/>
  <c r="V587" i="29"/>
  <c r="V812" i="29"/>
  <c r="V748" i="29"/>
  <c r="V768" i="29"/>
  <c r="V566" i="29"/>
  <c r="V810" i="29"/>
  <c r="V761" i="29"/>
  <c r="V743" i="29"/>
  <c r="V585" i="29"/>
  <c r="V553" i="29"/>
  <c r="V800" i="29"/>
  <c r="V760" i="29"/>
  <c r="V805" i="29"/>
  <c r="V752" i="29"/>
  <c r="V765" i="29"/>
  <c r="V727" i="29"/>
  <c r="V633" i="29"/>
  <c r="V568" i="29"/>
  <c r="V939" i="29"/>
  <c r="V914" i="29"/>
  <c r="V643" i="29"/>
  <c r="V751" i="29"/>
  <c r="V641" i="29"/>
  <c r="V582" i="29"/>
  <c r="V985" i="29"/>
  <c r="V948" i="29"/>
  <c r="V433" i="29"/>
  <c r="V410" i="29"/>
  <c r="V443" i="29"/>
  <c r="V461" i="29"/>
  <c r="V396" i="29"/>
  <c r="V769" i="29"/>
  <c r="V996" i="29"/>
  <c r="V781" i="29"/>
  <c r="V734" i="29"/>
  <c r="V397" i="29"/>
  <c r="V414" i="29"/>
  <c r="V475" i="29"/>
  <c r="V408" i="29"/>
  <c r="V431" i="29"/>
  <c r="V620" i="29"/>
  <c r="V400" i="29"/>
  <c r="V417" i="29"/>
  <c r="V395" i="29"/>
  <c r="V473" i="29"/>
  <c r="V583" i="29"/>
  <c r="V814" i="29"/>
  <c r="V806" i="29"/>
  <c r="V790" i="29"/>
  <c r="V966" i="29"/>
  <c r="V922" i="29"/>
  <c r="V942" i="29"/>
  <c r="V607" i="29"/>
  <c r="V613" i="29"/>
  <c r="V799" i="29"/>
  <c r="V938" i="29"/>
  <c r="V949" i="29"/>
  <c r="V403" i="29"/>
  <c r="V393" i="29"/>
  <c r="V413" i="29"/>
  <c r="V599" i="29"/>
  <c r="V618" i="29"/>
  <c r="V570" i="29"/>
  <c r="V764" i="29"/>
  <c r="V767" i="29"/>
  <c r="V936" i="29"/>
  <c r="V943" i="29"/>
  <c r="V904" i="29"/>
  <c r="V916" i="29"/>
  <c r="V557" i="29"/>
  <c r="V796" i="29"/>
  <c r="V924" i="29"/>
  <c r="V954" i="29"/>
  <c r="V929" i="29"/>
  <c r="V960" i="29"/>
  <c r="V910" i="29"/>
  <c r="V434" i="29"/>
  <c r="V419" i="29"/>
  <c r="V412" i="29"/>
  <c r="V422" i="29"/>
  <c r="V445" i="29"/>
  <c r="V383" i="29"/>
  <c r="V448" i="29"/>
  <c r="V567" i="29"/>
  <c r="V556" i="29"/>
  <c r="V777" i="29"/>
  <c r="V784" i="29"/>
  <c r="V754" i="29"/>
  <c r="V735" i="29"/>
  <c r="V578" i="29"/>
  <c r="V579" i="29"/>
  <c r="V552" i="29"/>
  <c r="V826" i="29"/>
  <c r="V744" i="29"/>
  <c r="V775" i="29"/>
  <c r="V801" i="29"/>
  <c r="V782" i="29"/>
  <c r="V753" i="29"/>
  <c r="V726" i="29"/>
  <c r="V919" i="29"/>
  <c r="V390" i="29"/>
  <c r="V729" i="29"/>
  <c r="V913" i="29"/>
  <c r="V624" i="29"/>
  <c r="V905" i="29"/>
  <c r="V600" i="29"/>
  <c r="V650" i="29"/>
  <c r="V980" i="29"/>
  <c r="V399" i="29"/>
  <c r="V415" i="29"/>
  <c r="V418" i="29"/>
  <c r="V385" i="29"/>
  <c r="V639" i="29"/>
  <c r="V597" i="29"/>
  <c r="V601" i="29"/>
  <c r="V763" i="29"/>
  <c r="V923" i="29"/>
  <c r="V596" i="29"/>
  <c r="V809" i="29"/>
  <c r="V974" i="29"/>
  <c r="V987" i="29"/>
  <c r="V449" i="29"/>
  <c r="V442" i="29"/>
  <c r="V457" i="29"/>
  <c r="V467" i="29"/>
  <c r="V617" i="29"/>
  <c r="V459" i="29"/>
  <c r="V474" i="29"/>
  <c r="V465" i="29"/>
  <c r="V574" i="29"/>
  <c r="V638" i="29"/>
  <c r="V779" i="29"/>
  <c r="V998" i="29"/>
  <c r="V958" i="29"/>
  <c r="V902" i="29"/>
  <c r="V978" i="29"/>
  <c r="V594" i="29"/>
  <c r="V932" i="29"/>
  <c r="V387" i="29"/>
  <c r="V581" i="29"/>
  <c r="V804" i="29"/>
  <c r="V823" i="29"/>
  <c r="V730" i="29"/>
  <c r="V740" i="29"/>
  <c r="V999" i="29"/>
  <c r="V976" i="29"/>
  <c r="V988" i="29"/>
  <c r="V911" i="29"/>
  <c r="V972" i="29"/>
  <c r="V970" i="29"/>
  <c r="V898" i="29"/>
  <c r="V640" i="29"/>
  <c r="V635" i="29"/>
  <c r="V802" i="29"/>
  <c r="V773" i="29"/>
  <c r="V758" i="29"/>
  <c r="V951" i="29"/>
  <c r="V921" i="29"/>
  <c r="V944" i="29"/>
  <c r="V982" i="29"/>
  <c r="V909" i="29"/>
  <c r="V376" i="29"/>
  <c r="V377" i="29"/>
  <c r="W994" i="29"/>
  <c r="W993" i="29"/>
  <c r="W897" i="29"/>
  <c r="W853" i="29"/>
  <c r="W852" i="29"/>
  <c r="W1001" i="29"/>
  <c r="W992" i="29"/>
  <c r="W1033" i="29"/>
  <c r="W1032" i="29"/>
  <c r="W1031" i="29"/>
  <c r="W1030" i="29"/>
  <c r="W1029" i="29"/>
  <c r="W1028" i="29"/>
  <c r="W1027" i="29"/>
  <c r="W1005" i="29"/>
  <c r="W1003" i="29"/>
  <c r="W1026" i="29"/>
  <c r="W1025" i="29"/>
  <c r="W1024" i="29"/>
  <c r="W1023" i="29"/>
  <c r="W1022" i="29"/>
  <c r="W1021" i="29"/>
  <c r="W1020" i="29"/>
  <c r="W1019" i="29"/>
  <c r="W1018" i="29"/>
  <c r="W1017" i="29"/>
  <c r="W1016" i="29"/>
  <c r="W1015" i="29"/>
  <c r="W1014" i="29"/>
  <c r="W1013" i="29"/>
  <c r="W1012" i="29"/>
  <c r="W1010" i="29"/>
  <c r="W1009" i="29"/>
  <c r="W1008" i="29"/>
  <c r="W1007" i="29"/>
  <c r="W1006" i="29"/>
  <c r="W1002" i="29"/>
  <c r="W1000" i="29"/>
  <c r="W991" i="29"/>
  <c r="W896" i="29"/>
  <c r="W860" i="29"/>
  <c r="W859" i="29"/>
  <c r="W856" i="29"/>
  <c r="W832" i="29"/>
  <c r="W831" i="29"/>
  <c r="W830" i="29"/>
  <c r="W819" i="29"/>
  <c r="W724" i="29"/>
  <c r="W857" i="29"/>
  <c r="W851" i="29"/>
  <c r="W850" i="29"/>
  <c r="W849" i="29"/>
  <c r="W848" i="29"/>
  <c r="W847" i="29"/>
  <c r="W846" i="29"/>
  <c r="W845" i="29"/>
  <c r="W844" i="29"/>
  <c r="W843" i="29"/>
  <c r="W842" i="29"/>
  <c r="W841" i="29"/>
  <c r="W840" i="29"/>
  <c r="W839" i="29"/>
  <c r="W837" i="29"/>
  <c r="W836" i="29"/>
  <c r="W835" i="29"/>
  <c r="W834" i="29"/>
  <c r="W833" i="29"/>
  <c r="W829" i="29"/>
  <c r="W827" i="29"/>
  <c r="W858" i="29"/>
  <c r="W854" i="29"/>
  <c r="W821" i="29"/>
  <c r="W820" i="29"/>
  <c r="W818" i="29"/>
  <c r="W723" i="29"/>
  <c r="W855" i="29"/>
  <c r="W828" i="29"/>
  <c r="W679" i="29"/>
  <c r="W678" i="29"/>
  <c r="W677" i="29"/>
  <c r="W676" i="29"/>
  <c r="W675" i="29"/>
  <c r="W674" i="29"/>
  <c r="W673" i="29"/>
  <c r="W672" i="29"/>
  <c r="W671" i="29"/>
  <c r="W670" i="29"/>
  <c r="W669" i="29"/>
  <c r="W668" i="29"/>
  <c r="W667" i="29"/>
  <c r="W666" i="29"/>
  <c r="W665" i="29"/>
  <c r="W663" i="29"/>
  <c r="W662" i="29"/>
  <c r="W661" i="29"/>
  <c r="W660" i="29"/>
  <c r="W659" i="29"/>
  <c r="W655" i="29"/>
  <c r="W653" i="29"/>
  <c r="W647" i="29"/>
  <c r="W644" i="29"/>
  <c r="W683" i="29"/>
  <c r="W510" i="29"/>
  <c r="W509" i="29"/>
  <c r="W508" i="29"/>
  <c r="W507" i="29"/>
  <c r="W506" i="29"/>
  <c r="W505" i="29"/>
  <c r="W684" i="29"/>
  <c r="W680" i="29"/>
  <c r="W656" i="29"/>
  <c r="W646" i="29"/>
  <c r="W645" i="29"/>
  <c r="W549" i="29"/>
  <c r="W504" i="29"/>
  <c r="W482" i="29"/>
  <c r="W481" i="29"/>
  <c r="W480" i="29"/>
  <c r="W685" i="29"/>
  <c r="W681" i="29"/>
  <c r="W657" i="29"/>
  <c r="W550" i="29"/>
  <c r="W503" i="29"/>
  <c r="W502" i="29"/>
  <c r="W501" i="29"/>
  <c r="W500" i="29"/>
  <c r="W499" i="29"/>
  <c r="W498" i="29"/>
  <c r="W497" i="29"/>
  <c r="W496" i="29"/>
  <c r="W495" i="29"/>
  <c r="W494" i="29"/>
  <c r="W686" i="29"/>
  <c r="W682" i="29"/>
  <c r="W658" i="29"/>
  <c r="W654" i="29"/>
  <c r="W471" i="29"/>
  <c r="W470" i="29"/>
  <c r="W469" i="29"/>
  <c r="W374" i="29"/>
  <c r="W373" i="29"/>
  <c r="W492" i="29"/>
  <c r="W484" i="29"/>
  <c r="W478" i="29"/>
  <c r="W493" i="29"/>
  <c r="W489" i="29"/>
  <c r="W485" i="29"/>
  <c r="W477" i="29"/>
  <c r="W490" i="29"/>
  <c r="W486" i="29"/>
  <c r="W491" i="29"/>
  <c r="W487" i="29"/>
  <c r="W483" i="29"/>
  <c r="W479" i="29"/>
  <c r="W468" i="29"/>
  <c r="W384" i="29"/>
  <c r="W443" i="29"/>
  <c r="W400" i="29"/>
  <c r="W451" i="29"/>
  <c r="W409" i="29"/>
  <c r="W436" i="29"/>
  <c r="W603" i="29"/>
  <c r="W626" i="29"/>
  <c r="W601" i="29"/>
  <c r="W624" i="29"/>
  <c r="W623" i="29"/>
  <c r="W569" i="29"/>
  <c r="W618" i="29"/>
  <c r="W767" i="29"/>
  <c r="W747" i="29"/>
  <c r="W746" i="29"/>
  <c r="W795" i="29"/>
  <c r="W940" i="29"/>
  <c r="W428" i="29"/>
  <c r="W405" i="29"/>
  <c r="W476" i="29"/>
  <c r="W608" i="29"/>
  <c r="W635" i="29"/>
  <c r="W606" i="29"/>
  <c r="W578" i="29"/>
  <c r="W762" i="29"/>
  <c r="W826" i="29"/>
  <c r="W939" i="29"/>
  <c r="W941" i="29"/>
  <c r="W955" i="29"/>
  <c r="W452" i="29"/>
  <c r="W440" i="29"/>
  <c r="W424" i="29"/>
  <c r="W563" i="29"/>
  <c r="W593" i="29"/>
  <c r="W609" i="29"/>
  <c r="W607" i="29"/>
  <c r="W611" i="29"/>
  <c r="W773" i="29"/>
  <c r="W772" i="29"/>
  <c r="W792" i="29"/>
  <c r="W735" i="29"/>
  <c r="W971" i="29"/>
  <c r="W905" i="29"/>
  <c r="W946" i="29"/>
  <c r="W442" i="29"/>
  <c r="W466" i="29"/>
  <c r="W414" i="29"/>
  <c r="W392" i="29"/>
  <c r="W391" i="29"/>
  <c r="W429" i="29"/>
  <c r="W602" i="29"/>
  <c r="W616" i="29"/>
  <c r="W725" i="29"/>
  <c r="W776" i="29"/>
  <c r="W736" i="29"/>
  <c r="W790" i="29"/>
  <c r="W950" i="29"/>
  <c r="W377" i="29"/>
  <c r="W415" i="29"/>
  <c r="W444" i="29"/>
  <c r="W403" i="29"/>
  <c r="W402" i="29"/>
  <c r="W421" i="29"/>
  <c r="W475" i="29"/>
  <c r="W585" i="29"/>
  <c r="W825" i="29"/>
  <c r="W768" i="29"/>
  <c r="W740" i="29"/>
  <c r="W553" i="29"/>
  <c r="W771" i="29"/>
  <c r="W732" i="29"/>
  <c r="W564" i="29"/>
  <c r="W572" i="29"/>
  <c r="W794" i="29"/>
  <c r="W782" i="29"/>
  <c r="W775" i="29"/>
  <c r="W741" i="29"/>
  <c r="W727" i="29"/>
  <c r="W919" i="29"/>
  <c r="W726" i="29"/>
  <c r="W990" i="29"/>
  <c r="W997" i="29"/>
  <c r="W462" i="29"/>
  <c r="W920" i="29"/>
  <c r="W629" i="29"/>
  <c r="W474" i="29"/>
  <c r="W473" i="29"/>
  <c r="W435" i="29"/>
  <c r="W437" i="29"/>
  <c r="W587" i="29"/>
  <c r="W558" i="29"/>
  <c r="W559" i="29"/>
  <c r="W800" i="29"/>
  <c r="W801" i="29"/>
  <c r="W986" i="29"/>
  <c r="W929" i="29"/>
  <c r="W981" i="29"/>
  <c r="W917" i="29"/>
  <c r="W648" i="29"/>
  <c r="W738" i="29"/>
  <c r="W752" i="29"/>
  <c r="W431" i="29"/>
  <c r="W434" i="29"/>
  <c r="W379" i="29"/>
  <c r="W576" i="29"/>
  <c r="W404" i="29"/>
  <c r="W467" i="29"/>
  <c r="W461" i="29"/>
  <c r="W448" i="29"/>
  <c r="W597" i="29"/>
  <c r="W637" i="29"/>
  <c r="W605" i="29"/>
  <c r="W774" i="29"/>
  <c r="W760" i="29"/>
  <c r="W968" i="29"/>
  <c r="W628" i="29"/>
  <c r="W638" i="29"/>
  <c r="W562" i="29"/>
  <c r="W733" i="29"/>
  <c r="W956" i="29"/>
  <c r="W926" i="29"/>
  <c r="W978" i="29"/>
  <c r="W381" i="29"/>
  <c r="W395" i="29"/>
  <c r="W399" i="29"/>
  <c r="W620" i="29"/>
  <c r="W639" i="29"/>
  <c r="W586" i="29"/>
  <c r="W791" i="29"/>
  <c r="W923" i="29"/>
  <c r="W959" i="29"/>
  <c r="W980" i="29"/>
  <c r="W902" i="29"/>
  <c r="W966" i="29"/>
  <c r="W613" i="29"/>
  <c r="W778" i="29"/>
  <c r="W766" i="29"/>
  <c r="W816" i="29"/>
  <c r="W909" i="29"/>
  <c r="W921" i="29"/>
  <c r="W907" i="29"/>
  <c r="W898" i="29"/>
  <c r="W975" i="29"/>
  <c r="W459" i="29"/>
  <c r="W397" i="29"/>
  <c r="W465" i="29"/>
  <c r="W433" i="29"/>
  <c r="W411" i="29"/>
  <c r="W387" i="29"/>
  <c r="W432" i="29"/>
  <c r="W577" i="29"/>
  <c r="W815" i="29"/>
  <c r="W554" i="29"/>
  <c r="W804" i="29"/>
  <c r="W809" i="29"/>
  <c r="W770" i="29"/>
  <c r="W590" i="29"/>
  <c r="W737" i="29"/>
  <c r="W924" i="29"/>
  <c r="W948" i="29"/>
  <c r="W446" i="29"/>
  <c r="W808" i="29"/>
  <c r="W900" i="29"/>
  <c r="W649" i="29"/>
  <c r="W823" i="29"/>
  <c r="W761" i="29"/>
  <c r="W977" i="29"/>
  <c r="W460" i="29"/>
  <c r="W419" i="29"/>
  <c r="W394" i="29"/>
  <c r="W382" i="29"/>
  <c r="W389" i="29"/>
  <c r="W579" i="29"/>
  <c r="W641" i="29"/>
  <c r="W650" i="29"/>
  <c r="W591" i="29"/>
  <c r="W822" i="29"/>
  <c r="W769" i="29"/>
  <c r="W784" i="29"/>
  <c r="W970" i="29"/>
  <c r="W908" i="29"/>
  <c r="W951" i="29"/>
  <c r="W633" i="29"/>
  <c r="W731" i="29"/>
  <c r="W943" i="29"/>
  <c r="W954" i="29"/>
  <c r="W930" i="29"/>
  <c r="W427" i="29"/>
  <c r="W426" i="29"/>
  <c r="W567" i="29"/>
  <c r="W408" i="29"/>
  <c r="W785" i="29"/>
  <c r="W754" i="29"/>
  <c r="W739" i="29"/>
  <c r="W974" i="29"/>
  <c r="W958" i="29"/>
  <c r="W984" i="29"/>
  <c r="W824" i="29"/>
  <c r="W952" i="29"/>
  <c r="W999" i="29"/>
  <c r="W420" i="29"/>
  <c r="W396" i="29"/>
  <c r="W589" i="29"/>
  <c r="W630" i="29"/>
  <c r="W582" i="29"/>
  <c r="W604" i="29"/>
  <c r="W755" i="29"/>
  <c r="W777" i="29"/>
  <c r="W764" i="29"/>
  <c r="W982" i="29"/>
  <c r="W915" i="29"/>
  <c r="W960" i="29"/>
  <c r="W953" i="29"/>
  <c r="W963" i="29"/>
  <c r="W765" i="29"/>
  <c r="W729" i="29"/>
  <c r="W942" i="29"/>
  <c r="W989" i="29"/>
  <c r="W928" i="29"/>
  <c r="W973" i="29"/>
  <c r="W418" i="29"/>
  <c r="W416" i="29"/>
  <c r="W447" i="29"/>
  <c r="W454" i="29"/>
  <c r="W425" i="29"/>
  <c r="W783" i="29"/>
  <c r="W584" i="29"/>
  <c r="W552" i="29"/>
  <c r="W758" i="29"/>
  <c r="W551" i="29"/>
  <c r="W742" i="29"/>
  <c r="W904" i="29"/>
  <c r="W730" i="29"/>
  <c r="W911" i="29"/>
  <c r="W976" i="29"/>
  <c r="W918" i="29"/>
  <c r="W422" i="29"/>
  <c r="W441" i="29"/>
  <c r="W912" i="29"/>
  <c r="W643" i="29"/>
  <c r="W573" i="29"/>
  <c r="W779" i="29"/>
  <c r="W803" i="29"/>
  <c r="W969" i="29"/>
  <c r="W996" i="29"/>
  <c r="W453" i="29"/>
  <c r="W388" i="29"/>
  <c r="W457" i="29"/>
  <c r="W610" i="29"/>
  <c r="W631" i="29"/>
  <c r="W612" i="29"/>
  <c r="W805" i="29"/>
  <c r="W744" i="29"/>
  <c r="W763" i="29"/>
  <c r="W750" i="29"/>
  <c r="W965" i="29"/>
  <c r="W933" i="29"/>
  <c r="W632" i="29"/>
  <c r="W625" i="29"/>
  <c r="W596" i="29"/>
  <c r="W817" i="29"/>
  <c r="W987" i="29"/>
  <c r="W995" i="29"/>
  <c r="W914" i="29"/>
  <c r="W472" i="29"/>
  <c r="W599" i="29"/>
  <c r="W383" i="29"/>
  <c r="W456" i="29"/>
  <c r="W574" i="29"/>
  <c r="W595" i="29"/>
  <c r="W627" i="29"/>
  <c r="W749" i="29"/>
  <c r="W796" i="29"/>
  <c r="W922" i="29"/>
  <c r="W916" i="29"/>
  <c r="W617" i="29"/>
  <c r="W748" i="29"/>
  <c r="W967" i="29"/>
  <c r="W464" i="29"/>
  <c r="W417" i="29"/>
  <c r="W390" i="29"/>
  <c r="W413" i="29"/>
  <c r="W581" i="29"/>
  <c r="W571" i="29"/>
  <c r="W642" i="29"/>
  <c r="W745" i="29"/>
  <c r="W787" i="29"/>
  <c r="W985" i="29"/>
  <c r="W935" i="29"/>
  <c r="W964" i="29"/>
  <c r="W556" i="29"/>
  <c r="W592" i="29"/>
  <c r="W651" i="29"/>
  <c r="W580" i="29"/>
  <c r="W743" i="29"/>
  <c r="W811" i="29"/>
  <c r="W972" i="29"/>
  <c r="W979" i="29"/>
  <c r="W910" i="29"/>
  <c r="W932" i="29"/>
  <c r="W945" i="29"/>
  <c r="W430" i="29"/>
  <c r="W393" i="29"/>
  <c r="W449" i="29"/>
  <c r="W410" i="29"/>
  <c r="W380" i="29"/>
  <c r="W799" i="29"/>
  <c r="W756" i="29"/>
  <c r="W555" i="29"/>
  <c r="W780" i="29"/>
  <c r="W797" i="29"/>
  <c r="W734" i="29"/>
  <c r="W728" i="29"/>
  <c r="W899" i="29"/>
  <c r="W600" i="29"/>
  <c r="W568" i="29"/>
  <c r="W906" i="29"/>
  <c r="W983" i="29"/>
  <c r="W903" i="29"/>
  <c r="W814" i="29"/>
  <c r="W634" i="29"/>
  <c r="W636" i="29"/>
  <c r="W751" i="29"/>
  <c r="W753" i="29"/>
  <c r="W944" i="29"/>
  <c r="W988" i="29"/>
  <c r="W901" i="29"/>
  <c r="W398" i="29"/>
  <c r="W401" i="29"/>
  <c r="W463" i="29"/>
  <c r="W575" i="29"/>
  <c r="W806" i="29"/>
  <c r="W786" i="29"/>
  <c r="W757" i="29"/>
  <c r="W812" i="29"/>
  <c r="W937" i="29"/>
  <c r="W998" i="29"/>
  <c r="W619" i="29"/>
  <c r="W561" i="29"/>
  <c r="W793" i="29"/>
  <c r="W759" i="29"/>
  <c r="W455" i="29"/>
  <c r="W412" i="29"/>
  <c r="W450" i="29"/>
  <c r="W583" i="29"/>
  <c r="W423" i="29"/>
  <c r="W385" i="29"/>
  <c r="W622" i="29"/>
  <c r="W566" i="29"/>
  <c r="W588" i="29"/>
  <c r="W802" i="29"/>
  <c r="W798" i="29"/>
  <c r="W807" i="29"/>
  <c r="W936" i="29"/>
  <c r="W957" i="29"/>
  <c r="W652" i="29"/>
  <c r="W594" i="29"/>
  <c r="W781" i="29"/>
  <c r="W813" i="29"/>
  <c r="W947" i="29"/>
  <c r="W925" i="29"/>
  <c r="W445" i="29"/>
  <c r="W386" i="29"/>
  <c r="W406" i="29"/>
  <c r="W407" i="29"/>
  <c r="W458" i="29"/>
  <c r="W640" i="29"/>
  <c r="W570" i="29"/>
  <c r="W598" i="29"/>
  <c r="W565" i="29"/>
  <c r="W557" i="29"/>
  <c r="W927" i="29"/>
  <c r="W560" i="29"/>
  <c r="W621" i="29"/>
  <c r="W810" i="29"/>
  <c r="W949" i="29"/>
  <c r="W913" i="29"/>
  <c r="W938" i="29"/>
  <c r="W931" i="29"/>
  <c r="W934" i="29"/>
  <c r="W378" i="29"/>
  <c r="W375" i="29"/>
  <c r="W376" i="29"/>
  <c r="AH747" i="29"/>
  <c r="AH571" i="29"/>
  <c r="AH205" i="29"/>
  <c r="AA499" i="29"/>
  <c r="AA496" i="29"/>
  <c r="AA495" i="29"/>
  <c r="AA500" i="29"/>
  <c r="AA485" i="29"/>
  <c r="AA490" i="29"/>
  <c r="AA484" i="29"/>
  <c r="AA489" i="29"/>
  <c r="AA498" i="29"/>
  <c r="AA493" i="29"/>
  <c r="AA486" i="29"/>
  <c r="AA487" i="29"/>
  <c r="AA491" i="29"/>
  <c r="AA501" i="29"/>
  <c r="AA492" i="29"/>
  <c r="AA497" i="29"/>
  <c r="AA494" i="29"/>
  <c r="W315" i="29"/>
  <c r="W305" i="29"/>
  <c r="W312" i="29"/>
  <c r="W316" i="29"/>
  <c r="W320" i="29"/>
  <c r="W324" i="29"/>
  <c r="W328" i="29"/>
  <c r="W294" i="29"/>
  <c r="W309" i="29"/>
  <c r="W313" i="29"/>
  <c r="W317" i="29"/>
  <c r="W321" i="29"/>
  <c r="W325" i="29"/>
  <c r="W329" i="29"/>
  <c r="W304" i="29"/>
  <c r="W311" i="29"/>
  <c r="W319" i="29"/>
  <c r="W327" i="29"/>
  <c r="W303" i="29"/>
  <c r="W310" i="29"/>
  <c r="W318" i="29"/>
  <c r="W322" i="29"/>
  <c r="W326" i="29"/>
  <c r="W323" i="29"/>
  <c r="W199" i="29"/>
  <c r="W296" i="29"/>
  <c r="W332" i="29"/>
  <c r="W333" i="29"/>
  <c r="W308" i="29"/>
  <c r="W297" i="29"/>
  <c r="W334" i="29"/>
  <c r="W295" i="29"/>
  <c r="W330" i="29"/>
  <c r="W204" i="29"/>
  <c r="W200" i="29"/>
  <c r="W335" i="29"/>
  <c r="W205" i="29"/>
  <c r="W306" i="29"/>
  <c r="W286" i="29"/>
  <c r="W280" i="29"/>
  <c r="W246" i="29"/>
  <c r="W214" i="29"/>
  <c r="W267" i="29"/>
  <c r="W247" i="29"/>
  <c r="W252" i="29"/>
  <c r="W212" i="29"/>
  <c r="W261" i="29"/>
  <c r="W235" i="29"/>
  <c r="W268" i="29"/>
  <c r="W234" i="29"/>
  <c r="W243" i="29"/>
  <c r="W241" i="29"/>
  <c r="W281" i="29"/>
  <c r="W290" i="29"/>
  <c r="W256" i="29"/>
  <c r="W224" i="29"/>
  <c r="W271" i="29"/>
  <c r="W263" i="29"/>
  <c r="W301" i="29"/>
  <c r="W220" i="29"/>
  <c r="W208" i="29"/>
  <c r="W230" i="29"/>
  <c r="W223" i="29"/>
  <c r="W236" i="29"/>
  <c r="W259" i="29"/>
  <c r="W250" i="29"/>
  <c r="W275" i="29"/>
  <c r="W274" i="29"/>
  <c r="W237" i="29"/>
  <c r="W273" i="29"/>
  <c r="W270" i="29"/>
  <c r="W272" i="29"/>
  <c r="W238" i="29"/>
  <c r="W206" i="29"/>
  <c r="W249" i="29"/>
  <c r="W289" i="29"/>
  <c r="W298" i="29"/>
  <c r="W244" i="29"/>
  <c r="W211" i="29"/>
  <c r="W245" i="29"/>
  <c r="W285" i="29"/>
  <c r="W292" i="29"/>
  <c r="W258" i="29"/>
  <c r="W226" i="29"/>
  <c r="W291" i="29"/>
  <c r="W225" i="29"/>
  <c r="W255" i="29"/>
  <c r="W282" i="29"/>
  <c r="W248" i="29"/>
  <c r="W216" i="29"/>
  <c r="W253" i="29"/>
  <c r="W293" i="29"/>
  <c r="W262" i="29"/>
  <c r="W233" i="29"/>
  <c r="W202" i="29"/>
  <c r="W299" i="29"/>
  <c r="W284" i="29"/>
  <c r="W209" i="29"/>
  <c r="W203" i="29"/>
  <c r="W240" i="29"/>
  <c r="W277" i="29"/>
  <c r="W288" i="29"/>
  <c r="W254" i="29"/>
  <c r="W222" i="29"/>
  <c r="W283" i="29"/>
  <c r="W217" i="29"/>
  <c r="W239" i="29"/>
  <c r="W260" i="29"/>
  <c r="W228" i="29"/>
  <c r="W279" i="29"/>
  <c r="W213" i="29"/>
  <c r="W227" i="29"/>
  <c r="W276" i="29"/>
  <c r="W242" i="29"/>
  <c r="W210" i="29"/>
  <c r="W257" i="29"/>
  <c r="W219" i="29"/>
  <c r="W207" i="29"/>
  <c r="W302" i="29"/>
  <c r="W266" i="29"/>
  <c r="W232" i="29"/>
  <c r="W287" i="29"/>
  <c r="W221" i="29"/>
  <c r="W251" i="29"/>
  <c r="W300" i="29"/>
  <c r="W269" i="29"/>
  <c r="W278" i="29"/>
  <c r="W229" i="29"/>
  <c r="W218" i="29"/>
  <c r="W215" i="29"/>
  <c r="W231" i="29"/>
  <c r="W331" i="29"/>
  <c r="W336" i="29"/>
  <c r="V316" i="29"/>
  <c r="V305" i="29"/>
  <c r="V309" i="29"/>
  <c r="V313" i="29"/>
  <c r="V317" i="29"/>
  <c r="V321" i="29"/>
  <c r="V325" i="29"/>
  <c r="V329" i="29"/>
  <c r="V333" i="29"/>
  <c r="V294" i="29"/>
  <c r="V306" i="29"/>
  <c r="V310" i="29"/>
  <c r="V318" i="29"/>
  <c r="V322" i="29"/>
  <c r="V326" i="29"/>
  <c r="V330" i="29"/>
  <c r="V334" i="29"/>
  <c r="V304" i="29"/>
  <c r="V308" i="29"/>
  <c r="V320" i="29"/>
  <c r="V328" i="29"/>
  <c r="V336" i="29"/>
  <c r="V303" i="29"/>
  <c r="V307" i="29"/>
  <c r="V311" i="29"/>
  <c r="V315" i="29"/>
  <c r="V319" i="29"/>
  <c r="V323" i="29"/>
  <c r="V327" i="29"/>
  <c r="V331" i="29"/>
  <c r="V335" i="29"/>
  <c r="V312" i="29"/>
  <c r="V324" i="29"/>
  <c r="V332" i="29"/>
  <c r="V200" i="29"/>
  <c r="V296" i="29"/>
  <c r="V199" i="29"/>
  <c r="V297" i="29"/>
  <c r="V295" i="29"/>
  <c r="V201" i="29"/>
  <c r="V272" i="29"/>
  <c r="V262" i="29"/>
  <c r="V222" i="29"/>
  <c r="V237" i="29"/>
  <c r="V298" i="29"/>
  <c r="V266" i="29"/>
  <c r="V232" i="29"/>
  <c r="V301" i="29"/>
  <c r="V257" i="29"/>
  <c r="V227" i="29"/>
  <c r="V263" i="29"/>
  <c r="V246" i="29"/>
  <c r="V253" i="29"/>
  <c r="V243" i="29"/>
  <c r="V299" i="29"/>
  <c r="V260" i="29"/>
  <c r="V228" i="29"/>
  <c r="V215" i="29"/>
  <c r="V233" i="29"/>
  <c r="V203" i="29"/>
  <c r="V239" i="29"/>
  <c r="V292" i="29"/>
  <c r="V258" i="29"/>
  <c r="V226" i="29"/>
  <c r="V207" i="29"/>
  <c r="V229" i="29"/>
  <c r="V285" i="29"/>
  <c r="V288" i="29"/>
  <c r="V293" i="29"/>
  <c r="V282" i="29"/>
  <c r="V248" i="29"/>
  <c r="V291" i="29"/>
  <c r="V214" i="29"/>
  <c r="V244" i="29"/>
  <c r="V235" i="29"/>
  <c r="V276" i="29"/>
  <c r="V261" i="29"/>
  <c r="V302" i="29"/>
  <c r="V206" i="29"/>
  <c r="V205" i="29"/>
  <c r="V290" i="29"/>
  <c r="V256" i="29"/>
  <c r="V224" i="29"/>
  <c r="V231" i="29"/>
  <c r="V241" i="29"/>
  <c r="V211" i="29"/>
  <c r="V247" i="29"/>
  <c r="V230" i="29"/>
  <c r="V221" i="29"/>
  <c r="V286" i="29"/>
  <c r="V252" i="29"/>
  <c r="V220" i="29"/>
  <c r="V283" i="29"/>
  <c r="V217" i="29"/>
  <c r="V289" i="29"/>
  <c r="V284" i="29"/>
  <c r="V250" i="29"/>
  <c r="V218" i="29"/>
  <c r="V279" i="29"/>
  <c r="V213" i="29"/>
  <c r="V269" i="29"/>
  <c r="V223" i="29"/>
  <c r="V216" i="29"/>
  <c r="V225" i="29"/>
  <c r="V278" i="29"/>
  <c r="V267" i="29"/>
  <c r="V242" i="29"/>
  <c r="V280" i="29"/>
  <c r="V238" i="29"/>
  <c r="V271" i="29"/>
  <c r="V259" i="29"/>
  <c r="V274" i="29"/>
  <c r="V240" i="29"/>
  <c r="V208" i="29"/>
  <c r="V275" i="29"/>
  <c r="V209" i="29"/>
  <c r="V281" i="29"/>
  <c r="V287" i="29"/>
  <c r="V277" i="29"/>
  <c r="V270" i="29"/>
  <c r="V236" i="29"/>
  <c r="V204" i="29"/>
  <c r="V249" i="29"/>
  <c r="V219" i="29"/>
  <c r="V255" i="29"/>
  <c r="V300" i="29"/>
  <c r="V268" i="29"/>
  <c r="V234" i="29"/>
  <c r="V202" i="29"/>
  <c r="V245" i="29"/>
  <c r="V254" i="29"/>
  <c r="V212" i="29"/>
  <c r="V273" i="29"/>
  <c r="V210" i="29"/>
  <c r="V251" i="29"/>
  <c r="AC316" i="29"/>
  <c r="AC321" i="29"/>
  <c r="AE321" i="29"/>
  <c r="AE323" i="29"/>
  <c r="AC318" i="29"/>
  <c r="AA311" i="29"/>
  <c r="AA315" i="29"/>
  <c r="AA320" i="29"/>
  <c r="AA322" i="29"/>
  <c r="AA326" i="29"/>
  <c r="AA319" i="29"/>
  <c r="AD310" i="29"/>
  <c r="AE498" i="29"/>
  <c r="AE310" i="29"/>
  <c r="AC315" i="29"/>
  <c r="AE486" i="29"/>
  <c r="AC487" i="29"/>
  <c r="AD316" i="29"/>
  <c r="AE500" i="29"/>
  <c r="AC320" i="29"/>
  <c r="AD495" i="29"/>
  <c r="AC495" i="29"/>
  <c r="AE497" i="29"/>
  <c r="AE320" i="29"/>
  <c r="AE313" i="29"/>
  <c r="AC324" i="29"/>
  <c r="AE324" i="29"/>
  <c r="AD320" i="29"/>
  <c r="AC494" i="29"/>
  <c r="AC311" i="29"/>
  <c r="AC497" i="29"/>
  <c r="AD494" i="29"/>
  <c r="AE494" i="29"/>
  <c r="AC313" i="29"/>
  <c r="AE495" i="29"/>
  <c r="AD311" i="29"/>
  <c r="AE312" i="29"/>
  <c r="AE487" i="29"/>
  <c r="AC310" i="29"/>
  <c r="AD483" i="29"/>
  <c r="AC500" i="29"/>
  <c r="AC486" i="29"/>
  <c r="AD315" i="29"/>
  <c r="AD312" i="29"/>
  <c r="AD487" i="29"/>
  <c r="AE315" i="29"/>
  <c r="AD498" i="29"/>
  <c r="AC498" i="29"/>
  <c r="AE491" i="29"/>
  <c r="AE490" i="29"/>
  <c r="AD491" i="29"/>
  <c r="AD492" i="29"/>
  <c r="AD325" i="29"/>
  <c r="AC325" i="29"/>
  <c r="AC501" i="29"/>
  <c r="AD327" i="29"/>
  <c r="AE326" i="29"/>
  <c r="AD484" i="29"/>
  <c r="AD326" i="29"/>
  <c r="AD319" i="29"/>
  <c r="AD317" i="29"/>
  <c r="AE485" i="29"/>
  <c r="AC491" i="29"/>
  <c r="AE496" i="29"/>
  <c r="AE322" i="29"/>
  <c r="AE327" i="29"/>
  <c r="AC317" i="29"/>
  <c r="AC322" i="29"/>
  <c r="AC492" i="29"/>
  <c r="AC499" i="29"/>
  <c r="AC485" i="29"/>
  <c r="AD501" i="29"/>
  <c r="AD489" i="29"/>
  <c r="AC489" i="29"/>
  <c r="AD490" i="29"/>
  <c r="AE484" i="29"/>
  <c r="AE317" i="29"/>
  <c r="AE319" i="29"/>
  <c r="AC319" i="29"/>
  <c r="AC484" i="29"/>
  <c r="AC496" i="29"/>
  <c r="AD322" i="29"/>
  <c r="AC327" i="29"/>
  <c r="AD499" i="29"/>
  <c r="K167" i="29"/>
  <c r="AC483" i="29"/>
  <c r="H22" i="98"/>
  <c r="C111" i="29"/>
  <c r="C117" i="29" s="1"/>
  <c r="H50" i="98"/>
  <c r="H58" i="98"/>
  <c r="K169" i="29"/>
  <c r="AI379" i="29"/>
  <c r="AJ379" i="29" s="1"/>
  <c r="AG380" i="29" s="1"/>
  <c r="AE502" i="29"/>
  <c r="AD503" i="29"/>
  <c r="AA328" i="29"/>
  <c r="AE328" i="29"/>
  <c r="AA329" i="29"/>
  <c r="AD329" i="29"/>
  <c r="E12" i="29"/>
  <c r="AB181" i="115" l="1"/>
  <c r="BK589" i="29" s="1"/>
  <c r="Y182" i="115"/>
  <c r="Z182" i="115" s="1"/>
  <c r="AA182" i="115" s="1"/>
  <c r="AU590" i="29" s="1"/>
  <c r="Y119" i="115"/>
  <c r="Z119" i="115" s="1"/>
  <c r="AA119" i="115" s="1"/>
  <c r="AU414" i="29" s="1"/>
  <c r="Y57" i="115"/>
  <c r="Z57" i="115" s="1"/>
  <c r="AA57" i="115" s="1"/>
  <c r="AU241" i="29" s="1"/>
  <c r="Y308" i="115"/>
  <c r="Z308" i="115" s="1"/>
  <c r="AA308" i="115" s="1"/>
  <c r="AU937" i="29" s="1"/>
  <c r="X462" i="118"/>
  <c r="Y597" i="118"/>
  <c r="AH597" i="118" s="1"/>
  <c r="AA597" i="118"/>
  <c r="AB597" i="118" s="1"/>
  <c r="AC910" i="29"/>
  <c r="AK910" i="29" s="1"/>
  <c r="AO910" i="29" s="1"/>
  <c r="AD910" i="29"/>
  <c r="C32" i="29"/>
  <c r="BW58" i="29" s="1"/>
  <c r="F35" i="59" s="1"/>
  <c r="AQ377" i="29"/>
  <c r="C33" i="29"/>
  <c r="BW59" i="29" s="1"/>
  <c r="F36" i="59" s="1"/>
  <c r="AQ203" i="29"/>
  <c r="AQ553" i="29"/>
  <c r="AG308" i="29"/>
  <c r="BA204" i="29" s="1"/>
  <c r="AK308" i="29"/>
  <c r="BE204" i="29" s="1"/>
  <c r="AE738" i="29"/>
  <c r="AF738" i="29" s="1"/>
  <c r="AK738" i="29"/>
  <c r="AO738" i="29" s="1"/>
  <c r="AE565" i="29"/>
  <c r="AF565" i="29" s="1"/>
  <c r="AK565" i="29"/>
  <c r="AO565" i="29" s="1"/>
  <c r="X329" i="118"/>
  <c r="O61" i="118"/>
  <c r="AE61" i="118" s="1"/>
  <c r="AF61" i="118" s="1"/>
  <c r="AD61" i="118"/>
  <c r="AX61" i="118"/>
  <c r="BG61" i="118" s="1"/>
  <c r="X196" i="118"/>
  <c r="AA324" i="29"/>
  <c r="AE184" i="115"/>
  <c r="AV592" i="29" s="1"/>
  <c r="AE310" i="115"/>
  <c r="AV939" i="29" s="1"/>
  <c r="AE59" i="115"/>
  <c r="AV243" i="29" s="1"/>
  <c r="AE121" i="115"/>
  <c r="AV416" i="29" s="1"/>
  <c r="AE248" i="115"/>
  <c r="AV767" i="29" s="1"/>
  <c r="AX213" i="29"/>
  <c r="Q60" i="115"/>
  <c r="R60" i="115" s="1"/>
  <c r="S60" i="115" s="1"/>
  <c r="T60" i="115" s="1"/>
  <c r="AQ911" i="29"/>
  <c r="BH911" i="29"/>
  <c r="AR206" i="29"/>
  <c r="AQ387" i="29"/>
  <c r="BH387" i="29"/>
  <c r="AS729" i="29"/>
  <c r="BI730" i="29"/>
  <c r="BJ206" i="29"/>
  <c r="AQ215" i="29"/>
  <c r="BH215" i="29"/>
  <c r="AB56" i="115"/>
  <c r="BK240" i="29" s="1"/>
  <c r="AB307" i="115"/>
  <c r="BK936" i="29" s="1"/>
  <c r="AS379" i="29"/>
  <c r="BI380" i="29"/>
  <c r="U184" i="115"/>
  <c r="S184" i="115"/>
  <c r="BJ737" i="29"/>
  <c r="AA246" i="115"/>
  <c r="AU765" i="29" s="1"/>
  <c r="AQ564" i="29"/>
  <c r="BH564" i="29"/>
  <c r="AQ737" i="29"/>
  <c r="BH737" i="29"/>
  <c r="T183" i="115"/>
  <c r="W183" i="115" s="1"/>
  <c r="X183" i="115" s="1"/>
  <c r="Y183" i="115" s="1"/>
  <c r="Z183" i="115" s="1"/>
  <c r="V183" i="115"/>
  <c r="AS555" i="29"/>
  <c r="BI556" i="29"/>
  <c r="BJ387" i="29"/>
  <c r="BJ911" i="29"/>
  <c r="AB118" i="115"/>
  <c r="BK413" i="29" s="1"/>
  <c r="AB245" i="115"/>
  <c r="BK764" i="29" s="1"/>
  <c r="AS205" i="29"/>
  <c r="BI206" i="29"/>
  <c r="AD185" i="115"/>
  <c r="P186" i="115"/>
  <c r="AC185" i="115"/>
  <c r="Q185" i="115"/>
  <c r="R185" i="115" s="1"/>
  <c r="BJ564" i="29"/>
  <c r="G42" i="59"/>
  <c r="I42" i="59"/>
  <c r="H42" i="59"/>
  <c r="F42" i="59"/>
  <c r="J42" i="59"/>
  <c r="AA318" i="29"/>
  <c r="AA316" i="29"/>
  <c r="X316" i="29"/>
  <c r="BE564" i="29"/>
  <c r="AY564" i="29"/>
  <c r="BF564" i="29"/>
  <c r="BC564" i="29"/>
  <c r="BG564" i="29"/>
  <c r="BA564" i="29"/>
  <c r="BD564" i="29"/>
  <c r="AR564" i="29"/>
  <c r="AZ564" i="29"/>
  <c r="AX564" i="29"/>
  <c r="AN565" i="29"/>
  <c r="AN216" i="29"/>
  <c r="AY215" i="29"/>
  <c r="AT386" i="29"/>
  <c r="AZ737" i="29"/>
  <c r="BG737" i="29"/>
  <c r="AX737" i="29"/>
  <c r="BF737" i="29"/>
  <c r="BE737" i="29"/>
  <c r="BA737" i="29"/>
  <c r="AR737" i="29"/>
  <c r="AY737" i="29"/>
  <c r="BB737" i="29"/>
  <c r="BD737" i="29"/>
  <c r="BC737" i="29"/>
  <c r="AN738" i="29"/>
  <c r="AR911" i="29"/>
  <c r="AY911" i="29"/>
  <c r="AN912" i="29"/>
  <c r="AZ387" i="29"/>
  <c r="AR387" i="29"/>
  <c r="BC387" i="29"/>
  <c r="BF387" i="29"/>
  <c r="BA387" i="29"/>
  <c r="BE387" i="29"/>
  <c r="BB387" i="29"/>
  <c r="BG387" i="29"/>
  <c r="BD387" i="29"/>
  <c r="AX387" i="29"/>
  <c r="AY387" i="29"/>
  <c r="AN388" i="29"/>
  <c r="BB562" i="29"/>
  <c r="AT561" i="29"/>
  <c r="AT736" i="29"/>
  <c r="AA313" i="29"/>
  <c r="AA312" i="29"/>
  <c r="AH308" i="29"/>
  <c r="BB204" i="29" s="1"/>
  <c r="D19" i="29"/>
  <c r="AC122" i="115"/>
  <c r="Q122" i="115"/>
  <c r="R122" i="115" s="1"/>
  <c r="AD122" i="115"/>
  <c r="P123" i="115"/>
  <c r="V309" i="115"/>
  <c r="T309" i="115"/>
  <c r="W309" i="115" s="1"/>
  <c r="X309" i="115" s="1"/>
  <c r="S310" i="115"/>
  <c r="U310" i="115"/>
  <c r="V247" i="115"/>
  <c r="T247" i="115"/>
  <c r="W247" i="115" s="1"/>
  <c r="X247" i="115" s="1"/>
  <c r="T120" i="115"/>
  <c r="W120" i="115" s="1"/>
  <c r="X120" i="115" s="1"/>
  <c r="Y120" i="115" s="1"/>
  <c r="Z120" i="115" s="1"/>
  <c r="V120" i="115"/>
  <c r="S248" i="115"/>
  <c r="U248" i="115"/>
  <c r="Q311" i="115"/>
  <c r="R311" i="115" s="1"/>
  <c r="AC311" i="115"/>
  <c r="AD311" i="115"/>
  <c r="P312" i="115"/>
  <c r="S121" i="115"/>
  <c r="U121" i="115"/>
  <c r="AC249" i="115"/>
  <c r="Q249" i="115"/>
  <c r="R249" i="115" s="1"/>
  <c r="AD249" i="115"/>
  <c r="P250" i="115"/>
  <c r="C17" i="29"/>
  <c r="D17" i="29"/>
  <c r="G17" i="29"/>
  <c r="E17" i="29"/>
  <c r="F17" i="29"/>
  <c r="AA325" i="29"/>
  <c r="AA317" i="29"/>
  <c r="AA323" i="29"/>
  <c r="X313" i="29"/>
  <c r="AA327" i="29"/>
  <c r="AA321" i="29"/>
  <c r="X312" i="29"/>
  <c r="X310" i="29"/>
  <c r="AA310" i="29"/>
  <c r="K63" i="30"/>
  <c r="K309" i="29" s="1"/>
  <c r="X309" i="29" s="1"/>
  <c r="AD309" i="29"/>
  <c r="AD331" i="29" s="1"/>
  <c r="P61" i="115"/>
  <c r="AD60" i="115"/>
  <c r="AC60" i="115"/>
  <c r="V58" i="115"/>
  <c r="W58" i="115"/>
  <c r="X58" i="115" s="1"/>
  <c r="U59" i="115"/>
  <c r="C81" i="29"/>
  <c r="AI923" i="29"/>
  <c r="AJ923" i="29" s="1"/>
  <c r="AG924" i="29" s="1"/>
  <c r="AI571" i="29"/>
  <c r="AJ571" i="29" s="1"/>
  <c r="AG572" i="29" s="1"/>
  <c r="AI747" i="29"/>
  <c r="AJ747" i="29" s="1"/>
  <c r="AG748" i="29" s="1"/>
  <c r="AH380" i="29"/>
  <c r="AE311" i="29"/>
  <c r="AC312" i="29"/>
  <c r="AE309" i="29"/>
  <c r="F12" i="29"/>
  <c r="AD505" i="29"/>
  <c r="AC505" i="29"/>
  <c r="H17" i="30"/>
  <c r="H18" i="30" s="1"/>
  <c r="AI205" i="29"/>
  <c r="AK377" i="29"/>
  <c r="H19" i="30"/>
  <c r="G18" i="30"/>
  <c r="G20" i="30" s="1"/>
  <c r="Y247" i="115" l="1"/>
  <c r="Z247" i="115" s="1"/>
  <c r="AA247" i="115" s="1"/>
  <c r="AU766" i="29" s="1"/>
  <c r="Y58" i="115"/>
  <c r="Z58" i="115" s="1"/>
  <c r="AI308" i="29"/>
  <c r="BC204" i="29" s="1"/>
  <c r="BC205" i="29" s="1"/>
  <c r="AF308" i="29"/>
  <c r="AZ204" i="29" s="1"/>
  <c r="AZ205" i="29" s="1"/>
  <c r="AZ206" i="29" s="1"/>
  <c r="AL308" i="29"/>
  <c r="BF204" i="29" s="1"/>
  <c r="BF205" i="29" s="1"/>
  <c r="AE910" i="29"/>
  <c r="AF910" i="29" s="1"/>
  <c r="AD911" i="29" s="1"/>
  <c r="Z597" i="118"/>
  <c r="AW597" i="118"/>
  <c r="BF597" i="118" s="1"/>
  <c r="AQ597" i="118"/>
  <c r="BO597" i="118"/>
  <c r="AC597" i="118"/>
  <c r="AA462" i="118"/>
  <c r="AB462" i="118" s="1"/>
  <c r="Y462" i="118"/>
  <c r="AC462" i="118" s="1"/>
  <c r="C34" i="29"/>
  <c r="BW60" i="29" s="1"/>
  <c r="F37" i="59" s="1"/>
  <c r="BA205" i="29"/>
  <c r="BA206" i="29" s="1"/>
  <c r="Y309" i="115"/>
  <c r="Z309" i="115" s="1"/>
  <c r="AA309" i="115" s="1"/>
  <c r="AU938" i="29" s="1"/>
  <c r="AM308" i="29"/>
  <c r="BG204" i="29" s="1"/>
  <c r="C50" i="29"/>
  <c r="R55" i="29"/>
  <c r="AE55" i="29" s="1"/>
  <c r="BP57" i="29" s="1"/>
  <c r="AE60" i="115"/>
  <c r="AV244" i="29" s="1"/>
  <c r="BE205" i="29"/>
  <c r="BE206" i="29" s="1"/>
  <c r="AD739" i="29"/>
  <c r="AC739" i="29"/>
  <c r="AC566" i="29"/>
  <c r="AD566" i="29"/>
  <c r="AA329" i="118"/>
  <c r="AB329" i="118" s="1"/>
  <c r="Y329" i="118"/>
  <c r="AH329" i="118" s="1"/>
  <c r="Q61" i="118"/>
  <c r="P62" i="118" s="1"/>
  <c r="AE249" i="115"/>
  <c r="AV768" i="29" s="1"/>
  <c r="AT61" i="118"/>
  <c r="BC61" i="118" s="1"/>
  <c r="AK61" i="118"/>
  <c r="AL61" i="118" s="1"/>
  <c r="AM61" i="118"/>
  <c r="BL61" i="118"/>
  <c r="BR61" i="118" s="1"/>
  <c r="AI61" i="118"/>
  <c r="AJ61" i="118" s="1"/>
  <c r="AP61" i="118"/>
  <c r="Y196" i="118"/>
  <c r="AC196" i="118" s="1"/>
  <c r="O196" i="118" s="1"/>
  <c r="AA196" i="118"/>
  <c r="AB196" i="118" s="1"/>
  <c r="AJ205" i="29"/>
  <c r="AG206" i="29" s="1"/>
  <c r="AB182" i="115"/>
  <c r="BK590" i="29" s="1"/>
  <c r="AE122" i="115"/>
  <c r="AV417" i="29" s="1"/>
  <c r="AE185" i="115"/>
  <c r="AV593" i="29" s="1"/>
  <c r="AB246" i="115"/>
  <c r="BK765" i="29" s="1"/>
  <c r="AX214" i="29"/>
  <c r="AE311" i="115"/>
  <c r="AV940" i="29" s="1"/>
  <c r="AQ738" i="29"/>
  <c r="BH738" i="29"/>
  <c r="AA183" i="115"/>
  <c r="AU591" i="29" s="1"/>
  <c r="AS730" i="29"/>
  <c r="BI731" i="29"/>
  <c r="AC186" i="115"/>
  <c r="Q186" i="115"/>
  <c r="R186" i="115" s="1"/>
  <c r="AD186" i="115"/>
  <c r="P187" i="115"/>
  <c r="AB57" i="115"/>
  <c r="BK241" i="29" s="1"/>
  <c r="AS556" i="29"/>
  <c r="BI557" i="29"/>
  <c r="AB308" i="115"/>
  <c r="BK937" i="29" s="1"/>
  <c r="BJ738" i="29"/>
  <c r="AB119" i="115"/>
  <c r="BK414" i="29" s="1"/>
  <c r="Q61" i="115"/>
  <c r="R61" i="115" s="1"/>
  <c r="S61" i="115" s="1"/>
  <c r="T61" i="115" s="1"/>
  <c r="AA120" i="115"/>
  <c r="AU415" i="29" s="1"/>
  <c r="AQ388" i="29"/>
  <c r="BH388" i="29"/>
  <c r="AQ216" i="29"/>
  <c r="BH216" i="29"/>
  <c r="BJ565" i="29"/>
  <c r="AS206" i="29"/>
  <c r="BI207" i="29"/>
  <c r="T184" i="115"/>
  <c r="W184" i="115" s="1"/>
  <c r="X184" i="115" s="1"/>
  <c r="V184" i="115"/>
  <c r="BJ207" i="29"/>
  <c r="AR207" i="29"/>
  <c r="AQ912" i="29"/>
  <c r="BH912" i="29"/>
  <c r="BJ388" i="29"/>
  <c r="AS380" i="29"/>
  <c r="BI381" i="29"/>
  <c r="AA58" i="115"/>
  <c r="AU242" i="29" s="1"/>
  <c r="AQ565" i="29"/>
  <c r="BH565" i="29"/>
  <c r="U185" i="115"/>
  <c r="S185" i="115"/>
  <c r="BJ912" i="29"/>
  <c r="BB205" i="29"/>
  <c r="AN217" i="29"/>
  <c r="AY216" i="29"/>
  <c r="BB563" i="29"/>
  <c r="AT562" i="29"/>
  <c r="AR912" i="29"/>
  <c r="AY912" i="29"/>
  <c r="AN913" i="29"/>
  <c r="BA738" i="29"/>
  <c r="AX738" i="29"/>
  <c r="BE738" i="29"/>
  <c r="BG738" i="29"/>
  <c r="AR738" i="29"/>
  <c r="BB738" i="29"/>
  <c r="BF738" i="29"/>
  <c r="AY738" i="29"/>
  <c r="BC738" i="29"/>
  <c r="AZ738" i="29"/>
  <c r="BD738" i="29"/>
  <c r="AN739" i="29"/>
  <c r="AT737" i="29"/>
  <c r="AR565" i="29"/>
  <c r="BC565" i="29"/>
  <c r="BA565" i="29"/>
  <c r="BF565" i="29"/>
  <c r="BD565" i="29"/>
  <c r="AY565" i="29"/>
  <c r="BE565" i="29"/>
  <c r="AZ565" i="29"/>
  <c r="AX565" i="29"/>
  <c r="BG565" i="29"/>
  <c r="AN566" i="29"/>
  <c r="AR388" i="29"/>
  <c r="BB388" i="29"/>
  <c r="BF388" i="29"/>
  <c r="BA388" i="29"/>
  <c r="BG388" i="29"/>
  <c r="AX388" i="29"/>
  <c r="BE388" i="29"/>
  <c r="BC388" i="29"/>
  <c r="AZ388" i="29"/>
  <c r="BD388" i="29"/>
  <c r="AY388" i="29"/>
  <c r="AN389" i="29"/>
  <c r="AT387" i="29"/>
  <c r="K338" i="29"/>
  <c r="AJ308" i="29"/>
  <c r="BD204" i="29" s="1"/>
  <c r="T121" i="115"/>
  <c r="W121" i="115" s="1"/>
  <c r="X121" i="115" s="1"/>
  <c r="Y121" i="115" s="1"/>
  <c r="Z121" i="115" s="1"/>
  <c r="V121" i="115"/>
  <c r="S311" i="115"/>
  <c r="U311" i="115"/>
  <c r="V248" i="115"/>
  <c r="T248" i="115"/>
  <c r="W248" i="115" s="1"/>
  <c r="X248" i="115" s="1"/>
  <c r="Y248" i="115" s="1"/>
  <c r="Z248" i="115" s="1"/>
  <c r="V310" i="115"/>
  <c r="T310" i="115"/>
  <c r="W310" i="115" s="1"/>
  <c r="X310" i="115" s="1"/>
  <c r="S249" i="115"/>
  <c r="U249" i="115"/>
  <c r="AC312" i="115"/>
  <c r="Q312" i="115"/>
  <c r="R312" i="115" s="1"/>
  <c r="AD312" i="115"/>
  <c r="P313" i="115"/>
  <c r="AC250" i="115"/>
  <c r="Q250" i="115"/>
  <c r="R250" i="115" s="1"/>
  <c r="AD250" i="115"/>
  <c r="P251" i="115"/>
  <c r="S122" i="115"/>
  <c r="U122" i="115"/>
  <c r="AC123" i="115"/>
  <c r="Q123" i="115"/>
  <c r="R123" i="115" s="1"/>
  <c r="AD123" i="115"/>
  <c r="P124" i="115"/>
  <c r="K54" i="29"/>
  <c r="F25" i="30"/>
  <c r="AF203" i="29" s="1"/>
  <c r="AK203" i="29" s="1"/>
  <c r="C12" i="29"/>
  <c r="C19" i="29"/>
  <c r="AH572" i="29"/>
  <c r="AI572" i="29" s="1"/>
  <c r="AJ572" i="29" s="1"/>
  <c r="AG573" i="29" s="1"/>
  <c r="K60" i="30"/>
  <c r="W59" i="115"/>
  <c r="X59" i="115" s="1"/>
  <c r="V59" i="115"/>
  <c r="U60" i="115"/>
  <c r="AD61" i="115"/>
  <c r="P62" i="115"/>
  <c r="AC61" i="115"/>
  <c r="H20" i="30"/>
  <c r="AH924" i="29"/>
  <c r="AH748" i="29"/>
  <c r="AH206" i="29"/>
  <c r="AA483" i="29"/>
  <c r="AE483" i="29"/>
  <c r="AE505" i="29" s="1"/>
  <c r="D12" i="29"/>
  <c r="AE331" i="29"/>
  <c r="AA309" i="29"/>
  <c r="AC309" i="29"/>
  <c r="AC331" i="29" s="1"/>
  <c r="C49" i="29"/>
  <c r="AI380" i="29"/>
  <c r="AJ380" i="29" s="1"/>
  <c r="AG381" i="29" s="1"/>
  <c r="AK378" i="29"/>
  <c r="AO378" i="29" s="1"/>
  <c r="Y59" i="115" l="1"/>
  <c r="Z59" i="115" s="1"/>
  <c r="AA59" i="115" s="1"/>
  <c r="AU243" i="29" s="1"/>
  <c r="AC911" i="29"/>
  <c r="AE911" i="29" s="1"/>
  <c r="AF911" i="29" s="1"/>
  <c r="O462" i="118"/>
  <c r="AM462" i="118" s="1"/>
  <c r="AD462" i="118"/>
  <c r="BP462" i="118"/>
  <c r="AX462" i="118"/>
  <c r="BG462" i="118" s="1"/>
  <c r="AH462" i="118"/>
  <c r="AW462" i="118"/>
  <c r="BF462" i="118" s="1"/>
  <c r="AQ462" i="118"/>
  <c r="Z462" i="118"/>
  <c r="BO462" i="118"/>
  <c r="BP597" i="118"/>
  <c r="AD597" i="118"/>
  <c r="AX597" i="118"/>
  <c r="BG597" i="118" s="1"/>
  <c r="O597" i="118"/>
  <c r="Y310" i="115"/>
  <c r="Z310" i="115" s="1"/>
  <c r="AA310" i="115" s="1"/>
  <c r="AU939" i="29" s="1"/>
  <c r="BG205" i="29"/>
  <c r="Y184" i="115"/>
  <c r="Z184" i="115" s="1"/>
  <c r="AA184" i="115" s="1"/>
  <c r="AU592" i="29" s="1"/>
  <c r="BF206" i="29"/>
  <c r="AZ61" i="118"/>
  <c r="BI61" i="118" s="1"/>
  <c r="AK739" i="29"/>
  <c r="AO739" i="29" s="1"/>
  <c r="AE739" i="29"/>
  <c r="AF739" i="29" s="1"/>
  <c r="AE566" i="29"/>
  <c r="AF566" i="29" s="1"/>
  <c r="AK566" i="29"/>
  <c r="AO566" i="29" s="1"/>
  <c r="AC329" i="118"/>
  <c r="Z329" i="118"/>
  <c r="BO329" i="118"/>
  <c r="AW329" i="118"/>
  <c r="BF329" i="118" s="1"/>
  <c r="AQ329" i="118"/>
  <c r="N62" i="118"/>
  <c r="X62" i="118" s="1"/>
  <c r="AE186" i="115"/>
  <c r="AV594" i="29" s="1"/>
  <c r="AE61" i="115"/>
  <c r="AV245" i="29" s="1"/>
  <c r="AE250" i="115"/>
  <c r="AV769" i="29" s="1"/>
  <c r="AE312" i="115"/>
  <c r="AV941" i="29" s="1"/>
  <c r="AE123" i="115"/>
  <c r="AV418" i="29" s="1"/>
  <c r="BL196" i="118"/>
  <c r="AK196" i="118"/>
  <c r="AL196" i="118" s="1"/>
  <c r="AT196" i="118"/>
  <c r="Q196" i="118"/>
  <c r="AP196" i="118"/>
  <c r="AI196" i="118"/>
  <c r="AJ196" i="118" s="1"/>
  <c r="AM196" i="118"/>
  <c r="AD196" i="118"/>
  <c r="AX196" i="118"/>
  <c r="BG196" i="118" s="1"/>
  <c r="BP196" i="118"/>
  <c r="AH196" i="118"/>
  <c r="AQ196" i="118"/>
  <c r="AW196" i="118"/>
  <c r="BF196" i="118" s="1"/>
  <c r="BO196" i="118"/>
  <c r="AE196" i="118"/>
  <c r="AF196" i="118" s="1"/>
  <c r="Z196" i="118"/>
  <c r="AB58" i="115"/>
  <c r="BK242" i="29" s="1"/>
  <c r="AB247" i="115"/>
  <c r="BK766" i="29" s="1"/>
  <c r="AB183" i="115"/>
  <c r="BK591" i="29" s="1"/>
  <c r="AX215" i="29"/>
  <c r="BJ566" i="29"/>
  <c r="BJ739" i="29"/>
  <c r="AB309" i="115"/>
  <c r="BK938" i="29" s="1"/>
  <c r="AR208" i="29"/>
  <c r="AA248" i="115"/>
  <c r="AU767" i="29" s="1"/>
  <c r="AQ217" i="29"/>
  <c r="BH217" i="29"/>
  <c r="BJ913" i="29"/>
  <c r="BJ389" i="29"/>
  <c r="BJ208" i="29"/>
  <c r="AS207" i="29"/>
  <c r="BI208" i="29"/>
  <c r="AB120" i="115"/>
  <c r="BK415" i="29" s="1"/>
  <c r="P188" i="115"/>
  <c r="AC187" i="115"/>
  <c r="AD187" i="115"/>
  <c r="Q187" i="115"/>
  <c r="R187" i="115" s="1"/>
  <c r="AS731" i="29"/>
  <c r="BI732" i="29"/>
  <c r="AA121" i="115"/>
  <c r="AU416" i="29" s="1"/>
  <c r="AQ389" i="29"/>
  <c r="BH389" i="29"/>
  <c r="AQ566" i="29"/>
  <c r="BH566" i="29"/>
  <c r="AQ739" i="29"/>
  <c r="BH739" i="29"/>
  <c r="AQ913" i="29"/>
  <c r="BH913" i="29"/>
  <c r="V185" i="115"/>
  <c r="T185" i="115"/>
  <c r="W185" i="115" s="1"/>
  <c r="X185" i="115" s="1"/>
  <c r="AS557" i="29"/>
  <c r="BI558" i="29"/>
  <c r="Q62" i="115"/>
  <c r="R62" i="115" s="1"/>
  <c r="S62" i="115" s="1"/>
  <c r="T62" i="115" s="1"/>
  <c r="AS381" i="29"/>
  <c r="BI382" i="29"/>
  <c r="S186" i="115"/>
  <c r="U186" i="115"/>
  <c r="BC206" i="29"/>
  <c r="BC207" i="29" s="1"/>
  <c r="BE207" i="29"/>
  <c r="BA207" i="29"/>
  <c r="BB206" i="29"/>
  <c r="BD205" i="29"/>
  <c r="AT388" i="29"/>
  <c r="BB389" i="29"/>
  <c r="BD389" i="29"/>
  <c r="BG389" i="29"/>
  <c r="AX389" i="29"/>
  <c r="AZ389" i="29"/>
  <c r="AY389" i="29"/>
  <c r="BC389" i="29"/>
  <c r="AR389" i="29"/>
  <c r="BF389" i="29"/>
  <c r="BA389" i="29"/>
  <c r="BE389" i="29"/>
  <c r="AN390" i="29"/>
  <c r="AY913" i="29"/>
  <c r="AR913" i="29"/>
  <c r="AN914" i="29"/>
  <c r="AN218" i="29"/>
  <c r="AY217" i="29"/>
  <c r="AT204" i="29"/>
  <c r="AZ207" i="29"/>
  <c r="AT738" i="29"/>
  <c r="BB564" i="29"/>
  <c r="AT563" i="29"/>
  <c r="BG566" i="29"/>
  <c r="BF566" i="29"/>
  <c r="BE566" i="29"/>
  <c r="BC566" i="29"/>
  <c r="BA566" i="29"/>
  <c r="AY566" i="29"/>
  <c r="AX566" i="29"/>
  <c r="BD566" i="29"/>
  <c r="AR566" i="29"/>
  <c r="AZ566" i="29"/>
  <c r="AN567" i="29"/>
  <c r="BB739" i="29"/>
  <c r="BA739" i="29"/>
  <c r="BD739" i="29"/>
  <c r="AX739" i="29"/>
  <c r="BE739" i="29"/>
  <c r="BC739" i="29"/>
  <c r="AY739" i="29"/>
  <c r="BF739" i="29"/>
  <c r="BG739" i="29"/>
  <c r="AR739" i="29"/>
  <c r="AZ739" i="29"/>
  <c r="AN740" i="29"/>
  <c r="X54" i="29"/>
  <c r="AL56" i="29" s="1"/>
  <c r="S123" i="115"/>
  <c r="U123" i="115"/>
  <c r="S312" i="115"/>
  <c r="U312" i="115"/>
  <c r="AC124" i="115"/>
  <c r="Q124" i="115"/>
  <c r="R124" i="115" s="1"/>
  <c r="AD124" i="115"/>
  <c r="P125" i="115"/>
  <c r="T122" i="115"/>
  <c r="W122" i="115" s="1"/>
  <c r="X122" i="115" s="1"/>
  <c r="Y122" i="115" s="1"/>
  <c r="Z122" i="115" s="1"/>
  <c r="V122" i="115"/>
  <c r="S250" i="115"/>
  <c r="U250" i="115"/>
  <c r="V311" i="115"/>
  <c r="T311" i="115"/>
  <c r="W311" i="115" s="1"/>
  <c r="X311" i="115" s="1"/>
  <c r="AC251" i="115"/>
  <c r="Q251" i="115"/>
  <c r="R251" i="115" s="1"/>
  <c r="AD251" i="115"/>
  <c r="P252" i="115"/>
  <c r="AC313" i="115"/>
  <c r="Q313" i="115"/>
  <c r="R313" i="115" s="1"/>
  <c r="AD313" i="115"/>
  <c r="P314" i="115"/>
  <c r="T249" i="115"/>
  <c r="W249" i="115" s="1"/>
  <c r="X249" i="115" s="1"/>
  <c r="V249" i="115"/>
  <c r="H25" i="30"/>
  <c r="AD204" i="29" s="1"/>
  <c r="G25" i="30"/>
  <c r="I79" i="98"/>
  <c r="V60" i="115"/>
  <c r="W60" i="115"/>
  <c r="X60" i="115" s="1"/>
  <c r="U61" i="115"/>
  <c r="P63" i="115"/>
  <c r="AD62" i="115"/>
  <c r="AC62" i="115"/>
  <c r="AI924" i="29"/>
  <c r="AJ924" i="29" s="1"/>
  <c r="AG925" i="29" s="1"/>
  <c r="AI748" i="29"/>
  <c r="AJ748" i="29" s="1"/>
  <c r="AG749" i="29" s="1"/>
  <c r="AI206" i="29"/>
  <c r="AJ206" i="29" s="1"/>
  <c r="AG207" i="29" s="1"/>
  <c r="AH573" i="29"/>
  <c r="AH381" i="29"/>
  <c r="AE378" i="29"/>
  <c r="AF378" i="29" s="1"/>
  <c r="Y249" i="115" l="1"/>
  <c r="Z249" i="115" s="1"/>
  <c r="AA249" i="115" s="1"/>
  <c r="AU768" i="29" s="1"/>
  <c r="Y60" i="115"/>
  <c r="Z60" i="115" s="1"/>
  <c r="AA60" i="115" s="1"/>
  <c r="AU244" i="29" s="1"/>
  <c r="BG206" i="29"/>
  <c r="BG207" i="29" s="1"/>
  <c r="BG208" i="29" s="1"/>
  <c r="AK911" i="29"/>
  <c r="AO911" i="29" s="1"/>
  <c r="AE462" i="118"/>
  <c r="AF462" i="118" s="1"/>
  <c r="AP597" i="118"/>
  <c r="AK597" i="118"/>
  <c r="AL597" i="118" s="1"/>
  <c r="AT597" i="118"/>
  <c r="Q597" i="118"/>
  <c r="BL597" i="118"/>
  <c r="BR597" i="118" s="1"/>
  <c r="AM597" i="118"/>
  <c r="AI597" i="118"/>
  <c r="AJ597" i="118" s="1"/>
  <c r="AC912" i="29"/>
  <c r="AD912" i="29"/>
  <c r="AK462" i="118"/>
  <c r="AL462" i="118" s="1"/>
  <c r="AT462" i="118"/>
  <c r="Q462" i="118"/>
  <c r="BL462" i="118"/>
  <c r="BR462" i="118" s="1"/>
  <c r="AP462" i="118"/>
  <c r="AI462" i="118"/>
  <c r="AJ462" i="118" s="1"/>
  <c r="AE597" i="118"/>
  <c r="AF597" i="118" s="1"/>
  <c r="Y311" i="115"/>
  <c r="Z311" i="115" s="1"/>
  <c r="AA311" i="115" s="1"/>
  <c r="AU940" i="29" s="1"/>
  <c r="Y185" i="115"/>
  <c r="Z185" i="115" s="1"/>
  <c r="AA185" i="115" s="1"/>
  <c r="AU593" i="29" s="1"/>
  <c r="BF207" i="29"/>
  <c r="AC740" i="29"/>
  <c r="AD740" i="29"/>
  <c r="AC567" i="29"/>
  <c r="AD567" i="29"/>
  <c r="AX329" i="118"/>
  <c r="BG329" i="118" s="1"/>
  <c r="BP329" i="118"/>
  <c r="AD329" i="118"/>
  <c r="O329" i="118"/>
  <c r="AE313" i="115"/>
  <c r="AV942" i="29" s="1"/>
  <c r="AE251" i="115"/>
  <c r="AV770" i="29" s="1"/>
  <c r="AE187" i="115"/>
  <c r="AV595" i="29" s="1"/>
  <c r="AE62" i="115"/>
  <c r="AV246" i="29" s="1"/>
  <c r="AE124" i="115"/>
  <c r="AV419" i="29" s="1"/>
  <c r="Y62" i="118"/>
  <c r="AC62" i="118" s="1"/>
  <c r="AA62" i="118"/>
  <c r="AB62" i="118" s="1"/>
  <c r="P197" i="118"/>
  <c r="N197" i="118"/>
  <c r="AZ196" i="118"/>
  <c r="BI196" i="118" s="1"/>
  <c r="BC196" i="118"/>
  <c r="BR196" i="118"/>
  <c r="BJ740" i="29"/>
  <c r="AB310" i="115"/>
  <c r="BK939" i="29" s="1"/>
  <c r="AB184" i="115"/>
  <c r="BK592" i="29" s="1"/>
  <c r="BJ914" i="29"/>
  <c r="AX216" i="29"/>
  <c r="AS558" i="29"/>
  <c r="BI559" i="29"/>
  <c r="U187" i="115"/>
  <c r="S187" i="115"/>
  <c r="AQ218" i="29"/>
  <c r="BH218" i="29"/>
  <c r="AS382" i="29"/>
  <c r="BI383" i="29"/>
  <c r="AB121" i="115"/>
  <c r="BK416" i="29" s="1"/>
  <c r="AB59" i="115"/>
  <c r="BK243" i="29" s="1"/>
  <c r="AR209" i="29"/>
  <c r="Q63" i="115"/>
  <c r="R63" i="115" s="1"/>
  <c r="S63" i="115" s="1"/>
  <c r="T63" i="115" s="1"/>
  <c r="AQ914" i="29"/>
  <c r="BH914" i="29"/>
  <c r="AQ390" i="29"/>
  <c r="BH390" i="29"/>
  <c r="V186" i="115"/>
  <c r="T186" i="115"/>
  <c r="W186" i="115" s="1"/>
  <c r="X186" i="115" s="1"/>
  <c r="AS732" i="29"/>
  <c r="BI733" i="29"/>
  <c r="AS208" i="29"/>
  <c r="BI209" i="29"/>
  <c r="BJ209" i="29"/>
  <c r="AB248" i="115"/>
  <c r="BK767" i="29" s="1"/>
  <c r="AA122" i="115"/>
  <c r="AU417" i="29" s="1"/>
  <c r="AQ740" i="29"/>
  <c r="BH740" i="29"/>
  <c r="AQ567" i="29"/>
  <c r="BH567" i="29"/>
  <c r="P189" i="115"/>
  <c r="Q188" i="115"/>
  <c r="R188" i="115" s="1"/>
  <c r="AD188" i="115"/>
  <c r="AC188" i="115"/>
  <c r="BJ390" i="29"/>
  <c r="BJ567" i="29"/>
  <c r="AT205" i="29"/>
  <c r="BA208" i="29"/>
  <c r="BE208" i="29"/>
  <c r="BB207" i="29"/>
  <c r="BC208" i="29"/>
  <c r="BD206" i="29"/>
  <c r="AT389" i="29"/>
  <c r="BD567" i="29"/>
  <c r="BC567" i="29"/>
  <c r="BG567" i="29"/>
  <c r="AZ567" i="29"/>
  <c r="AY567" i="29"/>
  <c r="BE567" i="29"/>
  <c r="AX567" i="29"/>
  <c r="BF567" i="29"/>
  <c r="AR567" i="29"/>
  <c r="BA567" i="29"/>
  <c r="AN568" i="29"/>
  <c r="AY390" i="29"/>
  <c r="BF390" i="29"/>
  <c r="BC390" i="29"/>
  <c r="BE390" i="29"/>
  <c r="BD390" i="29"/>
  <c r="BB390" i="29"/>
  <c r="BG390" i="29"/>
  <c r="BA390" i="29"/>
  <c r="AZ390" i="29"/>
  <c r="AR390" i="29"/>
  <c r="AX390" i="29"/>
  <c r="AN391" i="29"/>
  <c r="AZ208" i="29"/>
  <c r="AY914" i="29"/>
  <c r="AR914" i="29"/>
  <c r="AN915" i="29"/>
  <c r="AR740" i="29"/>
  <c r="BG740" i="29"/>
  <c r="BB740" i="29"/>
  <c r="BA740" i="29"/>
  <c r="BD740" i="29"/>
  <c r="BC740" i="29"/>
  <c r="BE740" i="29"/>
  <c r="BF740" i="29"/>
  <c r="AY740" i="29"/>
  <c r="AX740" i="29"/>
  <c r="AZ740" i="29"/>
  <c r="AN741" i="29"/>
  <c r="AN219" i="29"/>
  <c r="AY218" i="29"/>
  <c r="AT739" i="29"/>
  <c r="BB565" i="29"/>
  <c r="AT564" i="29"/>
  <c r="AC314" i="115"/>
  <c r="Q314" i="115"/>
  <c r="R314" i="115" s="1"/>
  <c r="AD314" i="115"/>
  <c r="P315" i="115"/>
  <c r="AC252" i="115"/>
  <c r="Q252" i="115"/>
  <c r="R252" i="115" s="1"/>
  <c r="AD252" i="115"/>
  <c r="P253" i="115"/>
  <c r="V250" i="115"/>
  <c r="T250" i="115"/>
  <c r="W250" i="115" s="1"/>
  <c r="X250" i="115" s="1"/>
  <c r="Y250" i="115" s="1"/>
  <c r="Z250" i="115" s="1"/>
  <c r="V312" i="115"/>
  <c r="T312" i="115"/>
  <c r="W312" i="115" s="1"/>
  <c r="X312" i="115" s="1"/>
  <c r="S313" i="115"/>
  <c r="U313" i="115"/>
  <c r="S124" i="115"/>
  <c r="U124" i="115"/>
  <c r="S251" i="115"/>
  <c r="U251" i="115"/>
  <c r="Q125" i="115"/>
  <c r="R125" i="115" s="1"/>
  <c r="AC125" i="115"/>
  <c r="AD125" i="115"/>
  <c r="P126" i="115"/>
  <c r="V123" i="115"/>
  <c r="T123" i="115"/>
  <c r="W123" i="115" s="1"/>
  <c r="X123" i="115" s="1"/>
  <c r="I25" i="30"/>
  <c r="U62" i="115"/>
  <c r="W61" i="115"/>
  <c r="X61" i="115" s="1"/>
  <c r="V61" i="115"/>
  <c r="AD63" i="115"/>
  <c r="P64" i="115"/>
  <c r="AC63" i="115"/>
  <c r="AC379" i="29"/>
  <c r="AK379" i="29" s="1"/>
  <c r="AO379" i="29" s="1"/>
  <c r="AD379" i="29"/>
  <c r="AH749" i="29"/>
  <c r="AI749" i="29" s="1"/>
  <c r="AJ749" i="29" s="1"/>
  <c r="AG750" i="29" s="1"/>
  <c r="AH207" i="29"/>
  <c r="AI207" i="29" s="1"/>
  <c r="AJ207" i="29" s="1"/>
  <c r="AG208" i="29" s="1"/>
  <c r="AH925" i="29"/>
  <c r="AI925" i="29" s="1"/>
  <c r="AJ925" i="29" s="1"/>
  <c r="AG926" i="29" s="1"/>
  <c r="AI573" i="29"/>
  <c r="AJ573" i="29" s="1"/>
  <c r="AG574" i="29" s="1"/>
  <c r="AI381" i="29"/>
  <c r="AJ381" i="29" s="1"/>
  <c r="AG382" i="29" s="1"/>
  <c r="D54" i="29"/>
  <c r="Y186" i="115" l="1"/>
  <c r="Z186" i="115" s="1"/>
  <c r="AA186" i="115" s="1"/>
  <c r="AU594" i="29" s="1"/>
  <c r="Y123" i="115"/>
  <c r="Z123" i="115" s="1"/>
  <c r="AA123" i="115" s="1"/>
  <c r="AU418" i="29" s="1"/>
  <c r="Y61" i="115"/>
  <c r="Z61" i="115" s="1"/>
  <c r="AA61" i="115" s="1"/>
  <c r="AU245" i="29" s="1"/>
  <c r="Y312" i="115"/>
  <c r="Z312" i="115" s="1"/>
  <c r="AA312" i="115" s="1"/>
  <c r="AU941" i="29" s="1"/>
  <c r="N463" i="118"/>
  <c r="P463" i="118"/>
  <c r="AK912" i="29"/>
  <c r="AO912" i="29" s="1"/>
  <c r="AE912" i="29"/>
  <c r="AF912" i="29" s="1"/>
  <c r="P598" i="118"/>
  <c r="N598" i="118"/>
  <c r="AZ462" i="118"/>
  <c r="BI462" i="118" s="1"/>
  <c r="BC462" i="118"/>
  <c r="BC597" i="118"/>
  <c r="AZ597" i="118"/>
  <c r="BI597" i="118" s="1"/>
  <c r="BF208" i="29"/>
  <c r="AE740" i="29"/>
  <c r="AF740" i="29" s="1"/>
  <c r="AK740" i="29"/>
  <c r="AO740" i="29" s="1"/>
  <c r="AE567" i="29"/>
  <c r="AF567" i="29" s="1"/>
  <c r="AK567" i="29"/>
  <c r="AO567" i="29" s="1"/>
  <c r="BL329" i="118"/>
  <c r="BR329" i="118" s="1"/>
  <c r="Q329" i="118"/>
  <c r="AK329" i="118"/>
  <c r="AL329" i="118" s="1"/>
  <c r="AT329" i="118"/>
  <c r="AP329" i="118"/>
  <c r="AE329" i="118"/>
  <c r="AF329" i="118" s="1"/>
  <c r="AM329" i="118"/>
  <c r="AI329" i="118"/>
  <c r="AJ329" i="118" s="1"/>
  <c r="AE188" i="115"/>
  <c r="AV596" i="29" s="1"/>
  <c r="AE252" i="115"/>
  <c r="AV771" i="29" s="1"/>
  <c r="AE314" i="115"/>
  <c r="AV943" i="29" s="1"/>
  <c r="AE125" i="115"/>
  <c r="AV420" i="29" s="1"/>
  <c r="AE63" i="115"/>
  <c r="AV247" i="29" s="1"/>
  <c r="AH62" i="118"/>
  <c r="BP62" i="118"/>
  <c r="AX62" i="118"/>
  <c r="BG62" i="118" s="1"/>
  <c r="AD62" i="118"/>
  <c r="O62" i="118"/>
  <c r="AW62" i="118"/>
  <c r="BF62" i="118" s="1"/>
  <c r="BO62" i="118"/>
  <c r="AQ62" i="118"/>
  <c r="Z62" i="118"/>
  <c r="X197" i="118"/>
  <c r="BJ391" i="29"/>
  <c r="AX217" i="29"/>
  <c r="Q64" i="115"/>
  <c r="R64" i="115" s="1"/>
  <c r="S64" i="115" s="1"/>
  <c r="T64" i="115" s="1"/>
  <c r="AC189" i="115"/>
  <c r="P190" i="115"/>
  <c r="Q189" i="115"/>
  <c r="R189" i="115" s="1"/>
  <c r="AD189" i="115"/>
  <c r="BJ210" i="29"/>
  <c r="AA250" i="115"/>
  <c r="AU769" i="29" s="1"/>
  <c r="AQ219" i="29"/>
  <c r="BH219" i="29"/>
  <c r="AB60" i="115"/>
  <c r="BK244" i="29" s="1"/>
  <c r="AS209" i="29"/>
  <c r="BI210" i="29"/>
  <c r="AB311" i="115"/>
  <c r="BK940" i="29" s="1"/>
  <c r="AB249" i="115"/>
  <c r="AS559" i="29"/>
  <c r="BI560" i="29"/>
  <c r="AS733" i="29"/>
  <c r="BI734" i="29"/>
  <c r="AQ741" i="29"/>
  <c r="BH741" i="29"/>
  <c r="AQ915" i="29"/>
  <c r="BH915" i="29"/>
  <c r="AS383" i="29"/>
  <c r="BI384" i="29"/>
  <c r="BJ915" i="29"/>
  <c r="AQ391" i="29"/>
  <c r="BH391" i="29"/>
  <c r="AQ568" i="29"/>
  <c r="BH568" i="29"/>
  <c r="BJ568" i="29"/>
  <c r="S188" i="115"/>
  <c r="U188" i="115"/>
  <c r="AB122" i="115"/>
  <c r="BK417" i="29" s="1"/>
  <c r="AB185" i="115"/>
  <c r="BK593" i="29" s="1"/>
  <c r="AR210" i="29"/>
  <c r="T187" i="115"/>
  <c r="W187" i="115" s="1"/>
  <c r="X187" i="115" s="1"/>
  <c r="V187" i="115"/>
  <c r="BJ741" i="29"/>
  <c r="BC209" i="29"/>
  <c r="BG209" i="29"/>
  <c r="BE209" i="29"/>
  <c r="BB208" i="29"/>
  <c r="BA209" i="29"/>
  <c r="BD207" i="29"/>
  <c r="AT206" i="29"/>
  <c r="AZ209" i="29"/>
  <c r="AN220" i="29"/>
  <c r="AY219" i="29"/>
  <c r="BE568" i="29"/>
  <c r="AY568" i="29"/>
  <c r="BC568" i="29"/>
  <c r="BA568" i="29"/>
  <c r="BD568" i="29"/>
  <c r="AX568" i="29"/>
  <c r="AR568" i="29"/>
  <c r="AZ568" i="29"/>
  <c r="BF568" i="29"/>
  <c r="BG568" i="29"/>
  <c r="AN569" i="29"/>
  <c r="AZ741" i="29"/>
  <c r="BF741" i="29"/>
  <c r="BG741" i="29"/>
  <c r="BC741" i="29"/>
  <c r="AY741" i="29"/>
  <c r="BA741" i="29"/>
  <c r="AX741" i="29"/>
  <c r="AR741" i="29"/>
  <c r="BE741" i="29"/>
  <c r="BD741" i="29"/>
  <c r="BB741" i="29"/>
  <c r="AN742" i="29"/>
  <c r="AZ391" i="29"/>
  <c r="AY391" i="29"/>
  <c r="BD391" i="29"/>
  <c r="AR391" i="29"/>
  <c r="BF391" i="29"/>
  <c r="BE391" i="29"/>
  <c r="BG391" i="29"/>
  <c r="BB391" i="29"/>
  <c r="BA391" i="29"/>
  <c r="BC391" i="29"/>
  <c r="AX391" i="29"/>
  <c r="AN392" i="29"/>
  <c r="AT390" i="29"/>
  <c r="AY915" i="29"/>
  <c r="AR915" i="29"/>
  <c r="AN916" i="29"/>
  <c r="AT565" i="29"/>
  <c r="BB566" i="29"/>
  <c r="AT740" i="29"/>
  <c r="AC204" i="29"/>
  <c r="AK204" i="29" s="1"/>
  <c r="E54" i="29"/>
  <c r="Q315" i="115"/>
  <c r="R315" i="115" s="1"/>
  <c r="AC315" i="115"/>
  <c r="AD315" i="115"/>
  <c r="P316" i="115"/>
  <c r="V251" i="115"/>
  <c r="T251" i="115"/>
  <c r="W251" i="115" s="1"/>
  <c r="X251" i="115" s="1"/>
  <c r="Y251" i="115" s="1"/>
  <c r="Z251" i="115" s="1"/>
  <c r="V313" i="115"/>
  <c r="T313" i="115"/>
  <c r="W313" i="115" s="1"/>
  <c r="X313" i="115" s="1"/>
  <c r="S252" i="115"/>
  <c r="U252" i="115"/>
  <c r="S314" i="115"/>
  <c r="U314" i="115"/>
  <c r="AC126" i="115"/>
  <c r="Q126" i="115"/>
  <c r="R126" i="115" s="1"/>
  <c r="AD126" i="115"/>
  <c r="P127" i="115"/>
  <c r="U125" i="115"/>
  <c r="S125" i="115"/>
  <c r="V124" i="115"/>
  <c r="T124" i="115"/>
  <c r="W124" i="115" s="1"/>
  <c r="X124" i="115" s="1"/>
  <c r="AC253" i="115"/>
  <c r="Q253" i="115"/>
  <c r="R253" i="115" s="1"/>
  <c r="AD253" i="115"/>
  <c r="P254" i="115"/>
  <c r="AC64" i="115"/>
  <c r="P65" i="115"/>
  <c r="AD64" i="115"/>
  <c r="U63" i="115"/>
  <c r="V62" i="115"/>
  <c r="W62" i="115"/>
  <c r="X62" i="115" s="1"/>
  <c r="Y62" i="115" s="1"/>
  <c r="Z62" i="115" s="1"/>
  <c r="AH574" i="29"/>
  <c r="AI574" i="29" s="1"/>
  <c r="AJ574" i="29" s="1"/>
  <c r="AG575" i="29" s="1"/>
  <c r="AH382" i="29"/>
  <c r="AI382" i="29" s="1"/>
  <c r="AJ382" i="29" s="1"/>
  <c r="AG383" i="29" s="1"/>
  <c r="AH208" i="29"/>
  <c r="AI208" i="29" s="1"/>
  <c r="AJ208" i="29" s="1"/>
  <c r="AG209" i="29" s="1"/>
  <c r="AH926" i="29"/>
  <c r="AI926" i="29" s="1"/>
  <c r="AJ926" i="29" s="1"/>
  <c r="AG927" i="29" s="1"/>
  <c r="AH750" i="29"/>
  <c r="AE379" i="29"/>
  <c r="AF379" i="29" s="1"/>
  <c r="Y124" i="115" l="1"/>
  <c r="Z124" i="115" s="1"/>
  <c r="AA124" i="115" s="1"/>
  <c r="AU419" i="29" s="1"/>
  <c r="X598" i="118"/>
  <c r="AD913" i="29"/>
  <c r="AC913" i="29"/>
  <c r="X463" i="118"/>
  <c r="Y313" i="115"/>
  <c r="Z313" i="115" s="1"/>
  <c r="AA313" i="115" s="1"/>
  <c r="AU942" i="29" s="1"/>
  <c r="Y187" i="115"/>
  <c r="Z187" i="115" s="1"/>
  <c r="AA187" i="115" s="1"/>
  <c r="AU595" i="29" s="1"/>
  <c r="BF209" i="29"/>
  <c r="AD741" i="29"/>
  <c r="AC741" i="29"/>
  <c r="AC568" i="29"/>
  <c r="AD568" i="29"/>
  <c r="AZ329" i="118"/>
  <c r="BI329" i="118" s="1"/>
  <c r="BC329" i="118"/>
  <c r="N330" i="118"/>
  <c r="P330" i="118"/>
  <c r="AE315" i="115"/>
  <c r="AV944" i="29" s="1"/>
  <c r="AE189" i="115"/>
  <c r="AV597" i="29" s="1"/>
  <c r="AE64" i="115"/>
  <c r="AV248" i="29" s="1"/>
  <c r="AE253" i="115"/>
  <c r="AV772" i="29" s="1"/>
  <c r="AE126" i="115"/>
  <c r="AV421" i="29" s="1"/>
  <c r="AO204" i="29"/>
  <c r="AE62" i="118"/>
  <c r="AF62" i="118" s="1"/>
  <c r="Q62" i="118"/>
  <c r="AP62" i="118"/>
  <c r="AK62" i="118"/>
  <c r="AL62" i="118" s="1"/>
  <c r="AT62" i="118"/>
  <c r="BL62" i="118"/>
  <c r="BR62" i="118" s="1"/>
  <c r="AM62" i="118"/>
  <c r="AI62" i="118"/>
  <c r="AJ62" i="118" s="1"/>
  <c r="Y197" i="118"/>
  <c r="AC197" i="118" s="1"/>
  <c r="AA197" i="118"/>
  <c r="AB197" i="118" s="1"/>
  <c r="AB123" i="115"/>
  <c r="BK418" i="29" s="1"/>
  <c r="AB61" i="115"/>
  <c r="BK245" i="29" s="1"/>
  <c r="AX218" i="29"/>
  <c r="AB312" i="115"/>
  <c r="BK941" i="29" s="1"/>
  <c r="AB186" i="115"/>
  <c r="BK594" i="29" s="1"/>
  <c r="AS384" i="29"/>
  <c r="BI385" i="29"/>
  <c r="AS560" i="29"/>
  <c r="BI561" i="29"/>
  <c r="AS210" i="29"/>
  <c r="BI211" i="29"/>
  <c r="AQ392" i="29"/>
  <c r="BH392" i="29"/>
  <c r="BJ742" i="29"/>
  <c r="AR211" i="29"/>
  <c r="T188" i="115"/>
  <c r="W188" i="115" s="1"/>
  <c r="X188" i="115" s="1"/>
  <c r="Y188" i="115" s="1"/>
  <c r="Z188" i="115" s="1"/>
  <c r="V188" i="115"/>
  <c r="AB250" i="115"/>
  <c r="U189" i="115"/>
  <c r="S189" i="115"/>
  <c r="BJ392" i="29"/>
  <c r="AQ916" i="29"/>
  <c r="BH916" i="29"/>
  <c r="AA251" i="115"/>
  <c r="AU770" i="29" s="1"/>
  <c r="AQ742" i="29"/>
  <c r="BH742" i="29"/>
  <c r="AQ569" i="29"/>
  <c r="BH569" i="29"/>
  <c r="AQ220" i="29"/>
  <c r="BH220" i="29"/>
  <c r="BJ569" i="29"/>
  <c r="AS734" i="29"/>
  <c r="BI735" i="29"/>
  <c r="BK768" i="29"/>
  <c r="AC190" i="115"/>
  <c r="Q190" i="115"/>
  <c r="R190" i="115" s="1"/>
  <c r="AD190" i="115"/>
  <c r="P191" i="115"/>
  <c r="AA62" i="115"/>
  <c r="AU246" i="29" s="1"/>
  <c r="Q65" i="115"/>
  <c r="R65" i="115" s="1"/>
  <c r="S65" i="115" s="1"/>
  <c r="T65" i="115" s="1"/>
  <c r="BJ916" i="29"/>
  <c r="BJ211" i="29"/>
  <c r="BA210" i="29"/>
  <c r="BB209" i="29"/>
  <c r="BG210" i="29"/>
  <c r="BE210" i="29"/>
  <c r="BC210" i="29"/>
  <c r="BD208" i="29"/>
  <c r="AT207" i="29"/>
  <c r="BB567" i="29"/>
  <c r="AT566" i="29"/>
  <c r="BE569" i="29"/>
  <c r="AZ569" i="29"/>
  <c r="AX569" i="29"/>
  <c r="BA569" i="29"/>
  <c r="AY569" i="29"/>
  <c r="AR569" i="29"/>
  <c r="BG569" i="29"/>
  <c r="BF569" i="29"/>
  <c r="BD569" i="29"/>
  <c r="BC569" i="29"/>
  <c r="AN570" i="29"/>
  <c r="AN221" i="29"/>
  <c r="AY220" i="29"/>
  <c r="AZ210" i="29"/>
  <c r="AR916" i="29"/>
  <c r="AY916" i="29"/>
  <c r="AN917" i="29"/>
  <c r="BG392" i="29"/>
  <c r="BB392" i="29"/>
  <c r="BF392" i="29"/>
  <c r="BE392" i="29"/>
  <c r="BC392" i="29"/>
  <c r="AX392" i="29"/>
  <c r="BD392" i="29"/>
  <c r="BA392" i="29"/>
  <c r="AY392" i="29"/>
  <c r="AR392" i="29"/>
  <c r="AZ392" i="29"/>
  <c r="AN393" i="29"/>
  <c r="AT391" i="29"/>
  <c r="AR742" i="29"/>
  <c r="AY742" i="29"/>
  <c r="BF742" i="29"/>
  <c r="BG742" i="29"/>
  <c r="AZ742" i="29"/>
  <c r="BC742" i="29"/>
  <c r="BE742" i="29"/>
  <c r="BB742" i="29"/>
  <c r="BA742" i="29"/>
  <c r="BD742" i="29"/>
  <c r="AX742" i="29"/>
  <c r="AN743" i="29"/>
  <c r="AT741" i="29"/>
  <c r="AE204" i="29"/>
  <c r="AF204" i="29" s="1"/>
  <c r="AC205" i="29" s="1"/>
  <c r="AK205" i="29" s="1"/>
  <c r="AO205" i="29" s="1"/>
  <c r="F54" i="29"/>
  <c r="Q254" i="115"/>
  <c r="R254" i="115" s="1"/>
  <c r="AC254" i="115"/>
  <c r="AD254" i="115"/>
  <c r="P255" i="115"/>
  <c r="S126" i="115"/>
  <c r="U126" i="115"/>
  <c r="AC316" i="115"/>
  <c r="Q316" i="115"/>
  <c r="R316" i="115" s="1"/>
  <c r="AD316" i="115"/>
  <c r="P317" i="115"/>
  <c r="S315" i="115"/>
  <c r="U315" i="115"/>
  <c r="Q127" i="115"/>
  <c r="R127" i="115" s="1"/>
  <c r="AC127" i="115"/>
  <c r="AD127" i="115"/>
  <c r="P128" i="115"/>
  <c r="V252" i="115"/>
  <c r="T252" i="115"/>
  <c r="W252" i="115" s="1"/>
  <c r="X252" i="115" s="1"/>
  <c r="S253" i="115"/>
  <c r="U253" i="115"/>
  <c r="V125" i="115"/>
  <c r="T125" i="115"/>
  <c r="W125" i="115" s="1"/>
  <c r="X125" i="115" s="1"/>
  <c r="Y125" i="115" s="1"/>
  <c r="Z125" i="115" s="1"/>
  <c r="V314" i="115"/>
  <c r="T314" i="115"/>
  <c r="W314" i="115" s="1"/>
  <c r="X314" i="115" s="1"/>
  <c r="U64" i="115"/>
  <c r="W63" i="115"/>
  <c r="X63" i="115" s="1"/>
  <c r="Y63" i="115" s="1"/>
  <c r="Z63" i="115" s="1"/>
  <c r="V63" i="115"/>
  <c r="P66" i="115"/>
  <c r="AC65" i="115"/>
  <c r="AD65" i="115"/>
  <c r="AD380" i="29"/>
  <c r="AC380" i="29"/>
  <c r="AK380" i="29" s="1"/>
  <c r="AO380" i="29" s="1"/>
  <c r="AI750" i="29"/>
  <c r="AJ750" i="29" s="1"/>
  <c r="AG751" i="29" s="1"/>
  <c r="AH927" i="29"/>
  <c r="AI927" i="29" s="1"/>
  <c r="AJ927" i="29" s="1"/>
  <c r="AG928" i="29" s="1"/>
  <c r="AH575" i="29"/>
  <c r="AI575" i="29" s="1"/>
  <c r="AJ575" i="29" s="1"/>
  <c r="AG576" i="29" s="1"/>
  <c r="AH209" i="29"/>
  <c r="AH383" i="29"/>
  <c r="Y252" i="115" l="1"/>
  <c r="Z252" i="115" s="1"/>
  <c r="AA252" i="115" s="1"/>
  <c r="AU771" i="29" s="1"/>
  <c r="AA463" i="118"/>
  <c r="AB463" i="118" s="1"/>
  <c r="Y463" i="118"/>
  <c r="AH463" i="118" s="1"/>
  <c r="AK913" i="29"/>
  <c r="AO913" i="29" s="1"/>
  <c r="AE913" i="29"/>
  <c r="AF913" i="29" s="1"/>
  <c r="Y598" i="118"/>
  <c r="AH598" i="118" s="1"/>
  <c r="AA598" i="118"/>
  <c r="AB598" i="118" s="1"/>
  <c r="Y314" i="115"/>
  <c r="Z314" i="115" s="1"/>
  <c r="AA314" i="115" s="1"/>
  <c r="AU943" i="29" s="1"/>
  <c r="BF210" i="29"/>
  <c r="AE741" i="29"/>
  <c r="AF741" i="29" s="1"/>
  <c r="AK741" i="29"/>
  <c r="AO741" i="29" s="1"/>
  <c r="AK568" i="29"/>
  <c r="AO568" i="29" s="1"/>
  <c r="AE568" i="29"/>
  <c r="AF568" i="29" s="1"/>
  <c r="X330" i="118"/>
  <c r="AE316" i="115"/>
  <c r="AV945" i="29" s="1"/>
  <c r="AE190" i="115"/>
  <c r="AV598" i="29" s="1"/>
  <c r="AE127" i="115"/>
  <c r="AV422" i="29" s="1"/>
  <c r="AE254" i="115"/>
  <c r="AV773" i="29" s="1"/>
  <c r="AE65" i="115"/>
  <c r="AV249" i="29" s="1"/>
  <c r="AZ62" i="118"/>
  <c r="BI62" i="118" s="1"/>
  <c r="BC62" i="118"/>
  <c r="P63" i="118"/>
  <c r="N63" i="118"/>
  <c r="O197" i="118"/>
  <c r="AE197" i="118" s="1"/>
  <c r="AF197" i="118" s="1"/>
  <c r="AD197" i="118"/>
  <c r="BP197" i="118"/>
  <c r="AX197" i="118"/>
  <c r="BG197" i="118" s="1"/>
  <c r="AH197" i="118"/>
  <c r="AQ197" i="118"/>
  <c r="BO197" i="118"/>
  <c r="AW197" i="118"/>
  <c r="BF197" i="118" s="1"/>
  <c r="Z197" i="118"/>
  <c r="AX219" i="29"/>
  <c r="AQ570" i="29"/>
  <c r="BH570" i="29"/>
  <c r="U190" i="115"/>
  <c r="S190" i="115"/>
  <c r="T189" i="115"/>
  <c r="W189" i="115" s="1"/>
  <c r="X189" i="115" s="1"/>
  <c r="V189" i="115"/>
  <c r="AS385" i="29"/>
  <c r="BI386" i="29"/>
  <c r="AA63" i="115"/>
  <c r="AU247" i="29" s="1"/>
  <c r="AA125" i="115"/>
  <c r="AU420" i="29" s="1"/>
  <c r="AQ743" i="29"/>
  <c r="BH743" i="29"/>
  <c r="AQ917" i="29"/>
  <c r="BH917" i="29"/>
  <c r="AB187" i="115"/>
  <c r="AB124" i="115"/>
  <c r="AS735" i="29"/>
  <c r="BI736" i="29"/>
  <c r="BJ570" i="29"/>
  <c r="AA188" i="115"/>
  <c r="AU596" i="29" s="1"/>
  <c r="AQ393" i="29"/>
  <c r="BH393" i="29"/>
  <c r="BJ212" i="29"/>
  <c r="AD191" i="115"/>
  <c r="P192" i="115"/>
  <c r="AC191" i="115"/>
  <c r="Q191" i="115"/>
  <c r="R191" i="115" s="1"/>
  <c r="AB313" i="115"/>
  <c r="BK769" i="29"/>
  <c r="AR212" i="29"/>
  <c r="AS561" i="29"/>
  <c r="BI562" i="29"/>
  <c r="Q66" i="115"/>
  <c r="R66" i="115" s="1"/>
  <c r="S66" i="115" s="1"/>
  <c r="T66" i="115" s="1"/>
  <c r="AQ221" i="29"/>
  <c r="BH221" i="29"/>
  <c r="BJ917" i="29"/>
  <c r="AB62" i="115"/>
  <c r="AB251" i="115"/>
  <c r="BJ393" i="29"/>
  <c r="BJ743" i="29"/>
  <c r="AS211" i="29"/>
  <c r="BI212" i="29"/>
  <c r="BE211" i="29"/>
  <c r="BG211" i="29"/>
  <c r="BA211" i="29"/>
  <c r="BC211" i="29"/>
  <c r="BB210" i="29"/>
  <c r="BD209" i="29"/>
  <c r="AT208" i="29"/>
  <c r="AT742" i="29"/>
  <c r="AT392" i="29"/>
  <c r="AX743" i="29"/>
  <c r="BE743" i="29"/>
  <c r="BA743" i="29"/>
  <c r="BC743" i="29"/>
  <c r="AZ743" i="29"/>
  <c r="AR743" i="29"/>
  <c r="BF743" i="29"/>
  <c r="BG743" i="29"/>
  <c r="AY743" i="29"/>
  <c r="BB743" i="29"/>
  <c r="BD743" i="29"/>
  <c r="AN744" i="29"/>
  <c r="AZ211" i="29"/>
  <c r="AY917" i="29"/>
  <c r="AR917" i="29"/>
  <c r="AN918" i="29"/>
  <c r="BF570" i="29"/>
  <c r="BE570" i="29"/>
  <c r="BG570" i="29"/>
  <c r="BA570" i="29"/>
  <c r="AZ570" i="29"/>
  <c r="BC570" i="29"/>
  <c r="BD570" i="29"/>
  <c r="AY570" i="29"/>
  <c r="AR570" i="29"/>
  <c r="AX570" i="29"/>
  <c r="AN571" i="29"/>
  <c r="BG393" i="29"/>
  <c r="BE393" i="29"/>
  <c r="AX393" i="29"/>
  <c r="BA393" i="29"/>
  <c r="BF393" i="29"/>
  <c r="BC393" i="29"/>
  <c r="AR393" i="29"/>
  <c r="BB393" i="29"/>
  <c r="BD393" i="29"/>
  <c r="AY393" i="29"/>
  <c r="AZ393" i="29"/>
  <c r="AN394" i="29"/>
  <c r="AN222" i="29"/>
  <c r="AY221" i="29"/>
  <c r="BB568" i="29"/>
  <c r="AT567" i="29"/>
  <c r="AD205" i="29"/>
  <c r="AE205" i="29" s="1"/>
  <c r="AF205" i="29" s="1"/>
  <c r="AD206" i="29" s="1"/>
  <c r="G54" i="29"/>
  <c r="V315" i="115"/>
  <c r="T315" i="115"/>
  <c r="W315" i="115" s="1"/>
  <c r="X315" i="115" s="1"/>
  <c r="AC317" i="115"/>
  <c r="Q317" i="115"/>
  <c r="R317" i="115" s="1"/>
  <c r="AD317" i="115"/>
  <c r="P318" i="115"/>
  <c r="AC128" i="115"/>
  <c r="Q128" i="115"/>
  <c r="R128" i="115" s="1"/>
  <c r="AD128" i="115"/>
  <c r="P129" i="115"/>
  <c r="S127" i="115"/>
  <c r="U127" i="115"/>
  <c r="V126" i="115"/>
  <c r="T126" i="115"/>
  <c r="W126" i="115" s="1"/>
  <c r="X126" i="115" s="1"/>
  <c r="V253" i="115"/>
  <c r="T253" i="115"/>
  <c r="W253" i="115" s="1"/>
  <c r="X253" i="115" s="1"/>
  <c r="Y253" i="115" s="1"/>
  <c r="Z253" i="115" s="1"/>
  <c r="S316" i="115"/>
  <c r="U316" i="115"/>
  <c r="AC255" i="115"/>
  <c r="Q255" i="115"/>
  <c r="R255" i="115" s="1"/>
  <c r="AD255" i="115"/>
  <c r="P256" i="115"/>
  <c r="S254" i="115"/>
  <c r="U254" i="115"/>
  <c r="AC66" i="115"/>
  <c r="P67" i="115"/>
  <c r="AD66" i="115"/>
  <c r="U65" i="115"/>
  <c r="V64" i="115"/>
  <c r="W64" i="115"/>
  <c r="X64" i="115" s="1"/>
  <c r="AH751" i="29"/>
  <c r="AI751" i="29" s="1"/>
  <c r="AJ751" i="29" s="1"/>
  <c r="AG752" i="29" s="1"/>
  <c r="AH928" i="29"/>
  <c r="AI383" i="29"/>
  <c r="AJ383" i="29" s="1"/>
  <c r="AG384" i="29" s="1"/>
  <c r="AI209" i="29"/>
  <c r="AJ209" i="29" s="1"/>
  <c r="AG210" i="29" s="1"/>
  <c r="AH576" i="29"/>
  <c r="AE380" i="29"/>
  <c r="AF380" i="29" s="1"/>
  <c r="Y126" i="115" l="1"/>
  <c r="Z126" i="115" s="1"/>
  <c r="AA126" i="115" s="1"/>
  <c r="AU421" i="29" s="1"/>
  <c r="Y64" i="115"/>
  <c r="Z64" i="115" s="1"/>
  <c r="AA64" i="115" s="1"/>
  <c r="AU248" i="29" s="1"/>
  <c r="AC598" i="118"/>
  <c r="O598" i="118" s="1"/>
  <c r="AT598" i="118" s="1"/>
  <c r="Z598" i="118"/>
  <c r="AW598" i="118"/>
  <c r="BF598" i="118" s="1"/>
  <c r="BO598" i="118"/>
  <c r="AQ598" i="118"/>
  <c r="AC914" i="29"/>
  <c r="AD914" i="29"/>
  <c r="AC463" i="118"/>
  <c r="BO463" i="118"/>
  <c r="AQ463" i="118"/>
  <c r="AW463" i="118"/>
  <c r="BF463" i="118" s="1"/>
  <c r="Z463" i="118"/>
  <c r="Y315" i="115"/>
  <c r="Z315" i="115" s="1"/>
  <c r="AA315" i="115" s="1"/>
  <c r="AU944" i="29" s="1"/>
  <c r="Y189" i="115"/>
  <c r="Z189" i="115" s="1"/>
  <c r="AA189" i="115" s="1"/>
  <c r="AU597" i="29" s="1"/>
  <c r="BF211" i="29"/>
  <c r="AD742" i="29"/>
  <c r="AC742" i="29"/>
  <c r="AD569" i="29"/>
  <c r="AC569" i="29"/>
  <c r="Y330" i="118"/>
  <c r="AH330" i="118" s="1"/>
  <c r="AA330" i="118"/>
  <c r="AB330" i="118" s="1"/>
  <c r="AE255" i="115"/>
  <c r="AV774" i="29" s="1"/>
  <c r="AE128" i="115"/>
  <c r="AV423" i="29" s="1"/>
  <c r="AE317" i="115"/>
  <c r="AV946" i="29" s="1"/>
  <c r="AE191" i="115"/>
  <c r="AV599" i="29" s="1"/>
  <c r="AE66" i="115"/>
  <c r="AV250" i="29" s="1"/>
  <c r="X63" i="118"/>
  <c r="Q197" i="118"/>
  <c r="AK197" i="118"/>
  <c r="AL197" i="118" s="1"/>
  <c r="BL197" i="118"/>
  <c r="BR197" i="118" s="1"/>
  <c r="AT197" i="118"/>
  <c r="AP197" i="118"/>
  <c r="AI197" i="118"/>
  <c r="AJ197" i="118" s="1"/>
  <c r="AM197" i="118"/>
  <c r="AB63" i="115"/>
  <c r="BK247" i="29" s="1"/>
  <c r="AB252" i="115"/>
  <c r="BK771" i="29" s="1"/>
  <c r="AB188" i="115"/>
  <c r="BK596" i="29" s="1"/>
  <c r="AB314" i="115"/>
  <c r="BK943" i="29" s="1"/>
  <c r="AB125" i="115"/>
  <c r="BK420" i="29" s="1"/>
  <c r="AX220" i="29"/>
  <c r="AA253" i="115"/>
  <c r="AU772" i="29" s="1"/>
  <c r="AQ394" i="29"/>
  <c r="BH394" i="29"/>
  <c r="BJ571" i="29"/>
  <c r="BK595" i="29"/>
  <c r="Q67" i="115"/>
  <c r="R67" i="115" s="1"/>
  <c r="S67" i="115" s="1"/>
  <c r="T67" i="115" s="1"/>
  <c r="AQ744" i="29"/>
  <c r="BH744" i="29"/>
  <c r="BJ744" i="29"/>
  <c r="AS562" i="29"/>
  <c r="BI563" i="29"/>
  <c r="AS736" i="29"/>
  <c r="BI737" i="29"/>
  <c r="AS386" i="29"/>
  <c r="BI387" i="29"/>
  <c r="V190" i="115"/>
  <c r="T190" i="115"/>
  <c r="W190" i="115" s="1"/>
  <c r="X190" i="115" s="1"/>
  <c r="AQ571" i="29"/>
  <c r="BH571" i="29"/>
  <c r="AQ918" i="29"/>
  <c r="BH918" i="29"/>
  <c r="BJ918" i="29"/>
  <c r="AR213" i="29"/>
  <c r="AS212" i="29"/>
  <c r="BI213" i="29"/>
  <c r="BJ394" i="29"/>
  <c r="BK246" i="29"/>
  <c r="P193" i="115"/>
  <c r="Q192" i="115"/>
  <c r="R192" i="115" s="1"/>
  <c r="AC192" i="115"/>
  <c r="AD192" i="115"/>
  <c r="BJ213" i="29"/>
  <c r="S191" i="115"/>
  <c r="U191" i="115"/>
  <c r="AQ222" i="29"/>
  <c r="BH222" i="29"/>
  <c r="BK770" i="29"/>
  <c r="BK942" i="29"/>
  <c r="BK419" i="29"/>
  <c r="BB211" i="29"/>
  <c r="BA212" i="29"/>
  <c r="BE212" i="29"/>
  <c r="BC212" i="29"/>
  <c r="BG212" i="29"/>
  <c r="AT393" i="29"/>
  <c r="BD210" i="29"/>
  <c r="AT209" i="29"/>
  <c r="AN223" i="29"/>
  <c r="AY222" i="29"/>
  <c r="BC744" i="29"/>
  <c r="AR744" i="29"/>
  <c r="BD744" i="29"/>
  <c r="BA744" i="29"/>
  <c r="BE744" i="29"/>
  <c r="AX744" i="29"/>
  <c r="AZ744" i="29"/>
  <c r="AY744" i="29"/>
  <c r="BF744" i="29"/>
  <c r="BG744" i="29"/>
  <c r="BB744" i="29"/>
  <c r="AN745" i="29"/>
  <c r="BB569" i="29"/>
  <c r="AT568" i="29"/>
  <c r="BA571" i="29"/>
  <c r="AX571" i="29"/>
  <c r="BD571" i="29"/>
  <c r="AY571" i="29"/>
  <c r="AZ571" i="29"/>
  <c r="BC571" i="29"/>
  <c r="BF571" i="29"/>
  <c r="AR571" i="29"/>
  <c r="BE571" i="29"/>
  <c r="BG571" i="29"/>
  <c r="AN572" i="29"/>
  <c r="AZ212" i="29"/>
  <c r="AC206" i="29"/>
  <c r="AK206" i="29" s="1"/>
  <c r="BC394" i="29"/>
  <c r="AR394" i="29"/>
  <c r="BF394" i="29"/>
  <c r="BG394" i="29"/>
  <c r="BD394" i="29"/>
  <c r="BB394" i="29"/>
  <c r="AY394" i="29"/>
  <c r="BE394" i="29"/>
  <c r="AX394" i="29"/>
  <c r="AZ394" i="29"/>
  <c r="BA394" i="29"/>
  <c r="AN395" i="29"/>
  <c r="AY918" i="29"/>
  <c r="AR918" i="29"/>
  <c r="AN919" i="29"/>
  <c r="AT743" i="29"/>
  <c r="Q129" i="115"/>
  <c r="R129" i="115" s="1"/>
  <c r="AC129" i="115"/>
  <c r="AD129" i="115"/>
  <c r="P130" i="115"/>
  <c r="V316" i="115"/>
  <c r="T316" i="115"/>
  <c r="W316" i="115" s="1"/>
  <c r="X316" i="115" s="1"/>
  <c r="AC318" i="115"/>
  <c r="Q318" i="115"/>
  <c r="R318" i="115" s="1"/>
  <c r="AD318" i="115"/>
  <c r="P319" i="115"/>
  <c r="V254" i="115"/>
  <c r="T254" i="115"/>
  <c r="W254" i="115" s="1"/>
  <c r="X254" i="115" s="1"/>
  <c r="Y254" i="115" s="1"/>
  <c r="Z254" i="115" s="1"/>
  <c r="U255" i="115"/>
  <c r="S255" i="115"/>
  <c r="Q256" i="115"/>
  <c r="R256" i="115" s="1"/>
  <c r="AC256" i="115"/>
  <c r="AD256" i="115"/>
  <c r="P257" i="115"/>
  <c r="V127" i="115"/>
  <c r="T127" i="115"/>
  <c r="W127" i="115" s="1"/>
  <c r="X127" i="115" s="1"/>
  <c r="S128" i="115"/>
  <c r="U128" i="115"/>
  <c r="S317" i="115"/>
  <c r="U317" i="115"/>
  <c r="W65" i="115"/>
  <c r="X65" i="115" s="1"/>
  <c r="V65" i="115"/>
  <c r="AD67" i="115"/>
  <c r="AC67" i="115"/>
  <c r="P68" i="115"/>
  <c r="U66" i="115"/>
  <c r="AC381" i="29"/>
  <c r="AK381" i="29" s="1"/>
  <c r="AO381" i="29" s="1"/>
  <c r="AD381" i="29"/>
  <c r="AH384" i="29"/>
  <c r="AI384" i="29" s="1"/>
  <c r="AJ384" i="29" s="1"/>
  <c r="AG385" i="29" s="1"/>
  <c r="AI928" i="29"/>
  <c r="AJ928" i="29" s="1"/>
  <c r="AG929" i="29" s="1"/>
  <c r="AH210" i="29"/>
  <c r="AI210" i="29" s="1"/>
  <c r="AJ210" i="29" s="1"/>
  <c r="AG211" i="29" s="1"/>
  <c r="AH752" i="29"/>
  <c r="AI576" i="29"/>
  <c r="AJ576" i="29" s="1"/>
  <c r="AG577" i="29" s="1"/>
  <c r="Y127" i="115" l="1"/>
  <c r="Z127" i="115" s="1"/>
  <c r="AA127" i="115" s="1"/>
  <c r="AU422" i="29" s="1"/>
  <c r="Y65" i="115"/>
  <c r="Z65" i="115" s="1"/>
  <c r="AA65" i="115" s="1"/>
  <c r="AU249" i="29" s="1"/>
  <c r="AM598" i="118"/>
  <c r="BP598" i="118"/>
  <c r="BL598" i="118"/>
  <c r="AX598" i="118"/>
  <c r="BG598" i="118" s="1"/>
  <c r="AI598" i="118"/>
  <c r="AJ598" i="118" s="1"/>
  <c r="AK598" i="118"/>
  <c r="AL598" i="118" s="1"/>
  <c r="AP598" i="118"/>
  <c r="Q598" i="118"/>
  <c r="N599" i="118" s="1"/>
  <c r="AD598" i="118"/>
  <c r="AE598" i="118"/>
  <c r="AF598" i="118" s="1"/>
  <c r="O463" i="118"/>
  <c r="AE463" i="118" s="1"/>
  <c r="AF463" i="118" s="1"/>
  <c r="BP463" i="118"/>
  <c r="AD463" i="118"/>
  <c r="AX463" i="118"/>
  <c r="BG463" i="118" s="1"/>
  <c r="AK914" i="29"/>
  <c r="AO914" i="29" s="1"/>
  <c r="AE914" i="29"/>
  <c r="AF914" i="29" s="1"/>
  <c r="BC598" i="118"/>
  <c r="Y316" i="115"/>
  <c r="Z316" i="115" s="1"/>
  <c r="AA316" i="115" s="1"/>
  <c r="AU945" i="29" s="1"/>
  <c r="Y190" i="115"/>
  <c r="Z190" i="115" s="1"/>
  <c r="AA190" i="115" s="1"/>
  <c r="AU598" i="29" s="1"/>
  <c r="BF212" i="29"/>
  <c r="AE742" i="29"/>
  <c r="AF742" i="29" s="1"/>
  <c r="AK742" i="29"/>
  <c r="AO742" i="29" s="1"/>
  <c r="AE569" i="29"/>
  <c r="AF569" i="29" s="1"/>
  <c r="AK569" i="29"/>
  <c r="AO569" i="29" s="1"/>
  <c r="AC330" i="118"/>
  <c r="AQ330" i="118"/>
  <c r="AW330" i="118"/>
  <c r="BF330" i="118" s="1"/>
  <c r="Z330" i="118"/>
  <c r="BO330" i="118"/>
  <c r="AE318" i="115"/>
  <c r="AV947" i="29" s="1"/>
  <c r="AE129" i="115"/>
  <c r="AV424" i="29" s="1"/>
  <c r="AE67" i="115"/>
  <c r="AV251" i="29" s="1"/>
  <c r="AE256" i="115"/>
  <c r="AV775" i="29" s="1"/>
  <c r="AE192" i="115"/>
  <c r="AV600" i="29" s="1"/>
  <c r="AO206" i="29"/>
  <c r="Y63" i="118"/>
  <c r="AC63" i="118" s="1"/>
  <c r="AA63" i="118"/>
  <c r="AB63" i="118" s="1"/>
  <c r="P198" i="118"/>
  <c r="N198" i="118"/>
  <c r="AZ197" i="118"/>
  <c r="BI197" i="118" s="1"/>
  <c r="BC197" i="118"/>
  <c r="AB315" i="115"/>
  <c r="BK944" i="29" s="1"/>
  <c r="AE206" i="29"/>
  <c r="AF206" i="29" s="1"/>
  <c r="AC207" i="29" s="1"/>
  <c r="AK207" i="29" s="1"/>
  <c r="AO207" i="29" s="1"/>
  <c r="BJ572" i="29"/>
  <c r="AB126" i="115"/>
  <c r="BK421" i="29" s="1"/>
  <c r="BJ745" i="29"/>
  <c r="AX221" i="29"/>
  <c r="AR214" i="29"/>
  <c r="Q68" i="115"/>
  <c r="R68" i="115" s="1"/>
  <c r="S68" i="115" s="1"/>
  <c r="T68" i="115" s="1"/>
  <c r="AQ572" i="29"/>
  <c r="BH572" i="29"/>
  <c r="AQ223" i="29"/>
  <c r="BH223" i="29"/>
  <c r="BJ395" i="29"/>
  <c r="BJ919" i="29"/>
  <c r="AB64" i="115"/>
  <c r="AQ919" i="29"/>
  <c r="BH919" i="29"/>
  <c r="AQ395" i="29"/>
  <c r="BH395" i="29"/>
  <c r="S192" i="115"/>
  <c r="U192" i="115"/>
  <c r="AS213" i="29"/>
  <c r="BI214" i="29"/>
  <c r="AS387" i="29"/>
  <c r="BI388" i="29"/>
  <c r="AS563" i="29"/>
  <c r="BI564" i="29"/>
  <c r="AS737" i="29"/>
  <c r="BI738" i="29"/>
  <c r="AA254" i="115"/>
  <c r="AU773" i="29" s="1"/>
  <c r="AQ745" i="29"/>
  <c r="BH745" i="29"/>
  <c r="T191" i="115"/>
  <c r="W191" i="115" s="1"/>
  <c r="X191" i="115" s="1"/>
  <c r="V191" i="115"/>
  <c r="BJ214" i="29"/>
  <c r="AD193" i="115"/>
  <c r="P194" i="115"/>
  <c r="Q193" i="115"/>
  <c r="R193" i="115" s="1"/>
  <c r="AC193" i="115"/>
  <c r="AB189" i="115"/>
  <c r="AB253" i="115"/>
  <c r="BA213" i="29"/>
  <c r="BB212" i="29"/>
  <c r="BG213" i="29"/>
  <c r="BC213" i="29"/>
  <c r="BE213" i="29"/>
  <c r="BD211" i="29"/>
  <c r="AT210" i="29"/>
  <c r="AR395" i="29"/>
  <c r="BB395" i="29"/>
  <c r="BF395" i="29"/>
  <c r="BE395" i="29"/>
  <c r="AZ395" i="29"/>
  <c r="BA395" i="29"/>
  <c r="BC395" i="29"/>
  <c r="BD395" i="29"/>
  <c r="AX395" i="29"/>
  <c r="AY395" i="29"/>
  <c r="BG395" i="29"/>
  <c r="AN396" i="29"/>
  <c r="BE572" i="29"/>
  <c r="BC572" i="29"/>
  <c r="BG572" i="29"/>
  <c r="AY572" i="29"/>
  <c r="BF572" i="29"/>
  <c r="BA572" i="29"/>
  <c r="AX572" i="29"/>
  <c r="AR572" i="29"/>
  <c r="AZ572" i="29"/>
  <c r="BD572" i="29"/>
  <c r="AN573" i="29"/>
  <c r="AT569" i="29"/>
  <c r="BB570" i="29"/>
  <c r="AY919" i="29"/>
  <c r="AR919" i="29"/>
  <c r="AN920" i="29"/>
  <c r="AT394" i="29"/>
  <c r="AZ213" i="29"/>
  <c r="AZ745" i="29"/>
  <c r="BB745" i="29"/>
  <c r="BA745" i="29"/>
  <c r="BC745" i="29"/>
  <c r="BE745" i="29"/>
  <c r="AR745" i="29"/>
  <c r="AY745" i="29"/>
  <c r="AX745" i="29"/>
  <c r="BF745" i="29"/>
  <c r="BD745" i="29"/>
  <c r="BG745" i="29"/>
  <c r="AN746" i="29"/>
  <c r="AT744" i="29"/>
  <c r="AN224" i="29"/>
  <c r="AY223" i="29"/>
  <c r="V128" i="115"/>
  <c r="T128" i="115"/>
  <c r="W128" i="115" s="1"/>
  <c r="X128" i="115" s="1"/>
  <c r="Y128" i="115" s="1"/>
  <c r="Z128" i="115" s="1"/>
  <c r="T255" i="115"/>
  <c r="W255" i="115" s="1"/>
  <c r="X255" i="115" s="1"/>
  <c r="Y255" i="115" s="1"/>
  <c r="Z255" i="115" s="1"/>
  <c r="V255" i="115"/>
  <c r="Q319" i="115"/>
  <c r="R319" i="115" s="1"/>
  <c r="AC319" i="115"/>
  <c r="AD319" i="115"/>
  <c r="P320" i="115"/>
  <c r="V317" i="115"/>
  <c r="T317" i="115"/>
  <c r="W317" i="115" s="1"/>
  <c r="X317" i="115" s="1"/>
  <c r="AC257" i="115"/>
  <c r="Q257" i="115"/>
  <c r="R257" i="115" s="1"/>
  <c r="AD257" i="115"/>
  <c r="P258" i="115"/>
  <c r="S256" i="115"/>
  <c r="U256" i="115"/>
  <c r="S318" i="115"/>
  <c r="U318" i="115"/>
  <c r="AC130" i="115"/>
  <c r="Q130" i="115"/>
  <c r="R130" i="115" s="1"/>
  <c r="AD130" i="115"/>
  <c r="P131" i="115"/>
  <c r="S129" i="115"/>
  <c r="U129" i="115"/>
  <c r="V66" i="115"/>
  <c r="W66" i="115"/>
  <c r="X66" i="115" s="1"/>
  <c r="Y66" i="115" s="1"/>
  <c r="Z66" i="115" s="1"/>
  <c r="U67" i="115"/>
  <c r="AC68" i="115"/>
  <c r="P69" i="115"/>
  <c r="AD68" i="115"/>
  <c r="AI752" i="29"/>
  <c r="AJ752" i="29" s="1"/>
  <c r="AG753" i="29" s="1"/>
  <c r="AH929" i="29"/>
  <c r="AI929" i="29" s="1"/>
  <c r="AJ929" i="29" s="1"/>
  <c r="AG930" i="29" s="1"/>
  <c r="AH577" i="29"/>
  <c r="AH211" i="29"/>
  <c r="AH385" i="29"/>
  <c r="AE381" i="29"/>
  <c r="AF381" i="29" s="1"/>
  <c r="AZ598" i="118" l="1"/>
  <c r="BI598" i="118" s="1"/>
  <c r="P599" i="118"/>
  <c r="X599" i="118" s="1"/>
  <c r="BR598" i="118"/>
  <c r="Q463" i="118"/>
  <c r="BL463" i="118"/>
  <c r="BR463" i="118" s="1"/>
  <c r="AP463" i="118"/>
  <c r="AK463" i="118"/>
  <c r="AL463" i="118" s="1"/>
  <c r="AT463" i="118"/>
  <c r="AM463" i="118"/>
  <c r="AI463" i="118"/>
  <c r="AJ463" i="118" s="1"/>
  <c r="AD915" i="29"/>
  <c r="AC915" i="29"/>
  <c r="Y317" i="115"/>
  <c r="Z317" i="115" s="1"/>
  <c r="AA317" i="115" s="1"/>
  <c r="AU946" i="29" s="1"/>
  <c r="Y191" i="115"/>
  <c r="Z191" i="115" s="1"/>
  <c r="AA191" i="115" s="1"/>
  <c r="AU599" i="29" s="1"/>
  <c r="BF213" i="29"/>
  <c r="AC743" i="29"/>
  <c r="AD743" i="29"/>
  <c r="AD570" i="29"/>
  <c r="AC570" i="29"/>
  <c r="AX330" i="118"/>
  <c r="BG330" i="118" s="1"/>
  <c r="AD330" i="118"/>
  <c r="BP330" i="118"/>
  <c r="O330" i="118"/>
  <c r="AE130" i="115"/>
  <c r="AV425" i="29" s="1"/>
  <c r="AE257" i="115"/>
  <c r="AV776" i="29" s="1"/>
  <c r="AE68" i="115"/>
  <c r="AV252" i="29" s="1"/>
  <c r="AE193" i="115"/>
  <c r="AV601" i="29" s="1"/>
  <c r="AE319" i="115"/>
  <c r="AV948" i="29" s="1"/>
  <c r="AD63" i="118"/>
  <c r="BP63" i="118"/>
  <c r="AX63" i="118"/>
  <c r="BG63" i="118" s="1"/>
  <c r="AH63" i="118"/>
  <c r="AW63" i="118"/>
  <c r="BF63" i="118" s="1"/>
  <c r="BO63" i="118"/>
  <c r="AQ63" i="118"/>
  <c r="Z63" i="118"/>
  <c r="O63" i="118"/>
  <c r="AM63" i="118" s="1"/>
  <c r="X198" i="118"/>
  <c r="AD207" i="29"/>
  <c r="AE207" i="29" s="1"/>
  <c r="AF207" i="29" s="1"/>
  <c r="AB127" i="115"/>
  <c r="BK422" i="29" s="1"/>
  <c r="AB65" i="115"/>
  <c r="BK249" i="29" s="1"/>
  <c r="AB254" i="115"/>
  <c r="BK773" i="29" s="1"/>
  <c r="BJ396" i="29"/>
  <c r="AX222" i="29"/>
  <c r="AA66" i="115"/>
  <c r="AU250" i="29" s="1"/>
  <c r="U193" i="115"/>
  <c r="S193" i="115"/>
  <c r="AS738" i="29"/>
  <c r="BI739" i="29"/>
  <c r="AS388" i="29"/>
  <c r="BI389" i="29"/>
  <c r="AS214" i="29"/>
  <c r="BI215" i="29"/>
  <c r="AQ746" i="29"/>
  <c r="BH746" i="29"/>
  <c r="AQ396" i="29"/>
  <c r="BH396" i="29"/>
  <c r="BK772" i="29"/>
  <c r="Q194" i="115"/>
  <c r="R194" i="115" s="1"/>
  <c r="AC194" i="115"/>
  <c r="AD194" i="115"/>
  <c r="P195" i="115"/>
  <c r="BJ215" i="29"/>
  <c r="AB316" i="115"/>
  <c r="AR215" i="29"/>
  <c r="AQ920" i="29"/>
  <c r="BH920" i="29"/>
  <c r="AQ573" i="29"/>
  <c r="BH573" i="29"/>
  <c r="BK597" i="29"/>
  <c r="AS564" i="29"/>
  <c r="BI565" i="29"/>
  <c r="BK248" i="29"/>
  <c r="Q69" i="115"/>
  <c r="R69" i="115" s="1"/>
  <c r="S69" i="115" s="1"/>
  <c r="T69" i="115" s="1"/>
  <c r="AA128" i="115"/>
  <c r="AU423" i="29" s="1"/>
  <c r="V192" i="115"/>
  <c r="T192" i="115"/>
  <c r="W192" i="115" s="1"/>
  <c r="X192" i="115" s="1"/>
  <c r="Y192" i="115" s="1"/>
  <c r="Z192" i="115" s="1"/>
  <c r="AA255" i="115"/>
  <c r="AU774" i="29" s="1"/>
  <c r="AQ224" i="29"/>
  <c r="BH224" i="29"/>
  <c r="BJ573" i="29"/>
  <c r="AB190" i="115"/>
  <c r="BJ746" i="29"/>
  <c r="BJ920" i="29"/>
  <c r="BE214" i="29"/>
  <c r="BG214" i="29"/>
  <c r="BB213" i="29"/>
  <c r="BC214" i="29"/>
  <c r="BA214" i="29"/>
  <c r="BD212" i="29"/>
  <c r="AT211" i="29"/>
  <c r="AN225" i="29"/>
  <c r="AY224" i="29"/>
  <c r="BF573" i="29"/>
  <c r="BA573" i="29"/>
  <c r="BE573" i="29"/>
  <c r="AX573" i="29"/>
  <c r="AY573" i="29"/>
  <c r="AZ573" i="29"/>
  <c r="BG573" i="29"/>
  <c r="AR573" i="29"/>
  <c r="BD573" i="29"/>
  <c r="BC573" i="29"/>
  <c r="AN574" i="29"/>
  <c r="AT395" i="29"/>
  <c r="AY920" i="29"/>
  <c r="AR920" i="29"/>
  <c r="AN921" i="29"/>
  <c r="BC396" i="29"/>
  <c r="AR396" i="29"/>
  <c r="AZ396" i="29"/>
  <c r="AX396" i="29"/>
  <c r="BD396" i="29"/>
  <c r="BF396" i="29"/>
  <c r="BE396" i="29"/>
  <c r="BG396" i="29"/>
  <c r="AY396" i="29"/>
  <c r="BB396" i="29"/>
  <c r="BA396" i="29"/>
  <c r="AN397" i="29"/>
  <c r="BA746" i="29"/>
  <c r="BD746" i="29"/>
  <c r="BG746" i="29"/>
  <c r="BE746" i="29"/>
  <c r="AR746" i="29"/>
  <c r="BC746" i="29"/>
  <c r="AY746" i="29"/>
  <c r="BF746" i="29"/>
  <c r="AX746" i="29"/>
  <c r="AZ746" i="29"/>
  <c r="BB746" i="29"/>
  <c r="AN747" i="29"/>
  <c r="AT745" i="29"/>
  <c r="AZ214" i="29"/>
  <c r="AT570" i="29"/>
  <c r="BB571" i="29"/>
  <c r="Q131" i="115"/>
  <c r="R131" i="115" s="1"/>
  <c r="AC131" i="115"/>
  <c r="AD131" i="115"/>
  <c r="P132" i="115"/>
  <c r="S319" i="115"/>
  <c r="U319" i="115"/>
  <c r="U257" i="115"/>
  <c r="S257" i="115"/>
  <c r="AC320" i="115"/>
  <c r="Q320" i="115"/>
  <c r="R320" i="115" s="1"/>
  <c r="AD320" i="115"/>
  <c r="P321" i="115"/>
  <c r="V318" i="115"/>
  <c r="T318" i="115"/>
  <c r="W318" i="115" s="1"/>
  <c r="X318" i="115" s="1"/>
  <c r="V256" i="115"/>
  <c r="T256" i="115"/>
  <c r="W256" i="115" s="1"/>
  <c r="X256" i="115" s="1"/>
  <c r="Y256" i="115" s="1"/>
  <c r="Z256" i="115" s="1"/>
  <c r="V129" i="115"/>
  <c r="T129" i="115"/>
  <c r="W129" i="115" s="1"/>
  <c r="X129" i="115" s="1"/>
  <c r="U130" i="115"/>
  <c r="S130" i="115"/>
  <c r="Q258" i="115"/>
  <c r="R258" i="115" s="1"/>
  <c r="AC258" i="115"/>
  <c r="AD258" i="115"/>
  <c r="P259" i="115"/>
  <c r="P70" i="115"/>
  <c r="AC69" i="115"/>
  <c r="AD69" i="115"/>
  <c r="U68" i="115"/>
  <c r="W67" i="115"/>
  <c r="X67" i="115" s="1"/>
  <c r="V67" i="115"/>
  <c r="AD382" i="29"/>
  <c r="AC382" i="29"/>
  <c r="AK382" i="29" s="1"/>
  <c r="AO382" i="29" s="1"/>
  <c r="AH753" i="29"/>
  <c r="AI753" i="29" s="1"/>
  <c r="AJ753" i="29" s="1"/>
  <c r="AG754" i="29" s="1"/>
  <c r="AH930" i="29"/>
  <c r="AI930" i="29" s="1"/>
  <c r="AJ930" i="29" s="1"/>
  <c r="AG931" i="29" s="1"/>
  <c r="AI577" i="29"/>
  <c r="AJ577" i="29" s="1"/>
  <c r="AG578" i="29" s="1"/>
  <c r="AI211" i="29"/>
  <c r="AJ211" i="29" s="1"/>
  <c r="AG212" i="29" s="1"/>
  <c r="AI385" i="29"/>
  <c r="AJ385" i="29" s="1"/>
  <c r="AG386" i="29" s="1"/>
  <c r="Y129" i="115" l="1"/>
  <c r="Z129" i="115" s="1"/>
  <c r="AA129" i="115" s="1"/>
  <c r="AU424" i="29" s="1"/>
  <c r="Y67" i="115"/>
  <c r="Z67" i="115" s="1"/>
  <c r="AA599" i="118"/>
  <c r="AB599" i="118" s="1"/>
  <c r="Y599" i="118"/>
  <c r="AC599" i="118" s="1"/>
  <c r="O599" i="118" s="1"/>
  <c r="AE915" i="29"/>
  <c r="AF915" i="29" s="1"/>
  <c r="AK915" i="29"/>
  <c r="AO915" i="29" s="1"/>
  <c r="AZ463" i="118"/>
  <c r="BI463" i="118" s="1"/>
  <c r="BC463" i="118"/>
  <c r="P464" i="118"/>
  <c r="N464" i="118"/>
  <c r="Y318" i="115"/>
  <c r="Z318" i="115" s="1"/>
  <c r="AA318" i="115" s="1"/>
  <c r="AU947" i="29" s="1"/>
  <c r="BF214" i="29"/>
  <c r="AE743" i="29"/>
  <c r="AF743" i="29" s="1"/>
  <c r="AK743" i="29"/>
  <c r="AO743" i="29" s="1"/>
  <c r="AK570" i="29"/>
  <c r="AO570" i="29" s="1"/>
  <c r="AE570" i="29"/>
  <c r="AF570" i="29" s="1"/>
  <c r="AP330" i="118"/>
  <c r="BL330" i="118"/>
  <c r="BR330" i="118" s="1"/>
  <c r="AK330" i="118"/>
  <c r="AL330" i="118" s="1"/>
  <c r="Q330" i="118"/>
  <c r="AT330" i="118"/>
  <c r="AM330" i="118"/>
  <c r="AI330" i="118"/>
  <c r="AJ330" i="118" s="1"/>
  <c r="AE330" i="118"/>
  <c r="AF330" i="118" s="1"/>
  <c r="AE320" i="115"/>
  <c r="AV949" i="29" s="1"/>
  <c r="AE194" i="115"/>
  <c r="AV602" i="29" s="1"/>
  <c r="AE69" i="115"/>
  <c r="AV253" i="29" s="1"/>
  <c r="AE258" i="115"/>
  <c r="AV777" i="29" s="1"/>
  <c r="AE131" i="115"/>
  <c r="AV426" i="29" s="1"/>
  <c r="AI63" i="118"/>
  <c r="AJ63" i="118" s="1"/>
  <c r="AE63" i="118"/>
  <c r="AF63" i="118" s="1"/>
  <c r="Q63" i="118"/>
  <c r="BL63" i="118"/>
  <c r="BR63" i="118" s="1"/>
  <c r="AK63" i="118"/>
  <c r="AL63" i="118" s="1"/>
  <c r="AT63" i="118"/>
  <c r="AP63" i="118"/>
  <c r="Y198" i="118"/>
  <c r="AC198" i="118" s="1"/>
  <c r="AA198" i="118"/>
  <c r="AB198" i="118" s="1"/>
  <c r="AB255" i="115"/>
  <c r="BK774" i="29" s="1"/>
  <c r="AB128" i="115"/>
  <c r="BK423" i="29" s="1"/>
  <c r="AB191" i="115"/>
  <c r="BK599" i="29" s="1"/>
  <c r="AX223" i="29"/>
  <c r="AQ397" i="29"/>
  <c r="BH397" i="29"/>
  <c r="U194" i="115"/>
  <c r="S194" i="115"/>
  <c r="T193" i="115"/>
  <c r="W193" i="115" s="1"/>
  <c r="X193" i="115" s="1"/>
  <c r="V193" i="115"/>
  <c r="AQ921" i="29"/>
  <c r="BH921" i="29"/>
  <c r="BK598" i="29"/>
  <c r="AA192" i="115"/>
  <c r="AU600" i="29" s="1"/>
  <c r="AB317" i="115"/>
  <c r="BK945" i="29"/>
  <c r="AD195" i="115"/>
  <c r="P196" i="115"/>
  <c r="Q195" i="115"/>
  <c r="R195" i="115" s="1"/>
  <c r="AC195" i="115"/>
  <c r="BJ747" i="29"/>
  <c r="AS739" i="29"/>
  <c r="BI740" i="29"/>
  <c r="AA256" i="115"/>
  <c r="AU775" i="29" s="1"/>
  <c r="AQ574" i="29"/>
  <c r="BH574" i="29"/>
  <c r="AQ225" i="29"/>
  <c r="BH225" i="29"/>
  <c r="BJ574" i="29"/>
  <c r="BJ397" i="29"/>
  <c r="AS389" i="29"/>
  <c r="BI390" i="29"/>
  <c r="AQ747" i="29"/>
  <c r="BH747" i="29"/>
  <c r="BJ216" i="29"/>
  <c r="AA67" i="115"/>
  <c r="AU251" i="29" s="1"/>
  <c r="AB259" i="115"/>
  <c r="BJ921" i="29"/>
  <c r="AS565" i="29"/>
  <c r="BI566" i="29"/>
  <c r="AR216" i="29"/>
  <c r="AS215" i="29"/>
  <c r="BI216" i="29"/>
  <c r="AB66" i="115"/>
  <c r="BC215" i="29"/>
  <c r="BB214" i="29"/>
  <c r="BE215" i="29"/>
  <c r="BA215" i="29"/>
  <c r="BG215" i="29"/>
  <c r="BD213" i="29"/>
  <c r="AT212" i="29"/>
  <c r="BG574" i="29"/>
  <c r="BF574" i="29"/>
  <c r="AX574" i="29"/>
  <c r="BA574" i="29"/>
  <c r="AZ574" i="29"/>
  <c r="BC574" i="29"/>
  <c r="AR574" i="29"/>
  <c r="BE574" i="29"/>
  <c r="BD574" i="29"/>
  <c r="AY574" i="29"/>
  <c r="AN575" i="29"/>
  <c r="BB572" i="29"/>
  <c r="AT571" i="29"/>
  <c r="AN226" i="29"/>
  <c r="AY225" i="29"/>
  <c r="AZ215" i="29"/>
  <c r="AT746" i="29"/>
  <c r="AY397" i="29"/>
  <c r="AX397" i="29"/>
  <c r="BE397" i="29"/>
  <c r="BG397" i="29"/>
  <c r="BA397" i="29"/>
  <c r="AZ397" i="29"/>
  <c r="BD397" i="29"/>
  <c r="BF397" i="29"/>
  <c r="AR397" i="29"/>
  <c r="BC397" i="29"/>
  <c r="BB397" i="29"/>
  <c r="AN398" i="29"/>
  <c r="AY921" i="29"/>
  <c r="AR921" i="29"/>
  <c r="AN922" i="29"/>
  <c r="BB747" i="29"/>
  <c r="BA747" i="29"/>
  <c r="AZ747" i="29"/>
  <c r="BF747" i="29"/>
  <c r="AR747" i="29"/>
  <c r="AX747" i="29"/>
  <c r="BD747" i="29"/>
  <c r="AY747" i="29"/>
  <c r="BE747" i="29"/>
  <c r="BG747" i="29"/>
  <c r="BC747" i="29"/>
  <c r="AN748" i="29"/>
  <c r="AT396" i="29"/>
  <c r="AD259" i="115"/>
  <c r="AE259" i="115" s="1"/>
  <c r="P260" i="115"/>
  <c r="AC321" i="115"/>
  <c r="Q321" i="115"/>
  <c r="R321" i="115" s="1"/>
  <c r="AD321" i="115"/>
  <c r="P322" i="115"/>
  <c r="V257" i="115"/>
  <c r="T257" i="115"/>
  <c r="W257" i="115" s="1"/>
  <c r="X257" i="115" s="1"/>
  <c r="Y257" i="115" s="1"/>
  <c r="Z257" i="115" s="1"/>
  <c r="V130" i="115"/>
  <c r="T130" i="115"/>
  <c r="W130" i="115" s="1"/>
  <c r="X130" i="115" s="1"/>
  <c r="V319" i="115"/>
  <c r="T319" i="115"/>
  <c r="W319" i="115" s="1"/>
  <c r="X319" i="115" s="1"/>
  <c r="U258" i="115"/>
  <c r="S258" i="115"/>
  <c r="S320" i="115"/>
  <c r="U320" i="115"/>
  <c r="AC132" i="115"/>
  <c r="Q132" i="115"/>
  <c r="R132" i="115" s="1"/>
  <c r="AD132" i="115"/>
  <c r="P133" i="115"/>
  <c r="U131" i="115"/>
  <c r="S131" i="115"/>
  <c r="U69" i="115"/>
  <c r="AC70" i="115"/>
  <c r="AE70" i="115" s="1"/>
  <c r="Q70" i="115"/>
  <c r="R70" i="115" s="1"/>
  <c r="P71" i="115"/>
  <c r="AD70" i="115"/>
  <c r="V68" i="115"/>
  <c r="W68" i="115"/>
  <c r="X68" i="115" s="1"/>
  <c r="Y68" i="115" s="1"/>
  <c r="Z68" i="115" s="1"/>
  <c r="AD208" i="29"/>
  <c r="AC208" i="29"/>
  <c r="AK208" i="29" s="1"/>
  <c r="AH931" i="29"/>
  <c r="AH754" i="29"/>
  <c r="AH578" i="29"/>
  <c r="AI578" i="29" s="1"/>
  <c r="AJ578" i="29" s="1"/>
  <c r="AG579" i="29" s="1"/>
  <c r="AH212" i="29"/>
  <c r="AH386" i="29"/>
  <c r="AE382" i="29"/>
  <c r="AF382" i="29" s="1"/>
  <c r="AE72" i="115" l="1"/>
  <c r="AB4" i="115" s="1"/>
  <c r="C26" i="29" s="1"/>
  <c r="Y130" i="115"/>
  <c r="Z130" i="115" s="1"/>
  <c r="AA130" i="115" s="1"/>
  <c r="AU425" i="29" s="1"/>
  <c r="AP599" i="118"/>
  <c r="AT599" i="118"/>
  <c r="BL599" i="118"/>
  <c r="Q599" i="118"/>
  <c r="AK599" i="118"/>
  <c r="AL599" i="118" s="1"/>
  <c r="AC916" i="29"/>
  <c r="AD916" i="29"/>
  <c r="BP599" i="118"/>
  <c r="AX599" i="118"/>
  <c r="BG599" i="118" s="1"/>
  <c r="AD599" i="118"/>
  <c r="X464" i="118"/>
  <c r="AH599" i="118"/>
  <c r="Z599" i="118"/>
  <c r="AW599" i="118"/>
  <c r="BF599" i="118" s="1"/>
  <c r="BO599" i="118"/>
  <c r="AQ599" i="118"/>
  <c r="AM599" i="118"/>
  <c r="AE599" i="118"/>
  <c r="AF599" i="118" s="1"/>
  <c r="AI599" i="118"/>
  <c r="AJ599" i="118" s="1"/>
  <c r="Y319" i="115"/>
  <c r="Z319" i="115" s="1"/>
  <c r="AA319" i="115" s="1"/>
  <c r="AU948" i="29" s="1"/>
  <c r="Y193" i="115"/>
  <c r="Z193" i="115" s="1"/>
  <c r="AA193" i="115" s="1"/>
  <c r="AU601" i="29" s="1"/>
  <c r="BF215" i="29"/>
  <c r="AD744" i="29"/>
  <c r="AC744" i="29"/>
  <c r="AD571" i="29"/>
  <c r="AC571" i="29"/>
  <c r="P331" i="118"/>
  <c r="N331" i="118"/>
  <c r="BC330" i="118"/>
  <c r="AZ330" i="118"/>
  <c r="BI330" i="118" s="1"/>
  <c r="AE321" i="115"/>
  <c r="AV950" i="29" s="1"/>
  <c r="AE261" i="115"/>
  <c r="AB7" i="115" s="1"/>
  <c r="F26" i="29" s="1"/>
  <c r="AE195" i="115"/>
  <c r="AV603" i="29" s="1"/>
  <c r="AE132" i="115"/>
  <c r="AV427" i="29" s="1"/>
  <c r="AO208" i="29"/>
  <c r="AZ63" i="118"/>
  <c r="BI63" i="118" s="1"/>
  <c r="BC63" i="118"/>
  <c r="N64" i="118"/>
  <c r="P64" i="118"/>
  <c r="O198" i="118"/>
  <c r="AE198" i="118" s="1"/>
  <c r="AF198" i="118" s="1"/>
  <c r="AD198" i="118"/>
  <c r="AX198" i="118"/>
  <c r="BG198" i="118" s="1"/>
  <c r="BP198" i="118"/>
  <c r="AH198" i="118"/>
  <c r="AQ198" i="118"/>
  <c r="BO198" i="118"/>
  <c r="AW198" i="118"/>
  <c r="BF198" i="118" s="1"/>
  <c r="Z198" i="118"/>
  <c r="AB67" i="115"/>
  <c r="BK251" i="29" s="1"/>
  <c r="AB256" i="115"/>
  <c r="BK775" i="29" s="1"/>
  <c r="AB129" i="115"/>
  <c r="BK424" i="29" s="1"/>
  <c r="BJ922" i="29"/>
  <c r="AX224" i="29"/>
  <c r="BK250" i="29"/>
  <c r="BJ217" i="29"/>
  <c r="AS390" i="29"/>
  <c r="BI391" i="29"/>
  <c r="AB196" i="115"/>
  <c r="P197" i="115"/>
  <c r="AD196" i="115"/>
  <c r="AE196" i="115" s="1"/>
  <c r="AA68" i="115"/>
  <c r="AU252" i="29" s="1"/>
  <c r="AB322" i="115"/>
  <c r="AB260" i="115"/>
  <c r="AQ226" i="29"/>
  <c r="BH226" i="29"/>
  <c r="AS216" i="29"/>
  <c r="BI217" i="29"/>
  <c r="BJ575" i="29"/>
  <c r="AB318" i="115"/>
  <c r="BK946" i="29"/>
  <c r="AQ748" i="29"/>
  <c r="BH748" i="29"/>
  <c r="AQ922" i="29"/>
  <c r="BH922" i="29"/>
  <c r="AQ398" i="29"/>
  <c r="BH398" i="29"/>
  <c r="AS566" i="29"/>
  <c r="BI567" i="29"/>
  <c r="BJ398" i="29"/>
  <c r="AQ575" i="29"/>
  <c r="BH575" i="29"/>
  <c r="AR217" i="29"/>
  <c r="AB133" i="115"/>
  <c r="AA257" i="115"/>
  <c r="AU776" i="29" s="1"/>
  <c r="AS740" i="29"/>
  <c r="BI741" i="29"/>
  <c r="BJ748" i="29"/>
  <c r="U195" i="115"/>
  <c r="S195" i="115"/>
  <c r="AB192" i="115"/>
  <c r="T194" i="115"/>
  <c r="W194" i="115" s="1"/>
  <c r="X194" i="115" s="1"/>
  <c r="Y194" i="115" s="1"/>
  <c r="Z194" i="115" s="1"/>
  <c r="V194" i="115"/>
  <c r="BA216" i="29"/>
  <c r="BC216" i="29"/>
  <c r="BG216" i="29"/>
  <c r="BE216" i="29"/>
  <c r="BB215" i="29"/>
  <c r="BD214" i="29"/>
  <c r="AT213" i="29"/>
  <c r="AY748" i="29"/>
  <c r="AZ748" i="29"/>
  <c r="BA748" i="29"/>
  <c r="BG748" i="29"/>
  <c r="BB748" i="29"/>
  <c r="AX748" i="29"/>
  <c r="BE748" i="29"/>
  <c r="AR748" i="29"/>
  <c r="BF748" i="29"/>
  <c r="BC748" i="29"/>
  <c r="BD748" i="29"/>
  <c r="AN749" i="29"/>
  <c r="AR922" i="29"/>
  <c r="AY922" i="29"/>
  <c r="AN923" i="29"/>
  <c r="AN227" i="29"/>
  <c r="AY226" i="29"/>
  <c r="BB573" i="29"/>
  <c r="AT572" i="29"/>
  <c r="AT397" i="29"/>
  <c r="AZ216" i="29"/>
  <c r="BE575" i="29"/>
  <c r="BD575" i="29"/>
  <c r="BG575" i="29"/>
  <c r="AX575" i="29"/>
  <c r="AY575" i="29"/>
  <c r="BC575" i="29"/>
  <c r="BA575" i="29"/>
  <c r="AZ575" i="29"/>
  <c r="AR575" i="29"/>
  <c r="BF575" i="29"/>
  <c r="AN576" i="29"/>
  <c r="AT747" i="29"/>
  <c r="AZ398" i="29"/>
  <c r="BE398" i="29"/>
  <c r="BB398" i="29"/>
  <c r="BF398" i="29"/>
  <c r="AR398" i="29"/>
  <c r="BG398" i="29"/>
  <c r="AY398" i="29"/>
  <c r="BA398" i="29"/>
  <c r="BC398" i="29"/>
  <c r="BD398" i="29"/>
  <c r="AX398" i="29"/>
  <c r="AN399" i="29"/>
  <c r="AD133" i="115"/>
  <c r="AE133" i="115" s="1"/>
  <c r="P134" i="115"/>
  <c r="V258" i="115"/>
  <c r="T258" i="115"/>
  <c r="W258" i="115" s="1"/>
  <c r="X258" i="115" s="1"/>
  <c r="AD322" i="115"/>
  <c r="AE322" i="115" s="1"/>
  <c r="P323" i="115"/>
  <c r="AD260" i="115"/>
  <c r="AE260" i="115" s="1"/>
  <c r="T131" i="115"/>
  <c r="W131" i="115" s="1"/>
  <c r="X131" i="115" s="1"/>
  <c r="V131" i="115"/>
  <c r="T320" i="115"/>
  <c r="W320" i="115" s="1"/>
  <c r="X320" i="115" s="1"/>
  <c r="V320" i="115"/>
  <c r="S132" i="115"/>
  <c r="U132" i="115"/>
  <c r="U321" i="115"/>
  <c r="S321" i="115"/>
  <c r="AD71" i="115"/>
  <c r="Q71" i="115"/>
  <c r="R71" i="115" s="1"/>
  <c r="AC71" i="115"/>
  <c r="AE71" i="115" s="1"/>
  <c r="U70" i="115"/>
  <c r="S70" i="115"/>
  <c r="W69" i="115"/>
  <c r="X69" i="115" s="1"/>
  <c r="V69" i="115"/>
  <c r="AC383" i="29"/>
  <c r="AK383" i="29" s="1"/>
  <c r="AO383" i="29" s="1"/>
  <c r="AD383" i="29"/>
  <c r="AI754" i="29"/>
  <c r="AJ754" i="29" s="1"/>
  <c r="AG755" i="29" s="1"/>
  <c r="AI931" i="29"/>
  <c r="AJ931" i="29" s="1"/>
  <c r="AG932" i="29" s="1"/>
  <c r="AI212" i="29"/>
  <c r="AJ212" i="29" s="1"/>
  <c r="AH579" i="29"/>
  <c r="AI386" i="29"/>
  <c r="AJ386" i="29" s="1"/>
  <c r="AG387" i="29" s="1"/>
  <c r="AE208" i="29"/>
  <c r="AF208" i="29" s="1"/>
  <c r="Y258" i="115" l="1"/>
  <c r="Z258" i="115" s="1"/>
  <c r="AA258" i="115" s="1"/>
  <c r="AU777" i="29" s="1"/>
  <c r="Y131" i="115"/>
  <c r="Z131" i="115" s="1"/>
  <c r="Y69" i="115"/>
  <c r="Z69" i="115" s="1"/>
  <c r="AA69" i="115" s="1"/>
  <c r="AU253" i="29" s="1"/>
  <c r="Y464" i="118"/>
  <c r="AA464" i="118"/>
  <c r="AB464" i="118" s="1"/>
  <c r="N600" i="118"/>
  <c r="P600" i="118"/>
  <c r="BR599" i="118"/>
  <c r="AK916" i="29"/>
  <c r="AO916" i="29" s="1"/>
  <c r="AE916" i="29"/>
  <c r="AF916" i="29" s="1"/>
  <c r="AZ599" i="118"/>
  <c r="BI599" i="118" s="1"/>
  <c r="BC599" i="118"/>
  <c r="AE324" i="115"/>
  <c r="AB8" i="115" s="1"/>
  <c r="G26" i="29" s="1"/>
  <c r="Y320" i="115"/>
  <c r="Z320" i="115" s="1"/>
  <c r="AA320" i="115" s="1"/>
  <c r="AU949" i="29" s="1"/>
  <c r="BF216" i="29"/>
  <c r="AE744" i="29"/>
  <c r="AF744" i="29" s="1"/>
  <c r="AK744" i="29"/>
  <c r="AO744" i="29" s="1"/>
  <c r="AK571" i="29"/>
  <c r="AO571" i="29" s="1"/>
  <c r="AE571" i="29"/>
  <c r="AF571" i="29" s="1"/>
  <c r="X331" i="118"/>
  <c r="AE198" i="115"/>
  <c r="AB6" i="115" s="1"/>
  <c r="E26" i="29" s="1"/>
  <c r="AE135" i="115"/>
  <c r="AB5" i="115" s="1"/>
  <c r="D26" i="29" s="1"/>
  <c r="X64" i="118"/>
  <c r="Q198" i="118"/>
  <c r="AP198" i="118"/>
  <c r="BL198" i="118"/>
  <c r="BR198" i="118" s="1"/>
  <c r="AT198" i="118"/>
  <c r="AK198" i="118"/>
  <c r="AL198" i="118" s="1"/>
  <c r="AM198" i="118"/>
  <c r="AI198" i="118"/>
  <c r="AJ198" i="118" s="1"/>
  <c r="BJ576" i="29"/>
  <c r="AB193" i="115"/>
  <c r="BK601" i="29" s="1"/>
  <c r="AB68" i="115"/>
  <c r="BK252" i="29" s="1"/>
  <c r="AX225" i="29"/>
  <c r="AS741" i="29"/>
  <c r="BI742" i="29"/>
  <c r="AS567" i="29"/>
  <c r="BI568" i="29"/>
  <c r="AB323" i="115"/>
  <c r="AQ576" i="29"/>
  <c r="BH576" i="29"/>
  <c r="T195" i="115"/>
  <c r="W195" i="115" s="1"/>
  <c r="X195" i="115" s="1"/>
  <c r="V195" i="115"/>
  <c r="AB257" i="115"/>
  <c r="AB319" i="115"/>
  <c r="AQ227" i="29"/>
  <c r="BH227" i="29"/>
  <c r="AB197" i="115"/>
  <c r="AD197" i="115"/>
  <c r="AE197" i="115" s="1"/>
  <c r="BJ218" i="29"/>
  <c r="AQ399" i="29"/>
  <c r="BH399" i="29"/>
  <c r="BK600" i="29"/>
  <c r="AA131" i="115"/>
  <c r="AU426" i="29" s="1"/>
  <c r="AE134" i="115"/>
  <c r="AB134" i="115"/>
  <c r="AQ923" i="29"/>
  <c r="BH923" i="29"/>
  <c r="AQ749" i="29"/>
  <c r="BH749" i="29"/>
  <c r="AA194" i="115"/>
  <c r="AB194" i="115" s="1"/>
  <c r="BJ749" i="29"/>
  <c r="AR218" i="29"/>
  <c r="BJ399" i="29"/>
  <c r="BK947" i="29"/>
  <c r="AS217" i="29"/>
  <c r="BI218" i="29"/>
  <c r="AS391" i="29"/>
  <c r="BI392" i="29"/>
  <c r="BJ923" i="29"/>
  <c r="AB130" i="115"/>
  <c r="BG217" i="29"/>
  <c r="BA217" i="29"/>
  <c r="BB216" i="29"/>
  <c r="BE217" i="29"/>
  <c r="BC217" i="29"/>
  <c r="BD215" i="29"/>
  <c r="AT214" i="29"/>
  <c r="BB574" i="29"/>
  <c r="AT573" i="29"/>
  <c r="BA399" i="29"/>
  <c r="AX399" i="29"/>
  <c r="BD399" i="29"/>
  <c r="AR399" i="29"/>
  <c r="BE399" i="29"/>
  <c r="AZ399" i="29"/>
  <c r="AY399" i="29"/>
  <c r="BF399" i="29"/>
  <c r="BG399" i="29"/>
  <c r="BC399" i="29"/>
  <c r="BB399" i="29"/>
  <c r="AN400" i="29"/>
  <c r="AT398" i="29"/>
  <c r="AT748" i="29"/>
  <c r="AR923" i="29"/>
  <c r="AY923" i="29"/>
  <c r="AN924" i="29"/>
  <c r="BA576" i="29"/>
  <c r="BD576" i="29"/>
  <c r="BF576" i="29"/>
  <c r="BC576" i="29"/>
  <c r="AX576" i="29"/>
  <c r="AR576" i="29"/>
  <c r="AZ576" i="29"/>
  <c r="AY576" i="29"/>
  <c r="BE576" i="29"/>
  <c r="BG576" i="29"/>
  <c r="AN577" i="29"/>
  <c r="AZ217" i="29"/>
  <c r="AZ749" i="29"/>
  <c r="BF749" i="29"/>
  <c r="BE749" i="29"/>
  <c r="AX749" i="29"/>
  <c r="AR749" i="29"/>
  <c r="BC749" i="29"/>
  <c r="BA749" i="29"/>
  <c r="AY749" i="29"/>
  <c r="BB749" i="29"/>
  <c r="BD749" i="29"/>
  <c r="BG749" i="29"/>
  <c r="AN750" i="29"/>
  <c r="AN228" i="29"/>
  <c r="AY227" i="29"/>
  <c r="AD323" i="115"/>
  <c r="AE323" i="115" s="1"/>
  <c r="AD134" i="115"/>
  <c r="V132" i="115"/>
  <c r="T132" i="115"/>
  <c r="W132" i="115" s="1"/>
  <c r="X132" i="115" s="1"/>
  <c r="T321" i="115"/>
  <c r="W321" i="115" s="1"/>
  <c r="X321" i="115" s="1"/>
  <c r="V321" i="115"/>
  <c r="AH755" i="29"/>
  <c r="AI755" i="29" s="1"/>
  <c r="AJ755" i="29" s="1"/>
  <c r="AG756" i="29" s="1"/>
  <c r="V70" i="115"/>
  <c r="T70" i="115"/>
  <c r="W70" i="115" s="1"/>
  <c r="X70" i="115" s="1"/>
  <c r="Y70" i="115" s="1"/>
  <c r="Z70" i="115" s="1"/>
  <c r="S71" i="115"/>
  <c r="U71" i="115"/>
  <c r="AC209" i="29"/>
  <c r="AK209" i="29" s="1"/>
  <c r="AD209" i="29"/>
  <c r="AH213" i="29"/>
  <c r="AG213" i="29"/>
  <c r="AH932" i="29"/>
  <c r="AI932" i="29" s="1"/>
  <c r="AJ932" i="29" s="1"/>
  <c r="AG933" i="29" s="1"/>
  <c r="AI579" i="29"/>
  <c r="AJ579" i="29" s="1"/>
  <c r="AG580" i="29" s="1"/>
  <c r="AH387" i="29"/>
  <c r="AE383" i="29"/>
  <c r="AF383" i="29" s="1"/>
  <c r="AA72" i="115" l="1"/>
  <c r="Z4" i="115" s="1"/>
  <c r="C27" i="29" s="1"/>
  <c r="AA261" i="115"/>
  <c r="Z7" i="115" s="1"/>
  <c r="F27" i="29" s="1"/>
  <c r="C43" i="29"/>
  <c r="BW63" i="29" s="1"/>
  <c r="F40" i="59" s="1"/>
  <c r="AB258" i="115"/>
  <c r="BK777" i="29" s="1"/>
  <c r="Y132" i="115"/>
  <c r="Z132" i="115" s="1"/>
  <c r="AA132" i="115" s="1"/>
  <c r="AU427" i="29" s="1"/>
  <c r="AB69" i="115"/>
  <c r="BK253" i="29" s="1"/>
  <c r="AC917" i="29"/>
  <c r="AD917" i="29"/>
  <c r="X600" i="118"/>
  <c r="AH464" i="118"/>
  <c r="AC464" i="118"/>
  <c r="AQ464" i="118"/>
  <c r="AW464" i="118"/>
  <c r="BF464" i="118" s="1"/>
  <c r="BO464" i="118"/>
  <c r="Z464" i="118"/>
  <c r="Y195" i="115"/>
  <c r="Z195" i="115" s="1"/>
  <c r="AA195" i="115" s="1"/>
  <c r="AB195" i="115" s="1"/>
  <c r="Y321" i="115"/>
  <c r="Z321" i="115" s="1"/>
  <c r="AA321" i="115" s="1"/>
  <c r="AU950" i="29" s="1"/>
  <c r="BF217" i="29"/>
  <c r="AC745" i="29"/>
  <c r="AD745" i="29"/>
  <c r="AD572" i="29"/>
  <c r="AC572" i="29"/>
  <c r="Y331" i="118"/>
  <c r="AH331" i="118" s="1"/>
  <c r="AA331" i="118"/>
  <c r="AB331" i="118" s="1"/>
  <c r="AO209" i="29"/>
  <c r="Y64" i="118"/>
  <c r="AC64" i="118" s="1"/>
  <c r="AA64" i="118"/>
  <c r="AB64" i="118" s="1"/>
  <c r="P199" i="118"/>
  <c r="N199" i="118"/>
  <c r="AZ198" i="118"/>
  <c r="BI198" i="118" s="1"/>
  <c r="BC198" i="118"/>
  <c r="BJ577" i="29"/>
  <c r="BJ750" i="29"/>
  <c r="AB131" i="115"/>
  <c r="BK426" i="29" s="1"/>
  <c r="AX226" i="29"/>
  <c r="BK425" i="29"/>
  <c r="AA70" i="115"/>
  <c r="AB70" i="115" s="1"/>
  <c r="AQ750" i="29"/>
  <c r="BH750" i="29"/>
  <c r="AQ924" i="29"/>
  <c r="BH924" i="29"/>
  <c r="BJ924" i="29"/>
  <c r="BJ400" i="29"/>
  <c r="AU602" i="29"/>
  <c r="BJ219" i="29"/>
  <c r="BK948" i="29"/>
  <c r="AB320" i="115"/>
  <c r="AS218" i="29"/>
  <c r="BI219" i="29"/>
  <c r="AQ577" i="29"/>
  <c r="BH577" i="29"/>
  <c r="AS392" i="29"/>
  <c r="BI393" i="29"/>
  <c r="AR219" i="29"/>
  <c r="BK602" i="29"/>
  <c r="BK776" i="29"/>
  <c r="AS568" i="29"/>
  <c r="BI569" i="29"/>
  <c r="AS742" i="29"/>
  <c r="BI743" i="29"/>
  <c r="AQ228" i="29"/>
  <c r="BH228" i="29"/>
  <c r="AQ400" i="29"/>
  <c r="BH400" i="29"/>
  <c r="BB217" i="29"/>
  <c r="BE218" i="29"/>
  <c r="BA218" i="29"/>
  <c r="BC218" i="29"/>
  <c r="BG218" i="29"/>
  <c r="BD216" i="29"/>
  <c r="AT215" i="29"/>
  <c r="AT399" i="29"/>
  <c r="AR924" i="29"/>
  <c r="AY924" i="29"/>
  <c r="AN925" i="29"/>
  <c r="BB575" i="29"/>
  <c r="AT574" i="29"/>
  <c r="AR750" i="29"/>
  <c r="BB750" i="29"/>
  <c r="BC750" i="29"/>
  <c r="AY750" i="29"/>
  <c r="BA750" i="29"/>
  <c r="BF750" i="29"/>
  <c r="BD750" i="29"/>
  <c r="AZ750" i="29"/>
  <c r="BE750" i="29"/>
  <c r="AX750" i="29"/>
  <c r="BG750" i="29"/>
  <c r="AN751" i="29"/>
  <c r="AT749" i="29"/>
  <c r="AZ218" i="29"/>
  <c r="BG400" i="29"/>
  <c r="BC400" i="29"/>
  <c r="BB400" i="29"/>
  <c r="BE400" i="29"/>
  <c r="AX400" i="29"/>
  <c r="AZ400" i="29"/>
  <c r="BF400" i="29"/>
  <c r="BD400" i="29"/>
  <c r="BA400" i="29"/>
  <c r="AY400" i="29"/>
  <c r="AR400" i="29"/>
  <c r="AN401" i="29"/>
  <c r="AN229" i="29"/>
  <c r="AY228" i="29"/>
  <c r="BF577" i="29"/>
  <c r="BE577" i="29"/>
  <c r="BC577" i="29"/>
  <c r="BD577" i="29"/>
  <c r="AY577" i="29"/>
  <c r="AR577" i="29"/>
  <c r="BG577" i="29"/>
  <c r="BA577" i="29"/>
  <c r="AZ577" i="29"/>
  <c r="AX577" i="29"/>
  <c r="AN578" i="29"/>
  <c r="AI213" i="29"/>
  <c r="AJ213" i="29" s="1"/>
  <c r="AG214" i="29" s="1"/>
  <c r="T71" i="115"/>
  <c r="W71" i="115" s="1"/>
  <c r="X71" i="115" s="1"/>
  <c r="Y71" i="115" s="1"/>
  <c r="Z71" i="115" s="1"/>
  <c r="V71" i="115"/>
  <c r="AD384" i="29"/>
  <c r="AC384" i="29"/>
  <c r="AK384" i="29" s="1"/>
  <c r="AO384" i="29" s="1"/>
  <c r="AH580" i="29"/>
  <c r="AI580" i="29" s="1"/>
  <c r="AJ580" i="29" s="1"/>
  <c r="AG581" i="29" s="1"/>
  <c r="AH756" i="29"/>
  <c r="AI756" i="29" s="1"/>
  <c r="AJ756" i="29" s="1"/>
  <c r="AG757" i="29" s="1"/>
  <c r="AH933" i="29"/>
  <c r="AI933" i="29" s="1"/>
  <c r="AJ933" i="29" s="1"/>
  <c r="AG934" i="29" s="1"/>
  <c r="AI387" i="29"/>
  <c r="AJ387" i="29" s="1"/>
  <c r="AG388" i="29" s="1"/>
  <c r="AE209" i="29"/>
  <c r="AF209" i="29" s="1"/>
  <c r="AA198" i="115" l="1"/>
  <c r="Z6" i="115" s="1"/>
  <c r="E27" i="29" s="1"/>
  <c r="C60" i="29"/>
  <c r="S55" i="29"/>
  <c r="AF55" i="29" s="1"/>
  <c r="AB72" i="115"/>
  <c r="AA4" i="115" s="1"/>
  <c r="C18" i="29" s="1"/>
  <c r="AA324" i="115"/>
  <c r="Z8" i="115" s="1"/>
  <c r="G27" i="29" s="1"/>
  <c r="AA135" i="115"/>
  <c r="Z5" i="115" s="1"/>
  <c r="D27" i="29" s="1"/>
  <c r="AU603" i="29"/>
  <c r="AB261" i="115"/>
  <c r="AA7" i="115" s="1"/>
  <c r="F18" i="29" s="1"/>
  <c r="F88" i="29" s="1"/>
  <c r="AB321" i="115"/>
  <c r="BK950" i="29" s="1"/>
  <c r="AB132" i="115"/>
  <c r="BK427" i="29" s="1"/>
  <c r="AA600" i="118"/>
  <c r="AB600" i="118" s="1"/>
  <c r="Y600" i="118"/>
  <c r="AD464" i="118"/>
  <c r="BP464" i="118"/>
  <c r="AX464" i="118"/>
  <c r="BG464" i="118" s="1"/>
  <c r="O464" i="118"/>
  <c r="AE917" i="29"/>
  <c r="AF917" i="29" s="1"/>
  <c r="AK917" i="29"/>
  <c r="AO917" i="29" s="1"/>
  <c r="BJ751" i="29"/>
  <c r="BF218" i="29"/>
  <c r="AE745" i="29"/>
  <c r="AF745" i="29" s="1"/>
  <c r="AK745" i="29"/>
  <c r="AO745" i="29" s="1"/>
  <c r="AK572" i="29"/>
  <c r="AO572" i="29" s="1"/>
  <c r="AE572" i="29"/>
  <c r="AF572" i="29" s="1"/>
  <c r="AC331" i="118"/>
  <c r="Z331" i="118"/>
  <c r="AQ331" i="118"/>
  <c r="BO331" i="118"/>
  <c r="AW331" i="118"/>
  <c r="BF331" i="118" s="1"/>
  <c r="AX64" i="118"/>
  <c r="BG64" i="118" s="1"/>
  <c r="BP64" i="118"/>
  <c r="AD64" i="118"/>
  <c r="O64" i="118"/>
  <c r="AE64" i="118" s="1"/>
  <c r="AF64" i="118" s="1"/>
  <c r="AH64" i="118"/>
  <c r="AW64" i="118"/>
  <c r="BF64" i="118" s="1"/>
  <c r="BO64" i="118"/>
  <c r="AQ64" i="118"/>
  <c r="Z64" i="118"/>
  <c r="X199" i="118"/>
  <c r="BJ578" i="29"/>
  <c r="BJ925" i="29"/>
  <c r="AX227" i="29"/>
  <c r="AS569" i="29"/>
  <c r="BI570" i="29"/>
  <c r="AS393" i="29"/>
  <c r="BI394" i="29"/>
  <c r="AQ401" i="29"/>
  <c r="BH401" i="29"/>
  <c r="BK603" i="29"/>
  <c r="AB198" i="115"/>
  <c r="AA6" i="115" s="1"/>
  <c r="E18" i="29" s="1"/>
  <c r="AQ925" i="29"/>
  <c r="BH925" i="29"/>
  <c r="AS743" i="29"/>
  <c r="BI744" i="29"/>
  <c r="BK949" i="29"/>
  <c r="AQ229" i="29"/>
  <c r="BH229" i="29"/>
  <c r="AQ751" i="29"/>
  <c r="BH751" i="29"/>
  <c r="BJ220" i="29"/>
  <c r="AA71" i="115"/>
  <c r="AB71" i="115" s="1"/>
  <c r="AQ578" i="29"/>
  <c r="BH578" i="29"/>
  <c r="AR220" i="29"/>
  <c r="AS219" i="29"/>
  <c r="BI220" i="29"/>
  <c r="BJ401" i="29"/>
  <c r="BC219" i="29"/>
  <c r="BE219" i="29"/>
  <c r="BG219" i="29"/>
  <c r="BA219" i="29"/>
  <c r="BB218" i="29"/>
  <c r="BD217" i="29"/>
  <c r="AT216" i="29"/>
  <c r="BB576" i="29"/>
  <c r="AT575" i="29"/>
  <c r="BG578" i="29"/>
  <c r="AX578" i="29"/>
  <c r="BA578" i="29"/>
  <c r="AY578" i="29"/>
  <c r="AZ578" i="29"/>
  <c r="BC578" i="29"/>
  <c r="AR578" i="29"/>
  <c r="BD578" i="29"/>
  <c r="BE578" i="29"/>
  <c r="BF578" i="29"/>
  <c r="AN579" i="29"/>
  <c r="BA401" i="29"/>
  <c r="AY401" i="29"/>
  <c r="AX401" i="29"/>
  <c r="BE401" i="29"/>
  <c r="BC401" i="29"/>
  <c r="AZ401" i="29"/>
  <c r="BB401" i="29"/>
  <c r="AR401" i="29"/>
  <c r="BD401" i="29"/>
  <c r="BF401" i="29"/>
  <c r="BG401" i="29"/>
  <c r="AN402" i="29"/>
  <c r="AZ219" i="29"/>
  <c r="AR925" i="29"/>
  <c r="AY925" i="29"/>
  <c r="AN926" i="29"/>
  <c r="AN230" i="29"/>
  <c r="AY229" i="29"/>
  <c r="AT400" i="29"/>
  <c r="BB751" i="29"/>
  <c r="AZ751" i="29"/>
  <c r="AY751" i="29"/>
  <c r="BA751" i="29"/>
  <c r="BF751" i="29"/>
  <c r="BD751" i="29"/>
  <c r="AX751" i="29"/>
  <c r="BG751" i="29"/>
  <c r="BC751" i="29"/>
  <c r="BE751" i="29"/>
  <c r="AR751" i="29"/>
  <c r="AN752" i="29"/>
  <c r="AT750" i="29"/>
  <c r="AH214" i="29"/>
  <c r="AI214" i="29" s="1"/>
  <c r="AJ214" i="29" s="1"/>
  <c r="AG215" i="29" s="1"/>
  <c r="AD210" i="29"/>
  <c r="AC210" i="29"/>
  <c r="AK210" i="29" s="1"/>
  <c r="AO210" i="29" s="1"/>
  <c r="AH388" i="29"/>
  <c r="AI388" i="29" s="1"/>
  <c r="AJ388" i="29" s="1"/>
  <c r="AG389" i="29" s="1"/>
  <c r="AH934" i="29"/>
  <c r="AI934" i="29" s="1"/>
  <c r="AJ934" i="29" s="1"/>
  <c r="AG935" i="29" s="1"/>
  <c r="AH757" i="29"/>
  <c r="AI757" i="29" s="1"/>
  <c r="AJ757" i="29" s="1"/>
  <c r="AG758" i="29" s="1"/>
  <c r="AH581" i="29"/>
  <c r="AE384" i="29"/>
  <c r="AF384" i="29" s="1"/>
  <c r="BQ57" i="29" l="1"/>
  <c r="AB135" i="115"/>
  <c r="AA5" i="115" s="1"/>
  <c r="D18" i="29" s="1"/>
  <c r="AB324" i="115"/>
  <c r="AA8" i="115" s="1"/>
  <c r="AD918" i="29"/>
  <c r="AC918" i="29"/>
  <c r="Q464" i="118"/>
  <c r="AP464" i="118"/>
  <c r="AT464" i="118"/>
  <c r="AK464" i="118"/>
  <c r="AL464" i="118" s="1"/>
  <c r="BL464" i="118"/>
  <c r="BR464" i="118" s="1"/>
  <c r="AI464" i="118"/>
  <c r="AJ464" i="118" s="1"/>
  <c r="AM464" i="118"/>
  <c r="AE464" i="118"/>
  <c r="AF464" i="118" s="1"/>
  <c r="AC600" i="118"/>
  <c r="BO600" i="118"/>
  <c r="AW600" i="118"/>
  <c r="BF600" i="118" s="1"/>
  <c r="AQ600" i="118"/>
  <c r="AH600" i="118"/>
  <c r="Z600" i="118"/>
  <c r="C44" i="29"/>
  <c r="BW64" i="29" s="1"/>
  <c r="F41" i="59" s="1"/>
  <c r="BF219" i="29"/>
  <c r="AD746" i="29"/>
  <c r="AC746" i="29"/>
  <c r="AC573" i="29"/>
  <c r="AD573" i="29"/>
  <c r="BJ926" i="29"/>
  <c r="AX331" i="118"/>
  <c r="BG331" i="118" s="1"/>
  <c r="BP331" i="118"/>
  <c r="AD331" i="118"/>
  <c r="O331" i="118"/>
  <c r="BJ579" i="29"/>
  <c r="AT64" i="118"/>
  <c r="AP64" i="118"/>
  <c r="BL64" i="118"/>
  <c r="BR64" i="118" s="1"/>
  <c r="Q64" i="118"/>
  <c r="AK64" i="118"/>
  <c r="AL64" i="118" s="1"/>
  <c r="AM64" i="118"/>
  <c r="AI64" i="118"/>
  <c r="AJ64" i="118" s="1"/>
  <c r="Y199" i="118"/>
  <c r="AC199" i="118" s="1"/>
  <c r="AA199" i="118"/>
  <c r="AB199" i="118" s="1"/>
  <c r="BJ402" i="29"/>
  <c r="AX228" i="29"/>
  <c r="BJ221" i="29"/>
  <c r="AS570" i="29"/>
  <c r="BI571" i="29"/>
  <c r="AS220" i="29"/>
  <c r="BI221" i="29"/>
  <c r="AR221" i="29"/>
  <c r="AQ230" i="29"/>
  <c r="BH230" i="29"/>
  <c r="AS744" i="29"/>
  <c r="BI745" i="29"/>
  <c r="AS394" i="29"/>
  <c r="BI395" i="29"/>
  <c r="AQ752" i="29"/>
  <c r="BH752" i="29"/>
  <c r="AQ926" i="29"/>
  <c r="BH926" i="29"/>
  <c r="AQ402" i="29"/>
  <c r="BH402" i="29"/>
  <c r="AQ579" i="29"/>
  <c r="BH579" i="29"/>
  <c r="BJ752" i="29"/>
  <c r="BB219" i="29"/>
  <c r="BG220" i="29"/>
  <c r="BE220" i="29"/>
  <c r="BA220" i="29"/>
  <c r="BC220" i="29"/>
  <c r="BD218" i="29"/>
  <c r="AT217" i="29"/>
  <c r="AT576" i="29"/>
  <c r="BB577" i="29"/>
  <c r="AT751" i="29"/>
  <c r="AT401" i="29"/>
  <c r="BA579" i="29"/>
  <c r="AZ579" i="29"/>
  <c r="AX579" i="29"/>
  <c r="AY579" i="29"/>
  <c r="BC579" i="29"/>
  <c r="BE579" i="29"/>
  <c r="BF579" i="29"/>
  <c r="AR579" i="29"/>
  <c r="BG579" i="29"/>
  <c r="BD579" i="29"/>
  <c r="AN580" i="29"/>
  <c r="AY752" i="29"/>
  <c r="AX752" i="29"/>
  <c r="BB752" i="29"/>
  <c r="BA752" i="29"/>
  <c r="BD752" i="29"/>
  <c r="BF752" i="29"/>
  <c r="AR752" i="29"/>
  <c r="BG752" i="29"/>
  <c r="AZ752" i="29"/>
  <c r="BC752" i="29"/>
  <c r="BE752" i="29"/>
  <c r="AN753" i="29"/>
  <c r="AN231" i="29"/>
  <c r="AY230" i="29"/>
  <c r="AZ220" i="29"/>
  <c r="AY926" i="29"/>
  <c r="AR926" i="29"/>
  <c r="AN927" i="29"/>
  <c r="AX402" i="29"/>
  <c r="AZ402" i="29"/>
  <c r="AY402" i="29"/>
  <c r="BF402" i="29"/>
  <c r="BA402" i="29"/>
  <c r="BD402" i="29"/>
  <c r="BE402" i="29"/>
  <c r="AR402" i="29"/>
  <c r="BC402" i="29"/>
  <c r="BB402" i="29"/>
  <c r="BG402" i="29"/>
  <c r="AN403" i="29"/>
  <c r="AH215" i="29"/>
  <c r="AI215" i="29" s="1"/>
  <c r="AJ215" i="29" s="1"/>
  <c r="AG216" i="29" s="1"/>
  <c r="AC385" i="29"/>
  <c r="AK385" i="29" s="1"/>
  <c r="AO385" i="29" s="1"/>
  <c r="AD385" i="29"/>
  <c r="AH758" i="29"/>
  <c r="AI758" i="29" s="1"/>
  <c r="AJ758" i="29" s="1"/>
  <c r="AG759" i="29" s="1"/>
  <c r="AH389" i="29"/>
  <c r="AI389" i="29" s="1"/>
  <c r="AJ389" i="29" s="1"/>
  <c r="AG390" i="29" s="1"/>
  <c r="AH935" i="29"/>
  <c r="AI581" i="29"/>
  <c r="AJ581" i="29" s="1"/>
  <c r="AG582" i="29" s="1"/>
  <c r="AE210" i="29"/>
  <c r="AF210" i="29" s="1"/>
  <c r="C61" i="29" l="1"/>
  <c r="T55" i="29"/>
  <c r="AG55" i="29" s="1"/>
  <c r="AX600" i="118"/>
  <c r="BG600" i="118" s="1"/>
  <c r="BP600" i="118"/>
  <c r="O600" i="118"/>
  <c r="AD600" i="118"/>
  <c r="P465" i="118"/>
  <c r="N465" i="118"/>
  <c r="AE918" i="29"/>
  <c r="AF918" i="29" s="1"/>
  <c r="AK918" i="29"/>
  <c r="AO918" i="29" s="1"/>
  <c r="AZ464" i="118"/>
  <c r="BI464" i="118" s="1"/>
  <c r="BC464" i="118"/>
  <c r="BF220" i="29"/>
  <c r="BJ927" i="29"/>
  <c r="AK746" i="29"/>
  <c r="AO746" i="29" s="1"/>
  <c r="AE746" i="29"/>
  <c r="AF746" i="29" s="1"/>
  <c r="BJ580" i="29"/>
  <c r="AE573" i="29"/>
  <c r="AF573" i="29" s="1"/>
  <c r="AK573" i="29"/>
  <c r="AO573" i="29" s="1"/>
  <c r="AE331" i="118"/>
  <c r="AF331" i="118" s="1"/>
  <c r="AK331" i="118"/>
  <c r="AL331" i="118" s="1"/>
  <c r="BL331" i="118"/>
  <c r="BR331" i="118" s="1"/>
  <c r="AP331" i="118"/>
  <c r="Q331" i="118"/>
  <c r="AT331" i="118"/>
  <c r="AM331" i="118"/>
  <c r="AI331" i="118"/>
  <c r="AJ331" i="118" s="1"/>
  <c r="P65" i="118"/>
  <c r="N65" i="118"/>
  <c r="AZ64" i="118"/>
  <c r="BI64" i="118" s="1"/>
  <c r="BC64" i="118"/>
  <c r="AD199" i="118"/>
  <c r="BP199" i="118"/>
  <c r="AX199" i="118"/>
  <c r="BG199" i="118" s="1"/>
  <c r="O199" i="118"/>
  <c r="AH199" i="118"/>
  <c r="AW199" i="118"/>
  <c r="BF199" i="118" s="1"/>
  <c r="BO199" i="118"/>
  <c r="AQ199" i="118"/>
  <c r="Z199" i="118"/>
  <c r="BJ403" i="29"/>
  <c r="AX229" i="29"/>
  <c r="AQ231" i="29"/>
  <c r="BH231" i="29"/>
  <c r="AS395" i="29"/>
  <c r="BI396" i="29"/>
  <c r="AQ753" i="29"/>
  <c r="BH753" i="29"/>
  <c r="AQ580" i="29"/>
  <c r="BH580" i="29"/>
  <c r="BJ753" i="29"/>
  <c r="AS571" i="29"/>
  <c r="BI572" i="29"/>
  <c r="AS745" i="29"/>
  <c r="BI746" i="29"/>
  <c r="AS221" i="29"/>
  <c r="BI222" i="29"/>
  <c r="AQ403" i="29"/>
  <c r="BH403" i="29"/>
  <c r="AQ927" i="29"/>
  <c r="BH927" i="29"/>
  <c r="AR222" i="29"/>
  <c r="BJ222" i="29"/>
  <c r="BA221" i="29"/>
  <c r="BG221" i="29"/>
  <c r="BC221" i="29"/>
  <c r="BE221" i="29"/>
  <c r="BB220" i="29"/>
  <c r="BD219" i="29"/>
  <c r="AT218" i="29"/>
  <c r="AT402" i="29"/>
  <c r="AN232" i="29"/>
  <c r="AY231" i="29"/>
  <c r="BE403" i="29"/>
  <c r="AX403" i="29"/>
  <c r="BB403" i="29"/>
  <c r="AR403" i="29"/>
  <c r="AY403" i="29"/>
  <c r="AZ403" i="29"/>
  <c r="BG403" i="29"/>
  <c r="BA403" i="29"/>
  <c r="BD403" i="29"/>
  <c r="BC403" i="29"/>
  <c r="BF403" i="29"/>
  <c r="AN404" i="29"/>
  <c r="AZ221" i="29"/>
  <c r="AT752" i="29"/>
  <c r="BF580" i="29"/>
  <c r="BE580" i="29"/>
  <c r="AZ580" i="29"/>
  <c r="BC580" i="29"/>
  <c r="AR580" i="29"/>
  <c r="BA580" i="29"/>
  <c r="BG580" i="29"/>
  <c r="AX580" i="29"/>
  <c r="AY580" i="29"/>
  <c r="BD580" i="29"/>
  <c r="AN581" i="29"/>
  <c r="AZ753" i="29"/>
  <c r="BE753" i="29"/>
  <c r="BA753" i="29"/>
  <c r="AR753" i="29"/>
  <c r="BG753" i="29"/>
  <c r="AY753" i="29"/>
  <c r="BB753" i="29"/>
  <c r="BF753" i="29"/>
  <c r="AX753" i="29"/>
  <c r="BD753" i="29"/>
  <c r="BC753" i="29"/>
  <c r="AN754" i="29"/>
  <c r="AY927" i="29"/>
  <c r="AR927" i="29"/>
  <c r="AN928" i="29"/>
  <c r="AT577" i="29"/>
  <c r="BB578" i="29"/>
  <c r="AH216" i="29"/>
  <c r="AI216" i="29" s="1"/>
  <c r="AJ216" i="29" s="1"/>
  <c r="AC211" i="29"/>
  <c r="AK211" i="29" s="1"/>
  <c r="AO211" i="29" s="1"/>
  <c r="AD211" i="29"/>
  <c r="AI935" i="29"/>
  <c r="AJ935" i="29" s="1"/>
  <c r="AG936" i="29" s="1"/>
  <c r="AH759" i="29"/>
  <c r="AI759" i="29" s="1"/>
  <c r="AJ759" i="29" s="1"/>
  <c r="AG760" i="29" s="1"/>
  <c r="AH582" i="29"/>
  <c r="AH390" i="29"/>
  <c r="AE385" i="29"/>
  <c r="AF385" i="29" s="1"/>
  <c r="BR57" i="29" l="1"/>
  <c r="AD919" i="29"/>
  <c r="AC919" i="29"/>
  <c r="AM600" i="118"/>
  <c r="AK600" i="118"/>
  <c r="AL600" i="118" s="1"/>
  <c r="BL600" i="118"/>
  <c r="BR600" i="118" s="1"/>
  <c r="AP600" i="118"/>
  <c r="AI600" i="118"/>
  <c r="AJ600" i="118" s="1"/>
  <c r="AT600" i="118"/>
  <c r="Q600" i="118"/>
  <c r="AE600" i="118"/>
  <c r="AF600" i="118" s="1"/>
  <c r="X465" i="118"/>
  <c r="BF221" i="29"/>
  <c r="AC747" i="29"/>
  <c r="AD747" i="29"/>
  <c r="AD574" i="29"/>
  <c r="AC574" i="29"/>
  <c r="AZ331" i="118"/>
  <c r="BI331" i="118" s="1"/>
  <c r="BC331" i="118"/>
  <c r="N332" i="118"/>
  <c r="P332" i="118"/>
  <c r="X65" i="118"/>
  <c r="Q199" i="118"/>
  <c r="AK199" i="118"/>
  <c r="AL199" i="118" s="1"/>
  <c r="AP199" i="118"/>
  <c r="BL199" i="118"/>
  <c r="BR199" i="118" s="1"/>
  <c r="AT199" i="118"/>
  <c r="AI199" i="118"/>
  <c r="AJ199" i="118" s="1"/>
  <c r="AM199" i="118"/>
  <c r="AE199" i="118"/>
  <c r="AF199" i="118" s="1"/>
  <c r="AX230" i="29"/>
  <c r="AS572" i="29"/>
  <c r="BI573" i="29"/>
  <c r="AQ928" i="29"/>
  <c r="BH928" i="29"/>
  <c r="AQ754" i="29"/>
  <c r="BH754" i="29"/>
  <c r="AQ404" i="29"/>
  <c r="BH404" i="29"/>
  <c r="AR223" i="29"/>
  <c r="AS222" i="29"/>
  <c r="BI223" i="29"/>
  <c r="AS396" i="29"/>
  <c r="BI397" i="29"/>
  <c r="BJ404" i="29"/>
  <c r="AQ232" i="29"/>
  <c r="BH232" i="29"/>
  <c r="BJ754" i="29"/>
  <c r="BJ928" i="29"/>
  <c r="BJ223" i="29"/>
  <c r="AS746" i="29"/>
  <c r="BI747" i="29"/>
  <c r="AQ581" i="29"/>
  <c r="BH581" i="29"/>
  <c r="BJ581" i="29"/>
  <c r="BA222" i="29"/>
  <c r="BE222" i="29"/>
  <c r="BG222" i="29"/>
  <c r="BB221" i="29"/>
  <c r="BC222" i="29"/>
  <c r="BD220" i="29"/>
  <c r="AT219" i="29"/>
  <c r="AZ404" i="29"/>
  <c r="BC404" i="29"/>
  <c r="BE404" i="29"/>
  <c r="AX404" i="29"/>
  <c r="BF404" i="29"/>
  <c r="BG404" i="29"/>
  <c r="BA404" i="29"/>
  <c r="BB404" i="29"/>
  <c r="AY404" i="29"/>
  <c r="BD404" i="29"/>
  <c r="AR404" i="29"/>
  <c r="AN405" i="29"/>
  <c r="BE581" i="29"/>
  <c r="AY581" i="29"/>
  <c r="AX581" i="29"/>
  <c r="AZ581" i="29"/>
  <c r="BF581" i="29"/>
  <c r="BA581" i="29"/>
  <c r="BG581" i="29"/>
  <c r="BD581" i="29"/>
  <c r="BC581" i="29"/>
  <c r="AR581" i="29"/>
  <c r="AN582" i="29"/>
  <c r="BB579" i="29"/>
  <c r="AT578" i="29"/>
  <c r="AZ222" i="29"/>
  <c r="AT403" i="29"/>
  <c r="AN233" i="29"/>
  <c r="AY232" i="29"/>
  <c r="AR928" i="29"/>
  <c r="AY928" i="29"/>
  <c r="AN929" i="29"/>
  <c r="BA754" i="29"/>
  <c r="AX754" i="29"/>
  <c r="BB754" i="29"/>
  <c r="BG754" i="29"/>
  <c r="BE754" i="29"/>
  <c r="AZ754" i="29"/>
  <c r="BD754" i="29"/>
  <c r="AR754" i="29"/>
  <c r="AY754" i="29"/>
  <c r="BF754" i="29"/>
  <c r="BC754" i="29"/>
  <c r="AN755" i="29"/>
  <c r="AT753" i="29"/>
  <c r="AG217" i="29"/>
  <c r="AH217" i="29"/>
  <c r="AD386" i="29"/>
  <c r="AC386" i="29"/>
  <c r="AK386" i="29" s="1"/>
  <c r="AO386" i="29" s="1"/>
  <c r="AH936" i="29"/>
  <c r="AH760" i="29"/>
  <c r="AI582" i="29"/>
  <c r="AJ582" i="29" s="1"/>
  <c r="AG583" i="29" s="1"/>
  <c r="AI390" i="29"/>
  <c r="AJ390" i="29" s="1"/>
  <c r="AG391" i="29" s="1"/>
  <c r="AE211" i="29"/>
  <c r="AF211" i="29" s="1"/>
  <c r="AZ600" i="118" l="1"/>
  <c r="BI600" i="118" s="1"/>
  <c r="BC600" i="118"/>
  <c r="Y465" i="118"/>
  <c r="AC465" i="118" s="1"/>
  <c r="AA465" i="118"/>
  <c r="AB465" i="118" s="1"/>
  <c r="AE919" i="29"/>
  <c r="AF919" i="29" s="1"/>
  <c r="AK919" i="29"/>
  <c r="AO919" i="29" s="1"/>
  <c r="N601" i="118"/>
  <c r="P601" i="118"/>
  <c r="BF222" i="29"/>
  <c r="AE747" i="29"/>
  <c r="AF747" i="29" s="1"/>
  <c r="AK747" i="29"/>
  <c r="AO747" i="29" s="1"/>
  <c r="AK574" i="29"/>
  <c r="AO574" i="29" s="1"/>
  <c r="AE574" i="29"/>
  <c r="AF574" i="29" s="1"/>
  <c r="X332" i="118"/>
  <c r="Y65" i="118"/>
  <c r="AH65" i="118" s="1"/>
  <c r="AA65" i="118"/>
  <c r="AB65" i="118" s="1"/>
  <c r="AZ199" i="118"/>
  <c r="BI199" i="118" s="1"/>
  <c r="BC199" i="118"/>
  <c r="P200" i="118"/>
  <c r="N200" i="118"/>
  <c r="AX231" i="29"/>
  <c r="BJ224" i="29"/>
  <c r="AQ755" i="29"/>
  <c r="BH755" i="29"/>
  <c r="AS747" i="29"/>
  <c r="BI748" i="29"/>
  <c r="BJ929" i="29"/>
  <c r="BJ405" i="29"/>
  <c r="AQ582" i="29"/>
  <c r="BH582" i="29"/>
  <c r="AS223" i="29"/>
  <c r="BI224" i="29"/>
  <c r="AQ929" i="29"/>
  <c r="BH929" i="29"/>
  <c r="BJ755" i="29"/>
  <c r="AS397" i="29"/>
  <c r="BI398" i="29"/>
  <c r="AS573" i="29"/>
  <c r="BI574" i="29"/>
  <c r="AR224" i="29"/>
  <c r="AQ233" i="29"/>
  <c r="BH233" i="29"/>
  <c r="AQ405" i="29"/>
  <c r="BH405" i="29"/>
  <c r="BJ582" i="29"/>
  <c r="BA223" i="29"/>
  <c r="BC223" i="29"/>
  <c r="BG223" i="29"/>
  <c r="BE223" i="29"/>
  <c r="BB222" i="29"/>
  <c r="BD221" i="29"/>
  <c r="AT220" i="29"/>
  <c r="AY929" i="29"/>
  <c r="AR929" i="29"/>
  <c r="AN930" i="29"/>
  <c r="AN234" i="29"/>
  <c r="AY233" i="29"/>
  <c r="AT754" i="29"/>
  <c r="AT579" i="29"/>
  <c r="BB580" i="29"/>
  <c r="BD405" i="29"/>
  <c r="BF405" i="29"/>
  <c r="BG405" i="29"/>
  <c r="AY405" i="29"/>
  <c r="BE405" i="29"/>
  <c r="AZ405" i="29"/>
  <c r="BA405" i="29"/>
  <c r="BC405" i="29"/>
  <c r="BB405" i="29"/>
  <c r="AX405" i="29"/>
  <c r="AR405" i="29"/>
  <c r="AN406" i="29"/>
  <c r="AT404" i="29"/>
  <c r="AZ223" i="29"/>
  <c r="BC755" i="29"/>
  <c r="BB755" i="29"/>
  <c r="AX755" i="29"/>
  <c r="AY755" i="29"/>
  <c r="BF755" i="29"/>
  <c r="BE755" i="29"/>
  <c r="BD755" i="29"/>
  <c r="AZ755" i="29"/>
  <c r="BA755" i="29"/>
  <c r="BG755" i="29"/>
  <c r="AR755" i="29"/>
  <c r="AN756" i="29"/>
  <c r="BF582" i="29"/>
  <c r="BG582" i="29"/>
  <c r="BC582" i="29"/>
  <c r="BA582" i="29"/>
  <c r="BD582" i="29"/>
  <c r="AY582" i="29"/>
  <c r="AX582" i="29"/>
  <c r="AZ582" i="29"/>
  <c r="AR582" i="29"/>
  <c r="BE582" i="29"/>
  <c r="AN583" i="29"/>
  <c r="AI217" i="29"/>
  <c r="AJ217" i="29" s="1"/>
  <c r="AG218" i="29" s="1"/>
  <c r="AD212" i="29"/>
  <c r="AC212" i="29"/>
  <c r="AK212" i="29" s="1"/>
  <c r="AO212" i="29" s="1"/>
  <c r="AI936" i="29"/>
  <c r="AJ936" i="29" s="1"/>
  <c r="AG937" i="29" s="1"/>
  <c r="AI760" i="29"/>
  <c r="AJ760" i="29" s="1"/>
  <c r="AG761" i="29" s="1"/>
  <c r="AH583" i="29"/>
  <c r="AH391" i="29"/>
  <c r="AE386" i="29"/>
  <c r="AF386" i="29" s="1"/>
  <c r="X601" i="118" l="1"/>
  <c r="Y601" i="118" s="1"/>
  <c r="BP465" i="118"/>
  <c r="AX465" i="118"/>
  <c r="BG465" i="118" s="1"/>
  <c r="AD465" i="118"/>
  <c r="O465" i="118"/>
  <c r="AE465" i="118" s="1"/>
  <c r="AF465" i="118" s="1"/>
  <c r="AH465" i="118"/>
  <c r="BO465" i="118"/>
  <c r="AW465" i="118"/>
  <c r="BF465" i="118" s="1"/>
  <c r="AQ465" i="118"/>
  <c r="Z465" i="118"/>
  <c r="AC920" i="29"/>
  <c r="AD920" i="29"/>
  <c r="BF223" i="29"/>
  <c r="AC748" i="29"/>
  <c r="AD748" i="29"/>
  <c r="AD575" i="29"/>
  <c r="AC575" i="29"/>
  <c r="Y332" i="118"/>
  <c r="AC332" i="118" s="1"/>
  <c r="AA332" i="118"/>
  <c r="AB332" i="118" s="1"/>
  <c r="AC65" i="118"/>
  <c r="AQ65" i="118"/>
  <c r="AW65" i="118"/>
  <c r="BF65" i="118" s="1"/>
  <c r="BO65" i="118"/>
  <c r="Z65" i="118"/>
  <c r="X200" i="118"/>
  <c r="AX232" i="29"/>
  <c r="BJ930" i="29"/>
  <c r="AQ406" i="29"/>
  <c r="BH406" i="29"/>
  <c r="AS574" i="29"/>
  <c r="BI575" i="29"/>
  <c r="BJ756" i="29"/>
  <c r="AS224" i="29"/>
  <c r="BI225" i="29"/>
  <c r="AS748" i="29"/>
  <c r="BI749" i="29"/>
  <c r="BJ225" i="29"/>
  <c r="AQ583" i="29"/>
  <c r="BH583" i="29"/>
  <c r="AQ234" i="29"/>
  <c r="BH234" i="29"/>
  <c r="AQ930" i="29"/>
  <c r="BH930" i="29"/>
  <c r="AQ756" i="29"/>
  <c r="BH756" i="29"/>
  <c r="BJ583" i="29"/>
  <c r="AR225" i="29"/>
  <c r="AS398" i="29"/>
  <c r="BI399" i="29"/>
  <c r="BJ406" i="29"/>
  <c r="BE224" i="29"/>
  <c r="BC224" i="29"/>
  <c r="BA224" i="29"/>
  <c r="BB223" i="29"/>
  <c r="BG224" i="29"/>
  <c r="BD222" i="29"/>
  <c r="AT221" i="29"/>
  <c r="AZ756" i="29"/>
  <c r="AX756" i="29"/>
  <c r="BC756" i="29"/>
  <c r="AY756" i="29"/>
  <c r="BB756" i="29"/>
  <c r="BF756" i="29"/>
  <c r="BE756" i="29"/>
  <c r="AR756" i="29"/>
  <c r="BA756" i="29"/>
  <c r="BD756" i="29"/>
  <c r="BG756" i="29"/>
  <c r="AN757" i="29"/>
  <c r="AT755" i="29"/>
  <c r="AZ224" i="29"/>
  <c r="BB581" i="29"/>
  <c r="AT580" i="29"/>
  <c r="AN235" i="29"/>
  <c r="AY234" i="29"/>
  <c r="AR930" i="29"/>
  <c r="AY930" i="29"/>
  <c r="AN931" i="29"/>
  <c r="BE583" i="29"/>
  <c r="BF583" i="29"/>
  <c r="AZ583" i="29"/>
  <c r="BC583" i="29"/>
  <c r="AX583" i="29"/>
  <c r="BG583" i="29"/>
  <c r="BA583" i="29"/>
  <c r="BD583" i="29"/>
  <c r="AR583" i="29"/>
  <c r="AY583" i="29"/>
  <c r="AN584" i="29"/>
  <c r="AT405" i="29"/>
  <c r="BB406" i="29"/>
  <c r="BA406" i="29"/>
  <c r="BD406" i="29"/>
  <c r="BF406" i="29"/>
  <c r="AZ406" i="29"/>
  <c r="AX406" i="29"/>
  <c r="AR406" i="29"/>
  <c r="AY406" i="29"/>
  <c r="BG406" i="29"/>
  <c r="BE406" i="29"/>
  <c r="BC406" i="29"/>
  <c r="AN407" i="29"/>
  <c r="AH218" i="29"/>
  <c r="AI218" i="29" s="1"/>
  <c r="AJ218" i="29" s="1"/>
  <c r="AG219" i="29" s="1"/>
  <c r="AH937" i="29"/>
  <c r="AI937" i="29" s="1"/>
  <c r="AJ937" i="29" s="1"/>
  <c r="AG938" i="29" s="1"/>
  <c r="AC387" i="29"/>
  <c r="AK387" i="29" s="1"/>
  <c r="AO387" i="29" s="1"/>
  <c r="AD387" i="29"/>
  <c r="AI391" i="29"/>
  <c r="AJ391" i="29" s="1"/>
  <c r="AG392" i="29" s="1"/>
  <c r="AH761" i="29"/>
  <c r="AI583" i="29"/>
  <c r="AJ583" i="29" s="1"/>
  <c r="AG584" i="29" s="1"/>
  <c r="AE212" i="29"/>
  <c r="AF212" i="29" s="1"/>
  <c r="AA601" i="118" l="1"/>
  <c r="AB601" i="118" s="1"/>
  <c r="AI465" i="118"/>
  <c r="AJ465" i="118" s="1"/>
  <c r="AK465" i="118"/>
  <c r="AL465" i="118" s="1"/>
  <c r="Q465" i="118"/>
  <c r="BL465" i="118"/>
  <c r="BR465" i="118" s="1"/>
  <c r="AP465" i="118"/>
  <c r="AT465" i="118"/>
  <c r="AK920" i="29"/>
  <c r="AO920" i="29" s="1"/>
  <c r="AE920" i="29"/>
  <c r="AF920" i="29" s="1"/>
  <c r="AH601" i="118"/>
  <c r="AW601" i="118"/>
  <c r="BF601" i="118" s="1"/>
  <c r="AQ601" i="118"/>
  <c r="AC601" i="118"/>
  <c r="Z601" i="118"/>
  <c r="BO601" i="118"/>
  <c r="AM465" i="118"/>
  <c r="BF224" i="29"/>
  <c r="AK748" i="29"/>
  <c r="AO748" i="29" s="1"/>
  <c r="AE748" i="29"/>
  <c r="AF748" i="29" s="1"/>
  <c r="AE575" i="29"/>
  <c r="AF575" i="29" s="1"/>
  <c r="AK575" i="29"/>
  <c r="AO575" i="29" s="1"/>
  <c r="O332" i="118"/>
  <c r="AE332" i="118" s="1"/>
  <c r="AF332" i="118" s="1"/>
  <c r="AD332" i="118"/>
  <c r="AX332" i="118"/>
  <c r="BG332" i="118" s="1"/>
  <c r="BP332" i="118"/>
  <c r="AH332" i="118"/>
  <c r="BO332" i="118"/>
  <c r="AQ332" i="118"/>
  <c r="AW332" i="118"/>
  <c r="BF332" i="118" s="1"/>
  <c r="Z332" i="118"/>
  <c r="O65" i="118"/>
  <c r="AX65" i="118"/>
  <c r="BG65" i="118" s="1"/>
  <c r="AD65" i="118"/>
  <c r="BP65" i="118"/>
  <c r="Y200" i="118"/>
  <c r="AH200" i="118" s="1"/>
  <c r="AA200" i="118"/>
  <c r="AB200" i="118" s="1"/>
  <c r="AX233" i="29"/>
  <c r="AQ235" i="29"/>
  <c r="BH235" i="29"/>
  <c r="BJ584" i="29"/>
  <c r="AQ757" i="29"/>
  <c r="BH757" i="29"/>
  <c r="BJ757" i="29"/>
  <c r="AQ584" i="29"/>
  <c r="BH584" i="29"/>
  <c r="AS399" i="29"/>
  <c r="BI400" i="29"/>
  <c r="AS749" i="29"/>
  <c r="BI750" i="29"/>
  <c r="AQ407" i="29"/>
  <c r="BH407" i="29"/>
  <c r="AS225" i="29"/>
  <c r="BI226" i="29"/>
  <c r="AS575" i="29"/>
  <c r="BI576" i="29"/>
  <c r="AQ931" i="29"/>
  <c r="BH931" i="29"/>
  <c r="BJ407" i="29"/>
  <c r="AR226" i="29"/>
  <c r="BJ226" i="29"/>
  <c r="BJ931" i="29"/>
  <c r="BG225" i="29"/>
  <c r="BE225" i="29"/>
  <c r="BA225" i="29"/>
  <c r="BB224" i="29"/>
  <c r="BC225" i="29"/>
  <c r="BD223" i="29"/>
  <c r="AT222" i="29"/>
  <c r="AT756" i="29"/>
  <c r="BB582" i="29"/>
  <c r="AT581" i="29"/>
  <c r="BA757" i="29"/>
  <c r="BC757" i="29"/>
  <c r="BB757" i="29"/>
  <c r="BE757" i="29"/>
  <c r="AR757" i="29"/>
  <c r="BG757" i="29"/>
  <c r="BF757" i="29"/>
  <c r="AY757" i="29"/>
  <c r="AX757" i="29"/>
  <c r="AZ757" i="29"/>
  <c r="BD757" i="29"/>
  <c r="AN758" i="29"/>
  <c r="AT406" i="29"/>
  <c r="AY931" i="29"/>
  <c r="AR931" i="29"/>
  <c r="AN932" i="29"/>
  <c r="AN236" i="29"/>
  <c r="AY235" i="29"/>
  <c r="AZ225" i="29"/>
  <c r="BA584" i="29"/>
  <c r="BE584" i="29"/>
  <c r="BF584" i="29"/>
  <c r="AR584" i="29"/>
  <c r="BD584" i="29"/>
  <c r="AX584" i="29"/>
  <c r="AY584" i="29"/>
  <c r="AZ584" i="29"/>
  <c r="BG584" i="29"/>
  <c r="BC584" i="29"/>
  <c r="AN585" i="29"/>
  <c r="BC407" i="29"/>
  <c r="AX407" i="29"/>
  <c r="BE407" i="29"/>
  <c r="AY407" i="29"/>
  <c r="AZ407" i="29"/>
  <c r="BB407" i="29"/>
  <c r="BD407" i="29"/>
  <c r="BF407" i="29"/>
  <c r="BA407" i="29"/>
  <c r="BG407" i="29"/>
  <c r="AR407" i="29"/>
  <c r="AN408" i="29"/>
  <c r="AH219" i="29"/>
  <c r="AI219" i="29" s="1"/>
  <c r="AJ219" i="29" s="1"/>
  <c r="AG220" i="29" s="1"/>
  <c r="AH392" i="29"/>
  <c r="AI392" i="29" s="1"/>
  <c r="AJ392" i="29" s="1"/>
  <c r="AG393" i="29" s="1"/>
  <c r="AC213" i="29"/>
  <c r="AK213" i="29" s="1"/>
  <c r="AO213" i="29" s="1"/>
  <c r="AD213" i="29"/>
  <c r="AH938" i="29"/>
  <c r="AI761" i="29"/>
  <c r="AJ761" i="29" s="1"/>
  <c r="AG762" i="29" s="1"/>
  <c r="AH584" i="29"/>
  <c r="AE387" i="29"/>
  <c r="AF387" i="29" s="1"/>
  <c r="BP601" i="118" l="1"/>
  <c r="O601" i="118"/>
  <c r="AD601" i="118"/>
  <c r="AX601" i="118"/>
  <c r="BG601" i="118" s="1"/>
  <c r="AD921" i="29"/>
  <c r="AC921" i="29"/>
  <c r="N466" i="118"/>
  <c r="P466" i="118"/>
  <c r="BC465" i="118"/>
  <c r="AZ465" i="118"/>
  <c r="BI465" i="118" s="1"/>
  <c r="BF225" i="29"/>
  <c r="AC749" i="29"/>
  <c r="AD749" i="29"/>
  <c r="AC576" i="29"/>
  <c r="AD576" i="29"/>
  <c r="AT332" i="118"/>
  <c r="AK332" i="118"/>
  <c r="AL332" i="118" s="1"/>
  <c r="Q332" i="118"/>
  <c r="BL332" i="118"/>
  <c r="BR332" i="118" s="1"/>
  <c r="AP332" i="118"/>
  <c r="AM332" i="118"/>
  <c r="AI332" i="118"/>
  <c r="AJ332" i="118" s="1"/>
  <c r="AK65" i="118"/>
  <c r="AL65" i="118" s="1"/>
  <c r="Q65" i="118"/>
  <c r="AP65" i="118"/>
  <c r="BL65" i="118"/>
  <c r="BR65" i="118" s="1"/>
  <c r="AT65" i="118"/>
  <c r="AM65" i="118"/>
  <c r="AI65" i="118"/>
  <c r="AJ65" i="118" s="1"/>
  <c r="AE65" i="118"/>
  <c r="AF65" i="118" s="1"/>
  <c r="AC200" i="118"/>
  <c r="BO200" i="118"/>
  <c r="AW200" i="118"/>
  <c r="BF200" i="118" s="1"/>
  <c r="AQ200" i="118"/>
  <c r="Z200" i="118"/>
  <c r="AX234" i="29"/>
  <c r="AS750" i="29"/>
  <c r="BI751" i="29"/>
  <c r="AQ236" i="29"/>
  <c r="BH236" i="29"/>
  <c r="BJ408" i="29"/>
  <c r="AS576" i="29"/>
  <c r="BI577" i="29"/>
  <c r="BJ227" i="29"/>
  <c r="AQ932" i="29"/>
  <c r="BH932" i="29"/>
  <c r="BJ932" i="29"/>
  <c r="AS400" i="29"/>
  <c r="BI401" i="29"/>
  <c r="AQ408" i="29"/>
  <c r="BH408" i="29"/>
  <c r="AQ585" i="29"/>
  <c r="BH585" i="29"/>
  <c r="AQ758" i="29"/>
  <c r="BH758" i="29"/>
  <c r="AR227" i="29"/>
  <c r="AS226" i="29"/>
  <c r="BI227" i="29"/>
  <c r="BJ758" i="29"/>
  <c r="BJ585" i="29"/>
  <c r="BE226" i="29"/>
  <c r="BB225" i="29"/>
  <c r="BA226" i="29"/>
  <c r="BG226" i="29"/>
  <c r="BC226" i="29"/>
  <c r="BD224" i="29"/>
  <c r="AT223" i="29"/>
  <c r="AT407" i="29"/>
  <c r="AN237" i="29"/>
  <c r="AY236" i="29"/>
  <c r="AT757" i="29"/>
  <c r="BG408" i="29"/>
  <c r="BF408" i="29"/>
  <c r="BE408" i="29"/>
  <c r="AR408" i="29"/>
  <c r="BA408" i="29"/>
  <c r="BC408" i="29"/>
  <c r="AX408" i="29"/>
  <c r="BD408" i="29"/>
  <c r="AY408" i="29"/>
  <c r="AZ408" i="29"/>
  <c r="BB408" i="29"/>
  <c r="AN409" i="29"/>
  <c r="AX758" i="29"/>
  <c r="AR758" i="29"/>
  <c r="BF758" i="29"/>
  <c r="BG758" i="29"/>
  <c r="BC758" i="29"/>
  <c r="BB758" i="29"/>
  <c r="BE758" i="29"/>
  <c r="AZ758" i="29"/>
  <c r="AY758" i="29"/>
  <c r="BD758" i="29"/>
  <c r="BA758" i="29"/>
  <c r="AN759" i="29"/>
  <c r="BG585" i="29"/>
  <c r="AY585" i="29"/>
  <c r="AR585" i="29"/>
  <c r="BD585" i="29"/>
  <c r="AZ585" i="29"/>
  <c r="BE585" i="29"/>
  <c r="BC585" i="29"/>
  <c r="AX585" i="29"/>
  <c r="BA585" i="29"/>
  <c r="BF585" i="29"/>
  <c r="AN586" i="29"/>
  <c r="AZ226" i="29"/>
  <c r="AY932" i="29"/>
  <c r="AR932" i="29"/>
  <c r="AN933" i="29"/>
  <c r="AT582" i="29"/>
  <c r="BB583" i="29"/>
  <c r="AH220" i="29"/>
  <c r="AI220" i="29" s="1"/>
  <c r="AJ220" i="29" s="1"/>
  <c r="AG221" i="29" s="1"/>
  <c r="AH393" i="29"/>
  <c r="AI393" i="29" s="1"/>
  <c r="AJ393" i="29" s="1"/>
  <c r="AG394" i="29" s="1"/>
  <c r="AD388" i="29"/>
  <c r="AC388" i="29"/>
  <c r="AK388" i="29" s="1"/>
  <c r="AO388" i="29" s="1"/>
  <c r="AI938" i="29"/>
  <c r="AJ938" i="29" s="1"/>
  <c r="AG939" i="29" s="1"/>
  <c r="AH762" i="29"/>
  <c r="AI584" i="29"/>
  <c r="AJ584" i="29" s="1"/>
  <c r="AG585" i="29" s="1"/>
  <c r="AE213" i="29"/>
  <c r="AF213" i="29" s="1"/>
  <c r="X466" i="118" l="1"/>
  <c r="AK921" i="29"/>
  <c r="AO921" i="29" s="1"/>
  <c r="AE921" i="29"/>
  <c r="AF921" i="29" s="1"/>
  <c r="Q601" i="118"/>
  <c r="AM601" i="118"/>
  <c r="AK601" i="118"/>
  <c r="AL601" i="118" s="1"/>
  <c r="AE601" i="118"/>
  <c r="AF601" i="118" s="1"/>
  <c r="AI601" i="118"/>
  <c r="AJ601" i="118" s="1"/>
  <c r="BL601" i="118"/>
  <c r="BR601" i="118" s="1"/>
  <c r="AP601" i="118"/>
  <c r="AT601" i="118"/>
  <c r="BF226" i="29"/>
  <c r="AK749" i="29"/>
  <c r="AO749" i="29" s="1"/>
  <c r="AE749" i="29"/>
  <c r="AF749" i="29" s="1"/>
  <c r="AK576" i="29"/>
  <c r="AO576" i="29" s="1"/>
  <c r="AE576" i="29"/>
  <c r="AF576" i="29" s="1"/>
  <c r="N333" i="118"/>
  <c r="P333" i="118"/>
  <c r="AZ332" i="118"/>
  <c r="BI332" i="118" s="1"/>
  <c r="BC332" i="118"/>
  <c r="N66" i="118"/>
  <c r="P66" i="118"/>
  <c r="AZ65" i="118"/>
  <c r="BI65" i="118" s="1"/>
  <c r="BC65" i="118"/>
  <c r="AD200" i="118"/>
  <c r="BP200" i="118"/>
  <c r="AX200" i="118"/>
  <c r="BG200" i="118" s="1"/>
  <c r="O200" i="118"/>
  <c r="AX235" i="29"/>
  <c r="BJ759" i="29"/>
  <c r="AS227" i="29"/>
  <c r="BI228" i="29"/>
  <c r="AR228" i="29"/>
  <c r="BJ933" i="29"/>
  <c r="BJ409" i="29"/>
  <c r="AQ237" i="29"/>
  <c r="BH237" i="29"/>
  <c r="AQ933" i="29"/>
  <c r="BH933" i="29"/>
  <c r="AQ759" i="29"/>
  <c r="BH759" i="29"/>
  <c r="AQ409" i="29"/>
  <c r="BH409" i="29"/>
  <c r="BJ228" i="29"/>
  <c r="AS751" i="29"/>
  <c r="BI752" i="29"/>
  <c r="AQ586" i="29"/>
  <c r="BH586" i="29"/>
  <c r="BJ586" i="29"/>
  <c r="AS401" i="29"/>
  <c r="BI402" i="29"/>
  <c r="AS577" i="29"/>
  <c r="BI578" i="29"/>
  <c r="BG227" i="29"/>
  <c r="BE227" i="29"/>
  <c r="BC227" i="29"/>
  <c r="BA227" i="29"/>
  <c r="BB226" i="29"/>
  <c r="BD225" i="29"/>
  <c r="AT224" i="29"/>
  <c r="BB584" i="29"/>
  <c r="AT583" i="29"/>
  <c r="AR933" i="29"/>
  <c r="AY933" i="29"/>
  <c r="AN934" i="29"/>
  <c r="AY759" i="29"/>
  <c r="AZ759" i="29"/>
  <c r="BA759" i="29"/>
  <c r="BF759" i="29"/>
  <c r="AR759" i="29"/>
  <c r="BG759" i="29"/>
  <c r="BB759" i="29"/>
  <c r="BD759" i="29"/>
  <c r="AX759" i="29"/>
  <c r="BC759" i="29"/>
  <c r="BE759" i="29"/>
  <c r="AN760" i="29"/>
  <c r="AT758" i="29"/>
  <c r="AT408" i="29"/>
  <c r="AN238" i="29"/>
  <c r="AY237" i="29"/>
  <c r="BF586" i="29"/>
  <c r="BC586" i="29"/>
  <c r="BG586" i="29"/>
  <c r="BE586" i="29"/>
  <c r="BD586" i="29"/>
  <c r="BA586" i="29"/>
  <c r="AX586" i="29"/>
  <c r="AZ586" i="29"/>
  <c r="AY586" i="29"/>
  <c r="AR586" i="29"/>
  <c r="AN587" i="29"/>
  <c r="AZ227" i="29"/>
  <c r="BA409" i="29"/>
  <c r="AZ409" i="29"/>
  <c r="BB409" i="29"/>
  <c r="AX409" i="29"/>
  <c r="BE409" i="29"/>
  <c r="AY409" i="29"/>
  <c r="AR409" i="29"/>
  <c r="BC409" i="29"/>
  <c r="BG409" i="29"/>
  <c r="BD409" i="29"/>
  <c r="BF409" i="29"/>
  <c r="AN410" i="29"/>
  <c r="AH221" i="29"/>
  <c r="AI221" i="29" s="1"/>
  <c r="AJ221" i="29" s="1"/>
  <c r="AG222" i="29" s="1"/>
  <c r="AD214" i="29"/>
  <c r="AC214" i="29"/>
  <c r="AK214" i="29" s="1"/>
  <c r="AO214" i="29" s="1"/>
  <c r="AH939" i="29"/>
  <c r="AI762" i="29"/>
  <c r="AJ762" i="29" s="1"/>
  <c r="AG763" i="29" s="1"/>
  <c r="AH585" i="29"/>
  <c r="AI585" i="29" s="1"/>
  <c r="AJ585" i="29" s="1"/>
  <c r="AG586" i="29" s="1"/>
  <c r="AH394" i="29"/>
  <c r="AE388" i="29"/>
  <c r="AF388" i="29" s="1"/>
  <c r="AZ601" i="118" l="1"/>
  <c r="BI601" i="118" s="1"/>
  <c r="BC601" i="118"/>
  <c r="AC922" i="29"/>
  <c r="AD922" i="29"/>
  <c r="N602" i="118"/>
  <c r="P602" i="118"/>
  <c r="Y466" i="118"/>
  <c r="AC466" i="118" s="1"/>
  <c r="O466" i="118" s="1"/>
  <c r="AA466" i="118"/>
  <c r="AB466" i="118" s="1"/>
  <c r="BF227" i="29"/>
  <c r="AD750" i="29"/>
  <c r="AC750" i="29"/>
  <c r="AD577" i="29"/>
  <c r="AC577" i="29"/>
  <c r="X333" i="118"/>
  <c r="Y333" i="118" s="1"/>
  <c r="AC333" i="118" s="1"/>
  <c r="X66" i="118"/>
  <c r="AM200" i="118"/>
  <c r="AP200" i="118"/>
  <c r="Q200" i="118"/>
  <c r="AK200" i="118"/>
  <c r="AL200" i="118" s="1"/>
  <c r="BL200" i="118"/>
  <c r="BR200" i="118" s="1"/>
  <c r="AT200" i="118"/>
  <c r="AI200" i="118"/>
  <c r="AJ200" i="118" s="1"/>
  <c r="AE200" i="118"/>
  <c r="AF200" i="118" s="1"/>
  <c r="BJ934" i="29"/>
  <c r="AX236" i="29"/>
  <c r="BJ587" i="29"/>
  <c r="AS228" i="29"/>
  <c r="BI229" i="29"/>
  <c r="AQ587" i="29"/>
  <c r="BH587" i="29"/>
  <c r="AQ760" i="29"/>
  <c r="BH760" i="29"/>
  <c r="AS402" i="29"/>
  <c r="BI403" i="29"/>
  <c r="AR229" i="29"/>
  <c r="AQ410" i="29"/>
  <c r="BH410" i="29"/>
  <c r="AS578" i="29"/>
  <c r="BI579" i="29"/>
  <c r="AS752" i="29"/>
  <c r="BI753" i="29"/>
  <c r="BJ410" i="29"/>
  <c r="BJ229" i="29"/>
  <c r="AQ238" i="29"/>
  <c r="BH238" i="29"/>
  <c r="AQ934" i="29"/>
  <c r="BH934" i="29"/>
  <c r="BJ760" i="29"/>
  <c r="BC228" i="29"/>
  <c r="BE228" i="29"/>
  <c r="BB227" i="29"/>
  <c r="BA228" i="29"/>
  <c r="BG228" i="29"/>
  <c r="BD226" i="29"/>
  <c r="AT225" i="29"/>
  <c r="AX410" i="29"/>
  <c r="AR410" i="29"/>
  <c r="BC410" i="29"/>
  <c r="BB410" i="29"/>
  <c r="AZ410" i="29"/>
  <c r="BD410" i="29"/>
  <c r="AY410" i="29"/>
  <c r="BF410" i="29"/>
  <c r="BE410" i="29"/>
  <c r="BG410" i="29"/>
  <c r="BA410" i="29"/>
  <c r="AN411" i="29"/>
  <c r="BE587" i="29"/>
  <c r="AX587" i="29"/>
  <c r="AZ587" i="29"/>
  <c r="BC587" i="29"/>
  <c r="AR587" i="29"/>
  <c r="AY587" i="29"/>
  <c r="BG587" i="29"/>
  <c r="BA587" i="29"/>
  <c r="BD587" i="29"/>
  <c r="BF587" i="29"/>
  <c r="AN588" i="29"/>
  <c r="BD760" i="29"/>
  <c r="BF760" i="29"/>
  <c r="BC760" i="29"/>
  <c r="BA760" i="29"/>
  <c r="AY760" i="29"/>
  <c r="BE760" i="29"/>
  <c r="AZ760" i="29"/>
  <c r="BG760" i="29"/>
  <c r="AR760" i="29"/>
  <c r="AX760" i="29"/>
  <c r="BB760" i="29"/>
  <c r="AN761" i="29"/>
  <c r="AZ228" i="29"/>
  <c r="BB585" i="29"/>
  <c r="AT584" i="29"/>
  <c r="AT409" i="29"/>
  <c r="AN239" i="29"/>
  <c r="AY238" i="29"/>
  <c r="AT759" i="29"/>
  <c r="AY934" i="29"/>
  <c r="AR934" i="29"/>
  <c r="AN935" i="29"/>
  <c r="AH222" i="29"/>
  <c r="AI222" i="29" s="1"/>
  <c r="AJ222" i="29" s="1"/>
  <c r="AG223" i="29" s="1"/>
  <c r="AC389" i="29"/>
  <c r="AK389" i="29" s="1"/>
  <c r="AO389" i="29" s="1"/>
  <c r="AD389" i="29"/>
  <c r="AI394" i="29"/>
  <c r="AJ394" i="29" s="1"/>
  <c r="AG395" i="29" s="1"/>
  <c r="AI939" i="29"/>
  <c r="AJ939" i="29" s="1"/>
  <c r="AG940" i="29" s="1"/>
  <c r="AH763" i="29"/>
  <c r="AI763" i="29" s="1"/>
  <c r="AJ763" i="29" s="1"/>
  <c r="AG764" i="29" s="1"/>
  <c r="AH586" i="29"/>
  <c r="AE214" i="29"/>
  <c r="AF214" i="29" s="1"/>
  <c r="X602" i="118" l="1"/>
  <c r="AP466" i="118"/>
  <c r="Q466" i="118"/>
  <c r="AT466" i="118"/>
  <c r="AK466" i="118"/>
  <c r="AL466" i="118" s="1"/>
  <c r="BL466" i="118"/>
  <c r="AI466" i="118"/>
  <c r="AJ466" i="118" s="1"/>
  <c r="AM466" i="118"/>
  <c r="AH466" i="118"/>
  <c r="BO466" i="118"/>
  <c r="AW466" i="118"/>
  <c r="BF466" i="118" s="1"/>
  <c r="AQ466" i="118"/>
  <c r="AE466" i="118"/>
  <c r="AF466" i="118" s="1"/>
  <c r="Z466" i="118"/>
  <c r="AK922" i="29"/>
  <c r="AO922" i="29" s="1"/>
  <c r="AE922" i="29"/>
  <c r="AF922" i="29" s="1"/>
  <c r="BP466" i="118"/>
  <c r="AX466" i="118"/>
  <c r="BG466" i="118" s="1"/>
  <c r="AD466" i="118"/>
  <c r="BF228" i="29"/>
  <c r="AK750" i="29"/>
  <c r="AO750" i="29" s="1"/>
  <c r="AE750" i="29"/>
  <c r="AF750" i="29" s="1"/>
  <c r="AE577" i="29"/>
  <c r="AF577" i="29" s="1"/>
  <c r="AK577" i="29"/>
  <c r="AO577" i="29" s="1"/>
  <c r="AA333" i="118"/>
  <c r="AB333" i="118" s="1"/>
  <c r="O333" i="118"/>
  <c r="AE333" i="118" s="1"/>
  <c r="AF333" i="118" s="1"/>
  <c r="BP333" i="118"/>
  <c r="AD333" i="118"/>
  <c r="AX333" i="118"/>
  <c r="BG333" i="118" s="1"/>
  <c r="AH333" i="118"/>
  <c r="BO333" i="118"/>
  <c r="AW333" i="118"/>
  <c r="BF333" i="118" s="1"/>
  <c r="AQ333" i="118"/>
  <c r="Z333" i="118"/>
  <c r="Y66" i="118"/>
  <c r="AH66" i="118" s="1"/>
  <c r="AA66" i="118"/>
  <c r="AB66" i="118" s="1"/>
  <c r="P201" i="118"/>
  <c r="N201" i="118"/>
  <c r="AZ200" i="118"/>
  <c r="BI200" i="118" s="1"/>
  <c r="BC200" i="118"/>
  <c r="BJ935" i="29"/>
  <c r="AX237" i="29"/>
  <c r="BJ411" i="29"/>
  <c r="AR230" i="29"/>
  <c r="AS403" i="29"/>
  <c r="BI404" i="29"/>
  <c r="AS229" i="29"/>
  <c r="BI230" i="29"/>
  <c r="AQ588" i="29"/>
  <c r="BH588" i="29"/>
  <c r="AS753" i="29"/>
  <c r="BI754" i="29"/>
  <c r="AQ935" i="29"/>
  <c r="BH935" i="29"/>
  <c r="AQ239" i="29"/>
  <c r="BH239" i="29"/>
  <c r="AQ411" i="29"/>
  <c r="BH411" i="29"/>
  <c r="AQ761" i="29"/>
  <c r="BH761" i="29"/>
  <c r="BJ761" i="29"/>
  <c r="BJ230" i="29"/>
  <c r="AS579" i="29"/>
  <c r="BI580" i="29"/>
  <c r="BJ588" i="29"/>
  <c r="BA229" i="29"/>
  <c r="BE229" i="29"/>
  <c r="BG229" i="29"/>
  <c r="BB228" i="29"/>
  <c r="BC229" i="29"/>
  <c r="BD227" i="29"/>
  <c r="AT226" i="29"/>
  <c r="AR935" i="29"/>
  <c r="AY935" i="29"/>
  <c r="AN936" i="29"/>
  <c r="AN240" i="29"/>
  <c r="AY239" i="29"/>
  <c r="AT760" i="29"/>
  <c r="AY588" i="29"/>
  <c r="BA588" i="29"/>
  <c r="AZ588" i="29"/>
  <c r="BG588" i="29"/>
  <c r="BD588" i="29"/>
  <c r="AX588" i="29"/>
  <c r="AR588" i="29"/>
  <c r="BE588" i="29"/>
  <c r="BF588" i="29"/>
  <c r="BC588" i="29"/>
  <c r="AN589" i="29"/>
  <c r="AT585" i="29"/>
  <c r="BB586" i="29"/>
  <c r="AZ229" i="29"/>
  <c r="BA761" i="29"/>
  <c r="BG761" i="29"/>
  <c r="BF761" i="29"/>
  <c r="BD761" i="29"/>
  <c r="AY761" i="29"/>
  <c r="AR761" i="29"/>
  <c r="AZ761" i="29"/>
  <c r="BB761" i="29"/>
  <c r="AX761" i="29"/>
  <c r="BE761" i="29"/>
  <c r="BC761" i="29"/>
  <c r="AN762" i="29"/>
  <c r="AY411" i="29"/>
  <c r="BD411" i="29"/>
  <c r="BB411" i="29"/>
  <c r="BA411" i="29"/>
  <c r="AX411" i="29"/>
  <c r="BF411" i="29"/>
  <c r="BE411" i="29"/>
  <c r="AZ411" i="29"/>
  <c r="BG411" i="29"/>
  <c r="BC411" i="29"/>
  <c r="AR411" i="29"/>
  <c r="AN412" i="29"/>
  <c r="AT410" i="29"/>
  <c r="AH395" i="29"/>
  <c r="AI395" i="29" s="1"/>
  <c r="AJ395" i="29" s="1"/>
  <c r="AG396" i="29" s="1"/>
  <c r="AC215" i="29"/>
  <c r="AK215" i="29" s="1"/>
  <c r="AO215" i="29" s="1"/>
  <c r="AD215" i="29"/>
  <c r="AH940" i="29"/>
  <c r="AI940" i="29" s="1"/>
  <c r="AJ940" i="29" s="1"/>
  <c r="AG941" i="29" s="1"/>
  <c r="AH764" i="29"/>
  <c r="AI586" i="29"/>
  <c r="AJ586" i="29" s="1"/>
  <c r="AG587" i="29" s="1"/>
  <c r="AH223" i="29"/>
  <c r="AE389" i="29"/>
  <c r="AF389" i="29" s="1"/>
  <c r="AA602" i="118" l="1"/>
  <c r="AB602" i="118" s="1"/>
  <c r="Y602" i="118"/>
  <c r="AC923" i="29"/>
  <c r="AD923" i="29"/>
  <c r="AZ466" i="118"/>
  <c r="BI466" i="118" s="1"/>
  <c r="BC466" i="118"/>
  <c r="N467" i="118"/>
  <c r="P467" i="118"/>
  <c r="BR466" i="118"/>
  <c r="BF229" i="29"/>
  <c r="AC751" i="29"/>
  <c r="AD751" i="29"/>
  <c r="AD578" i="29"/>
  <c r="AC578" i="29"/>
  <c r="BL333" i="118"/>
  <c r="BR333" i="118" s="1"/>
  <c r="Q333" i="118"/>
  <c r="AI333" i="118"/>
  <c r="AJ333" i="118" s="1"/>
  <c r="AP333" i="118"/>
  <c r="AK333" i="118"/>
  <c r="AL333" i="118" s="1"/>
  <c r="AM333" i="118"/>
  <c r="AT333" i="118"/>
  <c r="AC66" i="118"/>
  <c r="AQ66" i="118"/>
  <c r="BO66" i="118"/>
  <c r="AW66" i="118"/>
  <c r="BF66" i="118" s="1"/>
  <c r="Z66" i="118"/>
  <c r="X201" i="118"/>
  <c r="BJ762" i="29"/>
  <c r="AX238" i="29"/>
  <c r="AR231" i="29"/>
  <c r="AQ589" i="29"/>
  <c r="BH589" i="29"/>
  <c r="AQ936" i="29"/>
  <c r="BH936" i="29"/>
  <c r="AS580" i="29"/>
  <c r="BI581" i="29"/>
  <c r="AS754" i="29"/>
  <c r="BI755" i="29"/>
  <c r="AS404" i="29"/>
  <c r="BI405" i="29"/>
  <c r="BJ412" i="29"/>
  <c r="AQ412" i="29"/>
  <c r="BH412" i="29"/>
  <c r="AQ762" i="29"/>
  <c r="BH762" i="29"/>
  <c r="AQ240" i="29"/>
  <c r="BH240" i="29"/>
  <c r="BJ589" i="29"/>
  <c r="BJ231" i="29"/>
  <c r="AS230" i="29"/>
  <c r="BI231" i="29"/>
  <c r="BJ936" i="29"/>
  <c r="BB229" i="29"/>
  <c r="BE230" i="29"/>
  <c r="BC230" i="29"/>
  <c r="BG230" i="29"/>
  <c r="BA230" i="29"/>
  <c r="BD228" i="29"/>
  <c r="AT227" i="29"/>
  <c r="AT586" i="29"/>
  <c r="BB587" i="29"/>
  <c r="BG412" i="29"/>
  <c r="AX412" i="29"/>
  <c r="BD412" i="29"/>
  <c r="BB412" i="29"/>
  <c r="AZ412" i="29"/>
  <c r="BE412" i="29"/>
  <c r="BC412" i="29"/>
  <c r="AR412" i="29"/>
  <c r="BA412" i="29"/>
  <c r="AY412" i="29"/>
  <c r="BF412" i="29"/>
  <c r="AN413" i="29"/>
  <c r="AT411" i="29"/>
  <c r="AT761" i="29"/>
  <c r="AN241" i="29"/>
  <c r="AY240" i="29"/>
  <c r="AY936" i="29"/>
  <c r="AR936" i="29"/>
  <c r="AN937" i="29"/>
  <c r="AY762" i="29"/>
  <c r="BA762" i="29"/>
  <c r="AZ762" i="29"/>
  <c r="AX762" i="29"/>
  <c r="AR762" i="29"/>
  <c r="BF762" i="29"/>
  <c r="BE762" i="29"/>
  <c r="BC762" i="29"/>
  <c r="BB762" i="29"/>
  <c r="BD762" i="29"/>
  <c r="BG762" i="29"/>
  <c r="AN763" i="29"/>
  <c r="BA589" i="29"/>
  <c r="AY589" i="29"/>
  <c r="BF589" i="29"/>
  <c r="BG589" i="29"/>
  <c r="AZ589" i="29"/>
  <c r="BD589" i="29"/>
  <c r="BC589" i="29"/>
  <c r="AR589" i="29"/>
  <c r="AX589" i="29"/>
  <c r="BE589" i="29"/>
  <c r="AN590" i="29"/>
  <c r="AZ230" i="29"/>
  <c r="AD390" i="29"/>
  <c r="AC390" i="29"/>
  <c r="AK390" i="29" s="1"/>
  <c r="AO390" i="29" s="1"/>
  <c r="AH941" i="29"/>
  <c r="AI941" i="29" s="1"/>
  <c r="AJ941" i="29" s="1"/>
  <c r="AG942" i="29" s="1"/>
  <c r="AI764" i="29"/>
  <c r="AJ764" i="29" s="1"/>
  <c r="AG765" i="29" s="1"/>
  <c r="AH587" i="29"/>
  <c r="AI587" i="29" s="1"/>
  <c r="AJ587" i="29" s="1"/>
  <c r="AG588" i="29" s="1"/>
  <c r="AH396" i="29"/>
  <c r="AI223" i="29"/>
  <c r="AJ223" i="29" s="1"/>
  <c r="AG224" i="29" s="1"/>
  <c r="AE215" i="29"/>
  <c r="AF215" i="29" s="1"/>
  <c r="AH602" i="118" l="1"/>
  <c r="AW602" i="118"/>
  <c r="BF602" i="118" s="1"/>
  <c r="BO602" i="118"/>
  <c r="AC602" i="118"/>
  <c r="Z602" i="118"/>
  <c r="AQ602" i="118"/>
  <c r="X467" i="118"/>
  <c r="AK923" i="29"/>
  <c r="AO923" i="29" s="1"/>
  <c r="AE923" i="29"/>
  <c r="AF923" i="29" s="1"/>
  <c r="BF230" i="29"/>
  <c r="AE751" i="29"/>
  <c r="AF751" i="29" s="1"/>
  <c r="AK751" i="29"/>
  <c r="AO751" i="29" s="1"/>
  <c r="AK578" i="29"/>
  <c r="AO578" i="29" s="1"/>
  <c r="AE578" i="29"/>
  <c r="AF578" i="29" s="1"/>
  <c r="N334" i="118"/>
  <c r="P334" i="118"/>
  <c r="BC333" i="118"/>
  <c r="AZ333" i="118"/>
  <c r="BI333" i="118" s="1"/>
  <c r="O66" i="118"/>
  <c r="AE66" i="118" s="1"/>
  <c r="AF66" i="118" s="1"/>
  <c r="AX66" i="118"/>
  <c r="BG66" i="118" s="1"/>
  <c r="AD66" i="118"/>
  <c r="BP66" i="118"/>
  <c r="Y201" i="118"/>
  <c r="AH201" i="118" s="1"/>
  <c r="AA201" i="118"/>
  <c r="AB201" i="118" s="1"/>
  <c r="AX239" i="29"/>
  <c r="AS755" i="29"/>
  <c r="BI756" i="29"/>
  <c r="AR232" i="29"/>
  <c r="AS231" i="29"/>
  <c r="BI232" i="29"/>
  <c r="AQ763" i="29"/>
  <c r="BH763" i="29"/>
  <c r="AQ937" i="29"/>
  <c r="BH937" i="29"/>
  <c r="BJ232" i="29"/>
  <c r="BJ413" i="29"/>
  <c r="AQ241" i="29"/>
  <c r="BH241" i="29"/>
  <c r="AQ590" i="29"/>
  <c r="BH590" i="29"/>
  <c r="AQ413" i="29"/>
  <c r="BH413" i="29"/>
  <c r="BJ937" i="29"/>
  <c r="BJ590" i="29"/>
  <c r="AS405" i="29"/>
  <c r="BI406" i="29"/>
  <c r="AS581" i="29"/>
  <c r="BI582" i="29"/>
  <c r="BJ763" i="29"/>
  <c r="BB230" i="29"/>
  <c r="BA231" i="29"/>
  <c r="BC231" i="29"/>
  <c r="BE231" i="29"/>
  <c r="BG231" i="29"/>
  <c r="BD229" i="29"/>
  <c r="AT228" i="29"/>
  <c r="AY413" i="29"/>
  <c r="BA413" i="29"/>
  <c r="AZ413" i="29"/>
  <c r="BF413" i="29"/>
  <c r="BG413" i="29"/>
  <c r="BB413" i="29"/>
  <c r="BE413" i="29"/>
  <c r="BD413" i="29"/>
  <c r="BC413" i="29"/>
  <c r="AX413" i="29"/>
  <c r="AR413" i="29"/>
  <c r="AN414" i="29"/>
  <c r="AT762" i="29"/>
  <c r="BF590" i="29"/>
  <c r="BG590" i="29"/>
  <c r="BC590" i="29"/>
  <c r="AZ590" i="29"/>
  <c r="BD590" i="29"/>
  <c r="AY590" i="29"/>
  <c r="AX590" i="29"/>
  <c r="AR590" i="29"/>
  <c r="BA590" i="29"/>
  <c r="BE590" i="29"/>
  <c r="AN591" i="29"/>
  <c r="AY937" i="29"/>
  <c r="AR937" i="29"/>
  <c r="AN938" i="29"/>
  <c r="AN242" i="29"/>
  <c r="AY241" i="29"/>
  <c r="AT587" i="29"/>
  <c r="BB588" i="29"/>
  <c r="AY763" i="29"/>
  <c r="AR763" i="29"/>
  <c r="BA763" i="29"/>
  <c r="BE763" i="29"/>
  <c r="BD763" i="29"/>
  <c r="BF763" i="29"/>
  <c r="AZ763" i="29"/>
  <c r="AX763" i="29"/>
  <c r="BG763" i="29"/>
  <c r="BC763" i="29"/>
  <c r="BB763" i="29"/>
  <c r="AN764" i="29"/>
  <c r="AZ231" i="29"/>
  <c r="AT412" i="29"/>
  <c r="AD216" i="29"/>
  <c r="AC216" i="29"/>
  <c r="AK216" i="29" s="1"/>
  <c r="AO216" i="29" s="1"/>
  <c r="AH765" i="29"/>
  <c r="AI765" i="29" s="1"/>
  <c r="AJ765" i="29" s="1"/>
  <c r="AG766" i="29" s="1"/>
  <c r="AI396" i="29"/>
  <c r="AJ396" i="29" s="1"/>
  <c r="AG397" i="29" s="1"/>
  <c r="AH942" i="29"/>
  <c r="AI942" i="29" s="1"/>
  <c r="AJ942" i="29" s="1"/>
  <c r="AG943" i="29" s="1"/>
  <c r="AH588" i="29"/>
  <c r="AH224" i="29"/>
  <c r="AE390" i="29"/>
  <c r="AF390" i="29" s="1"/>
  <c r="AX602" i="118" l="1"/>
  <c r="BG602" i="118" s="1"/>
  <c r="AD602" i="118"/>
  <c r="BP602" i="118"/>
  <c r="O602" i="118"/>
  <c r="AA467" i="118"/>
  <c r="AB467" i="118" s="1"/>
  <c r="Y467" i="118"/>
  <c r="AH467" i="118" s="1"/>
  <c r="AC924" i="29"/>
  <c r="AD924" i="29"/>
  <c r="BF231" i="29"/>
  <c r="AD752" i="29"/>
  <c r="AC752" i="29"/>
  <c r="AD579" i="29"/>
  <c r="AC579" i="29"/>
  <c r="X334" i="118"/>
  <c r="Q66" i="118"/>
  <c r="BL66" i="118"/>
  <c r="BR66" i="118" s="1"/>
  <c r="AT66" i="118"/>
  <c r="AP66" i="118"/>
  <c r="AK66" i="118"/>
  <c r="AL66" i="118" s="1"/>
  <c r="AM66" i="118"/>
  <c r="AI66" i="118"/>
  <c r="AJ66" i="118" s="1"/>
  <c r="AC201" i="118"/>
  <c r="AW201" i="118"/>
  <c r="BF201" i="118" s="1"/>
  <c r="BO201" i="118"/>
  <c r="AQ201" i="118"/>
  <c r="Z201" i="118"/>
  <c r="AX240" i="29"/>
  <c r="BJ414" i="29"/>
  <c r="AQ764" i="29"/>
  <c r="BH764" i="29"/>
  <c r="AS582" i="29"/>
  <c r="BI583" i="29"/>
  <c r="BJ591" i="29"/>
  <c r="AQ414" i="29"/>
  <c r="BH414" i="29"/>
  <c r="AS232" i="29"/>
  <c r="BI233" i="29"/>
  <c r="AR233" i="29"/>
  <c r="AQ591" i="29"/>
  <c r="BH591" i="29"/>
  <c r="AS406" i="29"/>
  <c r="BI407" i="29"/>
  <c r="BJ233" i="29"/>
  <c r="AS756" i="29"/>
  <c r="BI757" i="29"/>
  <c r="AQ938" i="29"/>
  <c r="BH938" i="29"/>
  <c r="AQ242" i="29"/>
  <c r="BH242" i="29"/>
  <c r="BJ764" i="29"/>
  <c r="BJ938" i="29"/>
  <c r="BC232" i="29"/>
  <c r="BG232" i="29"/>
  <c r="BE232" i="29"/>
  <c r="BA232" i="29"/>
  <c r="BB231" i="29"/>
  <c r="BD230" i="29"/>
  <c r="AT229" i="29"/>
  <c r="AT413" i="29"/>
  <c r="AZ764" i="29"/>
  <c r="BC764" i="29"/>
  <c r="BB764" i="29"/>
  <c r="BE764" i="29"/>
  <c r="AR764" i="29"/>
  <c r="BG764" i="29"/>
  <c r="BF764" i="29"/>
  <c r="AX764" i="29"/>
  <c r="AY764" i="29"/>
  <c r="BD764" i="29"/>
  <c r="BA764" i="29"/>
  <c r="AN765" i="29"/>
  <c r="BG591" i="29"/>
  <c r="BA591" i="29"/>
  <c r="AZ591" i="29"/>
  <c r="AX591" i="29"/>
  <c r="BD591" i="29"/>
  <c r="BC591" i="29"/>
  <c r="AR591" i="29"/>
  <c r="AY591" i="29"/>
  <c r="BF591" i="29"/>
  <c r="BE591" i="29"/>
  <c r="AN592" i="29"/>
  <c r="AR938" i="29"/>
  <c r="AY938" i="29"/>
  <c r="AN939" i="29"/>
  <c r="AT763" i="29"/>
  <c r="AZ232" i="29"/>
  <c r="BB589" i="29"/>
  <c r="AT588" i="29"/>
  <c r="AN243" i="29"/>
  <c r="AY242" i="29"/>
  <c r="BC414" i="29"/>
  <c r="BB414" i="29"/>
  <c r="BD414" i="29"/>
  <c r="AX414" i="29"/>
  <c r="BF414" i="29"/>
  <c r="BE414" i="29"/>
  <c r="AZ414" i="29"/>
  <c r="AY414" i="29"/>
  <c r="BA414" i="29"/>
  <c r="AR414" i="29"/>
  <c r="BG414" i="29"/>
  <c r="AN415" i="29"/>
  <c r="AC391" i="29"/>
  <c r="AK391" i="29" s="1"/>
  <c r="AO391" i="29" s="1"/>
  <c r="AD391" i="29"/>
  <c r="AH397" i="29"/>
  <c r="AI397" i="29" s="1"/>
  <c r="AJ397" i="29" s="1"/>
  <c r="AG398" i="29" s="1"/>
  <c r="AI224" i="29"/>
  <c r="AJ224" i="29" s="1"/>
  <c r="AG225" i="29" s="1"/>
  <c r="AH943" i="29"/>
  <c r="AH766" i="29"/>
  <c r="AI766" i="29" s="1"/>
  <c r="AJ766" i="29" s="1"/>
  <c r="AG767" i="29" s="1"/>
  <c r="AI588" i="29"/>
  <c r="AJ588" i="29" s="1"/>
  <c r="AG589" i="29" s="1"/>
  <c r="AE216" i="29"/>
  <c r="AF216" i="29" s="1"/>
  <c r="AE602" i="118" l="1"/>
  <c r="AF602" i="118" s="1"/>
  <c r="BL602" i="118"/>
  <c r="BR602" i="118" s="1"/>
  <c r="AI602" i="118"/>
  <c r="AJ602" i="118" s="1"/>
  <c r="AP602" i="118"/>
  <c r="Q602" i="118"/>
  <c r="AT602" i="118"/>
  <c r="AK602" i="118"/>
  <c r="AL602" i="118" s="1"/>
  <c r="AM602" i="118"/>
  <c r="AK924" i="29"/>
  <c r="AO924" i="29" s="1"/>
  <c r="AE924" i="29"/>
  <c r="AF924" i="29" s="1"/>
  <c r="AC467" i="118"/>
  <c r="AW467" i="118"/>
  <c r="BF467" i="118" s="1"/>
  <c r="BO467" i="118"/>
  <c r="AQ467" i="118"/>
  <c r="Z467" i="118"/>
  <c r="BF232" i="29"/>
  <c r="AE752" i="29"/>
  <c r="AF752" i="29" s="1"/>
  <c r="AK752" i="29"/>
  <c r="AO752" i="29" s="1"/>
  <c r="AK579" i="29"/>
  <c r="AO579" i="29" s="1"/>
  <c r="AE579" i="29"/>
  <c r="AF579" i="29" s="1"/>
  <c r="AA334" i="118"/>
  <c r="AB334" i="118" s="1"/>
  <c r="Y334" i="118"/>
  <c r="AH334" i="118" s="1"/>
  <c r="AZ66" i="118"/>
  <c r="BI66" i="118" s="1"/>
  <c r="BC66" i="118"/>
  <c r="P67" i="118"/>
  <c r="N67" i="118"/>
  <c r="AD201" i="118"/>
  <c r="BP201" i="118"/>
  <c r="AX201" i="118"/>
  <c r="BG201" i="118" s="1"/>
  <c r="O201" i="118"/>
  <c r="AX241" i="29"/>
  <c r="AQ415" i="29"/>
  <c r="BH415" i="29"/>
  <c r="AQ939" i="29"/>
  <c r="BH939" i="29"/>
  <c r="AQ592" i="29"/>
  <c r="BH592" i="29"/>
  <c r="BJ765" i="29"/>
  <c r="AS757" i="29"/>
  <c r="BI758" i="29"/>
  <c r="AS407" i="29"/>
  <c r="BI408" i="29"/>
  <c r="AS233" i="29"/>
  <c r="BI234" i="29"/>
  <c r="BJ415" i="29"/>
  <c r="AQ243" i="29"/>
  <c r="BH243" i="29"/>
  <c r="BJ592" i="29"/>
  <c r="AQ765" i="29"/>
  <c r="BH765" i="29"/>
  <c r="BJ939" i="29"/>
  <c r="BJ234" i="29"/>
  <c r="AR234" i="29"/>
  <c r="AS583" i="29"/>
  <c r="BI584" i="29"/>
  <c r="BB232" i="29"/>
  <c r="BC233" i="29"/>
  <c r="BE233" i="29"/>
  <c r="BA233" i="29"/>
  <c r="BG233" i="29"/>
  <c r="BD231" i="29"/>
  <c r="AT230" i="29"/>
  <c r="BC415" i="29"/>
  <c r="AX415" i="29"/>
  <c r="BE415" i="29"/>
  <c r="AY415" i="29"/>
  <c r="BD415" i="29"/>
  <c r="BG415" i="29"/>
  <c r="AR415" i="29"/>
  <c r="BF415" i="29"/>
  <c r="BA415" i="29"/>
  <c r="BB415" i="29"/>
  <c r="AZ415" i="29"/>
  <c r="AN416" i="29"/>
  <c r="BA765" i="29"/>
  <c r="AX765" i="29"/>
  <c r="AZ765" i="29"/>
  <c r="BE765" i="29"/>
  <c r="BG765" i="29"/>
  <c r="AR765" i="29"/>
  <c r="BB765" i="29"/>
  <c r="BD765" i="29"/>
  <c r="AY765" i="29"/>
  <c r="BC765" i="29"/>
  <c r="BF765" i="29"/>
  <c r="AN766" i="29"/>
  <c r="AT764" i="29"/>
  <c r="AT589" i="29"/>
  <c r="BB590" i="29"/>
  <c r="AY939" i="29"/>
  <c r="AR939" i="29"/>
  <c r="AN940" i="29"/>
  <c r="AZ233" i="29"/>
  <c r="AT414" i="29"/>
  <c r="AN244" i="29"/>
  <c r="AY243" i="29"/>
  <c r="BA592" i="29"/>
  <c r="AY592" i="29"/>
  <c r="BF592" i="29"/>
  <c r="AR592" i="29"/>
  <c r="BD592" i="29"/>
  <c r="AX592" i="29"/>
  <c r="BG592" i="29"/>
  <c r="AZ592" i="29"/>
  <c r="BE592" i="29"/>
  <c r="BC592" i="29"/>
  <c r="AN593" i="29"/>
  <c r="AC217" i="29"/>
  <c r="AK217" i="29" s="1"/>
  <c r="AO217" i="29" s="1"/>
  <c r="AD217" i="29"/>
  <c r="AH225" i="29"/>
  <c r="AI225" i="29" s="1"/>
  <c r="AJ225" i="29" s="1"/>
  <c r="AG226" i="29" s="1"/>
  <c r="AI943" i="29"/>
  <c r="AJ943" i="29" s="1"/>
  <c r="AG944" i="29" s="1"/>
  <c r="AH767" i="29"/>
  <c r="AI767" i="29" s="1"/>
  <c r="AJ767" i="29" s="1"/>
  <c r="AG768" i="29" s="1"/>
  <c r="AH589" i="29"/>
  <c r="AH398" i="29"/>
  <c r="AE391" i="29"/>
  <c r="AF391" i="29" s="1"/>
  <c r="AZ602" i="118" l="1"/>
  <c r="BI602" i="118" s="1"/>
  <c r="BC602" i="118"/>
  <c r="N603" i="118"/>
  <c r="P603" i="118"/>
  <c r="O467" i="118"/>
  <c r="AX467" i="118"/>
  <c r="BG467" i="118" s="1"/>
  <c r="AD467" i="118"/>
  <c r="BP467" i="118"/>
  <c r="AC925" i="29"/>
  <c r="AD925" i="29"/>
  <c r="BF233" i="29"/>
  <c r="AD753" i="29"/>
  <c r="AC753" i="29"/>
  <c r="AD580" i="29"/>
  <c r="AC580" i="29"/>
  <c r="AC334" i="118"/>
  <c r="AQ334" i="118"/>
  <c r="BO334" i="118"/>
  <c r="AW334" i="118"/>
  <c r="BF334" i="118" s="1"/>
  <c r="Z334" i="118"/>
  <c r="X67" i="118"/>
  <c r="Q201" i="118"/>
  <c r="AP201" i="118"/>
  <c r="AK201" i="118"/>
  <c r="AL201" i="118" s="1"/>
  <c r="AT201" i="118"/>
  <c r="BL201" i="118"/>
  <c r="BR201" i="118" s="1"/>
  <c r="AM201" i="118"/>
  <c r="AI201" i="118"/>
  <c r="AJ201" i="118" s="1"/>
  <c r="AE201" i="118"/>
  <c r="AF201" i="118" s="1"/>
  <c r="AX242" i="29"/>
  <c r="AQ244" i="29"/>
  <c r="BH244" i="29"/>
  <c r="BJ235" i="29"/>
  <c r="AR235" i="29"/>
  <c r="BJ940" i="29"/>
  <c r="BJ593" i="29"/>
  <c r="AQ766" i="29"/>
  <c r="BH766" i="29"/>
  <c r="BJ416" i="29"/>
  <c r="AS408" i="29"/>
  <c r="BI409" i="29"/>
  <c r="BJ766" i="29"/>
  <c r="AS758" i="29"/>
  <c r="BI759" i="29"/>
  <c r="AQ593" i="29"/>
  <c r="BH593" i="29"/>
  <c r="AQ940" i="29"/>
  <c r="BH940" i="29"/>
  <c r="AQ416" i="29"/>
  <c r="BH416" i="29"/>
  <c r="AS584" i="29"/>
  <c r="BI585" i="29"/>
  <c r="AS234" i="29"/>
  <c r="BI235" i="29"/>
  <c r="BB233" i="29"/>
  <c r="BG234" i="29"/>
  <c r="BA234" i="29"/>
  <c r="BE234" i="29"/>
  <c r="BC234" i="29"/>
  <c r="BD232" i="29"/>
  <c r="AT231" i="29"/>
  <c r="AR940" i="29"/>
  <c r="AY940" i="29"/>
  <c r="AN941" i="29"/>
  <c r="AY244" i="29"/>
  <c r="AN245" i="29"/>
  <c r="AT765" i="29"/>
  <c r="BE593" i="29"/>
  <c r="BC593" i="29"/>
  <c r="AZ593" i="29"/>
  <c r="BF593" i="29"/>
  <c r="AR593" i="29"/>
  <c r="AX593" i="29"/>
  <c r="BG593" i="29"/>
  <c r="BA593" i="29"/>
  <c r="AY593" i="29"/>
  <c r="BD593" i="29"/>
  <c r="AN594" i="29"/>
  <c r="AX766" i="29"/>
  <c r="AR766" i="29"/>
  <c r="BC766" i="29"/>
  <c r="BD766" i="29"/>
  <c r="BG766" i="29"/>
  <c r="BB766" i="29"/>
  <c r="BA766" i="29"/>
  <c r="BE766" i="29"/>
  <c r="AZ766" i="29"/>
  <c r="BF766" i="29"/>
  <c r="AY766" i="29"/>
  <c r="AN767" i="29"/>
  <c r="AZ416" i="29"/>
  <c r="BB416" i="29"/>
  <c r="BE416" i="29"/>
  <c r="AX416" i="29"/>
  <c r="AY416" i="29"/>
  <c r="BG416" i="29"/>
  <c r="BF416" i="29"/>
  <c r="BC416" i="29"/>
  <c r="BA416" i="29"/>
  <c r="BD416" i="29"/>
  <c r="AR416" i="29"/>
  <c r="AN417" i="29"/>
  <c r="AZ234" i="29"/>
  <c r="BB591" i="29"/>
  <c r="AT590" i="29"/>
  <c r="AT415" i="29"/>
  <c r="AD392" i="29"/>
  <c r="AC392" i="29"/>
  <c r="AK392" i="29" s="1"/>
  <c r="AO392" i="29" s="1"/>
  <c r="AI398" i="29"/>
  <c r="AJ398" i="29" s="1"/>
  <c r="AG399" i="29" s="1"/>
  <c r="AH944" i="29"/>
  <c r="AH768" i="29"/>
  <c r="AI589" i="29"/>
  <c r="AJ589" i="29" s="1"/>
  <c r="AG590" i="29" s="1"/>
  <c r="AH226" i="29"/>
  <c r="AE217" i="29"/>
  <c r="AF217" i="29" s="1"/>
  <c r="X603" i="118" l="1"/>
  <c r="AA603" i="118" s="1"/>
  <c r="AB603" i="118" s="1"/>
  <c r="AK925" i="29"/>
  <c r="AO925" i="29" s="1"/>
  <c r="AE925" i="29"/>
  <c r="AF925" i="29" s="1"/>
  <c r="Q467" i="118"/>
  <c r="AT467" i="118"/>
  <c r="BL467" i="118"/>
  <c r="BR467" i="118" s="1"/>
  <c r="AP467" i="118"/>
  <c r="AK467" i="118"/>
  <c r="AL467" i="118" s="1"/>
  <c r="AM467" i="118"/>
  <c r="AI467" i="118"/>
  <c r="AJ467" i="118" s="1"/>
  <c r="AE467" i="118"/>
  <c r="AF467" i="118" s="1"/>
  <c r="BF234" i="29"/>
  <c r="AE753" i="29"/>
  <c r="AF753" i="29" s="1"/>
  <c r="AK753" i="29"/>
  <c r="AO753" i="29" s="1"/>
  <c r="AK580" i="29"/>
  <c r="AO580" i="29" s="1"/>
  <c r="AE580" i="29"/>
  <c r="AF580" i="29" s="1"/>
  <c r="AD334" i="118"/>
  <c r="BP334" i="118"/>
  <c r="AX334" i="118"/>
  <c r="BG334" i="118" s="1"/>
  <c r="O334" i="118"/>
  <c r="AA67" i="118"/>
  <c r="AB67" i="118" s="1"/>
  <c r="Y67" i="118"/>
  <c r="AH67" i="118" s="1"/>
  <c r="AZ201" i="118"/>
  <c r="BI201" i="118" s="1"/>
  <c r="BC201" i="118"/>
  <c r="P202" i="118"/>
  <c r="N202" i="118"/>
  <c r="AX243" i="29"/>
  <c r="AQ417" i="29"/>
  <c r="BH417" i="29"/>
  <c r="AQ767" i="29"/>
  <c r="BH767" i="29"/>
  <c r="AS759" i="29"/>
  <c r="BI760" i="29"/>
  <c r="AQ594" i="29"/>
  <c r="BH594" i="29"/>
  <c r="BJ594" i="29"/>
  <c r="AQ941" i="29"/>
  <c r="BH941" i="29"/>
  <c r="BJ941" i="29"/>
  <c r="AS585" i="29"/>
  <c r="BI586" i="29"/>
  <c r="BJ417" i="29"/>
  <c r="AQ245" i="29"/>
  <c r="BH245" i="29"/>
  <c r="AS235" i="29"/>
  <c r="BI236" i="29"/>
  <c r="BJ767" i="29"/>
  <c r="BJ236" i="29"/>
  <c r="AS409" i="29"/>
  <c r="BI410" i="29"/>
  <c r="AR236" i="29"/>
  <c r="BC235" i="29"/>
  <c r="BA235" i="29"/>
  <c r="BE235" i="29"/>
  <c r="BG235" i="29"/>
  <c r="BB234" i="29"/>
  <c r="BD233" i="29"/>
  <c r="AT232" i="29"/>
  <c r="AT766" i="29"/>
  <c r="BB592" i="29"/>
  <c r="AT591" i="29"/>
  <c r="BC767" i="29"/>
  <c r="AR767" i="29"/>
  <c r="AZ767" i="29"/>
  <c r="BF767" i="29"/>
  <c r="AY767" i="29"/>
  <c r="BD767" i="29"/>
  <c r="BB767" i="29"/>
  <c r="BE767" i="29"/>
  <c r="AX767" i="29"/>
  <c r="BG767" i="29"/>
  <c r="BA767" i="29"/>
  <c r="AN768" i="29"/>
  <c r="BF594" i="29"/>
  <c r="BC594" i="29"/>
  <c r="AY594" i="29"/>
  <c r="BE594" i="29"/>
  <c r="BD594" i="29"/>
  <c r="BG594" i="29"/>
  <c r="AX594" i="29"/>
  <c r="AZ594" i="29"/>
  <c r="BA594" i="29"/>
  <c r="AR594" i="29"/>
  <c r="AN595" i="29"/>
  <c r="AZ235" i="29"/>
  <c r="AY245" i="29"/>
  <c r="AN246" i="29"/>
  <c r="AR941" i="29"/>
  <c r="AY941" i="29"/>
  <c r="AN942" i="29"/>
  <c r="AR417" i="29"/>
  <c r="BC417" i="29"/>
  <c r="BB417" i="29"/>
  <c r="BG417" i="29"/>
  <c r="BD417" i="29"/>
  <c r="AY417" i="29"/>
  <c r="BA417" i="29"/>
  <c r="BF417" i="29"/>
  <c r="BE417" i="29"/>
  <c r="AX417" i="29"/>
  <c r="AZ417" i="29"/>
  <c r="AN418" i="29"/>
  <c r="AT416" i="29"/>
  <c r="AD218" i="29"/>
  <c r="AC218" i="29"/>
  <c r="AK218" i="29" s="1"/>
  <c r="AO218" i="29" s="1"/>
  <c r="AH399" i="29"/>
  <c r="AI399" i="29" s="1"/>
  <c r="AJ399" i="29" s="1"/>
  <c r="AG400" i="29" s="1"/>
  <c r="AI944" i="29"/>
  <c r="AJ944" i="29" s="1"/>
  <c r="AG945" i="29" s="1"/>
  <c r="AI768" i="29"/>
  <c r="AJ768" i="29" s="1"/>
  <c r="AG769" i="29" s="1"/>
  <c r="AH590" i="29"/>
  <c r="AI590" i="29" s="1"/>
  <c r="AJ590" i="29" s="1"/>
  <c r="AG591" i="29" s="1"/>
  <c r="AI226" i="29"/>
  <c r="AJ226" i="29" s="1"/>
  <c r="AG227" i="29" s="1"/>
  <c r="AE392" i="29"/>
  <c r="AF392" i="29" s="1"/>
  <c r="Y603" i="118" l="1"/>
  <c r="AH603" i="118" s="1"/>
  <c r="AZ467" i="118"/>
  <c r="BI467" i="118" s="1"/>
  <c r="BC467" i="118"/>
  <c r="N468" i="118"/>
  <c r="P468" i="118"/>
  <c r="AD926" i="29"/>
  <c r="AC926" i="29"/>
  <c r="BF235" i="29"/>
  <c r="AD754" i="29"/>
  <c r="AC754" i="29"/>
  <c r="AD581" i="29"/>
  <c r="AC581" i="29"/>
  <c r="Q334" i="118"/>
  <c r="AT334" i="118"/>
  <c r="AK334" i="118"/>
  <c r="AL334" i="118" s="1"/>
  <c r="AP334" i="118"/>
  <c r="BL334" i="118"/>
  <c r="BR334" i="118" s="1"/>
  <c r="AM334" i="118"/>
  <c r="AE334" i="118"/>
  <c r="AF334" i="118" s="1"/>
  <c r="AI334" i="118"/>
  <c r="AJ334" i="118" s="1"/>
  <c r="AC67" i="118"/>
  <c r="AW67" i="118"/>
  <c r="BF67" i="118" s="1"/>
  <c r="BO67" i="118"/>
  <c r="AQ67" i="118"/>
  <c r="Z67" i="118"/>
  <c r="X202" i="118"/>
  <c r="AX244" i="29"/>
  <c r="AR237" i="29"/>
  <c r="AS586" i="29"/>
  <c r="BI587" i="29"/>
  <c r="AS760" i="29"/>
  <c r="BI761" i="29"/>
  <c r="BJ237" i="29"/>
  <c r="AQ418" i="29"/>
  <c r="BH418" i="29"/>
  <c r="BJ418" i="29"/>
  <c r="AQ942" i="29"/>
  <c r="BJ942" i="29"/>
  <c r="BH942" i="29"/>
  <c r="AS410" i="29"/>
  <c r="BI411" i="29"/>
  <c r="AQ246" i="29"/>
  <c r="BH246" i="29"/>
  <c r="AQ595" i="29"/>
  <c r="BJ595" i="29"/>
  <c r="BH595" i="29"/>
  <c r="AQ768" i="29"/>
  <c r="BJ768" i="29"/>
  <c r="BH768" i="29"/>
  <c r="AS236" i="29"/>
  <c r="BI237" i="29"/>
  <c r="BG236" i="29"/>
  <c r="BE236" i="29"/>
  <c r="BC236" i="29"/>
  <c r="BB235" i="29"/>
  <c r="BA236" i="29"/>
  <c r="BD234" i="29"/>
  <c r="AT233" i="29"/>
  <c r="AZ236" i="29"/>
  <c r="AT767" i="29"/>
  <c r="AR942" i="29"/>
  <c r="AY942" i="29"/>
  <c r="AN943" i="29"/>
  <c r="BD768" i="29"/>
  <c r="BB768" i="29"/>
  <c r="AY768" i="29"/>
  <c r="BG768" i="29"/>
  <c r="AZ768" i="29"/>
  <c r="BE768" i="29"/>
  <c r="AR768" i="29"/>
  <c r="BF768" i="29"/>
  <c r="AX768" i="29"/>
  <c r="BA768" i="29"/>
  <c r="BC768" i="29"/>
  <c r="AN769" i="29"/>
  <c r="BB418" i="29"/>
  <c r="BA418" i="29"/>
  <c r="AZ418" i="29"/>
  <c r="BD418" i="29"/>
  <c r="BF418" i="29"/>
  <c r="AX418" i="29"/>
  <c r="AR418" i="29"/>
  <c r="BG418" i="29"/>
  <c r="BC418" i="29"/>
  <c r="BE418" i="29"/>
  <c r="AY418" i="29"/>
  <c r="AN419" i="29"/>
  <c r="BE595" i="29"/>
  <c r="AX595" i="29"/>
  <c r="BA595" i="29"/>
  <c r="BD595" i="29"/>
  <c r="AR595" i="29"/>
  <c r="AY595" i="29"/>
  <c r="BG595" i="29"/>
  <c r="AZ595" i="29"/>
  <c r="BC595" i="29"/>
  <c r="BF595" i="29"/>
  <c r="AN596" i="29"/>
  <c r="AY246" i="29"/>
  <c r="AN247" i="29"/>
  <c r="AT417" i="29"/>
  <c r="AT592" i="29"/>
  <c r="BB593" i="29"/>
  <c r="BB594" i="29" s="1"/>
  <c r="AT594" i="29" s="1"/>
  <c r="AC393" i="29"/>
  <c r="AK393" i="29" s="1"/>
  <c r="AO393" i="29" s="1"/>
  <c r="AD393" i="29"/>
  <c r="AH945" i="29"/>
  <c r="AI945" i="29" s="1"/>
  <c r="AJ945" i="29" s="1"/>
  <c r="AG946" i="29" s="1"/>
  <c r="AH769" i="29"/>
  <c r="AH591" i="29"/>
  <c r="AI591" i="29" s="1"/>
  <c r="AJ591" i="29" s="1"/>
  <c r="AG592" i="29" s="1"/>
  <c r="AH227" i="29"/>
  <c r="AH400" i="29"/>
  <c r="AE218" i="29"/>
  <c r="AF218" i="29" s="1"/>
  <c r="Z603" i="118" l="1"/>
  <c r="AQ603" i="118"/>
  <c r="AW603" i="118"/>
  <c r="BF603" i="118" s="1"/>
  <c r="AC603" i="118"/>
  <c r="AX603" i="118" s="1"/>
  <c r="BG603" i="118" s="1"/>
  <c r="BO603" i="118"/>
  <c r="AE926" i="29"/>
  <c r="AF926" i="29" s="1"/>
  <c r="AK926" i="29"/>
  <c r="AO926" i="29" s="1"/>
  <c r="X468" i="118"/>
  <c r="BF236" i="29"/>
  <c r="AE754" i="29"/>
  <c r="AF754" i="29" s="1"/>
  <c r="AK754" i="29"/>
  <c r="AO754" i="29" s="1"/>
  <c r="AK581" i="29"/>
  <c r="AO581" i="29" s="1"/>
  <c r="AE581" i="29"/>
  <c r="AF581" i="29" s="1"/>
  <c r="AZ334" i="118"/>
  <c r="BI334" i="118" s="1"/>
  <c r="BC334" i="118"/>
  <c r="N335" i="118"/>
  <c r="P335" i="118"/>
  <c r="BB595" i="29"/>
  <c r="AT595" i="29" s="1"/>
  <c r="O67" i="118"/>
  <c r="AX67" i="118"/>
  <c r="BG67" i="118" s="1"/>
  <c r="AD67" i="118"/>
  <c r="BP67" i="118"/>
  <c r="AA202" i="118"/>
  <c r="AB202" i="118" s="1"/>
  <c r="Y202" i="118"/>
  <c r="AC202" i="118" s="1"/>
  <c r="AX245" i="29"/>
  <c r="AS411" i="29"/>
  <c r="BI412" i="29"/>
  <c r="AS587" i="29"/>
  <c r="BI588" i="29"/>
  <c r="BJ238" i="29"/>
  <c r="AQ247" i="29"/>
  <c r="BH247" i="29"/>
  <c r="AS237" i="29"/>
  <c r="BI238" i="29"/>
  <c r="AS761" i="29"/>
  <c r="BI762" i="29"/>
  <c r="AQ596" i="29"/>
  <c r="BJ596" i="29"/>
  <c r="BH596" i="29"/>
  <c r="AQ419" i="29"/>
  <c r="BJ419" i="29"/>
  <c r="BH419" i="29"/>
  <c r="AQ769" i="29"/>
  <c r="BH769" i="29"/>
  <c r="BJ769" i="29"/>
  <c r="AQ943" i="29"/>
  <c r="BJ943" i="29"/>
  <c r="BH943" i="29"/>
  <c r="AR238" i="29"/>
  <c r="AT768" i="29"/>
  <c r="BA237" i="29"/>
  <c r="BC237" i="29"/>
  <c r="BG237" i="29"/>
  <c r="BB236" i="29"/>
  <c r="BE237" i="29"/>
  <c r="AT593" i="29"/>
  <c r="BD235" i="29"/>
  <c r="AT234" i="29"/>
  <c r="BD596" i="29"/>
  <c r="AX596" i="29"/>
  <c r="AR596" i="29"/>
  <c r="BF596" i="29"/>
  <c r="BC596" i="29"/>
  <c r="BA596" i="29"/>
  <c r="AZ596" i="29"/>
  <c r="BE596" i="29"/>
  <c r="BG596" i="29"/>
  <c r="AY596" i="29"/>
  <c r="AN597" i="29"/>
  <c r="AT418" i="29"/>
  <c r="BG769" i="29"/>
  <c r="BD769" i="29"/>
  <c r="BF769" i="29"/>
  <c r="AZ769" i="29"/>
  <c r="BE769" i="29"/>
  <c r="BB769" i="29"/>
  <c r="AX769" i="29"/>
  <c r="BC769" i="29"/>
  <c r="BA769" i="29"/>
  <c r="AR769" i="29"/>
  <c r="AY769" i="29"/>
  <c r="AN770" i="29"/>
  <c r="AY247" i="29"/>
  <c r="AN248" i="29"/>
  <c r="BC419" i="29"/>
  <c r="AX419" i="29"/>
  <c r="AR419" i="29"/>
  <c r="AY419" i="29"/>
  <c r="BD419" i="29"/>
  <c r="BB419" i="29"/>
  <c r="AZ419" i="29"/>
  <c r="BF419" i="29"/>
  <c r="BE419" i="29"/>
  <c r="BG419" i="29"/>
  <c r="BA419" i="29"/>
  <c r="AN420" i="29"/>
  <c r="AR943" i="29"/>
  <c r="AY943" i="29"/>
  <c r="AN944" i="29"/>
  <c r="AZ237" i="29"/>
  <c r="AC219" i="29"/>
  <c r="AK219" i="29" s="1"/>
  <c r="AO219" i="29" s="1"/>
  <c r="AD219" i="29"/>
  <c r="AI769" i="29"/>
  <c r="AJ769" i="29" s="1"/>
  <c r="AG770" i="29" s="1"/>
  <c r="AH946" i="29"/>
  <c r="AH592" i="29"/>
  <c r="AI227" i="29"/>
  <c r="AJ227" i="29" s="1"/>
  <c r="AG228" i="29" s="1"/>
  <c r="AI400" i="29"/>
  <c r="AJ400" i="29" s="1"/>
  <c r="AG401" i="29" s="1"/>
  <c r="AE393" i="29"/>
  <c r="AF393" i="29" s="1"/>
  <c r="BB596" i="29" l="1"/>
  <c r="AT596" i="29" s="1"/>
  <c r="O603" i="118"/>
  <c r="AE603" i="118" s="1"/>
  <c r="AF603" i="118" s="1"/>
  <c r="BP603" i="118"/>
  <c r="AD603" i="118"/>
  <c r="AA468" i="118"/>
  <c r="AB468" i="118" s="1"/>
  <c r="Y468" i="118"/>
  <c r="AH468" i="118" s="1"/>
  <c r="AD927" i="29"/>
  <c r="AC927" i="29"/>
  <c r="BF237" i="29"/>
  <c r="AC755" i="29"/>
  <c r="AD755" i="29"/>
  <c r="AD582" i="29"/>
  <c r="AC582" i="29"/>
  <c r="X335" i="118"/>
  <c r="Q67" i="118"/>
  <c r="AK67" i="118"/>
  <c r="AL67" i="118" s="1"/>
  <c r="AT67" i="118"/>
  <c r="BL67" i="118"/>
  <c r="BR67" i="118" s="1"/>
  <c r="AP67" i="118"/>
  <c r="AM67" i="118"/>
  <c r="AI67" i="118"/>
  <c r="AJ67" i="118" s="1"/>
  <c r="AE67" i="118"/>
  <c r="AF67" i="118" s="1"/>
  <c r="AH202" i="118"/>
  <c r="BO202" i="118"/>
  <c r="AQ202" i="118"/>
  <c r="AW202" i="118"/>
  <c r="BF202" i="118" s="1"/>
  <c r="Z202" i="118"/>
  <c r="O202" i="118"/>
  <c r="AX202" i="118"/>
  <c r="BG202" i="118" s="1"/>
  <c r="AD202" i="118"/>
  <c r="BP202" i="118"/>
  <c r="AX246" i="29"/>
  <c r="AQ597" i="29"/>
  <c r="BH597" i="29"/>
  <c r="BJ597" i="29"/>
  <c r="AS762" i="29"/>
  <c r="BI763" i="29"/>
  <c r="AQ248" i="29"/>
  <c r="BH248" i="29"/>
  <c r="AS238" i="29"/>
  <c r="BI239" i="29"/>
  <c r="AQ944" i="29"/>
  <c r="BH944" i="29"/>
  <c r="BJ944" i="29"/>
  <c r="AQ420" i="29"/>
  <c r="BJ420" i="29"/>
  <c r="BH420" i="29"/>
  <c r="AR239" i="29"/>
  <c r="BJ239" i="29"/>
  <c r="AS588" i="29"/>
  <c r="BI589" i="29"/>
  <c r="AS412" i="29"/>
  <c r="BI413" i="29"/>
  <c r="AQ770" i="29"/>
  <c r="BH770" i="29"/>
  <c r="BJ770" i="29"/>
  <c r="BC238" i="29"/>
  <c r="BE238" i="29"/>
  <c r="BG238" i="29"/>
  <c r="BA238" i="29"/>
  <c r="BB237" i="29"/>
  <c r="BD236" i="29"/>
  <c r="AT235" i="29"/>
  <c r="AT769" i="29"/>
  <c r="AY944" i="29"/>
  <c r="AR944" i="29"/>
  <c r="AN945" i="29"/>
  <c r="BG420" i="29"/>
  <c r="AX420" i="29"/>
  <c r="AY420" i="29"/>
  <c r="BE420" i="29"/>
  <c r="BC420" i="29"/>
  <c r="AR420" i="29"/>
  <c r="BA420" i="29"/>
  <c r="BD420" i="29"/>
  <c r="BB420" i="29"/>
  <c r="AZ420" i="29"/>
  <c r="BF420" i="29"/>
  <c r="AN421" i="29"/>
  <c r="BA597" i="29"/>
  <c r="AY597" i="29"/>
  <c r="BF597" i="29"/>
  <c r="BG597" i="29"/>
  <c r="AZ597" i="29"/>
  <c r="BD597" i="29"/>
  <c r="BC597" i="29"/>
  <c r="AR597" i="29"/>
  <c r="AX597" i="29"/>
  <c r="BE597" i="29"/>
  <c r="AN598" i="29"/>
  <c r="AZ238" i="29"/>
  <c r="AT419" i="29"/>
  <c r="AY248" i="29"/>
  <c r="AN249" i="29"/>
  <c r="AZ770" i="29"/>
  <c r="BA770" i="29"/>
  <c r="BB770" i="29"/>
  <c r="AY770" i="29"/>
  <c r="BG770" i="29"/>
  <c r="BE770" i="29"/>
  <c r="BF770" i="29"/>
  <c r="BD770" i="29"/>
  <c r="AR770" i="29"/>
  <c r="BC770" i="29"/>
  <c r="AX770" i="29"/>
  <c r="AN771" i="29"/>
  <c r="AH770" i="29"/>
  <c r="AI770" i="29" s="1"/>
  <c r="AJ770" i="29" s="1"/>
  <c r="AG771" i="29" s="1"/>
  <c r="AD394" i="29"/>
  <c r="AC394" i="29"/>
  <c r="AK394" i="29" s="1"/>
  <c r="AO394" i="29" s="1"/>
  <c r="AI946" i="29"/>
  <c r="AJ946" i="29" s="1"/>
  <c r="AG947" i="29" s="1"/>
  <c r="AI592" i="29"/>
  <c r="AJ592" i="29" s="1"/>
  <c r="AG593" i="29" s="1"/>
  <c r="AH228" i="29"/>
  <c r="AI228" i="29" s="1"/>
  <c r="AJ228" i="29" s="1"/>
  <c r="AG229" i="29" s="1"/>
  <c r="AH401" i="29"/>
  <c r="AE219" i="29"/>
  <c r="AF219" i="29" s="1"/>
  <c r="BB597" i="29" l="1"/>
  <c r="Q603" i="118"/>
  <c r="N604" i="118" s="1"/>
  <c r="BL603" i="118"/>
  <c r="BR603" i="118" s="1"/>
  <c r="AT603" i="118"/>
  <c r="AK603" i="118"/>
  <c r="AL603" i="118" s="1"/>
  <c r="AI603" i="118"/>
  <c r="AJ603" i="118" s="1"/>
  <c r="AM603" i="118"/>
  <c r="AP603" i="118"/>
  <c r="AK927" i="29"/>
  <c r="AO927" i="29" s="1"/>
  <c r="AE927" i="29"/>
  <c r="AF927" i="29" s="1"/>
  <c r="AC468" i="118"/>
  <c r="BO468" i="118"/>
  <c r="AW468" i="118"/>
  <c r="BF468" i="118" s="1"/>
  <c r="AQ468" i="118"/>
  <c r="Z468" i="118"/>
  <c r="BF238" i="29"/>
  <c r="AK755" i="29"/>
  <c r="AO755" i="29" s="1"/>
  <c r="AE755" i="29"/>
  <c r="AF755" i="29" s="1"/>
  <c r="AE582" i="29"/>
  <c r="AF582" i="29" s="1"/>
  <c r="AK582" i="29"/>
  <c r="AO582" i="29" s="1"/>
  <c r="Y335" i="118"/>
  <c r="AH335" i="118" s="1"/>
  <c r="AA335" i="118"/>
  <c r="AB335" i="118" s="1"/>
  <c r="AZ67" i="118"/>
  <c r="BI67" i="118" s="1"/>
  <c r="BC67" i="118"/>
  <c r="N68" i="118"/>
  <c r="P68" i="118"/>
  <c r="AT202" i="118"/>
  <c r="AK202" i="118"/>
  <c r="AL202" i="118" s="1"/>
  <c r="BL202" i="118"/>
  <c r="BR202" i="118" s="1"/>
  <c r="Q202" i="118"/>
  <c r="AP202" i="118"/>
  <c r="AI202" i="118"/>
  <c r="AJ202" i="118" s="1"/>
  <c r="AM202" i="118"/>
  <c r="AE202" i="118"/>
  <c r="AF202" i="118" s="1"/>
  <c r="AX247" i="29"/>
  <c r="AQ249" i="29"/>
  <c r="BH249" i="29"/>
  <c r="AQ421" i="29"/>
  <c r="BJ421" i="29"/>
  <c r="BH421" i="29"/>
  <c r="AS239" i="29"/>
  <c r="BI240" i="29"/>
  <c r="AQ771" i="29"/>
  <c r="BJ771" i="29"/>
  <c r="BH771" i="29"/>
  <c r="BJ240" i="29"/>
  <c r="AR240" i="29"/>
  <c r="AS763" i="29"/>
  <c r="BI764" i="29"/>
  <c r="AQ598" i="29"/>
  <c r="BH598" i="29"/>
  <c r="BJ598" i="29"/>
  <c r="AQ945" i="29"/>
  <c r="BH945" i="29"/>
  <c r="BJ945" i="29"/>
  <c r="AS413" i="29"/>
  <c r="BI414" i="29"/>
  <c r="AS589" i="29"/>
  <c r="BI590" i="29"/>
  <c r="BA239" i="29"/>
  <c r="BE239" i="29"/>
  <c r="BB238" i="29"/>
  <c r="BG239" i="29"/>
  <c r="BC239" i="29"/>
  <c r="BD237" i="29"/>
  <c r="AT236" i="29"/>
  <c r="AT420" i="29"/>
  <c r="AR945" i="29"/>
  <c r="AY945" i="29"/>
  <c r="AN946" i="29"/>
  <c r="AY249" i="29"/>
  <c r="AN250" i="29"/>
  <c r="BC771" i="29"/>
  <c r="AR771" i="29"/>
  <c r="BE771" i="29"/>
  <c r="AX771" i="29"/>
  <c r="AY771" i="29"/>
  <c r="AZ771" i="29"/>
  <c r="BD771" i="29"/>
  <c r="BA771" i="29"/>
  <c r="BF771" i="29"/>
  <c r="BG771" i="29"/>
  <c r="BB771" i="29"/>
  <c r="AN772" i="29"/>
  <c r="AZ239" i="29"/>
  <c r="AY421" i="29"/>
  <c r="BB421" i="29"/>
  <c r="BA421" i="29"/>
  <c r="AZ421" i="29"/>
  <c r="AX421" i="29"/>
  <c r="BG421" i="29"/>
  <c r="BF421" i="29"/>
  <c r="BE421" i="29"/>
  <c r="BD421" i="29"/>
  <c r="BC421" i="29"/>
  <c r="AR421" i="29"/>
  <c r="AN422" i="29"/>
  <c r="AT770" i="29"/>
  <c r="BF598" i="29"/>
  <c r="BG598" i="29"/>
  <c r="BC598" i="29"/>
  <c r="BE598" i="29"/>
  <c r="BB598" i="29"/>
  <c r="BD598" i="29"/>
  <c r="AY598" i="29"/>
  <c r="AX598" i="29"/>
  <c r="AZ598" i="29"/>
  <c r="AR598" i="29"/>
  <c r="BA598" i="29"/>
  <c r="AN599" i="29"/>
  <c r="AT597" i="29"/>
  <c r="AD220" i="29"/>
  <c r="AC220" i="29"/>
  <c r="AK220" i="29" s="1"/>
  <c r="AO220" i="29" s="1"/>
  <c r="AH771" i="29"/>
  <c r="AI771" i="29" s="1"/>
  <c r="AJ771" i="29" s="1"/>
  <c r="AG772" i="29" s="1"/>
  <c r="AH947" i="29"/>
  <c r="AH593" i="29"/>
  <c r="AH229" i="29"/>
  <c r="AI401" i="29"/>
  <c r="AJ401" i="29" s="1"/>
  <c r="AG402" i="29" s="1"/>
  <c r="AE394" i="29"/>
  <c r="AF394" i="29" s="1"/>
  <c r="P604" i="118" l="1"/>
  <c r="X604" i="118" s="1"/>
  <c r="AZ603" i="118"/>
  <c r="BI603" i="118" s="1"/>
  <c r="BC603" i="118"/>
  <c r="AX468" i="118"/>
  <c r="BG468" i="118" s="1"/>
  <c r="AD468" i="118"/>
  <c r="BP468" i="118"/>
  <c r="O468" i="118"/>
  <c r="AC928" i="29"/>
  <c r="AD928" i="29"/>
  <c r="BF239" i="29"/>
  <c r="AC756" i="29"/>
  <c r="AD756" i="29"/>
  <c r="AC583" i="29"/>
  <c r="AD583" i="29"/>
  <c r="AC335" i="118"/>
  <c r="BO335" i="118"/>
  <c r="AW335" i="118"/>
  <c r="BF335" i="118" s="1"/>
  <c r="AQ335" i="118"/>
  <c r="Z335" i="118"/>
  <c r="X68" i="118"/>
  <c r="P203" i="118"/>
  <c r="N203" i="118"/>
  <c r="AZ202" i="118"/>
  <c r="BI202" i="118" s="1"/>
  <c r="BC202" i="118"/>
  <c r="AX248" i="29"/>
  <c r="AQ599" i="29"/>
  <c r="BJ599" i="29"/>
  <c r="BH599" i="29"/>
  <c r="AQ772" i="29"/>
  <c r="BJ772" i="29"/>
  <c r="BH772" i="29"/>
  <c r="AQ946" i="29"/>
  <c r="BJ946" i="29"/>
  <c r="BH946" i="29"/>
  <c r="AS414" i="29"/>
  <c r="BI415" i="29"/>
  <c r="AS764" i="29"/>
  <c r="BI765" i="29"/>
  <c r="AQ250" i="29"/>
  <c r="BH250" i="29"/>
  <c r="AS590" i="29"/>
  <c r="BI591" i="29"/>
  <c r="BJ241" i="29"/>
  <c r="AS240" i="29"/>
  <c r="BI241" i="29"/>
  <c r="AQ422" i="29"/>
  <c r="BJ422" i="29"/>
  <c r="BH422" i="29"/>
  <c r="AR241" i="29"/>
  <c r="BG240" i="29"/>
  <c r="BE240" i="29"/>
  <c r="BC240" i="29"/>
  <c r="BB239" i="29"/>
  <c r="BA240" i="29"/>
  <c r="BD238" i="29"/>
  <c r="AT237" i="29"/>
  <c r="AT598" i="29"/>
  <c r="AZ240" i="29"/>
  <c r="AT771" i="29"/>
  <c r="BG599" i="29"/>
  <c r="BA599" i="29"/>
  <c r="AZ599" i="29"/>
  <c r="BD599" i="29"/>
  <c r="BB599" i="29"/>
  <c r="BE599" i="29"/>
  <c r="BF599" i="29"/>
  <c r="BC599" i="29"/>
  <c r="AR599" i="29"/>
  <c r="AY599" i="29"/>
  <c r="AX599" i="29"/>
  <c r="AN600" i="29"/>
  <c r="AX422" i="29"/>
  <c r="AR422" i="29"/>
  <c r="AY422" i="29"/>
  <c r="BC422" i="29"/>
  <c r="BA422" i="29"/>
  <c r="BG422" i="29"/>
  <c r="BF422" i="29"/>
  <c r="BE422" i="29"/>
  <c r="AZ422" i="29"/>
  <c r="BB422" i="29"/>
  <c r="BD422" i="29"/>
  <c r="AN423" i="29"/>
  <c r="AZ772" i="29"/>
  <c r="BA772" i="29"/>
  <c r="BF772" i="29"/>
  <c r="AY772" i="29"/>
  <c r="BC772" i="29"/>
  <c r="AR772" i="29"/>
  <c r="BD772" i="29"/>
  <c r="AX772" i="29"/>
  <c r="BE772" i="29"/>
  <c r="BB772" i="29"/>
  <c r="BG772" i="29"/>
  <c r="AN773" i="29"/>
  <c r="AR946" i="29"/>
  <c r="AY946" i="29"/>
  <c r="AN947" i="29"/>
  <c r="AT421" i="29"/>
  <c r="AY250" i="29"/>
  <c r="AN251" i="29"/>
  <c r="AC395" i="29"/>
  <c r="AK395" i="29" s="1"/>
  <c r="AO395" i="29" s="1"/>
  <c r="AD395" i="29"/>
  <c r="AI947" i="29"/>
  <c r="AJ947" i="29" s="1"/>
  <c r="AG948" i="29" s="1"/>
  <c r="AH772" i="29"/>
  <c r="AI593" i="29"/>
  <c r="AJ593" i="29" s="1"/>
  <c r="AG594" i="29" s="1"/>
  <c r="AH402" i="29"/>
  <c r="AI229" i="29"/>
  <c r="AJ229" i="29" s="1"/>
  <c r="AG230" i="29" s="1"/>
  <c r="AE220" i="29"/>
  <c r="AF220" i="29" s="1"/>
  <c r="Y604" i="118" l="1"/>
  <c r="AC604" i="118" s="1"/>
  <c r="AD604" i="118" s="1"/>
  <c r="AA604" i="118"/>
  <c r="AB604" i="118" s="1"/>
  <c r="AK928" i="29"/>
  <c r="AO928" i="29" s="1"/>
  <c r="AE928" i="29"/>
  <c r="AF928" i="29" s="1"/>
  <c r="AI468" i="118"/>
  <c r="AJ468" i="118" s="1"/>
  <c r="Q468" i="118"/>
  <c r="AT468" i="118"/>
  <c r="AK468" i="118"/>
  <c r="AL468" i="118" s="1"/>
  <c r="BL468" i="118"/>
  <c r="BR468" i="118" s="1"/>
  <c r="AP468" i="118"/>
  <c r="AM468" i="118"/>
  <c r="AE468" i="118"/>
  <c r="AF468" i="118" s="1"/>
  <c r="BF240" i="29"/>
  <c r="AE756" i="29"/>
  <c r="AF756" i="29" s="1"/>
  <c r="AK756" i="29"/>
  <c r="AO756" i="29" s="1"/>
  <c r="AE583" i="29"/>
  <c r="AF583" i="29" s="1"/>
  <c r="AK583" i="29"/>
  <c r="AO583" i="29" s="1"/>
  <c r="O335" i="118"/>
  <c r="BP335" i="118"/>
  <c r="AX335" i="118"/>
  <c r="BG335" i="118" s="1"/>
  <c r="AD335" i="118"/>
  <c r="Y68" i="118"/>
  <c r="AA68" i="118"/>
  <c r="AB68" i="118" s="1"/>
  <c r="X203" i="118"/>
  <c r="AX249" i="29"/>
  <c r="AQ947" i="29"/>
  <c r="BJ947" i="29"/>
  <c r="BH947" i="29"/>
  <c r="AQ773" i="29"/>
  <c r="BH773" i="29"/>
  <c r="BJ773" i="29"/>
  <c r="AQ423" i="29"/>
  <c r="BH423" i="29"/>
  <c r="BJ423" i="29"/>
  <c r="AQ600" i="29"/>
  <c r="BJ600" i="29"/>
  <c r="BH600" i="29"/>
  <c r="AR242" i="29"/>
  <c r="AS415" i="29"/>
  <c r="BI416" i="29"/>
  <c r="AS241" i="29"/>
  <c r="BI242" i="29"/>
  <c r="BJ242" i="29"/>
  <c r="AS765" i="29"/>
  <c r="BI766" i="29"/>
  <c r="AQ251" i="29"/>
  <c r="BH251" i="29"/>
  <c r="AS591" i="29"/>
  <c r="BI592" i="29"/>
  <c r="BB240" i="29"/>
  <c r="BE241" i="29"/>
  <c r="BA241" i="29"/>
  <c r="BC241" i="29"/>
  <c r="BG241" i="29"/>
  <c r="BD239" i="29"/>
  <c r="AT238" i="29"/>
  <c r="AT772" i="29"/>
  <c r="BF600" i="29"/>
  <c r="BC600" i="29"/>
  <c r="AR600" i="29"/>
  <c r="AX600" i="29"/>
  <c r="AZ600" i="29"/>
  <c r="BG600" i="29"/>
  <c r="BB600" i="29"/>
  <c r="BA600" i="29"/>
  <c r="BE600" i="29"/>
  <c r="BD600" i="29"/>
  <c r="AY600" i="29"/>
  <c r="AN601" i="29"/>
  <c r="AZ241" i="29"/>
  <c r="BA773" i="29"/>
  <c r="BD773" i="29"/>
  <c r="BB773" i="29"/>
  <c r="BC773" i="29"/>
  <c r="BE773" i="29"/>
  <c r="AR773" i="29"/>
  <c r="AX773" i="29"/>
  <c r="BG773" i="29"/>
  <c r="BF773" i="29"/>
  <c r="AZ773" i="29"/>
  <c r="AY773" i="29"/>
  <c r="AN774" i="29"/>
  <c r="AT422" i="29"/>
  <c r="AY251" i="29"/>
  <c r="AN252" i="29"/>
  <c r="AR947" i="29"/>
  <c r="AY947" i="29"/>
  <c r="AN948" i="29"/>
  <c r="AY423" i="29"/>
  <c r="AZ423" i="29"/>
  <c r="BF423" i="29"/>
  <c r="BA423" i="29"/>
  <c r="BG423" i="29"/>
  <c r="AR423" i="29"/>
  <c r="BD423" i="29"/>
  <c r="BC423" i="29"/>
  <c r="BE423" i="29"/>
  <c r="BB423" i="29"/>
  <c r="AX423" i="29"/>
  <c r="AN424" i="29"/>
  <c r="AT599" i="29"/>
  <c r="AC221" i="29"/>
  <c r="AK221" i="29" s="1"/>
  <c r="AO221" i="29" s="1"/>
  <c r="AD221" i="29"/>
  <c r="AI402" i="29"/>
  <c r="AJ402" i="29" s="1"/>
  <c r="AG403" i="29" s="1"/>
  <c r="AH948" i="29"/>
  <c r="AI772" i="29"/>
  <c r="AJ772" i="29" s="1"/>
  <c r="AG773" i="29" s="1"/>
  <c r="AH594" i="29"/>
  <c r="AI594" i="29" s="1"/>
  <c r="AJ594" i="29" s="1"/>
  <c r="AG595" i="29" s="1"/>
  <c r="AH230" i="29"/>
  <c r="AE395" i="29"/>
  <c r="AF395" i="29" s="1"/>
  <c r="AH604" i="118" l="1"/>
  <c r="Z604" i="118"/>
  <c r="AW604" i="118"/>
  <c r="BF604" i="118" s="1"/>
  <c r="O604" i="118"/>
  <c r="AE604" i="118" s="1"/>
  <c r="AF604" i="118" s="1"/>
  <c r="AQ604" i="118"/>
  <c r="BP604" i="118"/>
  <c r="BO604" i="118"/>
  <c r="AX604" i="118"/>
  <c r="BG604" i="118" s="1"/>
  <c r="P469" i="118"/>
  <c r="N469" i="118"/>
  <c r="AD929" i="29"/>
  <c r="AC929" i="29"/>
  <c r="AZ468" i="118"/>
  <c r="BI468" i="118" s="1"/>
  <c r="BC468" i="118"/>
  <c r="BF241" i="29"/>
  <c r="AC757" i="29"/>
  <c r="AD757" i="29"/>
  <c r="AD584" i="29"/>
  <c r="AC584" i="29"/>
  <c r="AP335" i="118"/>
  <c r="AT335" i="118"/>
  <c r="AK335" i="118"/>
  <c r="AL335" i="118" s="1"/>
  <c r="Q335" i="118"/>
  <c r="BL335" i="118"/>
  <c r="BR335" i="118" s="1"/>
  <c r="AM335" i="118"/>
  <c r="AI335" i="118"/>
  <c r="AJ335" i="118" s="1"/>
  <c r="AE335" i="118"/>
  <c r="AF335" i="118" s="1"/>
  <c r="BO68" i="118"/>
  <c r="AW68" i="118"/>
  <c r="BF68" i="118" s="1"/>
  <c r="AQ68" i="118"/>
  <c r="Z68" i="118"/>
  <c r="AH68" i="118"/>
  <c r="AC68" i="118"/>
  <c r="AA203" i="118"/>
  <c r="AB203" i="118" s="1"/>
  <c r="Y203" i="118"/>
  <c r="AH203" i="118" s="1"/>
  <c r="AX250" i="29"/>
  <c r="AQ601" i="29"/>
  <c r="BH601" i="29"/>
  <c r="BJ601" i="29"/>
  <c r="AQ424" i="29"/>
  <c r="BH424" i="29"/>
  <c r="BJ424" i="29"/>
  <c r="AQ948" i="29"/>
  <c r="BH948" i="29"/>
  <c r="BJ948" i="29"/>
  <c r="BJ243" i="29"/>
  <c r="AS416" i="29"/>
  <c r="BI417" i="29"/>
  <c r="AS592" i="29"/>
  <c r="BI593" i="29"/>
  <c r="AS766" i="29"/>
  <c r="BI767" i="29"/>
  <c r="AS242" i="29"/>
  <c r="BI243" i="29"/>
  <c r="BI244" i="29" s="1"/>
  <c r="AQ252" i="29"/>
  <c r="BH252" i="29"/>
  <c r="AQ774" i="29"/>
  <c r="BH774" i="29"/>
  <c r="BJ774" i="29"/>
  <c r="AR243" i="29"/>
  <c r="BC242" i="29"/>
  <c r="BE242" i="29"/>
  <c r="BG242" i="29"/>
  <c r="BA242" i="29"/>
  <c r="BB241" i="29"/>
  <c r="BD240" i="29"/>
  <c r="AT239" i="29"/>
  <c r="AY252" i="29"/>
  <c r="AN253" i="29"/>
  <c r="AZ242" i="29"/>
  <c r="AZ424" i="29"/>
  <c r="BB424" i="29"/>
  <c r="BA424" i="29"/>
  <c r="AY424" i="29"/>
  <c r="BG424" i="29"/>
  <c r="BF424" i="29"/>
  <c r="BE424" i="29"/>
  <c r="BC424" i="29"/>
  <c r="AX424" i="29"/>
  <c r="BD424" i="29"/>
  <c r="AR424" i="29"/>
  <c r="AN425" i="29"/>
  <c r="AX774" i="29"/>
  <c r="BC774" i="29"/>
  <c r="BG774" i="29"/>
  <c r="AZ774" i="29"/>
  <c r="BB774" i="29"/>
  <c r="AR774" i="29"/>
  <c r="BE774" i="29"/>
  <c r="BD774" i="29"/>
  <c r="BF774" i="29"/>
  <c r="AY774" i="29"/>
  <c r="BA774" i="29"/>
  <c r="AN775" i="29"/>
  <c r="BE601" i="29"/>
  <c r="BC601" i="29"/>
  <c r="AX601" i="29"/>
  <c r="AR601" i="29"/>
  <c r="AZ601" i="29"/>
  <c r="BG601" i="29"/>
  <c r="BB601" i="29"/>
  <c r="BA601" i="29"/>
  <c r="AY601" i="29"/>
  <c r="BF601" i="29"/>
  <c r="BD601" i="29"/>
  <c r="AN602" i="29"/>
  <c r="AT600" i="29"/>
  <c r="AT423" i="29"/>
  <c r="AY948" i="29"/>
  <c r="AR948" i="29"/>
  <c r="AN949" i="29"/>
  <c r="AT773" i="29"/>
  <c r="AH403" i="29"/>
  <c r="AI403" i="29" s="1"/>
  <c r="AJ403" i="29" s="1"/>
  <c r="AG404" i="29" s="1"/>
  <c r="AD396" i="29"/>
  <c r="AC396" i="29"/>
  <c r="AK396" i="29" s="1"/>
  <c r="AO396" i="29" s="1"/>
  <c r="AI948" i="29"/>
  <c r="AJ948" i="29" s="1"/>
  <c r="AG949" i="29" s="1"/>
  <c r="AH773" i="29"/>
  <c r="AH595" i="29"/>
  <c r="AI230" i="29"/>
  <c r="AJ230" i="29" s="1"/>
  <c r="AG231" i="29" s="1"/>
  <c r="AE221" i="29"/>
  <c r="AF221" i="29" s="1"/>
  <c r="AT604" i="118" l="1"/>
  <c r="AZ604" i="118" s="1"/>
  <c r="BI604" i="118" s="1"/>
  <c r="AK604" i="118"/>
  <c r="AL604" i="118" s="1"/>
  <c r="AI604" i="118"/>
  <c r="AJ604" i="118" s="1"/>
  <c r="AM604" i="118"/>
  <c r="AP604" i="118"/>
  <c r="BL604" i="118"/>
  <c r="BR604" i="118" s="1"/>
  <c r="Q604" i="118"/>
  <c r="P605" i="118" s="1"/>
  <c r="X469" i="118"/>
  <c r="AE929" i="29"/>
  <c r="AF929" i="29" s="1"/>
  <c r="AK929" i="29"/>
  <c r="AO929" i="29" s="1"/>
  <c r="BF242" i="29"/>
  <c r="AK757" i="29"/>
  <c r="AO757" i="29" s="1"/>
  <c r="AE757" i="29"/>
  <c r="AF757" i="29" s="1"/>
  <c r="AE584" i="29"/>
  <c r="AF584" i="29" s="1"/>
  <c r="AK584" i="29"/>
  <c r="AO584" i="29" s="1"/>
  <c r="P336" i="118"/>
  <c r="N336" i="118"/>
  <c r="AZ335" i="118"/>
  <c r="BI335" i="118" s="1"/>
  <c r="BC335" i="118"/>
  <c r="AX68" i="118"/>
  <c r="BG68" i="118" s="1"/>
  <c r="AD68" i="118"/>
  <c r="BP68" i="118"/>
  <c r="O68" i="118"/>
  <c r="AC203" i="118"/>
  <c r="BO203" i="118"/>
  <c r="AQ203" i="118"/>
  <c r="AW203" i="118"/>
  <c r="BF203" i="118" s="1"/>
  <c r="Z203" i="118"/>
  <c r="AR244" i="29"/>
  <c r="AS767" i="29"/>
  <c r="BI768" i="29"/>
  <c r="AS417" i="29"/>
  <c r="BI418" i="29"/>
  <c r="AX251" i="29"/>
  <c r="BI245" i="29"/>
  <c r="AS593" i="29"/>
  <c r="BI594" i="29"/>
  <c r="BJ244" i="29"/>
  <c r="AQ602" i="29"/>
  <c r="BH602" i="29"/>
  <c r="BJ602" i="29"/>
  <c r="AQ949" i="29"/>
  <c r="BH949" i="29"/>
  <c r="BJ949" i="29"/>
  <c r="AQ425" i="29"/>
  <c r="BJ425" i="29"/>
  <c r="BH425" i="29"/>
  <c r="AS243" i="29"/>
  <c r="AQ775" i="29"/>
  <c r="BJ775" i="29"/>
  <c r="BH775" i="29"/>
  <c r="AQ253" i="29"/>
  <c r="BH253" i="29"/>
  <c r="BA243" i="29"/>
  <c r="BE243" i="29"/>
  <c r="BB242" i="29"/>
  <c r="BG243" i="29"/>
  <c r="BC243" i="29"/>
  <c r="BD241" i="29"/>
  <c r="AT240" i="29"/>
  <c r="BE602" i="29"/>
  <c r="AR602" i="29"/>
  <c r="AX602" i="29"/>
  <c r="AZ602" i="29"/>
  <c r="BF602" i="29"/>
  <c r="BC602" i="29"/>
  <c r="BG602" i="29"/>
  <c r="BB602" i="29"/>
  <c r="BD602" i="29"/>
  <c r="BA602" i="29"/>
  <c r="AY602" i="29"/>
  <c r="AN603" i="29"/>
  <c r="AT601" i="29"/>
  <c r="AZ243" i="29"/>
  <c r="AY253" i="29"/>
  <c r="AT774" i="29"/>
  <c r="AR425" i="29"/>
  <c r="BC425" i="29"/>
  <c r="BD425" i="29"/>
  <c r="BF425" i="29"/>
  <c r="BA425" i="29"/>
  <c r="BB425" i="29"/>
  <c r="BG425" i="29"/>
  <c r="AX425" i="29"/>
  <c r="BE425" i="29"/>
  <c r="AY425" i="29"/>
  <c r="AZ425" i="29"/>
  <c r="AN426" i="29"/>
  <c r="AT424" i="29"/>
  <c r="AR949" i="29"/>
  <c r="AY949" i="29"/>
  <c r="AN950" i="29"/>
  <c r="AY775" i="29"/>
  <c r="BA775" i="29"/>
  <c r="BD775" i="29"/>
  <c r="BF775" i="29"/>
  <c r="BE775" i="29"/>
  <c r="AZ775" i="29"/>
  <c r="BG775" i="29"/>
  <c r="BB775" i="29"/>
  <c r="AX775" i="29"/>
  <c r="BC775" i="29"/>
  <c r="AR775" i="29"/>
  <c r="AN776" i="29"/>
  <c r="AH404" i="29"/>
  <c r="AI404" i="29" s="1"/>
  <c r="AJ404" i="29" s="1"/>
  <c r="AG405" i="29" s="1"/>
  <c r="AH949" i="29"/>
  <c r="AI949" i="29" s="1"/>
  <c r="AJ949" i="29" s="1"/>
  <c r="AG950" i="29" s="1"/>
  <c r="AD222" i="29"/>
  <c r="AC222" i="29"/>
  <c r="AK222" i="29" s="1"/>
  <c r="AO222" i="29" s="1"/>
  <c r="AI595" i="29"/>
  <c r="AJ595" i="29" s="1"/>
  <c r="AG596" i="29" s="1"/>
  <c r="AI773" i="29"/>
  <c r="AJ773" i="29" s="1"/>
  <c r="AG774" i="29" s="1"/>
  <c r="AH231" i="29"/>
  <c r="AE396" i="29"/>
  <c r="AF396" i="29" s="1"/>
  <c r="N605" i="118" l="1"/>
  <c r="X605" i="118" s="1"/>
  <c r="BC604" i="118"/>
  <c r="AC930" i="29"/>
  <c r="AD930" i="29"/>
  <c r="AA469" i="118"/>
  <c r="AB469" i="118" s="1"/>
  <c r="Y469" i="118"/>
  <c r="AH469" i="118" s="1"/>
  <c r="BF243" i="29"/>
  <c r="AD758" i="29"/>
  <c r="AC758" i="29"/>
  <c r="AC585" i="29"/>
  <c r="AD585" i="29"/>
  <c r="X336" i="118"/>
  <c r="AP68" i="118"/>
  <c r="AT68" i="118"/>
  <c r="BL68" i="118"/>
  <c r="BR68" i="118" s="1"/>
  <c r="Q68" i="118"/>
  <c r="AK68" i="118"/>
  <c r="AL68" i="118" s="1"/>
  <c r="AI68" i="118"/>
  <c r="AJ68" i="118" s="1"/>
  <c r="AE68" i="118"/>
  <c r="AF68" i="118" s="1"/>
  <c r="AM68" i="118"/>
  <c r="AX203" i="118"/>
  <c r="BG203" i="118" s="1"/>
  <c r="BP203" i="118"/>
  <c r="AD203" i="118"/>
  <c r="O203" i="118"/>
  <c r="BG244" i="29"/>
  <c r="BE244" i="29"/>
  <c r="BJ245" i="29"/>
  <c r="AS245" i="29" s="1"/>
  <c r="BI246" i="29"/>
  <c r="AR245" i="29"/>
  <c r="AZ244" i="29"/>
  <c r="AX252" i="29"/>
  <c r="AS768" i="29"/>
  <c r="BI769" i="29"/>
  <c r="AS594" i="29"/>
  <c r="BI595" i="29"/>
  <c r="AS418" i="29"/>
  <c r="BI419" i="29"/>
  <c r="BC244" i="29"/>
  <c r="BA244" i="29"/>
  <c r="AS244" i="29"/>
  <c r="AQ950" i="29"/>
  <c r="BJ950" i="29"/>
  <c r="BH950" i="29"/>
  <c r="AQ776" i="29"/>
  <c r="BJ776" i="29"/>
  <c r="BH776" i="29"/>
  <c r="AQ603" i="29"/>
  <c r="BJ603" i="29"/>
  <c r="BH603" i="29"/>
  <c r="AQ426" i="29"/>
  <c r="BJ426" i="29"/>
  <c r="BH426" i="29"/>
  <c r="BB243" i="29"/>
  <c r="BD242" i="29"/>
  <c r="AT241" i="29"/>
  <c r="AZ776" i="29"/>
  <c r="BG776" i="29"/>
  <c r="BE776" i="29"/>
  <c r="AX776" i="29"/>
  <c r="AR776" i="29"/>
  <c r="BD776" i="29"/>
  <c r="AY776" i="29"/>
  <c r="BC776" i="29"/>
  <c r="BB776" i="29"/>
  <c r="BF776" i="29"/>
  <c r="BA776" i="29"/>
  <c r="AN777" i="29"/>
  <c r="BB426" i="29"/>
  <c r="BA426" i="29"/>
  <c r="AZ426" i="29"/>
  <c r="BD426" i="29"/>
  <c r="BF426" i="29"/>
  <c r="BE426" i="29"/>
  <c r="BG426" i="29"/>
  <c r="AX426" i="29"/>
  <c r="AR426" i="29"/>
  <c r="BC426" i="29"/>
  <c r="AY426" i="29"/>
  <c r="AN427" i="29"/>
  <c r="BG603" i="29"/>
  <c r="BA603" i="29"/>
  <c r="BD603" i="29"/>
  <c r="BB603" i="29"/>
  <c r="AY603" i="29"/>
  <c r="BF603" i="29"/>
  <c r="BE603" i="29"/>
  <c r="AX603" i="29"/>
  <c r="AZ603" i="29"/>
  <c r="BC603" i="29"/>
  <c r="AR603" i="29"/>
  <c r="AT602" i="29"/>
  <c r="AT775" i="29"/>
  <c r="AY950" i="29"/>
  <c r="AR950" i="29"/>
  <c r="AT425" i="29"/>
  <c r="AH950" i="29"/>
  <c r="AI950" i="29" s="1"/>
  <c r="AJ950" i="29" s="1"/>
  <c r="AC397" i="29"/>
  <c r="AK397" i="29" s="1"/>
  <c r="AO397" i="29" s="1"/>
  <c r="AD397" i="29"/>
  <c r="AH596" i="29"/>
  <c r="AI596" i="29" s="1"/>
  <c r="AJ596" i="29" s="1"/>
  <c r="AH774" i="29"/>
  <c r="AH405" i="29"/>
  <c r="AI405" i="29" s="1"/>
  <c r="AJ405" i="29" s="1"/>
  <c r="AG406" i="29" s="1"/>
  <c r="AI231" i="29"/>
  <c r="AJ231" i="29" s="1"/>
  <c r="AG232" i="29" s="1"/>
  <c r="AE222" i="29"/>
  <c r="AF222" i="29" s="1"/>
  <c r="AC469" i="118" l="1"/>
  <c r="AW469" i="118"/>
  <c r="BF469" i="118" s="1"/>
  <c r="AQ469" i="118"/>
  <c r="BO469" i="118"/>
  <c r="Z469" i="118"/>
  <c r="AE930" i="29"/>
  <c r="AF930" i="29" s="1"/>
  <c r="AK930" i="29"/>
  <c r="AO930" i="29" s="1"/>
  <c r="BF244" i="29"/>
  <c r="AK758" i="29"/>
  <c r="AO758" i="29" s="1"/>
  <c r="AE758" i="29"/>
  <c r="AF758" i="29" s="1"/>
  <c r="AA605" i="118"/>
  <c r="AB605" i="118" s="1"/>
  <c r="Y605" i="118"/>
  <c r="AH605" i="118" s="1"/>
  <c r="AK585" i="29"/>
  <c r="AO585" i="29" s="1"/>
  <c r="AE585" i="29"/>
  <c r="AF585" i="29" s="1"/>
  <c r="AA336" i="118"/>
  <c r="AB336" i="118" s="1"/>
  <c r="Y336" i="118"/>
  <c r="AH336" i="118" s="1"/>
  <c r="N69" i="118"/>
  <c r="P69" i="118"/>
  <c r="AZ68" i="118"/>
  <c r="BI68" i="118" s="1"/>
  <c r="BC68" i="118"/>
  <c r="AE203" i="118"/>
  <c r="AF203" i="118" s="1"/>
  <c r="Q203" i="118"/>
  <c r="AP203" i="118"/>
  <c r="AK203" i="118"/>
  <c r="AL203" i="118" s="1"/>
  <c r="BL203" i="118"/>
  <c r="BR203" i="118" s="1"/>
  <c r="AT203" i="118"/>
  <c r="AI203" i="118"/>
  <c r="AJ203" i="118" s="1"/>
  <c r="AM203" i="118"/>
  <c r="BA245" i="29"/>
  <c r="AS769" i="29"/>
  <c r="BI770" i="29"/>
  <c r="BG245" i="29"/>
  <c r="BB244" i="29"/>
  <c r="BI596" i="29"/>
  <c r="AS595" i="29"/>
  <c r="BI247" i="29"/>
  <c r="BC245" i="29"/>
  <c r="AX253" i="29"/>
  <c r="AZ245" i="29"/>
  <c r="AR246" i="29"/>
  <c r="BE245" i="29"/>
  <c r="BJ246" i="29"/>
  <c r="AS246" i="29" s="1"/>
  <c r="AS419" i="29"/>
  <c r="BI420" i="29"/>
  <c r="AQ427" i="29"/>
  <c r="BH427" i="29"/>
  <c r="BJ427" i="29"/>
  <c r="AQ777" i="29"/>
  <c r="BH777" i="29"/>
  <c r="BJ777" i="29"/>
  <c r="BD243" i="29"/>
  <c r="BD244" i="29" s="1"/>
  <c r="AT242" i="29"/>
  <c r="AT603" i="29"/>
  <c r="AT426" i="29"/>
  <c r="AR777" i="29"/>
  <c r="AX777" i="29"/>
  <c r="BF777" i="29"/>
  <c r="BD777" i="29"/>
  <c r="AZ777" i="29"/>
  <c r="BE777" i="29"/>
  <c r="AY777" i="29"/>
  <c r="BG777" i="29"/>
  <c r="BA777" i="29"/>
  <c r="BC777" i="29"/>
  <c r="BB777" i="29"/>
  <c r="AT776" i="29"/>
  <c r="BF427" i="29"/>
  <c r="BE427" i="29"/>
  <c r="AZ427" i="29"/>
  <c r="BG427" i="29"/>
  <c r="BA427" i="29"/>
  <c r="BC427" i="29"/>
  <c r="AR427" i="29"/>
  <c r="AY427" i="29"/>
  <c r="BD427" i="29"/>
  <c r="BB427" i="29"/>
  <c r="AX427" i="29"/>
  <c r="AC223" i="29"/>
  <c r="AK223" i="29" s="1"/>
  <c r="AO223" i="29" s="1"/>
  <c r="AD223" i="29"/>
  <c r="AG597" i="29"/>
  <c r="AH597" i="29"/>
  <c r="AI774" i="29"/>
  <c r="AJ774" i="29" s="1"/>
  <c r="AG775" i="29" s="1"/>
  <c r="AH232" i="29"/>
  <c r="AH406" i="29"/>
  <c r="AE397" i="29"/>
  <c r="AF397" i="29" s="1"/>
  <c r="AD931" i="29" l="1"/>
  <c r="AC931" i="29"/>
  <c r="BP469" i="118"/>
  <c r="AX469" i="118"/>
  <c r="BG469" i="118" s="1"/>
  <c r="AD469" i="118"/>
  <c r="O469" i="118"/>
  <c r="BF245" i="29"/>
  <c r="AC605" i="118"/>
  <c r="AQ605" i="118"/>
  <c r="AW605" i="118"/>
  <c r="BF605" i="118" s="1"/>
  <c r="BO605" i="118"/>
  <c r="Z605" i="118"/>
  <c r="AD759" i="29"/>
  <c r="AC759" i="29"/>
  <c r="AD586" i="29"/>
  <c r="AC586" i="29"/>
  <c r="AC336" i="118"/>
  <c r="AD336" i="118" s="1"/>
  <c r="AW336" i="118"/>
  <c r="BF336" i="118" s="1"/>
  <c r="AQ336" i="118"/>
  <c r="BO336" i="118"/>
  <c r="Z336" i="118"/>
  <c r="X69" i="118"/>
  <c r="AZ203" i="118"/>
  <c r="BI203" i="118" s="1"/>
  <c r="BC203" i="118"/>
  <c r="P204" i="118"/>
  <c r="N204" i="118"/>
  <c r="BG246" i="29"/>
  <c r="BD245" i="29"/>
  <c r="BI248" i="29"/>
  <c r="BE246" i="29"/>
  <c r="AZ246" i="29"/>
  <c r="BI597" i="29"/>
  <c r="AS596" i="29"/>
  <c r="BA246" i="29"/>
  <c r="AS420" i="29"/>
  <c r="BI421" i="29"/>
  <c r="BJ247" i="29"/>
  <c r="AR247" i="29"/>
  <c r="AT244" i="29"/>
  <c r="BC246" i="29"/>
  <c r="BB245" i="29"/>
  <c r="AS770" i="29"/>
  <c r="BI771" i="29"/>
  <c r="AT243" i="29"/>
  <c r="AT427" i="29"/>
  <c r="AT777" i="29"/>
  <c r="AI597" i="29"/>
  <c r="AJ597" i="29" s="1"/>
  <c r="AG598" i="29" s="1"/>
  <c r="AD398" i="29"/>
  <c r="AC398" i="29"/>
  <c r="AK398" i="29" s="1"/>
  <c r="AO398" i="29" s="1"/>
  <c r="AH775" i="29"/>
  <c r="AI775" i="29" s="1"/>
  <c r="AJ775" i="29" s="1"/>
  <c r="AG776" i="29" s="1"/>
  <c r="AI232" i="29"/>
  <c r="AJ232" i="29" s="1"/>
  <c r="AG233" i="29" s="1"/>
  <c r="AI406" i="29"/>
  <c r="AJ406" i="29" s="1"/>
  <c r="AG407" i="29" s="1"/>
  <c r="AE223" i="29"/>
  <c r="AF223" i="29" s="1"/>
  <c r="Q469" i="118" l="1"/>
  <c r="BL469" i="118"/>
  <c r="BR469" i="118" s="1"/>
  <c r="AP469" i="118"/>
  <c r="AT469" i="118"/>
  <c r="AK469" i="118"/>
  <c r="AL469" i="118" s="1"/>
  <c r="AM469" i="118"/>
  <c r="AI469" i="118"/>
  <c r="AJ469" i="118" s="1"/>
  <c r="AE469" i="118"/>
  <c r="AF469" i="118" s="1"/>
  <c r="AE931" i="29"/>
  <c r="AF931" i="29" s="1"/>
  <c r="AK931" i="29"/>
  <c r="AO931" i="29" s="1"/>
  <c r="BF246" i="29"/>
  <c r="O605" i="118"/>
  <c r="AE605" i="118" s="1"/>
  <c r="AF605" i="118" s="1"/>
  <c r="AX605" i="118"/>
  <c r="BG605" i="118" s="1"/>
  <c r="AD605" i="118"/>
  <c r="BP605" i="118"/>
  <c r="AK759" i="29"/>
  <c r="AO759" i="29" s="1"/>
  <c r="AE759" i="29"/>
  <c r="AF759" i="29" s="1"/>
  <c r="AE586" i="29"/>
  <c r="AF586" i="29" s="1"/>
  <c r="AK586" i="29"/>
  <c r="AO586" i="29" s="1"/>
  <c r="O336" i="118"/>
  <c r="AP336" i="118" s="1"/>
  <c r="BP336" i="118"/>
  <c r="AX336" i="118"/>
  <c r="BG336" i="118" s="1"/>
  <c r="AA69" i="118"/>
  <c r="AB69" i="118" s="1"/>
  <c r="Y69" i="118"/>
  <c r="AC69" i="118" s="1"/>
  <c r="X204" i="118"/>
  <c r="BB246" i="29"/>
  <c r="BE247" i="29"/>
  <c r="AS771" i="29"/>
  <c r="BI772" i="29"/>
  <c r="AR248" i="29"/>
  <c r="AS421" i="29"/>
  <c r="BI422" i="29"/>
  <c r="AT245" i="29"/>
  <c r="BI249" i="29"/>
  <c r="BG247" i="29"/>
  <c r="AZ247" i="29"/>
  <c r="BD246" i="29"/>
  <c r="BC247" i="29"/>
  <c r="BJ248" i="29"/>
  <c r="AS248" i="29" s="1"/>
  <c r="BA247" i="29"/>
  <c r="AS597" i="29"/>
  <c r="BI598" i="29"/>
  <c r="AS247" i="29"/>
  <c r="AH598" i="29"/>
  <c r="AI598" i="29" s="1"/>
  <c r="AJ598" i="29" s="1"/>
  <c r="AG599" i="29" s="1"/>
  <c r="AD224" i="29"/>
  <c r="AC224" i="29"/>
  <c r="AK224" i="29" s="1"/>
  <c r="AO224" i="29" s="1"/>
  <c r="AH776" i="29"/>
  <c r="AI776" i="29" s="1"/>
  <c r="AJ776" i="29" s="1"/>
  <c r="AG777" i="29" s="1"/>
  <c r="AH233" i="29"/>
  <c r="AH407" i="29"/>
  <c r="AE398" i="29"/>
  <c r="AF398" i="29" s="1"/>
  <c r="AZ469" i="118" l="1"/>
  <c r="BI469" i="118" s="1"/>
  <c r="BC469" i="118"/>
  <c r="AC932" i="29"/>
  <c r="AD932" i="29"/>
  <c r="N470" i="118"/>
  <c r="P470" i="118"/>
  <c r="BF247" i="29"/>
  <c r="AD760" i="29"/>
  <c r="AC760" i="29"/>
  <c r="AM605" i="118"/>
  <c r="Q605" i="118"/>
  <c r="AK605" i="118"/>
  <c r="AL605" i="118" s="1"/>
  <c r="AP605" i="118"/>
  <c r="AT605" i="118"/>
  <c r="BL605" i="118"/>
  <c r="BR605" i="118" s="1"/>
  <c r="AI605" i="118"/>
  <c r="AJ605" i="118" s="1"/>
  <c r="AD587" i="29"/>
  <c r="AC587" i="29"/>
  <c r="AM336" i="118"/>
  <c r="AT336" i="118"/>
  <c r="AZ336" i="118" s="1"/>
  <c r="BI336" i="118" s="1"/>
  <c r="Q336" i="118"/>
  <c r="N337" i="118" s="1"/>
  <c r="BL336" i="118"/>
  <c r="BR336" i="118" s="1"/>
  <c r="AK336" i="118"/>
  <c r="AL336" i="118" s="1"/>
  <c r="AE336" i="118"/>
  <c r="AF336" i="118" s="1"/>
  <c r="AI336" i="118"/>
  <c r="AJ336" i="118" s="1"/>
  <c r="AT246" i="29"/>
  <c r="AH69" i="118"/>
  <c r="BP69" i="118"/>
  <c r="AD69" i="118"/>
  <c r="AX69" i="118"/>
  <c r="BG69" i="118" s="1"/>
  <c r="AW69" i="118"/>
  <c r="BF69" i="118" s="1"/>
  <c r="BO69" i="118"/>
  <c r="AQ69" i="118"/>
  <c r="Z69" i="118"/>
  <c r="O69" i="118"/>
  <c r="AE69" i="118" s="1"/>
  <c r="AF69" i="118" s="1"/>
  <c r="Y204" i="118"/>
  <c r="AC204" i="118" s="1"/>
  <c r="AA204" i="118"/>
  <c r="AB204" i="118" s="1"/>
  <c r="BA248" i="29"/>
  <c r="BC248" i="29"/>
  <c r="AZ248" i="29"/>
  <c r="AS422" i="29"/>
  <c r="BI423" i="29"/>
  <c r="BI773" i="29"/>
  <c r="AS772" i="29"/>
  <c r="AS598" i="29"/>
  <c r="BI599" i="29"/>
  <c r="BJ249" i="29"/>
  <c r="AS249" i="29" s="1"/>
  <c r="BD247" i="29"/>
  <c r="BI250" i="29"/>
  <c r="AR249" i="29"/>
  <c r="BG248" i="29"/>
  <c r="BE248" i="29"/>
  <c r="BB247" i="29"/>
  <c r="AH599" i="29"/>
  <c r="AI599" i="29" s="1"/>
  <c r="AJ599" i="29" s="1"/>
  <c r="AG600" i="29" s="1"/>
  <c r="AC399" i="29"/>
  <c r="AK399" i="29" s="1"/>
  <c r="AO399" i="29" s="1"/>
  <c r="AD399" i="29"/>
  <c r="AH777" i="29"/>
  <c r="AI777" i="29" s="1"/>
  <c r="AJ777" i="29" s="1"/>
  <c r="AI233" i="29"/>
  <c r="AJ233" i="29" s="1"/>
  <c r="AG234" i="29" s="1"/>
  <c r="AI407" i="29"/>
  <c r="AJ407" i="29" s="1"/>
  <c r="AG408" i="29" s="1"/>
  <c r="AE224" i="29"/>
  <c r="AF224" i="29" s="1"/>
  <c r="AE932" i="29" l="1"/>
  <c r="AF932" i="29" s="1"/>
  <c r="AK932" i="29"/>
  <c r="AO932" i="29" s="1"/>
  <c r="X470" i="118"/>
  <c r="BF248" i="29"/>
  <c r="AZ605" i="118"/>
  <c r="BI605" i="118" s="1"/>
  <c r="BC605" i="118"/>
  <c r="AE760" i="29"/>
  <c r="AF760" i="29" s="1"/>
  <c r="AK760" i="29"/>
  <c r="AO760" i="29" s="1"/>
  <c r="P606" i="118"/>
  <c r="N606" i="118"/>
  <c r="BC336" i="118"/>
  <c r="AE587" i="29"/>
  <c r="AF587" i="29" s="1"/>
  <c r="AK587" i="29"/>
  <c r="AO587" i="29" s="1"/>
  <c r="P337" i="118"/>
  <c r="X337" i="118" s="1"/>
  <c r="Q69" i="118"/>
  <c r="AK69" i="118"/>
  <c r="AL69" i="118" s="1"/>
  <c r="BL69" i="118"/>
  <c r="BR69" i="118" s="1"/>
  <c r="AT69" i="118"/>
  <c r="AP69" i="118"/>
  <c r="AI69" i="118"/>
  <c r="AJ69" i="118" s="1"/>
  <c r="AM69" i="118"/>
  <c r="BP204" i="118"/>
  <c r="AX204" i="118"/>
  <c r="BG204" i="118" s="1"/>
  <c r="AD204" i="118"/>
  <c r="O204" i="118"/>
  <c r="AH204" i="118"/>
  <c r="AW204" i="118"/>
  <c r="BF204" i="118" s="1"/>
  <c r="BO204" i="118"/>
  <c r="AQ204" i="118"/>
  <c r="Z204" i="118"/>
  <c r="BD248" i="29"/>
  <c r="BI600" i="29"/>
  <c r="AS599" i="29"/>
  <c r="BB248" i="29"/>
  <c r="BG249" i="29"/>
  <c r="BI251" i="29"/>
  <c r="AS773" i="29"/>
  <c r="BI774" i="29"/>
  <c r="AZ249" i="29"/>
  <c r="AR250" i="29"/>
  <c r="BJ250" i="29"/>
  <c r="AS250" i="29" s="1"/>
  <c r="BI424" i="29"/>
  <c r="AS423" i="29"/>
  <c r="AT247" i="29"/>
  <c r="BA249" i="29"/>
  <c r="BC249" i="29"/>
  <c r="BE249" i="29"/>
  <c r="AH600" i="29"/>
  <c r="AI600" i="29" s="1"/>
  <c r="AJ600" i="29" s="1"/>
  <c r="AG601" i="29" s="1"/>
  <c r="AC225" i="29"/>
  <c r="AK225" i="29" s="1"/>
  <c r="AO225" i="29" s="1"/>
  <c r="AD225" i="29"/>
  <c r="AH234" i="29"/>
  <c r="AH408" i="29"/>
  <c r="AE399" i="29"/>
  <c r="AF399" i="29" s="1"/>
  <c r="Y470" i="118" l="1"/>
  <c r="AC470" i="118" s="1"/>
  <c r="O470" i="118" s="1"/>
  <c r="AA470" i="118"/>
  <c r="AB470" i="118" s="1"/>
  <c r="AD933" i="29"/>
  <c r="AC933" i="29"/>
  <c r="AT248" i="29"/>
  <c r="BF249" i="29"/>
  <c r="AC761" i="29"/>
  <c r="AD761" i="29"/>
  <c r="X606" i="118"/>
  <c r="AC588" i="29"/>
  <c r="AD588" i="29"/>
  <c r="Y337" i="118"/>
  <c r="AH337" i="118" s="1"/>
  <c r="AA337" i="118"/>
  <c r="AB337" i="118" s="1"/>
  <c r="AZ69" i="118"/>
  <c r="BI69" i="118" s="1"/>
  <c r="BC69" i="118"/>
  <c r="N70" i="118"/>
  <c r="P70" i="118"/>
  <c r="AT204" i="118"/>
  <c r="AK204" i="118"/>
  <c r="AL204" i="118" s="1"/>
  <c r="BL204" i="118"/>
  <c r="BR204" i="118" s="1"/>
  <c r="AP204" i="118"/>
  <c r="Q204" i="118"/>
  <c r="AM204" i="118"/>
  <c r="AI204" i="118"/>
  <c r="AJ204" i="118" s="1"/>
  <c r="AE204" i="118"/>
  <c r="AF204" i="118" s="1"/>
  <c r="BC250" i="29"/>
  <c r="BG250" i="29"/>
  <c r="BI601" i="29"/>
  <c r="AS600" i="29"/>
  <c r="AR251" i="29"/>
  <c r="AZ250" i="29"/>
  <c r="BI252" i="29"/>
  <c r="BE250" i="29"/>
  <c r="AS424" i="29"/>
  <c r="BI425" i="29"/>
  <c r="AS774" i="29"/>
  <c r="BI775" i="29"/>
  <c r="BB249" i="29"/>
  <c r="BD249" i="29"/>
  <c r="BA250" i="29"/>
  <c r="BJ251" i="29"/>
  <c r="AS251" i="29" s="1"/>
  <c r="AD400" i="29"/>
  <c r="AC400" i="29"/>
  <c r="AK400" i="29" s="1"/>
  <c r="AO400" i="29" s="1"/>
  <c r="AH601" i="29"/>
  <c r="AI601" i="29" s="1"/>
  <c r="AJ601" i="29" s="1"/>
  <c r="AG602" i="29" s="1"/>
  <c r="AI234" i="29"/>
  <c r="AJ234" i="29" s="1"/>
  <c r="AG235" i="29" s="1"/>
  <c r="AI408" i="29"/>
  <c r="AJ408" i="29" s="1"/>
  <c r="AG409" i="29" s="1"/>
  <c r="AE225" i="29"/>
  <c r="AF225" i="29" s="1"/>
  <c r="AP470" i="118" l="1"/>
  <c r="Q470" i="118"/>
  <c r="AK470" i="118"/>
  <c r="AL470" i="118" s="1"/>
  <c r="BL470" i="118"/>
  <c r="AT470" i="118"/>
  <c r="AM470" i="118"/>
  <c r="AI470" i="118"/>
  <c r="AJ470" i="118" s="1"/>
  <c r="AE933" i="29"/>
  <c r="AF933" i="29" s="1"/>
  <c r="AK933" i="29"/>
  <c r="AO933" i="29" s="1"/>
  <c r="AX470" i="118"/>
  <c r="BG470" i="118" s="1"/>
  <c r="BP470" i="118"/>
  <c r="AD470" i="118"/>
  <c r="AH470" i="118"/>
  <c r="AW470" i="118"/>
  <c r="BF470" i="118" s="1"/>
  <c r="AQ470" i="118"/>
  <c r="BO470" i="118"/>
  <c r="AE470" i="118"/>
  <c r="AF470" i="118" s="1"/>
  <c r="Z470" i="118"/>
  <c r="BF250" i="29"/>
  <c r="AK761" i="29"/>
  <c r="AO761" i="29" s="1"/>
  <c r="AE761" i="29"/>
  <c r="AF761" i="29" s="1"/>
  <c r="Y606" i="118"/>
  <c r="AC606" i="118" s="1"/>
  <c r="AA606" i="118"/>
  <c r="AB606" i="118" s="1"/>
  <c r="AE588" i="29"/>
  <c r="AF588" i="29" s="1"/>
  <c r="AK588" i="29"/>
  <c r="AO588" i="29" s="1"/>
  <c r="AC337" i="118"/>
  <c r="AQ337" i="118"/>
  <c r="AW337" i="118"/>
  <c r="BF337" i="118" s="1"/>
  <c r="BO337" i="118"/>
  <c r="Z337" i="118"/>
  <c r="X70" i="118"/>
  <c r="N205" i="118"/>
  <c r="P205" i="118"/>
  <c r="AZ204" i="118"/>
  <c r="BI204" i="118" s="1"/>
  <c r="BC204" i="118"/>
  <c r="BA251" i="29"/>
  <c r="BB250" i="29"/>
  <c r="AZ251" i="29"/>
  <c r="BG251" i="29"/>
  <c r="AS775" i="29"/>
  <c r="BI776" i="29"/>
  <c r="BI253" i="29"/>
  <c r="AT249" i="29"/>
  <c r="BI602" i="29"/>
  <c r="AS601" i="29"/>
  <c r="BC251" i="29"/>
  <c r="BI426" i="29"/>
  <c r="AS425" i="29"/>
  <c r="BJ252" i="29"/>
  <c r="AS252" i="29" s="1"/>
  <c r="BD250" i="29"/>
  <c r="BE251" i="29"/>
  <c r="AR252" i="29"/>
  <c r="AD226" i="29"/>
  <c r="AC226" i="29"/>
  <c r="AK226" i="29" s="1"/>
  <c r="AO226" i="29" s="1"/>
  <c r="AH602" i="29"/>
  <c r="AI602" i="29" s="1"/>
  <c r="AJ602" i="29" s="1"/>
  <c r="AG603" i="29" s="1"/>
  <c r="AH235" i="29"/>
  <c r="AH409" i="29"/>
  <c r="AE400" i="29"/>
  <c r="AF400" i="29" s="1"/>
  <c r="AC934" i="29" l="1"/>
  <c r="AD934" i="29"/>
  <c r="BR470" i="118"/>
  <c r="N471" i="118"/>
  <c r="P471" i="118"/>
  <c r="BC470" i="118"/>
  <c r="AZ470" i="118"/>
  <c r="BI470" i="118" s="1"/>
  <c r="BF251" i="29"/>
  <c r="AH606" i="118"/>
  <c r="BO606" i="118"/>
  <c r="AW606" i="118"/>
  <c r="BF606" i="118" s="1"/>
  <c r="AQ606" i="118"/>
  <c r="Z606" i="118"/>
  <c r="O606" i="118"/>
  <c r="AE606" i="118" s="1"/>
  <c r="AF606" i="118" s="1"/>
  <c r="BP606" i="118"/>
  <c r="AX606" i="118"/>
  <c r="BG606" i="118" s="1"/>
  <c r="AD606" i="118"/>
  <c r="AD762" i="29"/>
  <c r="AC762" i="29"/>
  <c r="AC589" i="29"/>
  <c r="AD589" i="29"/>
  <c r="O337" i="118"/>
  <c r="AX337" i="118"/>
  <c r="BG337" i="118" s="1"/>
  <c r="AD337" i="118"/>
  <c r="BP337" i="118"/>
  <c r="Y70" i="118"/>
  <c r="AH70" i="118" s="1"/>
  <c r="AA70" i="118"/>
  <c r="AB70" i="118" s="1"/>
  <c r="X205" i="118"/>
  <c r="BI777" i="29"/>
  <c r="AS777" i="29" s="1"/>
  <c r="AS776" i="29"/>
  <c r="BB251" i="29"/>
  <c r="BD251" i="29"/>
  <c r="BG252" i="29"/>
  <c r="BE252" i="29"/>
  <c r="AS426" i="29"/>
  <c r="BI427" i="29"/>
  <c r="AS427" i="29" s="1"/>
  <c r="BC252" i="29"/>
  <c r="AT250" i="29"/>
  <c r="AS602" i="29"/>
  <c r="BI603" i="29"/>
  <c r="AS603" i="29" s="1"/>
  <c r="AR253" i="29"/>
  <c r="BJ253" i="29"/>
  <c r="AZ252" i="29"/>
  <c r="BA252" i="29"/>
  <c r="AC401" i="29"/>
  <c r="AK401" i="29" s="1"/>
  <c r="AO401" i="29" s="1"/>
  <c r="AD401" i="29"/>
  <c r="AH603" i="29"/>
  <c r="AI603" i="29" s="1"/>
  <c r="AJ603" i="29" s="1"/>
  <c r="AI235" i="29"/>
  <c r="AJ235" i="29" s="1"/>
  <c r="AG236" i="29" s="1"/>
  <c r="AI409" i="29"/>
  <c r="AJ409" i="29" s="1"/>
  <c r="AG410" i="29" s="1"/>
  <c r="AE226" i="29"/>
  <c r="AF226" i="29" s="1"/>
  <c r="X471" i="118" l="1"/>
  <c r="AA471" i="118" s="1"/>
  <c r="AB471" i="118" s="1"/>
  <c r="AK934" i="29"/>
  <c r="AO934" i="29" s="1"/>
  <c r="AE934" i="29"/>
  <c r="AF934" i="29" s="1"/>
  <c r="BF252" i="29"/>
  <c r="AM606" i="118"/>
  <c r="AK606" i="118"/>
  <c r="AL606" i="118" s="1"/>
  <c r="Q606" i="118"/>
  <c r="BL606" i="118"/>
  <c r="BR606" i="118" s="1"/>
  <c r="AP606" i="118"/>
  <c r="AT606" i="118"/>
  <c r="AI606" i="118"/>
  <c r="AJ606" i="118" s="1"/>
  <c r="AE762" i="29"/>
  <c r="AF762" i="29" s="1"/>
  <c r="AK762" i="29"/>
  <c r="AO762" i="29" s="1"/>
  <c r="AE589" i="29"/>
  <c r="AF589" i="29" s="1"/>
  <c r="AK589" i="29"/>
  <c r="AO589" i="29" s="1"/>
  <c r="AI337" i="118"/>
  <c r="AJ337" i="118" s="1"/>
  <c r="AP337" i="118"/>
  <c r="Q337" i="118"/>
  <c r="AK337" i="118"/>
  <c r="AL337" i="118" s="1"/>
  <c r="AT337" i="118"/>
  <c r="BL337" i="118"/>
  <c r="BR337" i="118" s="1"/>
  <c r="AM337" i="118"/>
  <c r="AE337" i="118"/>
  <c r="AF337" i="118" s="1"/>
  <c r="AT251" i="29"/>
  <c r="AC70" i="118"/>
  <c r="O70" i="118" s="1"/>
  <c r="BL70" i="118" s="1"/>
  <c r="BO70" i="118"/>
  <c r="AW70" i="118"/>
  <c r="BF70" i="118" s="1"/>
  <c r="AQ70" i="118"/>
  <c r="Z70" i="118"/>
  <c r="Y205" i="118"/>
  <c r="AC205" i="118" s="1"/>
  <c r="AA205" i="118"/>
  <c r="AB205" i="118" s="1"/>
  <c r="BA253" i="29"/>
  <c r="BC253" i="29"/>
  <c r="BE253" i="29"/>
  <c r="AS253" i="29"/>
  <c r="BD252" i="29"/>
  <c r="BB252" i="29"/>
  <c r="AZ253" i="29"/>
  <c r="BG253" i="29"/>
  <c r="AC227" i="29"/>
  <c r="AK227" i="29" s="1"/>
  <c r="AO227" i="29" s="1"/>
  <c r="AD227" i="29"/>
  <c r="AH236" i="29"/>
  <c r="AH410" i="29"/>
  <c r="AE401" i="29"/>
  <c r="AF401" i="29" s="1"/>
  <c r="Y471" i="118" l="1"/>
  <c r="AC471" i="118" s="1"/>
  <c r="AD471" i="118" s="1"/>
  <c r="AD935" i="29"/>
  <c r="AC935" i="29"/>
  <c r="BF253" i="29"/>
  <c r="N607" i="118"/>
  <c r="P607" i="118"/>
  <c r="AZ606" i="118"/>
  <c r="BI606" i="118" s="1"/>
  <c r="BC606" i="118"/>
  <c r="AD763" i="29"/>
  <c r="AC763" i="29"/>
  <c r="AD590" i="29"/>
  <c r="AC590" i="29"/>
  <c r="N338" i="118"/>
  <c r="P338" i="118"/>
  <c r="AZ337" i="118"/>
  <c r="BI337" i="118" s="1"/>
  <c r="BC337" i="118"/>
  <c r="Q70" i="118"/>
  <c r="N71" i="118" s="1"/>
  <c r="AM70" i="118"/>
  <c r="AD70" i="118"/>
  <c r="AT70" i="118"/>
  <c r="BC70" i="118" s="1"/>
  <c r="BP70" i="118"/>
  <c r="BR70" i="118" s="1"/>
  <c r="AH205" i="118"/>
  <c r="AX70" i="118"/>
  <c r="BG70" i="118" s="1"/>
  <c r="AE70" i="118"/>
  <c r="AF70" i="118" s="1"/>
  <c r="AP70" i="118"/>
  <c r="AI70" i="118"/>
  <c r="AJ70" i="118" s="1"/>
  <c r="AK70" i="118"/>
  <c r="AL70" i="118" s="1"/>
  <c r="O205" i="118"/>
  <c r="AE205" i="118" s="1"/>
  <c r="AF205" i="118" s="1"/>
  <c r="AX205" i="118"/>
  <c r="BG205" i="118" s="1"/>
  <c r="AD205" i="118"/>
  <c r="BP205" i="118"/>
  <c r="AW205" i="118"/>
  <c r="BF205" i="118" s="1"/>
  <c r="BO205" i="118"/>
  <c r="AQ205" i="118"/>
  <c r="Z205" i="118"/>
  <c r="BD253" i="29"/>
  <c r="BB253" i="29"/>
  <c r="AT252" i="29"/>
  <c r="AD402" i="29"/>
  <c r="AC402" i="29"/>
  <c r="AK402" i="29" s="1"/>
  <c r="AO402" i="29" s="1"/>
  <c r="AI236" i="29"/>
  <c r="AJ236" i="29" s="1"/>
  <c r="AG237" i="29" s="1"/>
  <c r="AI410" i="29"/>
  <c r="AJ410" i="29" s="1"/>
  <c r="AG411" i="29" s="1"/>
  <c r="AE227" i="29"/>
  <c r="AF227" i="29" s="1"/>
  <c r="BO471" i="118" l="1"/>
  <c r="AW471" i="118"/>
  <c r="BF471" i="118" s="1"/>
  <c r="O471" i="118"/>
  <c r="AE471" i="118" s="1"/>
  <c r="AF471" i="118" s="1"/>
  <c r="AX471" i="118"/>
  <c r="BG471" i="118" s="1"/>
  <c r="AQ471" i="118"/>
  <c r="BP471" i="118"/>
  <c r="Z471" i="118"/>
  <c r="AH471" i="118"/>
  <c r="AE935" i="29"/>
  <c r="AF935" i="29" s="1"/>
  <c r="AK935" i="29"/>
  <c r="AO935" i="29" s="1"/>
  <c r="AK763" i="29"/>
  <c r="AO763" i="29" s="1"/>
  <c r="AE763" i="29"/>
  <c r="AF763" i="29" s="1"/>
  <c r="X607" i="118"/>
  <c r="AK590" i="29"/>
  <c r="AO590" i="29" s="1"/>
  <c r="AE590" i="29"/>
  <c r="AF590" i="29" s="1"/>
  <c r="X338" i="118"/>
  <c r="P71" i="118"/>
  <c r="X71" i="118" s="1"/>
  <c r="AT253" i="29"/>
  <c r="AZ70" i="118"/>
  <c r="BI70" i="118" s="1"/>
  <c r="Q205" i="118"/>
  <c r="AP205" i="118"/>
  <c r="AT205" i="118"/>
  <c r="AK205" i="118"/>
  <c r="AL205" i="118" s="1"/>
  <c r="BL205" i="118"/>
  <c r="BR205" i="118" s="1"/>
  <c r="AM205" i="118"/>
  <c r="AI205" i="118"/>
  <c r="AJ205" i="118" s="1"/>
  <c r="AD228" i="29"/>
  <c r="AC228" i="29"/>
  <c r="AK228" i="29" s="1"/>
  <c r="AO228" i="29" s="1"/>
  <c r="AH237" i="29"/>
  <c r="AH411" i="29"/>
  <c r="AE402" i="29"/>
  <c r="AF402" i="29" s="1"/>
  <c r="Q471" i="118" l="1"/>
  <c r="N472" i="118" s="1"/>
  <c r="AM471" i="118"/>
  <c r="AP471" i="118"/>
  <c r="AK471" i="118"/>
  <c r="AL471" i="118" s="1"/>
  <c r="AI471" i="118"/>
  <c r="AJ471" i="118" s="1"/>
  <c r="BL471" i="118"/>
  <c r="BR471" i="118" s="1"/>
  <c r="AT471" i="118"/>
  <c r="AZ471" i="118" s="1"/>
  <c r="BI471" i="118" s="1"/>
  <c r="AC936" i="29"/>
  <c r="AD936" i="29"/>
  <c r="AD764" i="29"/>
  <c r="AC764" i="29"/>
  <c r="AA607" i="118"/>
  <c r="AB607" i="118" s="1"/>
  <c r="Y607" i="118"/>
  <c r="AC607" i="118" s="1"/>
  <c r="AD591" i="29"/>
  <c r="AC591" i="29"/>
  <c r="AA338" i="118"/>
  <c r="AB338" i="118" s="1"/>
  <c r="Y338" i="118"/>
  <c r="AC338" i="118" s="1"/>
  <c r="AA71" i="118"/>
  <c r="AB71" i="118" s="1"/>
  <c r="Y71" i="118"/>
  <c r="AH71" i="118" s="1"/>
  <c r="AZ205" i="118"/>
  <c r="BI205" i="118" s="1"/>
  <c r="BC205" i="118"/>
  <c r="P206" i="118"/>
  <c r="N206" i="118"/>
  <c r="AC403" i="29"/>
  <c r="AK403" i="29" s="1"/>
  <c r="AO403" i="29" s="1"/>
  <c r="AD403" i="29"/>
  <c r="AI237" i="29"/>
  <c r="AJ237" i="29" s="1"/>
  <c r="AG238" i="29" s="1"/>
  <c r="AI411" i="29"/>
  <c r="AJ411" i="29" s="1"/>
  <c r="AG412" i="29" s="1"/>
  <c r="AE228" i="29"/>
  <c r="AF228" i="29" s="1"/>
  <c r="P472" i="118" l="1"/>
  <c r="X472" i="118" s="1"/>
  <c r="BC471" i="118"/>
  <c r="AE936" i="29"/>
  <c r="AF936" i="29" s="1"/>
  <c r="AK936" i="29"/>
  <c r="AO936" i="29" s="1"/>
  <c r="O607" i="118"/>
  <c r="AI607" i="118" s="1"/>
  <c r="AJ607" i="118" s="1"/>
  <c r="BP607" i="118"/>
  <c r="AX607" i="118"/>
  <c r="BG607" i="118" s="1"/>
  <c r="AD607" i="118"/>
  <c r="AH607" i="118"/>
  <c r="AW607" i="118"/>
  <c r="BF607" i="118" s="1"/>
  <c r="BO607" i="118"/>
  <c r="AQ607" i="118"/>
  <c r="Z607" i="118"/>
  <c r="AK764" i="29"/>
  <c r="AO764" i="29" s="1"/>
  <c r="AE764" i="29"/>
  <c r="AF764" i="29" s="1"/>
  <c r="AK591" i="29"/>
  <c r="AO591" i="29" s="1"/>
  <c r="AE591" i="29"/>
  <c r="AF591" i="29" s="1"/>
  <c r="AH338" i="118"/>
  <c r="BP338" i="118"/>
  <c r="AX338" i="118"/>
  <c r="BG338" i="118" s="1"/>
  <c r="AD338" i="118"/>
  <c r="AQ338" i="118"/>
  <c r="BO338" i="118"/>
  <c r="AW338" i="118"/>
  <c r="BF338" i="118" s="1"/>
  <c r="Z338" i="118"/>
  <c r="O338" i="118"/>
  <c r="AC71" i="118"/>
  <c r="BO71" i="118"/>
  <c r="AQ71" i="118"/>
  <c r="AW71" i="118"/>
  <c r="BF71" i="118" s="1"/>
  <c r="Z71" i="118"/>
  <c r="X206" i="118"/>
  <c r="AC229" i="29"/>
  <c r="AK229" i="29" s="1"/>
  <c r="AO229" i="29" s="1"/>
  <c r="AD229" i="29"/>
  <c r="AH238" i="29"/>
  <c r="AH412" i="29"/>
  <c r="AI412" i="29" s="1"/>
  <c r="AJ412" i="29" s="1"/>
  <c r="AG413" i="29" s="1"/>
  <c r="AE403" i="29"/>
  <c r="AF403" i="29" s="1"/>
  <c r="AC937" i="29" l="1"/>
  <c r="AD937" i="29"/>
  <c r="AA472" i="118"/>
  <c r="AB472" i="118" s="1"/>
  <c r="Y472" i="118"/>
  <c r="AE607" i="118"/>
  <c r="AF607" i="118" s="1"/>
  <c r="AT607" i="118"/>
  <c r="Q607" i="118"/>
  <c r="AK607" i="118"/>
  <c r="AL607" i="118" s="1"/>
  <c r="AP607" i="118"/>
  <c r="BL607" i="118"/>
  <c r="BR607" i="118" s="1"/>
  <c r="AM607" i="118"/>
  <c r="AD765" i="29"/>
  <c r="AC765" i="29"/>
  <c r="AC592" i="29"/>
  <c r="AD592" i="29"/>
  <c r="AE338" i="118"/>
  <c r="AF338" i="118" s="1"/>
  <c r="Q338" i="118"/>
  <c r="BL338" i="118"/>
  <c r="BR338" i="118" s="1"/>
  <c r="AK338" i="118"/>
  <c r="AL338" i="118" s="1"/>
  <c r="AT338" i="118"/>
  <c r="AP338" i="118"/>
  <c r="AI338" i="118"/>
  <c r="AJ338" i="118" s="1"/>
  <c r="AM338" i="118"/>
  <c r="AD71" i="118"/>
  <c r="BP71" i="118"/>
  <c r="AX71" i="118"/>
  <c r="BG71" i="118" s="1"/>
  <c r="O71" i="118"/>
  <c r="Y206" i="118"/>
  <c r="AA206" i="118"/>
  <c r="AB206" i="118" s="1"/>
  <c r="AD404" i="29"/>
  <c r="AC404" i="29"/>
  <c r="AK404" i="29" s="1"/>
  <c r="AO404" i="29" s="1"/>
  <c r="AH413" i="29"/>
  <c r="AI238" i="29"/>
  <c r="AJ238" i="29" s="1"/>
  <c r="AG239" i="29" s="1"/>
  <c r="AE229" i="29"/>
  <c r="AF229" i="29" s="1"/>
  <c r="AC472" i="118" l="1"/>
  <c r="AQ472" i="118"/>
  <c r="AW472" i="118"/>
  <c r="BF472" i="118" s="1"/>
  <c r="BO472" i="118"/>
  <c r="Z472" i="118"/>
  <c r="AH472" i="118"/>
  <c r="AK937" i="29"/>
  <c r="AO937" i="29" s="1"/>
  <c r="AE937" i="29"/>
  <c r="AF937" i="29" s="1"/>
  <c r="AK765" i="29"/>
  <c r="AO765" i="29" s="1"/>
  <c r="AE765" i="29"/>
  <c r="AF765" i="29" s="1"/>
  <c r="P608" i="118"/>
  <c r="N608" i="118"/>
  <c r="AZ607" i="118"/>
  <c r="BI607" i="118" s="1"/>
  <c r="BC607" i="118"/>
  <c r="AK592" i="29"/>
  <c r="AO592" i="29" s="1"/>
  <c r="AE592" i="29"/>
  <c r="AF592" i="29" s="1"/>
  <c r="N339" i="118"/>
  <c r="P339" i="118"/>
  <c r="AZ338" i="118"/>
  <c r="BI338" i="118" s="1"/>
  <c r="BC338" i="118"/>
  <c r="AE71" i="118"/>
  <c r="AF71" i="118" s="1"/>
  <c r="Q71" i="118"/>
  <c r="BL71" i="118"/>
  <c r="BR71" i="118" s="1"/>
  <c r="AP71" i="118"/>
  <c r="AK71" i="118"/>
  <c r="AL71" i="118" s="1"/>
  <c r="AT71" i="118"/>
  <c r="AM71" i="118"/>
  <c r="AI71" i="118"/>
  <c r="AJ71" i="118" s="1"/>
  <c r="AH206" i="118"/>
  <c r="AW206" i="118"/>
  <c r="BF206" i="118" s="1"/>
  <c r="BO206" i="118"/>
  <c r="AQ206" i="118"/>
  <c r="Z206" i="118"/>
  <c r="AC206" i="118"/>
  <c r="AD230" i="29"/>
  <c r="AC230" i="29"/>
  <c r="AK230" i="29" s="1"/>
  <c r="AO230" i="29" s="1"/>
  <c r="AI413" i="29"/>
  <c r="AJ413" i="29" s="1"/>
  <c r="AG414" i="29" s="1"/>
  <c r="AH239" i="29"/>
  <c r="AE404" i="29"/>
  <c r="AF404" i="29" s="1"/>
  <c r="BP472" i="118" l="1"/>
  <c r="AD472" i="118"/>
  <c r="AX472" i="118"/>
  <c r="BG472" i="118" s="1"/>
  <c r="O472" i="118"/>
  <c r="AD938" i="29"/>
  <c r="AC938" i="29"/>
  <c r="X608" i="118"/>
  <c r="AD766" i="29"/>
  <c r="AC766" i="29"/>
  <c r="AC593" i="29"/>
  <c r="AD593" i="29"/>
  <c r="X339" i="118"/>
  <c r="AZ71" i="118"/>
  <c r="BI71" i="118" s="1"/>
  <c r="BC71" i="118"/>
  <c r="P72" i="118"/>
  <c r="N72" i="118"/>
  <c r="AX206" i="118"/>
  <c r="BG206" i="118" s="1"/>
  <c r="AD206" i="118"/>
  <c r="BP206" i="118"/>
  <c r="O206" i="118"/>
  <c r="AC405" i="29"/>
  <c r="AK405" i="29" s="1"/>
  <c r="AO405" i="29" s="1"/>
  <c r="AD405" i="29"/>
  <c r="AH414" i="29"/>
  <c r="AI414" i="29" s="1"/>
  <c r="AJ414" i="29" s="1"/>
  <c r="AG415" i="29" s="1"/>
  <c r="AI239" i="29"/>
  <c r="AJ239" i="29" s="1"/>
  <c r="AG240" i="29" s="1"/>
  <c r="AE230" i="29"/>
  <c r="AF230" i="29" s="1"/>
  <c r="AE472" i="118" l="1"/>
  <c r="AF472" i="118" s="1"/>
  <c r="Q472" i="118"/>
  <c r="BL472" i="118"/>
  <c r="BR472" i="118" s="1"/>
  <c r="AT472" i="118"/>
  <c r="AK472" i="118"/>
  <c r="AL472" i="118" s="1"/>
  <c r="AP472" i="118"/>
  <c r="AI472" i="118"/>
  <c r="AJ472" i="118" s="1"/>
  <c r="AM472" i="118"/>
  <c r="AE938" i="29"/>
  <c r="AF938" i="29" s="1"/>
  <c r="AK938" i="29"/>
  <c r="AO938" i="29" s="1"/>
  <c r="AA608" i="118"/>
  <c r="AB608" i="118" s="1"/>
  <c r="Y608" i="118"/>
  <c r="AC608" i="118" s="1"/>
  <c r="AE766" i="29"/>
  <c r="AF766" i="29" s="1"/>
  <c r="AK766" i="29"/>
  <c r="AO766" i="29" s="1"/>
  <c r="AE593" i="29"/>
  <c r="AF593" i="29" s="1"/>
  <c r="AK593" i="29"/>
  <c r="AO593" i="29" s="1"/>
  <c r="Y339" i="118"/>
  <c r="AH339" i="118" s="1"/>
  <c r="AA339" i="118"/>
  <c r="AB339" i="118" s="1"/>
  <c r="X72" i="118"/>
  <c r="AP206" i="118"/>
  <c r="BL206" i="118"/>
  <c r="BR206" i="118" s="1"/>
  <c r="AK206" i="118"/>
  <c r="AL206" i="118" s="1"/>
  <c r="Q206" i="118"/>
  <c r="AT206" i="118"/>
  <c r="AM206" i="118"/>
  <c r="AI206" i="118"/>
  <c r="AJ206" i="118" s="1"/>
  <c r="AE206" i="118"/>
  <c r="AF206" i="118" s="1"/>
  <c r="AC231" i="29"/>
  <c r="AK231" i="29" s="1"/>
  <c r="AO231" i="29" s="1"/>
  <c r="AD231" i="29"/>
  <c r="AH240" i="29"/>
  <c r="AH415" i="29"/>
  <c r="AE405" i="29"/>
  <c r="AF405" i="29" s="1"/>
  <c r="AZ472" i="118" l="1"/>
  <c r="BI472" i="118" s="1"/>
  <c r="BC472" i="118"/>
  <c r="P473" i="118"/>
  <c r="N473" i="118"/>
  <c r="AD939" i="29"/>
  <c r="AC939" i="29"/>
  <c r="AC767" i="29"/>
  <c r="AD767" i="29"/>
  <c r="O608" i="118"/>
  <c r="AE608" i="118" s="1"/>
  <c r="AF608" i="118" s="1"/>
  <c r="BP608" i="118"/>
  <c r="AD608" i="118"/>
  <c r="AX608" i="118"/>
  <c r="BG608" i="118" s="1"/>
  <c r="AH608" i="118"/>
  <c r="AW608" i="118"/>
  <c r="BF608" i="118" s="1"/>
  <c r="AQ608" i="118"/>
  <c r="BO608" i="118"/>
  <c r="Z608" i="118"/>
  <c r="AC594" i="29"/>
  <c r="AD594" i="29"/>
  <c r="AC339" i="118"/>
  <c r="AW339" i="118"/>
  <c r="BF339" i="118" s="1"/>
  <c r="AQ339" i="118"/>
  <c r="BO339" i="118"/>
  <c r="Z339" i="118"/>
  <c r="Y72" i="118"/>
  <c r="AA72" i="118"/>
  <c r="AB72" i="118" s="1"/>
  <c r="N207" i="118"/>
  <c r="P207" i="118"/>
  <c r="AZ206" i="118"/>
  <c r="BI206" i="118" s="1"/>
  <c r="BC206" i="118"/>
  <c r="AD406" i="29"/>
  <c r="AC406" i="29"/>
  <c r="AK406" i="29" s="1"/>
  <c r="AO406" i="29" s="1"/>
  <c r="AI240" i="29"/>
  <c r="AJ240" i="29" s="1"/>
  <c r="AG241" i="29" s="1"/>
  <c r="AI415" i="29"/>
  <c r="AJ415" i="29" s="1"/>
  <c r="AG416" i="29" s="1"/>
  <c r="AE231" i="29"/>
  <c r="AF231" i="29" s="1"/>
  <c r="X473" i="118" l="1"/>
  <c r="AE939" i="29"/>
  <c r="AF939" i="29" s="1"/>
  <c r="AK939" i="29"/>
  <c r="AO939" i="29" s="1"/>
  <c r="AM608" i="118"/>
  <c r="BL608" i="118"/>
  <c r="BR608" i="118" s="1"/>
  <c r="Q608" i="118"/>
  <c r="AK608" i="118"/>
  <c r="AL608" i="118" s="1"/>
  <c r="AT608" i="118"/>
  <c r="AP608" i="118"/>
  <c r="AE767" i="29"/>
  <c r="AF767" i="29" s="1"/>
  <c r="AK767" i="29"/>
  <c r="AO767" i="29" s="1"/>
  <c r="AI608" i="118"/>
  <c r="AJ608" i="118" s="1"/>
  <c r="AE594" i="29"/>
  <c r="AF594" i="29" s="1"/>
  <c r="AK594" i="29"/>
  <c r="AO594" i="29" s="1"/>
  <c r="AX339" i="118"/>
  <c r="BG339" i="118" s="1"/>
  <c r="AD339" i="118"/>
  <c r="BP339" i="118"/>
  <c r="O339" i="118"/>
  <c r="AC72" i="118"/>
  <c r="AW72" i="118"/>
  <c r="BF72" i="118" s="1"/>
  <c r="AQ72" i="118"/>
  <c r="BO72" i="118"/>
  <c r="Z72" i="118"/>
  <c r="AH72" i="118"/>
  <c r="X207" i="118"/>
  <c r="AD232" i="29"/>
  <c r="AC232" i="29"/>
  <c r="AK232" i="29" s="1"/>
  <c r="AO232" i="29" s="1"/>
  <c r="AH241" i="29"/>
  <c r="AH416" i="29"/>
  <c r="AE406" i="29"/>
  <c r="AF406" i="29" s="1"/>
  <c r="AD940" i="29" l="1"/>
  <c r="AC940" i="29"/>
  <c r="AA473" i="118"/>
  <c r="AB473" i="118" s="1"/>
  <c r="Y473" i="118"/>
  <c r="BC608" i="118"/>
  <c r="AZ608" i="118"/>
  <c r="BI608" i="118" s="1"/>
  <c r="AD768" i="29"/>
  <c r="AC768" i="29"/>
  <c r="P609" i="118"/>
  <c r="N609" i="118"/>
  <c r="AC595" i="29"/>
  <c r="AD595" i="29"/>
  <c r="Q339" i="118"/>
  <c r="AK339" i="118"/>
  <c r="AL339" i="118" s="1"/>
  <c r="AP339" i="118"/>
  <c r="AT339" i="118"/>
  <c r="BL339" i="118"/>
  <c r="BR339" i="118" s="1"/>
  <c r="AM339" i="118"/>
  <c r="AI339" i="118"/>
  <c r="AJ339" i="118" s="1"/>
  <c r="AE339" i="118"/>
  <c r="AF339" i="118" s="1"/>
  <c r="AD72" i="118"/>
  <c r="BP72" i="118"/>
  <c r="AX72" i="118"/>
  <c r="BG72" i="118" s="1"/>
  <c r="O72" i="118"/>
  <c r="Y207" i="118"/>
  <c r="AA207" i="118"/>
  <c r="AB207" i="118" s="1"/>
  <c r="AC407" i="29"/>
  <c r="AK407" i="29" s="1"/>
  <c r="AO407" i="29" s="1"/>
  <c r="AD407" i="29"/>
  <c r="AI241" i="29"/>
  <c r="AJ241" i="29" s="1"/>
  <c r="AG242" i="29" s="1"/>
  <c r="AI416" i="29"/>
  <c r="AJ416" i="29" s="1"/>
  <c r="AG417" i="29" s="1"/>
  <c r="AE232" i="29"/>
  <c r="AF232" i="29" s="1"/>
  <c r="AQ473" i="118" l="1"/>
  <c r="BO473" i="118"/>
  <c r="AW473" i="118"/>
  <c r="BF473" i="118" s="1"/>
  <c r="Z473" i="118"/>
  <c r="AH473" i="118"/>
  <c r="AE940" i="29"/>
  <c r="AF940" i="29" s="1"/>
  <c r="AK940" i="29"/>
  <c r="AO940" i="29" s="1"/>
  <c r="AC473" i="118"/>
  <c r="X609" i="118"/>
  <c r="AK768" i="29"/>
  <c r="AO768" i="29" s="1"/>
  <c r="AE768" i="29"/>
  <c r="AF768" i="29" s="1"/>
  <c r="AE595" i="29"/>
  <c r="AF595" i="29" s="1"/>
  <c r="AK595" i="29"/>
  <c r="AO595" i="29" s="1"/>
  <c r="AZ339" i="118"/>
  <c r="BI339" i="118" s="1"/>
  <c r="BC339" i="118"/>
  <c r="P340" i="118"/>
  <c r="N340" i="118"/>
  <c r="AE72" i="118"/>
  <c r="AF72" i="118" s="1"/>
  <c r="AK72" i="118"/>
  <c r="AL72" i="118" s="1"/>
  <c r="BL72" i="118"/>
  <c r="BR72" i="118" s="1"/>
  <c r="Q72" i="118"/>
  <c r="AT72" i="118"/>
  <c r="AP72" i="118"/>
  <c r="AI72" i="118"/>
  <c r="AJ72" i="118" s="1"/>
  <c r="AM72" i="118"/>
  <c r="AH207" i="118"/>
  <c r="BO207" i="118"/>
  <c r="AQ207" i="118"/>
  <c r="AW207" i="118"/>
  <c r="BF207" i="118" s="1"/>
  <c r="Z207" i="118"/>
  <c r="AC207" i="118"/>
  <c r="AC233" i="29"/>
  <c r="AK233" i="29" s="1"/>
  <c r="AO233" i="29" s="1"/>
  <c r="AD233" i="29"/>
  <c r="AH242" i="29"/>
  <c r="AH417" i="29"/>
  <c r="AE407" i="29"/>
  <c r="AF407" i="29" s="1"/>
  <c r="AD941" i="29" l="1"/>
  <c r="AC941" i="29"/>
  <c r="AX473" i="118"/>
  <c r="BG473" i="118" s="1"/>
  <c r="BP473" i="118"/>
  <c r="AD473" i="118"/>
  <c r="O473" i="118"/>
  <c r="AC769" i="29"/>
  <c r="AD769" i="29"/>
  <c r="AA609" i="118"/>
  <c r="AB609" i="118" s="1"/>
  <c r="Y609" i="118"/>
  <c r="AH609" i="118" s="1"/>
  <c r="AC596" i="29"/>
  <c r="AD596" i="29"/>
  <c r="X340" i="118"/>
  <c r="AZ72" i="118"/>
  <c r="BI72" i="118" s="1"/>
  <c r="BC72" i="118"/>
  <c r="N73" i="118"/>
  <c r="P73" i="118"/>
  <c r="O207" i="118"/>
  <c r="AE207" i="118" s="1"/>
  <c r="AF207" i="118" s="1"/>
  <c r="AD207" i="118"/>
  <c r="BP207" i="118"/>
  <c r="AX207" i="118"/>
  <c r="BG207" i="118" s="1"/>
  <c r="AD408" i="29"/>
  <c r="AC408" i="29"/>
  <c r="AK408" i="29" s="1"/>
  <c r="AO408" i="29" s="1"/>
  <c r="AI242" i="29"/>
  <c r="AJ242" i="29" s="1"/>
  <c r="AG243" i="29" s="1"/>
  <c r="AI417" i="29"/>
  <c r="AJ417" i="29" s="1"/>
  <c r="AG418" i="29" s="1"/>
  <c r="AE233" i="29"/>
  <c r="AF233" i="29" s="1"/>
  <c r="BL473" i="118" l="1"/>
  <c r="BR473" i="118" s="1"/>
  <c r="Q473" i="118"/>
  <c r="AT473" i="118"/>
  <c r="AK473" i="118"/>
  <c r="AL473" i="118" s="1"/>
  <c r="AP473" i="118"/>
  <c r="AI473" i="118"/>
  <c r="AJ473" i="118" s="1"/>
  <c r="AM473" i="118"/>
  <c r="AK941" i="29"/>
  <c r="AO941" i="29" s="1"/>
  <c r="AE941" i="29"/>
  <c r="AF941" i="29" s="1"/>
  <c r="AE473" i="118"/>
  <c r="AF473" i="118" s="1"/>
  <c r="AK769" i="29"/>
  <c r="AO769" i="29" s="1"/>
  <c r="AE769" i="29"/>
  <c r="AF769" i="29" s="1"/>
  <c r="AC609" i="118"/>
  <c r="AQ609" i="118"/>
  <c r="AW609" i="118"/>
  <c r="BF609" i="118" s="1"/>
  <c r="BO609" i="118"/>
  <c r="Z609" i="118"/>
  <c r="AK596" i="29"/>
  <c r="AO596" i="29" s="1"/>
  <c r="AE596" i="29"/>
  <c r="AF596" i="29" s="1"/>
  <c r="Y340" i="118"/>
  <c r="AC340" i="118" s="1"/>
  <c r="AA340" i="118"/>
  <c r="AB340" i="118" s="1"/>
  <c r="X73" i="118"/>
  <c r="Q207" i="118"/>
  <c r="BL207" i="118"/>
  <c r="BR207" i="118" s="1"/>
  <c r="AT207" i="118"/>
  <c r="AP207" i="118"/>
  <c r="AK207" i="118"/>
  <c r="AL207" i="118" s="1"/>
  <c r="AI207" i="118"/>
  <c r="AJ207" i="118" s="1"/>
  <c r="AM207" i="118"/>
  <c r="AD234" i="29"/>
  <c r="AC234" i="29"/>
  <c r="AK234" i="29" s="1"/>
  <c r="AO234" i="29" s="1"/>
  <c r="AH243" i="29"/>
  <c r="AH418" i="29"/>
  <c r="AI418" i="29" s="1"/>
  <c r="AJ418" i="29" s="1"/>
  <c r="AG419" i="29" s="1"/>
  <c r="AE408" i="29"/>
  <c r="AF408" i="29" s="1"/>
  <c r="AC942" i="29" l="1"/>
  <c r="AD942" i="29"/>
  <c r="AZ473" i="118"/>
  <c r="BI473" i="118" s="1"/>
  <c r="BC473" i="118"/>
  <c r="N474" i="118"/>
  <c r="P474" i="118"/>
  <c r="O609" i="118"/>
  <c r="AX609" i="118"/>
  <c r="BG609" i="118" s="1"/>
  <c r="AD609" i="118"/>
  <c r="BP609" i="118"/>
  <c r="AD770" i="29"/>
  <c r="AC770" i="29"/>
  <c r="AC597" i="29"/>
  <c r="AD597" i="29"/>
  <c r="O340" i="118"/>
  <c r="AE340" i="118" s="1"/>
  <c r="AF340" i="118" s="1"/>
  <c r="AD340" i="118"/>
  <c r="BP340" i="118"/>
  <c r="AX340" i="118"/>
  <c r="BG340" i="118" s="1"/>
  <c r="AH340" i="118"/>
  <c r="AQ340" i="118"/>
  <c r="BO340" i="118"/>
  <c r="AW340" i="118"/>
  <c r="BF340" i="118" s="1"/>
  <c r="Z340" i="118"/>
  <c r="AA73" i="118"/>
  <c r="AB73" i="118" s="1"/>
  <c r="Y73" i="118"/>
  <c r="AZ207" i="118"/>
  <c r="BI207" i="118" s="1"/>
  <c r="BC207" i="118"/>
  <c r="N208" i="118"/>
  <c r="P208" i="118"/>
  <c r="AC409" i="29"/>
  <c r="AK409" i="29" s="1"/>
  <c r="AO409" i="29" s="1"/>
  <c r="AD409" i="29"/>
  <c r="AH419" i="29"/>
  <c r="AI243" i="29"/>
  <c r="AJ243" i="29" s="1"/>
  <c r="AG244" i="29" s="1"/>
  <c r="AE234" i="29"/>
  <c r="AF234" i="29" s="1"/>
  <c r="X474" i="118" l="1"/>
  <c r="AE942" i="29"/>
  <c r="AF942" i="29" s="1"/>
  <c r="AK942" i="29"/>
  <c r="AO942" i="29" s="1"/>
  <c r="AK770" i="29"/>
  <c r="AO770" i="29" s="1"/>
  <c r="AE770" i="29"/>
  <c r="AF770" i="29" s="1"/>
  <c r="AI609" i="118"/>
  <c r="AJ609" i="118" s="1"/>
  <c r="Q609" i="118"/>
  <c r="AP609" i="118"/>
  <c r="AT609" i="118"/>
  <c r="AK609" i="118"/>
  <c r="AL609" i="118" s="1"/>
  <c r="BL609" i="118"/>
  <c r="BR609" i="118" s="1"/>
  <c r="AM609" i="118"/>
  <c r="AE609" i="118"/>
  <c r="AF609" i="118" s="1"/>
  <c r="AE597" i="29"/>
  <c r="AF597" i="29" s="1"/>
  <c r="AK597" i="29"/>
  <c r="AO597" i="29" s="1"/>
  <c r="AM340" i="118"/>
  <c r="AP340" i="118"/>
  <c r="AT340" i="118"/>
  <c r="BL340" i="118"/>
  <c r="BR340" i="118" s="1"/>
  <c r="Q340" i="118"/>
  <c r="AK340" i="118"/>
  <c r="AL340" i="118" s="1"/>
  <c r="AI340" i="118"/>
  <c r="AJ340" i="118" s="1"/>
  <c r="AC73" i="118"/>
  <c r="BO73" i="118"/>
  <c r="AW73" i="118"/>
  <c r="BF73" i="118" s="1"/>
  <c r="AQ73" i="118"/>
  <c r="Z73" i="118"/>
  <c r="AH73" i="118"/>
  <c r="X208" i="118"/>
  <c r="AD235" i="29"/>
  <c r="AC235" i="29"/>
  <c r="AK235" i="29" s="1"/>
  <c r="AO235" i="29" s="1"/>
  <c r="AH244" i="29"/>
  <c r="AI419" i="29"/>
  <c r="AJ419" i="29" s="1"/>
  <c r="AG420" i="29" s="1"/>
  <c r="AE409" i="29"/>
  <c r="AF409" i="29" s="1"/>
  <c r="AC943" i="29" l="1"/>
  <c r="AD943" i="29"/>
  <c r="Y474" i="118"/>
  <c r="AA474" i="118"/>
  <c r="AB474" i="118" s="1"/>
  <c r="AZ609" i="118"/>
  <c r="BI609" i="118" s="1"/>
  <c r="BC609" i="118"/>
  <c r="AD771" i="29"/>
  <c r="AC771" i="29"/>
  <c r="N610" i="118"/>
  <c r="P610" i="118"/>
  <c r="AC598" i="29"/>
  <c r="AD598" i="29"/>
  <c r="AZ340" i="118"/>
  <c r="BI340" i="118" s="1"/>
  <c r="BC340" i="118"/>
  <c r="N341" i="118"/>
  <c r="P341" i="118"/>
  <c r="AD73" i="118"/>
  <c r="BP73" i="118"/>
  <c r="AX73" i="118"/>
  <c r="BG73" i="118" s="1"/>
  <c r="O73" i="118"/>
  <c r="Y208" i="118"/>
  <c r="AC208" i="118" s="1"/>
  <c r="AA208" i="118"/>
  <c r="AB208" i="118" s="1"/>
  <c r="AD410" i="29"/>
  <c r="AC410" i="29"/>
  <c r="AK410" i="29" s="1"/>
  <c r="AO410" i="29" s="1"/>
  <c r="AH420" i="29"/>
  <c r="AI244" i="29"/>
  <c r="AJ244" i="29" s="1"/>
  <c r="AG245" i="29" s="1"/>
  <c r="AE235" i="29"/>
  <c r="AF235" i="29" s="1"/>
  <c r="AC474" i="118" l="1"/>
  <c r="AQ474" i="118"/>
  <c r="AW474" i="118"/>
  <c r="BF474" i="118" s="1"/>
  <c r="BO474" i="118"/>
  <c r="Z474" i="118"/>
  <c r="AH474" i="118"/>
  <c r="AE943" i="29"/>
  <c r="AF943" i="29" s="1"/>
  <c r="AK943" i="29"/>
  <c r="AO943" i="29" s="1"/>
  <c r="AE771" i="29"/>
  <c r="AF771" i="29" s="1"/>
  <c r="AK771" i="29"/>
  <c r="AO771" i="29" s="1"/>
  <c r="X610" i="118"/>
  <c r="AK598" i="29"/>
  <c r="AO598" i="29" s="1"/>
  <c r="AE598" i="29"/>
  <c r="AF598" i="29" s="1"/>
  <c r="X341" i="118"/>
  <c r="AH208" i="118"/>
  <c r="BL73" i="118"/>
  <c r="BR73" i="118" s="1"/>
  <c r="AP73" i="118"/>
  <c r="AK73" i="118"/>
  <c r="AL73" i="118" s="1"/>
  <c r="Q73" i="118"/>
  <c r="AT73" i="118"/>
  <c r="AM73" i="118"/>
  <c r="AI73" i="118"/>
  <c r="AJ73" i="118" s="1"/>
  <c r="AE73" i="118"/>
  <c r="AF73" i="118" s="1"/>
  <c r="O208" i="118"/>
  <c r="AE208" i="118" s="1"/>
  <c r="AF208" i="118" s="1"/>
  <c r="AX208" i="118"/>
  <c r="BG208" i="118" s="1"/>
  <c r="BP208" i="118"/>
  <c r="AD208" i="118"/>
  <c r="AW208" i="118"/>
  <c r="BF208" i="118" s="1"/>
  <c r="BO208" i="118"/>
  <c r="AQ208" i="118"/>
  <c r="Z208" i="118"/>
  <c r="AC236" i="29"/>
  <c r="AK236" i="29" s="1"/>
  <c r="AO236" i="29" s="1"/>
  <c r="AD236" i="29"/>
  <c r="AI420" i="29"/>
  <c r="AJ420" i="29" s="1"/>
  <c r="AG421" i="29" s="1"/>
  <c r="AH245" i="29"/>
  <c r="AE410" i="29"/>
  <c r="AF410" i="29" s="1"/>
  <c r="BP474" i="118" l="1"/>
  <c r="AX474" i="118"/>
  <c r="BG474" i="118" s="1"/>
  <c r="AD474" i="118"/>
  <c r="O474" i="118"/>
  <c r="AC944" i="29"/>
  <c r="AD944" i="29"/>
  <c r="AD772" i="29"/>
  <c r="AC772" i="29"/>
  <c r="Y610" i="118"/>
  <c r="AA610" i="118"/>
  <c r="AB610" i="118" s="1"/>
  <c r="AC599" i="29"/>
  <c r="AD599" i="29"/>
  <c r="Y341" i="118"/>
  <c r="AC341" i="118" s="1"/>
  <c r="O341" i="118" s="1"/>
  <c r="AA341" i="118"/>
  <c r="AB341" i="118" s="1"/>
  <c r="N74" i="118"/>
  <c r="P74" i="118"/>
  <c r="AZ73" i="118"/>
  <c r="BI73" i="118" s="1"/>
  <c r="BC73" i="118"/>
  <c r="AK208" i="118"/>
  <c r="AL208" i="118" s="1"/>
  <c r="AP208" i="118"/>
  <c r="AT208" i="118"/>
  <c r="BL208" i="118"/>
  <c r="BR208" i="118" s="1"/>
  <c r="Q208" i="118"/>
  <c r="AM208" i="118"/>
  <c r="AI208" i="118"/>
  <c r="AJ208" i="118" s="1"/>
  <c r="AC411" i="29"/>
  <c r="AK411" i="29" s="1"/>
  <c r="AO411" i="29" s="1"/>
  <c r="AD411" i="29"/>
  <c r="AH421" i="29"/>
  <c r="AI421" i="29" s="1"/>
  <c r="AJ421" i="29" s="1"/>
  <c r="AG422" i="29" s="1"/>
  <c r="AI245" i="29"/>
  <c r="AJ245" i="29" s="1"/>
  <c r="AG246" i="29" s="1"/>
  <c r="AE236" i="29"/>
  <c r="AF236" i="29" s="1"/>
  <c r="AE944" i="29" l="1"/>
  <c r="AF944" i="29" s="1"/>
  <c r="AK944" i="29"/>
  <c r="AO944" i="29" s="1"/>
  <c r="Q474" i="118"/>
  <c r="BL474" i="118"/>
  <c r="BR474" i="118" s="1"/>
  <c r="AK474" i="118"/>
  <c r="AL474" i="118" s="1"/>
  <c r="AT474" i="118"/>
  <c r="AP474" i="118"/>
  <c r="AI474" i="118"/>
  <c r="AJ474" i="118" s="1"/>
  <c r="AM474" i="118"/>
  <c r="AE474" i="118"/>
  <c r="AF474" i="118" s="1"/>
  <c r="AH610" i="118"/>
  <c r="AQ610" i="118"/>
  <c r="AW610" i="118"/>
  <c r="BF610" i="118" s="1"/>
  <c r="BO610" i="118"/>
  <c r="Z610" i="118"/>
  <c r="AE772" i="29"/>
  <c r="AF772" i="29" s="1"/>
  <c r="AK772" i="29"/>
  <c r="AO772" i="29" s="1"/>
  <c r="AC610" i="118"/>
  <c r="AE599" i="29"/>
  <c r="AF599" i="29" s="1"/>
  <c r="AK599" i="29"/>
  <c r="AO599" i="29" s="1"/>
  <c r="AE341" i="118"/>
  <c r="AF341" i="118" s="1"/>
  <c r="AK341" i="118"/>
  <c r="AL341" i="118" s="1"/>
  <c r="BL341" i="118"/>
  <c r="AT341" i="118"/>
  <c r="Q341" i="118"/>
  <c r="AP341" i="118"/>
  <c r="AD341" i="118"/>
  <c r="BP341" i="118"/>
  <c r="AX341" i="118"/>
  <c r="BG341" i="118" s="1"/>
  <c r="AM341" i="118"/>
  <c r="AI341" i="118"/>
  <c r="AJ341" i="118" s="1"/>
  <c r="AH341" i="118"/>
  <c r="BO341" i="118"/>
  <c r="AQ341" i="118"/>
  <c r="AW341" i="118"/>
  <c r="BF341" i="118" s="1"/>
  <c r="Z341" i="118"/>
  <c r="X74" i="118"/>
  <c r="AZ208" i="118"/>
  <c r="BI208" i="118" s="1"/>
  <c r="BC208" i="118"/>
  <c r="N209" i="118"/>
  <c r="P209" i="118"/>
  <c r="AD237" i="29"/>
  <c r="AC237" i="29"/>
  <c r="AK237" i="29" s="1"/>
  <c r="AO237" i="29" s="1"/>
  <c r="AH422" i="29"/>
  <c r="AI422" i="29" s="1"/>
  <c r="AJ422" i="29" s="1"/>
  <c r="AG423" i="29" s="1"/>
  <c r="AH246" i="29"/>
  <c r="AE411" i="29"/>
  <c r="AF411" i="29" s="1"/>
  <c r="P475" i="118" l="1"/>
  <c r="N475" i="118"/>
  <c r="AZ474" i="118"/>
  <c r="BI474" i="118" s="1"/>
  <c r="BC474" i="118"/>
  <c r="AD945" i="29"/>
  <c r="AC945" i="29"/>
  <c r="AD610" i="118"/>
  <c r="BP610" i="118"/>
  <c r="AX610" i="118"/>
  <c r="BG610" i="118" s="1"/>
  <c r="O610" i="118"/>
  <c r="AE610" i="118" s="1"/>
  <c r="AF610" i="118" s="1"/>
  <c r="AD773" i="29"/>
  <c r="AC773" i="29"/>
  <c r="AC600" i="29"/>
  <c r="AD600" i="29"/>
  <c r="AZ341" i="118"/>
  <c r="BI341" i="118" s="1"/>
  <c r="BC341" i="118"/>
  <c r="BR341" i="118"/>
  <c r="N342" i="118"/>
  <c r="P342" i="118"/>
  <c r="Y74" i="118"/>
  <c r="AH74" i="118" s="1"/>
  <c r="AA74" i="118"/>
  <c r="AB74" i="118" s="1"/>
  <c r="X209" i="118"/>
  <c r="AD412" i="29"/>
  <c r="AC412" i="29"/>
  <c r="AK412" i="29" s="1"/>
  <c r="AO412" i="29" s="1"/>
  <c r="AH423" i="29"/>
  <c r="AI423" i="29" s="1"/>
  <c r="AJ423" i="29" s="1"/>
  <c r="AG424" i="29" s="1"/>
  <c r="AI246" i="29"/>
  <c r="AJ246" i="29" s="1"/>
  <c r="AG247" i="29" s="1"/>
  <c r="AE237" i="29"/>
  <c r="AF237" i="29" s="1"/>
  <c r="AK945" i="29" l="1"/>
  <c r="AO945" i="29" s="1"/>
  <c r="AE945" i="29"/>
  <c r="AF945" i="29" s="1"/>
  <c r="X475" i="118"/>
  <c r="Q610" i="118"/>
  <c r="AP610" i="118"/>
  <c r="AK610" i="118"/>
  <c r="AL610" i="118" s="1"/>
  <c r="AT610" i="118"/>
  <c r="BL610" i="118"/>
  <c r="BR610" i="118" s="1"/>
  <c r="AM610" i="118"/>
  <c r="AI610" i="118"/>
  <c r="AJ610" i="118" s="1"/>
  <c r="AK773" i="29"/>
  <c r="AO773" i="29" s="1"/>
  <c r="AE773" i="29"/>
  <c r="AF773" i="29" s="1"/>
  <c r="AE600" i="29"/>
  <c r="AF600" i="29" s="1"/>
  <c r="AK600" i="29"/>
  <c r="AO600" i="29" s="1"/>
  <c r="X342" i="118"/>
  <c r="AC74" i="118"/>
  <c r="BO74" i="118"/>
  <c r="AW74" i="118"/>
  <c r="BF74" i="118" s="1"/>
  <c r="AQ74" i="118"/>
  <c r="Z74" i="118"/>
  <c r="AA209" i="118"/>
  <c r="AB209" i="118" s="1"/>
  <c r="Y209" i="118"/>
  <c r="AH209" i="118" s="1"/>
  <c r="AC238" i="29"/>
  <c r="AK238" i="29" s="1"/>
  <c r="AO238" i="29" s="1"/>
  <c r="AD238" i="29"/>
  <c r="AH247" i="29"/>
  <c r="AH424" i="29"/>
  <c r="AE412" i="29"/>
  <c r="AF412" i="29" s="1"/>
  <c r="Y475" i="118" l="1"/>
  <c r="AC475" i="118" s="1"/>
  <c r="O475" i="118" s="1"/>
  <c r="AA475" i="118"/>
  <c r="AB475" i="118" s="1"/>
  <c r="AD946" i="29"/>
  <c r="AC946" i="29"/>
  <c r="AD774" i="29"/>
  <c r="AC774" i="29"/>
  <c r="N611" i="118"/>
  <c r="P611" i="118"/>
  <c r="AZ610" i="118"/>
  <c r="BI610" i="118" s="1"/>
  <c r="BC610" i="118"/>
  <c r="AC601" i="29"/>
  <c r="AD601" i="29"/>
  <c r="Y342" i="118"/>
  <c r="AC342" i="118" s="1"/>
  <c r="O342" i="118" s="1"/>
  <c r="AA342" i="118"/>
  <c r="AB342" i="118" s="1"/>
  <c r="AC209" i="118"/>
  <c r="BP209" i="118" s="1"/>
  <c r="AD74" i="118"/>
  <c r="BP74" i="118"/>
  <c r="AX74" i="118"/>
  <c r="BG74" i="118" s="1"/>
  <c r="O74" i="118"/>
  <c r="AW209" i="118"/>
  <c r="BF209" i="118" s="1"/>
  <c r="BO209" i="118"/>
  <c r="AQ209" i="118"/>
  <c r="Z209" i="118"/>
  <c r="AC413" i="29"/>
  <c r="AK413" i="29" s="1"/>
  <c r="AO413" i="29" s="1"/>
  <c r="AD413" i="29"/>
  <c r="AI424" i="29"/>
  <c r="AJ424" i="29" s="1"/>
  <c r="AG425" i="29" s="1"/>
  <c r="AI247" i="29"/>
  <c r="AJ247" i="29" s="1"/>
  <c r="AG248" i="29" s="1"/>
  <c r="AE238" i="29"/>
  <c r="AF238" i="29" s="1"/>
  <c r="Q475" i="118" l="1"/>
  <c r="AK475" i="118"/>
  <c r="AL475" i="118" s="1"/>
  <c r="AP475" i="118"/>
  <c r="AT475" i="118"/>
  <c r="BL475" i="118"/>
  <c r="AM475" i="118"/>
  <c r="AI475" i="118"/>
  <c r="AJ475" i="118" s="1"/>
  <c r="AK946" i="29"/>
  <c r="AO946" i="29" s="1"/>
  <c r="AE946" i="29"/>
  <c r="AF946" i="29" s="1"/>
  <c r="AX475" i="118"/>
  <c r="BG475" i="118" s="1"/>
  <c r="AD475" i="118"/>
  <c r="BP475" i="118"/>
  <c r="AH475" i="118"/>
  <c r="BO475" i="118"/>
  <c r="AQ475" i="118"/>
  <c r="AW475" i="118"/>
  <c r="BF475" i="118" s="1"/>
  <c r="AE475" i="118"/>
  <c r="AF475" i="118" s="1"/>
  <c r="Z475" i="118"/>
  <c r="X611" i="118"/>
  <c r="AK774" i="29"/>
  <c r="AO774" i="29" s="1"/>
  <c r="AE774" i="29"/>
  <c r="AF774" i="29" s="1"/>
  <c r="AE601" i="29"/>
  <c r="AF601" i="29" s="1"/>
  <c r="AK601" i="29"/>
  <c r="AO601" i="29" s="1"/>
  <c r="Q342" i="118"/>
  <c r="AK342" i="118"/>
  <c r="AL342" i="118" s="1"/>
  <c r="AP342" i="118"/>
  <c r="AT342" i="118"/>
  <c r="BL342" i="118"/>
  <c r="AD342" i="118"/>
  <c r="AX342" i="118"/>
  <c r="BG342" i="118" s="1"/>
  <c r="BP342" i="118"/>
  <c r="AM342" i="118"/>
  <c r="AI342" i="118"/>
  <c r="AJ342" i="118" s="1"/>
  <c r="AH342" i="118"/>
  <c r="AW342" i="118"/>
  <c r="BF342" i="118" s="1"/>
  <c r="AQ342" i="118"/>
  <c r="BO342" i="118"/>
  <c r="AE342" i="118"/>
  <c r="AF342" i="118" s="1"/>
  <c r="Z342" i="118"/>
  <c r="O209" i="118"/>
  <c r="BL209" i="118" s="1"/>
  <c r="BR209" i="118" s="1"/>
  <c r="AX209" i="118"/>
  <c r="BG209" i="118" s="1"/>
  <c r="AD209" i="118"/>
  <c r="AE74" i="118"/>
  <c r="AF74" i="118" s="1"/>
  <c r="Q74" i="118"/>
  <c r="AT74" i="118"/>
  <c r="AP74" i="118"/>
  <c r="AK74" i="118"/>
  <c r="AL74" i="118" s="1"/>
  <c r="BL74" i="118"/>
  <c r="BR74" i="118" s="1"/>
  <c r="AI74" i="118"/>
  <c r="AJ74" i="118" s="1"/>
  <c r="AM74" i="118"/>
  <c r="AD239" i="29"/>
  <c r="AC239" i="29"/>
  <c r="AK239" i="29" s="1"/>
  <c r="AO239" i="29" s="1"/>
  <c r="AH425" i="29"/>
  <c r="AI425" i="29" s="1"/>
  <c r="AJ425" i="29" s="1"/>
  <c r="AH248" i="29"/>
  <c r="AE413" i="29"/>
  <c r="AF413" i="29" s="1"/>
  <c r="AZ475" i="118" l="1"/>
  <c r="BI475" i="118" s="1"/>
  <c r="BC475" i="118"/>
  <c r="AD947" i="29"/>
  <c r="AC947" i="29"/>
  <c r="BR475" i="118"/>
  <c r="N476" i="118"/>
  <c r="P476" i="118"/>
  <c r="AA611" i="118"/>
  <c r="AB611" i="118" s="1"/>
  <c r="Y611" i="118"/>
  <c r="AC611" i="118" s="1"/>
  <c r="AD775" i="29"/>
  <c r="AC775" i="29"/>
  <c r="AC602" i="29"/>
  <c r="AD602" i="29"/>
  <c r="AZ342" i="118"/>
  <c r="BI342" i="118" s="1"/>
  <c r="BC342" i="118"/>
  <c r="BR342" i="118"/>
  <c r="P343" i="118"/>
  <c r="N343" i="118"/>
  <c r="AM209" i="118"/>
  <c r="AP209" i="118"/>
  <c r="AE209" i="118"/>
  <c r="AF209" i="118" s="1"/>
  <c r="AT209" i="118"/>
  <c r="AZ209" i="118" s="1"/>
  <c r="BI209" i="118" s="1"/>
  <c r="AK209" i="118"/>
  <c r="AL209" i="118" s="1"/>
  <c r="AI209" i="118"/>
  <c r="AJ209" i="118" s="1"/>
  <c r="Q209" i="118"/>
  <c r="P210" i="118" s="1"/>
  <c r="AZ74" i="118"/>
  <c r="BI74" i="118" s="1"/>
  <c r="BC74" i="118"/>
  <c r="P75" i="118"/>
  <c r="N75" i="118"/>
  <c r="AD414" i="29"/>
  <c r="AC414" i="29"/>
  <c r="AK414" i="29" s="1"/>
  <c r="AO414" i="29" s="1"/>
  <c r="AG426" i="29"/>
  <c r="AH426" i="29"/>
  <c r="AI248" i="29"/>
  <c r="AJ248" i="29" s="1"/>
  <c r="AG249" i="29" s="1"/>
  <c r="AE239" i="29"/>
  <c r="AF239" i="29" s="1"/>
  <c r="X476" i="118" l="1"/>
  <c r="AE947" i="29"/>
  <c r="AF947" i="29" s="1"/>
  <c r="AK947" i="29"/>
  <c r="AO947" i="29" s="1"/>
  <c r="AH611" i="118"/>
  <c r="AX611" i="118"/>
  <c r="BG611" i="118" s="1"/>
  <c r="AD611" i="118"/>
  <c r="BP611" i="118"/>
  <c r="O611" i="118"/>
  <c r="AE611" i="118" s="1"/>
  <c r="AF611" i="118" s="1"/>
  <c r="AE775" i="29"/>
  <c r="AF775" i="29" s="1"/>
  <c r="AK775" i="29"/>
  <c r="AO775" i="29" s="1"/>
  <c r="AQ611" i="118"/>
  <c r="BO611" i="118"/>
  <c r="AW611" i="118"/>
  <c r="BF611" i="118" s="1"/>
  <c r="Z611" i="118"/>
  <c r="AE602" i="29"/>
  <c r="AF602" i="29" s="1"/>
  <c r="AK602" i="29"/>
  <c r="AO602" i="29" s="1"/>
  <c r="X343" i="118"/>
  <c r="N210" i="118"/>
  <c r="X210" i="118" s="1"/>
  <c r="BC209" i="118"/>
  <c r="X75" i="118"/>
  <c r="AC240" i="29"/>
  <c r="AK240" i="29" s="1"/>
  <c r="AO240" i="29" s="1"/>
  <c r="AD240" i="29"/>
  <c r="AI426" i="29"/>
  <c r="AJ426" i="29" s="1"/>
  <c r="AG427" i="29" s="1"/>
  <c r="AH249" i="29"/>
  <c r="AE414" i="29"/>
  <c r="AF414" i="29" s="1"/>
  <c r="AC948" i="29" l="1"/>
  <c r="AD948" i="29"/>
  <c r="AA476" i="118"/>
  <c r="AB476" i="118" s="1"/>
  <c r="Y476" i="118"/>
  <c r="AD776" i="29"/>
  <c r="AC776" i="29"/>
  <c r="BL611" i="118"/>
  <c r="BR611" i="118" s="1"/>
  <c r="AT611" i="118"/>
  <c r="AP611" i="118"/>
  <c r="Q611" i="118"/>
  <c r="AK611" i="118"/>
  <c r="AL611" i="118" s="1"/>
  <c r="AI611" i="118"/>
  <c r="AJ611" i="118" s="1"/>
  <c r="AM611" i="118"/>
  <c r="AC603" i="29"/>
  <c r="AD603" i="29"/>
  <c r="AA343" i="118"/>
  <c r="AB343" i="118" s="1"/>
  <c r="Y343" i="118"/>
  <c r="AH343" i="118" s="1"/>
  <c r="Y75" i="118"/>
  <c r="AH75" i="118" s="1"/>
  <c r="AA75" i="118"/>
  <c r="AB75" i="118" s="1"/>
  <c r="Y210" i="118"/>
  <c r="AC210" i="118" s="1"/>
  <c r="AA210" i="118"/>
  <c r="AB210" i="118" s="1"/>
  <c r="AH427" i="29"/>
  <c r="AI427" i="29" s="1"/>
  <c r="AJ427" i="29" s="1"/>
  <c r="AC415" i="29"/>
  <c r="AK415" i="29" s="1"/>
  <c r="AO415" i="29" s="1"/>
  <c r="AD415" i="29"/>
  <c r="AI249" i="29"/>
  <c r="AJ249" i="29" s="1"/>
  <c r="AG250" i="29" s="1"/>
  <c r="AE240" i="29"/>
  <c r="AF240" i="29" s="1"/>
  <c r="AW476" i="118" l="1"/>
  <c r="BF476" i="118" s="1"/>
  <c r="AQ476" i="118"/>
  <c r="BO476" i="118"/>
  <c r="Z476" i="118"/>
  <c r="AH476" i="118"/>
  <c r="AC476" i="118"/>
  <c r="AE948" i="29"/>
  <c r="AF948" i="29" s="1"/>
  <c r="AK948" i="29"/>
  <c r="AO948" i="29" s="1"/>
  <c r="AZ611" i="118"/>
  <c r="BI611" i="118" s="1"/>
  <c r="BC611" i="118"/>
  <c r="N612" i="118"/>
  <c r="P612" i="118"/>
  <c r="AK776" i="29"/>
  <c r="AO776" i="29" s="1"/>
  <c r="AE776" i="29"/>
  <c r="AF776" i="29" s="1"/>
  <c r="AE603" i="29"/>
  <c r="AF603" i="29" s="1"/>
  <c r="AK603" i="29"/>
  <c r="AO603" i="29" s="1"/>
  <c r="AC343" i="118"/>
  <c r="BO343" i="118"/>
  <c r="AW343" i="118"/>
  <c r="BF343" i="118" s="1"/>
  <c r="AQ343" i="118"/>
  <c r="Z343" i="118"/>
  <c r="AC75" i="118"/>
  <c r="BO75" i="118"/>
  <c r="AQ75" i="118"/>
  <c r="AW75" i="118"/>
  <c r="BF75" i="118" s="1"/>
  <c r="Z75" i="118"/>
  <c r="AX210" i="118"/>
  <c r="BG210" i="118" s="1"/>
  <c r="BP210" i="118"/>
  <c r="AD210" i="118"/>
  <c r="O210" i="118"/>
  <c r="AH210" i="118"/>
  <c r="AW210" i="118"/>
  <c r="BF210" i="118" s="1"/>
  <c r="BO210" i="118"/>
  <c r="AQ210" i="118"/>
  <c r="Z210" i="118"/>
  <c r="AD241" i="29"/>
  <c r="AC241" i="29"/>
  <c r="AK241" i="29" s="1"/>
  <c r="AO241" i="29" s="1"/>
  <c r="AH250" i="29"/>
  <c r="AE415" i="29"/>
  <c r="AF415" i="29" s="1"/>
  <c r="AC949" i="29" l="1"/>
  <c r="AD949" i="29"/>
  <c r="BP476" i="118"/>
  <c r="AX476" i="118"/>
  <c r="BG476" i="118" s="1"/>
  <c r="AD476" i="118"/>
  <c r="O476" i="118"/>
  <c r="AC777" i="29"/>
  <c r="AD777" i="29"/>
  <c r="X612" i="118"/>
  <c r="BP343" i="118"/>
  <c r="AD343" i="118"/>
  <c r="AX343" i="118"/>
  <c r="BG343" i="118" s="1"/>
  <c r="O343" i="118"/>
  <c r="BP75" i="118"/>
  <c r="AD75" i="118"/>
  <c r="AX75" i="118"/>
  <c r="BG75" i="118" s="1"/>
  <c r="O75" i="118"/>
  <c r="AK210" i="118"/>
  <c r="AL210" i="118" s="1"/>
  <c r="AP210" i="118"/>
  <c r="BL210" i="118"/>
  <c r="BR210" i="118" s="1"/>
  <c r="AT210" i="118"/>
  <c r="Q210" i="118"/>
  <c r="AM210" i="118"/>
  <c r="AI210" i="118"/>
  <c r="AJ210" i="118" s="1"/>
  <c r="AE210" i="118"/>
  <c r="AF210" i="118" s="1"/>
  <c r="AD416" i="29"/>
  <c r="AC416" i="29"/>
  <c r="AK416" i="29" s="1"/>
  <c r="AO416" i="29" s="1"/>
  <c r="AI250" i="29"/>
  <c r="AJ250" i="29" s="1"/>
  <c r="AG251" i="29" s="1"/>
  <c r="AE241" i="29"/>
  <c r="AF241" i="29" s="1"/>
  <c r="AE476" i="118" l="1"/>
  <c r="AF476" i="118" s="1"/>
  <c r="Q476" i="118"/>
  <c r="BL476" i="118"/>
  <c r="BR476" i="118" s="1"/>
  <c r="AT476" i="118"/>
  <c r="AK476" i="118"/>
  <c r="AL476" i="118" s="1"/>
  <c r="AP476" i="118"/>
  <c r="AM476" i="118"/>
  <c r="AI476" i="118"/>
  <c r="AJ476" i="118" s="1"/>
  <c r="AE949" i="29"/>
  <c r="AF949" i="29" s="1"/>
  <c r="AK949" i="29"/>
  <c r="AO949" i="29" s="1"/>
  <c r="AA612" i="118"/>
  <c r="AB612" i="118" s="1"/>
  <c r="Y612" i="118"/>
  <c r="AH612" i="118" s="1"/>
  <c r="AE777" i="29"/>
  <c r="AF777" i="29" s="1"/>
  <c r="AK777" i="29"/>
  <c r="Q343" i="118"/>
  <c r="AP343" i="118"/>
  <c r="AT343" i="118"/>
  <c r="AK343" i="118"/>
  <c r="AL343" i="118" s="1"/>
  <c r="BL343" i="118"/>
  <c r="BR343" i="118" s="1"/>
  <c r="AI343" i="118"/>
  <c r="AJ343" i="118" s="1"/>
  <c r="AE343" i="118"/>
  <c r="AF343" i="118" s="1"/>
  <c r="AM343" i="118"/>
  <c r="AE75" i="118"/>
  <c r="AF75" i="118" s="1"/>
  <c r="Q75" i="118"/>
  <c r="BL75" i="118"/>
  <c r="BR75" i="118" s="1"/>
  <c r="AK75" i="118"/>
  <c r="AL75" i="118" s="1"/>
  <c r="AP75" i="118"/>
  <c r="AT75" i="118"/>
  <c r="AM75" i="118"/>
  <c r="AI75" i="118"/>
  <c r="AJ75" i="118" s="1"/>
  <c r="AZ210" i="118"/>
  <c r="BI210" i="118" s="1"/>
  <c r="BC210" i="118"/>
  <c r="P211" i="118"/>
  <c r="N211" i="118"/>
  <c r="AC242" i="29"/>
  <c r="AK242" i="29" s="1"/>
  <c r="AO242" i="29" s="1"/>
  <c r="AD242" i="29"/>
  <c r="AH251" i="29"/>
  <c r="AE416" i="29"/>
  <c r="AF416" i="29" s="1"/>
  <c r="AZ476" i="118" l="1"/>
  <c r="BI476" i="118" s="1"/>
  <c r="BC476" i="118"/>
  <c r="N477" i="118"/>
  <c r="P477" i="118"/>
  <c r="AC950" i="29"/>
  <c r="AD950" i="29"/>
  <c r="AO777" i="29"/>
  <c r="AC612" i="118"/>
  <c r="BO612" i="118"/>
  <c r="AQ612" i="118"/>
  <c r="AW612" i="118"/>
  <c r="BF612" i="118" s="1"/>
  <c r="Z612" i="118"/>
  <c r="AZ343" i="118"/>
  <c r="BI343" i="118" s="1"/>
  <c r="BC343" i="118"/>
  <c r="N344" i="118"/>
  <c r="P344" i="118"/>
  <c r="AZ75" i="118"/>
  <c r="BI75" i="118" s="1"/>
  <c r="BC75" i="118"/>
  <c r="N76" i="118"/>
  <c r="P76" i="118"/>
  <c r="X211" i="118"/>
  <c r="AC417" i="29"/>
  <c r="AK417" i="29" s="1"/>
  <c r="AO417" i="29" s="1"/>
  <c r="AD417" i="29"/>
  <c r="AI251" i="29"/>
  <c r="AJ251" i="29" s="1"/>
  <c r="AG252" i="29" s="1"/>
  <c r="AE242" i="29"/>
  <c r="AF242" i="29" s="1"/>
  <c r="X477" i="118" l="1"/>
  <c r="AK950" i="29"/>
  <c r="AO950" i="29" s="1"/>
  <c r="AE950" i="29"/>
  <c r="AF950" i="29" s="1"/>
  <c r="O612" i="118"/>
  <c r="BP612" i="118"/>
  <c r="AX612" i="118"/>
  <c r="BG612" i="118" s="1"/>
  <c r="AD612" i="118"/>
  <c r="X344" i="118"/>
  <c r="X76" i="118"/>
  <c r="Y211" i="118"/>
  <c r="AC211" i="118" s="1"/>
  <c r="AA211" i="118"/>
  <c r="AB211" i="118" s="1"/>
  <c r="AD243" i="29"/>
  <c r="AC243" i="29"/>
  <c r="AK243" i="29" s="1"/>
  <c r="AO243" i="29" s="1"/>
  <c r="AH252" i="29"/>
  <c r="AE417" i="29"/>
  <c r="AF417" i="29" s="1"/>
  <c r="AA477" i="118" l="1"/>
  <c r="AB477" i="118" s="1"/>
  <c r="Y477" i="118"/>
  <c r="AH477" i="118" s="1"/>
  <c r="AM612" i="118"/>
  <c r="Q612" i="118"/>
  <c r="AT612" i="118"/>
  <c r="AP612" i="118"/>
  <c r="BL612" i="118"/>
  <c r="BR612" i="118" s="1"/>
  <c r="AK612" i="118"/>
  <c r="AL612" i="118" s="1"/>
  <c r="AE612" i="118"/>
  <c r="AF612" i="118" s="1"/>
  <c r="AI612" i="118"/>
  <c r="AJ612" i="118" s="1"/>
  <c r="Y344" i="118"/>
  <c r="AH344" i="118" s="1"/>
  <c r="AA344" i="118"/>
  <c r="AB344" i="118" s="1"/>
  <c r="Y76" i="118"/>
  <c r="AC76" i="118" s="1"/>
  <c r="AA76" i="118"/>
  <c r="AB76" i="118" s="1"/>
  <c r="O211" i="118"/>
  <c r="AE211" i="118" s="1"/>
  <c r="AF211" i="118" s="1"/>
  <c r="AD211" i="118"/>
  <c r="BP211" i="118"/>
  <c r="AX211" i="118"/>
  <c r="BG211" i="118" s="1"/>
  <c r="AH211" i="118"/>
  <c r="AW211" i="118"/>
  <c r="BF211" i="118" s="1"/>
  <c r="BO211" i="118"/>
  <c r="AQ211" i="118"/>
  <c r="Z211" i="118"/>
  <c r="AD418" i="29"/>
  <c r="AC418" i="29"/>
  <c r="AK418" i="29" s="1"/>
  <c r="AO418" i="29" s="1"/>
  <c r="AI252" i="29"/>
  <c r="AJ252" i="29" s="1"/>
  <c r="AE243" i="29"/>
  <c r="AF243" i="29" s="1"/>
  <c r="AC477" i="118" l="1"/>
  <c r="BO477" i="118"/>
  <c r="AW477" i="118"/>
  <c r="BF477" i="118" s="1"/>
  <c r="AQ477" i="118"/>
  <c r="Z477" i="118"/>
  <c r="AZ612" i="118"/>
  <c r="BI612" i="118" s="1"/>
  <c r="BC612" i="118"/>
  <c r="P613" i="118"/>
  <c r="N613" i="118"/>
  <c r="AC344" i="118"/>
  <c r="AW344" i="118"/>
  <c r="BF344" i="118" s="1"/>
  <c r="AQ344" i="118"/>
  <c r="BO344" i="118"/>
  <c r="Z344" i="118"/>
  <c r="AH76" i="118"/>
  <c r="AQ76" i="118"/>
  <c r="BO76" i="118"/>
  <c r="AW76" i="118"/>
  <c r="BF76" i="118" s="1"/>
  <c r="Z76" i="118"/>
  <c r="O76" i="118"/>
  <c r="AX76" i="118"/>
  <c r="BG76" i="118" s="1"/>
  <c r="BP76" i="118"/>
  <c r="AD76" i="118"/>
  <c r="AK211" i="118"/>
  <c r="AL211" i="118" s="1"/>
  <c r="AT211" i="118"/>
  <c r="BL211" i="118"/>
  <c r="BR211" i="118" s="1"/>
  <c r="Q211" i="118"/>
  <c r="AP211" i="118"/>
  <c r="AM211" i="118"/>
  <c r="AI211" i="118"/>
  <c r="AJ211" i="118" s="1"/>
  <c r="AC244" i="29"/>
  <c r="AK244" i="29" s="1"/>
  <c r="AO244" i="29" s="1"/>
  <c r="AD244" i="29"/>
  <c r="AH253" i="29"/>
  <c r="AG253" i="29"/>
  <c r="AE418" i="29"/>
  <c r="AF418" i="29" s="1"/>
  <c r="AX477" i="118" l="1"/>
  <c r="BG477" i="118" s="1"/>
  <c r="AD477" i="118"/>
  <c r="BP477" i="118"/>
  <c r="O477" i="118"/>
  <c r="X613" i="118"/>
  <c r="BP344" i="118"/>
  <c r="AD344" i="118"/>
  <c r="AX344" i="118"/>
  <c r="BG344" i="118" s="1"/>
  <c r="O344" i="118"/>
  <c r="Q76" i="118"/>
  <c r="BL76" i="118"/>
  <c r="BR76" i="118" s="1"/>
  <c r="AP76" i="118"/>
  <c r="AT76" i="118"/>
  <c r="AK76" i="118"/>
  <c r="AL76" i="118" s="1"/>
  <c r="AM76" i="118"/>
  <c r="AI76" i="118"/>
  <c r="AJ76" i="118" s="1"/>
  <c r="AE76" i="118"/>
  <c r="AF76" i="118" s="1"/>
  <c r="AZ211" i="118"/>
  <c r="BI211" i="118" s="1"/>
  <c r="BC211" i="118"/>
  <c r="N212" i="118"/>
  <c r="P212" i="118"/>
  <c r="AI253" i="29"/>
  <c r="AJ253" i="29" s="1"/>
  <c r="AC419" i="29"/>
  <c r="AK419" i="29" s="1"/>
  <c r="AO419" i="29" s="1"/>
  <c r="AD419" i="29"/>
  <c r="AE244" i="29"/>
  <c r="AF244" i="29" s="1"/>
  <c r="AE477" i="118" l="1"/>
  <c r="AF477" i="118" s="1"/>
  <c r="AT477" i="118"/>
  <c r="Q477" i="118"/>
  <c r="BL477" i="118"/>
  <c r="BR477" i="118" s="1"/>
  <c r="AK477" i="118"/>
  <c r="AL477" i="118" s="1"/>
  <c r="AP477" i="118"/>
  <c r="AI477" i="118"/>
  <c r="AJ477" i="118" s="1"/>
  <c r="AM477" i="118"/>
  <c r="AA613" i="118"/>
  <c r="AB613" i="118" s="1"/>
  <c r="Y613" i="118"/>
  <c r="AH613" i="118" s="1"/>
  <c r="AP344" i="118"/>
  <c r="AT344" i="118"/>
  <c r="BL344" i="118"/>
  <c r="BR344" i="118" s="1"/>
  <c r="Q344" i="118"/>
  <c r="AK344" i="118"/>
  <c r="AL344" i="118" s="1"/>
  <c r="AM344" i="118"/>
  <c r="AI344" i="118"/>
  <c r="AJ344" i="118" s="1"/>
  <c r="AE344" i="118"/>
  <c r="AF344" i="118" s="1"/>
  <c r="AZ76" i="118"/>
  <c r="BI76" i="118" s="1"/>
  <c r="BC76" i="118"/>
  <c r="N77" i="118"/>
  <c r="P77" i="118"/>
  <c r="X212" i="118"/>
  <c r="AD245" i="29"/>
  <c r="AC245" i="29"/>
  <c r="AK245" i="29" s="1"/>
  <c r="AO245" i="29" s="1"/>
  <c r="AE419" i="29"/>
  <c r="AF419" i="29" s="1"/>
  <c r="P478" i="118" l="1"/>
  <c r="N478" i="118"/>
  <c r="AZ477" i="118"/>
  <c r="BI477" i="118" s="1"/>
  <c r="BC477" i="118"/>
  <c r="AC613" i="118"/>
  <c r="AQ613" i="118"/>
  <c r="BO613" i="118"/>
  <c r="AW613" i="118"/>
  <c r="BF613" i="118" s="1"/>
  <c r="Z613" i="118"/>
  <c r="N345" i="118"/>
  <c r="P345" i="118"/>
  <c r="AZ344" i="118"/>
  <c r="BI344" i="118" s="1"/>
  <c r="BC344" i="118"/>
  <c r="X77" i="118"/>
  <c r="Y212" i="118"/>
  <c r="AC212" i="118" s="1"/>
  <c r="AA212" i="118"/>
  <c r="AB212" i="118" s="1"/>
  <c r="AD420" i="29"/>
  <c r="AC420" i="29"/>
  <c r="AK420" i="29" s="1"/>
  <c r="AO420" i="29" s="1"/>
  <c r="AE245" i="29"/>
  <c r="AF245" i="29" s="1"/>
  <c r="X478" i="118" l="1"/>
  <c r="AX613" i="118"/>
  <c r="BG613" i="118" s="1"/>
  <c r="BP613" i="118"/>
  <c r="AD613" i="118"/>
  <c r="O613" i="118"/>
  <c r="X345" i="118"/>
  <c r="AA77" i="118"/>
  <c r="AB77" i="118" s="1"/>
  <c r="Y77" i="118"/>
  <c r="AC77" i="118" s="1"/>
  <c r="O212" i="118"/>
  <c r="BP212" i="118"/>
  <c r="AD212" i="118"/>
  <c r="AX212" i="118"/>
  <c r="BG212" i="118" s="1"/>
  <c r="AH212" i="118"/>
  <c r="BO212" i="118"/>
  <c r="AQ212" i="118"/>
  <c r="AW212" i="118"/>
  <c r="BF212" i="118" s="1"/>
  <c r="Z212" i="118"/>
  <c r="AC246" i="29"/>
  <c r="AK246" i="29" s="1"/>
  <c r="AO246" i="29" s="1"/>
  <c r="AD246" i="29"/>
  <c r="AE420" i="29"/>
  <c r="AF420" i="29" s="1"/>
  <c r="AA478" i="118" l="1"/>
  <c r="AB478" i="118" s="1"/>
  <c r="Y478" i="118"/>
  <c r="AH478" i="118" s="1"/>
  <c r="AM613" i="118"/>
  <c r="Q613" i="118"/>
  <c r="AK613" i="118"/>
  <c r="AL613" i="118" s="1"/>
  <c r="AT613" i="118"/>
  <c r="AP613" i="118"/>
  <c r="BL613" i="118"/>
  <c r="BR613" i="118" s="1"/>
  <c r="AI613" i="118"/>
  <c r="AJ613" i="118" s="1"/>
  <c r="AE613" i="118"/>
  <c r="AF613" i="118" s="1"/>
  <c r="AA345" i="118"/>
  <c r="AB345" i="118" s="1"/>
  <c r="Y345" i="118"/>
  <c r="AH345" i="118" s="1"/>
  <c r="AD77" i="118"/>
  <c r="BP77" i="118"/>
  <c r="AX77" i="118"/>
  <c r="BG77" i="118" s="1"/>
  <c r="O77" i="118"/>
  <c r="AH77" i="118"/>
  <c r="AQ77" i="118"/>
  <c r="AW77" i="118"/>
  <c r="BF77" i="118" s="1"/>
  <c r="BO77" i="118"/>
  <c r="Z77" i="118"/>
  <c r="AE212" i="118"/>
  <c r="AF212" i="118" s="1"/>
  <c r="AP212" i="118"/>
  <c r="BL212" i="118"/>
  <c r="BR212" i="118" s="1"/>
  <c r="AK212" i="118"/>
  <c r="AL212" i="118" s="1"/>
  <c r="Q212" i="118"/>
  <c r="AT212" i="118"/>
  <c r="AM212" i="118"/>
  <c r="AI212" i="118"/>
  <c r="AJ212" i="118" s="1"/>
  <c r="AC421" i="29"/>
  <c r="AK421" i="29" s="1"/>
  <c r="AO421" i="29" s="1"/>
  <c r="AD421" i="29"/>
  <c r="AE246" i="29"/>
  <c r="AF246" i="29" s="1"/>
  <c r="AC478" i="118" l="1"/>
  <c r="BO478" i="118"/>
  <c r="AW478" i="118"/>
  <c r="BF478" i="118" s="1"/>
  <c r="AQ478" i="118"/>
  <c r="Z478" i="118"/>
  <c r="AZ613" i="118"/>
  <c r="BI613" i="118" s="1"/>
  <c r="BC613" i="118"/>
  <c r="P614" i="118"/>
  <c r="N614" i="118"/>
  <c r="AC345" i="118"/>
  <c r="BO345" i="118"/>
  <c r="AQ345" i="118"/>
  <c r="AW345" i="118"/>
  <c r="BF345" i="118" s="1"/>
  <c r="Z345" i="118"/>
  <c r="AM77" i="118"/>
  <c r="AK77" i="118"/>
  <c r="AL77" i="118" s="1"/>
  <c r="AT77" i="118"/>
  <c r="BL77" i="118"/>
  <c r="BR77" i="118" s="1"/>
  <c r="AP77" i="118"/>
  <c r="Q77" i="118"/>
  <c r="AI77" i="118"/>
  <c r="AJ77" i="118" s="1"/>
  <c r="AE77" i="118"/>
  <c r="AF77" i="118" s="1"/>
  <c r="AZ212" i="118"/>
  <c r="BI212" i="118" s="1"/>
  <c r="BC212" i="118"/>
  <c r="N213" i="118"/>
  <c r="P213" i="118"/>
  <c r="AD247" i="29"/>
  <c r="AC247" i="29"/>
  <c r="AK247" i="29" s="1"/>
  <c r="AO247" i="29" s="1"/>
  <c r="AE421" i="29"/>
  <c r="AF421" i="29" s="1"/>
  <c r="AX478" i="118" l="1"/>
  <c r="BG478" i="118" s="1"/>
  <c r="AD478" i="118"/>
  <c r="BP478" i="118"/>
  <c r="O478" i="118"/>
  <c r="X614" i="118"/>
  <c r="O345" i="118"/>
  <c r="BP345" i="118"/>
  <c r="AD345" i="118"/>
  <c r="AX345" i="118"/>
  <c r="BG345" i="118" s="1"/>
  <c r="N78" i="118"/>
  <c r="P78" i="118"/>
  <c r="AZ77" i="118"/>
  <c r="BI77" i="118" s="1"/>
  <c r="BC77" i="118"/>
  <c r="X213" i="118"/>
  <c r="AD422" i="29"/>
  <c r="AC422" i="29"/>
  <c r="AK422" i="29" s="1"/>
  <c r="AO422" i="29" s="1"/>
  <c r="AE247" i="29"/>
  <c r="AF247" i="29" s="1"/>
  <c r="AE478" i="118" l="1"/>
  <c r="AF478" i="118" s="1"/>
  <c r="Q478" i="118"/>
  <c r="AP478" i="118"/>
  <c r="AK478" i="118"/>
  <c r="AL478" i="118" s="1"/>
  <c r="BL478" i="118"/>
  <c r="BR478" i="118" s="1"/>
  <c r="AT478" i="118"/>
  <c r="AI478" i="118"/>
  <c r="AJ478" i="118" s="1"/>
  <c r="AM478" i="118"/>
  <c r="Y614" i="118"/>
  <c r="AA614" i="118"/>
  <c r="AB614" i="118" s="1"/>
  <c r="AI345" i="118"/>
  <c r="AJ345" i="118" s="1"/>
  <c r="Q345" i="118"/>
  <c r="AP345" i="118"/>
  <c r="AK345" i="118"/>
  <c r="AL345" i="118" s="1"/>
  <c r="AT345" i="118"/>
  <c r="BL345" i="118"/>
  <c r="BR345" i="118" s="1"/>
  <c r="AM345" i="118"/>
  <c r="AE345" i="118"/>
  <c r="AF345" i="118" s="1"/>
  <c r="X78" i="118"/>
  <c r="AA213" i="118"/>
  <c r="AB213" i="118" s="1"/>
  <c r="Y213" i="118"/>
  <c r="AC213" i="118" s="1"/>
  <c r="AC248" i="29"/>
  <c r="AK248" i="29" s="1"/>
  <c r="AO248" i="29" s="1"/>
  <c r="AD248" i="29"/>
  <c r="AE422" i="29"/>
  <c r="AF422" i="29" s="1"/>
  <c r="AZ478" i="118" l="1"/>
  <c r="BI478" i="118" s="1"/>
  <c r="BC478" i="118"/>
  <c r="N479" i="118"/>
  <c r="P479" i="118"/>
  <c r="AC614" i="118"/>
  <c r="AQ614" i="118"/>
  <c r="BO614" i="118"/>
  <c r="AW614" i="118"/>
  <c r="BF614" i="118" s="1"/>
  <c r="Z614" i="118"/>
  <c r="AH614" i="118"/>
  <c r="P346" i="118"/>
  <c r="N346" i="118"/>
  <c r="AZ345" i="118"/>
  <c r="BI345" i="118" s="1"/>
  <c r="BC345" i="118"/>
  <c r="Y78" i="118"/>
  <c r="AC78" i="118" s="1"/>
  <c r="AA78" i="118"/>
  <c r="AB78" i="118" s="1"/>
  <c r="AD213" i="118"/>
  <c r="AX213" i="118"/>
  <c r="BG213" i="118" s="1"/>
  <c r="BP213" i="118"/>
  <c r="O213" i="118"/>
  <c r="AH213" i="118"/>
  <c r="AW213" i="118"/>
  <c r="BF213" i="118" s="1"/>
  <c r="AQ213" i="118"/>
  <c r="BO213" i="118"/>
  <c r="Z213" i="118"/>
  <c r="AC423" i="29"/>
  <c r="AK423" i="29" s="1"/>
  <c r="AO423" i="29" s="1"/>
  <c r="AD423" i="29"/>
  <c r="AE248" i="29"/>
  <c r="AF248" i="29" s="1"/>
  <c r="X479" i="118" l="1"/>
  <c r="O614" i="118"/>
  <c r="AE614" i="118" s="1"/>
  <c r="AF614" i="118" s="1"/>
  <c r="AD614" i="118"/>
  <c r="BP614" i="118"/>
  <c r="AX614" i="118"/>
  <c r="BG614" i="118" s="1"/>
  <c r="X346" i="118"/>
  <c r="BP78" i="118"/>
  <c r="AD78" i="118"/>
  <c r="AX78" i="118"/>
  <c r="BG78" i="118" s="1"/>
  <c r="O78" i="118"/>
  <c r="AH78" i="118"/>
  <c r="BO78" i="118"/>
  <c r="AQ78" i="118"/>
  <c r="AW78" i="118"/>
  <c r="BF78" i="118" s="1"/>
  <c r="Z78" i="118"/>
  <c r="AK213" i="118"/>
  <c r="AL213" i="118" s="1"/>
  <c r="AT213" i="118"/>
  <c r="BL213" i="118"/>
  <c r="BR213" i="118" s="1"/>
  <c r="AP213" i="118"/>
  <c r="Q213" i="118"/>
  <c r="AM213" i="118"/>
  <c r="AI213" i="118"/>
  <c r="AJ213" i="118" s="1"/>
  <c r="AE213" i="118"/>
  <c r="AF213" i="118" s="1"/>
  <c r="AD249" i="29"/>
  <c r="AC249" i="29"/>
  <c r="AK249" i="29" s="1"/>
  <c r="AO249" i="29" s="1"/>
  <c r="AE423" i="29"/>
  <c r="AF423" i="29" s="1"/>
  <c r="AA479" i="118" l="1"/>
  <c r="AB479" i="118" s="1"/>
  <c r="Y479" i="118"/>
  <c r="AC479" i="118" s="1"/>
  <c r="Q614" i="118"/>
  <c r="AT614" i="118"/>
  <c r="AP614" i="118"/>
  <c r="BL614" i="118"/>
  <c r="BR614" i="118" s="1"/>
  <c r="AK614" i="118"/>
  <c r="AL614" i="118" s="1"/>
  <c r="AM614" i="118"/>
  <c r="AI614" i="118"/>
  <c r="AJ614" i="118" s="1"/>
  <c r="Y346" i="118"/>
  <c r="AH346" i="118" s="1"/>
  <c r="AA346" i="118"/>
  <c r="AB346" i="118" s="1"/>
  <c r="AE78" i="118"/>
  <c r="AF78" i="118" s="1"/>
  <c r="Q78" i="118"/>
  <c r="AT78" i="118"/>
  <c r="AK78" i="118"/>
  <c r="AL78" i="118" s="1"/>
  <c r="AP78" i="118"/>
  <c r="BL78" i="118"/>
  <c r="BR78" i="118" s="1"/>
  <c r="AM78" i="118"/>
  <c r="AI78" i="118"/>
  <c r="AJ78" i="118" s="1"/>
  <c r="AZ213" i="118"/>
  <c r="BI213" i="118" s="1"/>
  <c r="BC213" i="118"/>
  <c r="N214" i="118"/>
  <c r="P214" i="118"/>
  <c r="AD424" i="29"/>
  <c r="AC424" i="29"/>
  <c r="AK424" i="29" s="1"/>
  <c r="AO424" i="29" s="1"/>
  <c r="AE249" i="29"/>
  <c r="AF249" i="29" s="1"/>
  <c r="AH479" i="118" l="1"/>
  <c r="AD479" i="118"/>
  <c r="AX479" i="118"/>
  <c r="BG479" i="118" s="1"/>
  <c r="BP479" i="118"/>
  <c r="AQ479" i="118"/>
  <c r="BO479" i="118"/>
  <c r="AW479" i="118"/>
  <c r="BF479" i="118" s="1"/>
  <c r="Z479" i="118"/>
  <c r="O479" i="118"/>
  <c r="AZ614" i="118"/>
  <c r="BI614" i="118" s="1"/>
  <c r="BC614" i="118"/>
  <c r="N615" i="118"/>
  <c r="P615" i="118"/>
  <c r="AC346" i="118"/>
  <c r="AX346" i="118" s="1"/>
  <c r="BG346" i="118" s="1"/>
  <c r="BO346" i="118"/>
  <c r="AW346" i="118"/>
  <c r="BF346" i="118" s="1"/>
  <c r="AQ346" i="118"/>
  <c r="Z346" i="118"/>
  <c r="AZ78" i="118"/>
  <c r="BI78" i="118" s="1"/>
  <c r="BC78" i="118"/>
  <c r="P79" i="118"/>
  <c r="N79" i="118"/>
  <c r="X214" i="118"/>
  <c r="AC250" i="29"/>
  <c r="AK250" i="29" s="1"/>
  <c r="AO250" i="29" s="1"/>
  <c r="AD250" i="29"/>
  <c r="AE424" i="29"/>
  <c r="AF424" i="29" s="1"/>
  <c r="AE479" i="118" l="1"/>
  <c r="AF479" i="118" s="1"/>
  <c r="BL479" i="118"/>
  <c r="BR479" i="118" s="1"/>
  <c r="Q479" i="118"/>
  <c r="AK479" i="118"/>
  <c r="AL479" i="118" s="1"/>
  <c r="AT479" i="118"/>
  <c r="AP479" i="118"/>
  <c r="AI479" i="118"/>
  <c r="AJ479" i="118" s="1"/>
  <c r="AM479" i="118"/>
  <c r="X615" i="118"/>
  <c r="O346" i="118"/>
  <c r="AE346" i="118" s="1"/>
  <c r="AF346" i="118" s="1"/>
  <c r="AD346" i="118"/>
  <c r="BP346" i="118"/>
  <c r="X79" i="118"/>
  <c r="Y214" i="118"/>
  <c r="AC214" i="118" s="1"/>
  <c r="O214" i="118" s="1"/>
  <c r="AA214" i="118"/>
  <c r="AB214" i="118" s="1"/>
  <c r="AC425" i="29"/>
  <c r="AK425" i="29" s="1"/>
  <c r="AO425" i="29" s="1"/>
  <c r="AD425" i="29"/>
  <c r="AE250" i="29"/>
  <c r="AF250" i="29" s="1"/>
  <c r="P480" i="118" l="1"/>
  <c r="N480" i="118"/>
  <c r="AZ479" i="118"/>
  <c r="BI479" i="118" s="1"/>
  <c r="BC479" i="118"/>
  <c r="AA615" i="118"/>
  <c r="AB615" i="118" s="1"/>
  <c r="Y615" i="118"/>
  <c r="AC615" i="118" s="1"/>
  <c r="AK346" i="118"/>
  <c r="AL346" i="118" s="1"/>
  <c r="Q346" i="118"/>
  <c r="P347" i="118" s="1"/>
  <c r="AI346" i="118"/>
  <c r="AJ346" i="118" s="1"/>
  <c r="AM346" i="118"/>
  <c r="AT346" i="118"/>
  <c r="AZ346" i="118" s="1"/>
  <c r="BI346" i="118" s="1"/>
  <c r="BL346" i="118"/>
  <c r="BR346" i="118" s="1"/>
  <c r="AP346" i="118"/>
  <c r="AA79" i="118"/>
  <c r="AB79" i="118" s="1"/>
  <c r="Y79" i="118"/>
  <c r="AC79" i="118" s="1"/>
  <c r="AE214" i="118"/>
  <c r="AF214" i="118" s="1"/>
  <c r="AK214" i="118"/>
  <c r="AL214" i="118" s="1"/>
  <c r="AT214" i="118"/>
  <c r="BL214" i="118"/>
  <c r="AP214" i="118"/>
  <c r="Q214" i="118"/>
  <c r="AI214" i="118"/>
  <c r="AJ214" i="118" s="1"/>
  <c r="AM214" i="118"/>
  <c r="AX214" i="118"/>
  <c r="BG214" i="118" s="1"/>
  <c r="BP214" i="118"/>
  <c r="AD214" i="118"/>
  <c r="AH214" i="118"/>
  <c r="BO214" i="118"/>
  <c r="AQ214" i="118"/>
  <c r="AW214" i="118"/>
  <c r="BF214" i="118" s="1"/>
  <c r="Z214" i="118"/>
  <c r="AD251" i="29"/>
  <c r="AC251" i="29"/>
  <c r="AK251" i="29" s="1"/>
  <c r="AO251" i="29" s="1"/>
  <c r="AE425" i="29"/>
  <c r="AF425" i="29" s="1"/>
  <c r="X480" i="118" l="1"/>
  <c r="O615" i="118"/>
  <c r="AI615" i="118" s="1"/>
  <c r="AJ615" i="118" s="1"/>
  <c r="AD615" i="118"/>
  <c r="BP615" i="118"/>
  <c r="AX615" i="118"/>
  <c r="BG615" i="118" s="1"/>
  <c r="AH615" i="118"/>
  <c r="AQ615" i="118"/>
  <c r="BO615" i="118"/>
  <c r="AW615" i="118"/>
  <c r="BF615" i="118" s="1"/>
  <c r="Z615" i="118"/>
  <c r="N347" i="118"/>
  <c r="X347" i="118" s="1"/>
  <c r="BC346" i="118"/>
  <c r="AX79" i="118"/>
  <c r="BG79" i="118" s="1"/>
  <c r="BP79" i="118"/>
  <c r="AD79" i="118"/>
  <c r="O79" i="118"/>
  <c r="AH79" i="118"/>
  <c r="BO79" i="118"/>
  <c r="AQ79" i="118"/>
  <c r="AW79" i="118"/>
  <c r="BF79" i="118" s="1"/>
  <c r="Z79" i="118"/>
  <c r="BR214" i="118"/>
  <c r="AZ214" i="118"/>
  <c r="BI214" i="118" s="1"/>
  <c r="BC214" i="118"/>
  <c r="P215" i="118"/>
  <c r="N215" i="118"/>
  <c r="AD426" i="29"/>
  <c r="AC426" i="29"/>
  <c r="AK426" i="29" s="1"/>
  <c r="AO426" i="29" s="1"/>
  <c r="AE251" i="29"/>
  <c r="AF251" i="29" s="1"/>
  <c r="Y480" i="118" l="1"/>
  <c r="AH480" i="118" s="1"/>
  <c r="AA480" i="118"/>
  <c r="AB480" i="118" s="1"/>
  <c r="AE615" i="118"/>
  <c r="AF615" i="118" s="1"/>
  <c r="BL615" i="118"/>
  <c r="BR615" i="118" s="1"/>
  <c r="AK615" i="118"/>
  <c r="AL615" i="118" s="1"/>
  <c r="Q615" i="118"/>
  <c r="AT615" i="118"/>
  <c r="AP615" i="118"/>
  <c r="AM615" i="118"/>
  <c r="AA347" i="118"/>
  <c r="AB347" i="118" s="1"/>
  <c r="Y347" i="118"/>
  <c r="AC347" i="118" s="1"/>
  <c r="AM79" i="118"/>
  <c r="BL79" i="118"/>
  <c r="BR79" i="118" s="1"/>
  <c r="AK79" i="118"/>
  <c r="AL79" i="118" s="1"/>
  <c r="AP79" i="118"/>
  <c r="AT79" i="118"/>
  <c r="Q79" i="118"/>
  <c r="AI79" i="118"/>
  <c r="AJ79" i="118" s="1"/>
  <c r="AE79" i="118"/>
  <c r="AF79" i="118" s="1"/>
  <c r="X215" i="118"/>
  <c r="AC252" i="29"/>
  <c r="AK252" i="29" s="1"/>
  <c r="AO252" i="29" s="1"/>
  <c r="AD252" i="29"/>
  <c r="AE426" i="29"/>
  <c r="AF426" i="29" s="1"/>
  <c r="AC480" i="118" l="1"/>
  <c r="BP480" i="118" s="1"/>
  <c r="AW480" i="118"/>
  <c r="BF480" i="118" s="1"/>
  <c r="BO480" i="118"/>
  <c r="AQ480" i="118"/>
  <c r="Z480" i="118"/>
  <c r="AZ615" i="118"/>
  <c r="BI615" i="118" s="1"/>
  <c r="BC615" i="118"/>
  <c r="P616" i="118"/>
  <c r="N616" i="118"/>
  <c r="AH347" i="118"/>
  <c r="AD347" i="118"/>
  <c r="BP347" i="118"/>
  <c r="AX347" i="118"/>
  <c r="BG347" i="118" s="1"/>
  <c r="O347" i="118"/>
  <c r="AE347" i="118" s="1"/>
  <c r="AF347" i="118" s="1"/>
  <c r="BO347" i="118"/>
  <c r="AW347" i="118"/>
  <c r="BF347" i="118" s="1"/>
  <c r="AQ347" i="118"/>
  <c r="Z347" i="118"/>
  <c r="N80" i="118"/>
  <c r="P80" i="118"/>
  <c r="AZ79" i="118"/>
  <c r="BI79" i="118" s="1"/>
  <c r="BC79" i="118"/>
  <c r="Y215" i="118"/>
  <c r="AA215" i="118"/>
  <c r="AB215" i="118" s="1"/>
  <c r="AC427" i="29"/>
  <c r="AK427" i="29" s="1"/>
  <c r="AO427" i="29" s="1"/>
  <c r="AD427" i="29"/>
  <c r="AE252" i="29"/>
  <c r="AF252" i="29" s="1"/>
  <c r="O480" i="118" l="1"/>
  <c r="AE480" i="118" s="1"/>
  <c r="AF480" i="118" s="1"/>
  <c r="AD480" i="118"/>
  <c r="AX480" i="118"/>
  <c r="BG480" i="118" s="1"/>
  <c r="X616" i="118"/>
  <c r="AK347" i="118"/>
  <c r="AL347" i="118" s="1"/>
  <c r="BL347" i="118"/>
  <c r="BR347" i="118" s="1"/>
  <c r="AP347" i="118"/>
  <c r="Q347" i="118"/>
  <c r="AT347" i="118"/>
  <c r="AI347" i="118"/>
  <c r="AJ347" i="118" s="1"/>
  <c r="AM347" i="118"/>
  <c r="X80" i="118"/>
  <c r="AH215" i="118"/>
  <c r="BO215" i="118"/>
  <c r="AQ215" i="118"/>
  <c r="AW215" i="118"/>
  <c r="BF215" i="118" s="1"/>
  <c r="Z215" i="118"/>
  <c r="AC215" i="118"/>
  <c r="AD253" i="29"/>
  <c r="AC253" i="29"/>
  <c r="AK253" i="29" s="1"/>
  <c r="AE427" i="29"/>
  <c r="AF427" i="29" s="1"/>
  <c r="AI480" i="118" l="1"/>
  <c r="AJ480" i="118" s="1"/>
  <c r="AP480" i="118"/>
  <c r="AT480" i="118"/>
  <c r="BC480" i="118" s="1"/>
  <c r="Q480" i="118"/>
  <c r="N481" i="118" s="1"/>
  <c r="AK480" i="118"/>
  <c r="AL480" i="118" s="1"/>
  <c r="AM480" i="118"/>
  <c r="BL480" i="118"/>
  <c r="BR480" i="118" s="1"/>
  <c r="Y616" i="118"/>
  <c r="AA616" i="118"/>
  <c r="AB616" i="118" s="1"/>
  <c r="N348" i="118"/>
  <c r="P348" i="118"/>
  <c r="AZ347" i="118"/>
  <c r="BI347" i="118" s="1"/>
  <c r="BC347" i="118"/>
  <c r="Y80" i="118"/>
  <c r="AC80" i="118" s="1"/>
  <c r="O80" i="118" s="1"/>
  <c r="AA80" i="118"/>
  <c r="AB80" i="118" s="1"/>
  <c r="O215" i="118"/>
  <c r="AD215" i="118"/>
  <c r="AX215" i="118"/>
  <c r="BG215" i="118" s="1"/>
  <c r="BP215" i="118"/>
  <c r="AI196" i="29"/>
  <c r="AO253" i="29"/>
  <c r="AI720" i="29"/>
  <c r="AI893" i="29"/>
  <c r="AE253" i="29"/>
  <c r="AF253" i="29" s="1"/>
  <c r="AI370" i="29"/>
  <c r="AZ480" i="118" l="1"/>
  <c r="BI480" i="118" s="1"/>
  <c r="P481" i="118"/>
  <c r="X481" i="118" s="1"/>
  <c r="AH616" i="118"/>
  <c r="AC616" i="118"/>
  <c r="BO616" i="118"/>
  <c r="AQ616" i="118"/>
  <c r="AW616" i="118"/>
  <c r="BF616" i="118" s="1"/>
  <c r="Z616" i="118"/>
  <c r="X348" i="118"/>
  <c r="AI80" i="118"/>
  <c r="AJ80" i="118" s="1"/>
  <c r="AE80" i="118"/>
  <c r="AF80" i="118" s="1"/>
  <c r="Q80" i="118"/>
  <c r="BL80" i="118"/>
  <c r="AK80" i="118"/>
  <c r="AL80" i="118" s="1"/>
  <c r="AT80" i="118"/>
  <c r="AP80" i="118"/>
  <c r="AX80" i="118"/>
  <c r="BG80" i="118" s="1"/>
  <c r="AD80" i="118"/>
  <c r="BP80" i="118"/>
  <c r="AM80" i="118"/>
  <c r="AH80" i="118"/>
  <c r="AQ80" i="118"/>
  <c r="BO80" i="118"/>
  <c r="AW80" i="118"/>
  <c r="BF80" i="118" s="1"/>
  <c r="Z80" i="118"/>
  <c r="Q215" i="118"/>
  <c r="AK215" i="118"/>
  <c r="AL215" i="118" s="1"/>
  <c r="BL215" i="118"/>
  <c r="BR215" i="118" s="1"/>
  <c r="AT215" i="118"/>
  <c r="AP215" i="118"/>
  <c r="AI215" i="118"/>
  <c r="AJ215" i="118" s="1"/>
  <c r="AM215" i="118"/>
  <c r="AE215" i="118"/>
  <c r="AF215" i="118" s="1"/>
  <c r="AA481" i="118" l="1"/>
  <c r="AB481" i="118" s="1"/>
  <c r="Y481" i="118"/>
  <c r="AH481" i="118" s="1"/>
  <c r="BP616" i="118"/>
  <c r="AD616" i="118"/>
  <c r="AX616" i="118"/>
  <c r="BG616" i="118" s="1"/>
  <c r="O616" i="118"/>
  <c r="AA348" i="118"/>
  <c r="AB348" i="118" s="1"/>
  <c r="Y348" i="118"/>
  <c r="AH348" i="118" s="1"/>
  <c r="BR80" i="118"/>
  <c r="N81" i="118"/>
  <c r="P81" i="118"/>
  <c r="AZ80" i="118"/>
  <c r="BI80" i="118" s="1"/>
  <c r="BC80" i="118"/>
  <c r="AZ215" i="118"/>
  <c r="BI215" i="118" s="1"/>
  <c r="BC215" i="118"/>
  <c r="N216" i="118"/>
  <c r="P216" i="118"/>
  <c r="AC481" i="118" l="1"/>
  <c r="O481" i="118" s="1"/>
  <c r="AP481" i="118" s="1"/>
  <c r="AQ481" i="118"/>
  <c r="BO481" i="118"/>
  <c r="AW481" i="118"/>
  <c r="BF481" i="118" s="1"/>
  <c r="Z481" i="118"/>
  <c r="Q616" i="118"/>
  <c r="BL616" i="118"/>
  <c r="BR616" i="118" s="1"/>
  <c r="AP616" i="118"/>
  <c r="AT616" i="118"/>
  <c r="AK616" i="118"/>
  <c r="AL616" i="118" s="1"/>
  <c r="AM616" i="118"/>
  <c r="AI616" i="118"/>
  <c r="AJ616" i="118" s="1"/>
  <c r="AE616" i="118"/>
  <c r="AF616" i="118" s="1"/>
  <c r="AC348" i="118"/>
  <c r="BO348" i="118"/>
  <c r="AW348" i="118"/>
  <c r="BF348" i="118" s="1"/>
  <c r="AQ348" i="118"/>
  <c r="Z348" i="118"/>
  <c r="X81" i="118"/>
  <c r="X216" i="118"/>
  <c r="BP481" i="118" l="1"/>
  <c r="AM481" i="118"/>
  <c r="AT481" i="118"/>
  <c r="BC481" i="118" s="1"/>
  <c r="AE481" i="118"/>
  <c r="AF481" i="118" s="1"/>
  <c r="AX481" i="118"/>
  <c r="BG481" i="118" s="1"/>
  <c r="AI481" i="118"/>
  <c r="AJ481" i="118" s="1"/>
  <c r="Q481" i="118"/>
  <c r="P482" i="118" s="1"/>
  <c r="AD481" i="118"/>
  <c r="BL481" i="118"/>
  <c r="AK481" i="118"/>
  <c r="AL481" i="118" s="1"/>
  <c r="P617" i="118"/>
  <c r="N617" i="118"/>
  <c r="AZ616" i="118"/>
  <c r="BI616" i="118" s="1"/>
  <c r="BC616" i="118"/>
  <c r="AX348" i="118"/>
  <c r="BG348" i="118" s="1"/>
  <c r="BP348" i="118"/>
  <c r="AD348" i="118"/>
  <c r="O348" i="118"/>
  <c r="Y81" i="118"/>
  <c r="AH81" i="118" s="1"/>
  <c r="AA81" i="118"/>
  <c r="AB81" i="118" s="1"/>
  <c r="Y216" i="118"/>
  <c r="AC216" i="118" s="1"/>
  <c r="AA216" i="118"/>
  <c r="AB216" i="118" s="1"/>
  <c r="BR481" i="118" l="1"/>
  <c r="AZ481" i="118"/>
  <c r="BI481" i="118" s="1"/>
  <c r="N482" i="118"/>
  <c r="X482" i="118" s="1"/>
  <c r="X617" i="118"/>
  <c r="Q348" i="118"/>
  <c r="BL348" i="118"/>
  <c r="BR348" i="118" s="1"/>
  <c r="AP348" i="118"/>
  <c r="AT348" i="118"/>
  <c r="AK348" i="118"/>
  <c r="AL348" i="118" s="1"/>
  <c r="AM348" i="118"/>
  <c r="AE348" i="118"/>
  <c r="AF348" i="118" s="1"/>
  <c r="AI348" i="118"/>
  <c r="AJ348" i="118" s="1"/>
  <c r="AC81" i="118"/>
  <c r="AQ81" i="118"/>
  <c r="AW81" i="118"/>
  <c r="BF81" i="118" s="1"/>
  <c r="BO81" i="118"/>
  <c r="Z81" i="118"/>
  <c r="O216" i="118"/>
  <c r="AE216" i="118" s="1"/>
  <c r="AF216" i="118" s="1"/>
  <c r="AD216" i="118"/>
  <c r="BP216" i="118"/>
  <c r="AX216" i="118"/>
  <c r="BG216" i="118" s="1"/>
  <c r="AH216" i="118"/>
  <c r="BO216" i="118"/>
  <c r="AQ216" i="118"/>
  <c r="AW216" i="118"/>
  <c r="BF216" i="118" s="1"/>
  <c r="Z216" i="118"/>
  <c r="AI546" i="29"/>
  <c r="AA482" i="118" l="1"/>
  <c r="AB482" i="118" s="1"/>
  <c r="Y482" i="118"/>
  <c r="AC482" i="118" s="1"/>
  <c r="AA617" i="118"/>
  <c r="AB617" i="118" s="1"/>
  <c r="Y617" i="118"/>
  <c r="AC617" i="118" s="1"/>
  <c r="AZ348" i="118"/>
  <c r="BI348" i="118" s="1"/>
  <c r="BC348" i="118"/>
  <c r="N349" i="118"/>
  <c r="P349" i="118"/>
  <c r="BP81" i="118"/>
  <c r="AD81" i="118"/>
  <c r="AX81" i="118"/>
  <c r="BG81" i="118" s="1"/>
  <c r="O81" i="118"/>
  <c r="AK216" i="118"/>
  <c r="AL216" i="118" s="1"/>
  <c r="AP216" i="118"/>
  <c r="BL216" i="118"/>
  <c r="BR216" i="118" s="1"/>
  <c r="AT216" i="118"/>
  <c r="Q216" i="118"/>
  <c r="AI216" i="118"/>
  <c r="AJ216" i="118" s="1"/>
  <c r="AM216" i="118"/>
  <c r="BP482" i="118" l="1"/>
  <c r="AX482" i="118"/>
  <c r="BG482" i="118" s="1"/>
  <c r="AD482" i="118"/>
  <c r="O482" i="118"/>
  <c r="AI482" i="118" s="1"/>
  <c r="AJ482" i="118" s="1"/>
  <c r="AW482" i="118"/>
  <c r="BF482" i="118" s="1"/>
  <c r="BO482" i="118"/>
  <c r="AQ482" i="118"/>
  <c r="Z482" i="118"/>
  <c r="AH482" i="118"/>
  <c r="O617" i="118"/>
  <c r="AE617" i="118" s="1"/>
  <c r="AF617" i="118" s="1"/>
  <c r="AX617" i="118"/>
  <c r="BG617" i="118" s="1"/>
  <c r="BP617" i="118"/>
  <c r="AD617" i="118"/>
  <c r="AH617" i="118"/>
  <c r="AW617" i="118"/>
  <c r="BF617" i="118" s="1"/>
  <c r="BO617" i="118"/>
  <c r="AQ617" i="118"/>
  <c r="Z617" i="118"/>
  <c r="X349" i="118"/>
  <c r="AE81" i="118"/>
  <c r="AF81" i="118" s="1"/>
  <c r="Q81" i="118"/>
  <c r="AK81" i="118"/>
  <c r="AL81" i="118" s="1"/>
  <c r="BL81" i="118"/>
  <c r="BR81" i="118" s="1"/>
  <c r="AP81" i="118"/>
  <c r="AT81" i="118"/>
  <c r="AI81" i="118"/>
  <c r="AJ81" i="118" s="1"/>
  <c r="AM81" i="118"/>
  <c r="N217" i="118"/>
  <c r="P217" i="118"/>
  <c r="AZ216" i="118"/>
  <c r="BI216" i="118" s="1"/>
  <c r="BC216" i="118"/>
  <c r="D88" i="29"/>
  <c r="AM482" i="118" l="1"/>
  <c r="BL482" i="118"/>
  <c r="BR482" i="118" s="1"/>
  <c r="Q482" i="118"/>
  <c r="AT482" i="118"/>
  <c r="AK482" i="118"/>
  <c r="AL482" i="118" s="1"/>
  <c r="AP482" i="118"/>
  <c r="AE482" i="118"/>
  <c r="AF482" i="118" s="1"/>
  <c r="AM617" i="118"/>
  <c r="Q617" i="118"/>
  <c r="BL617" i="118"/>
  <c r="BR617" i="118" s="1"/>
  <c r="AK617" i="118"/>
  <c r="AL617" i="118" s="1"/>
  <c r="AT617" i="118"/>
  <c r="AP617" i="118"/>
  <c r="AI617" i="118"/>
  <c r="AJ617" i="118" s="1"/>
  <c r="AA349" i="118"/>
  <c r="AB349" i="118" s="1"/>
  <c r="Y349" i="118"/>
  <c r="AC349" i="118" s="1"/>
  <c r="AZ81" i="118"/>
  <c r="BI81" i="118" s="1"/>
  <c r="BC81" i="118"/>
  <c r="N82" i="118"/>
  <c r="P82" i="118"/>
  <c r="X217" i="118"/>
  <c r="E88" i="29"/>
  <c r="AZ482" i="118" l="1"/>
  <c r="BI482" i="118" s="1"/>
  <c r="BC482" i="118"/>
  <c r="N483" i="118"/>
  <c r="P483" i="118"/>
  <c r="N618" i="118"/>
  <c r="P618" i="118"/>
  <c r="BC617" i="118"/>
  <c r="AZ617" i="118"/>
  <c r="BI617" i="118" s="1"/>
  <c r="AH349" i="118"/>
  <c r="AX349" i="118"/>
  <c r="BG349" i="118" s="1"/>
  <c r="AD349" i="118"/>
  <c r="BP349" i="118"/>
  <c r="O349" i="118"/>
  <c r="AW349" i="118"/>
  <c r="BF349" i="118" s="1"/>
  <c r="AQ349" i="118"/>
  <c r="BO349" i="118"/>
  <c r="Z349" i="118"/>
  <c r="X82" i="118"/>
  <c r="Y217" i="118"/>
  <c r="AC217" i="118" s="1"/>
  <c r="AA217" i="118"/>
  <c r="AB217" i="118" s="1"/>
  <c r="X483" i="118" l="1"/>
  <c r="Y483" i="118" s="1"/>
  <c r="X618" i="118"/>
  <c r="AA618" i="118" s="1"/>
  <c r="AB618" i="118" s="1"/>
  <c r="AE349" i="118"/>
  <c r="AF349" i="118" s="1"/>
  <c r="AT349" i="118"/>
  <c r="AK349" i="118"/>
  <c r="AL349" i="118" s="1"/>
  <c r="BL349" i="118"/>
  <c r="BR349" i="118" s="1"/>
  <c r="Q349" i="118"/>
  <c r="AP349" i="118"/>
  <c r="AM349" i="118"/>
  <c r="AI349" i="118"/>
  <c r="AJ349" i="118" s="1"/>
  <c r="AA82" i="118"/>
  <c r="AB82" i="118" s="1"/>
  <c r="Y82" i="118"/>
  <c r="AH82" i="118" s="1"/>
  <c r="O217" i="118"/>
  <c r="AD217" i="118"/>
  <c r="AX217" i="118"/>
  <c r="BG217" i="118" s="1"/>
  <c r="BP217" i="118"/>
  <c r="AH217" i="118"/>
  <c r="AQ217" i="118"/>
  <c r="BO217" i="118"/>
  <c r="AW217" i="118"/>
  <c r="BF217" i="118" s="1"/>
  <c r="Z217" i="118"/>
  <c r="L54" i="29"/>
  <c r="C51" i="29"/>
  <c r="C88" i="29"/>
  <c r="AA483" i="118" l="1"/>
  <c r="AB483" i="118" s="1"/>
  <c r="AW483" i="118"/>
  <c r="BF483" i="118" s="1"/>
  <c r="Z483" i="118"/>
  <c r="AQ483" i="118"/>
  <c r="AH483" i="118"/>
  <c r="AC483" i="118"/>
  <c r="BO483" i="118"/>
  <c r="Y618" i="118"/>
  <c r="AC618" i="118" s="1"/>
  <c r="O618" i="118" s="1"/>
  <c r="AM618" i="118" s="1"/>
  <c r="AZ349" i="118"/>
  <c r="BI349" i="118" s="1"/>
  <c r="BC349" i="118"/>
  <c r="P350" i="118"/>
  <c r="N350" i="118"/>
  <c r="AC82" i="118"/>
  <c r="AQ82" i="118"/>
  <c r="BO82" i="118"/>
  <c r="AW82" i="118"/>
  <c r="BF82" i="118" s="1"/>
  <c r="Z82" i="118"/>
  <c r="AM217" i="118"/>
  <c r="Q217" i="118"/>
  <c r="AT217" i="118"/>
  <c r="BL217" i="118"/>
  <c r="BR217" i="118" s="1"/>
  <c r="AP217" i="118"/>
  <c r="AK217" i="118"/>
  <c r="AL217" i="118" s="1"/>
  <c r="AI217" i="118"/>
  <c r="AJ217" i="118" s="1"/>
  <c r="AE217" i="118"/>
  <c r="AF217" i="118" s="1"/>
  <c r="Y54" i="29"/>
  <c r="AM56" i="29" s="1"/>
  <c r="BP483" i="118" l="1"/>
  <c r="AX483" i="118"/>
  <c r="BG483" i="118" s="1"/>
  <c r="AD483" i="118"/>
  <c r="O483" i="118"/>
  <c r="AE483" i="118" s="1"/>
  <c r="AF483" i="118" s="1"/>
  <c r="Z618" i="118"/>
  <c r="AW618" i="118"/>
  <c r="BF618" i="118" s="1"/>
  <c r="AQ618" i="118"/>
  <c r="AH618" i="118"/>
  <c r="BO618" i="118"/>
  <c r="AX618" i="118"/>
  <c r="BG618" i="118" s="1"/>
  <c r="BP618" i="118"/>
  <c r="AD618" i="118"/>
  <c r="AE618" i="118"/>
  <c r="AF618" i="118" s="1"/>
  <c r="AP618" i="118"/>
  <c r="Q618" i="118"/>
  <c r="AT618" i="118"/>
  <c r="AK618" i="118"/>
  <c r="AL618" i="118" s="1"/>
  <c r="BL618" i="118"/>
  <c r="AI618" i="118"/>
  <c r="AJ618" i="118" s="1"/>
  <c r="X350" i="118"/>
  <c r="AD82" i="118"/>
  <c r="AX82" i="118"/>
  <c r="BG82" i="118" s="1"/>
  <c r="BP82" i="118"/>
  <c r="O82" i="118"/>
  <c r="AZ217" i="118"/>
  <c r="BI217" i="118" s="1"/>
  <c r="BC217" i="118"/>
  <c r="P218" i="118"/>
  <c r="N218" i="118"/>
  <c r="BL483" i="118" l="1"/>
  <c r="BR483" i="118" s="1"/>
  <c r="AT483" i="118"/>
  <c r="AI483" i="118"/>
  <c r="AJ483" i="118" s="1"/>
  <c r="AP483" i="118"/>
  <c r="Q483" i="118"/>
  <c r="AM483" i="118"/>
  <c r="AK483" i="118"/>
  <c r="AL483" i="118" s="1"/>
  <c r="BR618" i="118"/>
  <c r="BC618" i="118"/>
  <c r="AZ618" i="118"/>
  <c r="BI618" i="118" s="1"/>
  <c r="P619" i="118"/>
  <c r="N619" i="118"/>
  <c r="AA350" i="118"/>
  <c r="AB350" i="118" s="1"/>
  <c r="Y350" i="118"/>
  <c r="AH350" i="118" s="1"/>
  <c r="BL82" i="118"/>
  <c r="BR82" i="118" s="1"/>
  <c r="AP82" i="118"/>
  <c r="AK82" i="118"/>
  <c r="AL82" i="118" s="1"/>
  <c r="Q82" i="118"/>
  <c r="AT82" i="118"/>
  <c r="AI82" i="118"/>
  <c r="AJ82" i="118" s="1"/>
  <c r="AM82" i="118"/>
  <c r="AE82" i="118"/>
  <c r="AF82" i="118" s="1"/>
  <c r="X218" i="118"/>
  <c r="P484" i="118" l="1"/>
  <c r="N484" i="118"/>
  <c r="AZ483" i="118"/>
  <c r="BI483" i="118" s="1"/>
  <c r="BC483" i="118"/>
  <c r="X619" i="118"/>
  <c r="AC350" i="118"/>
  <c r="AW350" i="118"/>
  <c r="BF350" i="118" s="1"/>
  <c r="AQ350" i="118"/>
  <c r="BO350" i="118"/>
  <c r="Z350" i="118"/>
  <c r="P83" i="118"/>
  <c r="N83" i="118"/>
  <c r="AZ82" i="118"/>
  <c r="BI82" i="118" s="1"/>
  <c r="BC82" i="118"/>
  <c r="Y218" i="118"/>
  <c r="AA218" i="118"/>
  <c r="AB218" i="118" s="1"/>
  <c r="J79" i="98"/>
  <c r="X484" i="118" l="1"/>
  <c r="AA619" i="118"/>
  <c r="AB619" i="118" s="1"/>
  <c r="Y619" i="118"/>
  <c r="AH619" i="118" s="1"/>
  <c r="O350" i="118"/>
  <c r="AD350" i="118"/>
  <c r="AX350" i="118"/>
  <c r="BG350" i="118" s="1"/>
  <c r="BP350" i="118"/>
  <c r="X83" i="118"/>
  <c r="AH218" i="118"/>
  <c r="BO218" i="118"/>
  <c r="AQ218" i="118"/>
  <c r="AW218" i="118"/>
  <c r="BF218" i="118" s="1"/>
  <c r="Z218" i="118"/>
  <c r="AC218" i="118"/>
  <c r="Q138" i="29"/>
  <c r="D76" i="29"/>
  <c r="AA484" i="118" l="1"/>
  <c r="AB484" i="118" s="1"/>
  <c r="Y484" i="118"/>
  <c r="AH484" i="118" s="1"/>
  <c r="AC619" i="118"/>
  <c r="BO619" i="118"/>
  <c r="AQ619" i="118"/>
  <c r="AW619" i="118"/>
  <c r="BF619" i="118" s="1"/>
  <c r="Z619" i="118"/>
  <c r="AP350" i="118"/>
  <c r="AT350" i="118"/>
  <c r="AK350" i="118"/>
  <c r="AL350" i="118" s="1"/>
  <c r="Q350" i="118"/>
  <c r="BL350" i="118"/>
  <c r="BR350" i="118" s="1"/>
  <c r="AM350" i="118"/>
  <c r="AE350" i="118"/>
  <c r="AF350" i="118" s="1"/>
  <c r="AI350" i="118"/>
  <c r="AJ350" i="118" s="1"/>
  <c r="Y83" i="118"/>
  <c r="AC83" i="118" s="1"/>
  <c r="AA83" i="118"/>
  <c r="AB83" i="118" s="1"/>
  <c r="BP218" i="118"/>
  <c r="AD218" i="118"/>
  <c r="AX218" i="118"/>
  <c r="BG218" i="118" s="1"/>
  <c r="O218" i="118"/>
  <c r="D83" i="29"/>
  <c r="D86" i="29" s="1"/>
  <c r="AC484" i="118" l="1"/>
  <c r="BO484" i="118"/>
  <c r="AW484" i="118"/>
  <c r="BF484" i="118" s="1"/>
  <c r="Z484" i="118"/>
  <c r="AQ484" i="118"/>
  <c r="O619" i="118"/>
  <c r="AX619" i="118"/>
  <c r="BG619" i="118" s="1"/>
  <c r="BP619" i="118"/>
  <c r="AD619" i="118"/>
  <c r="N351" i="118"/>
  <c r="P351" i="118"/>
  <c r="AZ350" i="118"/>
  <c r="BI350" i="118" s="1"/>
  <c r="BC350" i="118"/>
  <c r="BP83" i="118"/>
  <c r="AX83" i="118"/>
  <c r="BG83" i="118" s="1"/>
  <c r="AD83" i="118"/>
  <c r="AH83" i="118"/>
  <c r="O83" i="118"/>
  <c r="AM83" i="118" s="1"/>
  <c r="AW83" i="118"/>
  <c r="BF83" i="118" s="1"/>
  <c r="AQ83" i="118"/>
  <c r="BO83" i="118"/>
  <c r="Z83" i="118"/>
  <c r="Q218" i="118"/>
  <c r="AT218" i="118"/>
  <c r="AP218" i="118"/>
  <c r="BL218" i="118"/>
  <c r="BR218" i="118" s="1"/>
  <c r="AK218" i="118"/>
  <c r="AL218" i="118" s="1"/>
  <c r="AM218" i="118"/>
  <c r="AI218" i="118"/>
  <c r="AJ218" i="118" s="1"/>
  <c r="AE218" i="118"/>
  <c r="AF218" i="118" s="1"/>
  <c r="O484" i="118" l="1"/>
  <c r="AD484" i="118"/>
  <c r="AX484" i="118"/>
  <c r="BG484" i="118" s="1"/>
  <c r="BP484" i="118"/>
  <c r="AK619" i="118"/>
  <c r="AL619" i="118" s="1"/>
  <c r="AP619" i="118"/>
  <c r="Q619" i="118"/>
  <c r="AT619" i="118"/>
  <c r="BL619" i="118"/>
  <c r="BR619" i="118" s="1"/>
  <c r="AI619" i="118"/>
  <c r="AJ619" i="118" s="1"/>
  <c r="AM619" i="118"/>
  <c r="AE619" i="118"/>
  <c r="AF619" i="118" s="1"/>
  <c r="X351" i="118"/>
  <c r="AE83" i="118"/>
  <c r="AF83" i="118" s="1"/>
  <c r="AI83" i="118"/>
  <c r="AJ83" i="118" s="1"/>
  <c r="Q83" i="118"/>
  <c r="AP83" i="118"/>
  <c r="BL83" i="118"/>
  <c r="BR83" i="118" s="1"/>
  <c r="AT83" i="118"/>
  <c r="AK83" i="118"/>
  <c r="AL83" i="118" s="1"/>
  <c r="P219" i="118"/>
  <c r="N219" i="118"/>
  <c r="AZ218" i="118"/>
  <c r="BI218" i="118" s="1"/>
  <c r="BC218" i="118"/>
  <c r="AE484" i="118" l="1"/>
  <c r="AF484" i="118" s="1"/>
  <c r="AT484" i="118"/>
  <c r="AP484" i="118"/>
  <c r="Q484" i="118"/>
  <c r="AI484" i="118"/>
  <c r="AJ484" i="118" s="1"/>
  <c r="AK484" i="118"/>
  <c r="AL484" i="118" s="1"/>
  <c r="AM484" i="118"/>
  <c r="BL484" i="118"/>
  <c r="BR484" i="118" s="1"/>
  <c r="AZ619" i="118"/>
  <c r="BI619" i="118" s="1"/>
  <c r="BC619" i="118"/>
  <c r="P620" i="118"/>
  <c r="N620" i="118"/>
  <c r="Y351" i="118"/>
  <c r="AH351" i="118" s="1"/>
  <c r="AA351" i="118"/>
  <c r="AB351" i="118" s="1"/>
  <c r="P84" i="118"/>
  <c r="N84" i="118"/>
  <c r="AZ83" i="118"/>
  <c r="BI83" i="118" s="1"/>
  <c r="BC83" i="118"/>
  <c r="X219" i="118"/>
  <c r="S138" i="29"/>
  <c r="E76" i="29"/>
  <c r="N485" i="118" l="1"/>
  <c r="P485" i="118"/>
  <c r="BC484" i="118"/>
  <c r="AZ484" i="118"/>
  <c r="BI484" i="118" s="1"/>
  <c r="X620" i="118"/>
  <c r="AC351" i="118"/>
  <c r="AW351" i="118"/>
  <c r="BF351" i="118" s="1"/>
  <c r="AQ351" i="118"/>
  <c r="BO351" i="118"/>
  <c r="Z351" i="118"/>
  <c r="C102" i="29"/>
  <c r="H37" i="98" s="1"/>
  <c r="C106" i="29"/>
  <c r="H41" i="98" s="1"/>
  <c r="C93" i="29"/>
  <c r="H23" i="98" s="1"/>
  <c r="C98" i="29"/>
  <c r="H33" i="98" s="1"/>
  <c r="C104" i="29"/>
  <c r="H39" i="98" s="1"/>
  <c r="C94" i="29"/>
  <c r="H24" i="98" s="1"/>
  <c r="C112" i="29"/>
  <c r="C100" i="29"/>
  <c r="H35" i="98" s="1"/>
  <c r="X84" i="118"/>
  <c r="Y219" i="118"/>
  <c r="AA219" i="118"/>
  <c r="AB219" i="118" s="1"/>
  <c r="E83" i="29"/>
  <c r="E86" i="29" s="1"/>
  <c r="X485" i="118" l="1"/>
  <c r="AA620" i="118"/>
  <c r="AB620" i="118" s="1"/>
  <c r="Y620" i="118"/>
  <c r="AH620" i="118" s="1"/>
  <c r="AD351" i="118"/>
  <c r="BP351" i="118"/>
  <c r="AX351" i="118"/>
  <c r="BG351" i="118" s="1"/>
  <c r="O351" i="118"/>
  <c r="C107" i="29"/>
  <c r="C101" i="29"/>
  <c r="C105" i="29"/>
  <c r="C103" i="29"/>
  <c r="H51" i="98"/>
  <c r="C113" i="29"/>
  <c r="C114" i="29" s="1"/>
  <c r="C99" i="29"/>
  <c r="AC219" i="118"/>
  <c r="O219" i="118" s="1"/>
  <c r="AK219" i="118" s="1"/>
  <c r="AL219" i="118" s="1"/>
  <c r="Y84" i="118"/>
  <c r="AH84" i="118" s="1"/>
  <c r="AA84" i="118"/>
  <c r="AB84" i="118" s="1"/>
  <c r="AH219" i="118"/>
  <c r="AQ219" i="118"/>
  <c r="AW219" i="118"/>
  <c r="BF219" i="118" s="1"/>
  <c r="BO219" i="118"/>
  <c r="Z219" i="118"/>
  <c r="AA485" i="118" l="1"/>
  <c r="AB485" i="118" s="1"/>
  <c r="Y485" i="118"/>
  <c r="C108" i="29"/>
  <c r="AC620" i="118"/>
  <c r="BO620" i="118"/>
  <c r="AW620" i="118"/>
  <c r="BF620" i="118" s="1"/>
  <c r="AQ620" i="118"/>
  <c r="Z620" i="118"/>
  <c r="Q351" i="118"/>
  <c r="BL351" i="118"/>
  <c r="BR351" i="118" s="1"/>
  <c r="AK351" i="118"/>
  <c r="AL351" i="118" s="1"/>
  <c r="AP351" i="118"/>
  <c r="AT351" i="118"/>
  <c r="AM351" i="118"/>
  <c r="AI351" i="118"/>
  <c r="AJ351" i="118" s="1"/>
  <c r="AE351" i="118"/>
  <c r="AF351" i="118" s="1"/>
  <c r="AI219" i="118"/>
  <c r="AJ219" i="118" s="1"/>
  <c r="AT219" i="118"/>
  <c r="BC219" i="118" s="1"/>
  <c r="AD219" i="118"/>
  <c r="BL219" i="118"/>
  <c r="AE219" i="118"/>
  <c r="AF219" i="118" s="1"/>
  <c r="BP219" i="118"/>
  <c r="Q219" i="118"/>
  <c r="N220" i="118" s="1"/>
  <c r="AM219" i="118"/>
  <c r="AX219" i="118"/>
  <c r="BG219" i="118" s="1"/>
  <c r="AP219" i="118"/>
  <c r="AC84" i="118"/>
  <c r="BO84" i="118"/>
  <c r="AW84" i="118"/>
  <c r="BF84" i="118" s="1"/>
  <c r="AQ84" i="118"/>
  <c r="Z84" i="118"/>
  <c r="AQ485" i="118" l="1"/>
  <c r="AH485" i="118"/>
  <c r="AW485" i="118"/>
  <c r="BF485" i="118" s="1"/>
  <c r="AC485" i="118"/>
  <c r="BO485" i="118"/>
  <c r="Z485" i="118"/>
  <c r="BP620" i="118"/>
  <c r="AD620" i="118"/>
  <c r="AX620" i="118"/>
  <c r="BG620" i="118" s="1"/>
  <c r="O620" i="118"/>
  <c r="AZ351" i="118"/>
  <c r="BI351" i="118" s="1"/>
  <c r="BC351" i="118"/>
  <c r="P352" i="118"/>
  <c r="N352" i="118"/>
  <c r="AZ219" i="118"/>
  <c r="BI219" i="118" s="1"/>
  <c r="P220" i="118"/>
  <c r="X220" i="118" s="1"/>
  <c r="BR219" i="118"/>
  <c r="AD84" i="118"/>
  <c r="BP84" i="118"/>
  <c r="AX84" i="118"/>
  <c r="BG84" i="118" s="1"/>
  <c r="O84" i="118"/>
  <c r="AX485" i="118" l="1"/>
  <c r="BG485" i="118" s="1"/>
  <c r="O485" i="118"/>
  <c r="AE485" i="118" s="1"/>
  <c r="AF485" i="118" s="1"/>
  <c r="BP485" i="118"/>
  <c r="AD485" i="118"/>
  <c r="AK620" i="118"/>
  <c r="AL620" i="118" s="1"/>
  <c r="AP620" i="118"/>
  <c r="BL620" i="118"/>
  <c r="BR620" i="118" s="1"/>
  <c r="Q620" i="118"/>
  <c r="AT620" i="118"/>
  <c r="AM620" i="118"/>
  <c r="AI620" i="118"/>
  <c r="AJ620" i="118" s="1"/>
  <c r="AE620" i="118"/>
  <c r="AF620" i="118" s="1"/>
  <c r="X352" i="118"/>
  <c r="AI84" i="118"/>
  <c r="AJ84" i="118" s="1"/>
  <c r="Q84" i="118"/>
  <c r="AP84" i="118"/>
  <c r="AT84" i="118"/>
  <c r="AK84" i="118"/>
  <c r="AL84" i="118" s="1"/>
  <c r="BL84" i="118"/>
  <c r="BR84" i="118" s="1"/>
  <c r="AM84" i="118"/>
  <c r="AE84" i="118"/>
  <c r="AF84" i="118" s="1"/>
  <c r="Y220" i="118"/>
  <c r="AH220" i="118" s="1"/>
  <c r="AA220" i="118"/>
  <c r="AB220" i="118" s="1"/>
  <c r="Q485" i="118" l="1"/>
  <c r="AI485" i="118"/>
  <c r="AJ485" i="118" s="1"/>
  <c r="BL485" i="118"/>
  <c r="BR485" i="118" s="1"/>
  <c r="AM485" i="118"/>
  <c r="AK485" i="118"/>
  <c r="AL485" i="118" s="1"/>
  <c r="AP485" i="118"/>
  <c r="AT485" i="118"/>
  <c r="P621" i="118"/>
  <c r="N621" i="118"/>
  <c r="AZ620" i="118"/>
  <c r="BI620" i="118" s="1"/>
  <c r="BC620" i="118"/>
  <c r="AA352" i="118"/>
  <c r="AB352" i="118" s="1"/>
  <c r="Y352" i="118"/>
  <c r="AH352" i="118" s="1"/>
  <c r="P85" i="118"/>
  <c r="N85" i="118"/>
  <c r="AZ84" i="118"/>
  <c r="BI84" i="118" s="1"/>
  <c r="BC84" i="118"/>
  <c r="AC220" i="118"/>
  <c r="BO220" i="118"/>
  <c r="AW220" i="118"/>
  <c r="BF220" i="118" s="1"/>
  <c r="AQ220" i="118"/>
  <c r="Z220" i="118"/>
  <c r="AZ485" i="118" l="1"/>
  <c r="BI485" i="118" s="1"/>
  <c r="BC485" i="118"/>
  <c r="N486" i="118"/>
  <c r="P486" i="118"/>
  <c r="X621" i="118"/>
  <c r="AC352" i="118"/>
  <c r="AQ352" i="118"/>
  <c r="BO352" i="118"/>
  <c r="AW352" i="118"/>
  <c r="BF352" i="118" s="1"/>
  <c r="Z352" i="118"/>
  <c r="X85" i="118"/>
  <c r="BP220" i="118"/>
  <c r="AD220" i="118"/>
  <c r="AX220" i="118"/>
  <c r="BG220" i="118" s="1"/>
  <c r="O220" i="118"/>
  <c r="X486" i="118" l="1"/>
  <c r="AA621" i="118"/>
  <c r="AB621" i="118" s="1"/>
  <c r="Y621" i="118"/>
  <c r="AC621" i="118" s="1"/>
  <c r="BP352" i="118"/>
  <c r="AX352" i="118"/>
  <c r="BG352" i="118" s="1"/>
  <c r="AD352" i="118"/>
  <c r="O352" i="118"/>
  <c r="Y85" i="118"/>
  <c r="AH85" i="118" s="1"/>
  <c r="AA85" i="118"/>
  <c r="AB85" i="118" s="1"/>
  <c r="Q220" i="118"/>
  <c r="AT220" i="118"/>
  <c r="AK220" i="118"/>
  <c r="AL220" i="118" s="1"/>
  <c r="BL220" i="118"/>
  <c r="BR220" i="118" s="1"/>
  <c r="AP220" i="118"/>
  <c r="AI220" i="118"/>
  <c r="AJ220" i="118" s="1"/>
  <c r="AM220" i="118"/>
  <c r="AE220" i="118"/>
  <c r="AF220" i="118" s="1"/>
  <c r="AA486" i="118" l="1"/>
  <c r="AB486" i="118" s="1"/>
  <c r="Y486" i="118"/>
  <c r="O621" i="118"/>
  <c r="AE621" i="118" s="1"/>
  <c r="AF621" i="118" s="1"/>
  <c r="BP621" i="118"/>
  <c r="AD621" i="118"/>
  <c r="AX621" i="118"/>
  <c r="BG621" i="118" s="1"/>
  <c r="AH621" i="118"/>
  <c r="AW621" i="118"/>
  <c r="BF621" i="118" s="1"/>
  <c r="AQ621" i="118"/>
  <c r="BO621" i="118"/>
  <c r="Z621" i="118"/>
  <c r="AE352" i="118"/>
  <c r="AF352" i="118" s="1"/>
  <c r="BL352" i="118"/>
  <c r="BR352" i="118" s="1"/>
  <c r="AP352" i="118"/>
  <c r="AT352" i="118"/>
  <c r="Q352" i="118"/>
  <c r="AK352" i="118"/>
  <c r="AL352" i="118" s="1"/>
  <c r="AI352" i="118"/>
  <c r="AJ352" i="118" s="1"/>
  <c r="AM352" i="118"/>
  <c r="AC85" i="118"/>
  <c r="AQ85" i="118"/>
  <c r="AW85" i="118"/>
  <c r="BF85" i="118" s="1"/>
  <c r="BO85" i="118"/>
  <c r="Z85" i="118"/>
  <c r="AZ220" i="118"/>
  <c r="BI220" i="118" s="1"/>
  <c r="BC220" i="118"/>
  <c r="N221" i="118"/>
  <c r="P221" i="118"/>
  <c r="AC486" i="118" l="1"/>
  <c r="AQ486" i="118"/>
  <c r="AW486" i="118"/>
  <c r="BF486" i="118" s="1"/>
  <c r="BO486" i="118"/>
  <c r="AH486" i="118"/>
  <c r="Z486" i="118"/>
  <c r="AI621" i="118"/>
  <c r="AJ621" i="118" s="1"/>
  <c r="AM621" i="118"/>
  <c r="BL621" i="118"/>
  <c r="BR621" i="118" s="1"/>
  <c r="Q621" i="118"/>
  <c r="AT621" i="118"/>
  <c r="AP621" i="118"/>
  <c r="AK621" i="118"/>
  <c r="AL621" i="118" s="1"/>
  <c r="AZ352" i="118"/>
  <c r="BI352" i="118" s="1"/>
  <c r="BC352" i="118"/>
  <c r="P353" i="118"/>
  <c r="N353" i="118"/>
  <c r="O85" i="118"/>
  <c r="AD85" i="118"/>
  <c r="BP85" i="118"/>
  <c r="AX85" i="118"/>
  <c r="BG85" i="118" s="1"/>
  <c r="X221" i="118"/>
  <c r="AX486" i="118" l="1"/>
  <c r="BG486" i="118" s="1"/>
  <c r="AD486" i="118"/>
  <c r="BP486" i="118"/>
  <c r="O486" i="118"/>
  <c r="BC621" i="118"/>
  <c r="AZ621" i="118"/>
  <c r="BI621" i="118" s="1"/>
  <c r="P622" i="118"/>
  <c r="N622" i="118"/>
  <c r="X353" i="118"/>
  <c r="Q85" i="118"/>
  <c r="AP85" i="118"/>
  <c r="AT85" i="118"/>
  <c r="BL85" i="118"/>
  <c r="BR85" i="118" s="1"/>
  <c r="AK85" i="118"/>
  <c r="AL85" i="118" s="1"/>
  <c r="AM85" i="118"/>
  <c r="AI85" i="118"/>
  <c r="AJ85" i="118" s="1"/>
  <c r="AE85" i="118"/>
  <c r="AF85" i="118" s="1"/>
  <c r="Y221" i="118"/>
  <c r="AA221" i="118"/>
  <c r="AB221" i="118" s="1"/>
  <c r="AE486" i="118" l="1"/>
  <c r="AF486" i="118" s="1"/>
  <c r="AT486" i="118"/>
  <c r="AI486" i="118"/>
  <c r="AJ486" i="118" s="1"/>
  <c r="AK486" i="118"/>
  <c r="AL486" i="118" s="1"/>
  <c r="AM486" i="118"/>
  <c r="AP486" i="118"/>
  <c r="BL486" i="118"/>
  <c r="BR486" i="118" s="1"/>
  <c r="Q486" i="118"/>
  <c r="X622" i="118"/>
  <c r="AA353" i="118"/>
  <c r="AB353" i="118" s="1"/>
  <c r="Y353" i="118"/>
  <c r="AH353" i="118" s="1"/>
  <c r="AZ85" i="118"/>
  <c r="BI85" i="118" s="1"/>
  <c r="BC85" i="118"/>
  <c r="N86" i="118"/>
  <c r="P86" i="118"/>
  <c r="BO221" i="118"/>
  <c r="AW221" i="118"/>
  <c r="BF221" i="118" s="1"/>
  <c r="AQ221" i="118"/>
  <c r="Z221" i="118"/>
  <c r="AH221" i="118"/>
  <c r="AC221" i="118"/>
  <c r="P487" i="118" l="1"/>
  <c r="N487" i="118"/>
  <c r="AZ486" i="118"/>
  <c r="BI486" i="118" s="1"/>
  <c r="BC486" i="118"/>
  <c r="AA622" i="118"/>
  <c r="AB622" i="118" s="1"/>
  <c r="Y622" i="118"/>
  <c r="AC622" i="118" s="1"/>
  <c r="AC353" i="118"/>
  <c r="AQ353" i="118"/>
  <c r="BO353" i="118"/>
  <c r="AW353" i="118"/>
  <c r="BF353" i="118" s="1"/>
  <c r="Z353" i="118"/>
  <c r="X86" i="118"/>
  <c r="O221" i="118"/>
  <c r="AE221" i="118" s="1"/>
  <c r="AF221" i="118" s="1"/>
  <c r="BP221" i="118"/>
  <c r="AD221" i="118"/>
  <c r="AX221" i="118"/>
  <c r="BG221" i="118" s="1"/>
  <c r="X487" i="118" l="1"/>
  <c r="O622" i="118"/>
  <c r="AI622" i="118" s="1"/>
  <c r="AJ622" i="118" s="1"/>
  <c r="BP622" i="118"/>
  <c r="AD622" i="118"/>
  <c r="AX622" i="118"/>
  <c r="BG622" i="118" s="1"/>
  <c r="AH622" i="118"/>
  <c r="AW622" i="118"/>
  <c r="BF622" i="118" s="1"/>
  <c r="BO622" i="118"/>
  <c r="AQ622" i="118"/>
  <c r="Z622" i="118"/>
  <c r="BP353" i="118"/>
  <c r="AX353" i="118"/>
  <c r="BG353" i="118" s="1"/>
  <c r="AD353" i="118"/>
  <c r="O353" i="118"/>
  <c r="Y86" i="118"/>
  <c r="AH86" i="118" s="1"/>
  <c r="AA86" i="118"/>
  <c r="AB86" i="118" s="1"/>
  <c r="AP221" i="118"/>
  <c r="Q221" i="118"/>
  <c r="AK221" i="118"/>
  <c r="AL221" i="118" s="1"/>
  <c r="AT221" i="118"/>
  <c r="BL221" i="118"/>
  <c r="BR221" i="118" s="1"/>
  <c r="AI221" i="118"/>
  <c r="AJ221" i="118" s="1"/>
  <c r="AM221" i="118"/>
  <c r="AA487" i="118" l="1"/>
  <c r="AB487" i="118" s="1"/>
  <c r="Y487" i="118"/>
  <c r="AC487" i="118" s="1"/>
  <c r="AE622" i="118"/>
  <c r="AF622" i="118" s="1"/>
  <c r="BL622" i="118"/>
  <c r="BR622" i="118" s="1"/>
  <c r="AT622" i="118"/>
  <c r="AK622" i="118"/>
  <c r="AL622" i="118" s="1"/>
  <c r="AP622" i="118"/>
  <c r="Q622" i="118"/>
  <c r="AM622" i="118"/>
  <c r="AE353" i="118"/>
  <c r="AF353" i="118" s="1"/>
  <c r="BL353" i="118"/>
  <c r="BR353" i="118" s="1"/>
  <c r="AP353" i="118"/>
  <c r="AK353" i="118"/>
  <c r="AL353" i="118" s="1"/>
  <c r="Q353" i="118"/>
  <c r="AT353" i="118"/>
  <c r="AM353" i="118"/>
  <c r="AI353" i="118"/>
  <c r="AJ353" i="118" s="1"/>
  <c r="AC86" i="118"/>
  <c r="AW86" i="118"/>
  <c r="BF86" i="118" s="1"/>
  <c r="AQ86" i="118"/>
  <c r="BO86" i="118"/>
  <c r="Z86" i="118"/>
  <c r="AZ221" i="118"/>
  <c r="BI221" i="118" s="1"/>
  <c r="BC221" i="118"/>
  <c r="N222" i="118"/>
  <c r="P222" i="118"/>
  <c r="BP487" i="118" l="1"/>
  <c r="O487" i="118"/>
  <c r="AE487" i="118" s="1"/>
  <c r="AF487" i="118" s="1"/>
  <c r="AX487" i="118"/>
  <c r="BG487" i="118" s="1"/>
  <c r="AD487" i="118"/>
  <c r="AH487" i="118"/>
  <c r="BO487" i="118"/>
  <c r="AW487" i="118"/>
  <c r="BF487" i="118" s="1"/>
  <c r="Z487" i="118"/>
  <c r="AQ487" i="118"/>
  <c r="BC622" i="118"/>
  <c r="AZ622" i="118"/>
  <c r="BI622" i="118" s="1"/>
  <c r="N623" i="118"/>
  <c r="P623" i="118"/>
  <c r="AZ353" i="118"/>
  <c r="BI353" i="118" s="1"/>
  <c r="BC353" i="118"/>
  <c r="N354" i="118"/>
  <c r="P354" i="118"/>
  <c r="BP86" i="118"/>
  <c r="AX86" i="118"/>
  <c r="BG86" i="118" s="1"/>
  <c r="AD86" i="118"/>
  <c r="O86" i="118"/>
  <c r="X222" i="118"/>
  <c r="AM487" i="118" l="1"/>
  <c r="BL487" i="118"/>
  <c r="BR487" i="118" s="1"/>
  <c r="AI487" i="118"/>
  <c r="AJ487" i="118" s="1"/>
  <c r="AT487" i="118"/>
  <c r="Q487" i="118"/>
  <c r="AP487" i="118"/>
  <c r="AK487" i="118"/>
  <c r="AL487" i="118" s="1"/>
  <c r="X623" i="118"/>
  <c r="X354" i="118"/>
  <c r="AE86" i="118"/>
  <c r="AF86" i="118" s="1"/>
  <c r="BL86" i="118"/>
  <c r="BR86" i="118" s="1"/>
  <c r="AK86" i="118"/>
  <c r="AL86" i="118" s="1"/>
  <c r="AT86" i="118"/>
  <c r="Q86" i="118"/>
  <c r="AP86" i="118"/>
  <c r="AI86" i="118"/>
  <c r="AJ86" i="118" s="1"/>
  <c r="AM86" i="118"/>
  <c r="Y222" i="118"/>
  <c r="AC222" i="118" s="1"/>
  <c r="AA222" i="118"/>
  <c r="AB222" i="118" s="1"/>
  <c r="P488" i="118" l="1"/>
  <c r="N488" i="118"/>
  <c r="BC487" i="118"/>
  <c r="AZ487" i="118"/>
  <c r="BI487" i="118" s="1"/>
  <c r="AA623" i="118"/>
  <c r="AB623" i="118" s="1"/>
  <c r="Y623" i="118"/>
  <c r="AC623" i="118" s="1"/>
  <c r="AA354" i="118"/>
  <c r="AB354" i="118" s="1"/>
  <c r="Y354" i="118"/>
  <c r="AH354" i="118" s="1"/>
  <c r="AZ86" i="118"/>
  <c r="BI86" i="118" s="1"/>
  <c r="BC86" i="118"/>
  <c r="N87" i="118"/>
  <c r="P87" i="118"/>
  <c r="BP222" i="118"/>
  <c r="AX222" i="118"/>
  <c r="BG222" i="118" s="1"/>
  <c r="AD222" i="118"/>
  <c r="O222" i="118"/>
  <c r="AH222" i="118"/>
  <c r="BO222" i="118"/>
  <c r="AW222" i="118"/>
  <c r="BF222" i="118" s="1"/>
  <c r="AQ222" i="118"/>
  <c r="Z222" i="118"/>
  <c r="X488" i="118" l="1"/>
  <c r="O623" i="118"/>
  <c r="AE623" i="118" s="1"/>
  <c r="AF623" i="118" s="1"/>
  <c r="BP623" i="118"/>
  <c r="AX623" i="118"/>
  <c r="BG623" i="118" s="1"/>
  <c r="AD623" i="118"/>
  <c r="AH623" i="118"/>
  <c r="BO623" i="118"/>
  <c r="AQ623" i="118"/>
  <c r="AW623" i="118"/>
  <c r="BF623" i="118" s="1"/>
  <c r="Z623" i="118"/>
  <c r="AC354" i="118"/>
  <c r="AQ354" i="118"/>
  <c r="BO354" i="118"/>
  <c r="AW354" i="118"/>
  <c r="BF354" i="118" s="1"/>
  <c r="Z354" i="118"/>
  <c r="X87" i="118"/>
  <c r="AP222" i="118"/>
  <c r="BL222" i="118"/>
  <c r="BR222" i="118" s="1"/>
  <c r="AK222" i="118"/>
  <c r="AL222" i="118" s="1"/>
  <c r="AT222" i="118"/>
  <c r="Q222" i="118"/>
  <c r="AM222" i="118"/>
  <c r="AI222" i="118"/>
  <c r="AJ222" i="118" s="1"/>
  <c r="AE222" i="118"/>
  <c r="AF222" i="118" s="1"/>
  <c r="AA488" i="118" l="1"/>
  <c r="AB488" i="118" s="1"/>
  <c r="Y488" i="118"/>
  <c r="AM623" i="118"/>
  <c r="AK623" i="118"/>
  <c r="AL623" i="118" s="1"/>
  <c r="AP623" i="118"/>
  <c r="Q623" i="118"/>
  <c r="BL623" i="118"/>
  <c r="BR623" i="118" s="1"/>
  <c r="AT623" i="118"/>
  <c r="AI623" i="118"/>
  <c r="AJ623" i="118" s="1"/>
  <c r="AX354" i="118"/>
  <c r="BG354" i="118" s="1"/>
  <c r="AD354" i="118"/>
  <c r="BP354" i="118"/>
  <c r="O354" i="118"/>
  <c r="Y87" i="118"/>
  <c r="AH87" i="118" s="1"/>
  <c r="AA87" i="118"/>
  <c r="AB87" i="118" s="1"/>
  <c r="AZ222" i="118"/>
  <c r="BI222" i="118" s="1"/>
  <c r="BC222" i="118"/>
  <c r="P223" i="118"/>
  <c r="N223" i="118"/>
  <c r="AH488" i="118" l="1"/>
  <c r="BO488" i="118"/>
  <c r="AQ488" i="118"/>
  <c r="AW488" i="118"/>
  <c r="BF488" i="118" s="1"/>
  <c r="AC488" i="118"/>
  <c r="Z488" i="118"/>
  <c r="BC623" i="118"/>
  <c r="AZ623" i="118"/>
  <c r="BI623" i="118" s="1"/>
  <c r="N624" i="118"/>
  <c r="P624" i="118"/>
  <c r="AK354" i="118"/>
  <c r="AL354" i="118" s="1"/>
  <c r="AT354" i="118"/>
  <c r="AP354" i="118"/>
  <c r="Q354" i="118"/>
  <c r="BL354" i="118"/>
  <c r="BR354" i="118" s="1"/>
  <c r="AI354" i="118"/>
  <c r="AJ354" i="118" s="1"/>
  <c r="AE354" i="118"/>
  <c r="AF354" i="118" s="1"/>
  <c r="AM354" i="118"/>
  <c r="AC87" i="118"/>
  <c r="BO87" i="118"/>
  <c r="AW87" i="118"/>
  <c r="BF87" i="118" s="1"/>
  <c r="AQ87" i="118"/>
  <c r="Z87" i="118"/>
  <c r="X223" i="118"/>
  <c r="O488" i="118" l="1"/>
  <c r="AE488" i="118" s="1"/>
  <c r="AF488" i="118" s="1"/>
  <c r="AX488" i="118"/>
  <c r="BG488" i="118" s="1"/>
  <c r="BP488" i="118"/>
  <c r="AD488" i="118"/>
  <c r="X624" i="118"/>
  <c r="N355" i="118"/>
  <c r="P355" i="118"/>
  <c r="AZ354" i="118"/>
  <c r="BI354" i="118" s="1"/>
  <c r="BC354" i="118"/>
  <c r="O87" i="118"/>
  <c r="AD87" i="118"/>
  <c r="BP87" i="118"/>
  <c r="AX87" i="118"/>
  <c r="BG87" i="118" s="1"/>
  <c r="Y223" i="118"/>
  <c r="AH223" i="118" s="1"/>
  <c r="AA223" i="118"/>
  <c r="AB223" i="118" s="1"/>
  <c r="AK488" i="118" l="1"/>
  <c r="AL488" i="118" s="1"/>
  <c r="AP488" i="118"/>
  <c r="AT488" i="118"/>
  <c r="BL488" i="118"/>
  <c r="BR488" i="118" s="1"/>
  <c r="AM488" i="118"/>
  <c r="Q488" i="118"/>
  <c r="AI488" i="118"/>
  <c r="AJ488" i="118" s="1"/>
  <c r="Y624" i="118"/>
  <c r="AC624" i="118" s="1"/>
  <c r="AA624" i="118"/>
  <c r="AB624" i="118" s="1"/>
  <c r="X355" i="118"/>
  <c r="Q87" i="118"/>
  <c r="AK87" i="118"/>
  <c r="AL87" i="118" s="1"/>
  <c r="AT87" i="118"/>
  <c r="AP87" i="118"/>
  <c r="BL87" i="118"/>
  <c r="BR87" i="118" s="1"/>
  <c r="AI87" i="118"/>
  <c r="AJ87" i="118" s="1"/>
  <c r="AM87" i="118"/>
  <c r="AE87" i="118"/>
  <c r="AF87" i="118" s="1"/>
  <c r="AC223" i="118"/>
  <c r="BO223" i="118"/>
  <c r="AW223" i="118"/>
  <c r="BF223" i="118" s="1"/>
  <c r="AQ223" i="118"/>
  <c r="Z223" i="118"/>
  <c r="BC488" i="118" l="1"/>
  <c r="AZ488" i="118"/>
  <c r="BI488" i="118" s="1"/>
  <c r="N489" i="118"/>
  <c r="P489" i="118"/>
  <c r="O624" i="118"/>
  <c r="AE624" i="118" s="1"/>
  <c r="AF624" i="118" s="1"/>
  <c r="AD624" i="118"/>
  <c r="AX624" i="118"/>
  <c r="BG624" i="118" s="1"/>
  <c r="BP624" i="118"/>
  <c r="AH624" i="118"/>
  <c r="AW624" i="118"/>
  <c r="BF624" i="118" s="1"/>
  <c r="BO624" i="118"/>
  <c r="AQ624" i="118"/>
  <c r="Z624" i="118"/>
  <c r="Y355" i="118"/>
  <c r="AH355" i="118" s="1"/>
  <c r="AA355" i="118"/>
  <c r="AB355" i="118" s="1"/>
  <c r="AZ87" i="118"/>
  <c r="BI87" i="118" s="1"/>
  <c r="BC87" i="118"/>
  <c r="N88" i="118"/>
  <c r="P88" i="118"/>
  <c r="BP223" i="118"/>
  <c r="AD223" i="118"/>
  <c r="AX223" i="118"/>
  <c r="BG223" i="118" s="1"/>
  <c r="O223" i="118"/>
  <c r="X489" i="118" l="1"/>
  <c r="AA489" i="118" s="1"/>
  <c r="AB489" i="118" s="1"/>
  <c r="Q624" i="118"/>
  <c r="AK624" i="118"/>
  <c r="AL624" i="118" s="1"/>
  <c r="AP624" i="118"/>
  <c r="BL624" i="118"/>
  <c r="BR624" i="118" s="1"/>
  <c r="AT624" i="118"/>
  <c r="AI624" i="118"/>
  <c r="AJ624" i="118" s="1"/>
  <c r="AM624" i="118"/>
  <c r="AC355" i="118"/>
  <c r="AQ355" i="118"/>
  <c r="AW355" i="118"/>
  <c r="BF355" i="118" s="1"/>
  <c r="BO355" i="118"/>
  <c r="Z355" i="118"/>
  <c r="X88" i="118"/>
  <c r="AT223" i="118"/>
  <c r="AP223" i="118"/>
  <c r="BL223" i="118"/>
  <c r="BR223" i="118" s="1"/>
  <c r="Q223" i="118"/>
  <c r="AK223" i="118"/>
  <c r="AL223" i="118" s="1"/>
  <c r="AM223" i="118"/>
  <c r="AI223" i="118"/>
  <c r="AJ223" i="118" s="1"/>
  <c r="AE223" i="118"/>
  <c r="AF223" i="118" s="1"/>
  <c r="Y489" i="118" l="1"/>
  <c r="AC489" i="118" s="1"/>
  <c r="AD489" i="118" s="1"/>
  <c r="BC624" i="118"/>
  <c r="AZ624" i="118"/>
  <c r="BI624" i="118" s="1"/>
  <c r="N625" i="118"/>
  <c r="P625" i="118"/>
  <c r="AD355" i="118"/>
  <c r="BP355" i="118"/>
  <c r="AX355" i="118"/>
  <c r="BG355" i="118" s="1"/>
  <c r="O355" i="118"/>
  <c r="AA88" i="118"/>
  <c r="AB88" i="118" s="1"/>
  <c r="Y88" i="118"/>
  <c r="AC88" i="118" s="1"/>
  <c r="P224" i="118"/>
  <c r="N224" i="118"/>
  <c r="AZ223" i="118"/>
  <c r="BI223" i="118" s="1"/>
  <c r="BC223" i="118"/>
  <c r="AH489" i="118" l="1"/>
  <c r="AX489" i="118"/>
  <c r="BG489" i="118" s="1"/>
  <c r="Z489" i="118"/>
  <c r="BP489" i="118"/>
  <c r="AW489" i="118"/>
  <c r="BF489" i="118" s="1"/>
  <c r="AQ489" i="118"/>
  <c r="BO489" i="118"/>
  <c r="O489" i="118"/>
  <c r="AT489" i="118" s="1"/>
  <c r="BC489" i="118" s="1"/>
  <c r="X625" i="118"/>
  <c r="Q355" i="118"/>
  <c r="AK355" i="118"/>
  <c r="AL355" i="118" s="1"/>
  <c r="AP355" i="118"/>
  <c r="BL355" i="118"/>
  <c r="BR355" i="118" s="1"/>
  <c r="AT355" i="118"/>
  <c r="AM355" i="118"/>
  <c r="AI355" i="118"/>
  <c r="AJ355" i="118" s="1"/>
  <c r="AE355" i="118"/>
  <c r="AF355" i="118" s="1"/>
  <c r="AH88" i="118"/>
  <c r="AD88" i="118"/>
  <c r="BP88" i="118"/>
  <c r="AX88" i="118"/>
  <c r="BG88" i="118" s="1"/>
  <c r="O88" i="118"/>
  <c r="BO88" i="118"/>
  <c r="AW88" i="118"/>
  <c r="BF88" i="118" s="1"/>
  <c r="AQ88" i="118"/>
  <c r="Z88" i="118"/>
  <c r="X224" i="118"/>
  <c r="AZ489" i="118" l="1"/>
  <c r="BI489" i="118" s="1"/>
  <c r="AP489" i="118"/>
  <c r="BL489" i="118"/>
  <c r="BR489" i="118" s="1"/>
  <c r="AE489" i="118"/>
  <c r="AF489" i="118" s="1"/>
  <c r="AK489" i="118"/>
  <c r="AL489" i="118" s="1"/>
  <c r="AM489" i="118"/>
  <c r="AI489" i="118"/>
  <c r="AJ489" i="118" s="1"/>
  <c r="Q489" i="118"/>
  <c r="AA625" i="118"/>
  <c r="AB625" i="118" s="1"/>
  <c r="Y625" i="118"/>
  <c r="AZ355" i="118"/>
  <c r="BI355" i="118" s="1"/>
  <c r="BC355" i="118"/>
  <c r="N356" i="118"/>
  <c r="P356" i="118"/>
  <c r="AK88" i="118"/>
  <c r="AL88" i="118" s="1"/>
  <c r="AP88" i="118"/>
  <c r="BL88" i="118"/>
  <c r="BR88" i="118" s="1"/>
  <c r="Q88" i="118"/>
  <c r="AT88" i="118"/>
  <c r="AI88" i="118"/>
  <c r="AJ88" i="118" s="1"/>
  <c r="AE88" i="118"/>
  <c r="AF88" i="118" s="1"/>
  <c r="AM88" i="118"/>
  <c r="Y224" i="118"/>
  <c r="AC224" i="118" s="1"/>
  <c r="AA224" i="118"/>
  <c r="AB224" i="118" s="1"/>
  <c r="P490" i="118" l="1"/>
  <c r="N490" i="118"/>
  <c r="AH625" i="118"/>
  <c r="AC625" i="118"/>
  <c r="BO625" i="118"/>
  <c r="AW625" i="118"/>
  <c r="BF625" i="118" s="1"/>
  <c r="AQ625" i="118"/>
  <c r="Z625" i="118"/>
  <c r="X356" i="118"/>
  <c r="AZ88" i="118"/>
  <c r="BI88" i="118" s="1"/>
  <c r="BC88" i="118"/>
  <c r="N89" i="118"/>
  <c r="P89" i="118"/>
  <c r="O224" i="118"/>
  <c r="AE224" i="118" s="1"/>
  <c r="AF224" i="118" s="1"/>
  <c r="BP224" i="118"/>
  <c r="AD224" i="118"/>
  <c r="AX224" i="118"/>
  <c r="BG224" i="118" s="1"/>
  <c r="AH224" i="118"/>
  <c r="BO224" i="118"/>
  <c r="AW224" i="118"/>
  <c r="BF224" i="118" s="1"/>
  <c r="AQ224" i="118"/>
  <c r="Z224" i="118"/>
  <c r="X490" i="118" l="1"/>
  <c r="O625" i="118"/>
  <c r="AE625" i="118" s="1"/>
  <c r="AF625" i="118" s="1"/>
  <c r="AX625" i="118"/>
  <c r="BG625" i="118" s="1"/>
  <c r="BP625" i="118"/>
  <c r="AD625" i="118"/>
  <c r="Y356" i="118"/>
  <c r="AH356" i="118" s="1"/>
  <c r="AA356" i="118"/>
  <c r="AB356" i="118" s="1"/>
  <c r="X89" i="118"/>
  <c r="Q224" i="118"/>
  <c r="AK224" i="118"/>
  <c r="AL224" i="118" s="1"/>
  <c r="BL224" i="118"/>
  <c r="BR224" i="118" s="1"/>
  <c r="AP224" i="118"/>
  <c r="AT224" i="118"/>
  <c r="AI224" i="118"/>
  <c r="AJ224" i="118" s="1"/>
  <c r="AM224" i="118"/>
  <c r="AA490" i="118" l="1"/>
  <c r="AB490" i="118" s="1"/>
  <c r="Y490" i="118"/>
  <c r="AH490" i="118" s="1"/>
  <c r="AI625" i="118"/>
  <c r="AJ625" i="118" s="1"/>
  <c r="AK625" i="118"/>
  <c r="AL625" i="118" s="1"/>
  <c r="BL625" i="118"/>
  <c r="BR625" i="118" s="1"/>
  <c r="Q625" i="118"/>
  <c r="AT625" i="118"/>
  <c r="AP625" i="118"/>
  <c r="AM625" i="118"/>
  <c r="AC356" i="118"/>
  <c r="AQ356" i="118"/>
  <c r="BO356" i="118"/>
  <c r="AW356" i="118"/>
  <c r="BF356" i="118" s="1"/>
  <c r="Z356" i="118"/>
  <c r="Y89" i="118"/>
  <c r="AH89" i="118" s="1"/>
  <c r="AA89" i="118"/>
  <c r="AB89" i="118" s="1"/>
  <c r="AZ224" i="118"/>
  <c r="BI224" i="118" s="1"/>
  <c r="BC224" i="118"/>
  <c r="P225" i="118"/>
  <c r="N225" i="118"/>
  <c r="AC490" i="118" l="1"/>
  <c r="AW490" i="118"/>
  <c r="BF490" i="118" s="1"/>
  <c r="BO490" i="118"/>
  <c r="Z490" i="118"/>
  <c r="AQ490" i="118"/>
  <c r="AZ625" i="118"/>
  <c r="BI625" i="118" s="1"/>
  <c r="BC625" i="118"/>
  <c r="P626" i="118"/>
  <c r="N626" i="118"/>
  <c r="BP356" i="118"/>
  <c r="AX356" i="118"/>
  <c r="BG356" i="118" s="1"/>
  <c r="AD356" i="118"/>
  <c r="O356" i="118"/>
  <c r="AC89" i="118"/>
  <c r="AQ89" i="118"/>
  <c r="BO89" i="118"/>
  <c r="AW89" i="118"/>
  <c r="BF89" i="118" s="1"/>
  <c r="Z89" i="118"/>
  <c r="X225" i="118"/>
  <c r="BP490" i="118" l="1"/>
  <c r="O490" i="118"/>
  <c r="AE490" i="118" s="1"/>
  <c r="AF490" i="118" s="1"/>
  <c r="AX490" i="118"/>
  <c r="BG490" i="118" s="1"/>
  <c r="AD490" i="118"/>
  <c r="X626" i="118"/>
  <c r="AE356" i="118"/>
  <c r="AF356" i="118" s="1"/>
  <c r="BL356" i="118"/>
  <c r="BR356" i="118" s="1"/>
  <c r="AT356" i="118"/>
  <c r="AK356" i="118"/>
  <c r="AL356" i="118" s="1"/>
  <c r="Q356" i="118"/>
  <c r="AP356" i="118"/>
  <c r="AM356" i="118"/>
  <c r="AI356" i="118"/>
  <c r="AJ356" i="118" s="1"/>
  <c r="AD89" i="118"/>
  <c r="AX89" i="118"/>
  <c r="BG89" i="118" s="1"/>
  <c r="BP89" i="118"/>
  <c r="O89" i="118"/>
  <c r="Y225" i="118"/>
  <c r="AH225" i="118" s="1"/>
  <c r="AA225" i="118"/>
  <c r="AB225" i="118" s="1"/>
  <c r="AK490" i="118" l="1"/>
  <c r="AL490" i="118" s="1"/>
  <c r="AT490" i="118"/>
  <c r="AI490" i="118"/>
  <c r="AJ490" i="118" s="1"/>
  <c r="AP490" i="118"/>
  <c r="AM490" i="118"/>
  <c r="BL490" i="118"/>
  <c r="BR490" i="118" s="1"/>
  <c r="Q490" i="118"/>
  <c r="AA626" i="118"/>
  <c r="AB626" i="118" s="1"/>
  <c r="Y626" i="118"/>
  <c r="AH626" i="118" s="1"/>
  <c r="AZ356" i="118"/>
  <c r="BI356" i="118" s="1"/>
  <c r="BC356" i="118"/>
  <c r="N357" i="118"/>
  <c r="P357" i="118"/>
  <c r="AM89" i="118"/>
  <c r="Q89" i="118"/>
  <c r="AP89" i="118"/>
  <c r="BL89" i="118"/>
  <c r="BR89" i="118" s="1"/>
  <c r="AT89" i="118"/>
  <c r="AK89" i="118"/>
  <c r="AL89" i="118" s="1"/>
  <c r="AI89" i="118"/>
  <c r="AJ89" i="118" s="1"/>
  <c r="AE89" i="118"/>
  <c r="AF89" i="118" s="1"/>
  <c r="AC225" i="118"/>
  <c r="BO225" i="118"/>
  <c r="AQ225" i="118"/>
  <c r="AW225" i="118"/>
  <c r="BF225" i="118" s="1"/>
  <c r="Z225" i="118"/>
  <c r="N491" i="118" l="1"/>
  <c r="P491" i="118"/>
  <c r="AZ490" i="118"/>
  <c r="BI490" i="118" s="1"/>
  <c r="BC490" i="118"/>
  <c r="AC626" i="118"/>
  <c r="AW626" i="118"/>
  <c r="BF626" i="118" s="1"/>
  <c r="BO626" i="118"/>
  <c r="AQ626" i="118"/>
  <c r="Z626" i="118"/>
  <c r="X357" i="118"/>
  <c r="P90" i="118"/>
  <c r="N90" i="118"/>
  <c r="AZ89" i="118"/>
  <c r="BI89" i="118" s="1"/>
  <c r="BC89" i="118"/>
  <c r="O225" i="118"/>
  <c r="AD225" i="118"/>
  <c r="BP225" i="118"/>
  <c r="AX225" i="118"/>
  <c r="BG225" i="118" s="1"/>
  <c r="X491" i="118" l="1"/>
  <c r="O626" i="118"/>
  <c r="BP626" i="118"/>
  <c r="AX626" i="118"/>
  <c r="BG626" i="118" s="1"/>
  <c r="AD626" i="118"/>
  <c r="Y357" i="118"/>
  <c r="AH357" i="118" s="1"/>
  <c r="AA357" i="118"/>
  <c r="AB357" i="118" s="1"/>
  <c r="X90" i="118"/>
  <c r="BL225" i="118"/>
  <c r="BR225" i="118" s="1"/>
  <c r="AT225" i="118"/>
  <c r="AK225" i="118"/>
  <c r="AL225" i="118" s="1"/>
  <c r="Q225" i="118"/>
  <c r="AP225" i="118"/>
  <c r="AM225" i="118"/>
  <c r="AI225" i="118"/>
  <c r="AJ225" i="118" s="1"/>
  <c r="AE225" i="118"/>
  <c r="AF225" i="118" s="1"/>
  <c r="AA491" i="118" l="1"/>
  <c r="AB491" i="118" s="1"/>
  <c r="Y491" i="118"/>
  <c r="AH491" i="118" s="1"/>
  <c r="Q626" i="118"/>
  <c r="BL626" i="118"/>
  <c r="BR626" i="118" s="1"/>
  <c r="AT626" i="118"/>
  <c r="AK626" i="118"/>
  <c r="AL626" i="118" s="1"/>
  <c r="AP626" i="118"/>
  <c r="AI626" i="118"/>
  <c r="AJ626" i="118" s="1"/>
  <c r="AE626" i="118"/>
  <c r="AF626" i="118" s="1"/>
  <c r="AM626" i="118"/>
  <c r="AC357" i="118"/>
  <c r="AQ357" i="118"/>
  <c r="AW357" i="118"/>
  <c r="BF357" i="118" s="1"/>
  <c r="BO357" i="118"/>
  <c r="Z357" i="118"/>
  <c r="AA90" i="118"/>
  <c r="AB90" i="118" s="1"/>
  <c r="Y90" i="118"/>
  <c r="AH90" i="118" s="1"/>
  <c r="AZ225" i="118"/>
  <c r="BI225" i="118" s="1"/>
  <c r="BC225" i="118"/>
  <c r="P226" i="118"/>
  <c r="N226" i="118"/>
  <c r="AC491" i="118" l="1"/>
  <c r="AX491" i="118" s="1"/>
  <c r="BG491" i="118" s="1"/>
  <c r="AQ491" i="118"/>
  <c r="AW491" i="118"/>
  <c r="BF491" i="118" s="1"/>
  <c r="Z491" i="118"/>
  <c r="BO491" i="118"/>
  <c r="AZ626" i="118"/>
  <c r="BI626" i="118" s="1"/>
  <c r="BC626" i="118"/>
  <c r="N627" i="118"/>
  <c r="P627" i="118"/>
  <c r="AX357" i="118"/>
  <c r="BG357" i="118" s="1"/>
  <c r="BP357" i="118"/>
  <c r="AD357" i="118"/>
  <c r="O357" i="118"/>
  <c r="BO90" i="118"/>
  <c r="AW90" i="118"/>
  <c r="BF90" i="118" s="1"/>
  <c r="AQ90" i="118"/>
  <c r="Z90" i="118"/>
  <c r="AC90" i="118"/>
  <c r="X226" i="118"/>
  <c r="O491" i="118" l="1"/>
  <c r="AK491" i="118" s="1"/>
  <c r="AL491" i="118" s="1"/>
  <c r="AD491" i="118"/>
  <c r="BP491" i="118"/>
  <c r="X627" i="118"/>
  <c r="AE357" i="118"/>
  <c r="AF357" i="118" s="1"/>
  <c r="AT357" i="118"/>
  <c r="AP357" i="118"/>
  <c r="AK357" i="118"/>
  <c r="AL357" i="118" s="1"/>
  <c r="Q357" i="118"/>
  <c r="BL357" i="118"/>
  <c r="BR357" i="118" s="1"/>
  <c r="AM357" i="118"/>
  <c r="AI357" i="118"/>
  <c r="AJ357" i="118" s="1"/>
  <c r="O90" i="118"/>
  <c r="BP90" i="118"/>
  <c r="AX90" i="118"/>
  <c r="BG90" i="118" s="1"/>
  <c r="AD90" i="118"/>
  <c r="Y226" i="118"/>
  <c r="AC226" i="118" s="1"/>
  <c r="AA226" i="118"/>
  <c r="AB226" i="118" s="1"/>
  <c r="AT491" i="118" l="1"/>
  <c r="AZ491" i="118" s="1"/>
  <c r="BI491" i="118" s="1"/>
  <c r="AI491" i="118"/>
  <c r="AJ491" i="118" s="1"/>
  <c r="AE491" i="118"/>
  <c r="AF491" i="118" s="1"/>
  <c r="BL491" i="118"/>
  <c r="BR491" i="118" s="1"/>
  <c r="Q491" i="118"/>
  <c r="P492" i="118" s="1"/>
  <c r="AP491" i="118"/>
  <c r="AM491" i="118"/>
  <c r="AA627" i="118"/>
  <c r="AB627" i="118" s="1"/>
  <c r="Y627" i="118"/>
  <c r="AC627" i="118" s="1"/>
  <c r="O627" i="118" s="1"/>
  <c r="AZ357" i="118"/>
  <c r="BI357" i="118" s="1"/>
  <c r="BC357" i="118"/>
  <c r="P358" i="118"/>
  <c r="N358" i="118"/>
  <c r="AM90" i="118"/>
  <c r="Q90" i="118"/>
  <c r="AT90" i="118"/>
  <c r="BL90" i="118"/>
  <c r="BR90" i="118" s="1"/>
  <c r="AP90" i="118"/>
  <c r="AK90" i="118"/>
  <c r="AL90" i="118" s="1"/>
  <c r="AI90" i="118"/>
  <c r="AJ90" i="118" s="1"/>
  <c r="AE90" i="118"/>
  <c r="AF90" i="118" s="1"/>
  <c r="BP226" i="118"/>
  <c r="AX226" i="118"/>
  <c r="BG226" i="118" s="1"/>
  <c r="AD226" i="118"/>
  <c r="O226" i="118"/>
  <c r="AH226" i="118"/>
  <c r="BO226" i="118"/>
  <c r="AQ226" i="118"/>
  <c r="AW226" i="118"/>
  <c r="BF226" i="118" s="1"/>
  <c r="Z226" i="118"/>
  <c r="BC491" i="118" l="1"/>
  <c r="N492" i="118"/>
  <c r="X492" i="118" s="1"/>
  <c r="Q627" i="118"/>
  <c r="AK627" i="118"/>
  <c r="AL627" i="118" s="1"/>
  <c r="AP627" i="118"/>
  <c r="BL627" i="118"/>
  <c r="AT627" i="118"/>
  <c r="AM627" i="118"/>
  <c r="AI627" i="118"/>
  <c r="AJ627" i="118" s="1"/>
  <c r="AD627" i="118"/>
  <c r="BP627" i="118"/>
  <c r="AX627" i="118"/>
  <c r="BG627" i="118" s="1"/>
  <c r="AH627" i="118"/>
  <c r="BO627" i="118"/>
  <c r="AQ627" i="118"/>
  <c r="AW627" i="118"/>
  <c r="BF627" i="118" s="1"/>
  <c r="AE627" i="118"/>
  <c r="AF627" i="118" s="1"/>
  <c r="Z627" i="118"/>
  <c r="X358" i="118"/>
  <c r="AZ90" i="118"/>
  <c r="BI90" i="118" s="1"/>
  <c r="BC90" i="118"/>
  <c r="N91" i="118"/>
  <c r="P91" i="118"/>
  <c r="AP226" i="118"/>
  <c r="AT226" i="118"/>
  <c r="BL226" i="118"/>
  <c r="BR226" i="118" s="1"/>
  <c r="AK226" i="118"/>
  <c r="AL226" i="118" s="1"/>
  <c r="Q226" i="118"/>
  <c r="AM226" i="118"/>
  <c r="AI226" i="118"/>
  <c r="AJ226" i="118" s="1"/>
  <c r="AE226" i="118"/>
  <c r="AF226" i="118" s="1"/>
  <c r="AA492" i="118" l="1"/>
  <c r="AB492" i="118" s="1"/>
  <c r="Y492" i="118"/>
  <c r="AZ627" i="118"/>
  <c r="BI627" i="118" s="1"/>
  <c r="BC627" i="118"/>
  <c r="BR627" i="118"/>
  <c r="P628" i="118"/>
  <c r="N628" i="118"/>
  <c r="AA358" i="118"/>
  <c r="AB358" i="118" s="1"/>
  <c r="Y358" i="118"/>
  <c r="AH358" i="118" s="1"/>
  <c r="X91" i="118"/>
  <c r="AZ226" i="118"/>
  <c r="BI226" i="118" s="1"/>
  <c r="BC226" i="118"/>
  <c r="P227" i="118"/>
  <c r="N227" i="118"/>
  <c r="AH492" i="118" l="1"/>
  <c r="AW492" i="118"/>
  <c r="BF492" i="118" s="1"/>
  <c r="AQ492" i="118"/>
  <c r="AC492" i="118"/>
  <c r="Z492" i="118"/>
  <c r="BO492" i="118"/>
  <c r="X628" i="118"/>
  <c r="AC358" i="118"/>
  <c r="AW358" i="118"/>
  <c r="BF358" i="118" s="1"/>
  <c r="AQ358" i="118"/>
  <c r="BO358" i="118"/>
  <c r="Z358" i="118"/>
  <c r="AA91" i="118"/>
  <c r="AB91" i="118" s="1"/>
  <c r="Y91" i="118"/>
  <c r="AH91" i="118" s="1"/>
  <c r="X227" i="118"/>
  <c r="O492" i="118" l="1"/>
  <c r="BP492" i="118"/>
  <c r="AX492" i="118"/>
  <c r="BG492" i="118" s="1"/>
  <c r="AD492" i="118"/>
  <c r="Y628" i="118"/>
  <c r="AH628" i="118" s="1"/>
  <c r="AA628" i="118"/>
  <c r="AB628" i="118" s="1"/>
  <c r="BP358" i="118"/>
  <c r="AD358" i="118"/>
  <c r="AX358" i="118"/>
  <c r="BG358" i="118" s="1"/>
  <c r="O358" i="118"/>
  <c r="AC91" i="118"/>
  <c r="AX91" i="118" s="1"/>
  <c r="BG91" i="118" s="1"/>
  <c r="AW91" i="118"/>
  <c r="BF91" i="118" s="1"/>
  <c r="AQ91" i="118"/>
  <c r="BO91" i="118"/>
  <c r="Z91" i="118"/>
  <c r="Y227" i="118"/>
  <c r="AC227" i="118" s="1"/>
  <c r="AA227" i="118"/>
  <c r="AB227" i="118" s="1"/>
  <c r="AE492" i="118" l="1"/>
  <c r="AF492" i="118" s="1"/>
  <c r="AT492" i="118"/>
  <c r="AP492" i="118"/>
  <c r="BL492" i="118"/>
  <c r="BR492" i="118" s="1"/>
  <c r="AM492" i="118"/>
  <c r="AI492" i="118"/>
  <c r="AJ492" i="118" s="1"/>
  <c r="AK492" i="118"/>
  <c r="AL492" i="118" s="1"/>
  <c r="Q492" i="118"/>
  <c r="AQ628" i="118"/>
  <c r="AW628" i="118"/>
  <c r="BF628" i="118" s="1"/>
  <c r="BO628" i="118"/>
  <c r="Z628" i="118"/>
  <c r="AC628" i="118"/>
  <c r="AK358" i="118"/>
  <c r="AL358" i="118" s="1"/>
  <c r="AP358" i="118"/>
  <c r="AT358" i="118"/>
  <c r="Q358" i="118"/>
  <c r="BL358" i="118"/>
  <c r="BR358" i="118" s="1"/>
  <c r="AM358" i="118"/>
  <c r="AI358" i="118"/>
  <c r="AJ358" i="118" s="1"/>
  <c r="AE358" i="118"/>
  <c r="AF358" i="118" s="1"/>
  <c r="O91" i="118"/>
  <c r="AE91" i="118" s="1"/>
  <c r="AF91" i="118" s="1"/>
  <c r="BP91" i="118"/>
  <c r="AD91" i="118"/>
  <c r="BP227" i="118"/>
  <c r="AD227" i="118"/>
  <c r="AX227" i="118"/>
  <c r="BG227" i="118" s="1"/>
  <c r="O227" i="118"/>
  <c r="AH227" i="118"/>
  <c r="BO227" i="118"/>
  <c r="AQ227" i="118"/>
  <c r="AW227" i="118"/>
  <c r="BF227" i="118" s="1"/>
  <c r="Z227" i="118"/>
  <c r="P493" i="118" l="1"/>
  <c r="N493" i="118"/>
  <c r="AZ492" i="118"/>
  <c r="BI492" i="118" s="1"/>
  <c r="BC492" i="118"/>
  <c r="AX628" i="118"/>
  <c r="BG628" i="118" s="1"/>
  <c r="BP628" i="118"/>
  <c r="AD628" i="118"/>
  <c r="O628" i="118"/>
  <c r="AE628" i="118" s="1"/>
  <c r="AF628" i="118" s="1"/>
  <c r="P359" i="118"/>
  <c r="N359" i="118"/>
  <c r="AZ358" i="118"/>
  <c r="BI358" i="118" s="1"/>
  <c r="BC358" i="118"/>
  <c r="Q91" i="118"/>
  <c r="P92" i="118" s="1"/>
  <c r="AP91" i="118"/>
  <c r="BL91" i="118"/>
  <c r="BR91" i="118" s="1"/>
  <c r="AI91" i="118"/>
  <c r="AJ91" i="118" s="1"/>
  <c r="AM91" i="118"/>
  <c r="AK91" i="118"/>
  <c r="AL91" i="118" s="1"/>
  <c r="AT91" i="118"/>
  <c r="AZ91" i="118" s="1"/>
  <c r="BI91" i="118" s="1"/>
  <c r="AT227" i="118"/>
  <c r="BL227" i="118"/>
  <c r="BR227" i="118" s="1"/>
  <c r="AP227" i="118"/>
  <c r="AK227" i="118"/>
  <c r="AL227" i="118" s="1"/>
  <c r="Q227" i="118"/>
  <c r="AI227" i="118"/>
  <c r="AJ227" i="118" s="1"/>
  <c r="AM227" i="118"/>
  <c r="AE227" i="118"/>
  <c r="AF227" i="118" s="1"/>
  <c r="X493" i="118" l="1"/>
  <c r="N92" i="118"/>
  <c r="X92" i="118" s="1"/>
  <c r="Q628" i="118"/>
  <c r="BL628" i="118"/>
  <c r="BR628" i="118" s="1"/>
  <c r="AT628" i="118"/>
  <c r="AK628" i="118"/>
  <c r="AL628" i="118" s="1"/>
  <c r="AP628" i="118"/>
  <c r="AI628" i="118"/>
  <c r="AJ628" i="118" s="1"/>
  <c r="AM628" i="118"/>
  <c r="X359" i="118"/>
  <c r="BC91" i="118"/>
  <c r="P228" i="118"/>
  <c r="N228" i="118"/>
  <c r="AZ227" i="118"/>
  <c r="BI227" i="118" s="1"/>
  <c r="BC227" i="118"/>
  <c r="AA493" i="118" l="1"/>
  <c r="AB493" i="118" s="1"/>
  <c r="Y493" i="118"/>
  <c r="AC493" i="118" s="1"/>
  <c r="O493" i="118" s="1"/>
  <c r="AE493" i="118" s="1"/>
  <c r="AF493" i="118" s="1"/>
  <c r="AZ628" i="118"/>
  <c r="BI628" i="118" s="1"/>
  <c r="BC628" i="118"/>
  <c r="P629" i="118"/>
  <c r="N629" i="118"/>
  <c r="AA359" i="118"/>
  <c r="AB359" i="118" s="1"/>
  <c r="Y359" i="118"/>
  <c r="AH359" i="118" s="1"/>
  <c r="Y92" i="118"/>
  <c r="AC92" i="118" s="1"/>
  <c r="O92" i="118" s="1"/>
  <c r="AA92" i="118"/>
  <c r="AB92" i="118" s="1"/>
  <c r="X228" i="118"/>
  <c r="AX493" i="118" l="1"/>
  <c r="BG493" i="118" s="1"/>
  <c r="AD493" i="118"/>
  <c r="BP493" i="118"/>
  <c r="AQ493" i="118"/>
  <c r="AH493" i="118"/>
  <c r="Z493" i="118"/>
  <c r="BO493" i="118"/>
  <c r="AW493" i="118"/>
  <c r="BF493" i="118" s="1"/>
  <c r="X629" i="118"/>
  <c r="AC359" i="118"/>
  <c r="AQ359" i="118"/>
  <c r="AW359" i="118"/>
  <c r="BF359" i="118" s="1"/>
  <c r="BO359" i="118"/>
  <c r="Z359" i="118"/>
  <c r="AT493" i="118"/>
  <c r="Q493" i="118"/>
  <c r="BL493" i="118"/>
  <c r="AP493" i="118"/>
  <c r="AK493" i="118"/>
  <c r="AL493" i="118" s="1"/>
  <c r="AI493" i="118"/>
  <c r="AJ493" i="118" s="1"/>
  <c r="AM493" i="118"/>
  <c r="AI92" i="118"/>
  <c r="AJ92" i="118" s="1"/>
  <c r="AP92" i="118"/>
  <c r="Q92" i="118"/>
  <c r="BL92" i="118"/>
  <c r="AT92" i="118"/>
  <c r="AK92" i="118"/>
  <c r="AL92" i="118" s="1"/>
  <c r="AD92" i="118"/>
  <c r="BP92" i="118"/>
  <c r="AX92" i="118"/>
  <c r="BG92" i="118" s="1"/>
  <c r="AM92" i="118"/>
  <c r="AH92" i="118"/>
  <c r="AW92" i="118"/>
  <c r="BF92" i="118" s="1"/>
  <c r="AQ92" i="118"/>
  <c r="BO92" i="118"/>
  <c r="AE92" i="118"/>
  <c r="AF92" i="118" s="1"/>
  <c r="Z92" i="118"/>
  <c r="Y228" i="118"/>
  <c r="AH228" i="118" s="1"/>
  <c r="AA228" i="118"/>
  <c r="AB228" i="118" s="1"/>
  <c r="BR493" i="118" l="1"/>
  <c r="AA629" i="118"/>
  <c r="AB629" i="118" s="1"/>
  <c r="Y629" i="118"/>
  <c r="AH629" i="118" s="1"/>
  <c r="BP359" i="118"/>
  <c r="AD359" i="118"/>
  <c r="AX359" i="118"/>
  <c r="BG359" i="118" s="1"/>
  <c r="O359" i="118"/>
  <c r="N494" i="118"/>
  <c r="P494" i="118"/>
  <c r="AZ493" i="118"/>
  <c r="BI493" i="118" s="1"/>
  <c r="BC493" i="118"/>
  <c r="BR92" i="118"/>
  <c r="P93" i="118"/>
  <c r="N93" i="118"/>
  <c r="AZ92" i="118"/>
  <c r="BI92" i="118" s="1"/>
  <c r="BC92" i="118"/>
  <c r="AC228" i="118"/>
  <c r="BO228" i="118"/>
  <c r="AW228" i="118"/>
  <c r="BF228" i="118" s="1"/>
  <c r="AQ228" i="118"/>
  <c r="Z228" i="118"/>
  <c r="AC629" i="118" l="1"/>
  <c r="O629" i="118" s="1"/>
  <c r="AT629" i="118" s="1"/>
  <c r="BO629" i="118"/>
  <c r="AQ629" i="118"/>
  <c r="AW629" i="118"/>
  <c r="BF629" i="118" s="1"/>
  <c r="Z629" i="118"/>
  <c r="AE359" i="118"/>
  <c r="AF359" i="118" s="1"/>
  <c r="Q359" i="118"/>
  <c r="BL359" i="118"/>
  <c r="BR359" i="118" s="1"/>
  <c r="AP359" i="118"/>
  <c r="AK359" i="118"/>
  <c r="AL359" i="118" s="1"/>
  <c r="AT359" i="118"/>
  <c r="AI359" i="118"/>
  <c r="AJ359" i="118" s="1"/>
  <c r="AM359" i="118"/>
  <c r="X494" i="118"/>
  <c r="X93" i="118"/>
  <c r="AD228" i="118"/>
  <c r="AX228" i="118"/>
  <c r="BG228" i="118" s="1"/>
  <c r="BP228" i="118"/>
  <c r="O228" i="118"/>
  <c r="BP629" i="118" l="1"/>
  <c r="AK629" i="118"/>
  <c r="AL629" i="118" s="1"/>
  <c r="AD629" i="118"/>
  <c r="AP629" i="118"/>
  <c r="AI629" i="118"/>
  <c r="AJ629" i="118" s="1"/>
  <c r="BL629" i="118"/>
  <c r="AE629" i="118"/>
  <c r="AF629" i="118" s="1"/>
  <c r="AX629" i="118"/>
  <c r="BG629" i="118" s="1"/>
  <c r="AM629" i="118"/>
  <c r="Q629" i="118"/>
  <c r="P630" i="118" s="1"/>
  <c r="BC629" i="118"/>
  <c r="AZ359" i="118"/>
  <c r="BI359" i="118" s="1"/>
  <c r="BC359" i="118"/>
  <c r="N360" i="118"/>
  <c r="P360" i="118"/>
  <c r="Y494" i="118"/>
  <c r="AH494" i="118" s="1"/>
  <c r="AA494" i="118"/>
  <c r="AB494" i="118" s="1"/>
  <c r="AA93" i="118"/>
  <c r="AB93" i="118" s="1"/>
  <c r="Y93" i="118"/>
  <c r="AH93" i="118" s="1"/>
  <c r="Q228" i="118"/>
  <c r="AT228" i="118"/>
  <c r="AP228" i="118"/>
  <c r="BL228" i="118"/>
  <c r="BR228" i="118" s="1"/>
  <c r="AK228" i="118"/>
  <c r="AL228" i="118" s="1"/>
  <c r="AI228" i="118"/>
  <c r="AJ228" i="118" s="1"/>
  <c r="AM228" i="118"/>
  <c r="AE228" i="118"/>
  <c r="AF228" i="118" s="1"/>
  <c r="N630" i="118" l="1"/>
  <c r="X630" i="118" s="1"/>
  <c r="BR629" i="118"/>
  <c r="AZ629" i="118"/>
  <c r="BI629" i="118" s="1"/>
  <c r="X360" i="118"/>
  <c r="AC494" i="118"/>
  <c r="BO494" i="118"/>
  <c r="AW494" i="118"/>
  <c r="BF494" i="118" s="1"/>
  <c r="AQ494" i="118"/>
  <c r="Z494" i="118"/>
  <c r="AC93" i="118"/>
  <c r="AQ93" i="118"/>
  <c r="BO93" i="118"/>
  <c r="AW93" i="118"/>
  <c r="BF93" i="118" s="1"/>
  <c r="Z93" i="118"/>
  <c r="AZ228" i="118"/>
  <c r="BI228" i="118" s="1"/>
  <c r="BC228" i="118"/>
  <c r="N229" i="118"/>
  <c r="P229" i="118"/>
  <c r="AA630" i="118" l="1"/>
  <c r="AB630" i="118" s="1"/>
  <c r="Y630" i="118"/>
  <c r="AC630" i="118" s="1"/>
  <c r="AA360" i="118"/>
  <c r="AB360" i="118" s="1"/>
  <c r="Y360" i="118"/>
  <c r="AH360" i="118" s="1"/>
  <c r="O494" i="118"/>
  <c r="AX494" i="118"/>
  <c r="BG494" i="118" s="1"/>
  <c r="AD494" i="118"/>
  <c r="BP494" i="118"/>
  <c r="AX93" i="118"/>
  <c r="BG93" i="118" s="1"/>
  <c r="AD93" i="118"/>
  <c r="BP93" i="118"/>
  <c r="O93" i="118"/>
  <c r="X229" i="118"/>
  <c r="O630" i="118" l="1"/>
  <c r="AM630" i="118" s="1"/>
  <c r="AD630" i="118"/>
  <c r="BP630" i="118"/>
  <c r="AX630" i="118"/>
  <c r="BG630" i="118" s="1"/>
  <c r="AH630" i="118"/>
  <c r="AW630" i="118"/>
  <c r="BF630" i="118" s="1"/>
  <c r="AQ630" i="118"/>
  <c r="BO630" i="118"/>
  <c r="Z630" i="118"/>
  <c r="AC360" i="118"/>
  <c r="BO360" i="118"/>
  <c r="AW360" i="118"/>
  <c r="BF360" i="118" s="1"/>
  <c r="AQ360" i="118"/>
  <c r="Z360" i="118"/>
  <c r="Q494" i="118"/>
  <c r="AT494" i="118"/>
  <c r="AP494" i="118"/>
  <c r="BL494" i="118"/>
  <c r="BR494" i="118" s="1"/>
  <c r="AK494" i="118"/>
  <c r="AL494" i="118" s="1"/>
  <c r="AI494" i="118"/>
  <c r="AJ494" i="118" s="1"/>
  <c r="AM494" i="118"/>
  <c r="AE494" i="118"/>
  <c r="AF494" i="118" s="1"/>
  <c r="AM93" i="118"/>
  <c r="Q93" i="118"/>
  <c r="BL93" i="118"/>
  <c r="BR93" i="118" s="1"/>
  <c r="AK93" i="118"/>
  <c r="AL93" i="118" s="1"/>
  <c r="AT93" i="118"/>
  <c r="AP93" i="118"/>
  <c r="AI93" i="118"/>
  <c r="AJ93" i="118" s="1"/>
  <c r="AE93" i="118"/>
  <c r="AF93" i="118" s="1"/>
  <c r="AA229" i="118"/>
  <c r="AB229" i="118" s="1"/>
  <c r="Y229" i="118"/>
  <c r="AC229" i="118" s="1"/>
  <c r="AE630" i="118" l="1"/>
  <c r="AF630" i="118" s="1"/>
  <c r="AI630" i="118"/>
  <c r="AJ630" i="118" s="1"/>
  <c r="Q630" i="118"/>
  <c r="AT630" i="118"/>
  <c r="AK630" i="118"/>
  <c r="AL630" i="118" s="1"/>
  <c r="BL630" i="118"/>
  <c r="BR630" i="118" s="1"/>
  <c r="AP630" i="118"/>
  <c r="AD360" i="118"/>
  <c r="BP360" i="118"/>
  <c r="AX360" i="118"/>
  <c r="BG360" i="118" s="1"/>
  <c r="O360" i="118"/>
  <c r="AZ494" i="118"/>
  <c r="BI494" i="118" s="1"/>
  <c r="BC494" i="118"/>
  <c r="P495" i="118"/>
  <c r="N495" i="118"/>
  <c r="P94" i="118"/>
  <c r="N94" i="118"/>
  <c r="AZ93" i="118"/>
  <c r="BI93" i="118" s="1"/>
  <c r="BC93" i="118"/>
  <c r="BP229" i="118"/>
  <c r="AD229" i="118"/>
  <c r="AX229" i="118"/>
  <c r="BG229" i="118" s="1"/>
  <c r="O229" i="118"/>
  <c r="AE229" i="118" s="1"/>
  <c r="AF229" i="118" s="1"/>
  <c r="AH229" i="118"/>
  <c r="AW229" i="118"/>
  <c r="BF229" i="118" s="1"/>
  <c r="BO229" i="118"/>
  <c r="AQ229" i="118"/>
  <c r="Z229" i="118"/>
  <c r="BC630" i="118" l="1"/>
  <c r="AZ630" i="118"/>
  <c r="BI630" i="118" s="1"/>
  <c r="N631" i="118"/>
  <c r="P631" i="118"/>
  <c r="AE360" i="118"/>
  <c r="AF360" i="118" s="1"/>
  <c r="AP360" i="118"/>
  <c r="AK360" i="118"/>
  <c r="AL360" i="118" s="1"/>
  <c r="AT360" i="118"/>
  <c r="Q360" i="118"/>
  <c r="BL360" i="118"/>
  <c r="BR360" i="118" s="1"/>
  <c r="AM360" i="118"/>
  <c r="AI360" i="118"/>
  <c r="AJ360" i="118" s="1"/>
  <c r="X495" i="118"/>
  <c r="X94" i="118"/>
  <c r="BL229" i="118"/>
  <c r="BR229" i="118" s="1"/>
  <c r="AK229" i="118"/>
  <c r="AT229" i="118"/>
  <c r="AP229" i="118"/>
  <c r="Q229" i="118"/>
  <c r="AI229" i="118"/>
  <c r="AM229" i="118"/>
  <c r="X631" i="118" l="1"/>
  <c r="AZ360" i="118"/>
  <c r="BI360" i="118" s="1"/>
  <c r="BC360" i="118"/>
  <c r="P361" i="118"/>
  <c r="N361" i="118"/>
  <c r="AA495" i="118"/>
  <c r="AB495" i="118" s="1"/>
  <c r="Y495" i="118"/>
  <c r="AH495" i="118" s="1"/>
  <c r="Y94" i="118"/>
  <c r="AH94" i="118" s="1"/>
  <c r="AA94" i="118"/>
  <c r="AB94" i="118" s="1"/>
  <c r="AJ229" i="118"/>
  <c r="AL229" i="118"/>
  <c r="P230" i="118"/>
  <c r="N230" i="118"/>
  <c r="AZ229" i="118"/>
  <c r="BI229" i="118" s="1"/>
  <c r="BC229" i="118"/>
  <c r="Y631" i="118" l="1"/>
  <c r="AA631" i="118"/>
  <c r="AB631" i="118" s="1"/>
  <c r="X361" i="118"/>
  <c r="AC495" i="118"/>
  <c r="BP495" i="118" s="1"/>
  <c r="BO495" i="118"/>
  <c r="AQ495" i="118"/>
  <c r="AW495" i="118"/>
  <c r="BF495" i="118" s="1"/>
  <c r="Z495" i="118"/>
  <c r="AC94" i="118"/>
  <c r="BO94" i="118"/>
  <c r="AW94" i="118"/>
  <c r="BF94" i="118" s="1"/>
  <c r="AQ94" i="118"/>
  <c r="Z94" i="118"/>
  <c r="X230" i="118"/>
  <c r="AW631" i="118" l="1"/>
  <c r="BF631" i="118" s="1"/>
  <c r="BO631" i="118"/>
  <c r="AQ631" i="118"/>
  <c r="Z631" i="118"/>
  <c r="AC631" i="118"/>
  <c r="AH631" i="118"/>
  <c r="Y361" i="118"/>
  <c r="AH361" i="118" s="1"/>
  <c r="AA361" i="118"/>
  <c r="AB361" i="118" s="1"/>
  <c r="O495" i="118"/>
  <c r="AE495" i="118" s="1"/>
  <c r="AF495" i="118" s="1"/>
  <c r="AX495" i="118"/>
  <c r="BG495" i="118" s="1"/>
  <c r="AD495" i="118"/>
  <c r="O94" i="118"/>
  <c r="BP94" i="118"/>
  <c r="AD94" i="118"/>
  <c r="AX94" i="118"/>
  <c r="BG94" i="118" s="1"/>
  <c r="AA230" i="118"/>
  <c r="AB230" i="118" s="1"/>
  <c r="Y230" i="118"/>
  <c r="BP631" i="118" l="1"/>
  <c r="AX631" i="118"/>
  <c r="BG631" i="118" s="1"/>
  <c r="AD631" i="118"/>
  <c r="O631" i="118"/>
  <c r="AM495" i="118"/>
  <c r="AC361" i="118"/>
  <c r="AQ361" i="118"/>
  <c r="AW361" i="118"/>
  <c r="BF361" i="118" s="1"/>
  <c r="BO361" i="118"/>
  <c r="Z361" i="118"/>
  <c r="BL495" i="118"/>
  <c r="BR495" i="118" s="1"/>
  <c r="AT495" i="118"/>
  <c r="AZ495" i="118" s="1"/>
  <c r="BI495" i="118" s="1"/>
  <c r="AK495" i="118"/>
  <c r="AL495" i="118" s="1"/>
  <c r="Q495" i="118"/>
  <c r="N496" i="118" s="1"/>
  <c r="AI495" i="118"/>
  <c r="AJ495" i="118" s="1"/>
  <c r="AP495" i="118"/>
  <c r="AI94" i="118"/>
  <c r="AJ94" i="118" s="1"/>
  <c r="Q94" i="118"/>
  <c r="AP94" i="118"/>
  <c r="BL94" i="118"/>
  <c r="BR94" i="118" s="1"/>
  <c r="AT94" i="118"/>
  <c r="AK94" i="118"/>
  <c r="AL94" i="118" s="1"/>
  <c r="AM94" i="118"/>
  <c r="AE94" i="118"/>
  <c r="AF94" i="118" s="1"/>
  <c r="AH230" i="118"/>
  <c r="AQ230" i="118"/>
  <c r="AW230" i="118"/>
  <c r="BF230" i="118" s="1"/>
  <c r="BO230" i="118"/>
  <c r="Z230" i="118"/>
  <c r="AC230" i="118"/>
  <c r="AE631" i="118" l="1"/>
  <c r="AF631" i="118" s="1"/>
  <c r="BL631" i="118"/>
  <c r="BR631" i="118" s="1"/>
  <c r="AK631" i="118"/>
  <c r="AL631" i="118" s="1"/>
  <c r="Q631" i="118"/>
  <c r="AT631" i="118"/>
  <c r="AP631" i="118"/>
  <c r="AM631" i="118"/>
  <c r="AI631" i="118"/>
  <c r="AJ631" i="118" s="1"/>
  <c r="BC495" i="118"/>
  <c r="AD361" i="118"/>
  <c r="BP361" i="118"/>
  <c r="AX361" i="118"/>
  <c r="BG361" i="118" s="1"/>
  <c r="O361" i="118"/>
  <c r="P496" i="118"/>
  <c r="X496" i="118" s="1"/>
  <c r="P95" i="118"/>
  <c r="N95" i="118"/>
  <c r="AZ94" i="118"/>
  <c r="BI94" i="118" s="1"/>
  <c r="BC94" i="118"/>
  <c r="BP230" i="118"/>
  <c r="AD230" i="118"/>
  <c r="AX230" i="118"/>
  <c r="BG230" i="118" s="1"/>
  <c r="O230" i="118"/>
  <c r="P632" i="118" l="1"/>
  <c r="N632" i="118"/>
  <c r="AZ631" i="118"/>
  <c r="BI631" i="118" s="1"/>
  <c r="BC631" i="118"/>
  <c r="AT361" i="118"/>
  <c r="AK361" i="118"/>
  <c r="AL361" i="118" s="1"/>
  <c r="AP361" i="118"/>
  <c r="Q361" i="118"/>
  <c r="BL361" i="118"/>
  <c r="BR361" i="118" s="1"/>
  <c r="AM361" i="118"/>
  <c r="AI361" i="118"/>
  <c r="AJ361" i="118" s="1"/>
  <c r="AE361" i="118"/>
  <c r="AF361" i="118" s="1"/>
  <c r="AA496" i="118"/>
  <c r="AB496" i="118" s="1"/>
  <c r="Y496" i="118"/>
  <c r="AH496" i="118" s="1"/>
  <c r="X95" i="118"/>
  <c r="AE230" i="118"/>
  <c r="AF230" i="118" s="1"/>
  <c r="Q230" i="118"/>
  <c r="BL230" i="118"/>
  <c r="BR230" i="118" s="1"/>
  <c r="AK230" i="118"/>
  <c r="AT230" i="118"/>
  <c r="AP230" i="118"/>
  <c r="AM230" i="118"/>
  <c r="AI230" i="118"/>
  <c r="X632" i="118" l="1"/>
  <c r="P362" i="118"/>
  <c r="N362" i="118"/>
  <c r="AZ361" i="118"/>
  <c r="BI361" i="118" s="1"/>
  <c r="BC361" i="118"/>
  <c r="AC496" i="118"/>
  <c r="AX496" i="118" s="1"/>
  <c r="BG496" i="118" s="1"/>
  <c r="BO496" i="118"/>
  <c r="AQ496" i="118"/>
  <c r="AW496" i="118"/>
  <c r="BF496" i="118" s="1"/>
  <c r="Z496" i="118"/>
  <c r="Y95" i="118"/>
  <c r="AH95" i="118" s="1"/>
  <c r="AA95" i="118"/>
  <c r="AB95" i="118" s="1"/>
  <c r="P231" i="118"/>
  <c r="N231" i="118"/>
  <c r="AZ230" i="118"/>
  <c r="BI230" i="118" s="1"/>
  <c r="BC230" i="118"/>
  <c r="AJ230" i="118"/>
  <c r="AL230" i="118"/>
  <c r="Y632" i="118" l="1"/>
  <c r="AH632" i="118" s="1"/>
  <c r="AA632" i="118"/>
  <c r="AB632" i="118" s="1"/>
  <c r="X362" i="118"/>
  <c r="AD496" i="118"/>
  <c r="O496" i="118"/>
  <c r="AE496" i="118" s="1"/>
  <c r="AF496" i="118" s="1"/>
  <c r="BP496" i="118"/>
  <c r="AC95" i="118"/>
  <c r="BP95" i="118" s="1"/>
  <c r="AQ95" i="118"/>
  <c r="BO95" i="118"/>
  <c r="AW95" i="118"/>
  <c r="BF95" i="118" s="1"/>
  <c r="Z95" i="118"/>
  <c r="X231" i="118"/>
  <c r="AQ632" i="118" l="1"/>
  <c r="BO632" i="118"/>
  <c r="AW632" i="118"/>
  <c r="BF632" i="118" s="1"/>
  <c r="Z632" i="118"/>
  <c r="AC632" i="118"/>
  <c r="Y362" i="118"/>
  <c r="AH362" i="118" s="1"/>
  <c r="AA362" i="118"/>
  <c r="AB362" i="118" s="1"/>
  <c r="AK496" i="118"/>
  <c r="AL496" i="118" s="1"/>
  <c r="AM496" i="118"/>
  <c r="AI496" i="118"/>
  <c r="AJ496" i="118" s="1"/>
  <c r="AT496" i="118"/>
  <c r="BC496" i="118" s="1"/>
  <c r="BL496" i="118"/>
  <c r="BR496" i="118" s="1"/>
  <c r="AP496" i="118"/>
  <c r="Q496" i="118"/>
  <c r="N497" i="118" s="1"/>
  <c r="O95" i="118"/>
  <c r="AE95" i="118" s="1"/>
  <c r="AF95" i="118" s="1"/>
  <c r="AX95" i="118"/>
  <c r="BG95" i="118" s="1"/>
  <c r="AD95" i="118"/>
  <c r="Y231" i="118"/>
  <c r="AC231" i="118" s="1"/>
  <c r="AA231" i="118"/>
  <c r="AB231" i="118" s="1"/>
  <c r="AZ496" i="118" l="1"/>
  <c r="BI496" i="118" s="1"/>
  <c r="AX632" i="118"/>
  <c r="BG632" i="118" s="1"/>
  <c r="BP632" i="118"/>
  <c r="AD632" i="118"/>
  <c r="O632" i="118"/>
  <c r="AC362" i="118"/>
  <c r="BP362" i="118" s="1"/>
  <c r="AW362" i="118"/>
  <c r="BF362" i="118" s="1"/>
  <c r="BO362" i="118"/>
  <c r="AQ362" i="118"/>
  <c r="Z362" i="118"/>
  <c r="P497" i="118"/>
  <c r="X497" i="118" s="1"/>
  <c r="AP95" i="118"/>
  <c r="BL95" i="118"/>
  <c r="BR95" i="118" s="1"/>
  <c r="Q95" i="118"/>
  <c r="N96" i="118" s="1"/>
  <c r="AI95" i="118"/>
  <c r="AJ95" i="118" s="1"/>
  <c r="AM95" i="118"/>
  <c r="AT95" i="118"/>
  <c r="AZ95" i="118" s="1"/>
  <c r="BI95" i="118" s="1"/>
  <c r="AK95" i="118"/>
  <c r="AL95" i="118" s="1"/>
  <c r="O231" i="118"/>
  <c r="AE231" i="118" s="1"/>
  <c r="AF231" i="118" s="1"/>
  <c r="BP231" i="118"/>
  <c r="AD231" i="118"/>
  <c r="AX231" i="118"/>
  <c r="BG231" i="118" s="1"/>
  <c r="AH231" i="118"/>
  <c r="BO231" i="118"/>
  <c r="AQ231" i="118"/>
  <c r="AW231" i="118"/>
  <c r="BF231" i="118" s="1"/>
  <c r="Z231" i="118"/>
  <c r="Q632" i="118" l="1"/>
  <c r="AT632" i="118"/>
  <c r="BL632" i="118"/>
  <c r="BR632" i="118" s="1"/>
  <c r="AP632" i="118"/>
  <c r="AK632" i="118"/>
  <c r="AL632" i="118" s="1"/>
  <c r="AM632" i="118"/>
  <c r="AI632" i="118"/>
  <c r="AJ632" i="118" s="1"/>
  <c r="AE632" i="118"/>
  <c r="AF632" i="118" s="1"/>
  <c r="O362" i="118"/>
  <c r="AE362" i="118" s="1"/>
  <c r="AF362" i="118" s="1"/>
  <c r="AD362" i="118"/>
  <c r="AX362" i="118"/>
  <c r="BG362" i="118" s="1"/>
  <c r="AA497" i="118"/>
  <c r="AB497" i="118" s="1"/>
  <c r="Y497" i="118"/>
  <c r="AC497" i="118" s="1"/>
  <c r="P96" i="118"/>
  <c r="X96" i="118" s="1"/>
  <c r="BC95" i="118"/>
  <c r="Q231" i="118"/>
  <c r="AP231" i="118"/>
  <c r="AT231" i="118"/>
  <c r="BL231" i="118"/>
  <c r="BR231" i="118" s="1"/>
  <c r="AK231" i="118"/>
  <c r="AM231" i="118"/>
  <c r="AI231" i="118"/>
  <c r="AZ632" i="118" l="1"/>
  <c r="BI632" i="118" s="1"/>
  <c r="BC632" i="118"/>
  <c r="P633" i="118"/>
  <c r="N633" i="118"/>
  <c r="AP362" i="118"/>
  <c r="BL362" i="118"/>
  <c r="BR362" i="118" s="1"/>
  <c r="AI362" i="118"/>
  <c r="AJ362" i="118" s="1"/>
  <c r="AM362" i="118"/>
  <c r="AT362" i="118"/>
  <c r="AZ362" i="118" s="1"/>
  <c r="BI362" i="118" s="1"/>
  <c r="AK362" i="118"/>
  <c r="AL362" i="118" s="1"/>
  <c r="Q362" i="118"/>
  <c r="P363" i="118" s="1"/>
  <c r="AX497" i="118"/>
  <c r="BG497" i="118" s="1"/>
  <c r="AD497" i="118"/>
  <c r="BP497" i="118"/>
  <c r="O497" i="118"/>
  <c r="AH497" i="118"/>
  <c r="BO497" i="118"/>
  <c r="AW497" i="118"/>
  <c r="BF497" i="118" s="1"/>
  <c r="AQ497" i="118"/>
  <c r="Z497" i="118"/>
  <c r="Y96" i="118"/>
  <c r="AH96" i="118" s="1"/>
  <c r="AA96" i="118"/>
  <c r="AB96" i="118" s="1"/>
  <c r="AL231" i="118"/>
  <c r="P232" i="118"/>
  <c r="N232" i="118"/>
  <c r="AJ231" i="118"/>
  <c r="AZ231" i="118"/>
  <c r="BI231" i="118" s="1"/>
  <c r="BC231" i="118"/>
  <c r="X633" i="118" l="1"/>
  <c r="N363" i="118"/>
  <c r="X363" i="118" s="1"/>
  <c r="BC362" i="118"/>
  <c r="Q497" i="118"/>
  <c r="AK497" i="118"/>
  <c r="AL497" i="118" s="1"/>
  <c r="AP497" i="118"/>
  <c r="BL497" i="118"/>
  <c r="BR497" i="118" s="1"/>
  <c r="AT497" i="118"/>
  <c r="AE497" i="118"/>
  <c r="AF497" i="118" s="1"/>
  <c r="AI497" i="118"/>
  <c r="AJ497" i="118" s="1"/>
  <c r="AM497" i="118"/>
  <c r="AC96" i="118"/>
  <c r="AW96" i="118"/>
  <c r="BF96" i="118" s="1"/>
  <c r="AQ96" i="118"/>
  <c r="BO96" i="118"/>
  <c r="Z96" i="118"/>
  <c r="X232" i="118"/>
  <c r="AA633" i="118" l="1"/>
  <c r="AB633" i="118" s="1"/>
  <c r="Y633" i="118"/>
  <c r="AC633" i="118" s="1"/>
  <c r="Y363" i="118"/>
  <c r="AH363" i="118" s="1"/>
  <c r="AA363" i="118"/>
  <c r="AB363" i="118" s="1"/>
  <c r="AZ497" i="118"/>
  <c r="BI497" i="118" s="1"/>
  <c r="BC497" i="118"/>
  <c r="N498" i="118"/>
  <c r="P498" i="118"/>
  <c r="AD96" i="118"/>
  <c r="BP96" i="118"/>
  <c r="AX96" i="118"/>
  <c r="BG96" i="118" s="1"/>
  <c r="O96" i="118"/>
  <c r="Y232" i="118"/>
  <c r="AC232" i="118" s="1"/>
  <c r="AA232" i="118"/>
  <c r="AB232" i="118" s="1"/>
  <c r="AH633" i="118" l="1"/>
  <c r="AD633" i="118"/>
  <c r="AX633" i="118"/>
  <c r="BG633" i="118" s="1"/>
  <c r="BP633" i="118"/>
  <c r="O633" i="118"/>
  <c r="AE633" i="118" s="1"/>
  <c r="AF633" i="118" s="1"/>
  <c r="BO633" i="118"/>
  <c r="AW633" i="118"/>
  <c r="BF633" i="118" s="1"/>
  <c r="AQ633" i="118"/>
  <c r="Z633" i="118"/>
  <c r="AC363" i="118"/>
  <c r="AW363" i="118"/>
  <c r="BF363" i="118" s="1"/>
  <c r="BO363" i="118"/>
  <c r="AQ363" i="118"/>
  <c r="Z363" i="118"/>
  <c r="X498" i="118"/>
  <c r="Q96" i="118"/>
  <c r="AT96" i="118"/>
  <c r="AP96" i="118"/>
  <c r="AK96" i="118"/>
  <c r="BL96" i="118"/>
  <c r="BR96" i="118" s="1"/>
  <c r="AM96" i="118"/>
  <c r="AI96" i="118"/>
  <c r="AE96" i="118"/>
  <c r="AF96" i="118" s="1"/>
  <c r="AD232" i="118"/>
  <c r="BP232" i="118"/>
  <c r="AX232" i="118"/>
  <c r="BG232" i="118" s="1"/>
  <c r="O232" i="118"/>
  <c r="AE232" i="118" s="1"/>
  <c r="AF232" i="118" s="1"/>
  <c r="AH232" i="118"/>
  <c r="BO232" i="118"/>
  <c r="AQ232" i="118"/>
  <c r="AW232" i="118"/>
  <c r="BF232" i="118" s="1"/>
  <c r="Z232" i="118"/>
  <c r="Q633" i="118" l="1"/>
  <c r="BL633" i="118"/>
  <c r="BR633" i="118" s="1"/>
  <c r="AP633" i="118"/>
  <c r="AT633" i="118"/>
  <c r="AK633" i="118"/>
  <c r="AL633" i="118" s="1"/>
  <c r="AM633" i="118"/>
  <c r="AI633" i="118"/>
  <c r="AJ633" i="118" s="1"/>
  <c r="AD363" i="118"/>
  <c r="AX363" i="118"/>
  <c r="BG363" i="118" s="1"/>
  <c r="BP363" i="118"/>
  <c r="O363" i="118"/>
  <c r="AA498" i="118"/>
  <c r="AB498" i="118" s="1"/>
  <c r="Y498" i="118"/>
  <c r="AJ96" i="118"/>
  <c r="AZ96" i="118"/>
  <c r="BI96" i="118" s="1"/>
  <c r="BC96" i="118"/>
  <c r="P97" i="118"/>
  <c r="N97" i="118"/>
  <c r="AL96" i="118"/>
  <c r="AK232" i="118"/>
  <c r="BL232" i="118"/>
  <c r="BR232" i="118" s="1"/>
  <c r="AP232" i="118"/>
  <c r="AT232" i="118"/>
  <c r="Q232" i="118"/>
  <c r="AM232" i="118"/>
  <c r="AI232" i="118"/>
  <c r="AZ633" i="118" l="1"/>
  <c r="BI633" i="118" s="1"/>
  <c r="BC633" i="118"/>
  <c r="P634" i="118"/>
  <c r="N634" i="118"/>
  <c r="AE363" i="118"/>
  <c r="AF363" i="118" s="1"/>
  <c r="AK363" i="118"/>
  <c r="AL363" i="118" s="1"/>
  <c r="BL363" i="118"/>
  <c r="BR363" i="118" s="1"/>
  <c r="AT363" i="118"/>
  <c r="Q363" i="118"/>
  <c r="AP363" i="118"/>
  <c r="AI363" i="118"/>
  <c r="AJ363" i="118" s="1"/>
  <c r="AM363" i="118"/>
  <c r="AC498" i="118"/>
  <c r="BO498" i="118"/>
  <c r="AW498" i="118"/>
  <c r="BF498" i="118" s="1"/>
  <c r="AQ498" i="118"/>
  <c r="Z498" i="118"/>
  <c r="AH498" i="118"/>
  <c r="X97" i="118"/>
  <c r="N233" i="118"/>
  <c r="P233" i="118"/>
  <c r="AL232" i="118"/>
  <c r="AZ232" i="118"/>
  <c r="BI232" i="118" s="1"/>
  <c r="BC232" i="118"/>
  <c r="AJ232" i="118"/>
  <c r="X634" i="118" l="1"/>
  <c r="AZ363" i="118"/>
  <c r="BI363" i="118" s="1"/>
  <c r="BC363" i="118"/>
  <c r="P364" i="118"/>
  <c r="N364" i="118"/>
  <c r="O498" i="118"/>
  <c r="AD498" i="118"/>
  <c r="BP498" i="118"/>
  <c r="AX498" i="118"/>
  <c r="BG498" i="118" s="1"/>
  <c r="Y97" i="118"/>
  <c r="AH97" i="118" s="1"/>
  <c r="AA97" i="118"/>
  <c r="AB97" i="118" s="1"/>
  <c r="X233" i="118"/>
  <c r="AA634" i="118" l="1"/>
  <c r="AB634" i="118" s="1"/>
  <c r="Y634" i="118"/>
  <c r="AC634" i="118" s="1"/>
  <c r="X364" i="118"/>
  <c r="Q498" i="118"/>
  <c r="AP498" i="118"/>
  <c r="AT498" i="118"/>
  <c r="BL498" i="118"/>
  <c r="BR498" i="118" s="1"/>
  <c r="AK498" i="118"/>
  <c r="AL498" i="118" s="1"/>
  <c r="AM498" i="118"/>
  <c r="AE498" i="118"/>
  <c r="AF498" i="118" s="1"/>
  <c r="AI498" i="118"/>
  <c r="AJ498" i="118" s="1"/>
  <c r="AC97" i="118"/>
  <c r="AW97" i="118"/>
  <c r="BF97" i="118" s="1"/>
  <c r="AQ97" i="118"/>
  <c r="BO97" i="118"/>
  <c r="Z97" i="118"/>
  <c r="Y233" i="118"/>
  <c r="AH233" i="118" s="1"/>
  <c r="AA233" i="118"/>
  <c r="AB233" i="118" s="1"/>
  <c r="AH634" i="118" l="1"/>
  <c r="AD634" i="118"/>
  <c r="BP634" i="118"/>
  <c r="AX634" i="118"/>
  <c r="BG634" i="118" s="1"/>
  <c r="O634" i="118"/>
  <c r="BO634" i="118"/>
  <c r="AW634" i="118"/>
  <c r="BF634" i="118" s="1"/>
  <c r="AQ634" i="118"/>
  <c r="Z634" i="118"/>
  <c r="Y364" i="118"/>
  <c r="AH364" i="118" s="1"/>
  <c r="AA364" i="118"/>
  <c r="AB364" i="118" s="1"/>
  <c r="AZ498" i="118"/>
  <c r="BI498" i="118" s="1"/>
  <c r="BC498" i="118"/>
  <c r="P499" i="118"/>
  <c r="N499" i="118"/>
  <c r="AD97" i="118"/>
  <c r="AX97" i="118"/>
  <c r="BG97" i="118" s="1"/>
  <c r="BP97" i="118"/>
  <c r="O97" i="118"/>
  <c r="AC233" i="118"/>
  <c r="AW233" i="118"/>
  <c r="BF233" i="118" s="1"/>
  <c r="BO233" i="118"/>
  <c r="AQ233" i="118"/>
  <c r="Z233" i="118"/>
  <c r="AE634" i="118" l="1"/>
  <c r="AF634" i="118" s="1"/>
  <c r="AK634" i="118"/>
  <c r="AL634" i="118" s="1"/>
  <c r="AP634" i="118"/>
  <c r="AT634" i="118"/>
  <c r="Q634" i="118"/>
  <c r="BL634" i="118"/>
  <c r="BR634" i="118" s="1"/>
  <c r="AI634" i="118"/>
  <c r="AJ634" i="118" s="1"/>
  <c r="AM634" i="118"/>
  <c r="AC364" i="118"/>
  <c r="AQ364" i="118"/>
  <c r="BO364" i="118"/>
  <c r="AW364" i="118"/>
  <c r="BF364" i="118" s="1"/>
  <c r="Z364" i="118"/>
  <c r="X499" i="118"/>
  <c r="AI97" i="118"/>
  <c r="Q97" i="118"/>
  <c r="AP97" i="118"/>
  <c r="AT97" i="118"/>
  <c r="AK97" i="118"/>
  <c r="BL97" i="118"/>
  <c r="BR97" i="118" s="1"/>
  <c r="AM97" i="118"/>
  <c r="AE97" i="118"/>
  <c r="AF97" i="118" s="1"/>
  <c r="AX233" i="118"/>
  <c r="BG233" i="118" s="1"/>
  <c r="BP233" i="118"/>
  <c r="AD233" i="118"/>
  <c r="O233" i="118"/>
  <c r="N635" i="118" l="1"/>
  <c r="P635" i="118"/>
  <c r="AZ634" i="118"/>
  <c r="BI634" i="118" s="1"/>
  <c r="BC634" i="118"/>
  <c r="AD364" i="118"/>
  <c r="BP364" i="118"/>
  <c r="AX364" i="118"/>
  <c r="BG364" i="118" s="1"/>
  <c r="O364" i="118"/>
  <c r="Y499" i="118"/>
  <c r="AH499" i="118" s="1"/>
  <c r="AA499" i="118"/>
  <c r="AB499" i="118" s="1"/>
  <c r="P98" i="118"/>
  <c r="N98" i="118"/>
  <c r="AL97" i="118"/>
  <c r="AZ97" i="118"/>
  <c r="BI97" i="118" s="1"/>
  <c r="BC97" i="118"/>
  <c r="AJ97" i="118"/>
  <c r="Q233" i="118"/>
  <c r="AT233" i="118"/>
  <c r="AP233" i="118"/>
  <c r="BL233" i="118"/>
  <c r="BR233" i="118" s="1"/>
  <c r="AK233" i="118"/>
  <c r="AM233" i="118"/>
  <c r="AI233" i="118"/>
  <c r="AE233" i="118"/>
  <c r="AF233" i="118" s="1"/>
  <c r="X635" i="118" l="1"/>
  <c r="BL364" i="118"/>
  <c r="BR364" i="118" s="1"/>
  <c r="AT364" i="118"/>
  <c r="AK364" i="118"/>
  <c r="AL364" i="118" s="1"/>
  <c r="Q364" i="118"/>
  <c r="AP364" i="118"/>
  <c r="AI364" i="118"/>
  <c r="AJ364" i="118" s="1"/>
  <c r="AM364" i="118"/>
  <c r="AE364" i="118"/>
  <c r="AF364" i="118" s="1"/>
  <c r="AC499" i="118"/>
  <c r="AQ499" i="118"/>
  <c r="AW499" i="118"/>
  <c r="BF499" i="118" s="1"/>
  <c r="BO499" i="118"/>
  <c r="Z499" i="118"/>
  <c r="X98" i="118"/>
  <c r="AZ233" i="118"/>
  <c r="BI233" i="118" s="1"/>
  <c r="BC233" i="118"/>
  <c r="AJ233" i="118"/>
  <c r="AL233" i="118"/>
  <c r="N234" i="118"/>
  <c r="P234" i="118"/>
  <c r="AA635" i="118" l="1"/>
  <c r="AB635" i="118" s="1"/>
  <c r="Y635" i="118"/>
  <c r="AH635" i="118" s="1"/>
  <c r="N365" i="118"/>
  <c r="P365" i="118"/>
  <c r="AZ364" i="118"/>
  <c r="BI364" i="118" s="1"/>
  <c r="BC364" i="118"/>
  <c r="O499" i="118"/>
  <c r="AX499" i="118"/>
  <c r="BG499" i="118" s="1"/>
  <c r="AD499" i="118"/>
  <c r="BP499" i="118"/>
  <c r="Y98" i="118"/>
  <c r="AH98" i="118" s="1"/>
  <c r="AA98" i="118"/>
  <c r="AB98" i="118" s="1"/>
  <c r="X234" i="118"/>
  <c r="AC635" i="118" l="1"/>
  <c r="AW635" i="118"/>
  <c r="BF635" i="118" s="1"/>
  <c r="BO635" i="118"/>
  <c r="AQ635" i="118"/>
  <c r="Z635" i="118"/>
  <c r="X365" i="118"/>
  <c r="AT499" i="118"/>
  <c r="AK499" i="118"/>
  <c r="BL499" i="118"/>
  <c r="BR499" i="118" s="1"/>
  <c r="Q499" i="118"/>
  <c r="AP499" i="118"/>
  <c r="AM499" i="118"/>
  <c r="AI499" i="118"/>
  <c r="AE499" i="118"/>
  <c r="AF499" i="118" s="1"/>
  <c r="AC98" i="118"/>
  <c r="AQ98" i="118"/>
  <c r="BO98" i="118"/>
  <c r="AW98" i="118"/>
  <c r="BF98" i="118" s="1"/>
  <c r="Z98" i="118"/>
  <c r="AA234" i="118"/>
  <c r="AB234" i="118" s="1"/>
  <c r="Y234" i="118"/>
  <c r="AC234" i="118" s="1"/>
  <c r="AX635" i="118" l="1"/>
  <c r="BG635" i="118" s="1"/>
  <c r="AD635" i="118"/>
  <c r="BP635" i="118"/>
  <c r="O635" i="118"/>
  <c r="Y365" i="118"/>
  <c r="AH365" i="118" s="1"/>
  <c r="AA365" i="118"/>
  <c r="AB365" i="118" s="1"/>
  <c r="AL499" i="118"/>
  <c r="N500" i="118"/>
  <c r="P500" i="118"/>
  <c r="AJ499" i="118"/>
  <c r="AZ499" i="118"/>
  <c r="BI499" i="118" s="1"/>
  <c r="BC499" i="118"/>
  <c r="AD98" i="118"/>
  <c r="BP98" i="118"/>
  <c r="AX98" i="118"/>
  <c r="BG98" i="118" s="1"/>
  <c r="O98" i="118"/>
  <c r="BP234" i="118"/>
  <c r="AD234" i="118"/>
  <c r="AX234" i="118"/>
  <c r="BG234" i="118" s="1"/>
  <c r="O234" i="118"/>
  <c r="AH234" i="118"/>
  <c r="AQ234" i="118"/>
  <c r="AW234" i="118"/>
  <c r="BF234" i="118" s="1"/>
  <c r="BO234" i="118"/>
  <c r="Z234" i="118"/>
  <c r="AE635" i="118" l="1"/>
  <c r="AF635" i="118" s="1"/>
  <c r="Q635" i="118"/>
  <c r="AK635" i="118"/>
  <c r="AL635" i="118" s="1"/>
  <c r="BL635" i="118"/>
  <c r="BR635" i="118" s="1"/>
  <c r="AP635" i="118"/>
  <c r="AT635" i="118"/>
  <c r="AM635" i="118"/>
  <c r="AI635" i="118"/>
  <c r="AJ635" i="118" s="1"/>
  <c r="AC365" i="118"/>
  <c r="BO365" i="118"/>
  <c r="AW365" i="118"/>
  <c r="BF365" i="118" s="1"/>
  <c r="AQ365" i="118"/>
  <c r="Z365" i="118"/>
  <c r="X500" i="118"/>
  <c r="AE98" i="118"/>
  <c r="AF98" i="118" s="1"/>
  <c r="Q98" i="118"/>
  <c r="AP98" i="118"/>
  <c r="BL98" i="118"/>
  <c r="BR98" i="118" s="1"/>
  <c r="AT98" i="118"/>
  <c r="AK98" i="118"/>
  <c r="AI98" i="118"/>
  <c r="AM98" i="118"/>
  <c r="AT234" i="118"/>
  <c r="BL234" i="118"/>
  <c r="BR234" i="118" s="1"/>
  <c r="AK234" i="118"/>
  <c r="AL234" i="118" s="1"/>
  <c r="AP234" i="118"/>
  <c r="Q234" i="118"/>
  <c r="AI234" i="118"/>
  <c r="AJ234" i="118" s="1"/>
  <c r="AM234" i="118"/>
  <c r="AE234" i="118"/>
  <c r="AF234" i="118" s="1"/>
  <c r="AZ635" i="118" l="1"/>
  <c r="BI635" i="118" s="1"/>
  <c r="BC635" i="118"/>
  <c r="P636" i="118"/>
  <c r="N636" i="118"/>
  <c r="AD365" i="118"/>
  <c r="BP365" i="118"/>
  <c r="AX365" i="118"/>
  <c r="BG365" i="118" s="1"/>
  <c r="O365" i="118"/>
  <c r="AA500" i="118"/>
  <c r="AB500" i="118" s="1"/>
  <c r="Y500" i="118"/>
  <c r="AL98" i="118"/>
  <c r="N99" i="118"/>
  <c r="P99" i="118"/>
  <c r="AJ98" i="118"/>
  <c r="AZ98" i="118"/>
  <c r="BI98" i="118" s="1"/>
  <c r="BC98" i="118"/>
  <c r="N235" i="118"/>
  <c r="P235" i="118"/>
  <c r="AZ234" i="118"/>
  <c r="BI234" i="118" s="1"/>
  <c r="BC234" i="118"/>
  <c r="X636" i="118" l="1"/>
  <c r="AE365" i="118"/>
  <c r="AF365" i="118" s="1"/>
  <c r="Q365" i="118"/>
  <c r="AK365" i="118"/>
  <c r="AL365" i="118" s="1"/>
  <c r="BL365" i="118"/>
  <c r="BR365" i="118" s="1"/>
  <c r="AP365" i="118"/>
  <c r="AT365" i="118"/>
  <c r="AI365" i="118"/>
  <c r="AJ365" i="118" s="1"/>
  <c r="AM365" i="118"/>
  <c r="AC500" i="118"/>
  <c r="AW500" i="118"/>
  <c r="BF500" i="118" s="1"/>
  <c r="BO500" i="118"/>
  <c r="AQ500" i="118"/>
  <c r="Z500" i="118"/>
  <c r="AH500" i="118"/>
  <c r="X99" i="118"/>
  <c r="X235" i="118"/>
  <c r="AA636" i="118" l="1"/>
  <c r="AB636" i="118" s="1"/>
  <c r="Y636" i="118"/>
  <c r="AC636" i="118" s="1"/>
  <c r="O636" i="118" s="1"/>
  <c r="AZ365" i="118"/>
  <c r="BI365" i="118" s="1"/>
  <c r="BC365" i="118"/>
  <c r="N366" i="118"/>
  <c r="P366" i="118"/>
  <c r="O500" i="118"/>
  <c r="AE500" i="118" s="1"/>
  <c r="AF500" i="118" s="1"/>
  <c r="AD500" i="118"/>
  <c r="AX500" i="118"/>
  <c r="BG500" i="118" s="1"/>
  <c r="BP500" i="118"/>
  <c r="AA99" i="118"/>
  <c r="AB99" i="118" s="1"/>
  <c r="Y99" i="118"/>
  <c r="AH99" i="118" s="1"/>
  <c r="AA235" i="118"/>
  <c r="AB235" i="118" s="1"/>
  <c r="Y235" i="118"/>
  <c r="AC235" i="118" s="1"/>
  <c r="AM636" i="118" l="1"/>
  <c r="AK636" i="118"/>
  <c r="AL636" i="118" s="1"/>
  <c r="Q636" i="118"/>
  <c r="AT636" i="118"/>
  <c r="AP636" i="118"/>
  <c r="BL636" i="118"/>
  <c r="AI636" i="118"/>
  <c r="AJ636" i="118" s="1"/>
  <c r="BP636" i="118"/>
  <c r="AX636" i="118"/>
  <c r="BG636" i="118" s="1"/>
  <c r="AD636" i="118"/>
  <c r="AH636" i="118"/>
  <c r="AQ636" i="118"/>
  <c r="BO636" i="118"/>
  <c r="AW636" i="118"/>
  <c r="BF636" i="118" s="1"/>
  <c r="AE636" i="118"/>
  <c r="AF636" i="118" s="1"/>
  <c r="Z636" i="118"/>
  <c r="X366" i="118"/>
  <c r="Q500" i="118"/>
  <c r="AK500" i="118"/>
  <c r="AT500" i="118"/>
  <c r="AP500" i="118"/>
  <c r="BL500" i="118"/>
  <c r="BR500" i="118" s="1"/>
  <c r="AI500" i="118"/>
  <c r="AM500" i="118"/>
  <c r="AC99" i="118"/>
  <c r="BO99" i="118"/>
  <c r="AQ99" i="118"/>
  <c r="AW99" i="118"/>
  <c r="BF99" i="118" s="1"/>
  <c r="Z99" i="118"/>
  <c r="AD235" i="118"/>
  <c r="AX235" i="118"/>
  <c r="BG235" i="118" s="1"/>
  <c r="BP235" i="118"/>
  <c r="O235" i="118"/>
  <c r="AH235" i="118"/>
  <c r="AW235" i="118"/>
  <c r="BF235" i="118" s="1"/>
  <c r="BO235" i="118"/>
  <c r="AQ235" i="118"/>
  <c r="Z235" i="118"/>
  <c r="BR636" i="118" l="1"/>
  <c r="BC636" i="118"/>
  <c r="AZ636" i="118"/>
  <c r="BI636" i="118" s="1"/>
  <c r="N637" i="118"/>
  <c r="P637" i="118"/>
  <c r="AA366" i="118"/>
  <c r="AB366" i="118" s="1"/>
  <c r="Y366" i="118"/>
  <c r="AH366" i="118" s="1"/>
  <c r="N501" i="118"/>
  <c r="P501" i="118"/>
  <c r="AZ500" i="118"/>
  <c r="BI500" i="118" s="1"/>
  <c r="BC500" i="118"/>
  <c r="AJ500" i="118"/>
  <c r="AL500" i="118"/>
  <c r="O99" i="118"/>
  <c r="BP99" i="118"/>
  <c r="AX99" i="118"/>
  <c r="BG99" i="118" s="1"/>
  <c r="AD99" i="118"/>
  <c r="Q235" i="118"/>
  <c r="AP235" i="118"/>
  <c r="AT235" i="118"/>
  <c r="BL235" i="118"/>
  <c r="BR235" i="118" s="1"/>
  <c r="AK235" i="118"/>
  <c r="AL235" i="118" s="1"/>
  <c r="AM235" i="118"/>
  <c r="AI235" i="118"/>
  <c r="AJ235" i="118" s="1"/>
  <c r="AE235" i="118"/>
  <c r="AF235" i="118" s="1"/>
  <c r="X637" i="118" l="1"/>
  <c r="AC366" i="118"/>
  <c r="AW366" i="118"/>
  <c r="BF366" i="118" s="1"/>
  <c r="AQ366" i="118"/>
  <c r="BO366" i="118"/>
  <c r="Z366" i="118"/>
  <c r="X501" i="118"/>
  <c r="AI99" i="118"/>
  <c r="AK99" i="118"/>
  <c r="Q99" i="118"/>
  <c r="BL99" i="118"/>
  <c r="BR99" i="118" s="1"/>
  <c r="AP99" i="118"/>
  <c r="AT99" i="118"/>
  <c r="AM99" i="118"/>
  <c r="AE99" i="118"/>
  <c r="AF99" i="118" s="1"/>
  <c r="AZ235" i="118"/>
  <c r="BI235" i="118" s="1"/>
  <c r="BC235" i="118"/>
  <c r="N236" i="118"/>
  <c r="P236" i="118"/>
  <c r="AA637" i="118" l="1"/>
  <c r="AB637" i="118" s="1"/>
  <c r="Y637" i="118"/>
  <c r="AC637" i="118" s="1"/>
  <c r="O637" i="118" s="1"/>
  <c r="AD366" i="118"/>
  <c r="AX366" i="118"/>
  <c r="BG366" i="118" s="1"/>
  <c r="BP366" i="118"/>
  <c r="O366" i="118"/>
  <c r="AA501" i="118"/>
  <c r="AB501" i="118" s="1"/>
  <c r="Y501" i="118"/>
  <c r="AC501" i="118" s="1"/>
  <c r="N100" i="118"/>
  <c r="P100" i="118"/>
  <c r="AZ99" i="118"/>
  <c r="BI99" i="118" s="1"/>
  <c r="BC99" i="118"/>
  <c r="AL99" i="118"/>
  <c r="AJ99" i="118"/>
  <c r="X236" i="118"/>
  <c r="BL637" i="118" l="1"/>
  <c r="Q637" i="118"/>
  <c r="AT637" i="118"/>
  <c r="AK637" i="118"/>
  <c r="AL637" i="118" s="1"/>
  <c r="AP637" i="118"/>
  <c r="AI637" i="118"/>
  <c r="AJ637" i="118" s="1"/>
  <c r="AM637" i="118"/>
  <c r="AX637" i="118"/>
  <c r="BG637" i="118" s="1"/>
  <c r="AD637" i="118"/>
  <c r="BP637" i="118"/>
  <c r="AH637" i="118"/>
  <c r="AW637" i="118"/>
  <c r="BF637" i="118" s="1"/>
  <c r="AQ637" i="118"/>
  <c r="BO637" i="118"/>
  <c r="AE637" i="118"/>
  <c r="AF637" i="118" s="1"/>
  <c r="Z637" i="118"/>
  <c r="AT366" i="118"/>
  <c r="AP366" i="118"/>
  <c r="AK366" i="118"/>
  <c r="AL366" i="118" s="1"/>
  <c r="Q366" i="118"/>
  <c r="BL366" i="118"/>
  <c r="BR366" i="118" s="1"/>
  <c r="AM366" i="118"/>
  <c r="AE366" i="118"/>
  <c r="AF366" i="118" s="1"/>
  <c r="AI366" i="118"/>
  <c r="AJ366" i="118" s="1"/>
  <c r="AH501" i="118"/>
  <c r="AX501" i="118"/>
  <c r="BG501" i="118" s="1"/>
  <c r="AD501" i="118"/>
  <c r="BP501" i="118"/>
  <c r="AW501" i="118"/>
  <c r="BF501" i="118" s="1"/>
  <c r="AQ501" i="118"/>
  <c r="BO501" i="118"/>
  <c r="Z501" i="118"/>
  <c r="O501" i="118"/>
  <c r="AE501" i="118" s="1"/>
  <c r="AF501" i="118" s="1"/>
  <c r="X100" i="118"/>
  <c r="Y236" i="118"/>
  <c r="AC236" i="118" s="1"/>
  <c r="AA236" i="118"/>
  <c r="AB236" i="118" s="1"/>
  <c r="BR637" i="118" l="1"/>
  <c r="AZ637" i="118"/>
  <c r="BI637" i="118" s="1"/>
  <c r="BC637" i="118"/>
  <c r="N638" i="118"/>
  <c r="P638" i="118"/>
  <c r="P367" i="118"/>
  <c r="N367" i="118"/>
  <c r="AZ366" i="118"/>
  <c r="BI366" i="118" s="1"/>
  <c r="BC366" i="118"/>
  <c r="Q501" i="118"/>
  <c r="BL501" i="118"/>
  <c r="BR501" i="118" s="1"/>
  <c r="AP501" i="118"/>
  <c r="AT501" i="118"/>
  <c r="AK501" i="118"/>
  <c r="AI501" i="118"/>
  <c r="AM501" i="118"/>
  <c r="Y100" i="118"/>
  <c r="AC100" i="118" s="1"/>
  <c r="AA100" i="118"/>
  <c r="AB100" i="118" s="1"/>
  <c r="AD236" i="118"/>
  <c r="AX236" i="118"/>
  <c r="BG236" i="118" s="1"/>
  <c r="BP236" i="118"/>
  <c r="O236" i="118"/>
  <c r="AH236" i="118"/>
  <c r="AQ236" i="118"/>
  <c r="AW236" i="118"/>
  <c r="BF236" i="118" s="1"/>
  <c r="BO236" i="118"/>
  <c r="Z236" i="118"/>
  <c r="X638" i="118" l="1"/>
  <c r="X367" i="118"/>
  <c r="AZ501" i="118"/>
  <c r="BI501" i="118" s="1"/>
  <c r="BC501" i="118"/>
  <c r="AJ501" i="118"/>
  <c r="AL501" i="118"/>
  <c r="N502" i="118"/>
  <c r="P502" i="118"/>
  <c r="AH100" i="118"/>
  <c r="AX100" i="118"/>
  <c r="BG100" i="118" s="1"/>
  <c r="AD100" i="118"/>
  <c r="BP100" i="118"/>
  <c r="O100" i="118"/>
  <c r="AE100" i="118" s="1"/>
  <c r="AF100" i="118" s="1"/>
  <c r="BO100" i="118"/>
  <c r="AW100" i="118"/>
  <c r="BF100" i="118" s="1"/>
  <c r="AQ100" i="118"/>
  <c r="Z100" i="118"/>
  <c r="BL236" i="118"/>
  <c r="BR236" i="118" s="1"/>
  <c r="AT236" i="118"/>
  <c r="AK236" i="118"/>
  <c r="AL236" i="118" s="1"/>
  <c r="AP236" i="118"/>
  <c r="Q236" i="118"/>
  <c r="AI236" i="118"/>
  <c r="AJ236" i="118" s="1"/>
  <c r="AM236" i="118"/>
  <c r="AE236" i="118"/>
  <c r="AF236" i="118" s="1"/>
  <c r="AA638" i="118" l="1"/>
  <c r="AB638" i="118" s="1"/>
  <c r="Y638" i="118"/>
  <c r="AC638" i="118" s="1"/>
  <c r="O638" i="118" s="1"/>
  <c r="Y367" i="118"/>
  <c r="AH367" i="118" s="1"/>
  <c r="AA367" i="118"/>
  <c r="AB367" i="118" s="1"/>
  <c r="X502" i="118"/>
  <c r="Q100" i="118"/>
  <c r="AT100" i="118"/>
  <c r="AK100" i="118"/>
  <c r="AP100" i="118"/>
  <c r="BL100" i="118"/>
  <c r="BR100" i="118" s="1"/>
  <c r="AM100" i="118"/>
  <c r="AI100" i="118"/>
  <c r="AZ236" i="118"/>
  <c r="BI236" i="118" s="1"/>
  <c r="BC236" i="118"/>
  <c r="P237" i="118"/>
  <c r="N237" i="118"/>
  <c r="BL638" i="118" l="1"/>
  <c r="AP638" i="118"/>
  <c r="Q638" i="118"/>
  <c r="AK638" i="118"/>
  <c r="AL638" i="118" s="1"/>
  <c r="AT638" i="118"/>
  <c r="AM638" i="118"/>
  <c r="AI638" i="118"/>
  <c r="AJ638" i="118" s="1"/>
  <c r="AX638" i="118"/>
  <c r="BG638" i="118" s="1"/>
  <c r="AD638" i="118"/>
  <c r="BP638" i="118"/>
  <c r="AH638" i="118"/>
  <c r="AW638" i="118"/>
  <c r="BF638" i="118" s="1"/>
  <c r="AQ638" i="118"/>
  <c r="BO638" i="118"/>
  <c r="AE638" i="118"/>
  <c r="AF638" i="118" s="1"/>
  <c r="Z638" i="118"/>
  <c r="AC367" i="118"/>
  <c r="AQ367" i="118"/>
  <c r="AW367" i="118"/>
  <c r="BF367" i="118" s="1"/>
  <c r="BO367" i="118"/>
  <c r="Z367" i="118"/>
  <c r="Y502" i="118"/>
  <c r="AC502" i="118" s="1"/>
  <c r="AA502" i="118"/>
  <c r="AB502" i="118" s="1"/>
  <c r="AZ100" i="118"/>
  <c r="BI100" i="118" s="1"/>
  <c r="BC100" i="118"/>
  <c r="AL100" i="118"/>
  <c r="P101" i="118"/>
  <c r="N101" i="118"/>
  <c r="AJ100" i="118"/>
  <c r="X237" i="118"/>
  <c r="N639" i="118" l="1"/>
  <c r="P639" i="118"/>
  <c r="AZ638" i="118"/>
  <c r="BI638" i="118" s="1"/>
  <c r="BC638" i="118"/>
  <c r="BR638" i="118"/>
  <c r="AD367" i="118"/>
  <c r="AX367" i="118"/>
  <c r="BG367" i="118" s="1"/>
  <c r="BP367" i="118"/>
  <c r="O367" i="118"/>
  <c r="AH502" i="118"/>
  <c r="AD502" i="118"/>
  <c r="BP502" i="118"/>
  <c r="AX502" i="118"/>
  <c r="BG502" i="118" s="1"/>
  <c r="O502" i="118"/>
  <c r="AM502" i="118" s="1"/>
  <c r="BO502" i="118"/>
  <c r="AW502" i="118"/>
  <c r="BF502" i="118" s="1"/>
  <c r="AQ502" i="118"/>
  <c r="Z502" i="118"/>
  <c r="X101" i="118"/>
  <c r="Y237" i="118"/>
  <c r="AC237" i="118" s="1"/>
  <c r="AA237" i="118"/>
  <c r="AB237" i="118" s="1"/>
  <c r="X639" i="118" l="1"/>
  <c r="AE367" i="118"/>
  <c r="AF367" i="118" s="1"/>
  <c r="Q367" i="118"/>
  <c r="BL367" i="118"/>
  <c r="BR367" i="118" s="1"/>
  <c r="AT367" i="118"/>
  <c r="AK367" i="118"/>
  <c r="AL367" i="118" s="1"/>
  <c r="AP367" i="118"/>
  <c r="AM367" i="118"/>
  <c r="AI367" i="118"/>
  <c r="AJ367" i="118" s="1"/>
  <c r="AE502" i="118"/>
  <c r="AF502" i="118" s="1"/>
  <c r="AP502" i="118"/>
  <c r="Q502" i="118"/>
  <c r="AT502" i="118"/>
  <c r="AK502" i="118"/>
  <c r="BL502" i="118"/>
  <c r="BR502" i="118" s="1"/>
  <c r="AI502" i="118"/>
  <c r="AA101" i="118"/>
  <c r="AB101" i="118" s="1"/>
  <c r="Y101" i="118"/>
  <c r="AH101" i="118" s="1"/>
  <c r="BP237" i="118"/>
  <c r="AD237" i="118"/>
  <c r="AX237" i="118"/>
  <c r="BG237" i="118" s="1"/>
  <c r="O237" i="118"/>
  <c r="AH237" i="118"/>
  <c r="AQ237" i="118"/>
  <c r="AW237" i="118"/>
  <c r="BF237" i="118" s="1"/>
  <c r="BO237" i="118"/>
  <c r="Z237" i="118"/>
  <c r="AA639" i="118" l="1"/>
  <c r="AB639" i="118" s="1"/>
  <c r="Y639" i="118"/>
  <c r="AC639" i="118" s="1"/>
  <c r="AZ367" i="118"/>
  <c r="BI367" i="118" s="1"/>
  <c r="BC367" i="118"/>
  <c r="N368" i="118"/>
  <c r="P368" i="118"/>
  <c r="AZ502" i="118"/>
  <c r="BI502" i="118" s="1"/>
  <c r="BC502" i="118"/>
  <c r="AL502" i="118"/>
  <c r="AJ502" i="118"/>
  <c r="N503" i="118"/>
  <c r="P503" i="118"/>
  <c r="AC101" i="118"/>
  <c r="BP101" i="118" s="1"/>
  <c r="BO101" i="118"/>
  <c r="AQ101" i="118"/>
  <c r="AW101" i="118"/>
  <c r="BF101" i="118" s="1"/>
  <c r="Z101" i="118"/>
  <c r="AT237" i="118"/>
  <c r="AP237" i="118"/>
  <c r="AK237" i="118"/>
  <c r="AL237" i="118" s="1"/>
  <c r="BL237" i="118"/>
  <c r="BR237" i="118" s="1"/>
  <c r="Q237" i="118"/>
  <c r="AM237" i="118"/>
  <c r="AI237" i="118"/>
  <c r="AJ237" i="118" s="1"/>
  <c r="AE237" i="118"/>
  <c r="AF237" i="118" s="1"/>
  <c r="AD639" i="118" l="1"/>
  <c r="AX639" i="118"/>
  <c r="BG639" i="118" s="1"/>
  <c r="BP639" i="118"/>
  <c r="O639" i="118"/>
  <c r="AM639" i="118" s="1"/>
  <c r="AH639" i="118"/>
  <c r="AW639" i="118"/>
  <c r="BF639" i="118" s="1"/>
  <c r="BO639" i="118"/>
  <c r="AQ639" i="118"/>
  <c r="Z639" i="118"/>
  <c r="X368" i="118"/>
  <c r="X503" i="118"/>
  <c r="O101" i="118"/>
  <c r="BL101" i="118" s="1"/>
  <c r="BR101" i="118" s="1"/>
  <c r="AX101" i="118"/>
  <c r="BG101" i="118" s="1"/>
  <c r="AD101" i="118"/>
  <c r="P238" i="118"/>
  <c r="N238" i="118"/>
  <c r="AZ237" i="118"/>
  <c r="BI237" i="118" s="1"/>
  <c r="BC237" i="118"/>
  <c r="AE639" i="118" l="1"/>
  <c r="AF639" i="118" s="1"/>
  <c r="Q639" i="118"/>
  <c r="AP639" i="118"/>
  <c r="AK639" i="118"/>
  <c r="AL639" i="118" s="1"/>
  <c r="BL639" i="118"/>
  <c r="BR639" i="118" s="1"/>
  <c r="AT639" i="118"/>
  <c r="AI639" i="118"/>
  <c r="AJ639" i="118" s="1"/>
  <c r="Y368" i="118"/>
  <c r="AH368" i="118" s="1"/>
  <c r="AA368" i="118"/>
  <c r="AB368" i="118" s="1"/>
  <c r="AT101" i="118"/>
  <c r="AZ101" i="118" s="1"/>
  <c r="BI101" i="118" s="1"/>
  <c r="AA503" i="118"/>
  <c r="AB503" i="118" s="1"/>
  <c r="Y503" i="118"/>
  <c r="AP101" i="118"/>
  <c r="AE101" i="118"/>
  <c r="AF101" i="118" s="1"/>
  <c r="AI101" i="118"/>
  <c r="AJ101" i="118" s="1"/>
  <c r="AK101" i="118"/>
  <c r="AL101" i="118" s="1"/>
  <c r="Q101" i="118"/>
  <c r="P102" i="118" s="1"/>
  <c r="AM101" i="118"/>
  <c r="X238" i="118"/>
  <c r="AZ639" i="118" l="1"/>
  <c r="BI639" i="118" s="1"/>
  <c r="BC639" i="118"/>
  <c r="N640" i="118"/>
  <c r="P640" i="118"/>
  <c r="AC368" i="118"/>
  <c r="AQ368" i="118"/>
  <c r="AW368" i="118"/>
  <c r="BF368" i="118" s="1"/>
  <c r="BO368" i="118"/>
  <c r="Z368" i="118"/>
  <c r="BC101" i="118"/>
  <c r="AW503" i="118"/>
  <c r="BF503" i="118" s="1"/>
  <c r="AQ503" i="118"/>
  <c r="BO503" i="118"/>
  <c r="Z503" i="118"/>
  <c r="AC503" i="118"/>
  <c r="AH503" i="118"/>
  <c r="N102" i="118"/>
  <c r="X102" i="118" s="1"/>
  <c r="Y238" i="118"/>
  <c r="AC238" i="118" s="1"/>
  <c r="AA238" i="118"/>
  <c r="AB238" i="118" s="1"/>
  <c r="X640" i="118" l="1"/>
  <c r="AX368" i="118"/>
  <c r="BG368" i="118" s="1"/>
  <c r="BP368" i="118"/>
  <c r="AD368" i="118"/>
  <c r="O368" i="118"/>
  <c r="AX503" i="118"/>
  <c r="BG503" i="118" s="1"/>
  <c r="AD503" i="118"/>
  <c r="BP503" i="118"/>
  <c r="O503" i="118"/>
  <c r="Y102" i="118"/>
  <c r="AC102" i="118" s="1"/>
  <c r="AA102" i="118"/>
  <c r="AB102" i="118" s="1"/>
  <c r="AX238" i="118"/>
  <c r="BG238" i="118" s="1"/>
  <c r="BP238" i="118"/>
  <c r="AD238" i="118"/>
  <c r="O238" i="118"/>
  <c r="AE238" i="118" s="1"/>
  <c r="AF238" i="118" s="1"/>
  <c r="AH238" i="118"/>
  <c r="AW238" i="118"/>
  <c r="BF238" i="118" s="1"/>
  <c r="BO238" i="118"/>
  <c r="AQ238" i="118"/>
  <c r="Z238" i="118"/>
  <c r="AA640" i="118" l="1"/>
  <c r="AB640" i="118" s="1"/>
  <c r="Y640" i="118"/>
  <c r="AC640" i="118" s="1"/>
  <c r="AE368" i="118"/>
  <c r="AF368" i="118" s="1"/>
  <c r="AP368" i="118"/>
  <c r="BL368" i="118"/>
  <c r="BR368" i="118" s="1"/>
  <c r="AT368" i="118"/>
  <c r="Q368" i="118"/>
  <c r="AK368" i="118"/>
  <c r="AL368" i="118" s="1"/>
  <c r="AI368" i="118"/>
  <c r="AJ368" i="118" s="1"/>
  <c r="AM368" i="118"/>
  <c r="Q503" i="118"/>
  <c r="AP503" i="118"/>
  <c r="BL503" i="118"/>
  <c r="BR503" i="118" s="1"/>
  <c r="AK503" i="118"/>
  <c r="AT503" i="118"/>
  <c r="AI503" i="118"/>
  <c r="AE503" i="118"/>
  <c r="AF503" i="118" s="1"/>
  <c r="AM503" i="118"/>
  <c r="AH102" i="118"/>
  <c r="AD102" i="118"/>
  <c r="BP102" i="118"/>
  <c r="AX102" i="118"/>
  <c r="BG102" i="118" s="1"/>
  <c r="O102" i="118"/>
  <c r="BO102" i="118"/>
  <c r="AW102" i="118"/>
  <c r="BF102" i="118" s="1"/>
  <c r="AQ102" i="118"/>
  <c r="Z102" i="118"/>
  <c r="Q238" i="118"/>
  <c r="AT238" i="118"/>
  <c r="AK238" i="118"/>
  <c r="AL238" i="118" s="1"/>
  <c r="BL238" i="118"/>
  <c r="BR238" i="118" s="1"/>
  <c r="AP238" i="118"/>
  <c r="AM238" i="118"/>
  <c r="AI238" i="118"/>
  <c r="AJ238" i="118" s="1"/>
  <c r="O640" i="118" l="1"/>
  <c r="AM640" i="118" s="1"/>
  <c r="BP640" i="118"/>
  <c r="AD640" i="118"/>
  <c r="AX640" i="118"/>
  <c r="BG640" i="118" s="1"/>
  <c r="AH640" i="118"/>
  <c r="AW640" i="118"/>
  <c r="BF640" i="118" s="1"/>
  <c r="AQ640" i="118"/>
  <c r="BO640" i="118"/>
  <c r="Z640" i="118"/>
  <c r="AZ368" i="118"/>
  <c r="BI368" i="118" s="1"/>
  <c r="BC368" i="118"/>
  <c r="P369" i="118"/>
  <c r="N369" i="118"/>
  <c r="AZ503" i="118"/>
  <c r="BI503" i="118" s="1"/>
  <c r="BC503" i="118"/>
  <c r="AJ503" i="118"/>
  <c r="N504" i="118"/>
  <c r="P504" i="118"/>
  <c r="AL503" i="118"/>
  <c r="AP102" i="118"/>
  <c r="Q102" i="118"/>
  <c r="BL102" i="118"/>
  <c r="BR102" i="118" s="1"/>
  <c r="AT102" i="118"/>
  <c r="AK102" i="118"/>
  <c r="AL102" i="118" s="1"/>
  <c r="AM102" i="118"/>
  <c r="AE102" i="118"/>
  <c r="AF102" i="118" s="1"/>
  <c r="AI102" i="118"/>
  <c r="AJ102" i="118" s="1"/>
  <c r="AZ238" i="118"/>
  <c r="BI238" i="118" s="1"/>
  <c r="BC238" i="118"/>
  <c r="P239" i="118"/>
  <c r="N239" i="118"/>
  <c r="AE640" i="118" l="1"/>
  <c r="AF640" i="118" s="1"/>
  <c r="AI640" i="118"/>
  <c r="AP640" i="118"/>
  <c r="AT640" i="118"/>
  <c r="BL640" i="118"/>
  <c r="BR640" i="118" s="1"/>
  <c r="Q640" i="118"/>
  <c r="AK640" i="118"/>
  <c r="X369" i="118"/>
  <c r="X504" i="118"/>
  <c r="P103" i="118"/>
  <c r="N103" i="118"/>
  <c r="AZ102" i="118"/>
  <c r="BI102" i="118" s="1"/>
  <c r="BC102" i="118"/>
  <c r="X239" i="118"/>
  <c r="AL640" i="118" l="1"/>
  <c r="P641" i="118"/>
  <c r="N641" i="118"/>
  <c r="AJ640" i="118"/>
  <c r="BC640" i="118"/>
  <c r="AZ640" i="118"/>
  <c r="BI640" i="118" s="1"/>
  <c r="Y369" i="118"/>
  <c r="AC369" i="118" s="1"/>
  <c r="O369" i="118" s="1"/>
  <c r="AA369" i="118"/>
  <c r="AB369" i="118" s="1"/>
  <c r="Y504" i="118"/>
  <c r="AC504" i="118" s="1"/>
  <c r="AA504" i="118"/>
  <c r="AB504" i="118" s="1"/>
  <c r="X103" i="118"/>
  <c r="Y239" i="118"/>
  <c r="AC239" i="118" s="1"/>
  <c r="AA239" i="118"/>
  <c r="AB239" i="118" s="1"/>
  <c r="X641" i="118" l="1"/>
  <c r="AE369" i="118"/>
  <c r="AF369" i="118" s="1"/>
  <c r="AK369" i="118"/>
  <c r="AL369" i="118" s="1"/>
  <c r="Q369" i="118"/>
  <c r="AT369" i="118"/>
  <c r="BL369" i="118"/>
  <c r="AP369" i="118"/>
  <c r="BP369" i="118"/>
  <c r="AD369" i="118"/>
  <c r="AX369" i="118"/>
  <c r="BG369" i="118" s="1"/>
  <c r="AI369" i="118"/>
  <c r="AJ369" i="118" s="1"/>
  <c r="AM369" i="118"/>
  <c r="AH369" i="118"/>
  <c r="AW369" i="118"/>
  <c r="BF369" i="118" s="1"/>
  <c r="BO369" i="118"/>
  <c r="AQ369" i="118"/>
  <c r="Z369" i="118"/>
  <c r="AH504" i="118"/>
  <c r="AD504" i="118"/>
  <c r="AX504" i="118"/>
  <c r="BG504" i="118" s="1"/>
  <c r="BP504" i="118"/>
  <c r="O504" i="118"/>
  <c r="AE504" i="118" s="1"/>
  <c r="AF504" i="118" s="1"/>
  <c r="BO504" i="118"/>
  <c r="AW504" i="118"/>
  <c r="BF504" i="118" s="1"/>
  <c r="AQ504" i="118"/>
  <c r="Z504" i="118"/>
  <c r="AA103" i="118"/>
  <c r="AB103" i="118" s="1"/>
  <c r="Y103" i="118"/>
  <c r="AC103" i="118" s="1"/>
  <c r="AD239" i="118"/>
  <c r="AX239" i="118"/>
  <c r="BG239" i="118" s="1"/>
  <c r="BP239" i="118"/>
  <c r="O239" i="118"/>
  <c r="AH239" i="118"/>
  <c r="BO239" i="118"/>
  <c r="AQ239" i="118"/>
  <c r="AW239" i="118"/>
  <c r="BF239" i="118" s="1"/>
  <c r="Z239" i="118"/>
  <c r="AA641" i="118" l="1"/>
  <c r="AB641" i="118" s="1"/>
  <c r="Y641" i="118"/>
  <c r="AC641" i="118" s="1"/>
  <c r="O641" i="118" s="1"/>
  <c r="AZ369" i="118"/>
  <c r="BI369" i="118" s="1"/>
  <c r="BC369" i="118"/>
  <c r="P370" i="118"/>
  <c r="N370" i="118"/>
  <c r="BR369" i="118"/>
  <c r="Q504" i="118"/>
  <c r="AT504" i="118"/>
  <c r="BL504" i="118"/>
  <c r="BR504" i="118" s="1"/>
  <c r="AK504" i="118"/>
  <c r="AL504" i="118" s="1"/>
  <c r="AP504" i="118"/>
  <c r="AM504" i="118"/>
  <c r="AI504" i="118"/>
  <c r="AJ504" i="118" s="1"/>
  <c r="AH103" i="118"/>
  <c r="AX103" i="118"/>
  <c r="BG103" i="118" s="1"/>
  <c r="AD103" i="118"/>
  <c r="BP103" i="118"/>
  <c r="O103" i="118"/>
  <c r="AE103" i="118" s="1"/>
  <c r="AF103" i="118" s="1"/>
  <c r="BO103" i="118"/>
  <c r="AW103" i="118"/>
  <c r="BF103" i="118" s="1"/>
  <c r="AQ103" i="118"/>
  <c r="Z103" i="118"/>
  <c r="Q239" i="118"/>
  <c r="AK239" i="118"/>
  <c r="AL239" i="118" s="1"/>
  <c r="BL239" i="118"/>
  <c r="BR239" i="118" s="1"/>
  <c r="AP239" i="118"/>
  <c r="AT239" i="118"/>
  <c r="AI239" i="118"/>
  <c r="AJ239" i="118" s="1"/>
  <c r="AM239" i="118"/>
  <c r="AE239" i="118"/>
  <c r="AF239" i="118" s="1"/>
  <c r="Q641" i="118" l="1"/>
  <c r="AT641" i="118"/>
  <c r="AK641" i="118"/>
  <c r="AP641" i="118"/>
  <c r="BL641" i="118"/>
  <c r="AM641" i="118"/>
  <c r="AI641" i="118"/>
  <c r="AX641" i="118"/>
  <c r="BG641" i="118" s="1"/>
  <c r="AD641" i="118"/>
  <c r="BP641" i="118"/>
  <c r="AH641" i="118"/>
  <c r="BO641" i="118"/>
  <c r="AW641" i="118"/>
  <c r="BF641" i="118" s="1"/>
  <c r="AQ641" i="118"/>
  <c r="AE641" i="118"/>
  <c r="AF641" i="118" s="1"/>
  <c r="Z641" i="118"/>
  <c r="X370" i="118"/>
  <c r="AZ504" i="118"/>
  <c r="BI504" i="118" s="1"/>
  <c r="BC504" i="118"/>
  <c r="P505" i="118"/>
  <c r="N505" i="118"/>
  <c r="Q103" i="118"/>
  <c r="AK103" i="118"/>
  <c r="AL103" i="118" s="1"/>
  <c r="AT103" i="118"/>
  <c r="BL103" i="118"/>
  <c r="BR103" i="118" s="1"/>
  <c r="AP103" i="118"/>
  <c r="AM103" i="118"/>
  <c r="AI103" i="118"/>
  <c r="AJ103" i="118" s="1"/>
  <c r="AZ239" i="118"/>
  <c r="BI239" i="118" s="1"/>
  <c r="BC239" i="118"/>
  <c r="P240" i="118"/>
  <c r="N240" i="118"/>
  <c r="AJ641" i="118" l="1"/>
  <c r="AL641" i="118"/>
  <c r="AZ641" i="118"/>
  <c r="BI641" i="118" s="1"/>
  <c r="BC641" i="118"/>
  <c r="BR641" i="118"/>
  <c r="P642" i="118"/>
  <c r="N642" i="118"/>
  <c r="AA370" i="118"/>
  <c r="AB370" i="118" s="1"/>
  <c r="Y370" i="118"/>
  <c r="AC370" i="118" s="1"/>
  <c r="X505" i="118"/>
  <c r="AZ103" i="118"/>
  <c r="BI103" i="118" s="1"/>
  <c r="BC103" i="118"/>
  <c r="N104" i="118"/>
  <c r="P104" i="118"/>
  <c r="X240" i="118"/>
  <c r="X642" i="118" l="1"/>
  <c r="AX370" i="118"/>
  <c r="BG370" i="118" s="1"/>
  <c r="AD370" i="118"/>
  <c r="BP370" i="118"/>
  <c r="O370" i="118"/>
  <c r="AE370" i="118" s="1"/>
  <c r="AF370" i="118" s="1"/>
  <c r="AH370" i="118"/>
  <c r="AQ370" i="118"/>
  <c r="AW370" i="118"/>
  <c r="BF370" i="118" s="1"/>
  <c r="BO370" i="118"/>
  <c r="Z370" i="118"/>
  <c r="Y505" i="118"/>
  <c r="AC505" i="118" s="1"/>
  <c r="AA505" i="118"/>
  <c r="AB505" i="118" s="1"/>
  <c r="X104" i="118"/>
  <c r="AA240" i="118"/>
  <c r="AB240" i="118" s="1"/>
  <c r="Y240" i="118"/>
  <c r="AH240" i="118" s="1"/>
  <c r="AA642" i="118" l="1"/>
  <c r="AB642" i="118" s="1"/>
  <c r="Y642" i="118"/>
  <c r="AC642" i="118" s="1"/>
  <c r="O642" i="118" s="1"/>
  <c r="AM370" i="118"/>
  <c r="AI370" i="118"/>
  <c r="AJ370" i="118" s="1"/>
  <c r="Q370" i="118"/>
  <c r="AT370" i="118"/>
  <c r="AK370" i="118"/>
  <c r="AL370" i="118" s="1"/>
  <c r="BL370" i="118"/>
  <c r="BR370" i="118" s="1"/>
  <c r="AP370" i="118"/>
  <c r="O505" i="118"/>
  <c r="AE505" i="118" s="1"/>
  <c r="AF505" i="118" s="1"/>
  <c r="AX505" i="118"/>
  <c r="BG505" i="118" s="1"/>
  <c r="BP505" i="118"/>
  <c r="AD505" i="118"/>
  <c r="AH505" i="118"/>
  <c r="AQ505" i="118"/>
  <c r="BO505" i="118"/>
  <c r="AW505" i="118"/>
  <c r="BF505" i="118" s="1"/>
  <c r="Z505" i="118"/>
  <c r="AC240" i="118"/>
  <c r="AX240" i="118" s="1"/>
  <c r="BG240" i="118" s="1"/>
  <c r="AA104" i="118"/>
  <c r="AB104" i="118" s="1"/>
  <c r="Y104" i="118"/>
  <c r="AC104" i="118" s="1"/>
  <c r="O104" i="118" s="1"/>
  <c r="BO240" i="118"/>
  <c r="AQ240" i="118"/>
  <c r="AW240" i="118"/>
  <c r="BF240" i="118" s="1"/>
  <c r="Z240" i="118"/>
  <c r="Y241" i="118" s="1"/>
  <c r="Q642" i="118" l="1"/>
  <c r="AT642" i="118"/>
  <c r="AP642" i="118"/>
  <c r="BL642" i="118"/>
  <c r="AK642" i="118"/>
  <c r="AM642" i="118"/>
  <c r="AI642" i="118"/>
  <c r="AX642" i="118"/>
  <c r="BG642" i="118" s="1"/>
  <c r="BP642" i="118"/>
  <c r="AD642" i="118"/>
  <c r="AH642" i="118"/>
  <c r="AW642" i="118"/>
  <c r="BF642" i="118" s="1"/>
  <c r="AQ642" i="118"/>
  <c r="BO642" i="118"/>
  <c r="AE642" i="118"/>
  <c r="AF642" i="118" s="1"/>
  <c r="Z642" i="118"/>
  <c r="AI505" i="118"/>
  <c r="AJ505" i="118" s="1"/>
  <c r="AZ370" i="118"/>
  <c r="BI370" i="118" s="1"/>
  <c r="BC370" i="118"/>
  <c r="N371" i="118"/>
  <c r="P371" i="118"/>
  <c r="AM505" i="118"/>
  <c r="AK505" i="118"/>
  <c r="AL505" i="118" s="1"/>
  <c r="AP505" i="118"/>
  <c r="AT505" i="118"/>
  <c r="BL505" i="118"/>
  <c r="BR505" i="118" s="1"/>
  <c r="Q505" i="118"/>
  <c r="O240" i="118"/>
  <c r="AI240" i="118" s="1"/>
  <c r="AJ240" i="118" s="1"/>
  <c r="AD240" i="118"/>
  <c r="BP240" i="118"/>
  <c r="AH104" i="118"/>
  <c r="Q104" i="118"/>
  <c r="AK104" i="118"/>
  <c r="AL104" i="118" s="1"/>
  <c r="AP104" i="118"/>
  <c r="AT104" i="118"/>
  <c r="BL104" i="118"/>
  <c r="AI104" i="118"/>
  <c r="AJ104" i="118" s="1"/>
  <c r="AM104" i="118"/>
  <c r="AW104" i="118"/>
  <c r="BF104" i="118" s="1"/>
  <c r="AQ104" i="118"/>
  <c r="BO104" i="118"/>
  <c r="AE104" i="118"/>
  <c r="AF104" i="118" s="1"/>
  <c r="Z104" i="118"/>
  <c r="AX104" i="118"/>
  <c r="BG104" i="118" s="1"/>
  <c r="AD104" i="118"/>
  <c r="BP104" i="118"/>
  <c r="Z241" i="118"/>
  <c r="BO241" i="118"/>
  <c r="AQ241" i="118"/>
  <c r="AQ187" i="118" s="1"/>
  <c r="L11" i="118" s="1"/>
  <c r="AW241" i="118"/>
  <c r="BF241" i="118" s="1"/>
  <c r="AD185" i="118"/>
  <c r="L15" i="118" s="1"/>
  <c r="BR642" i="118" l="1"/>
  <c r="AJ642" i="118"/>
  <c r="AZ642" i="118"/>
  <c r="BI642" i="118" s="1"/>
  <c r="BC642" i="118"/>
  <c r="AL642" i="118"/>
  <c r="N643" i="118"/>
  <c r="P643" i="118"/>
  <c r="X371" i="118"/>
  <c r="AK240" i="118"/>
  <c r="AL240" i="118" s="1"/>
  <c r="Q240" i="118"/>
  <c r="N241" i="118" s="1"/>
  <c r="BL240" i="118"/>
  <c r="BR240" i="118" s="1"/>
  <c r="AP240" i="118"/>
  <c r="AE240" i="118"/>
  <c r="AF240" i="118" s="1"/>
  <c r="AM240" i="118"/>
  <c r="AT240" i="118"/>
  <c r="BC240" i="118" s="1"/>
  <c r="BC505" i="118"/>
  <c r="AZ505" i="118"/>
  <c r="BI505" i="118" s="1"/>
  <c r="P506" i="118"/>
  <c r="N506" i="118"/>
  <c r="AZ104" i="118"/>
  <c r="BI104" i="118" s="1"/>
  <c r="BC104" i="118"/>
  <c r="BR104" i="118"/>
  <c r="N105" i="118"/>
  <c r="P105" i="118"/>
  <c r="X643" i="118" l="1"/>
  <c r="P241" i="118"/>
  <c r="X241" i="118" s="1"/>
  <c r="AC241" i="118" s="1"/>
  <c r="AA371" i="118"/>
  <c r="AB371" i="118" s="1"/>
  <c r="Y371" i="118"/>
  <c r="AH371" i="118" s="1"/>
  <c r="AZ240" i="118"/>
  <c r="BI240" i="118" s="1"/>
  <c r="X506" i="118"/>
  <c r="X105" i="118"/>
  <c r="N188" i="118"/>
  <c r="BP241" i="118" l="1"/>
  <c r="AX241" i="118"/>
  <c r="BG241" i="118" s="1"/>
  <c r="AC188" i="118"/>
  <c r="AD241" i="118"/>
  <c r="Y643" i="118"/>
  <c r="AA643" i="118"/>
  <c r="AB643" i="118" s="1"/>
  <c r="AC371" i="118"/>
  <c r="AW371" i="118"/>
  <c r="BF371" i="118" s="1"/>
  <c r="BO371" i="118"/>
  <c r="AQ371" i="118"/>
  <c r="Z371" i="118"/>
  <c r="Y506" i="118"/>
  <c r="AH506" i="118" s="1"/>
  <c r="AA506" i="118"/>
  <c r="AB506" i="118" s="1"/>
  <c r="AA105" i="118"/>
  <c r="AB105" i="118" s="1"/>
  <c r="Y105" i="118"/>
  <c r="AH105" i="118" s="1"/>
  <c r="AA241" i="118"/>
  <c r="AB241" i="118" s="1"/>
  <c r="AH241" i="118"/>
  <c r="O241" i="118"/>
  <c r="AE241" i="118" l="1"/>
  <c r="AF241" i="118" s="1"/>
  <c r="C179" i="118" s="1"/>
  <c r="Q241" i="118"/>
  <c r="AC643" i="118"/>
  <c r="AH643" i="118"/>
  <c r="BO643" i="118"/>
  <c r="AQ643" i="118"/>
  <c r="AW643" i="118"/>
  <c r="BF643" i="118" s="1"/>
  <c r="Z643" i="118"/>
  <c r="Y644" i="118" s="1"/>
  <c r="AD588" i="118" s="1"/>
  <c r="R15" i="118" s="1"/>
  <c r="BP371" i="118"/>
  <c r="AX371" i="118"/>
  <c r="BG371" i="118" s="1"/>
  <c r="AD371" i="118"/>
  <c r="O371" i="118"/>
  <c r="AC506" i="118"/>
  <c r="AQ506" i="118"/>
  <c r="AW506" i="118"/>
  <c r="BF506" i="118" s="1"/>
  <c r="BO506" i="118"/>
  <c r="Z506" i="118"/>
  <c r="AC105" i="118"/>
  <c r="BP105" i="118" s="1"/>
  <c r="BO105" i="118"/>
  <c r="AQ105" i="118"/>
  <c r="AW105" i="118"/>
  <c r="BF105" i="118" s="1"/>
  <c r="Z105" i="118"/>
  <c r="O188" i="118"/>
  <c r="AK241" i="118"/>
  <c r="BL241" i="118"/>
  <c r="BR241" i="118" s="1"/>
  <c r="AT241" i="118"/>
  <c r="AP241" i="118"/>
  <c r="AP187" i="118" s="1"/>
  <c r="L10" i="118" s="1"/>
  <c r="L13" i="118" s="1"/>
  <c r="AI241" i="118"/>
  <c r="AM241" i="118"/>
  <c r="AD184" i="118" s="1"/>
  <c r="Z644" i="118" l="1"/>
  <c r="BO644" i="118"/>
  <c r="AW644" i="118"/>
  <c r="BF644" i="118" s="1"/>
  <c r="AQ644" i="118"/>
  <c r="AQ590" i="118" s="1"/>
  <c r="R11" i="118" s="1"/>
  <c r="AX643" i="118"/>
  <c r="BG643" i="118" s="1"/>
  <c r="AD643" i="118"/>
  <c r="BP643" i="118"/>
  <c r="O643" i="118"/>
  <c r="AE371" i="118"/>
  <c r="AF371" i="118" s="1"/>
  <c r="AT371" i="118"/>
  <c r="AK371" i="118"/>
  <c r="AP371" i="118"/>
  <c r="BL371" i="118"/>
  <c r="BR371" i="118" s="1"/>
  <c r="Q371" i="118"/>
  <c r="AI371" i="118"/>
  <c r="AM371" i="118"/>
  <c r="O506" i="118"/>
  <c r="BP506" i="118"/>
  <c r="AD506" i="118"/>
  <c r="AX506" i="118"/>
  <c r="BG506" i="118" s="1"/>
  <c r="O105" i="118"/>
  <c r="AK105" i="118" s="1"/>
  <c r="AL105" i="118" s="1"/>
  <c r="AD105" i="118"/>
  <c r="AX105" i="118"/>
  <c r="BG105" i="118" s="1"/>
  <c r="AZ241" i="118"/>
  <c r="BI241" i="118" s="1"/>
  <c r="BC241" i="118"/>
  <c r="AJ241" i="118"/>
  <c r="AI188" i="118"/>
  <c r="AL241" i="118"/>
  <c r="AL188" i="118" s="1"/>
  <c r="C181" i="118" s="1"/>
  <c r="L18" i="118" s="1"/>
  <c r="AK188" i="118"/>
  <c r="L5" i="118" s="1"/>
  <c r="Q643" i="118" l="1"/>
  <c r="AT643" i="118"/>
  <c r="BL643" i="118"/>
  <c r="BR643" i="118" s="1"/>
  <c r="AK643" i="118"/>
  <c r="AP643" i="118"/>
  <c r="AI643" i="118"/>
  <c r="AM643" i="118"/>
  <c r="AE643" i="118"/>
  <c r="AF643" i="118" s="1"/>
  <c r="AJ371" i="118"/>
  <c r="AL371" i="118"/>
  <c r="P372" i="118"/>
  <c r="N372" i="118"/>
  <c r="AZ371" i="118"/>
  <c r="BI371" i="118" s="1"/>
  <c r="BC371" i="118"/>
  <c r="Q105" i="118"/>
  <c r="N106" i="118" s="1"/>
  <c r="AM506" i="118"/>
  <c r="AP506" i="118"/>
  <c r="AK506" i="118"/>
  <c r="AL506" i="118" s="1"/>
  <c r="Q506" i="118"/>
  <c r="BL506" i="118"/>
  <c r="BR506" i="118" s="1"/>
  <c r="AT506" i="118"/>
  <c r="AE506" i="118"/>
  <c r="AF506" i="118" s="1"/>
  <c r="AI506" i="118"/>
  <c r="AJ506" i="118" s="1"/>
  <c r="AE105" i="118"/>
  <c r="AF105" i="118" s="1"/>
  <c r="AP105" i="118"/>
  <c r="AI105" i="118"/>
  <c r="AJ105" i="118" s="1"/>
  <c r="BL105" i="118"/>
  <c r="BR105" i="118" s="1"/>
  <c r="AT105" i="118"/>
  <c r="AZ105" i="118" s="1"/>
  <c r="BI105" i="118" s="1"/>
  <c r="AM105" i="118"/>
  <c r="L6" i="118"/>
  <c r="Y9" i="118"/>
  <c r="L14" i="29" s="1"/>
  <c r="D14" i="29" s="1"/>
  <c r="C176" i="118"/>
  <c r="AJ188" i="118"/>
  <c r="P106" i="118" l="1"/>
  <c r="X106" i="118" s="1"/>
  <c r="AL643" i="118"/>
  <c r="AJ643" i="118"/>
  <c r="AZ643" i="118"/>
  <c r="BI643" i="118" s="1"/>
  <c r="BC643" i="118"/>
  <c r="N644" i="118"/>
  <c r="P644" i="118"/>
  <c r="X372" i="118"/>
  <c r="N507" i="118"/>
  <c r="P507" i="118"/>
  <c r="AZ506" i="118"/>
  <c r="BI506" i="118" s="1"/>
  <c r="BC506" i="118"/>
  <c r="BC105" i="118"/>
  <c r="X644" i="118" l="1"/>
  <c r="AC644" i="118" s="1"/>
  <c r="N591" i="118"/>
  <c r="AA372" i="118"/>
  <c r="AB372" i="118" s="1"/>
  <c r="Y372" i="118"/>
  <c r="AH372" i="118" s="1"/>
  <c r="X507" i="118"/>
  <c r="Y106" i="118"/>
  <c r="AA106" i="118"/>
  <c r="AB106" i="118" s="1"/>
  <c r="AC591" i="118" l="1"/>
  <c r="BP644" i="118"/>
  <c r="AX644" i="118"/>
  <c r="BG644" i="118" s="1"/>
  <c r="AD644" i="118"/>
  <c r="O644" i="118"/>
  <c r="AA644" i="118"/>
  <c r="AB644" i="118" s="1"/>
  <c r="AH644" i="118"/>
  <c r="AC372" i="118"/>
  <c r="AW372" i="118"/>
  <c r="BF372" i="118" s="1"/>
  <c r="AQ372" i="118"/>
  <c r="BO372" i="118"/>
  <c r="Z372" i="118"/>
  <c r="AA507" i="118"/>
  <c r="AB507" i="118" s="1"/>
  <c r="Y507" i="118"/>
  <c r="AC106" i="118"/>
  <c r="AW106" i="118"/>
  <c r="BF106" i="118" s="1"/>
  <c r="AQ106" i="118"/>
  <c r="BO106" i="118"/>
  <c r="Z106" i="118"/>
  <c r="Y107" i="118" s="1"/>
  <c r="AH106" i="118"/>
  <c r="AI644" i="118" l="1"/>
  <c r="AJ644" i="118" s="1"/>
  <c r="Q644" i="118"/>
  <c r="AE644" i="118"/>
  <c r="AF644" i="118" s="1"/>
  <c r="C582" i="118" s="1"/>
  <c r="AM644" i="118"/>
  <c r="AD587" i="118" s="1"/>
  <c r="O591" i="118"/>
  <c r="AT644" i="118"/>
  <c r="AP644" i="118"/>
  <c r="AP590" i="118" s="1"/>
  <c r="R10" i="118" s="1"/>
  <c r="R13" i="118" s="1"/>
  <c r="BL644" i="118"/>
  <c r="BR644" i="118" s="1"/>
  <c r="AK644" i="118"/>
  <c r="BP372" i="118"/>
  <c r="AX372" i="118"/>
  <c r="BG372" i="118" s="1"/>
  <c r="AD372" i="118"/>
  <c r="O372" i="118"/>
  <c r="AH507" i="118"/>
  <c r="BO507" i="118"/>
  <c r="AW507" i="118"/>
  <c r="BF507" i="118" s="1"/>
  <c r="AQ507" i="118"/>
  <c r="Z507" i="118"/>
  <c r="AC507" i="118"/>
  <c r="Z107" i="118"/>
  <c r="AQ107" i="118"/>
  <c r="AQ53" i="118" s="1"/>
  <c r="J11" i="118" s="1"/>
  <c r="BO107" i="118"/>
  <c r="AW107" i="118"/>
  <c r="BF107" i="118" s="1"/>
  <c r="AD51" i="118"/>
  <c r="J15" i="118" s="1"/>
  <c r="AD106" i="118"/>
  <c r="BP106" i="118"/>
  <c r="AX106" i="118"/>
  <c r="BG106" i="118" s="1"/>
  <c r="O106" i="118"/>
  <c r="AE106" i="118" s="1"/>
  <c r="AF106" i="118" s="1"/>
  <c r="AI591" i="118" l="1"/>
  <c r="AL644" i="118"/>
  <c r="AL591" i="118" s="1"/>
  <c r="C584" i="118" s="1"/>
  <c r="R18" i="118" s="1"/>
  <c r="AK591" i="118"/>
  <c r="R5" i="118" s="1"/>
  <c r="AZ644" i="118"/>
  <c r="BI644" i="118" s="1"/>
  <c r="BC644" i="118"/>
  <c r="C579" i="118"/>
  <c r="AJ591" i="118"/>
  <c r="Q372" i="118"/>
  <c r="AT372" i="118"/>
  <c r="BL372" i="118"/>
  <c r="BR372" i="118" s="1"/>
  <c r="AK372" i="118"/>
  <c r="AP372" i="118"/>
  <c r="AM372" i="118"/>
  <c r="AE372" i="118"/>
  <c r="AF372" i="118" s="1"/>
  <c r="AI372" i="118"/>
  <c r="O507" i="118"/>
  <c r="AE507" i="118" s="1"/>
  <c r="AF507" i="118" s="1"/>
  <c r="AD507" i="118"/>
  <c r="BP507" i="118"/>
  <c r="AX507" i="118"/>
  <c r="BG507" i="118" s="1"/>
  <c r="AP106" i="118"/>
  <c r="BL106" i="118"/>
  <c r="BR106" i="118" s="1"/>
  <c r="Q106" i="118"/>
  <c r="AK106" i="118"/>
  <c r="AL106" i="118" s="1"/>
  <c r="AT106" i="118"/>
  <c r="AI106" i="118"/>
  <c r="AJ106" i="118" s="1"/>
  <c r="AM106" i="118"/>
  <c r="R6" i="118" l="1"/>
  <c r="AB9" i="118"/>
  <c r="O14" i="29" s="1"/>
  <c r="G14" i="29" s="1"/>
  <c r="AZ372" i="118"/>
  <c r="BI372" i="118" s="1"/>
  <c r="BC372" i="118"/>
  <c r="P373" i="118"/>
  <c r="N373" i="118"/>
  <c r="AJ372" i="118"/>
  <c r="AL372" i="118"/>
  <c r="AT507" i="118"/>
  <c r="Q507" i="118"/>
  <c r="BL507" i="118"/>
  <c r="BR507" i="118" s="1"/>
  <c r="AK507" i="118"/>
  <c r="AL507" i="118" s="1"/>
  <c r="AP507" i="118"/>
  <c r="AI507" i="118"/>
  <c r="AJ507" i="118" s="1"/>
  <c r="AM507" i="118"/>
  <c r="P107" i="118"/>
  <c r="N107" i="118"/>
  <c r="AZ106" i="118"/>
  <c r="BI106" i="118" s="1"/>
  <c r="BC106" i="118"/>
  <c r="X373" i="118" l="1"/>
  <c r="P508" i="118"/>
  <c r="N508" i="118"/>
  <c r="AZ507" i="118"/>
  <c r="BI507" i="118" s="1"/>
  <c r="BC507" i="118"/>
  <c r="X107" i="118"/>
  <c r="AC107" i="118" s="1"/>
  <c r="N54" i="118"/>
  <c r="AX107" i="118" l="1"/>
  <c r="BG107" i="118" s="1"/>
  <c r="AD107" i="118"/>
  <c r="BP107" i="118"/>
  <c r="AC54" i="118"/>
  <c r="AA373" i="118"/>
  <c r="AB373" i="118" s="1"/>
  <c r="Y373" i="118"/>
  <c r="AH373" i="118" s="1"/>
  <c r="X508" i="118"/>
  <c r="AH107" i="118"/>
  <c r="AA107" i="118"/>
  <c r="AB107" i="118" s="1"/>
  <c r="O107" i="118"/>
  <c r="AE107" i="118" s="1"/>
  <c r="AF107" i="118" s="1"/>
  <c r="C45" i="118" s="1"/>
  <c r="AI107" i="118" l="1"/>
  <c r="AJ107" i="118" s="1"/>
  <c r="Q107" i="118"/>
  <c r="AC373" i="118"/>
  <c r="AW373" i="118"/>
  <c r="BF373" i="118" s="1"/>
  <c r="BO373" i="118"/>
  <c r="AQ373" i="118"/>
  <c r="Z373" i="118"/>
  <c r="AA508" i="118"/>
  <c r="AB508" i="118" s="1"/>
  <c r="Y508" i="118"/>
  <c r="AM107" i="118"/>
  <c r="AD50" i="118" s="1"/>
  <c r="O54" i="118"/>
  <c r="BL107" i="118"/>
  <c r="BR107" i="118" s="1"/>
  <c r="AT107" i="118"/>
  <c r="AK107" i="118"/>
  <c r="AP107" i="118"/>
  <c r="AP53" i="118" s="1"/>
  <c r="J10" i="118" s="1"/>
  <c r="J13" i="118" s="1"/>
  <c r="AI54" i="118" l="1"/>
  <c r="AX373" i="118"/>
  <c r="BG373" i="118" s="1"/>
  <c r="AD373" i="118"/>
  <c r="BP373" i="118"/>
  <c r="O373" i="118"/>
  <c r="AC508" i="118"/>
  <c r="AQ508" i="118"/>
  <c r="BO508" i="118"/>
  <c r="AW508" i="118"/>
  <c r="BF508" i="118" s="1"/>
  <c r="Z508" i="118"/>
  <c r="Y509" i="118" s="1"/>
  <c r="AH508" i="118"/>
  <c r="AL107" i="118"/>
  <c r="AL54" i="118" s="1"/>
  <c r="C47" i="118" s="1"/>
  <c r="J18" i="118" s="1"/>
  <c r="AK54" i="118"/>
  <c r="J5" i="118" s="1"/>
  <c r="AZ107" i="118"/>
  <c r="BI107" i="118" s="1"/>
  <c r="BC107" i="118"/>
  <c r="C42" i="118"/>
  <c r="AJ54" i="118"/>
  <c r="AP373" i="118" l="1"/>
  <c r="Q373" i="118"/>
  <c r="BL373" i="118"/>
  <c r="BR373" i="118" s="1"/>
  <c r="AT373" i="118"/>
  <c r="AK373" i="118"/>
  <c r="AE373" i="118"/>
  <c r="AF373" i="118" s="1"/>
  <c r="AM373" i="118"/>
  <c r="AI373" i="118"/>
  <c r="Z509" i="118"/>
  <c r="AQ509" i="118"/>
  <c r="AQ455" i="118" s="1"/>
  <c r="P11" i="118" s="1"/>
  <c r="AW509" i="118"/>
  <c r="BF509" i="118" s="1"/>
  <c r="BO509" i="118"/>
  <c r="AD453" i="118"/>
  <c r="P15" i="118" s="1"/>
  <c r="O508" i="118"/>
  <c r="BP508" i="118"/>
  <c r="AD508" i="118"/>
  <c r="AX508" i="118"/>
  <c r="BG508" i="118" s="1"/>
  <c r="X9" i="118"/>
  <c r="K14" i="29" s="1"/>
  <c r="C14" i="29" s="1"/>
  <c r="J6" i="118"/>
  <c r="P374" i="118" l="1"/>
  <c r="N374" i="118"/>
  <c r="AL373" i="118"/>
  <c r="AJ373" i="118"/>
  <c r="AZ373" i="118"/>
  <c r="BI373" i="118" s="1"/>
  <c r="BC373" i="118"/>
  <c r="Q508" i="118"/>
  <c r="AP508" i="118"/>
  <c r="BL508" i="118"/>
  <c r="BR508" i="118" s="1"/>
  <c r="AT508" i="118"/>
  <c r="AK508" i="118"/>
  <c r="AL508" i="118" s="1"/>
  <c r="AI508" i="118"/>
  <c r="AJ508" i="118" s="1"/>
  <c r="AM508" i="118"/>
  <c r="AE508" i="118"/>
  <c r="AF508" i="118" s="1"/>
  <c r="X374" i="118" l="1"/>
  <c r="AZ508" i="118"/>
  <c r="BI508" i="118" s="1"/>
  <c r="BC508" i="118"/>
  <c r="N509" i="118"/>
  <c r="P509" i="118"/>
  <c r="AA374" i="118" l="1"/>
  <c r="AB374" i="118" s="1"/>
  <c r="Y374" i="118"/>
  <c r="AH374" i="118" s="1"/>
  <c r="X509" i="118"/>
  <c r="AC509" i="118" s="1"/>
  <c r="N456" i="118"/>
  <c r="AX509" i="118" l="1"/>
  <c r="BG509" i="118" s="1"/>
  <c r="AD509" i="118"/>
  <c r="BP509" i="118"/>
  <c r="AC456" i="118"/>
  <c r="AC374" i="118"/>
  <c r="AD374" i="118" s="1"/>
  <c r="BO374" i="118"/>
  <c r="AQ374" i="118"/>
  <c r="AW374" i="118"/>
  <c r="BF374" i="118" s="1"/>
  <c r="Z374" i="118"/>
  <c r="Y375" i="118" s="1"/>
  <c r="AD319" i="118" s="1"/>
  <c r="N15" i="118" s="1"/>
  <c r="AH509" i="118"/>
  <c r="O509" i="118"/>
  <c r="AA509" i="118"/>
  <c r="AB509" i="118" s="1"/>
  <c r="AI509" i="118" l="1"/>
  <c r="AJ509" i="118" s="1"/>
  <c r="Q509" i="118"/>
  <c r="AE509" i="118"/>
  <c r="AF509" i="118" s="1"/>
  <c r="C447" i="118" s="1"/>
  <c r="O374" i="118"/>
  <c r="AE374" i="118" s="1"/>
  <c r="AF374" i="118" s="1"/>
  <c r="AX374" i="118"/>
  <c r="BG374" i="118" s="1"/>
  <c r="BP374" i="118"/>
  <c r="Z375" i="118"/>
  <c r="AQ375" i="118"/>
  <c r="AQ321" i="118" s="1"/>
  <c r="N11" i="118" s="1"/>
  <c r="BO375" i="118"/>
  <c r="AW375" i="118"/>
  <c r="BF375" i="118" s="1"/>
  <c r="AM509" i="118"/>
  <c r="AD452" i="118" s="1"/>
  <c r="O456" i="118"/>
  <c r="AP509" i="118"/>
  <c r="AP455" i="118" s="1"/>
  <c r="P10" i="118" s="1"/>
  <c r="P13" i="118" s="1"/>
  <c r="AT509" i="118"/>
  <c r="BL509" i="118"/>
  <c r="BR509" i="118" s="1"/>
  <c r="AK509" i="118"/>
  <c r="AI456" i="118" l="1"/>
  <c r="AM374" i="118"/>
  <c r="AK374" i="118"/>
  <c r="AL374" i="118" s="1"/>
  <c r="AT374" i="118"/>
  <c r="AZ374" i="118" s="1"/>
  <c r="BI374" i="118" s="1"/>
  <c r="Q374" i="118"/>
  <c r="N375" i="118" s="1"/>
  <c r="BL374" i="118"/>
  <c r="BR374" i="118" s="1"/>
  <c r="AI374" i="118"/>
  <c r="AJ374" i="118" s="1"/>
  <c r="AP374" i="118"/>
  <c r="AL509" i="118"/>
  <c r="AL456" i="118" s="1"/>
  <c r="C449" i="118" s="1"/>
  <c r="P18" i="118" s="1"/>
  <c r="AK456" i="118"/>
  <c r="P5" i="118" s="1"/>
  <c r="AZ509" i="118"/>
  <c r="BI509" i="118" s="1"/>
  <c r="BC509" i="118"/>
  <c r="C444" i="118"/>
  <c r="AJ456" i="118"/>
  <c r="P375" i="118" l="1"/>
  <c r="X375" i="118" s="1"/>
  <c r="AC375" i="118" s="1"/>
  <c r="BC374" i="118"/>
  <c r="N322" i="118"/>
  <c r="P6" i="118"/>
  <c r="AA9" i="118"/>
  <c r="N14" i="29" s="1"/>
  <c r="F14" i="29" s="1"/>
  <c r="AC322" i="118" l="1"/>
  <c r="AX375" i="118"/>
  <c r="BG375" i="118" s="1"/>
  <c r="BP375" i="118"/>
  <c r="AD375" i="118"/>
  <c r="O375" i="118"/>
  <c r="AE375" i="118" s="1"/>
  <c r="AF375" i="118" s="1"/>
  <c r="C313" i="118" s="1"/>
  <c r="AH375" i="118"/>
  <c r="AA375" i="118"/>
  <c r="AB375" i="118" s="1"/>
  <c r="AM375" i="118" l="1"/>
  <c r="AD318" i="118" s="1"/>
  <c r="Q375" i="118"/>
  <c r="AI375" i="118"/>
  <c r="O322" i="118"/>
  <c r="AP375" i="118"/>
  <c r="AP321" i="118" s="1"/>
  <c r="N10" i="118" s="1"/>
  <c r="N13" i="118" s="1"/>
  <c r="BL375" i="118"/>
  <c r="BR375" i="118" s="1"/>
  <c r="AT375" i="118"/>
  <c r="AK375" i="118"/>
  <c r="AL375" i="118" l="1"/>
  <c r="AL322" i="118" s="1"/>
  <c r="C315" i="118" s="1"/>
  <c r="N18" i="118" s="1"/>
  <c r="AK322" i="118"/>
  <c r="N5" i="118" s="1"/>
  <c r="AZ375" i="118"/>
  <c r="BI375" i="118" s="1"/>
  <c r="BC375" i="118"/>
  <c r="AJ375" i="118"/>
  <c r="AI322" i="118"/>
  <c r="Z9" i="118" l="1"/>
  <c r="M14" i="29" s="1"/>
  <c r="E14" i="29" s="1"/>
  <c r="N6" i="118"/>
  <c r="C310" i="118"/>
  <c r="AJ322" i="118"/>
  <c r="C31" i="29" l="1"/>
  <c r="J54" i="29" l="1"/>
  <c r="W54" i="29" s="1"/>
  <c r="AK56" i="29" s="1"/>
  <c r="BW57" i="29"/>
  <c r="C48" i="29"/>
  <c r="F34" i="59" l="1"/>
  <c r="L79" i="98" l="1"/>
  <c r="K79" i="98"/>
  <c r="M7" i="29"/>
  <c r="N7" i="29" s="1"/>
  <c r="D28" i="29" l="1"/>
  <c r="N9" i="29"/>
  <c r="F28" i="29" s="1"/>
  <c r="N8" i="29"/>
  <c r="N10" i="29"/>
  <c r="G28" i="29" s="1"/>
  <c r="AW203" i="29" l="1"/>
  <c r="AW377" i="29"/>
  <c r="AR172" i="29"/>
  <c r="AR145" i="29"/>
  <c r="AZ146" i="29"/>
  <c r="AR126" i="29"/>
  <c r="AS126" i="29"/>
  <c r="BK123" i="29"/>
  <c r="AZ130" i="29"/>
  <c r="BN154" i="29"/>
  <c r="AS162" i="29"/>
  <c r="BM142" i="29"/>
  <c r="AY125" i="29"/>
  <c r="BI121" i="29"/>
  <c r="AZ123" i="29"/>
  <c r="AR136" i="29"/>
  <c r="AR139" i="29"/>
  <c r="AU123" i="29"/>
  <c r="AX152" i="29"/>
  <c r="BH121" i="29"/>
  <c r="AQ137" i="29"/>
  <c r="AU145" i="29"/>
  <c r="BK152" i="29"/>
  <c r="AX143" i="29"/>
  <c r="AW900" i="29"/>
  <c r="AW553" i="29"/>
  <c r="AR129" i="29"/>
  <c r="BJ121" i="29"/>
  <c r="AZ160" i="29"/>
  <c r="AY163" i="29"/>
  <c r="BN137" i="29"/>
  <c r="AX129" i="29"/>
  <c r="AY159" i="29"/>
  <c r="BN122" i="29"/>
  <c r="AS125" i="29"/>
  <c r="AS161" i="29"/>
  <c r="AR133" i="29"/>
  <c r="AR128" i="29"/>
  <c r="AR144" i="29"/>
  <c r="AY144" i="29"/>
  <c r="AY121" i="29"/>
  <c r="BC121" i="29"/>
  <c r="AS168" i="29"/>
  <c r="AX146" i="29"/>
  <c r="BB139" i="29"/>
  <c r="AQ122" i="29"/>
  <c r="AT132" i="29"/>
  <c r="AT126" i="29"/>
  <c r="BN138" i="29"/>
  <c r="AY152" i="29"/>
  <c r="AX155" i="29"/>
  <c r="AZ131" i="29"/>
  <c r="BN146" i="29"/>
  <c r="AS131" i="29"/>
  <c r="AX160" i="29"/>
  <c r="BL120" i="29"/>
  <c r="BB137" i="29"/>
  <c r="AX170" i="29"/>
  <c r="BN171" i="29"/>
  <c r="AY168" i="29"/>
  <c r="BB152" i="29"/>
  <c r="AY130" i="29"/>
  <c r="AW122" i="29"/>
  <c r="AZ141" i="29"/>
  <c r="AY122" i="29"/>
  <c r="BN148" i="29"/>
  <c r="BK124" i="29"/>
  <c r="AZ138" i="29"/>
  <c r="AY141" i="29"/>
  <c r="AS158" i="29"/>
  <c r="BK128" i="29"/>
  <c r="AZ139" i="29"/>
  <c r="BN130" i="29"/>
  <c r="AZ135" i="29"/>
  <c r="AX145" i="29"/>
  <c r="AS163" i="29"/>
  <c r="AY161" i="29"/>
  <c r="AZ129" i="29"/>
  <c r="BN128" i="29"/>
  <c r="AS148" i="29"/>
  <c r="BN152" i="29"/>
  <c r="BK141" i="29"/>
  <c r="AQ146" i="29"/>
  <c r="AQ148" i="29"/>
  <c r="BF120" i="29"/>
  <c r="AZ151" i="29"/>
  <c r="AZ121" i="29"/>
  <c r="AS133" i="29"/>
  <c r="AX125" i="29"/>
  <c r="BN139" i="29"/>
  <c r="AS147" i="29"/>
  <c r="AZ125" i="29"/>
  <c r="AX134" i="29"/>
  <c r="AX142" i="29"/>
  <c r="AS145" i="29"/>
  <c r="BM127" i="29"/>
  <c r="AW120" i="29"/>
  <c r="AS127" i="29"/>
  <c r="AX156" i="29"/>
  <c r="AU128" i="29"/>
  <c r="AT152" i="29"/>
  <c r="BB142" i="29"/>
  <c r="AT165" i="29"/>
  <c r="BB141" i="29"/>
  <c r="BB156" i="29"/>
  <c r="AQ167" i="29"/>
  <c r="BB170" i="29"/>
  <c r="AT154" i="29"/>
  <c r="BB134" i="29"/>
  <c r="BB147" i="29"/>
  <c r="AU131" i="29"/>
  <c r="AQ154" i="29"/>
  <c r="AQ164" i="29"/>
  <c r="BK167" i="29"/>
  <c r="BM156" i="29"/>
  <c r="BM120" i="29"/>
  <c r="AQ145" i="29"/>
  <c r="BB169" i="29"/>
  <c r="BM166" i="29"/>
  <c r="AR164" i="29"/>
  <c r="AZ169" i="29"/>
  <c r="AZ168" i="29"/>
  <c r="AR169" i="29"/>
  <c r="AR147" i="29"/>
  <c r="AY123" i="29"/>
  <c r="BN131" i="29"/>
  <c r="AX159" i="29"/>
  <c r="AS164" i="29"/>
  <c r="BN123" i="29"/>
  <c r="AY145" i="29"/>
  <c r="AV121" i="29"/>
  <c r="BM139" i="29"/>
  <c r="AQ155" i="29"/>
  <c r="BM154" i="29"/>
  <c r="AY169" i="29"/>
  <c r="AZ142" i="29"/>
  <c r="AZ133" i="29"/>
  <c r="AZ172" i="29"/>
  <c r="AZ136" i="29"/>
  <c r="AR117" i="29"/>
  <c r="AY153" i="29"/>
  <c r="BD120" i="29"/>
  <c r="AX137" i="29"/>
  <c r="AS150" i="29"/>
  <c r="AT129" i="29"/>
  <c r="AZ148" i="29"/>
  <c r="AZ145" i="29"/>
  <c r="AZ161" i="29"/>
  <c r="BN143" i="29"/>
  <c r="BB123" i="29"/>
  <c r="BN121" i="29"/>
  <c r="BN124" i="29"/>
  <c r="AS129" i="29"/>
  <c r="AY154" i="29"/>
  <c r="BM124" i="29"/>
  <c r="AT163" i="29"/>
  <c r="BM140" i="29"/>
  <c r="AR163" i="29"/>
  <c r="BF122" i="29"/>
  <c r="AT121" i="29"/>
  <c r="AX130" i="29"/>
  <c r="BN133" i="29"/>
  <c r="AS132" i="29"/>
  <c r="AY155" i="29"/>
  <c r="BN120" i="29"/>
  <c r="AX144" i="29"/>
  <c r="AS170" i="29"/>
  <c r="AY160" i="29"/>
  <c r="BD121" i="29"/>
  <c r="AY132" i="29"/>
  <c r="BN134" i="29"/>
  <c r="BM122" i="29"/>
  <c r="AX150" i="29"/>
  <c r="BB125" i="29"/>
  <c r="AY162" i="29"/>
  <c r="BB121" i="29"/>
  <c r="AX138" i="29"/>
  <c r="AS142" i="29"/>
  <c r="AT128" i="29"/>
  <c r="BN161" i="29"/>
  <c r="AU135" i="29"/>
  <c r="AU134" i="29"/>
  <c r="AU142" i="29"/>
  <c r="BG120" i="29"/>
  <c r="AZ127" i="29"/>
  <c r="BK121" i="29"/>
  <c r="AS157" i="29"/>
  <c r="BN127" i="29"/>
  <c r="AY147" i="29"/>
  <c r="AX154" i="29"/>
  <c r="AX163" i="29"/>
  <c r="BA121" i="29"/>
  <c r="AZ124" i="29"/>
  <c r="AX147" i="29"/>
  <c r="AQ126" i="29"/>
  <c r="AY126" i="29"/>
  <c r="AX121" i="29"/>
  <c r="AS156" i="29"/>
  <c r="BK132" i="29"/>
  <c r="AU157" i="29"/>
  <c r="BM136" i="29"/>
  <c r="BK153" i="29"/>
  <c r="BM137" i="29"/>
  <c r="BM163" i="29"/>
  <c r="BK143" i="29"/>
  <c r="AT151" i="29"/>
  <c r="AY167" i="29"/>
  <c r="AU154" i="29"/>
  <c r="AU162" i="29"/>
  <c r="BM157" i="29"/>
  <c r="BM134" i="29"/>
  <c r="BK142" i="29"/>
  <c r="BK156" i="29"/>
  <c r="BM159" i="29"/>
  <c r="AU146" i="29"/>
  <c r="AQ135" i="29"/>
  <c r="AU171" i="29"/>
  <c r="AR162" i="29"/>
  <c r="BN125" i="29"/>
  <c r="AR132" i="29"/>
  <c r="AR121" i="29"/>
  <c r="AR124" i="29"/>
  <c r="AZ156" i="29"/>
  <c r="AR149" i="29"/>
  <c r="AY149" i="29"/>
  <c r="AY134" i="29"/>
  <c r="AY156" i="29"/>
  <c r="BL121" i="29"/>
  <c r="AS159" i="29"/>
  <c r="AS144" i="29"/>
  <c r="BK131" i="29"/>
  <c r="BK137" i="29"/>
  <c r="BM143" i="29"/>
  <c r="E28" i="29"/>
  <c r="AR160" i="29"/>
  <c r="AR166" i="29"/>
  <c r="AR156" i="29"/>
  <c r="BB168" i="29"/>
  <c r="AU170" i="29"/>
  <c r="AR154" i="29"/>
  <c r="AU165" i="29"/>
  <c r="BK171" i="29"/>
  <c r="BM169" i="29"/>
  <c r="AQ169" i="29"/>
  <c r="AT162" i="29"/>
  <c r="BM155" i="29"/>
  <c r="BB150" i="29"/>
  <c r="AX164" i="29"/>
  <c r="AQ158" i="29"/>
  <c r="AQ150" i="29"/>
  <c r="AU139" i="29"/>
  <c r="BN164" i="29"/>
  <c r="BB136" i="29"/>
  <c r="AQ130" i="29"/>
  <c r="BM149" i="29"/>
  <c r="AR152" i="29"/>
  <c r="AU155" i="29"/>
  <c r="BK155" i="29"/>
  <c r="AT149" i="29"/>
  <c r="BN165" i="29"/>
  <c r="BM151" i="29"/>
  <c r="BB155" i="29"/>
  <c r="BB138" i="29"/>
  <c r="AU127" i="29"/>
  <c r="AU124" i="29"/>
  <c r="BB158" i="29"/>
  <c r="BB154" i="29"/>
  <c r="BB167" i="29"/>
  <c r="AU164" i="29"/>
  <c r="AT147" i="29"/>
  <c r="AQ141" i="29"/>
  <c r="AU149" i="29"/>
  <c r="BB153" i="29"/>
  <c r="BK149" i="29"/>
  <c r="BB145" i="29"/>
  <c r="AX169" i="29"/>
  <c r="BB133" i="29"/>
  <c r="AQ153" i="29"/>
  <c r="BK145" i="29"/>
  <c r="BM132" i="29"/>
  <c r="AU152" i="29"/>
  <c r="BM168" i="29"/>
  <c r="BM162" i="29"/>
  <c r="BM170" i="29"/>
  <c r="BM171" i="29"/>
  <c r="BB165" i="29"/>
  <c r="BK162" i="29"/>
  <c r="AQ165" i="29"/>
  <c r="AT156" i="29"/>
  <c r="AY170" i="29"/>
  <c r="AY172" i="29"/>
  <c r="AT138" i="29"/>
  <c r="AQ132" i="29"/>
  <c r="BK147" i="29"/>
  <c r="BB143" i="29"/>
  <c r="BN163" i="29"/>
  <c r="BK157" i="29"/>
  <c r="AR158" i="29"/>
  <c r="AR148" i="29"/>
  <c r="BB172" i="29"/>
  <c r="BB171" i="29"/>
  <c r="AU160" i="29"/>
  <c r="BM172" i="29"/>
  <c r="AQ172" i="29"/>
  <c r="AT161" i="29"/>
  <c r="AT167" i="29"/>
  <c r="AT153" i="29"/>
  <c r="AT140" i="29"/>
  <c r="BM128" i="29"/>
  <c r="BK159" i="29"/>
  <c r="AQ170" i="29"/>
  <c r="AT172" i="29"/>
  <c r="BM158" i="29"/>
  <c r="AQ163" i="29"/>
  <c r="AU156" i="29"/>
  <c r="AQ159" i="29"/>
  <c r="AT148" i="29"/>
  <c r="BB146" i="29"/>
  <c r="AQ144" i="29"/>
  <c r="AQ138" i="29"/>
  <c r="AX157" i="29"/>
  <c r="BK161" i="29"/>
  <c r="BK170" i="29"/>
  <c r="BK163" i="29"/>
  <c r="AU159" i="29"/>
  <c r="AQ168" i="29"/>
  <c r="BK160" i="29"/>
  <c r="AT150" i="29"/>
  <c r="BM138" i="29"/>
  <c r="BN167" i="29"/>
  <c r="AU141" i="29"/>
  <c r="BK138" i="29"/>
  <c r="BM125" i="29"/>
  <c r="BK164" i="29"/>
  <c r="BM144" i="29"/>
  <c r="BB148" i="29"/>
  <c r="AX168" i="29"/>
  <c r="BB161" i="29"/>
  <c r="AU169" i="29"/>
  <c r="BM161" i="29"/>
  <c r="BM165" i="29"/>
  <c r="AQ162" i="29"/>
  <c r="AT155" i="29"/>
  <c r="BK150" i="29"/>
  <c r="BK140" i="29"/>
  <c r="BK146" i="29"/>
  <c r="AY158" i="29"/>
  <c r="AQ157" i="29"/>
  <c r="BB149" i="29"/>
  <c r="BN172" i="29"/>
  <c r="AT157" i="29"/>
  <c r="AR150" i="29"/>
  <c r="BM167" i="29"/>
  <c r="AT171" i="29"/>
  <c r="BM164" i="29"/>
  <c r="AR170" i="29"/>
  <c r="AU172" i="29"/>
  <c r="BK169" i="29"/>
  <c r="BK166" i="29"/>
  <c r="AQ171" i="29"/>
  <c r="BM135" i="29"/>
  <c r="BB144" i="29"/>
  <c r="BN166" i="29"/>
  <c r="AT139" i="29"/>
  <c r="AT164" i="29"/>
  <c r="AU147" i="29"/>
  <c r="BB164" i="29"/>
  <c r="AU136" i="29"/>
  <c r="BM133" i="29"/>
  <c r="AU153" i="29"/>
  <c r="BB157" i="29"/>
  <c r="BM146" i="29"/>
  <c r="AX166" i="29"/>
  <c r="AQ129" i="29"/>
  <c r="AQ160" i="29"/>
  <c r="AU166" i="29"/>
  <c r="AT170" i="29"/>
  <c r="BB162" i="29"/>
  <c r="AT160" i="29"/>
  <c r="AT146" i="29"/>
  <c r="BK158" i="29"/>
  <c r="AU133" i="29"/>
  <c r="AU130" i="29"/>
  <c r="AT135" i="29"/>
  <c r="AX158" i="29"/>
  <c r="BM147" i="29"/>
  <c r="AT145" i="29"/>
  <c r="AT142" i="29"/>
  <c r="BM130" i="29"/>
  <c r="AT168" i="29"/>
  <c r="AU163" i="29"/>
  <c r="BM160" i="29"/>
  <c r="AU168" i="29"/>
  <c r="AT158" i="29"/>
  <c r="BN168" i="29"/>
  <c r="AQ161" i="29"/>
  <c r="BK139" i="29"/>
  <c r="AQ166" i="29"/>
  <c r="BM152" i="29"/>
  <c r="BM148" i="29"/>
  <c r="BM145" i="29"/>
  <c r="AT143" i="29"/>
  <c r="AT166" i="29"/>
  <c r="AU148" i="29"/>
  <c r="BB159" i="29"/>
  <c r="AU138" i="29"/>
  <c r="AY171" i="29"/>
  <c r="AT134" i="29"/>
  <c r="BK129" i="29"/>
  <c r="BB132" i="29"/>
  <c r="AS139" i="29"/>
  <c r="AY146" i="29"/>
  <c r="AY137" i="29"/>
  <c r="BN153" i="29"/>
  <c r="AS138" i="29"/>
  <c r="BN136" i="29"/>
  <c r="AZ134" i="29"/>
  <c r="BM121" i="29"/>
  <c r="AZ171" i="29"/>
  <c r="AQ134" i="29"/>
  <c r="AT125" i="29"/>
  <c r="AQ123" i="29"/>
  <c r="BK119" i="29"/>
  <c r="AX122" i="29"/>
  <c r="AQ131" i="29"/>
  <c r="AS140" i="29"/>
  <c r="BN140" i="29"/>
  <c r="AY127" i="29"/>
  <c r="AZ140" i="29"/>
  <c r="AY131" i="29"/>
  <c r="BM153" i="29"/>
  <c r="BB140" i="29"/>
  <c r="AR137" i="29"/>
  <c r="AV122" i="29"/>
  <c r="AR157" i="29"/>
  <c r="BB119" i="29"/>
  <c r="AR135" i="29"/>
  <c r="AR122" i="29"/>
  <c r="AR130" i="29"/>
  <c r="AR140" i="29"/>
  <c r="AR153" i="29"/>
  <c r="AX135" i="29"/>
  <c r="AT123" i="29"/>
  <c r="AR161" i="29"/>
  <c r="AR159" i="29"/>
  <c r="AU121" i="29"/>
  <c r="BG122" i="29"/>
  <c r="AS165" i="29"/>
  <c r="BN151" i="29"/>
  <c r="AX127" i="29"/>
  <c r="AY143" i="29"/>
  <c r="AS172" i="29"/>
  <c r="AU120" i="29"/>
  <c r="AZ154" i="29"/>
  <c r="BK120" i="29"/>
  <c r="BH120" i="29"/>
  <c r="BE120" i="29"/>
  <c r="AX148" i="29"/>
  <c r="AX151" i="29"/>
  <c r="AS121" i="29"/>
  <c r="AX136" i="29"/>
  <c r="AS128" i="29"/>
  <c r="AQ128" i="29"/>
  <c r="AT136" i="29"/>
  <c r="AT122" i="29"/>
  <c r="AU140" i="29"/>
  <c r="AQ152" i="29"/>
  <c r="AX126" i="29"/>
  <c r="AQ117" i="29"/>
  <c r="AZ163" i="29"/>
  <c r="AQ121" i="29"/>
  <c r="AS149" i="29"/>
  <c r="BK126" i="29"/>
  <c r="AX133" i="29"/>
  <c r="AS152" i="29"/>
  <c r="BN157" i="29"/>
  <c r="BA122" i="29"/>
  <c r="AY124" i="29"/>
  <c r="AW727" i="29"/>
  <c r="BC122" i="29"/>
  <c r="AY151" i="29"/>
  <c r="AU126" i="29"/>
  <c r="BC120" i="29"/>
  <c r="AY139" i="29"/>
  <c r="AS155" i="29"/>
  <c r="AT127" i="29"/>
  <c r="AY165" i="29"/>
  <c r="AT133" i="29"/>
  <c r="AX162" i="29"/>
  <c r="AX165" i="29"/>
  <c r="BN169" i="29"/>
  <c r="BB151" i="29"/>
  <c r="AR167" i="29"/>
  <c r="AZ159" i="29"/>
  <c r="AZ150" i="29"/>
  <c r="AY129" i="29"/>
  <c r="AY142" i="29"/>
  <c r="AS141" i="29"/>
  <c r="BB129" i="29"/>
  <c r="AT137" i="29"/>
  <c r="AX131" i="29"/>
  <c r="BN147" i="29"/>
  <c r="AQ125" i="29"/>
  <c r="BK133" i="29"/>
  <c r="BH122" i="29"/>
  <c r="BL122" i="29"/>
  <c r="AW121" i="29"/>
  <c r="AY138" i="29"/>
  <c r="AS124" i="29"/>
  <c r="BB127" i="29"/>
  <c r="BB135" i="29"/>
  <c r="AY136" i="29"/>
  <c r="BN142" i="29"/>
  <c r="BN149" i="29"/>
  <c r="AT130" i="29"/>
  <c r="BK136" i="29"/>
  <c r="AQ140" i="29"/>
  <c r="BB163" i="29"/>
  <c r="AT144" i="29"/>
  <c r="AZ153" i="29"/>
  <c r="BE121" i="29"/>
  <c r="BN135" i="29"/>
  <c r="AS167" i="29"/>
  <c r="BK122" i="29"/>
  <c r="AQ124" i="29"/>
  <c r="BJ122" i="29"/>
  <c r="AZ158" i="29"/>
  <c r="BF121" i="29"/>
  <c r="AS143" i="29"/>
  <c r="BB130" i="29"/>
  <c r="AZ126" i="29"/>
  <c r="AX139" i="29"/>
  <c r="BB124" i="29"/>
  <c r="AU125" i="29"/>
  <c r="AX172" i="29"/>
  <c r="AQ151" i="29"/>
  <c r="AQ147" i="29"/>
  <c r="AQ156" i="29"/>
  <c r="AY164" i="29"/>
  <c r="AU158" i="29"/>
  <c r="BB160" i="29"/>
  <c r="AX167" i="29"/>
  <c r="BK168" i="29"/>
  <c r="BN170" i="29"/>
  <c r="AU167" i="29"/>
  <c r="AU143" i="29"/>
  <c r="AU144" i="29"/>
  <c r="G33" i="29"/>
  <c r="G45" i="29"/>
  <c r="G31" i="29"/>
  <c r="G32" i="29"/>
  <c r="G43" i="29"/>
  <c r="V109" i="29"/>
  <c r="G34" i="29"/>
  <c r="G44" i="29"/>
  <c r="H66" i="29"/>
  <c r="G97" i="29"/>
  <c r="L71" i="98"/>
  <c r="J33" i="59"/>
  <c r="AA47" i="59" s="1"/>
  <c r="U66" i="29"/>
  <c r="V66" i="29" s="1"/>
  <c r="AR151" i="29"/>
  <c r="AR127" i="29"/>
  <c r="AR142" i="29"/>
  <c r="AR138" i="29"/>
  <c r="AR123" i="29"/>
  <c r="AS151" i="29"/>
  <c r="AZ122" i="29"/>
  <c r="BK135" i="29"/>
  <c r="AZ128" i="29"/>
  <c r="BB131" i="29"/>
  <c r="BI120" i="29"/>
  <c r="F31" i="29"/>
  <c r="F45" i="29"/>
  <c r="F32" i="29"/>
  <c r="F36" i="29"/>
  <c r="F33" i="29"/>
  <c r="F35" i="29"/>
  <c r="F43" i="29"/>
  <c r="T109" i="29"/>
  <c r="H63" i="29"/>
  <c r="I33" i="59"/>
  <c r="Z47" i="59" s="1"/>
  <c r="F44" i="29"/>
  <c r="F97" i="29"/>
  <c r="F38" i="29"/>
  <c r="F34" i="29"/>
  <c r="F29" i="29"/>
  <c r="F47" i="29" s="1"/>
  <c r="K71" i="98"/>
  <c r="U63" i="29"/>
  <c r="V63" i="29" s="1"/>
  <c r="AR155" i="29"/>
  <c r="AZ152" i="29"/>
  <c r="BN129" i="29"/>
  <c r="AR146" i="29"/>
  <c r="AR131" i="29"/>
  <c r="AR134" i="29"/>
  <c r="AR141" i="29"/>
  <c r="AR165" i="29"/>
  <c r="AR125" i="29"/>
  <c r="AR143" i="29"/>
  <c r="D31" i="29"/>
  <c r="D45" i="29"/>
  <c r="D29" i="29"/>
  <c r="D47" i="29" s="1"/>
  <c r="H57" i="29"/>
  <c r="D33" i="29"/>
  <c r="D43" i="29"/>
  <c r="D38" i="29"/>
  <c r="D36" i="29"/>
  <c r="D35" i="29"/>
  <c r="I71" i="98"/>
  <c r="D44" i="29"/>
  <c r="D32" i="29"/>
  <c r="P109" i="29"/>
  <c r="U57" i="29"/>
  <c r="V57" i="29" s="1"/>
  <c r="D97" i="29"/>
  <c r="G33" i="59"/>
  <c r="X47" i="59" s="1"/>
  <c r="D34" i="29"/>
  <c r="AX123" i="29"/>
  <c r="AZ165" i="29"/>
  <c r="BM123" i="29"/>
  <c r="AS160" i="29"/>
  <c r="BK127" i="29"/>
  <c r="AZ132" i="29"/>
  <c r="AY148" i="29"/>
  <c r="AS153" i="29"/>
  <c r="AQ133" i="29"/>
  <c r="AZ162" i="29"/>
  <c r="AZ170" i="29"/>
  <c r="AZ166" i="29"/>
  <c r="AY128" i="29"/>
  <c r="AS130" i="29"/>
  <c r="BB126" i="29"/>
  <c r="AX161" i="29"/>
  <c r="AZ143" i="29"/>
  <c r="AX141" i="29"/>
  <c r="AS166" i="29"/>
  <c r="AT131" i="29"/>
  <c r="AY157" i="29"/>
  <c r="BM126" i="29"/>
  <c r="AX171" i="29"/>
  <c r="AU150" i="29"/>
  <c r="BJ120" i="29"/>
  <c r="AY135" i="29"/>
  <c r="BN126" i="29"/>
  <c r="AY140" i="29"/>
  <c r="AS169" i="29"/>
  <c r="BB128" i="29"/>
  <c r="AZ164" i="29"/>
  <c r="BA120" i="29"/>
  <c r="BN150" i="29"/>
  <c r="AZ149" i="29"/>
  <c r="BG121" i="29"/>
  <c r="AX128" i="29"/>
  <c r="BJ119" i="29"/>
  <c r="AS154" i="29"/>
  <c r="AQ127" i="29"/>
  <c r="AZ157" i="29"/>
  <c r="BN141" i="29"/>
  <c r="AS135" i="29"/>
  <c r="BN156" i="29"/>
  <c r="BN159" i="29"/>
  <c r="BN162" i="29"/>
  <c r="AU132" i="29"/>
  <c r="AQ143" i="29"/>
  <c r="AT159" i="29"/>
  <c r="AQ139" i="29"/>
  <c r="AU137" i="29"/>
  <c r="AR171" i="29"/>
  <c r="AX132" i="29"/>
  <c r="AZ155" i="29"/>
  <c r="AZ167" i="29"/>
  <c r="BN144" i="29"/>
  <c r="AS136" i="29"/>
  <c r="AZ137" i="29"/>
  <c r="BE122" i="29"/>
  <c r="AS134" i="29"/>
  <c r="BN160" i="29"/>
  <c r="AZ144" i="29"/>
  <c r="AU122" i="29"/>
  <c r="BI122" i="29"/>
  <c r="AX140" i="29"/>
  <c r="AS137" i="29"/>
  <c r="BN155" i="29"/>
  <c r="AU129" i="29"/>
  <c r="BB122" i="29"/>
  <c r="AY150" i="29"/>
  <c r="AT124" i="29"/>
  <c r="AV120" i="29"/>
  <c r="AQ142" i="29"/>
  <c r="BM141" i="29"/>
  <c r="BK154" i="29"/>
  <c r="BK144" i="29"/>
  <c r="AS123" i="29"/>
  <c r="AS122" i="29"/>
  <c r="AY133" i="29"/>
  <c r="BN145" i="29"/>
  <c r="BK125" i="29"/>
  <c r="AS171" i="29"/>
  <c r="AZ147" i="29"/>
  <c r="BN132" i="29"/>
  <c r="AX124" i="29"/>
  <c r="AS146" i="29"/>
  <c r="BN158" i="29"/>
  <c r="BD122" i="29"/>
  <c r="AX149" i="29"/>
  <c r="AX153" i="29"/>
  <c r="BM129" i="29"/>
  <c r="BK134" i="29"/>
  <c r="BM131" i="29"/>
  <c r="AT141" i="29"/>
  <c r="BK148" i="29"/>
  <c r="AU151" i="29"/>
  <c r="BK151" i="29"/>
  <c r="AY166" i="29"/>
  <c r="BK130" i="29"/>
  <c r="BM150" i="29"/>
  <c r="AT169" i="29"/>
  <c r="BK172" i="29"/>
  <c r="AQ136" i="29"/>
  <c r="AQ149" i="29"/>
  <c r="BB166" i="29"/>
  <c r="BK165" i="29"/>
  <c r="AU161" i="29"/>
  <c r="AR168" i="29"/>
  <c r="T115" i="29" l="1"/>
  <c r="T129" i="29"/>
  <c r="U117" i="29"/>
  <c r="T120" i="29"/>
  <c r="T121" i="29"/>
  <c r="T122" i="29"/>
  <c r="U125" i="29"/>
  <c r="T125" i="29"/>
  <c r="U118" i="29"/>
  <c r="T123" i="29"/>
  <c r="U123" i="29"/>
  <c r="U128" i="29"/>
  <c r="T131" i="29"/>
  <c r="T117" i="29"/>
  <c r="U115" i="29"/>
  <c r="T114" i="29"/>
  <c r="T126" i="29"/>
  <c r="T113" i="29"/>
  <c r="T124" i="29"/>
  <c r="U113" i="29"/>
  <c r="U120" i="29"/>
  <c r="T128" i="29"/>
  <c r="U130" i="29"/>
  <c r="U131" i="29"/>
  <c r="T112" i="29"/>
  <c r="T111" i="29"/>
  <c r="T134" i="29"/>
  <c r="U114" i="29"/>
  <c r="T118" i="29"/>
  <c r="T127" i="29"/>
  <c r="U124" i="29"/>
  <c r="U129" i="29"/>
  <c r="U126" i="29"/>
  <c r="U127" i="29"/>
  <c r="T130" i="29"/>
  <c r="U119" i="29"/>
  <c r="U122" i="29"/>
  <c r="U121" i="29"/>
  <c r="U112" i="29"/>
  <c r="T119" i="29"/>
  <c r="U111" i="29"/>
  <c r="G50" i="29"/>
  <c r="CA59" i="29"/>
  <c r="J36" i="59" s="1"/>
  <c r="I22" i="98"/>
  <c r="I50" i="98"/>
  <c r="I32" i="98"/>
  <c r="I75" i="98"/>
  <c r="I76" i="98" s="1"/>
  <c r="I77" i="98" s="1"/>
  <c r="I58" i="98"/>
  <c r="I72" i="98"/>
  <c r="I73" i="98" s="1"/>
  <c r="I74" i="98" s="1"/>
  <c r="BX63" i="29"/>
  <c r="G40" i="59" s="1"/>
  <c r="D60" i="29"/>
  <c r="F51" i="29"/>
  <c r="BZ60" i="29"/>
  <c r="I37" i="59" s="1"/>
  <c r="F52" i="29"/>
  <c r="BZ61" i="29"/>
  <c r="I38" i="59" s="1"/>
  <c r="R67" i="29"/>
  <c r="L66" i="29"/>
  <c r="K66" i="29"/>
  <c r="AI68" i="29"/>
  <c r="T67" i="29"/>
  <c r="S67" i="29"/>
  <c r="O66" i="29"/>
  <c r="I66" i="29"/>
  <c r="AJ68" i="29" s="1"/>
  <c r="J66" i="29"/>
  <c r="I67" i="29"/>
  <c r="G48" i="29"/>
  <c r="CA57" i="29"/>
  <c r="AP122" i="29"/>
  <c r="E45" i="29"/>
  <c r="E32" i="29"/>
  <c r="E97" i="29"/>
  <c r="E34" i="29"/>
  <c r="J71" i="98"/>
  <c r="E43" i="29"/>
  <c r="E33" i="29"/>
  <c r="R109" i="29"/>
  <c r="U60" i="29"/>
  <c r="V60" i="29" s="1"/>
  <c r="E31" i="29"/>
  <c r="E35" i="29"/>
  <c r="E36" i="29"/>
  <c r="H60" i="29"/>
  <c r="E29" i="29"/>
  <c r="E47" i="29" s="1"/>
  <c r="E44" i="29"/>
  <c r="H33" i="59"/>
  <c r="Y47" i="59" s="1"/>
  <c r="E38" i="29"/>
  <c r="BX60" i="29"/>
  <c r="G37" i="59" s="1"/>
  <c r="D51" i="29"/>
  <c r="Q125" i="29"/>
  <c r="P123" i="29"/>
  <c r="P120" i="29"/>
  <c r="P112" i="29"/>
  <c r="P119" i="29"/>
  <c r="Q121" i="29"/>
  <c r="Q119" i="29"/>
  <c r="Q111" i="29"/>
  <c r="Q128" i="29"/>
  <c r="Q129" i="29"/>
  <c r="P130" i="29"/>
  <c r="P118" i="29"/>
  <c r="P114" i="29"/>
  <c r="P125" i="29"/>
  <c r="P127" i="29"/>
  <c r="P115" i="29"/>
  <c r="Q131" i="29"/>
  <c r="Q120" i="29"/>
  <c r="P122" i="29"/>
  <c r="P113" i="29"/>
  <c r="Q118" i="29"/>
  <c r="P121" i="29"/>
  <c r="Q130" i="29"/>
  <c r="Q114" i="29"/>
  <c r="Q115" i="29"/>
  <c r="P117" i="29"/>
  <c r="Q127" i="29"/>
  <c r="P129" i="29"/>
  <c r="P134" i="29"/>
  <c r="Q124" i="29"/>
  <c r="Q113" i="29"/>
  <c r="P126" i="29"/>
  <c r="P131" i="29"/>
  <c r="P128" i="29"/>
  <c r="Q126" i="29"/>
  <c r="Q122" i="29"/>
  <c r="Q117" i="29"/>
  <c r="P124" i="29"/>
  <c r="Q123" i="29"/>
  <c r="Q112" i="29"/>
  <c r="P111" i="29"/>
  <c r="BX61" i="29"/>
  <c r="G38" i="59" s="1"/>
  <c r="D52" i="29"/>
  <c r="D50" i="29"/>
  <c r="BX59" i="29"/>
  <c r="G36" i="59" s="1"/>
  <c r="D48" i="29"/>
  <c r="BX57" i="29"/>
  <c r="F55" i="29"/>
  <c r="BZ66" i="29"/>
  <c r="I43" i="59" s="1"/>
  <c r="N63" i="29"/>
  <c r="AI65" i="29"/>
  <c r="P63" i="29"/>
  <c r="R64" i="29"/>
  <c r="M63" i="29"/>
  <c r="T64" i="29"/>
  <c r="L63" i="29"/>
  <c r="K63" i="29"/>
  <c r="S64" i="29"/>
  <c r="I64" i="29"/>
  <c r="J63" i="29"/>
  <c r="O63" i="29"/>
  <c r="I63" i="29"/>
  <c r="AJ65" i="29" s="1"/>
  <c r="Q64" i="29"/>
  <c r="F50" i="29"/>
  <c r="BZ59" i="29"/>
  <c r="I36" i="59" s="1"/>
  <c r="BZ57" i="29"/>
  <c r="F48" i="29"/>
  <c r="L50" i="98"/>
  <c r="L32" i="98"/>
  <c r="L72" i="98"/>
  <c r="L73" i="98" s="1"/>
  <c r="L74" i="98" s="1"/>
  <c r="L75" i="98"/>
  <c r="L76" i="98" s="1"/>
  <c r="L77" i="98" s="1"/>
  <c r="L22" i="98"/>
  <c r="L58" i="98"/>
  <c r="G61" i="29"/>
  <c r="CA64" i="29"/>
  <c r="J41" i="59" s="1"/>
  <c r="G60" i="29"/>
  <c r="CA63" i="29"/>
  <c r="J40" i="59" s="1"/>
  <c r="D49" i="29"/>
  <c r="BX58" i="29"/>
  <c r="G35" i="59" s="1"/>
  <c r="D53" i="29"/>
  <c r="BX62" i="29"/>
  <c r="G39" i="59" s="1"/>
  <c r="J57" i="29"/>
  <c r="AI59" i="29"/>
  <c r="P57" i="29"/>
  <c r="S58" i="29"/>
  <c r="O57" i="29"/>
  <c r="I58" i="29"/>
  <c r="T58" i="29"/>
  <c r="Q58" i="29"/>
  <c r="K57" i="29"/>
  <c r="L57" i="29"/>
  <c r="N57" i="29"/>
  <c r="R58" i="29"/>
  <c r="M57" i="29"/>
  <c r="I57" i="29"/>
  <c r="AJ59" i="29" s="1"/>
  <c r="K22" i="98"/>
  <c r="K50" i="98"/>
  <c r="K58" i="98"/>
  <c r="K32" i="98"/>
  <c r="K72" i="98"/>
  <c r="K73" i="98" s="1"/>
  <c r="K74" i="98" s="1"/>
  <c r="K75" i="98"/>
  <c r="K76" i="98" s="1"/>
  <c r="K77" i="98" s="1"/>
  <c r="F53" i="29"/>
  <c r="BZ62" i="29"/>
  <c r="I39" i="59" s="1"/>
  <c r="G51" i="29"/>
  <c r="CA60" i="29"/>
  <c r="J37" i="59" s="1"/>
  <c r="F95" i="29"/>
  <c r="F94" i="29"/>
  <c r="F112" i="29"/>
  <c r="F113" i="29" s="1"/>
  <c r="F114" i="29" s="1"/>
  <c r="F96" i="29"/>
  <c r="F98" i="29"/>
  <c r="F99" i="29" s="1"/>
  <c r="F93" i="29"/>
  <c r="F104" i="29"/>
  <c r="F105" i="29" s="1"/>
  <c r="F102" i="29"/>
  <c r="F103" i="29" s="1"/>
  <c r="F100" i="29"/>
  <c r="F101" i="29" s="1"/>
  <c r="F106" i="29"/>
  <c r="F107" i="29" s="1"/>
  <c r="F108" i="29" s="1"/>
  <c r="F120" i="29"/>
  <c r="F111" i="29"/>
  <c r="F117" i="29" s="1"/>
  <c r="G49" i="29"/>
  <c r="CA58" i="29"/>
  <c r="J35" i="59" s="1"/>
  <c r="D104" i="29"/>
  <c r="D95" i="29"/>
  <c r="I25" i="98" s="1"/>
  <c r="D98" i="29"/>
  <c r="D102" i="29"/>
  <c r="D100" i="29"/>
  <c r="D106" i="29"/>
  <c r="D112" i="29"/>
  <c r="D120" i="29"/>
  <c r="D94" i="29"/>
  <c r="I24" i="98" s="1"/>
  <c r="D111" i="29"/>
  <c r="D117" i="29" s="1"/>
  <c r="D96" i="29"/>
  <c r="I26" i="98" s="1"/>
  <c r="D93" i="29"/>
  <c r="I23" i="98" s="1"/>
  <c r="D61" i="29"/>
  <c r="BX64" i="29"/>
  <c r="G41" i="59" s="1"/>
  <c r="BX66" i="29"/>
  <c r="G43" i="59" s="1"/>
  <c r="D55" i="29"/>
  <c r="F61" i="29"/>
  <c r="BZ64" i="29"/>
  <c r="I41" i="59" s="1"/>
  <c r="BZ63" i="29"/>
  <c r="I40" i="59" s="1"/>
  <c r="F60" i="29"/>
  <c r="F49" i="29"/>
  <c r="BZ58" i="29"/>
  <c r="I35" i="59" s="1"/>
  <c r="G104" i="29"/>
  <c r="G105" i="29" s="1"/>
  <c r="G100" i="29"/>
  <c r="G101" i="29" s="1"/>
  <c r="G93" i="29"/>
  <c r="G94" i="29"/>
  <c r="G112" i="29"/>
  <c r="G113" i="29" s="1"/>
  <c r="G114" i="29" s="1"/>
  <c r="G106" i="29"/>
  <c r="G107" i="29" s="1"/>
  <c r="G108" i="29" s="1"/>
  <c r="G98" i="29"/>
  <c r="G99" i="29" s="1"/>
  <c r="G102" i="29"/>
  <c r="G103" i="29" s="1"/>
  <c r="G111" i="29"/>
  <c r="G117" i="29" s="1"/>
  <c r="V112" i="29"/>
  <c r="V114" i="29"/>
  <c r="W129" i="29"/>
  <c r="W120" i="29"/>
  <c r="W118" i="29"/>
  <c r="W114" i="29"/>
  <c r="W126" i="29"/>
  <c r="W119" i="29"/>
  <c r="V121" i="29"/>
  <c r="V122" i="29"/>
  <c r="W121" i="29"/>
  <c r="W113" i="29"/>
  <c r="V127" i="29"/>
  <c r="W131" i="29"/>
  <c r="V129" i="29"/>
  <c r="W124" i="29"/>
  <c r="V115" i="29"/>
  <c r="W117" i="29"/>
  <c r="W128" i="29"/>
  <c r="W112" i="29"/>
  <c r="V128" i="29"/>
  <c r="V125" i="29"/>
  <c r="W130" i="29"/>
  <c r="V134" i="29"/>
  <c r="V120" i="29"/>
  <c r="W123" i="29"/>
  <c r="V126" i="29"/>
  <c r="V131" i="29"/>
  <c r="V130" i="29"/>
  <c r="V117" i="29"/>
  <c r="V123" i="29"/>
  <c r="V118" i="29"/>
  <c r="W127" i="29"/>
  <c r="V113" i="29"/>
  <c r="W122" i="29"/>
  <c r="W125" i="29"/>
  <c r="W115" i="29"/>
  <c r="V119" i="29"/>
  <c r="V124" i="29"/>
  <c r="I78" i="98" l="1"/>
  <c r="K78" i="98"/>
  <c r="D101" i="29"/>
  <c r="I36" i="98" s="1"/>
  <c r="I35" i="98"/>
  <c r="I39" i="98"/>
  <c r="D105" i="29"/>
  <c r="I40" i="98" s="1"/>
  <c r="Y57" i="29"/>
  <c r="AM59" i="29" s="1"/>
  <c r="V58" i="29"/>
  <c r="AJ60" i="29"/>
  <c r="L78" i="98"/>
  <c r="BZ67" i="29"/>
  <c r="I44" i="59" s="1"/>
  <c r="I34" i="59"/>
  <c r="AF64" i="29"/>
  <c r="BQ66" i="29" s="1"/>
  <c r="Z63" i="29"/>
  <c r="BK65" i="29" s="1"/>
  <c r="AA63" i="29"/>
  <c r="BL65" i="29" s="1"/>
  <c r="G34" i="59"/>
  <c r="BX67" i="29"/>
  <c r="G44" i="59" s="1"/>
  <c r="E53" i="29"/>
  <c r="BY62" i="29"/>
  <c r="H39" i="59" s="1"/>
  <c r="S121" i="29"/>
  <c r="R130" i="29"/>
  <c r="R121" i="29"/>
  <c r="S114" i="29"/>
  <c r="S131" i="29"/>
  <c r="R120" i="29"/>
  <c r="S129" i="29"/>
  <c r="R119" i="29"/>
  <c r="R128" i="29"/>
  <c r="R129" i="29"/>
  <c r="S111" i="29"/>
  <c r="S118" i="29"/>
  <c r="R117" i="29"/>
  <c r="S122" i="29"/>
  <c r="R112" i="29"/>
  <c r="S117" i="29"/>
  <c r="R114" i="29"/>
  <c r="R127" i="29"/>
  <c r="S127" i="29"/>
  <c r="S123" i="29"/>
  <c r="S119" i="29"/>
  <c r="S124" i="29"/>
  <c r="S126" i="29"/>
  <c r="R124" i="29"/>
  <c r="R131" i="29"/>
  <c r="R113" i="29"/>
  <c r="S113" i="29"/>
  <c r="R126" i="29"/>
  <c r="S130" i="29"/>
  <c r="R123" i="29"/>
  <c r="S120" i="29"/>
  <c r="R125" i="29"/>
  <c r="S125" i="29"/>
  <c r="S128" i="29"/>
  <c r="S112" i="29"/>
  <c r="R115" i="29"/>
  <c r="S115" i="29"/>
  <c r="R118" i="29"/>
  <c r="R122" i="29"/>
  <c r="R134" i="29"/>
  <c r="R111" i="29"/>
  <c r="BY60" i="29"/>
  <c r="H37" i="59" s="1"/>
  <c r="E51" i="29"/>
  <c r="W66" i="29"/>
  <c r="AK68" i="29" s="1"/>
  <c r="AG67" i="29"/>
  <c r="BR69" i="29" s="1"/>
  <c r="Y66" i="29"/>
  <c r="AM68" i="29" s="1"/>
  <c r="I61" i="98"/>
  <c r="I37" i="98"/>
  <c r="D103" i="29"/>
  <c r="I38" i="98" s="1"/>
  <c r="Z57" i="29"/>
  <c r="BK59" i="29" s="1"/>
  <c r="X57" i="29"/>
  <c r="AL59" i="29" s="1"/>
  <c r="AB57" i="29"/>
  <c r="BM59" i="29"/>
  <c r="W57" i="29"/>
  <c r="AK59" i="29" s="1"/>
  <c r="AB63" i="29"/>
  <c r="BM65" i="29"/>
  <c r="X63" i="29"/>
  <c r="AL65" i="29" s="1"/>
  <c r="AE64" i="29"/>
  <c r="BP66" i="29" s="1"/>
  <c r="E61" i="29"/>
  <c r="BY64" i="29"/>
  <c r="H41" i="59" s="1"/>
  <c r="E52" i="29"/>
  <c r="BY61" i="29"/>
  <c r="H38" i="59" s="1"/>
  <c r="E50" i="29"/>
  <c r="BY59" i="29"/>
  <c r="H36" i="59" s="1"/>
  <c r="E95" i="29"/>
  <c r="E94" i="29"/>
  <c r="E93" i="29"/>
  <c r="E102" i="29"/>
  <c r="E103" i="29" s="1"/>
  <c r="E104" i="29"/>
  <c r="E105" i="29" s="1"/>
  <c r="E98" i="29"/>
  <c r="E99" i="29" s="1"/>
  <c r="E96" i="29"/>
  <c r="E106" i="29"/>
  <c r="E107" i="29" s="1"/>
  <c r="E108" i="29" s="1"/>
  <c r="E100" i="29"/>
  <c r="E101" i="29" s="1"/>
  <c r="E120" i="29"/>
  <c r="E111" i="29"/>
  <c r="E117" i="29" s="1"/>
  <c r="E112" i="29"/>
  <c r="E113" i="29" s="1"/>
  <c r="E114" i="29" s="1"/>
  <c r="D113" i="29"/>
  <c r="I51" i="98"/>
  <c r="D99" i="29"/>
  <c r="I34" i="98" s="1"/>
  <c r="I33" i="98"/>
  <c r="AE58" i="29"/>
  <c r="BP60" i="29" s="1"/>
  <c r="AD58" i="29"/>
  <c r="BO60" i="29" s="1"/>
  <c r="AF58" i="29"/>
  <c r="BQ60" i="29" s="1"/>
  <c r="W63" i="29"/>
  <c r="AK65" i="29" s="1"/>
  <c r="Y63" i="29"/>
  <c r="AM65" i="29" s="1"/>
  <c r="AC63" i="29"/>
  <c r="BN65" i="29" s="1"/>
  <c r="P132" i="29"/>
  <c r="P135" i="29" s="1"/>
  <c r="P133" i="29"/>
  <c r="BY57" i="29"/>
  <c r="E48" i="29"/>
  <c r="BY63" i="29"/>
  <c r="H40" i="59" s="1"/>
  <c r="E60" i="29"/>
  <c r="E49" i="29"/>
  <c r="BY58" i="29"/>
  <c r="H35" i="59" s="1"/>
  <c r="J34" i="59"/>
  <c r="BM68" i="29"/>
  <c r="AB66" i="29"/>
  <c r="X66" i="29"/>
  <c r="AL68" i="29" s="1"/>
  <c r="AE67" i="29"/>
  <c r="BP69" i="29" s="1"/>
  <c r="T133" i="29"/>
  <c r="T132" i="29"/>
  <c r="T135" i="29" s="1"/>
  <c r="I41" i="98"/>
  <c r="D107" i="29"/>
  <c r="K43" i="98"/>
  <c r="K52" i="98"/>
  <c r="K33" i="98"/>
  <c r="K23" i="98"/>
  <c r="K51" i="98"/>
  <c r="K42" i="98"/>
  <c r="K36" i="98"/>
  <c r="K24" i="98"/>
  <c r="K61" i="98"/>
  <c r="K35" i="98"/>
  <c r="K53" i="98"/>
  <c r="K40" i="98"/>
  <c r="K26" i="98"/>
  <c r="K34" i="98"/>
  <c r="K39" i="98"/>
  <c r="K41" i="98"/>
  <c r="K37" i="98"/>
  <c r="K38" i="98"/>
  <c r="K25" i="98"/>
  <c r="AA57" i="29"/>
  <c r="BL59" i="29" s="1"/>
  <c r="AG58" i="29"/>
  <c r="BR60" i="29" s="1"/>
  <c r="AC57" i="29"/>
  <c r="BN59" i="29" s="1"/>
  <c r="L39" i="98"/>
  <c r="L37" i="98"/>
  <c r="L43" i="98"/>
  <c r="L40" i="98"/>
  <c r="L35" i="98"/>
  <c r="L51" i="98"/>
  <c r="L34" i="98"/>
  <c r="L42" i="98"/>
  <c r="L36" i="98"/>
  <c r="L38" i="98"/>
  <c r="L52" i="98"/>
  <c r="L23" i="98"/>
  <c r="L53" i="98"/>
  <c r="L41" i="98"/>
  <c r="L33" i="98"/>
  <c r="L24" i="98"/>
  <c r="AD64" i="29"/>
  <c r="BO66" i="29" s="1"/>
  <c r="V64" i="29"/>
  <c r="AJ66" i="29"/>
  <c r="AG64" i="29"/>
  <c r="BR66" i="29" s="1"/>
  <c r="Q133" i="29"/>
  <c r="Q132" i="29"/>
  <c r="D90" i="29" s="1"/>
  <c r="D87" i="29" s="1"/>
  <c r="E55" i="29"/>
  <c r="BY66" i="29"/>
  <c r="H43" i="59" s="1"/>
  <c r="P60" i="29"/>
  <c r="AI62" i="29"/>
  <c r="T61" i="29"/>
  <c r="R61" i="29"/>
  <c r="Q61" i="29"/>
  <c r="L60" i="29"/>
  <c r="L70" i="29" s="1"/>
  <c r="S61" i="29"/>
  <c r="N60" i="29"/>
  <c r="J60" i="29"/>
  <c r="I61" i="29"/>
  <c r="M60" i="29"/>
  <c r="I60" i="29"/>
  <c r="AJ62" i="29" s="1"/>
  <c r="O60" i="29"/>
  <c r="K60" i="29"/>
  <c r="J50" i="98"/>
  <c r="J72" i="98"/>
  <c r="J73" i="98" s="1"/>
  <c r="J74" i="98" s="1"/>
  <c r="J22" i="98"/>
  <c r="J58" i="98"/>
  <c r="J75" i="98"/>
  <c r="J76" i="98" s="1"/>
  <c r="J77" i="98" s="1"/>
  <c r="J32" i="98"/>
  <c r="V67" i="29"/>
  <c r="AJ69" i="29"/>
  <c r="AF67" i="29"/>
  <c r="BQ69" i="29" s="1"/>
  <c r="U132" i="29"/>
  <c r="F90" i="29" s="1"/>
  <c r="F87" i="29" s="1"/>
  <c r="U133" i="29"/>
  <c r="L44" i="98" l="1"/>
  <c r="X60" i="29"/>
  <c r="AL62" i="29" s="1"/>
  <c r="D89" i="29"/>
  <c r="J78" i="98"/>
  <c r="Z60" i="29"/>
  <c r="BK62" i="29" s="1"/>
  <c r="AF61" i="29"/>
  <c r="BQ63" i="29" s="1"/>
  <c r="AG61" i="29"/>
  <c r="BR63" i="29" s="1"/>
  <c r="S132" i="29"/>
  <c r="E90" i="29" s="1"/>
  <c r="E87" i="29" s="1"/>
  <c r="S133" i="29"/>
  <c r="Y60" i="29"/>
  <c r="AM62" i="29" s="1"/>
  <c r="H34" i="59"/>
  <c r="BY67" i="29"/>
  <c r="H44" i="59" s="1"/>
  <c r="X48" i="59"/>
  <c r="X52" i="59" s="1"/>
  <c r="X54" i="59" s="1"/>
  <c r="V61" i="29"/>
  <c r="AJ63" i="29"/>
  <c r="F89" i="29"/>
  <c r="F118" i="29"/>
  <c r="J52" i="98"/>
  <c r="J43" i="98"/>
  <c r="J36" i="98"/>
  <c r="J40" i="98"/>
  <c r="J51" i="98"/>
  <c r="J42" i="98"/>
  <c r="J44" i="98" s="1"/>
  <c r="J35" i="98"/>
  <c r="J39" i="98"/>
  <c r="J61" i="98"/>
  <c r="J26" i="98"/>
  <c r="J38" i="98"/>
  <c r="J24" i="98"/>
  <c r="J25" i="98"/>
  <c r="J53" i="98"/>
  <c r="J34" i="98"/>
  <c r="J33" i="98"/>
  <c r="J23" i="98"/>
  <c r="J41" i="98"/>
  <c r="K44" i="98" s="1"/>
  <c r="J37" i="98"/>
  <c r="BM62" i="29"/>
  <c r="AB60" i="29"/>
  <c r="W60" i="29"/>
  <c r="AK62" i="29" s="1"/>
  <c r="AD61" i="29"/>
  <c r="BO63" i="29" s="1"/>
  <c r="AC60" i="29"/>
  <c r="BN62" i="29" s="1"/>
  <c r="I42" i="98"/>
  <c r="I44" i="98" s="1"/>
  <c r="D108" i="29"/>
  <c r="I43" i="98" s="1"/>
  <c r="J70" i="29"/>
  <c r="O70" i="29"/>
  <c r="K70" i="29"/>
  <c r="R133" i="29"/>
  <c r="R132" i="29"/>
  <c r="R135" i="29" s="1"/>
  <c r="Z48" i="59"/>
  <c r="Z52" i="59" s="1"/>
  <c r="Z54" i="59" s="1"/>
  <c r="AA60" i="29"/>
  <c r="BL62" i="29" s="1"/>
  <c r="AE61" i="29"/>
  <c r="BP63" i="29" s="1"/>
  <c r="R70" i="29"/>
  <c r="D114" i="29"/>
  <c r="I53" i="98" s="1"/>
  <c r="I52" i="98"/>
  <c r="Z51" i="59" l="1"/>
  <c r="X51" i="59"/>
  <c r="E89" i="29"/>
  <c r="E122" i="29" s="1"/>
  <c r="E118" i="29"/>
  <c r="K59" i="98"/>
  <c r="Y48" i="59"/>
  <c r="Y52" i="59" s="1"/>
  <c r="Y54" i="59" s="1"/>
  <c r="Z55" i="59" l="1"/>
  <c r="Z56" i="59"/>
  <c r="X55" i="59"/>
  <c r="X56" i="59"/>
  <c r="Y51" i="59"/>
  <c r="F122" i="29"/>
  <c r="K63" i="98" s="1"/>
  <c r="J63" i="98"/>
  <c r="J59" i="98"/>
  <c r="Y55" i="59" l="1"/>
  <c r="Y56" i="59"/>
  <c r="AD87" i="29"/>
  <c r="W143" i="29" l="1"/>
  <c r="X143" i="29" s="1"/>
  <c r="W147" i="29"/>
  <c r="X147" i="29" s="1"/>
  <c r="W142" i="29"/>
  <c r="X142" i="29" s="1"/>
  <c r="W144" i="29"/>
  <c r="X144" i="29" s="1"/>
  <c r="W146" i="29"/>
  <c r="X146" i="29" s="1"/>
  <c r="AE87" i="29"/>
  <c r="W145" i="29"/>
  <c r="X145" i="29" s="1"/>
  <c r="W141" i="29"/>
  <c r="X141" i="29" s="1"/>
  <c r="AF87" i="29"/>
  <c r="G74" i="29"/>
  <c r="F63" i="114"/>
  <c r="L1006" i="29"/>
  <c r="W140" i="29"/>
  <c r="X140" i="29" s="1"/>
  <c r="G95" i="29" l="1"/>
  <c r="L25" i="98" s="1"/>
  <c r="C95" i="29"/>
  <c r="H25" i="98" s="1"/>
  <c r="V111" i="29"/>
  <c r="V133" i="29" s="1"/>
  <c r="N111" i="29"/>
  <c r="AG87" i="29"/>
  <c r="X148" i="29"/>
  <c r="K49" i="114" s="1"/>
  <c r="K48" i="114" s="1"/>
  <c r="J1004" i="29" s="1"/>
  <c r="AD1006" i="29"/>
  <c r="AD1028" i="29" s="1"/>
  <c r="AE1006" i="29"/>
  <c r="AE1028" i="29" s="1"/>
  <c r="AC1006" i="29"/>
  <c r="AC1028" i="29" s="1"/>
  <c r="AL1005" i="29"/>
  <c r="BF901" i="29" s="1"/>
  <c r="AJ1005" i="29"/>
  <c r="BD901" i="29" s="1"/>
  <c r="AK1005" i="29"/>
  <c r="BE901" i="29" s="1"/>
  <c r="AI1005" i="29"/>
  <c r="BC901" i="29" s="1"/>
  <c r="G63" i="114"/>
  <c r="J63" i="114"/>
  <c r="K46" i="114" l="1"/>
  <c r="V132" i="29"/>
  <c r="V135" i="29" s="1"/>
  <c r="N133" i="29"/>
  <c r="N132" i="29"/>
  <c r="N135" i="29" s="1"/>
  <c r="W111" i="29"/>
  <c r="W133" i="29" s="1"/>
  <c r="O111" i="29"/>
  <c r="AG108" i="29"/>
  <c r="G21" i="29" s="1"/>
  <c r="C38" i="29" s="1"/>
  <c r="I63" i="114"/>
  <c r="K63" i="114" s="1"/>
  <c r="G75" i="29"/>
  <c r="BF123" i="29"/>
  <c r="BC902" i="29"/>
  <c r="BG123" i="29"/>
  <c r="BD902" i="29"/>
  <c r="W1004" i="29"/>
  <c r="G18" i="29" s="1"/>
  <c r="C35" i="29" s="1"/>
  <c r="J1035" i="29"/>
  <c r="BI901" i="29" s="1"/>
  <c r="BH123" i="29"/>
  <c r="BE902" i="29"/>
  <c r="BI123" i="29"/>
  <c r="BF902" i="29"/>
  <c r="W132" i="29" l="1"/>
  <c r="G90" i="29" s="1"/>
  <c r="G96" i="29"/>
  <c r="L26" i="98" s="1"/>
  <c r="C96" i="29"/>
  <c r="H26" i="98" s="1"/>
  <c r="O133" i="29"/>
  <c r="O132" i="29"/>
  <c r="C90" i="29" s="1"/>
  <c r="C87" i="29" s="1"/>
  <c r="BW61" i="29"/>
  <c r="C52" i="29"/>
  <c r="M54" i="29"/>
  <c r="P54" i="29"/>
  <c r="AC54" i="29" s="1"/>
  <c r="BN56" i="29" s="1"/>
  <c r="BW66" i="29"/>
  <c r="F43" i="59" s="1"/>
  <c r="C55" i="29"/>
  <c r="AX901" i="29"/>
  <c r="AX902" i="29" s="1"/>
  <c r="K60" i="114"/>
  <c r="G87" i="29" s="1"/>
  <c r="K1006" i="29"/>
  <c r="AF1005" i="29" s="1"/>
  <c r="AZ901" i="29" s="1"/>
  <c r="G35" i="29"/>
  <c r="G88" i="29"/>
  <c r="BA123" i="29"/>
  <c r="BH124" i="29"/>
  <c r="BE903" i="29"/>
  <c r="BG124" i="29"/>
  <c r="BD903" i="29"/>
  <c r="BF124" i="29"/>
  <c r="BC903" i="29"/>
  <c r="BI124" i="29"/>
  <c r="BF903" i="29"/>
  <c r="G38" i="29"/>
  <c r="BL123" i="29"/>
  <c r="BI902" i="29"/>
  <c r="AS901" i="29"/>
  <c r="AV123" i="29" s="1"/>
  <c r="C118" i="29" l="1"/>
  <c r="C119" i="29" s="1"/>
  <c r="AZ902" i="29"/>
  <c r="BC123" i="29"/>
  <c r="AG1005" i="29"/>
  <c r="BA901" i="29" s="1"/>
  <c r="BA902" i="29" s="1"/>
  <c r="AH1005" i="29"/>
  <c r="BB901" i="29" s="1"/>
  <c r="C89" i="29"/>
  <c r="D122" i="29" s="1"/>
  <c r="D118" i="29"/>
  <c r="Z54" i="29"/>
  <c r="BK56" i="29" s="1"/>
  <c r="G120" i="29"/>
  <c r="L61" i="98" s="1"/>
  <c r="C120" i="29"/>
  <c r="F38" i="59"/>
  <c r="BL124" i="29"/>
  <c r="AS902" i="29"/>
  <c r="AV124" i="29" s="1"/>
  <c r="BI903" i="29"/>
  <c r="CA66" i="29"/>
  <c r="J43" i="59" s="1"/>
  <c r="G55" i="29"/>
  <c r="P66" i="29"/>
  <c r="BF125" i="29"/>
  <c r="BC904" i="29"/>
  <c r="BH125" i="29"/>
  <c r="BE904" i="29"/>
  <c r="G52" i="29"/>
  <c r="M66" i="29"/>
  <c r="CA61" i="29"/>
  <c r="G12" i="29"/>
  <c r="AA1006" i="29"/>
  <c r="X1006" i="29"/>
  <c r="G19" i="29" s="1"/>
  <c r="C36" i="29" s="1"/>
  <c r="K1035" i="29"/>
  <c r="AM1005" i="29"/>
  <c r="BG901" i="29" s="1"/>
  <c r="BI125" i="29"/>
  <c r="BF904" i="29"/>
  <c r="BG125" i="29"/>
  <c r="BD904" i="29"/>
  <c r="BA124" i="29"/>
  <c r="AX903" i="29"/>
  <c r="G118" i="29"/>
  <c r="G89" i="29"/>
  <c r="F119" i="29" l="1"/>
  <c r="K60" i="98" s="1"/>
  <c r="E119" i="29"/>
  <c r="J60" i="98" s="1"/>
  <c r="H59" i="98"/>
  <c r="BC124" i="29"/>
  <c r="AZ903" i="29"/>
  <c r="BD123" i="29"/>
  <c r="BE123" i="29"/>
  <c r="BB902" i="29"/>
  <c r="G121" i="29"/>
  <c r="L62" i="98" s="1"/>
  <c r="G29" i="29"/>
  <c r="G47" i="29" s="1"/>
  <c r="C29" i="29"/>
  <c r="C47" i="29" s="1"/>
  <c r="G122" i="29"/>
  <c r="L63" i="98" s="1"/>
  <c r="C122" i="29"/>
  <c r="D123" i="29" s="1"/>
  <c r="BW62" i="29"/>
  <c r="N54" i="29"/>
  <c r="AA54" i="29" s="1"/>
  <c r="BL56" i="29" s="1"/>
  <c r="C53" i="29"/>
  <c r="Q55" i="29"/>
  <c r="AD55" i="29" s="1"/>
  <c r="BO57" i="29" s="1"/>
  <c r="H61" i="98"/>
  <c r="C121" i="29"/>
  <c r="F121" i="29"/>
  <c r="K62" i="98" s="1"/>
  <c r="D121" i="29"/>
  <c r="I62" i="98" s="1"/>
  <c r="E121" i="29"/>
  <c r="J62" i="98" s="1"/>
  <c r="I59" i="98"/>
  <c r="D119" i="29"/>
  <c r="I60" i="98" s="1"/>
  <c r="I63" i="98"/>
  <c r="BD124" i="29"/>
  <c r="BA903" i="29"/>
  <c r="BG126" i="29"/>
  <c r="BD905" i="29"/>
  <c r="BF126" i="29"/>
  <c r="BC905" i="29"/>
  <c r="BA125" i="29"/>
  <c r="AX904" i="29"/>
  <c r="BI126" i="29"/>
  <c r="BF905" i="29"/>
  <c r="J38" i="59"/>
  <c r="BL125" i="29"/>
  <c r="AS903" i="29"/>
  <c r="AV125" i="29" s="1"/>
  <c r="BI904" i="29"/>
  <c r="G36" i="29"/>
  <c r="G119" i="29"/>
  <c r="L60" i="98" s="1"/>
  <c r="L59" i="98"/>
  <c r="Z66" i="29"/>
  <c r="BK68" i="29" s="1"/>
  <c r="M70" i="29"/>
  <c r="BH126" i="29"/>
  <c r="BE905" i="29"/>
  <c r="BJ123" i="29"/>
  <c r="BG902" i="29"/>
  <c r="AT901" i="29"/>
  <c r="AW123" i="29" s="1"/>
  <c r="AC66" i="29"/>
  <c r="BN68" i="29" s="1"/>
  <c r="BC125" i="29" l="1"/>
  <c r="AZ904" i="29"/>
  <c r="BE124" i="29"/>
  <c r="BB903" i="29"/>
  <c r="G123" i="29"/>
  <c r="L64" i="98" s="1"/>
  <c r="F123" i="29"/>
  <c r="H63" i="98"/>
  <c r="C123" i="29"/>
  <c r="C124" i="29" s="1"/>
  <c r="E123" i="29"/>
  <c r="D124" i="29"/>
  <c r="I65" i="98" s="1"/>
  <c r="I64" i="98"/>
  <c r="F39" i="59"/>
  <c r="BW67" i="29"/>
  <c r="F44" i="59" s="1"/>
  <c r="W48" i="59" s="1"/>
  <c r="BA904" i="29"/>
  <c r="BD125" i="29"/>
  <c r="AP123" i="29"/>
  <c r="BJ124" i="29"/>
  <c r="BG903" i="29"/>
  <c r="AT902" i="29"/>
  <c r="AW124" i="29" s="1"/>
  <c r="AP124" i="29" s="1"/>
  <c r="BH127" i="29"/>
  <c r="BE906" i="29"/>
  <c r="N66" i="29"/>
  <c r="G53" i="29"/>
  <c r="CA62" i="29"/>
  <c r="Q67" i="29"/>
  <c r="BA126" i="29"/>
  <c r="AX905" i="29"/>
  <c r="BF127" i="29"/>
  <c r="BC906" i="29"/>
  <c r="BG127" i="29"/>
  <c r="BD906" i="29"/>
  <c r="AS904" i="29"/>
  <c r="AV126" i="29" s="1"/>
  <c r="BL126" i="29"/>
  <c r="BI905" i="29"/>
  <c r="BI127" i="29"/>
  <c r="BF906" i="29"/>
  <c r="G124" i="29"/>
  <c r="L65" i="98" s="1"/>
  <c r="BC126" i="29" l="1"/>
  <c r="AZ905" i="29"/>
  <c r="W51" i="59"/>
  <c r="W52" i="59"/>
  <c r="W54" i="59" s="1"/>
  <c r="BB904" i="29"/>
  <c r="BE125" i="29"/>
  <c r="F46" i="59"/>
  <c r="G46" i="59"/>
  <c r="G47" i="59" s="1"/>
  <c r="X49" i="59" s="1"/>
  <c r="X50" i="59" s="1"/>
  <c r="I46" i="59"/>
  <c r="I47" i="59" s="1"/>
  <c r="Z49" i="59" s="1"/>
  <c r="Z50" i="59" s="1"/>
  <c r="H46" i="59"/>
  <c r="H47" i="59" s="1"/>
  <c r="Y49" i="59" s="1"/>
  <c r="Y50" i="59" s="1"/>
  <c r="E124" i="29"/>
  <c r="J65" i="98" s="1"/>
  <c r="J64" i="98"/>
  <c r="F124" i="29"/>
  <c r="K65" i="98" s="1"/>
  <c r="K64" i="98"/>
  <c r="BA905" i="29"/>
  <c r="BD126" i="29"/>
  <c r="J39" i="59"/>
  <c r="CA67" i="29"/>
  <c r="J44" i="59" s="1"/>
  <c r="BG128" i="29"/>
  <c r="BD907" i="29"/>
  <c r="BA127" i="29"/>
  <c r="AX906" i="29"/>
  <c r="BI128" i="29"/>
  <c r="BF907" i="29"/>
  <c r="AS905" i="29"/>
  <c r="AV127" i="29" s="1"/>
  <c r="BL127" i="29"/>
  <c r="BI906" i="29"/>
  <c r="AA66" i="29"/>
  <c r="BL68" i="29" s="1"/>
  <c r="N70" i="29"/>
  <c r="BJ125" i="29"/>
  <c r="BG904" i="29"/>
  <c r="AT903" i="29"/>
  <c r="AW125" i="29" s="1"/>
  <c r="AP125" i="29" s="1"/>
  <c r="BF128" i="29"/>
  <c r="BC907" i="29"/>
  <c r="AD67" i="29"/>
  <c r="BO69" i="29" s="1"/>
  <c r="BH128" i="29"/>
  <c r="BE907" i="29"/>
  <c r="AZ906" i="29" l="1"/>
  <c r="BC127" i="29"/>
  <c r="W56" i="59"/>
  <c r="W55" i="59"/>
  <c r="BE126" i="29"/>
  <c r="BB905" i="29"/>
  <c r="BD127" i="29"/>
  <c r="BA906" i="29"/>
  <c r="BA128" i="29"/>
  <c r="AX907" i="29"/>
  <c r="BJ126" i="29"/>
  <c r="BG905" i="29"/>
  <c r="AT904" i="29"/>
  <c r="AW126" i="29" s="1"/>
  <c r="AP126" i="29" s="1"/>
  <c r="BI129" i="29"/>
  <c r="BF908" i="29"/>
  <c r="AS906" i="29"/>
  <c r="AV128" i="29" s="1"/>
  <c r="BL128" i="29"/>
  <c r="BI907" i="29"/>
  <c r="BG129" i="29"/>
  <c r="BD908" i="29"/>
  <c r="AA48" i="59"/>
  <c r="AA52" i="59" s="1"/>
  <c r="AA54" i="59" s="1"/>
  <c r="J46" i="59"/>
  <c r="J47" i="59" s="1"/>
  <c r="AA49" i="59" s="1"/>
  <c r="BH129" i="29"/>
  <c r="BE908" i="29"/>
  <c r="BF129" i="29"/>
  <c r="BC908" i="29"/>
  <c r="BC128" i="29" l="1"/>
  <c r="AZ907" i="29"/>
  <c r="W50" i="59"/>
  <c r="AA51" i="59"/>
  <c r="BE127" i="29"/>
  <c r="BB906" i="29"/>
  <c r="BD128" i="29"/>
  <c r="BA907" i="29"/>
  <c r="BH130" i="29"/>
  <c r="BE909" i="29"/>
  <c r="BG130" i="29"/>
  <c r="BD909" i="29"/>
  <c r="BI130" i="29"/>
  <c r="BF909" i="29"/>
  <c r="BA129" i="29"/>
  <c r="AX908" i="29"/>
  <c r="BF130" i="29"/>
  <c r="BC909" i="29"/>
  <c r="AS907" i="29"/>
  <c r="AV129" i="29" s="1"/>
  <c r="BL129" i="29"/>
  <c r="BI908" i="29"/>
  <c r="BJ127" i="29"/>
  <c r="BG906" i="29"/>
  <c r="AT905" i="29"/>
  <c r="AW127" i="29" s="1"/>
  <c r="AZ908" i="29" l="1"/>
  <c r="BC129" i="29"/>
  <c r="AA55" i="59"/>
  <c r="AA56" i="59"/>
  <c r="BB907" i="29"/>
  <c r="BE128" i="29"/>
  <c r="BA908" i="29"/>
  <c r="BD129" i="29"/>
  <c r="BF131" i="29"/>
  <c r="BC910" i="29"/>
  <c r="BA130" i="29"/>
  <c r="AX909" i="29"/>
  <c r="BJ128" i="29"/>
  <c r="BG907" i="29"/>
  <c r="AT906" i="29"/>
  <c r="AW128" i="29" s="1"/>
  <c r="AP128" i="29" s="1"/>
  <c r="BL130" i="29"/>
  <c r="AS908" i="29"/>
  <c r="AV130" i="29" s="1"/>
  <c r="BI909" i="29"/>
  <c r="BG131" i="29"/>
  <c r="BD910" i="29"/>
  <c r="AP127" i="29"/>
  <c r="BI131" i="29"/>
  <c r="BF910" i="29"/>
  <c r="BH131" i="29"/>
  <c r="BE910" i="29"/>
  <c r="BC130" i="29" l="1"/>
  <c r="AZ909" i="29"/>
  <c r="AA50" i="59"/>
  <c r="BE129" i="29"/>
  <c r="BB908" i="29"/>
  <c r="BD130" i="29"/>
  <c r="BA909" i="29"/>
  <c r="BI132" i="29"/>
  <c r="BF911" i="29"/>
  <c r="BG132" i="29"/>
  <c r="BD911" i="29"/>
  <c r="BA131" i="29"/>
  <c r="AX910" i="29"/>
  <c r="BH132" i="29"/>
  <c r="BE911" i="29"/>
  <c r="BF132" i="29"/>
  <c r="BC911" i="29"/>
  <c r="BL131" i="29"/>
  <c r="AS909" i="29"/>
  <c r="AV131" i="29" s="1"/>
  <c r="BI910" i="29"/>
  <c r="BJ129" i="29"/>
  <c r="BG908" i="29"/>
  <c r="AT907" i="29"/>
  <c r="AW129" i="29" s="1"/>
  <c r="BC131" i="29" l="1"/>
  <c r="AZ910" i="29"/>
  <c r="BE130" i="29"/>
  <c r="BB909" i="29"/>
  <c r="BA910" i="29"/>
  <c r="BD131" i="29"/>
  <c r="AP129" i="29"/>
  <c r="BJ130" i="29"/>
  <c r="BG909" i="29"/>
  <c r="AT908" i="29"/>
  <c r="AW130" i="29" s="1"/>
  <c r="AP130" i="29" s="1"/>
  <c r="BF133" i="29"/>
  <c r="BC912" i="29"/>
  <c r="BA132" i="29"/>
  <c r="AX911" i="29"/>
  <c r="BL132" i="29"/>
  <c r="AS910" i="29"/>
  <c r="AV132" i="29" s="1"/>
  <c r="BI911" i="29"/>
  <c r="BI133" i="29"/>
  <c r="BF912" i="29"/>
  <c r="BH133" i="29"/>
  <c r="BE912" i="29"/>
  <c r="BG133" i="29"/>
  <c r="BD912" i="29"/>
  <c r="AZ911" i="29" l="1"/>
  <c r="BC132" i="29"/>
  <c r="BB910" i="29"/>
  <c r="BE131" i="29"/>
  <c r="BD132" i="29"/>
  <c r="BA911" i="29"/>
  <c r="BL133" i="29"/>
  <c r="AS911" i="29"/>
  <c r="AV133" i="29" s="1"/>
  <c r="BI912" i="29"/>
  <c r="BF134" i="29"/>
  <c r="BC913" i="29"/>
  <c r="BI134" i="29"/>
  <c r="BF913" i="29"/>
  <c r="BJ131" i="29"/>
  <c r="BG910" i="29"/>
  <c r="AT909" i="29"/>
  <c r="AW131" i="29" s="1"/>
  <c r="AP131" i="29" s="1"/>
  <c r="BH134" i="29"/>
  <c r="BE913" i="29"/>
  <c r="BG134" i="29"/>
  <c r="BD913" i="29"/>
  <c r="BA133" i="29"/>
  <c r="AX912" i="29"/>
  <c r="AZ912" i="29" l="1"/>
  <c r="BC133" i="29"/>
  <c r="BE132" i="29"/>
  <c r="BB911" i="29"/>
  <c r="BA912" i="29"/>
  <c r="BD133" i="29"/>
  <c r="BI135" i="29"/>
  <c r="BF914" i="29"/>
  <c r="BA134" i="29"/>
  <c r="AX913" i="29"/>
  <c r="BG135" i="29"/>
  <c r="AR173" i="29" s="1"/>
  <c r="V34" i="59" s="1"/>
  <c r="W34" i="59" s="1"/>
  <c r="BD914" i="29"/>
  <c r="BL134" i="29"/>
  <c r="AS912" i="29"/>
  <c r="AV134" i="29" s="1"/>
  <c r="BI913" i="29"/>
  <c r="BJ132" i="29"/>
  <c r="BG911" i="29"/>
  <c r="AT910" i="29"/>
  <c r="AW132" i="29" s="1"/>
  <c r="AP132" i="29" s="1"/>
  <c r="BF135" i="29"/>
  <c r="BC914" i="29"/>
  <c r="BH135" i="29"/>
  <c r="BE914" i="29"/>
  <c r="AZ913" i="29" l="1"/>
  <c r="BC134" i="29"/>
  <c r="BB912" i="29"/>
  <c r="BE133" i="29"/>
  <c r="BA913" i="29"/>
  <c r="BD134" i="29"/>
  <c r="BH136" i="29"/>
  <c r="BE915" i="29"/>
  <c r="BL135" i="29"/>
  <c r="AS913" i="29"/>
  <c r="AV135" i="29" s="1"/>
  <c r="BI914" i="29"/>
  <c r="BA135" i="29"/>
  <c r="AX914" i="29"/>
  <c r="BJ133" i="29"/>
  <c r="BG912" i="29"/>
  <c r="AT911" i="29"/>
  <c r="AW133" i="29" s="1"/>
  <c r="AP133" i="29" s="1"/>
  <c r="BI136" i="29"/>
  <c r="BF915" i="29"/>
  <c r="BF136" i="29"/>
  <c r="BC915" i="29"/>
  <c r="BG136" i="29"/>
  <c r="BD915" i="29"/>
  <c r="BC135" i="29" l="1"/>
  <c r="AZ914" i="29"/>
  <c r="BE134" i="29"/>
  <c r="BB913" i="29"/>
  <c r="BD135" i="29"/>
  <c r="BA914" i="29"/>
  <c r="BG137" i="29"/>
  <c r="BD916" i="29"/>
  <c r="BF137" i="29"/>
  <c r="BC916" i="29"/>
  <c r="BL136" i="29"/>
  <c r="AS914" i="29"/>
  <c r="AV136" i="29" s="1"/>
  <c r="BI915" i="29"/>
  <c r="BJ134" i="29"/>
  <c r="BG913" i="29"/>
  <c r="AT912" i="29"/>
  <c r="AW134" i="29" s="1"/>
  <c r="AP134" i="29" s="1"/>
  <c r="BA136" i="29"/>
  <c r="AX915" i="29"/>
  <c r="BH137" i="29"/>
  <c r="BE916" i="29"/>
  <c r="BI137" i="29"/>
  <c r="BF916" i="29"/>
  <c r="BC136" i="29" l="1"/>
  <c r="AZ915" i="29"/>
  <c r="BB914" i="29"/>
  <c r="BE135" i="29"/>
  <c r="BD136" i="29"/>
  <c r="BA915" i="29"/>
  <c r="BI138" i="29"/>
  <c r="BF917" i="29"/>
  <c r="BJ135" i="29"/>
  <c r="BG914" i="29"/>
  <c r="AT913" i="29"/>
  <c r="AW135" i="29" s="1"/>
  <c r="AP135" i="29" s="1"/>
  <c r="BA137" i="29"/>
  <c r="AX916" i="29"/>
  <c r="BF138" i="29"/>
  <c r="BC917" i="29"/>
  <c r="BH138" i="29"/>
  <c r="BE917" i="29"/>
  <c r="AS915" i="29"/>
  <c r="AV137" i="29" s="1"/>
  <c r="BL137" i="29"/>
  <c r="BI916" i="29"/>
  <c r="BG138" i="29"/>
  <c r="BD917" i="29"/>
  <c r="BC137" i="29" l="1"/>
  <c r="AZ916" i="29"/>
  <c r="BB915" i="29"/>
  <c r="BE136" i="29"/>
  <c r="BD137" i="29"/>
  <c r="BA916" i="29"/>
  <c r="BL138" i="29"/>
  <c r="AS916" i="29"/>
  <c r="AV138" i="29" s="1"/>
  <c r="BI917" i="29"/>
  <c r="BJ136" i="29"/>
  <c r="BG915" i="29"/>
  <c r="AT914" i="29"/>
  <c r="AW136" i="29" s="1"/>
  <c r="AP136" i="29" s="1"/>
  <c r="BA138" i="29"/>
  <c r="AX917" i="29"/>
  <c r="BI139" i="29"/>
  <c r="BF918" i="29"/>
  <c r="BG139" i="29"/>
  <c r="BD918" i="29"/>
  <c r="BH139" i="29"/>
  <c r="BE918" i="29"/>
  <c r="BF139" i="29"/>
  <c r="BC918" i="29"/>
  <c r="BC138" i="29" l="1"/>
  <c r="AZ917" i="29"/>
  <c r="BB916" i="29"/>
  <c r="BE137" i="29"/>
  <c r="BD138" i="29"/>
  <c r="BA917" i="29"/>
  <c r="BF140" i="29"/>
  <c r="BC919" i="29"/>
  <c r="BI140" i="29"/>
  <c r="BF919" i="29"/>
  <c r="BJ137" i="29"/>
  <c r="BG916" i="29"/>
  <c r="AT915" i="29"/>
  <c r="AW137" i="29" s="1"/>
  <c r="AP137" i="29" s="1"/>
  <c r="BH140" i="29"/>
  <c r="BE919" i="29"/>
  <c r="BG140" i="29"/>
  <c r="BD919" i="29"/>
  <c r="AS917" i="29"/>
  <c r="AV139" i="29" s="1"/>
  <c r="BL139" i="29"/>
  <c r="BI918" i="29"/>
  <c r="BA139" i="29"/>
  <c r="AX918" i="29"/>
  <c r="AZ918" i="29" l="1"/>
  <c r="BC139" i="29"/>
  <c r="BE138" i="29"/>
  <c r="BB917" i="29"/>
  <c r="BD139" i="29"/>
  <c r="BA918" i="29"/>
  <c r="BH141" i="29"/>
  <c r="BE920" i="29"/>
  <c r="BJ138" i="29"/>
  <c r="BG917" i="29"/>
  <c r="AT916" i="29"/>
  <c r="AW138" i="29" s="1"/>
  <c r="AP138" i="29" s="1"/>
  <c r="BA140" i="29"/>
  <c r="AX919" i="29"/>
  <c r="BG141" i="29"/>
  <c r="BD920" i="29"/>
  <c r="BI141" i="29"/>
  <c r="BF920" i="29"/>
  <c r="BF141" i="29"/>
  <c r="BC920" i="29"/>
  <c r="BL140" i="29"/>
  <c r="AS918" i="29"/>
  <c r="AV140" i="29" s="1"/>
  <c r="BI919" i="29"/>
  <c r="BC140" i="29" l="1"/>
  <c r="AZ919" i="29"/>
  <c r="BB918" i="29"/>
  <c r="BE139" i="29"/>
  <c r="BD140" i="29"/>
  <c r="BA919" i="29"/>
  <c r="BA141" i="29"/>
  <c r="AX920" i="29"/>
  <c r="BI142" i="29"/>
  <c r="BF921" i="29"/>
  <c r="BG142" i="29"/>
  <c r="BD921" i="29"/>
  <c r="BJ139" i="29"/>
  <c r="BG918" i="29"/>
  <c r="AT917" i="29"/>
  <c r="AW139" i="29" s="1"/>
  <c r="AP139" i="29" s="1"/>
  <c r="BH142" i="29"/>
  <c r="BE921" i="29"/>
  <c r="BL141" i="29"/>
  <c r="AS919" i="29"/>
  <c r="AV141" i="29" s="1"/>
  <c r="BI920" i="29"/>
  <c r="BF142" i="29"/>
  <c r="BC921" i="29"/>
  <c r="BC141" i="29" l="1"/>
  <c r="AZ920" i="29"/>
  <c r="BE140" i="29"/>
  <c r="BB919" i="29"/>
  <c r="BD141" i="29"/>
  <c r="BA920" i="29"/>
  <c r="BF143" i="29"/>
  <c r="BC922" i="29"/>
  <c r="BG143" i="29"/>
  <c r="BD922" i="29"/>
  <c r="BH143" i="29"/>
  <c r="BE922" i="29"/>
  <c r="BA142" i="29"/>
  <c r="AX921" i="29"/>
  <c r="BL142" i="29"/>
  <c r="AS920" i="29"/>
  <c r="AV142" i="29" s="1"/>
  <c r="BI921" i="29"/>
  <c r="BJ140" i="29"/>
  <c r="BG919" i="29"/>
  <c r="AT918" i="29"/>
  <c r="AW140" i="29" s="1"/>
  <c r="AP140" i="29" s="1"/>
  <c r="BI143" i="29"/>
  <c r="BF922" i="29"/>
  <c r="BC142" i="29" l="1"/>
  <c r="AZ921" i="29"/>
  <c r="BE141" i="29"/>
  <c r="BB920" i="29"/>
  <c r="BD142" i="29"/>
  <c r="BA921" i="29"/>
  <c r="BI144" i="29"/>
  <c r="BF923" i="29"/>
  <c r="BH144" i="29"/>
  <c r="BE923" i="29"/>
  <c r="BF144" i="29"/>
  <c r="BC923" i="29"/>
  <c r="BL143" i="29"/>
  <c r="AS921" i="29"/>
  <c r="AV143" i="29" s="1"/>
  <c r="BI922" i="29"/>
  <c r="BA143" i="29"/>
  <c r="AX922" i="29"/>
  <c r="BG144" i="29"/>
  <c r="BD923" i="29"/>
  <c r="BJ141" i="29"/>
  <c r="BG920" i="29"/>
  <c r="AT919" i="29"/>
  <c r="AW141" i="29" s="1"/>
  <c r="AP141" i="29" s="1"/>
  <c r="AZ922" i="29" l="1"/>
  <c r="BC143" i="29"/>
  <c r="BE142" i="29"/>
  <c r="BB921" i="29"/>
  <c r="BD143" i="29"/>
  <c r="BA922" i="29"/>
  <c r="BF145" i="29"/>
  <c r="BC924" i="29"/>
  <c r="BA144" i="29"/>
  <c r="AX923" i="29"/>
  <c r="BJ142" i="29"/>
  <c r="BG921" i="29"/>
  <c r="AT920" i="29"/>
  <c r="AW142" i="29" s="1"/>
  <c r="AP142" i="29" s="1"/>
  <c r="BG145" i="29"/>
  <c r="BD924" i="29"/>
  <c r="BL144" i="29"/>
  <c r="AS922" i="29"/>
  <c r="AV144" i="29" s="1"/>
  <c r="BI923" i="29"/>
  <c r="BH145" i="29"/>
  <c r="BE924" i="29"/>
  <c r="BI145" i="29"/>
  <c r="BF924" i="29"/>
  <c r="AZ923" i="29" l="1"/>
  <c r="BC144" i="29"/>
  <c r="BE143" i="29"/>
  <c r="BB922" i="29"/>
  <c r="BA923" i="29"/>
  <c r="BD144" i="29"/>
  <c r="BI146" i="29"/>
  <c r="BF925" i="29"/>
  <c r="AS923" i="29"/>
  <c r="AV145" i="29" s="1"/>
  <c r="BL145" i="29"/>
  <c r="BI924" i="29"/>
  <c r="BA145" i="29"/>
  <c r="AX924" i="29"/>
  <c r="BH146" i="29"/>
  <c r="BE925" i="29"/>
  <c r="BJ143" i="29"/>
  <c r="BG922" i="29"/>
  <c r="AT921" i="29"/>
  <c r="AW143" i="29" s="1"/>
  <c r="AP143" i="29" s="1"/>
  <c r="BF146" i="29"/>
  <c r="BC925" i="29"/>
  <c r="BG146" i="29"/>
  <c r="BD925" i="29"/>
  <c r="BC145" i="29" l="1"/>
  <c r="AZ924" i="29"/>
  <c r="BE144" i="29"/>
  <c r="BB923" i="29"/>
  <c r="BD145" i="29"/>
  <c r="BA924" i="29"/>
  <c r="BG147" i="29"/>
  <c r="BD926" i="29"/>
  <c r="BA146" i="29"/>
  <c r="AX925" i="29"/>
  <c r="BH147" i="29"/>
  <c r="BE926" i="29"/>
  <c r="BF147" i="29"/>
  <c r="BC926" i="29"/>
  <c r="BI147" i="29"/>
  <c r="BF926" i="29"/>
  <c r="BJ144" i="29"/>
  <c r="BG923" i="29"/>
  <c r="AT922" i="29"/>
  <c r="AW144" i="29" s="1"/>
  <c r="AP144" i="29" s="1"/>
  <c r="BL146" i="29"/>
  <c r="AS924" i="29"/>
  <c r="AV146" i="29" s="1"/>
  <c r="BI925" i="29"/>
  <c r="AZ925" i="29" l="1"/>
  <c r="BC146" i="29"/>
  <c r="BE145" i="29"/>
  <c r="BB924" i="29"/>
  <c r="BD146" i="29"/>
  <c r="BA925" i="29"/>
  <c r="BI148" i="29"/>
  <c r="BF927" i="29"/>
  <c r="BH148" i="29"/>
  <c r="BE927" i="29"/>
  <c r="AS925" i="29"/>
  <c r="AV147" i="29" s="1"/>
  <c r="BL147" i="29"/>
  <c r="BI926" i="29"/>
  <c r="BJ145" i="29"/>
  <c r="BG924" i="29"/>
  <c r="AT923" i="29"/>
  <c r="AW145" i="29" s="1"/>
  <c r="AP145" i="29" s="1"/>
  <c r="BF148" i="29"/>
  <c r="BC927" i="29"/>
  <c r="BA147" i="29"/>
  <c r="AX926" i="29"/>
  <c r="BG148" i="29"/>
  <c r="BD927" i="29"/>
  <c r="AZ926" i="29" l="1"/>
  <c r="BC147" i="29"/>
  <c r="BB925" i="29"/>
  <c r="BE146" i="29"/>
  <c r="BA926" i="29"/>
  <c r="BD147" i="29"/>
  <c r="BJ146" i="29"/>
  <c r="BG925" i="29"/>
  <c r="AT924" i="29"/>
  <c r="AW146" i="29" s="1"/>
  <c r="AP146" i="29" s="1"/>
  <c r="BG149" i="29"/>
  <c r="BD928" i="29"/>
  <c r="BF149" i="29"/>
  <c r="BC928" i="29"/>
  <c r="BH149" i="29"/>
  <c r="BE928" i="29"/>
  <c r="BL148" i="29"/>
  <c r="AS926" i="29"/>
  <c r="AV148" i="29" s="1"/>
  <c r="BI927" i="29"/>
  <c r="BA148" i="29"/>
  <c r="AX927" i="29"/>
  <c r="BI149" i="29"/>
  <c r="BF928" i="29"/>
  <c r="BC148" i="29" l="1"/>
  <c r="AZ927" i="29"/>
  <c r="BB926" i="29"/>
  <c r="BE147" i="29"/>
  <c r="BD148" i="29"/>
  <c r="BA927" i="29"/>
  <c r="BA149" i="29"/>
  <c r="AX928" i="29"/>
  <c r="BF150" i="29"/>
  <c r="BC929" i="29"/>
  <c r="AS927" i="29"/>
  <c r="AV149" i="29" s="1"/>
  <c r="BL149" i="29"/>
  <c r="BI928" i="29"/>
  <c r="BJ147" i="29"/>
  <c r="BG926" i="29"/>
  <c r="AT925" i="29"/>
  <c r="AW147" i="29" s="1"/>
  <c r="AP147" i="29" s="1"/>
  <c r="BI150" i="29"/>
  <c r="BF929" i="29"/>
  <c r="BH150" i="29"/>
  <c r="BE929" i="29"/>
  <c r="BG150" i="29"/>
  <c r="BD929" i="29"/>
  <c r="BC149" i="29" l="1"/>
  <c r="AZ928" i="29"/>
  <c r="BE148" i="29"/>
  <c r="BB927" i="29"/>
  <c r="BA928" i="29"/>
  <c r="BD149" i="29"/>
  <c r="BG151" i="29"/>
  <c r="BD930" i="29"/>
  <c r="BJ148" i="29"/>
  <c r="BG927" i="29"/>
  <c r="AT926" i="29"/>
  <c r="AW148" i="29" s="1"/>
  <c r="AP148" i="29" s="1"/>
  <c r="BF151" i="29"/>
  <c r="BC930" i="29"/>
  <c r="BI151" i="29"/>
  <c r="BF930" i="29"/>
  <c r="BH151" i="29"/>
  <c r="BE930" i="29"/>
  <c r="BL150" i="29"/>
  <c r="AS928" i="29"/>
  <c r="AV150" i="29" s="1"/>
  <c r="BI929" i="29"/>
  <c r="BA150" i="29"/>
  <c r="AX929" i="29"/>
  <c r="BC150" i="29" l="1"/>
  <c r="AZ929" i="29"/>
  <c r="BE149" i="29"/>
  <c r="BB928" i="29"/>
  <c r="BD150" i="29"/>
  <c r="BA929" i="29"/>
  <c r="BH152" i="29"/>
  <c r="BE931" i="29"/>
  <c r="BA151" i="29"/>
  <c r="AX930" i="29"/>
  <c r="BF152" i="29"/>
  <c r="BC931" i="29"/>
  <c r="BG152" i="29"/>
  <c r="BD931" i="29"/>
  <c r="AS929" i="29"/>
  <c r="AV151" i="29" s="1"/>
  <c r="BL151" i="29"/>
  <c r="BI930" i="29"/>
  <c r="BJ149" i="29"/>
  <c r="BG928" i="29"/>
  <c r="AT927" i="29"/>
  <c r="AW149" i="29" s="1"/>
  <c r="AP149" i="29" s="1"/>
  <c r="BI152" i="29"/>
  <c r="BF931" i="29"/>
  <c r="BC151" i="29" l="1"/>
  <c r="AZ930" i="29"/>
  <c r="BE150" i="29"/>
  <c r="BB929" i="29"/>
  <c r="BD151" i="29"/>
  <c r="BA930" i="29"/>
  <c r="BI153" i="29"/>
  <c r="BF932" i="29"/>
  <c r="BG153" i="29"/>
  <c r="BD932" i="29"/>
  <c r="BA152" i="29"/>
  <c r="AX931" i="29"/>
  <c r="BJ150" i="29"/>
  <c r="BG929" i="29"/>
  <c r="AT928" i="29"/>
  <c r="AW150" i="29" s="1"/>
  <c r="AP150" i="29" s="1"/>
  <c r="AS930" i="29"/>
  <c r="AV152" i="29" s="1"/>
  <c r="BL152" i="29"/>
  <c r="BI931" i="29"/>
  <c r="BF153" i="29"/>
  <c r="BC932" i="29"/>
  <c r="BH153" i="29"/>
  <c r="BE932" i="29"/>
  <c r="BC152" i="29" l="1"/>
  <c r="AZ931" i="29"/>
  <c r="BE151" i="29"/>
  <c r="BB930" i="29"/>
  <c r="BA931" i="29"/>
  <c r="BD152" i="29"/>
  <c r="BH154" i="29"/>
  <c r="BE933" i="29"/>
  <c r="BL153" i="29"/>
  <c r="AS931" i="29"/>
  <c r="AV153" i="29" s="1"/>
  <c r="BI932" i="29"/>
  <c r="BJ151" i="29"/>
  <c r="BG930" i="29"/>
  <c r="AT929" i="29"/>
  <c r="AW151" i="29" s="1"/>
  <c r="AP151" i="29" s="1"/>
  <c r="BI154" i="29"/>
  <c r="BF933" i="29"/>
  <c r="BA153" i="29"/>
  <c r="AX932" i="29"/>
  <c r="BF154" i="29"/>
  <c r="BC933" i="29"/>
  <c r="BG154" i="29"/>
  <c r="BD933" i="29"/>
  <c r="BC153" i="29" l="1"/>
  <c r="AZ932" i="29"/>
  <c r="BB931" i="29"/>
  <c r="BE152" i="29"/>
  <c r="BD153" i="29"/>
  <c r="BA932" i="29"/>
  <c r="BA154" i="29"/>
  <c r="AX933" i="29"/>
  <c r="BJ152" i="29"/>
  <c r="BG931" i="29"/>
  <c r="AT930" i="29"/>
  <c r="AW152" i="29" s="1"/>
  <c r="AP152" i="29" s="1"/>
  <c r="BG155" i="29"/>
  <c r="BD934" i="29"/>
  <c r="BF155" i="29"/>
  <c r="BC934" i="29"/>
  <c r="BI155" i="29"/>
  <c r="BF934" i="29"/>
  <c r="BH155" i="29"/>
  <c r="BE934" i="29"/>
  <c r="BL154" i="29"/>
  <c r="AS932" i="29"/>
  <c r="AV154" i="29" s="1"/>
  <c r="BI933" i="29"/>
  <c r="BC154" i="29" l="1"/>
  <c r="AZ933" i="29"/>
  <c r="BE153" i="29"/>
  <c r="BB932" i="29"/>
  <c r="BA933" i="29"/>
  <c r="BD154" i="29"/>
  <c r="BA155" i="29"/>
  <c r="AX934" i="29"/>
  <c r="BI156" i="29"/>
  <c r="BF935" i="29"/>
  <c r="BJ153" i="29"/>
  <c r="BG932" i="29"/>
  <c r="AT931" i="29"/>
  <c r="AW153" i="29" s="1"/>
  <c r="AP153" i="29" s="1"/>
  <c r="BG156" i="29"/>
  <c r="BD935" i="29"/>
  <c r="AS933" i="29"/>
  <c r="AV155" i="29" s="1"/>
  <c r="BL155" i="29"/>
  <c r="BI934" i="29"/>
  <c r="BE935" i="29"/>
  <c r="BH156" i="29"/>
  <c r="BF156" i="29"/>
  <c r="BC935" i="29"/>
  <c r="BC155" i="29" l="1"/>
  <c r="AZ934" i="29"/>
  <c r="BB933" i="29"/>
  <c r="BE154" i="29"/>
  <c r="BD155" i="29"/>
  <c r="BA934" i="29"/>
  <c r="BF157" i="29"/>
  <c r="BC936" i="29"/>
  <c r="BL156" i="29"/>
  <c r="AS934" i="29"/>
  <c r="AV156" i="29" s="1"/>
  <c r="BI935" i="29"/>
  <c r="BJ154" i="29"/>
  <c r="BG933" i="29"/>
  <c r="AT932" i="29"/>
  <c r="AW154" i="29" s="1"/>
  <c r="AP154" i="29" s="1"/>
  <c r="BA156" i="29"/>
  <c r="AX935" i="29"/>
  <c r="BG157" i="29"/>
  <c r="BD936" i="29"/>
  <c r="BF936" i="29"/>
  <c r="BI157" i="29"/>
  <c r="BH157" i="29"/>
  <c r="BE936" i="29"/>
  <c r="AZ935" i="29" l="1"/>
  <c r="BC156" i="29"/>
  <c r="BB934" i="29"/>
  <c r="BE155" i="29"/>
  <c r="BA935" i="29"/>
  <c r="BD156" i="29"/>
  <c r="BG158" i="29"/>
  <c r="BD937" i="29"/>
  <c r="BJ155" i="29"/>
  <c r="BG934" i="29"/>
  <c r="AT933" i="29"/>
  <c r="AW155" i="29" s="1"/>
  <c r="AP155" i="29" s="1"/>
  <c r="BH158" i="29"/>
  <c r="BE937" i="29"/>
  <c r="BA157" i="29"/>
  <c r="AX936" i="29"/>
  <c r="BF158" i="29"/>
  <c r="BC937" i="29"/>
  <c r="BI158" i="29"/>
  <c r="BF937" i="29"/>
  <c r="AS935" i="29"/>
  <c r="AV157" i="29" s="1"/>
  <c r="BL157" i="29"/>
  <c r="BI936" i="29"/>
  <c r="BC157" i="29" l="1"/>
  <c r="AZ936" i="29"/>
  <c r="BE156" i="29"/>
  <c r="BB935" i="29"/>
  <c r="BD157" i="29"/>
  <c r="BA936" i="29"/>
  <c r="BL158" i="29"/>
  <c r="AS936" i="29"/>
  <c r="AV158" i="29" s="1"/>
  <c r="BI937" i="29"/>
  <c r="BF159" i="29"/>
  <c r="BC938" i="29"/>
  <c r="BH159" i="29"/>
  <c r="BE938" i="29"/>
  <c r="BG159" i="29"/>
  <c r="BD938" i="29"/>
  <c r="BA158" i="29"/>
  <c r="AX937" i="29"/>
  <c r="BI159" i="29"/>
  <c r="BF938" i="29"/>
  <c r="BJ156" i="29"/>
  <c r="BG935" i="29"/>
  <c r="AT934" i="29"/>
  <c r="AW156" i="29" s="1"/>
  <c r="AP156" i="29" s="1"/>
  <c r="BC158" i="29" l="1"/>
  <c r="AZ937" i="29"/>
  <c r="BE157" i="29"/>
  <c r="BB936" i="29"/>
  <c r="BA937" i="29"/>
  <c r="BD158" i="29"/>
  <c r="BE939" i="29"/>
  <c r="BH160" i="29"/>
  <c r="BL159" i="29"/>
  <c r="AS937" i="29"/>
  <c r="AV159" i="29" s="1"/>
  <c r="BI938" i="29"/>
  <c r="BG160" i="29"/>
  <c r="BD939" i="29"/>
  <c r="BF160" i="29"/>
  <c r="BC939" i="29"/>
  <c r="BI160" i="29"/>
  <c r="BF939" i="29"/>
  <c r="BJ157" i="29"/>
  <c r="BG936" i="29"/>
  <c r="AT935" i="29"/>
  <c r="AW157" i="29" s="1"/>
  <c r="AP157" i="29" s="1"/>
  <c r="BA159" i="29"/>
  <c r="AX938" i="29"/>
  <c r="AZ938" i="29" l="1"/>
  <c r="BC159" i="29"/>
  <c r="BB937" i="29"/>
  <c r="BE158" i="29"/>
  <c r="BA938" i="29"/>
  <c r="BD159" i="29"/>
  <c r="BA160" i="29"/>
  <c r="AX939" i="29"/>
  <c r="BF940" i="29"/>
  <c r="BI161" i="29"/>
  <c r="BG161" i="29"/>
  <c r="BD940" i="29"/>
  <c r="BF161" i="29"/>
  <c r="BC940" i="29"/>
  <c r="BJ158" i="29"/>
  <c r="BG937" i="29"/>
  <c r="AT936" i="29"/>
  <c r="AW158" i="29" s="1"/>
  <c r="AP158" i="29" s="1"/>
  <c r="BL160" i="29"/>
  <c r="AS938" i="29"/>
  <c r="AV160" i="29" s="1"/>
  <c r="BI939" i="29"/>
  <c r="BH161" i="29"/>
  <c r="BE940" i="29"/>
  <c r="BC160" i="29" l="1"/>
  <c r="AZ939" i="29"/>
  <c r="BE159" i="29"/>
  <c r="BB938" i="29"/>
  <c r="BA939" i="29"/>
  <c r="BD160" i="29"/>
  <c r="AS939" i="29"/>
  <c r="AV161" i="29" s="1"/>
  <c r="BL161" i="29"/>
  <c r="BI940" i="29"/>
  <c r="BJ159" i="29"/>
  <c r="BG938" i="29"/>
  <c r="AT937" i="29"/>
  <c r="AW159" i="29" s="1"/>
  <c r="AP159" i="29" s="1"/>
  <c r="BH162" i="29"/>
  <c r="BE941" i="29"/>
  <c r="BF162" i="29"/>
  <c r="BC941" i="29"/>
  <c r="BI162" i="29"/>
  <c r="BF941" i="29"/>
  <c r="BG162" i="29"/>
  <c r="BD941" i="29"/>
  <c r="BA161" i="29"/>
  <c r="AX940" i="29"/>
  <c r="AZ940" i="29" l="1"/>
  <c r="BC161" i="29"/>
  <c r="BE160" i="29"/>
  <c r="BB939" i="29"/>
  <c r="BD161" i="29"/>
  <c r="BA940" i="29"/>
  <c r="BA162" i="29"/>
  <c r="AX941" i="29"/>
  <c r="BI163" i="29"/>
  <c r="BF942" i="29"/>
  <c r="BH163" i="29"/>
  <c r="BE942" i="29"/>
  <c r="BJ160" i="29"/>
  <c r="BG939" i="29"/>
  <c r="AT938" i="29"/>
  <c r="AW160" i="29" s="1"/>
  <c r="AP160" i="29" s="1"/>
  <c r="BD942" i="29"/>
  <c r="BG163" i="29"/>
  <c r="BF163" i="29"/>
  <c r="BC942" i="29"/>
  <c r="AS940" i="29"/>
  <c r="AV162" i="29" s="1"/>
  <c r="BL162" i="29"/>
  <c r="BI941" i="29"/>
  <c r="BC162" i="29" l="1"/>
  <c r="AZ941" i="29"/>
  <c r="BE161" i="29"/>
  <c r="BB940" i="29"/>
  <c r="BD162" i="29"/>
  <c r="BA941" i="29"/>
  <c r="BF164" i="29"/>
  <c r="BC943" i="29"/>
  <c r="BL163" i="29"/>
  <c r="AS941" i="29"/>
  <c r="AV163" i="29" s="1"/>
  <c r="BI942" i="29"/>
  <c r="BJ161" i="29"/>
  <c r="BG940" i="29"/>
  <c r="AT939" i="29"/>
  <c r="AW161" i="29" s="1"/>
  <c r="AP161" i="29" s="1"/>
  <c r="BI164" i="29"/>
  <c r="BF943" i="29"/>
  <c r="BG164" i="29"/>
  <c r="BD943" i="29"/>
  <c r="BE943" i="29"/>
  <c r="BH164" i="29"/>
  <c r="BA163" i="29"/>
  <c r="AX942" i="29"/>
  <c r="AZ942" i="29" l="1"/>
  <c r="BC163" i="29"/>
  <c r="BE162" i="29"/>
  <c r="BB941" i="29"/>
  <c r="BA942" i="29"/>
  <c r="BD163" i="29"/>
  <c r="BA164" i="29"/>
  <c r="AX943" i="29"/>
  <c r="BG165" i="29"/>
  <c r="BD944" i="29"/>
  <c r="BJ162" i="29"/>
  <c r="BG941" i="29"/>
  <c r="AT940" i="29"/>
  <c r="AW162" i="29" s="1"/>
  <c r="AP162" i="29" s="1"/>
  <c r="BF165" i="29"/>
  <c r="BC944" i="29"/>
  <c r="BL164" i="29"/>
  <c r="AS942" i="29"/>
  <c r="AV164" i="29" s="1"/>
  <c r="BI943" i="29"/>
  <c r="BF944" i="29"/>
  <c r="BI165" i="29"/>
  <c r="BH165" i="29"/>
  <c r="BE944" i="29"/>
  <c r="AZ943" i="29" l="1"/>
  <c r="BC164" i="29"/>
  <c r="BB942" i="29"/>
  <c r="BE163" i="29"/>
  <c r="BA943" i="29"/>
  <c r="BD164" i="29"/>
  <c r="BF945" i="29"/>
  <c r="BI166" i="29"/>
  <c r="BH166" i="29"/>
  <c r="BE945" i="29"/>
  <c r="BJ163" i="29"/>
  <c r="BG942" i="29"/>
  <c r="AT941" i="29"/>
  <c r="AW163" i="29" s="1"/>
  <c r="AP163" i="29" s="1"/>
  <c r="BA165" i="29"/>
  <c r="AX944" i="29"/>
  <c r="BF166" i="29"/>
  <c r="BC945" i="29"/>
  <c r="AS943" i="29"/>
  <c r="AV165" i="29" s="1"/>
  <c r="BL165" i="29"/>
  <c r="BI944" i="29"/>
  <c r="BG166" i="29"/>
  <c r="BD945" i="29"/>
  <c r="AZ944" i="29" l="1"/>
  <c r="BC165" i="29"/>
  <c r="BE164" i="29"/>
  <c r="BB943" i="29"/>
  <c r="BD165" i="29"/>
  <c r="BA944" i="29"/>
  <c r="BG167" i="29"/>
  <c r="BD946" i="29"/>
  <c r="BL166" i="29"/>
  <c r="BI945" i="29"/>
  <c r="AS944" i="29"/>
  <c r="AV166" i="29" s="1"/>
  <c r="BA166" i="29"/>
  <c r="AX945" i="29"/>
  <c r="BF167" i="29"/>
  <c r="BC946" i="29"/>
  <c r="BJ164" i="29"/>
  <c r="BG943" i="29"/>
  <c r="AT942" i="29"/>
  <c r="AW164" i="29" s="1"/>
  <c r="AP164" i="29" s="1"/>
  <c r="BH167" i="29"/>
  <c r="BE946" i="29"/>
  <c r="BI167" i="29"/>
  <c r="BF946" i="29"/>
  <c r="BC166" i="29" l="1"/>
  <c r="AZ945" i="29"/>
  <c r="BE165" i="29"/>
  <c r="BB944" i="29"/>
  <c r="BD166" i="29"/>
  <c r="BA945" i="29"/>
  <c r="BI168" i="29"/>
  <c r="BF947" i="29"/>
  <c r="BJ165" i="29"/>
  <c r="BG944" i="29"/>
  <c r="AT943" i="29"/>
  <c r="AW165" i="29" s="1"/>
  <c r="AP165" i="29" s="1"/>
  <c r="BH168" i="29"/>
  <c r="BE947" i="29"/>
  <c r="BF168" i="29"/>
  <c r="BC947" i="29"/>
  <c r="AS945" i="29"/>
  <c r="AV167" i="29" s="1"/>
  <c r="BL167" i="29"/>
  <c r="BI946" i="29"/>
  <c r="BG168" i="29"/>
  <c r="BD947" i="29"/>
  <c r="BA167" i="29"/>
  <c r="AX946" i="29"/>
  <c r="AZ946" i="29" l="1"/>
  <c r="BC167" i="29"/>
  <c r="BB945" i="29"/>
  <c r="BE166" i="29"/>
  <c r="BD167" i="29"/>
  <c r="BA946" i="29"/>
  <c r="BI947" i="29"/>
  <c r="BL168" i="29"/>
  <c r="AS946" i="29"/>
  <c r="AV168" i="29" s="1"/>
  <c r="BA168" i="29"/>
  <c r="AX947" i="29"/>
  <c r="BF169" i="29"/>
  <c r="BC948" i="29"/>
  <c r="BG169" i="29"/>
  <c r="BD948" i="29"/>
  <c r="BH169" i="29"/>
  <c r="BE948" i="29"/>
  <c r="BJ166" i="29"/>
  <c r="BG945" i="29"/>
  <c r="AT944" i="29"/>
  <c r="AW166" i="29" s="1"/>
  <c r="AP166" i="29" s="1"/>
  <c r="BF948" i="29"/>
  <c r="BI169" i="29"/>
  <c r="BC168" i="29" l="1"/>
  <c r="AZ947" i="29"/>
  <c r="BE167" i="29"/>
  <c r="BB946" i="29"/>
  <c r="BD168" i="29"/>
  <c r="BA947" i="29"/>
  <c r="BG170" i="29"/>
  <c r="BD949" i="29"/>
  <c r="BF949" i="29"/>
  <c r="BI170" i="29"/>
  <c r="AY173" i="29" s="1"/>
  <c r="V40" i="59" s="1"/>
  <c r="W40" i="59" s="1"/>
  <c r="BH170" i="29"/>
  <c r="AX173" i="29" s="1"/>
  <c r="V41" i="59" s="1"/>
  <c r="W41" i="59" s="1"/>
  <c r="BE949" i="29"/>
  <c r="BF170" i="29"/>
  <c r="BC949" i="29"/>
  <c r="BJ167" i="29"/>
  <c r="BG946" i="29"/>
  <c r="AT945" i="29"/>
  <c r="AW167" i="29" s="1"/>
  <c r="AP167" i="29" s="1"/>
  <c r="BA169" i="29"/>
  <c r="AX948" i="29"/>
  <c r="BL169" i="29"/>
  <c r="AS947" i="29"/>
  <c r="AV169" i="29" s="1"/>
  <c r="BI948" i="29"/>
  <c r="BC169" i="29" l="1"/>
  <c r="AZ948" i="29"/>
  <c r="BE168" i="29"/>
  <c r="BB947" i="29"/>
  <c r="BD169" i="29"/>
  <c r="BA948" i="29"/>
  <c r="BL170" i="29"/>
  <c r="AS948" i="29"/>
  <c r="AV170" i="29" s="1"/>
  <c r="BI949" i="29"/>
  <c r="BJ168" i="29"/>
  <c r="BG947" i="29"/>
  <c r="AT946" i="29"/>
  <c r="AW168" i="29" s="1"/>
  <c r="AP168" i="29" s="1"/>
  <c r="BF171" i="29"/>
  <c r="BC950" i="29"/>
  <c r="BF172" i="29" s="1"/>
  <c r="BA170" i="29"/>
  <c r="AX949" i="29"/>
  <c r="BI171" i="29"/>
  <c r="BF950" i="29"/>
  <c r="BI172" i="29" s="1"/>
  <c r="BH171" i="29"/>
  <c r="BE950" i="29"/>
  <c r="BH172" i="29" s="1"/>
  <c r="BG171" i="29"/>
  <c r="BD950" i="29"/>
  <c r="BG172" i="29" s="1"/>
  <c r="AZ949" i="29" l="1"/>
  <c r="BC170" i="29"/>
  <c r="AS173" i="29" s="1"/>
  <c r="V35" i="59" s="1"/>
  <c r="W35" i="59" s="1"/>
  <c r="BB948" i="29"/>
  <c r="BE169" i="29"/>
  <c r="BA949" i="29"/>
  <c r="BD170" i="29"/>
  <c r="AT173" i="29" s="1"/>
  <c r="V36" i="59" s="1"/>
  <c r="W36" i="59" s="1"/>
  <c r="BL171" i="29"/>
  <c r="AS949" i="29"/>
  <c r="AV171" i="29" s="1"/>
  <c r="BI950" i="29"/>
  <c r="BA171" i="29"/>
  <c r="AX950" i="29"/>
  <c r="BA172" i="29" s="1"/>
  <c r="BJ169" i="29"/>
  <c r="BG948" i="29"/>
  <c r="AT947" i="29"/>
  <c r="AW169" i="29" s="1"/>
  <c r="AP169" i="29" s="1"/>
  <c r="BC171" i="29" l="1"/>
  <c r="AZ950" i="29"/>
  <c r="BC172" i="29" s="1"/>
  <c r="BB949" i="29"/>
  <c r="BE170" i="29"/>
  <c r="AU173" i="29" s="1"/>
  <c r="V37" i="59" s="1"/>
  <c r="W37" i="59" s="1"/>
  <c r="BA173" i="29"/>
  <c r="V43" i="59" s="1"/>
  <c r="W43" i="59" s="1"/>
  <c r="BD171" i="29"/>
  <c r="BA950" i="29"/>
  <c r="BD172" i="29" s="1"/>
  <c r="AS950" i="29"/>
  <c r="AV172" i="29" s="1"/>
  <c r="BL172" i="29"/>
  <c r="BJ170" i="29"/>
  <c r="AZ173" i="29" s="1"/>
  <c r="V42" i="59" s="1"/>
  <c r="W42" i="59" s="1"/>
  <c r="BG949" i="29"/>
  <c r="AT948" i="29"/>
  <c r="AW170" i="29" s="1"/>
  <c r="AP170" i="29" s="1"/>
  <c r="BB950" i="29" l="1"/>
  <c r="BE172" i="29" s="1"/>
  <c r="BE171" i="29"/>
  <c r="AV173" i="29"/>
  <c r="V38" i="59" s="1"/>
  <c r="W38" i="59" s="1"/>
  <c r="BJ171" i="29"/>
  <c r="BG950" i="29"/>
  <c r="AT949" i="29"/>
  <c r="AW171" i="29" s="1"/>
  <c r="AP171" i="29" s="1"/>
  <c r="BJ172" i="29" l="1"/>
  <c r="AT950" i="29"/>
  <c r="AW172" i="29" s="1"/>
  <c r="AW173" i="29" l="1"/>
  <c r="V39" i="59" s="1"/>
  <c r="W39" i="59" s="1"/>
  <c r="AP172" i="29"/>
  <c r="AP119" i="29" s="1"/>
  <c r="V45" i="59" s="1"/>
</calcChain>
</file>

<file path=xl/comments1.xml><?xml version="1.0" encoding="utf-8"?>
<comments xmlns="http://schemas.openxmlformats.org/spreadsheetml/2006/main">
  <authors>
    <author>David Frick</author>
  </authors>
  <commentList>
    <comment ref="E127" authorId="0" shapeId="0">
      <text>
        <r>
          <rPr>
            <sz val="9"/>
            <color indexed="81"/>
            <rFont val="Tahoma"/>
            <family val="2"/>
          </rPr>
          <t>Sie erhalten durch
Bewegen des Mauscoursors
auf eine mit einer roten
Ecke markierte Zelle
weiterführende
hilfreiche Informationen</t>
        </r>
      </text>
    </comment>
  </commentList>
</comments>
</file>

<file path=xl/comments10.xml><?xml version="1.0" encoding="utf-8"?>
<comments xmlns="http://schemas.openxmlformats.org/spreadsheetml/2006/main">
  <authors>
    <author>Diete Fiete</author>
    <author>David Frick</author>
    <author>administrator</author>
  </authors>
  <commentList>
    <comment ref="J18" authorId="0" shapeId="0">
      <text>
        <r>
          <rPr>
            <sz val="9"/>
            <color indexed="81"/>
            <rFont val="Tahoma"/>
            <family val="2"/>
          </rPr>
          <t>Technischer Kennwert wie
z.B.: U-Wert, g-wert,
z-Wert, 1/h,</t>
        </r>
      </text>
    </comment>
    <comment ref="AI18" authorId="0" shapeId="0">
      <text>
        <r>
          <rPr>
            <sz val="9"/>
            <color indexed="81"/>
            <rFont val="Tahoma"/>
            <family val="2"/>
          </rPr>
          <t>Technische Lebensdauer,
wichtig für Betrachtung
mit Restwert</t>
        </r>
      </text>
    </comment>
    <comment ref="U20" authorId="1" shapeId="0">
      <text>
        <r>
          <rPr>
            <sz val="9"/>
            <color indexed="81"/>
            <rFont val="Tahoma"/>
            <family val="2"/>
          </rPr>
          <t>Werte z.B aus VDI 2076</t>
        </r>
      </text>
    </comment>
    <comment ref="X20" authorId="1" shapeId="0">
      <text>
        <r>
          <rPr>
            <sz val="9"/>
            <color indexed="81"/>
            <rFont val="Tahoma"/>
            <family val="2"/>
          </rPr>
          <t>Werte z.B aus VDI 2076</t>
        </r>
      </text>
    </comment>
    <comment ref="AA20" authorId="1" shapeId="0">
      <text>
        <r>
          <rPr>
            <sz val="9"/>
            <color indexed="81"/>
            <rFont val="Tahoma"/>
            <family val="2"/>
          </rPr>
          <t>Werte z.B aus VDI 2076</t>
        </r>
      </text>
    </comment>
    <comment ref="AD20" authorId="1" shapeId="0">
      <text>
        <r>
          <rPr>
            <sz val="9"/>
            <color indexed="81"/>
            <rFont val="Tahoma"/>
            <family val="2"/>
          </rPr>
          <t>Werte z.B aus VDI 2076</t>
        </r>
      </text>
    </comment>
    <comment ref="E33" authorId="2" shapeId="0">
      <text>
        <r>
          <rPr>
            <sz val="9"/>
            <color indexed="81"/>
            <rFont val="Tahoma"/>
            <family val="2"/>
          </rPr>
          <t>Versorgungsanlagen und
-leitungen außerhalb des
Objektes bis
Hausanschluss, z. B.
Wasser, Gas, Strom</t>
        </r>
      </text>
    </comment>
    <comment ref="E102" authorId="1" shapeId="0">
      <text>
        <r>
          <rPr>
            <sz val="9"/>
            <color indexed="81"/>
            <rFont val="Tahoma"/>
            <family val="2"/>
          </rPr>
          <t>Sondenwärmetauscher,
Flächenwärmetauscher,
Rauch- Abgasfänge,
Durchbruch für größeren
Ölkessel, Bauliche
Mehrkosten Nachtlüftung</t>
        </r>
      </text>
    </comment>
    <comment ref="E117" authorId="2" shapeId="0">
      <text>
        <r>
          <rPr>
            <sz val="9"/>
            <color indexed="81"/>
            <rFont val="Tahoma"/>
            <family val="2"/>
          </rPr>
          <t>Unterböden und
Bodenplatten, die nicht
der Fundierung dienen</t>
        </r>
      </text>
    </comment>
    <comment ref="E126" authorId="2" shapeId="0">
      <text>
        <r>
          <rPr>
            <sz val="9"/>
            <color indexed="81"/>
            <rFont val="Tahoma"/>
            <family val="2"/>
          </rPr>
          <t>Brennstoffversorgung,
Wärmeübergabestationen,
Wärmeerzeugung, zentrale
Wassererwärmungsanlagen</t>
        </r>
      </text>
    </comment>
    <comment ref="E134" authorId="2" shapeId="0">
      <text>
        <r>
          <rPr>
            <sz val="9"/>
            <color indexed="81"/>
            <rFont val="Tahoma"/>
            <family val="2"/>
          </rPr>
          <t>Pumpen, Verteiler,
Rohrleitungen für
Raumheizflächen,
raumlufttechnische
Anlagen und sonstige
Wärmeverteiler</t>
        </r>
      </text>
    </comment>
    <comment ref="N135" authorId="0" shapeId="0">
      <text>
        <r>
          <rPr>
            <sz val="9"/>
            <color indexed="81"/>
            <rFont val="Tahoma"/>
            <family val="2"/>
          </rPr>
          <t>verlegte Länge</t>
        </r>
      </text>
    </comment>
    <comment ref="E136" authorId="2" shapeId="0">
      <text>
        <r>
          <rPr>
            <sz val="9"/>
            <color indexed="81"/>
            <rFont val="Tahoma"/>
            <family val="2"/>
          </rPr>
          <t>Heizkörper,
Flächenheizsysteme</t>
        </r>
      </text>
    </comment>
    <comment ref="N138" authorId="0" shapeId="0">
      <text>
        <r>
          <rPr>
            <sz val="9"/>
            <color indexed="81"/>
            <rFont val="Tahoma"/>
            <family val="2"/>
          </rPr>
          <t>verlegte Fläche</t>
        </r>
      </text>
    </comment>
    <comment ref="N139" authorId="0" shapeId="0">
      <text>
        <r>
          <rPr>
            <sz val="9"/>
            <color indexed="81"/>
            <rFont val="Tahoma"/>
            <family val="2"/>
          </rPr>
          <t>verlegte Fläche</t>
        </r>
      </text>
    </comment>
    <comment ref="N140" authorId="0" shapeId="0">
      <text>
        <r>
          <rPr>
            <sz val="9"/>
            <color indexed="81"/>
            <rFont val="Tahoma"/>
            <family val="2"/>
          </rPr>
          <t>verlegte Fläche</t>
        </r>
      </text>
    </comment>
    <comment ref="N141" authorId="0" shapeId="0">
      <text>
        <r>
          <rPr>
            <sz val="9"/>
            <color indexed="81"/>
            <rFont val="Tahoma"/>
            <family val="2"/>
          </rPr>
          <t>verlegte Fläche</t>
        </r>
      </text>
    </comment>
    <comment ref="E143" authorId="2" shapeId="0">
      <text>
        <r>
          <rPr>
            <sz val="9"/>
            <color indexed="81"/>
            <rFont val="Tahoma"/>
            <family val="2"/>
          </rPr>
          <t>Zu-und Abluftanlagen mit
oder ohne
thermodynamische
Luftbehandlung,
mechanische
Entrauchungsanlagen</t>
        </r>
      </text>
    </comment>
    <comment ref="E147" authorId="2" shapeId="0">
      <text>
        <r>
          <rPr>
            <sz val="9"/>
            <color indexed="81"/>
            <rFont val="Tahoma"/>
            <family val="2"/>
          </rPr>
          <t>Anlagen mit zwei, drei
oder vier
thermodynamischen
Luftbehandlungsfunktionen</t>
        </r>
      </text>
    </comment>
    <comment ref="E151" authorId="0" shapeId="0">
      <text>
        <r>
          <rPr>
            <sz val="9"/>
            <color indexed="81"/>
            <rFont val="Tahoma"/>
            <family val="2"/>
          </rPr>
          <t>Kälteanlagen für
lufttechnische Anlagen:
Kälteerzeugung,
Rückkühlanlagen, Pumpen,
Verteiler, Rohrleitungen</t>
        </r>
      </text>
    </comment>
    <comment ref="E156" authorId="2" shapeId="0">
      <text>
        <r>
          <rPr>
            <sz val="9"/>
            <color indexed="81"/>
            <rFont val="Tahoma"/>
            <family val="2"/>
          </rPr>
          <t>Stromerzeugungsaggregate
einschließlich Kühlung,
Abgasanlage,
Brennstoffversorgung</t>
        </r>
      </text>
    </comment>
    <comment ref="E162" authorId="2" shapeId="0">
      <text>
        <r>
          <rPr>
            <sz val="9"/>
            <color indexed="81"/>
            <rFont val="Tahoma"/>
            <family val="2"/>
          </rPr>
          <t>Ortsfeste Leuchten
einschließlich
Leuchtmittel</t>
        </r>
      </text>
    </comment>
    <comment ref="E165" authorId="2" shapeId="0">
      <text>
        <r>
          <rPr>
            <sz val="9"/>
            <color indexed="81"/>
            <rFont val="Tahoma"/>
            <family val="2"/>
          </rPr>
          <t>Anlagen mit zugehörendem
Heizungs-, Lüftungs-und
Sanitär Verteiler und
Verkabelung</t>
        </r>
      </text>
    </comment>
    <comment ref="E176" authorId="2" shapeId="0">
      <text>
        <r>
          <rPr>
            <sz val="9"/>
            <color indexed="81"/>
            <rFont val="Tahoma"/>
            <family val="2"/>
          </rPr>
          <t>Dachfenster, Ausstiege
einschließlich
Umrahmungen, Beschläge,
Antriebe, Lüftungen,
sonstige eingebaute
Elemente</t>
        </r>
      </text>
    </comment>
    <comment ref="E182" authorId="2" shapeId="0">
      <text>
        <r>
          <rPr>
            <sz val="9"/>
            <color indexed="81"/>
            <rFont val="Tahoma"/>
            <family val="2"/>
          </rPr>
          <t>Außentüren, Tore,
Fenster einschließlich
Umrahmungen und
eingebaute Elemente,
Fassadenverglasungen</t>
        </r>
      </text>
    </comment>
    <comment ref="E186" authorId="2" shapeId="0">
      <text>
        <r>
          <rPr>
            <sz val="9"/>
            <color indexed="81"/>
            <rFont val="Tahoma"/>
            <family val="2"/>
          </rPr>
          <t>Außentüren, Tore,
Fenster einschließlich
Umrahmungen und
eingebaute Elemente,
Fassadenverglasungen</t>
        </r>
      </text>
    </comment>
    <comment ref="E195" authorId="2" shapeId="0">
      <text>
        <r>
          <rPr>
            <sz val="9"/>
            <color indexed="81"/>
            <rFont val="Tahoma"/>
            <family val="2"/>
          </rPr>
          <t>Rollläden, Markisen,
Jalousien, Läden und
sonstige
Sonnenschutzmaßnahmen
einschließlich Antriebe</t>
        </r>
      </text>
    </comment>
    <comment ref="E205" authorId="1" shapeId="0">
      <text>
        <r>
          <rPr>
            <sz val="9"/>
            <color indexed="81"/>
            <rFont val="Tahoma"/>
            <family val="2"/>
          </rPr>
          <t>Energieeffiziente
Haushaltsgeräte, EDV,
Lift</t>
        </r>
      </text>
    </comment>
    <comment ref="E220" authorId="0" shapeId="0">
      <text>
        <r>
          <rPr>
            <sz val="9"/>
            <color indexed="81"/>
            <rFont val="Tahoma"/>
            <family val="2"/>
          </rPr>
          <t>Statik, Planung
technische
Gebäudeausrüstung,
Bauleitung, Örtliche
Bauaufsicht,
Fachplanungen,
Gutachten, Beratungen,
Archtektur, Bauphysik</t>
        </r>
      </text>
    </comment>
    <comment ref="E233" authorId="2" shapeId="0">
      <text>
        <r>
          <rPr>
            <sz val="9"/>
            <color indexed="81"/>
            <rFont val="Tahoma"/>
            <family val="2"/>
          </rPr>
          <t>Prüfungen,
Genehmigungen, Abnahmen,
Vermessungsgebühren für
Kataster</t>
        </r>
      </text>
    </comment>
    <comment ref="E234" authorId="2" shapeId="0">
      <text>
        <r>
          <rPr>
            <sz val="9"/>
            <color indexed="81"/>
            <rFont val="Tahoma"/>
            <family val="2"/>
          </rPr>
          <t>Anschlussgebühr für
Abwasser, Wasser, Strom,
Gas, Fernwärme, Telefon,
Fernsehen und Radio,
öffentlicher Verkehr</t>
        </r>
      </text>
    </comment>
    <comment ref="E254" authorId="1" shapeId="0">
      <text>
        <r>
          <rPr>
            <sz val="9"/>
            <color indexed="81"/>
            <rFont val="Tahoma"/>
            <family val="2"/>
          </rPr>
          <t>Kaufpreis für Käufer von
Gesamtobjekten</t>
        </r>
      </text>
    </comment>
  </commentList>
</comments>
</file>

<file path=xl/comments11.xml><?xml version="1.0" encoding="utf-8"?>
<comments xmlns="http://schemas.openxmlformats.org/spreadsheetml/2006/main">
  <authors>
    <author>David Frick</author>
    <author>Diete Fiete</author>
    <author>Daniel Ruepp</author>
  </authors>
  <commentList>
    <comment ref="G24" authorId="0" shapeId="0">
      <text>
        <r>
          <rPr>
            <sz val="9"/>
            <color indexed="81"/>
            <rFont val="Tahoma"/>
            <family val="2"/>
          </rPr>
          <t>Sollte
Betrachtungszeitraum sein</t>
        </r>
      </text>
    </comment>
    <comment ref="H24" authorId="1" shapeId="0">
      <text>
        <r>
          <rPr>
            <sz val="9"/>
            <color indexed="81"/>
            <rFont val="Tahoma"/>
            <family val="2"/>
          </rPr>
          <t>Der Fremdkapitalzinssatz
sollte die durch die
Kreditaufnahme
entstandene
Zinsbelastung abbilden.
Er ist definiert als
Zinssatz des
aufgenommenen Kredits.</t>
        </r>
      </text>
    </comment>
    <comment ref="D25" authorId="2" shapeId="0">
      <text>
        <r>
          <rPr>
            <sz val="9"/>
            <color indexed="81"/>
            <rFont val="Tahoma"/>
            <family val="2"/>
          </rPr>
          <t>bezieht sich auf die
Kreditlaufzeit und den
Zinssatz.</t>
        </r>
      </text>
    </comment>
    <comment ref="H29" authorId="0" shapeId="0">
      <text>
        <r>
          <rPr>
            <sz val="9"/>
            <color indexed="81"/>
            <rFont val="Tahoma"/>
            <family val="2"/>
          </rPr>
          <t>Entspricht
Wohnbauförderung 2012</t>
        </r>
      </text>
    </comment>
    <comment ref="D47" authorId="1" shapeId="0">
      <text>
        <r>
          <rPr>
            <sz val="9"/>
            <color indexed="81"/>
            <rFont val="Tahoma"/>
            <family val="2"/>
          </rPr>
          <t>Kosten der Fremd- und
Eigenleistungen für die
Objekt- oder
Legenschaftsverwaltung,
(Kosten für die
ordentliche
Hausverwaltung, für die
kaufmännischen und
infrastrukturellen
Managementleistungen)</t>
        </r>
      </text>
    </comment>
    <comment ref="D48" authorId="1" shapeId="0">
      <text>
        <r>
          <rPr>
            <sz val="9"/>
            <color indexed="81"/>
            <rFont val="Tahoma"/>
            <family val="2"/>
          </rPr>
          <t>Gebühren, Steuern,
Abgaben und
Versicherungen für
Obejkte, Anlagen,
Einrichtungen und
Grundstücke, die
bestandsbedingt anfallen
und nicht aus
betriebelicher Nutzung
(z.B. Grundsteuer,
Gebrauchsabgaben)</t>
        </r>
      </text>
    </comment>
    <comment ref="K49" authorId="0" shapeId="0">
      <text>
        <r>
          <rPr>
            <sz val="9"/>
            <color indexed="81"/>
            <rFont val="Tahoma"/>
            <family val="2"/>
          </rPr>
          <t>sind Grundgebühren im
ersten Jahr, bitte
beachten, dass sich die
Einspeisegrundgebühr
dynamisch lt. 1.
Projektangaben,
Einseisetarif verändern
kann</t>
        </r>
      </text>
    </comment>
    <comment ref="D56" authorId="1" shapeId="0">
      <text>
        <r>
          <rPr>
            <sz val="9"/>
            <color indexed="81"/>
            <rFont val="Tahoma"/>
            <family val="2"/>
          </rPr>
          <t>Kosten der
Managementleistungen für
den technischen Betrieb,
die Instandhaltung und
den Unterhalt von
Objekten und
Grundstücken -
Störungs-, Wartungs-,
Instandhaltungs-,
Optimierungs- und
Energiemanagement.
Kosten für die Übernahme
oder Inbetriebnahme. Kosten für Betätigen und Bedienen (Einstellen, Überwachen, Störungen beheben, Verbrauchsstoffe nachfüllen, Prüfungen veranlassen, Optimieren im laufenden Betrieb, Gewährleistungen verfolgen). Kosten für Übergabe oder Außerbetriebnahme. Kosten für Dokumentation. Dazu zählen auch Ablesekosten für Energie</t>
        </r>
      </text>
    </comment>
    <comment ref="D61" authorId="1" shapeId="0">
      <text>
        <r>
          <rPr>
            <sz val="9"/>
            <color indexed="81"/>
            <rFont val="Tahoma"/>
            <family val="2"/>
          </rPr>
          <t>Kosten für Energie:
Wärme-, Kälte- und
Stromenergie mit
Berücksichtigung der
eigenen Erzeugung (z.B.
Photovoltaik, Solar-
oder Geothermie) (z.B.
Strom für Gebäudenutzung
(Beleuchtung, Betrieb
usw.), Strom für (den
Betrieb der)
Gebäudetechnik, Energie
fürRaum- und Lüftungswärme und Warmwasserbereitung, Energie für Kälte und Kühlung) Ausgenommen sind Energie für den Betrieb gewerblicher oder industrieller Anlagen, Prozesswärme und Abwärme</t>
        </r>
      </text>
    </comment>
    <comment ref="K85" authorId="0" shapeId="0">
      <text>
        <r>
          <rPr>
            <sz val="9"/>
            <color indexed="81"/>
            <rFont val="Tahoma"/>
            <family val="2"/>
          </rPr>
          <t>sind Erlöse im ersten
Jahr, bitte beachten,
dass sich der Tarif
dynamisch lt. 1.
Projektangaben,
Einseisetarif verändern
kann</t>
        </r>
      </text>
    </comment>
    <comment ref="D89" authorId="1" shapeId="0">
      <text>
        <r>
          <rPr>
            <sz val="9"/>
            <color indexed="81"/>
            <rFont val="Tahoma"/>
            <family val="2"/>
          </rPr>
          <t>Kosten für Wasser und
Abwasser (Brauch- und
Trinkwasser auch aus
eigenen Brunnenanlagen,
ausgenommen
Prozesswasser, Abwasser,
auch bei eigener
Entsorgung (Senkgrube,
Kläranlage), ausgenommen
sind Prozesswasser</t>
        </r>
      </text>
    </comment>
    <comment ref="D94" authorId="0" shapeId="0">
      <text>
        <r>
          <rPr>
            <sz val="9"/>
            <color indexed="81"/>
            <rFont val="Tahoma"/>
            <family val="2"/>
          </rPr>
          <t>Kosten für
Innenreinigung der
Boden-, Wand- und
Deckenflächen,
Sanitäranlagen,
Möblierungen und
Einbauten</t>
        </r>
      </text>
    </comment>
    <comment ref="D95" authorId="1" shapeId="0">
      <text>
        <r>
          <rPr>
            <sz val="9"/>
            <color indexed="81"/>
            <rFont val="Tahoma"/>
            <family val="2"/>
          </rPr>
          <t>Kosten für Fenster- und
Glasreinigung (innen und
außen), einschließlich
Bereitstellung von
Hubbühnen und Gerüsten</t>
        </r>
      </text>
    </comment>
    <comment ref="D96" authorId="1" shapeId="0">
      <text>
        <r>
          <rPr>
            <sz val="9"/>
            <color indexed="81"/>
            <rFont val="Tahoma"/>
            <family val="2"/>
          </rPr>
          <t>Kosten für
Fassadenreinigung,
einschließlich
Bereistellung von
Befahrungen, Hubbühnen
und Gerüsten</t>
        </r>
      </text>
    </comment>
  </commentList>
</comments>
</file>

<file path=xl/comments12.xml><?xml version="1.0" encoding="utf-8"?>
<comments xmlns="http://schemas.openxmlformats.org/spreadsheetml/2006/main">
  <authors>
    <author>Diete Fiete</author>
    <author>David Frick</author>
    <author>administrator</author>
  </authors>
  <commentList>
    <comment ref="J18" authorId="0" shapeId="0">
      <text>
        <r>
          <rPr>
            <sz val="9"/>
            <color indexed="81"/>
            <rFont val="Tahoma"/>
            <family val="2"/>
          </rPr>
          <t>Technischer Kennwert wie
z.B.: U-Wert, g-wert,
z-Wert, 1/h,</t>
        </r>
      </text>
    </comment>
    <comment ref="AI18" authorId="0" shapeId="0">
      <text>
        <r>
          <rPr>
            <sz val="9"/>
            <color indexed="81"/>
            <rFont val="Tahoma"/>
            <family val="2"/>
          </rPr>
          <t>Technische Lebensdauer,
wichtig für Betrachtung
mit Restwert</t>
        </r>
      </text>
    </comment>
    <comment ref="U20" authorId="1" shapeId="0">
      <text>
        <r>
          <rPr>
            <sz val="9"/>
            <color indexed="81"/>
            <rFont val="Tahoma"/>
            <family val="2"/>
          </rPr>
          <t>Werte z.B aus VDI 2076</t>
        </r>
      </text>
    </comment>
    <comment ref="X20" authorId="1" shapeId="0">
      <text>
        <r>
          <rPr>
            <sz val="9"/>
            <color indexed="81"/>
            <rFont val="Tahoma"/>
            <family val="2"/>
          </rPr>
          <t>Werte z.B aus VDI 2076</t>
        </r>
      </text>
    </comment>
    <comment ref="AA20" authorId="1" shapeId="0">
      <text>
        <r>
          <rPr>
            <sz val="9"/>
            <color indexed="81"/>
            <rFont val="Tahoma"/>
            <family val="2"/>
          </rPr>
          <t>Werte z.B aus VDI 2076</t>
        </r>
      </text>
    </comment>
    <comment ref="AD20" authorId="1" shapeId="0">
      <text>
        <r>
          <rPr>
            <sz val="9"/>
            <color indexed="81"/>
            <rFont val="Tahoma"/>
            <family val="2"/>
          </rPr>
          <t>Werte z.B aus VDI 2076</t>
        </r>
      </text>
    </comment>
    <comment ref="E33" authorId="2" shapeId="0">
      <text>
        <r>
          <rPr>
            <sz val="9"/>
            <color indexed="81"/>
            <rFont val="Tahoma"/>
            <family val="2"/>
          </rPr>
          <t>Versorgungsanlagen und
-leitungen außerhalb des
Objektes bis
Hausanschluss, z. B.
Wasser, Gas, Strom</t>
        </r>
      </text>
    </comment>
    <comment ref="E102" authorId="1" shapeId="0">
      <text>
        <r>
          <rPr>
            <sz val="9"/>
            <color indexed="81"/>
            <rFont val="Tahoma"/>
            <family val="2"/>
          </rPr>
          <t>Sondenwärmetauscher,
Flächenwärmetauscher,
Rauch- Abgasfänge,
Durchbruch für größeren
Ölkessel, Bauliche
Mehrkosten Nachtlüftung</t>
        </r>
      </text>
    </comment>
    <comment ref="E117" authorId="2" shapeId="0">
      <text>
        <r>
          <rPr>
            <sz val="9"/>
            <color indexed="81"/>
            <rFont val="Tahoma"/>
            <family val="2"/>
          </rPr>
          <t>Unterböden und
Bodenplatten, die nicht
der Fundierung dienen</t>
        </r>
      </text>
    </comment>
    <comment ref="E126" authorId="2" shapeId="0">
      <text>
        <r>
          <rPr>
            <sz val="9"/>
            <color indexed="81"/>
            <rFont val="Tahoma"/>
            <family val="2"/>
          </rPr>
          <t>Brennstoffversorgung,
Wärmeübergabestationen,
Wärmeerzeugung, zentrale
Wassererwärmungsanlagen</t>
        </r>
      </text>
    </comment>
    <comment ref="E134" authorId="2" shapeId="0">
      <text>
        <r>
          <rPr>
            <sz val="9"/>
            <color indexed="81"/>
            <rFont val="Tahoma"/>
            <family val="2"/>
          </rPr>
          <t>Pumpen, Verteiler,
Rohrleitungen für
Raumheizflächen,
raumlufttechnische
Anlagen und sonstige
Wärmeverteiler</t>
        </r>
      </text>
    </comment>
    <comment ref="N135" authorId="0" shapeId="0">
      <text>
        <r>
          <rPr>
            <sz val="9"/>
            <color indexed="81"/>
            <rFont val="Tahoma"/>
            <family val="2"/>
          </rPr>
          <t>verlegte Länge</t>
        </r>
      </text>
    </comment>
    <comment ref="E136" authorId="2" shapeId="0">
      <text>
        <r>
          <rPr>
            <sz val="9"/>
            <color indexed="81"/>
            <rFont val="Tahoma"/>
            <family val="2"/>
          </rPr>
          <t>Heizkörper,
Flächenheizsysteme</t>
        </r>
      </text>
    </comment>
    <comment ref="N138" authorId="0" shapeId="0">
      <text>
        <r>
          <rPr>
            <sz val="9"/>
            <color indexed="81"/>
            <rFont val="Tahoma"/>
            <family val="2"/>
          </rPr>
          <t>verlegte Fläche</t>
        </r>
      </text>
    </comment>
    <comment ref="N139" authorId="0" shapeId="0">
      <text>
        <r>
          <rPr>
            <sz val="9"/>
            <color indexed="81"/>
            <rFont val="Tahoma"/>
            <family val="2"/>
          </rPr>
          <t>verlegte Fläche</t>
        </r>
      </text>
    </comment>
    <comment ref="N140" authorId="0" shapeId="0">
      <text>
        <r>
          <rPr>
            <sz val="9"/>
            <color indexed="81"/>
            <rFont val="Tahoma"/>
            <family val="2"/>
          </rPr>
          <t>verlegte Fläche</t>
        </r>
      </text>
    </comment>
    <comment ref="N141" authorId="0" shapeId="0">
      <text>
        <r>
          <rPr>
            <sz val="9"/>
            <color indexed="81"/>
            <rFont val="Tahoma"/>
            <family val="2"/>
          </rPr>
          <t>verlegte Fläche</t>
        </r>
      </text>
    </comment>
    <comment ref="E143" authorId="2" shapeId="0">
      <text>
        <r>
          <rPr>
            <sz val="9"/>
            <color indexed="81"/>
            <rFont val="Tahoma"/>
            <family val="2"/>
          </rPr>
          <t>Zu-und Abluftanlagen mit
oder ohne
thermodynamische
Luftbehandlung,
mechanische
Entrauchungsanlagen</t>
        </r>
      </text>
    </comment>
    <comment ref="E147" authorId="2" shapeId="0">
      <text>
        <r>
          <rPr>
            <sz val="9"/>
            <color indexed="81"/>
            <rFont val="Tahoma"/>
            <family val="2"/>
          </rPr>
          <t>Anlagen mit zwei, drei
oder vier
thermodynamischen
Luftbehandlungsfunktionen</t>
        </r>
      </text>
    </comment>
    <comment ref="E151" authorId="0" shapeId="0">
      <text>
        <r>
          <rPr>
            <sz val="9"/>
            <color indexed="81"/>
            <rFont val="Tahoma"/>
            <family val="2"/>
          </rPr>
          <t>Kälteanlagen für
lufttechnische Anlagen:
Kälteerzeugung,
Rückkühlanlagen, Pumpen,
Verteiler, Rohrleitungen</t>
        </r>
      </text>
    </comment>
    <comment ref="E156" authorId="2" shapeId="0">
      <text>
        <r>
          <rPr>
            <sz val="9"/>
            <color indexed="81"/>
            <rFont val="Tahoma"/>
            <family val="2"/>
          </rPr>
          <t>Stromerzeugungsaggregate
einschließlich Kühlung,
Abgasanlage,
Brennstoffversorgung</t>
        </r>
      </text>
    </comment>
    <comment ref="E162" authorId="2" shapeId="0">
      <text>
        <r>
          <rPr>
            <sz val="9"/>
            <color indexed="81"/>
            <rFont val="Tahoma"/>
            <family val="2"/>
          </rPr>
          <t>Ortsfeste Leuchten
einschließlich
Leuchtmittel</t>
        </r>
      </text>
    </comment>
    <comment ref="E165" authorId="2" shapeId="0">
      <text>
        <r>
          <rPr>
            <sz val="9"/>
            <color indexed="81"/>
            <rFont val="Tahoma"/>
            <family val="2"/>
          </rPr>
          <t>Anlagen mit zugehörendem
Heizungs-, Lüftungs-und
Sanitär Verteiler und
Verkabelung</t>
        </r>
      </text>
    </comment>
    <comment ref="E176" authorId="2" shapeId="0">
      <text>
        <r>
          <rPr>
            <sz val="9"/>
            <color indexed="81"/>
            <rFont val="Tahoma"/>
            <family val="2"/>
          </rPr>
          <t>Dachfenster, Ausstiege
einschließlich
Umrahmungen, Beschläge,
Antriebe, Lüftungen,
sonstige eingebaute
Elemente</t>
        </r>
      </text>
    </comment>
    <comment ref="E182" authorId="2" shapeId="0">
      <text>
        <r>
          <rPr>
            <sz val="9"/>
            <color indexed="81"/>
            <rFont val="Tahoma"/>
            <family val="2"/>
          </rPr>
          <t>Außentüren, Tore,
Fenster einschließlich
Umrahmungen und
eingebaute Elemente,
Fassadenverglasungen</t>
        </r>
      </text>
    </comment>
    <comment ref="E186" authorId="2" shapeId="0">
      <text>
        <r>
          <rPr>
            <sz val="9"/>
            <color indexed="81"/>
            <rFont val="Tahoma"/>
            <family val="2"/>
          </rPr>
          <t>Außentüren, Tore,
Fenster einschließlich
Umrahmungen und
eingebaute Elemente,
Fassadenverglasungen</t>
        </r>
      </text>
    </comment>
    <comment ref="E195" authorId="2" shapeId="0">
      <text>
        <r>
          <rPr>
            <sz val="9"/>
            <color indexed="81"/>
            <rFont val="Tahoma"/>
            <family val="2"/>
          </rPr>
          <t>Rollläden, Markisen,
Jalousien, Läden und
sonstige
Sonnenschutzmaßnahmen
einschließlich Antriebe</t>
        </r>
      </text>
    </comment>
    <comment ref="E205" authorId="1" shapeId="0">
      <text>
        <r>
          <rPr>
            <sz val="9"/>
            <color indexed="81"/>
            <rFont val="Tahoma"/>
            <family val="2"/>
          </rPr>
          <t>Energieeffiziente
Haushaltsgeräte, EDV,
Lift</t>
        </r>
      </text>
    </comment>
    <comment ref="E220" authorId="0" shapeId="0">
      <text>
        <r>
          <rPr>
            <sz val="9"/>
            <color indexed="81"/>
            <rFont val="Tahoma"/>
            <family val="2"/>
          </rPr>
          <t>Statik, Planung
technische
Gebäudeausrüstung,
Bauleitung, Örtliche
Bauaufsicht,
Fachplanungen,
Gutachten, Beratungen,
Archtektur, Bauphysik</t>
        </r>
      </text>
    </comment>
    <comment ref="E233" authorId="2" shapeId="0">
      <text>
        <r>
          <rPr>
            <sz val="9"/>
            <color indexed="81"/>
            <rFont val="Tahoma"/>
            <family val="2"/>
          </rPr>
          <t>Prüfungen,
Genehmigungen, Abnahmen,
Vermessungsgebühren für
Kataster</t>
        </r>
      </text>
    </comment>
    <comment ref="E234" authorId="2" shapeId="0">
      <text>
        <r>
          <rPr>
            <sz val="9"/>
            <color indexed="81"/>
            <rFont val="Tahoma"/>
            <family val="2"/>
          </rPr>
          <t>Anschlussgebühr für
Abwasser, Wasser, Strom,
Gas, Fernwärme, Telefon,
Fernsehen und Radio,
öffentlicher Verkehr</t>
        </r>
      </text>
    </comment>
    <comment ref="E254" authorId="1" shapeId="0">
      <text>
        <r>
          <rPr>
            <sz val="9"/>
            <color indexed="81"/>
            <rFont val="Tahoma"/>
            <family val="2"/>
          </rPr>
          <t>Kaufpreis für Käufer von
Gesamtobjekten</t>
        </r>
      </text>
    </comment>
  </commentList>
</comments>
</file>

<file path=xl/comments13.xml><?xml version="1.0" encoding="utf-8"?>
<comments xmlns="http://schemas.openxmlformats.org/spreadsheetml/2006/main">
  <authors>
    <author>David Frick</author>
    <author>Diete Fiete</author>
    <author>Daniel Ruepp</author>
  </authors>
  <commentList>
    <comment ref="G24" authorId="0" shapeId="0">
      <text>
        <r>
          <rPr>
            <sz val="9"/>
            <color indexed="81"/>
            <rFont val="Tahoma"/>
            <family val="2"/>
          </rPr>
          <t>Sollte
Betrachtungszeitraum sein</t>
        </r>
      </text>
    </comment>
    <comment ref="H24" authorId="1" shapeId="0">
      <text>
        <r>
          <rPr>
            <sz val="9"/>
            <color indexed="81"/>
            <rFont val="Tahoma"/>
            <family val="2"/>
          </rPr>
          <t>Der Fremdkapitalzinssatz
sollte die durch die
Kreditaufnahme
entstandene
Zinsbelastung abbilden.
Er ist definiert als
Zinssatz des
aufgenommenen Kredits.</t>
        </r>
      </text>
    </comment>
    <comment ref="D25" authorId="2" shapeId="0">
      <text>
        <r>
          <rPr>
            <sz val="9"/>
            <color indexed="81"/>
            <rFont val="Tahoma"/>
            <family val="2"/>
          </rPr>
          <t>bezieht sich auf die
Kreditlaufzeit und den
Zinssatz.</t>
        </r>
      </text>
    </comment>
    <comment ref="H29" authorId="0" shapeId="0">
      <text>
        <r>
          <rPr>
            <sz val="9"/>
            <color indexed="81"/>
            <rFont val="Tahoma"/>
            <family val="2"/>
          </rPr>
          <t>Entspricht
Wohnbauförderung 2012</t>
        </r>
      </text>
    </comment>
    <comment ref="D47" authorId="1" shapeId="0">
      <text>
        <r>
          <rPr>
            <sz val="9"/>
            <color indexed="81"/>
            <rFont val="Tahoma"/>
            <family val="2"/>
          </rPr>
          <t>Kosten der Fremd- und
Eigenleistungen für die
Objekt- oder
Legenschaftsverwaltung,
(Kosten für die
ordentliche
Hausverwaltung, für die
kaufmännischen und
infrastrukturellen
Managementleistungen)</t>
        </r>
      </text>
    </comment>
    <comment ref="D48" authorId="1" shapeId="0">
      <text>
        <r>
          <rPr>
            <sz val="9"/>
            <color indexed="81"/>
            <rFont val="Tahoma"/>
            <family val="2"/>
          </rPr>
          <t>Gebühren, Steuern,
Abgaben und
Versicherungen für
Obejkte, Anlagen,
Einrichtungen und
Grundstücke, die
bestandsbedingt anfallen
und nicht aus
betriebelicher Nutzung
(z.B. Grundsteuer,
Gebrauchsabgaben)</t>
        </r>
      </text>
    </comment>
    <comment ref="K49" authorId="0" shapeId="0">
      <text>
        <r>
          <rPr>
            <sz val="9"/>
            <color indexed="81"/>
            <rFont val="Tahoma"/>
            <family val="2"/>
          </rPr>
          <t>sind Grundgebühren im
ersten Jahr, bitte
beachten, dass sich die
Einspeisegrundgebühr
dynamisch lt. 1.
Projektangaben,
Einseisetarif verändern
kann</t>
        </r>
      </text>
    </comment>
    <comment ref="D56" authorId="1" shapeId="0">
      <text>
        <r>
          <rPr>
            <sz val="9"/>
            <color indexed="81"/>
            <rFont val="Tahoma"/>
            <family val="2"/>
          </rPr>
          <t>Kosten der
Managementleistungen für
den technischen Betrieb,
die Instandhaltung und
den Unterhalt von
Objekten und
Grundstücken -
Störungs-, Wartungs-,
Instandhaltungs-,
Optimierungs- und
Energiemanagement.
Kosten für die Übernahme
oder Inbetriebnahme. Kosten für Betätigen und Bedienen (Einstellen, Überwachen, Störungen beheben, Verbrauchsstoffe nachfüllen, Prüfungen veranlassen, Optimieren im laufenden Betrieb, Gewährleistungen verfolgen). Kosten für Übergabe oder Außerbetriebnahme. Kosten für Dokumentation. Dazu zählen auch Ablesekosten für Energie</t>
        </r>
      </text>
    </comment>
    <comment ref="D61" authorId="1" shapeId="0">
      <text>
        <r>
          <rPr>
            <sz val="9"/>
            <color indexed="81"/>
            <rFont val="Tahoma"/>
            <family val="2"/>
          </rPr>
          <t>Kosten für Energie:
Wärme-, Kälte- und
Stromenergie mit
Berücksichtigung der
eigenen Erzeugung (z.B.
Photovoltaik, Solar-
oder Geothermie) (z.B.
Strom für Gebäudenutzung
(Beleuchtung, Betrieb
usw.), Strom für (den
Betrieb der)
Gebäudetechnik, Energie
fürRaum- und Lüftungswärme und Warmwasserbereitung, Energie für Kälte und Kühlung) Ausgenommen sind Energie für den Betrieb gewerblicher oder industrieller Anlagen, Prozesswärme und Abwärme</t>
        </r>
      </text>
    </comment>
    <comment ref="K85" authorId="0" shapeId="0">
      <text>
        <r>
          <rPr>
            <sz val="9"/>
            <color indexed="81"/>
            <rFont val="Tahoma"/>
            <family val="2"/>
          </rPr>
          <t>sind Erlöse im ersten
Jahr, bitte beachten,
dass sich der Tarif
dynamisch lt. 1.
Projektangaben,
Einseisetarif verändern
kann</t>
        </r>
      </text>
    </comment>
    <comment ref="D89" authorId="1" shapeId="0">
      <text>
        <r>
          <rPr>
            <sz val="9"/>
            <color indexed="81"/>
            <rFont val="Tahoma"/>
            <family val="2"/>
          </rPr>
          <t>Kosten für Wasser und
Abwasser (Brauch- und
Trinkwasser auch aus
eigenen Brunnenanlagen,
ausgenommen
Prozesswasser, Abwasser,
auch bei eigener
Entsorgung (Senkgrube,
Kläranlage), ausgenommen
sind Prozesswasser</t>
        </r>
      </text>
    </comment>
    <comment ref="D94" authorId="0" shapeId="0">
      <text>
        <r>
          <rPr>
            <sz val="9"/>
            <color indexed="81"/>
            <rFont val="Tahoma"/>
            <family val="2"/>
          </rPr>
          <t>Kosten für
Innenreinigung der
Boden-, Wand- und
Deckenflächen,
Sanitäranlagen,
Möblierungen und
Einbauten</t>
        </r>
      </text>
    </comment>
    <comment ref="D95" authorId="1" shapeId="0">
      <text>
        <r>
          <rPr>
            <sz val="9"/>
            <color indexed="81"/>
            <rFont val="Tahoma"/>
            <family val="2"/>
          </rPr>
          <t>Kosten für Fenster- und
Glasreinigung (innen und
außen), einschließlich
Bereitstellung von
Hubbühnen und Gerüsten</t>
        </r>
      </text>
    </comment>
    <comment ref="D96" authorId="1" shapeId="0">
      <text>
        <r>
          <rPr>
            <sz val="9"/>
            <color indexed="81"/>
            <rFont val="Tahoma"/>
            <family val="2"/>
          </rPr>
          <t>Kosten für
Fassadenreinigung,
einschließlich
Bereistellung von
Befahrungen, Hubbühnen
und Gerüsten</t>
        </r>
      </text>
    </comment>
  </commentList>
</comments>
</file>

<file path=xl/comments14.xml><?xml version="1.0" encoding="utf-8"?>
<comments xmlns="http://schemas.openxmlformats.org/spreadsheetml/2006/main">
  <authors>
    <author>Diete Fiete</author>
    <author>David Frick</author>
    <author>administrator</author>
  </authors>
  <commentList>
    <comment ref="J18" authorId="0" shapeId="0">
      <text>
        <r>
          <rPr>
            <sz val="9"/>
            <color indexed="81"/>
            <rFont val="Tahoma"/>
            <family val="2"/>
          </rPr>
          <t>Technischer Kennwert wie
z.B.: U-Wert, g-wert,
z-Wert, 1/h,</t>
        </r>
      </text>
    </comment>
    <comment ref="AI18" authorId="0" shapeId="0">
      <text>
        <r>
          <rPr>
            <sz val="9"/>
            <color indexed="81"/>
            <rFont val="Tahoma"/>
            <family val="2"/>
          </rPr>
          <t>Technische Lebensdauer,
wichtig für Betrachtung
mit Restwert</t>
        </r>
      </text>
    </comment>
    <comment ref="U20" authorId="1" shapeId="0">
      <text>
        <r>
          <rPr>
            <sz val="9"/>
            <color indexed="81"/>
            <rFont val="Tahoma"/>
            <family val="2"/>
          </rPr>
          <t>Werte z.B aus VDI 2076</t>
        </r>
      </text>
    </comment>
    <comment ref="X20" authorId="1" shapeId="0">
      <text>
        <r>
          <rPr>
            <sz val="9"/>
            <color indexed="81"/>
            <rFont val="Tahoma"/>
            <family val="2"/>
          </rPr>
          <t>Werte z.B aus VDI 2076</t>
        </r>
      </text>
    </comment>
    <comment ref="AA20" authorId="1" shapeId="0">
      <text>
        <r>
          <rPr>
            <sz val="9"/>
            <color indexed="81"/>
            <rFont val="Tahoma"/>
            <family val="2"/>
          </rPr>
          <t>Werte z.B aus VDI 2076</t>
        </r>
      </text>
    </comment>
    <comment ref="AD20" authorId="1" shapeId="0">
      <text>
        <r>
          <rPr>
            <sz val="9"/>
            <color indexed="81"/>
            <rFont val="Tahoma"/>
            <family val="2"/>
          </rPr>
          <t>Werte z.B aus VDI 2076</t>
        </r>
      </text>
    </comment>
    <comment ref="E33" authorId="2" shapeId="0">
      <text>
        <r>
          <rPr>
            <sz val="9"/>
            <color indexed="81"/>
            <rFont val="Tahoma"/>
            <family val="2"/>
          </rPr>
          <t>Versorgungsanlagen und
-leitungen außerhalb des
Objektes bis
Hausanschluss, z. B.
Wasser, Gas, Strom</t>
        </r>
      </text>
    </comment>
    <comment ref="E102" authorId="1" shapeId="0">
      <text>
        <r>
          <rPr>
            <sz val="9"/>
            <color indexed="81"/>
            <rFont val="Tahoma"/>
            <family val="2"/>
          </rPr>
          <t>Sondenwärmetauscher,
Flächenwärmetauscher,
Rauch- Abgasfänge,
Durchbruch für größeren
Ölkessel, Bauliche
Mehrkosten Nachtlüftung</t>
        </r>
      </text>
    </comment>
    <comment ref="E117" authorId="2" shapeId="0">
      <text>
        <r>
          <rPr>
            <sz val="9"/>
            <color indexed="81"/>
            <rFont val="Tahoma"/>
            <family val="2"/>
          </rPr>
          <t>Unterböden und
Bodenplatten, die nicht
der Fundierung dienen</t>
        </r>
      </text>
    </comment>
    <comment ref="E126" authorId="2" shapeId="0">
      <text>
        <r>
          <rPr>
            <sz val="9"/>
            <color indexed="81"/>
            <rFont val="Tahoma"/>
            <family val="2"/>
          </rPr>
          <t>Brennstoffversorgung,
Wärmeübergabestationen,
Wärmeerzeugung, zentrale
Wassererwärmungsanlagen</t>
        </r>
      </text>
    </comment>
    <comment ref="E134" authorId="2" shapeId="0">
      <text>
        <r>
          <rPr>
            <sz val="9"/>
            <color indexed="81"/>
            <rFont val="Tahoma"/>
            <family val="2"/>
          </rPr>
          <t>Pumpen, Verteiler,
Rohrleitungen für
Raumheizflächen,
raumlufttechnische
Anlagen und sonstige
Wärmeverteiler</t>
        </r>
      </text>
    </comment>
    <comment ref="N135" authorId="0" shapeId="0">
      <text>
        <r>
          <rPr>
            <sz val="9"/>
            <color indexed="81"/>
            <rFont val="Tahoma"/>
            <family val="2"/>
          </rPr>
          <t>verlegte Länge</t>
        </r>
      </text>
    </comment>
    <comment ref="E136" authorId="2" shapeId="0">
      <text>
        <r>
          <rPr>
            <sz val="9"/>
            <color indexed="81"/>
            <rFont val="Tahoma"/>
            <family val="2"/>
          </rPr>
          <t>Heizkörper,
Flächenheizsysteme</t>
        </r>
      </text>
    </comment>
    <comment ref="N138" authorId="0" shapeId="0">
      <text>
        <r>
          <rPr>
            <sz val="9"/>
            <color indexed="81"/>
            <rFont val="Tahoma"/>
            <family val="2"/>
          </rPr>
          <t>verlegte Fläche</t>
        </r>
      </text>
    </comment>
    <comment ref="N139" authorId="0" shapeId="0">
      <text>
        <r>
          <rPr>
            <sz val="9"/>
            <color indexed="81"/>
            <rFont val="Tahoma"/>
            <family val="2"/>
          </rPr>
          <t>verlegte Fläche</t>
        </r>
      </text>
    </comment>
    <comment ref="N140" authorId="0" shapeId="0">
      <text>
        <r>
          <rPr>
            <sz val="9"/>
            <color indexed="81"/>
            <rFont val="Tahoma"/>
            <family val="2"/>
          </rPr>
          <t>verlegte Fläche</t>
        </r>
      </text>
    </comment>
    <comment ref="N141" authorId="0" shapeId="0">
      <text>
        <r>
          <rPr>
            <sz val="9"/>
            <color indexed="81"/>
            <rFont val="Tahoma"/>
            <family val="2"/>
          </rPr>
          <t>verlegte Fläche</t>
        </r>
      </text>
    </comment>
    <comment ref="E143" authorId="2" shapeId="0">
      <text>
        <r>
          <rPr>
            <sz val="9"/>
            <color indexed="81"/>
            <rFont val="Tahoma"/>
            <family val="2"/>
          </rPr>
          <t>Zu-und Abluftanlagen mit
oder ohne
thermodynamische
Luftbehandlung,
mechanische
Entrauchungsanlagen</t>
        </r>
      </text>
    </comment>
    <comment ref="E147" authorId="2" shapeId="0">
      <text>
        <r>
          <rPr>
            <sz val="9"/>
            <color indexed="81"/>
            <rFont val="Tahoma"/>
            <family val="2"/>
          </rPr>
          <t>Anlagen mit zwei, drei
oder vier
thermodynamischen
Luftbehandlungsfunktionen</t>
        </r>
      </text>
    </comment>
    <comment ref="E151" authorId="0" shapeId="0">
      <text>
        <r>
          <rPr>
            <sz val="9"/>
            <color indexed="81"/>
            <rFont val="Tahoma"/>
            <family val="2"/>
          </rPr>
          <t>Kälteanlagen für
lufttechnische Anlagen:
Kälteerzeugung,
Rückkühlanlagen, Pumpen,
Verteiler, Rohrleitungen</t>
        </r>
      </text>
    </comment>
    <comment ref="E156" authorId="2" shapeId="0">
      <text>
        <r>
          <rPr>
            <sz val="9"/>
            <color indexed="81"/>
            <rFont val="Tahoma"/>
            <family val="2"/>
          </rPr>
          <t>Stromerzeugungsaggregate
einschließlich Kühlung,
Abgasanlage,
Brennstoffversorgung</t>
        </r>
      </text>
    </comment>
    <comment ref="E162" authorId="2" shapeId="0">
      <text>
        <r>
          <rPr>
            <sz val="9"/>
            <color indexed="81"/>
            <rFont val="Tahoma"/>
            <family val="2"/>
          </rPr>
          <t>Ortsfeste Leuchten
einschließlich
Leuchtmittel</t>
        </r>
      </text>
    </comment>
    <comment ref="E165" authorId="2" shapeId="0">
      <text>
        <r>
          <rPr>
            <sz val="9"/>
            <color indexed="81"/>
            <rFont val="Tahoma"/>
            <family val="2"/>
          </rPr>
          <t>Anlagen mit zugehörendem
Heizungs-, Lüftungs-und
Sanitär Verteiler und
Verkabelung</t>
        </r>
      </text>
    </comment>
    <comment ref="E176" authorId="2" shapeId="0">
      <text>
        <r>
          <rPr>
            <sz val="9"/>
            <color indexed="81"/>
            <rFont val="Tahoma"/>
            <family val="2"/>
          </rPr>
          <t>Dachfenster, Ausstiege
einschließlich
Umrahmungen, Beschläge,
Antriebe, Lüftungen,
sonstige eingebaute
Elemente</t>
        </r>
      </text>
    </comment>
    <comment ref="E182" authorId="2" shapeId="0">
      <text>
        <r>
          <rPr>
            <sz val="9"/>
            <color indexed="81"/>
            <rFont val="Tahoma"/>
            <family val="2"/>
          </rPr>
          <t>Außentüren, Tore,
Fenster einschließlich
Umrahmungen und
eingebaute Elemente,
Fassadenverglasungen</t>
        </r>
      </text>
    </comment>
    <comment ref="E186" authorId="2" shapeId="0">
      <text>
        <r>
          <rPr>
            <sz val="9"/>
            <color indexed="81"/>
            <rFont val="Tahoma"/>
            <family val="2"/>
          </rPr>
          <t>Außentüren, Tore,
Fenster einschließlich
Umrahmungen und
eingebaute Elemente,
Fassadenverglasungen</t>
        </r>
      </text>
    </comment>
    <comment ref="E195" authorId="2" shapeId="0">
      <text>
        <r>
          <rPr>
            <sz val="9"/>
            <color indexed="81"/>
            <rFont val="Tahoma"/>
            <family val="2"/>
          </rPr>
          <t>Rollläden, Markisen,
Jalousien, Läden und
sonstige
Sonnenschutzmaßnahmen
einschließlich Antriebe</t>
        </r>
      </text>
    </comment>
    <comment ref="E205" authorId="1" shapeId="0">
      <text>
        <r>
          <rPr>
            <sz val="9"/>
            <color indexed="81"/>
            <rFont val="Tahoma"/>
            <family val="2"/>
          </rPr>
          <t>Energieeffiziente
Haushaltsgeräte, EDV,
Lift</t>
        </r>
      </text>
    </comment>
    <comment ref="E220" authorId="0" shapeId="0">
      <text>
        <r>
          <rPr>
            <sz val="9"/>
            <color indexed="81"/>
            <rFont val="Tahoma"/>
            <family val="2"/>
          </rPr>
          <t>Statik, Planung
technische
Gebäudeausrüstung,
Bauleitung, Örtliche
Bauaufsicht,
Fachplanungen,
Gutachten, Beratungen,
Archtektur, Bauphysik</t>
        </r>
      </text>
    </comment>
    <comment ref="E233" authorId="2" shapeId="0">
      <text>
        <r>
          <rPr>
            <sz val="9"/>
            <color indexed="81"/>
            <rFont val="Tahoma"/>
            <family val="2"/>
          </rPr>
          <t>Prüfungen,
Genehmigungen, Abnahmen,
Vermessungsgebühren für
Kataster</t>
        </r>
      </text>
    </comment>
    <comment ref="E234" authorId="2" shapeId="0">
      <text>
        <r>
          <rPr>
            <sz val="9"/>
            <color indexed="81"/>
            <rFont val="Tahoma"/>
            <family val="2"/>
          </rPr>
          <t>Anschlussgebühr für
Abwasser, Wasser, Strom,
Gas, Fernwärme, Telefon,
Fernsehen und Radio,
öffentlicher Verkehr</t>
        </r>
      </text>
    </comment>
    <comment ref="E254" authorId="1" shapeId="0">
      <text>
        <r>
          <rPr>
            <sz val="9"/>
            <color indexed="81"/>
            <rFont val="Tahoma"/>
            <family val="2"/>
          </rPr>
          <t>Kaufpreis für Käufer von
Gesamtobjekten</t>
        </r>
      </text>
    </comment>
  </commentList>
</comments>
</file>

<file path=xl/comments15.xml><?xml version="1.0" encoding="utf-8"?>
<comments xmlns="http://schemas.openxmlformats.org/spreadsheetml/2006/main">
  <authors>
    <author>David Frick</author>
    <author>Diete Fiete</author>
    <author>Daniel Ruepp</author>
  </authors>
  <commentList>
    <comment ref="G24" authorId="0" shapeId="0">
      <text>
        <r>
          <rPr>
            <sz val="9"/>
            <color indexed="81"/>
            <rFont val="Tahoma"/>
            <family val="2"/>
          </rPr>
          <t>Sollte
Betrachtungszeitraum sein</t>
        </r>
      </text>
    </comment>
    <comment ref="H24" authorId="1" shapeId="0">
      <text>
        <r>
          <rPr>
            <sz val="9"/>
            <color indexed="81"/>
            <rFont val="Tahoma"/>
            <family val="2"/>
          </rPr>
          <t>Der Fremdkapitalzinssatz
sollte die durch die
Kreditaufnahme
entstandene
Zinsbelastung abbilden.
Er ist definiert als
Zinssatz des
aufgenommenen Kredits.</t>
        </r>
      </text>
    </comment>
    <comment ref="D25" authorId="2" shapeId="0">
      <text>
        <r>
          <rPr>
            <sz val="9"/>
            <color indexed="81"/>
            <rFont val="Tahoma"/>
            <family val="2"/>
          </rPr>
          <t>bezieht sich auf die
Kreditlaufzeit und den
Zinssatz.</t>
        </r>
      </text>
    </comment>
    <comment ref="H29" authorId="0" shapeId="0">
      <text>
        <r>
          <rPr>
            <sz val="9"/>
            <color indexed="81"/>
            <rFont val="Tahoma"/>
            <family val="2"/>
          </rPr>
          <t>Entspricht
Wohnbauförderung 2012</t>
        </r>
      </text>
    </comment>
    <comment ref="D47" authorId="1" shapeId="0">
      <text>
        <r>
          <rPr>
            <sz val="9"/>
            <color indexed="81"/>
            <rFont val="Tahoma"/>
            <family val="2"/>
          </rPr>
          <t>Kosten der Fremd- und
Eigenleistungen für die
Objekt- oder
Legenschaftsverwaltung,
(Kosten für die
ordentliche
Hausverwaltung, für die
kaufmännischen und
infrastrukturellen
Managementleistungen)</t>
        </r>
      </text>
    </comment>
    <comment ref="D48" authorId="1" shapeId="0">
      <text>
        <r>
          <rPr>
            <sz val="9"/>
            <color indexed="81"/>
            <rFont val="Tahoma"/>
            <family val="2"/>
          </rPr>
          <t>Gebühren, Steuern,
Abgaben und
Versicherungen für
Obejkte, Anlagen,
Einrichtungen und
Grundstücke, die
bestandsbedingt anfallen
und nicht aus
betriebelicher Nutzung
(z.B. Grundsteuer,
Gebrauchsabgaben)</t>
        </r>
      </text>
    </comment>
    <comment ref="K49" authorId="0" shapeId="0">
      <text>
        <r>
          <rPr>
            <sz val="9"/>
            <color indexed="81"/>
            <rFont val="Tahoma"/>
            <family val="2"/>
          </rPr>
          <t>sind Grundgebühren im
ersten Jahr, bitte
beachten, dass sich die
Einspeisegrundgebühr
dynamisch lt. 1.
Projektangaben,
Einseisetarif verändern
kann</t>
        </r>
      </text>
    </comment>
    <comment ref="D56" authorId="1" shapeId="0">
      <text>
        <r>
          <rPr>
            <sz val="9"/>
            <color indexed="81"/>
            <rFont val="Tahoma"/>
            <family val="2"/>
          </rPr>
          <t>Kosten der
Managementleistungen für
den technischen Betrieb,
die Instandhaltung und
den Unterhalt von
Objekten und
Grundstücken -
Störungs-, Wartungs-,
Instandhaltungs-,
Optimierungs- und
Energiemanagement.
Kosten für die Übernahme
oder Inbetriebnahme. Kosten für Betätigen und Bedienen (Einstellen, Überwachen, Störungen beheben, Verbrauchsstoffe nachfüllen, Prüfungen veranlassen, Optimieren im laufenden Betrieb, Gewährleistungen verfolgen). Kosten für Übergabe oder Außerbetriebnahme. Kosten für Dokumentation. Dazu zählen auch Ablesekosten für Energie</t>
        </r>
      </text>
    </comment>
    <comment ref="D61" authorId="1" shapeId="0">
      <text>
        <r>
          <rPr>
            <sz val="9"/>
            <color indexed="81"/>
            <rFont val="Tahoma"/>
            <family val="2"/>
          </rPr>
          <t>Kosten für Energie:
Wärme-, Kälte- und
Stromenergie mit
Berücksichtigung der
eigenen Erzeugung (z.B.
Photovoltaik, Solar-
oder Geothermie) (z.B.
Strom für Gebäudenutzung
(Beleuchtung, Betrieb
usw.), Strom für (den
Betrieb der)
Gebäudetechnik, Energie
fürRaum- und Lüftungswärme und Warmwasserbereitung, Energie für Kälte und Kühlung) Ausgenommen sind Energie für den Betrieb gewerblicher oder industrieller Anlagen, Prozesswärme und Abwärme</t>
        </r>
      </text>
    </comment>
    <comment ref="K85" authorId="0" shapeId="0">
      <text>
        <r>
          <rPr>
            <sz val="9"/>
            <color indexed="81"/>
            <rFont val="Tahoma"/>
            <family val="2"/>
          </rPr>
          <t>sind Erlöse im ersten
Jahr, bitte beachten,
dass sich der Tarif
dynamisch lt. 1.
Projektangaben,
Einseisetarif verändern
kann</t>
        </r>
      </text>
    </comment>
    <comment ref="D89" authorId="1" shapeId="0">
      <text>
        <r>
          <rPr>
            <sz val="9"/>
            <color indexed="81"/>
            <rFont val="Tahoma"/>
            <family val="2"/>
          </rPr>
          <t>Kosten für Wasser und
Abwasser (Brauch- und
Trinkwasser auch aus
eigenen Brunnenanlagen,
ausgenommen
Prozesswasser, Abwasser,
auch bei eigener
Entsorgung (Senkgrube,
Kläranlage), ausgenommen
sind Prozesswasser</t>
        </r>
      </text>
    </comment>
    <comment ref="D94" authorId="0" shapeId="0">
      <text>
        <r>
          <rPr>
            <sz val="9"/>
            <color indexed="81"/>
            <rFont val="Tahoma"/>
            <family val="2"/>
          </rPr>
          <t>Kosten für
Innenreinigung der
Boden-, Wand- und
Deckenflächen,
Sanitäranlagen,
Möblierungen und
Einbauten</t>
        </r>
      </text>
    </comment>
    <comment ref="D95" authorId="1" shapeId="0">
      <text>
        <r>
          <rPr>
            <sz val="9"/>
            <color indexed="81"/>
            <rFont val="Tahoma"/>
            <family val="2"/>
          </rPr>
          <t>Kosten für Fenster- und
Glasreinigung (innen und
außen), einschließlich
Bereitstellung von
Hubbühnen und Gerüsten</t>
        </r>
      </text>
    </comment>
    <comment ref="D96" authorId="1" shapeId="0">
      <text>
        <r>
          <rPr>
            <sz val="9"/>
            <color indexed="81"/>
            <rFont val="Tahoma"/>
            <family val="2"/>
          </rPr>
          <t>Kosten für
Fassadenreinigung,
einschließlich
Bereistellung von
Befahrungen, Hubbühnen
und Gerüsten</t>
        </r>
      </text>
    </comment>
  </commentList>
</comments>
</file>

<file path=xl/comments16.xml><?xml version="1.0" encoding="utf-8"?>
<comments xmlns="http://schemas.openxmlformats.org/spreadsheetml/2006/main">
  <authors>
    <author>David Frick</author>
  </authors>
  <commentList>
    <comment ref="B9" authorId="0" shapeId="0">
      <text>
        <r>
          <rPr>
            <sz val="9"/>
            <color indexed="81"/>
            <rFont val="Tahoma"/>
            <family val="2"/>
          </rPr>
          <t>David Frick: übersetzt
das X in projektangaben
zu 1 oder 0. wenn kein x
dann var1 als Referenz</t>
        </r>
      </text>
    </comment>
    <comment ref="B28" authorId="0" shapeId="0">
      <text>
        <r>
          <rPr>
            <sz val="9"/>
            <color indexed="81"/>
            <rFont val="Tahoma"/>
            <family val="2"/>
          </rPr>
          <t>David Frick: setzt je
nach Referenz die
varianten in die
richtige reihenfolge</t>
        </r>
      </text>
    </comment>
    <comment ref="BT61" authorId="0" shapeId="0">
      <text>
        <r>
          <rPr>
            <sz val="9"/>
            <color indexed="81"/>
            <rFont val="Tahoma"/>
            <family val="2"/>
          </rPr>
          <t>Wartung, Instandhaltung,
Reinigung, Sonstige</t>
        </r>
      </text>
    </comment>
    <comment ref="BT62" authorId="0" shapeId="0">
      <text>
        <r>
          <rPr>
            <sz val="9"/>
            <color indexed="81"/>
            <rFont val="Tahoma"/>
            <family val="2"/>
          </rPr>
          <t>Energiekosten,
Wasserkosten (ohne PV)</t>
        </r>
      </text>
    </comment>
    <comment ref="AV121" authorId="0" shapeId="0">
      <text>
        <r>
          <rPr>
            <sz val="9"/>
            <color indexed="81"/>
            <rFont val="Tahoma"/>
            <family val="2"/>
          </rPr>
          <t>Wartung, Instandhaltung,
Reinigung, Sonstige</t>
        </r>
      </text>
    </comment>
    <comment ref="AW121" authorId="0" shapeId="0">
      <text>
        <r>
          <rPr>
            <sz val="9"/>
            <color indexed="81"/>
            <rFont val="Tahoma"/>
            <family val="2"/>
          </rPr>
          <t>Energiekosten,
Wasserkosten (ohne PV)</t>
        </r>
      </text>
    </comment>
    <comment ref="AS202" authorId="0" shapeId="0">
      <text>
        <r>
          <rPr>
            <sz val="9"/>
            <color indexed="81"/>
            <rFont val="Tahoma"/>
            <family val="2"/>
          </rPr>
          <t>Wartung, Instandhaltung,
Reinigung, Sonstige</t>
        </r>
      </text>
    </comment>
    <comment ref="AT202" authorId="0" shapeId="0">
      <text>
        <r>
          <rPr>
            <sz val="9"/>
            <color indexed="81"/>
            <rFont val="Tahoma"/>
            <family val="2"/>
          </rPr>
          <t>Energiekosten,
Wasserkosten (ohne PV)</t>
        </r>
      </text>
    </comment>
    <comment ref="J307" authorId="0" shapeId="0">
      <text>
        <r>
          <rPr>
            <sz val="9"/>
            <color indexed="81"/>
            <rFont val="Tahoma"/>
            <family val="2"/>
          </rPr>
          <t>David Frick:
PV-Einseisegrundgebühr
ist dynamisch und wird
darum hier wieder
abgezogen)</t>
        </r>
      </text>
    </comment>
    <comment ref="AS376" authorId="0" shapeId="0">
      <text>
        <r>
          <rPr>
            <sz val="9"/>
            <color indexed="81"/>
            <rFont val="Tahoma"/>
            <family val="2"/>
          </rPr>
          <t>Wartung, Instandhaltung,
Reinigung, Sonstige</t>
        </r>
      </text>
    </comment>
    <comment ref="AT376" authorId="0" shapeId="0">
      <text>
        <r>
          <rPr>
            <sz val="9"/>
            <color indexed="81"/>
            <rFont val="Tahoma"/>
            <family val="2"/>
          </rPr>
          <t>Energiekosten,
Wasserkosten (ohne PV)</t>
        </r>
      </text>
    </comment>
    <comment ref="J481" authorId="0" shapeId="0">
      <text>
        <r>
          <rPr>
            <sz val="9"/>
            <color indexed="81"/>
            <rFont val="Tahoma"/>
            <family val="2"/>
          </rPr>
          <t>David Frick:
PV-Einseisegrundgebühr
ist dynamisch und wird
darum hier wieder
abgezogen)</t>
        </r>
      </text>
    </comment>
    <comment ref="AS552" authorId="0" shapeId="0">
      <text>
        <r>
          <rPr>
            <sz val="9"/>
            <color indexed="81"/>
            <rFont val="Tahoma"/>
            <family val="2"/>
          </rPr>
          <t>Wartung, Instandhaltung,
Reinigung, Sonstige</t>
        </r>
      </text>
    </comment>
    <comment ref="AT552" authorId="0" shapeId="0">
      <text>
        <r>
          <rPr>
            <sz val="9"/>
            <color indexed="81"/>
            <rFont val="Tahoma"/>
            <family val="2"/>
          </rPr>
          <t>Energiekosten,
Wasserkosten (ohne PV)</t>
        </r>
      </text>
    </comment>
    <comment ref="J657" authorId="0" shapeId="0">
      <text>
        <r>
          <rPr>
            <sz val="9"/>
            <color indexed="81"/>
            <rFont val="Tahoma"/>
            <family val="2"/>
          </rPr>
          <t>David Frick:
PV-Einseisegrundgebühr
ist dynamisch und wird
darum hier wieder
abgezogen)</t>
        </r>
      </text>
    </comment>
    <comment ref="AS726" authorId="0" shapeId="0">
      <text>
        <r>
          <rPr>
            <sz val="9"/>
            <color indexed="81"/>
            <rFont val="Tahoma"/>
            <family val="2"/>
          </rPr>
          <t>Wartung, Instandhaltung,
Reinigung, Sonstige</t>
        </r>
      </text>
    </comment>
    <comment ref="AT726" authorId="0" shapeId="0">
      <text>
        <r>
          <rPr>
            <sz val="9"/>
            <color indexed="81"/>
            <rFont val="Tahoma"/>
            <family val="2"/>
          </rPr>
          <t>Energiekosten,
Wasserkosten (ohne PV)</t>
        </r>
      </text>
    </comment>
    <comment ref="J831" authorId="0" shapeId="0">
      <text>
        <r>
          <rPr>
            <sz val="9"/>
            <color indexed="81"/>
            <rFont val="Tahoma"/>
            <family val="2"/>
          </rPr>
          <t>David Frick:
PV-Einseisegrundgebühr
ist dynamisch und wird
darum hier wieder
abgezogen)</t>
        </r>
      </text>
    </comment>
    <comment ref="AS899" authorId="0" shapeId="0">
      <text>
        <r>
          <rPr>
            <sz val="9"/>
            <color indexed="81"/>
            <rFont val="Tahoma"/>
            <family val="2"/>
          </rPr>
          <t>Wartung, Instandhaltung,
Reinigung, Sonstige</t>
        </r>
      </text>
    </comment>
    <comment ref="AT899" authorId="0" shapeId="0">
      <text>
        <r>
          <rPr>
            <sz val="9"/>
            <color indexed="81"/>
            <rFont val="Tahoma"/>
            <family val="2"/>
          </rPr>
          <t>Energiekosten,
Wasserkosten (ohne PV)</t>
        </r>
      </text>
    </comment>
    <comment ref="J1004" authorId="0" shapeId="0">
      <text>
        <r>
          <rPr>
            <sz val="9"/>
            <color indexed="81"/>
            <rFont val="Tahoma"/>
            <family val="2"/>
          </rPr>
          <t>David Frick:
PV-Einseisegrundgebühr
ist dynamisch und wird
darum hier wieder
abgezogen)</t>
        </r>
      </text>
    </comment>
  </commentList>
</comments>
</file>

<file path=xl/comments17.xml><?xml version="1.0" encoding="utf-8"?>
<comments xmlns="http://schemas.openxmlformats.org/spreadsheetml/2006/main">
  <authors>
    <author>Tobias Hatt</author>
  </authors>
  <commentList>
    <comment ref="P5" authorId="0" shapeId="0">
      <text>
        <r>
          <rPr>
            <sz val="9"/>
            <color indexed="81"/>
            <rFont val="Tahoma"/>
            <family val="2"/>
          </rPr>
          <t>Tobias Hatt: Wenn es
unterschiedliche Tarife
mit kWp Deckelung gibt,
hier den gewichteten
Mittelwert eintragen</t>
        </r>
      </text>
    </comment>
    <comment ref="R5" authorId="0" shapeId="0">
      <text>
        <r>
          <rPr>
            <sz val="9"/>
            <color indexed="81"/>
            <rFont val="Tahoma"/>
            <family val="2"/>
          </rPr>
          <t>Tobias Hatt: wenn es
unterschiedliche Tarife
mit kWp Deckelung gibt,
hier den gewichteten
Mittelwert eintragen</t>
        </r>
      </text>
    </comment>
    <comment ref="T5" authorId="0" shapeId="0">
      <text>
        <r>
          <rPr>
            <sz val="9"/>
            <color indexed="81"/>
            <rFont val="Tahoma"/>
            <family val="2"/>
          </rPr>
          <t>Tobias Hatt: wenn es
unterschiedliche Tarife
mit kWp Deckelung gibt,
hier den gewichteten
Mittelwert eintragen</t>
        </r>
      </text>
    </comment>
    <comment ref="V5" authorId="0" shapeId="0">
      <text>
        <r>
          <rPr>
            <sz val="9"/>
            <color indexed="81"/>
            <rFont val="Tahoma"/>
            <family val="2"/>
          </rPr>
          <t>Tobias Hatt: wenn es
unterschiedliche Tarife
mit kWp Deckelung gibt,
hier den gewichteten
Mittelwert eintragen</t>
        </r>
      </text>
    </comment>
    <comment ref="U18" authorId="0" shapeId="0">
      <text>
        <r>
          <rPr>
            <sz val="9"/>
            <color indexed="81"/>
            <rFont val="Tahoma"/>
            <family val="2"/>
          </rPr>
          <t>Tobias Hatt: inklusive
Tarifsteigerung
Einspeisevergütung</t>
        </r>
      </text>
    </comment>
    <comment ref="G22" authorId="0" shapeId="0">
      <text>
        <r>
          <rPr>
            <sz val="9"/>
            <color indexed="81"/>
            <rFont val="Tahoma"/>
            <family val="2"/>
          </rPr>
          <t>Tobias Hatt: mittlerer
Ertrag über den gesamten
Betrachtungszeitraum.
Leistungsverlust durch
Alterung der Module
sollte hier
mitberücksichtigt werden.</t>
        </r>
      </text>
    </comment>
    <comment ref="U81" authorId="0" shapeId="0">
      <text>
        <r>
          <rPr>
            <sz val="9"/>
            <color indexed="81"/>
            <rFont val="Tahoma"/>
            <family val="2"/>
          </rPr>
          <t>Tobias Hatt: inklusive
Tarifsteigerung
Einspeisevergütung</t>
        </r>
      </text>
    </comment>
    <comment ref="G85" authorId="0" shapeId="0">
      <text>
        <r>
          <rPr>
            <sz val="9"/>
            <color indexed="81"/>
            <rFont val="Tahoma"/>
            <family val="2"/>
          </rPr>
          <t>Tobias Hatt: mittlerer
Ertrag über den gesamten
Betrachtungszeitraum.
Leistungsverlust durch
Alterung der Module
sollte hier
mitberücksichtigt werden.</t>
        </r>
      </text>
    </comment>
    <comment ref="U144" authorId="0" shapeId="0">
      <text>
        <r>
          <rPr>
            <sz val="9"/>
            <color indexed="81"/>
            <rFont val="Tahoma"/>
            <family val="2"/>
          </rPr>
          <t>Tobias Hatt: inklusive
Tarifsteigerung
Einspeisevergütung</t>
        </r>
      </text>
    </comment>
    <comment ref="G148" authorId="0" shapeId="0">
      <text>
        <r>
          <rPr>
            <sz val="9"/>
            <color indexed="81"/>
            <rFont val="Tahoma"/>
            <family val="2"/>
          </rPr>
          <t>Tobias Hatt: mittlerer
Ertrag über den gesamten
Betrachtungszeitraum.
Leistungsverlust durch
Alterung der Module
sollte hier
mitberücksichtigt werden.</t>
        </r>
      </text>
    </comment>
    <comment ref="U207" authorId="0" shapeId="0">
      <text>
        <r>
          <rPr>
            <sz val="9"/>
            <color indexed="81"/>
            <rFont val="Tahoma"/>
            <family val="2"/>
          </rPr>
          <t>Tobias Hatt: inklusive
Tarifsteigerung
Einspeisevergütung</t>
        </r>
      </text>
    </comment>
    <comment ref="G211" authorId="0" shapeId="0">
      <text>
        <r>
          <rPr>
            <sz val="9"/>
            <color indexed="81"/>
            <rFont val="Tahoma"/>
            <family val="2"/>
          </rPr>
          <t>Tobias Hatt: mittlerer
Ertrag über den gesamten
Betrachtungszeitraum.
Leistungsverlust durch
Alterung der Module
sollte hier
mitberücksichtigt werden.</t>
        </r>
      </text>
    </comment>
    <comment ref="U270" authorId="0" shapeId="0">
      <text>
        <r>
          <rPr>
            <sz val="9"/>
            <color indexed="81"/>
            <rFont val="Tahoma"/>
            <family val="2"/>
          </rPr>
          <t>Tobias Hatt: inklusive
Tarifsteigerung
Einspeisevergütung</t>
        </r>
      </text>
    </comment>
    <comment ref="G274" authorId="0" shapeId="0">
      <text>
        <r>
          <rPr>
            <sz val="9"/>
            <color indexed="81"/>
            <rFont val="Tahoma"/>
            <family val="2"/>
          </rPr>
          <t>Tobias Hatt: mittlerer
Ertrag über den gesamten
Betrachtungszeitraum.
Leistungsverlust durch
Alterung der Module
sollte hier
mitberücksichtigt werden.</t>
        </r>
      </text>
    </comment>
  </commentList>
</comments>
</file>

<file path=xl/comments2.xml><?xml version="1.0" encoding="utf-8"?>
<comments xmlns="http://schemas.openxmlformats.org/spreadsheetml/2006/main">
  <authors>
    <author>David Frick</author>
  </authors>
  <commentList>
    <comment ref="F43" authorId="0" shapeId="0">
      <text>
        <r>
          <rPr>
            <sz val="9"/>
            <color indexed="81"/>
            <rFont val="Tahoma"/>
            <family val="2"/>
          </rPr>
          <t>Bezogen auf m²
Bezugsfläche der
Referenzvariante</t>
        </r>
      </text>
    </comment>
    <comment ref="F53" authorId="0" shapeId="0">
      <text>
        <r>
          <rPr>
            <sz val="9"/>
            <color indexed="81"/>
            <rFont val="Tahoma"/>
            <family val="2"/>
          </rPr>
          <t>Bezogen auf m²
Bezugsfläche der
Referenzvariante</t>
        </r>
      </text>
    </comment>
    <comment ref="C59" authorId="0" shapeId="0">
      <text>
        <r>
          <rPr>
            <sz val="9"/>
            <color indexed="81"/>
            <rFont val="Tahoma"/>
            <family val="2"/>
          </rPr>
          <t>CO2-Folgekosten werden
berücksichtigt, wenn sie
angegeben sind</t>
        </r>
      </text>
    </comment>
    <comment ref="F65" authorId="0" shapeId="0">
      <text>
        <r>
          <rPr>
            <sz val="9"/>
            <color indexed="81"/>
            <rFont val="Tahoma"/>
            <family val="2"/>
          </rPr>
          <t>Bezogen auf m²
Bezugsfläche der
Referenzvariante</t>
        </r>
      </text>
    </comment>
    <comment ref="F79" authorId="0" shapeId="0">
      <text>
        <r>
          <rPr>
            <sz val="9"/>
            <color indexed="81"/>
            <rFont val="Tahoma"/>
            <family val="2"/>
          </rPr>
          <t>Bezogen auf m²
Bezugsfläche der
Referenzvariante</t>
        </r>
      </text>
    </comment>
  </commentList>
</comments>
</file>

<file path=xl/comments3.xml><?xml version="1.0" encoding="utf-8"?>
<comments xmlns="http://schemas.openxmlformats.org/spreadsheetml/2006/main">
  <authors>
    <author>David Frick</author>
  </authors>
  <commentList>
    <comment ref="M23" authorId="0" shapeId="0">
      <text>
        <r>
          <rPr>
            <sz val="9"/>
            <color indexed="81"/>
            <rFont val="Tahoma"/>
            <family val="2"/>
          </rPr>
          <t>Die Referenz kann auf
Blatt 1.Projektangaben
verändert werden</t>
        </r>
      </text>
    </comment>
    <comment ref="M24" authorId="0" shapeId="0">
      <text>
        <r>
          <rPr>
            <sz val="9"/>
            <color indexed="81"/>
            <rFont val="Tahoma"/>
            <family val="2"/>
          </rPr>
          <t>wird nichts angegeben so
bleibt die Reihenfolge
wie bei der Eingabe im
Blatt 1.Projektangaben</t>
        </r>
      </text>
    </comment>
    <comment ref="C38" authorId="0" shapeId="0">
      <text>
        <r>
          <rPr>
            <sz val="9"/>
            <color indexed="81"/>
            <rFont val="Tahoma"/>
            <family val="2"/>
          </rPr>
          <t>Wartung, Instandhaltung,
Reinigung, Sonstige</t>
        </r>
      </text>
    </comment>
    <comment ref="C39" authorId="0" shapeId="0">
      <text>
        <r>
          <rPr>
            <sz val="9"/>
            <color indexed="81"/>
            <rFont val="Tahoma"/>
            <family val="2"/>
          </rPr>
          <t>Energiekosten,
Wasserkosten (ohne PV)</t>
        </r>
      </text>
    </comment>
  </commentList>
</comments>
</file>

<file path=xl/comments4.xml><?xml version="1.0" encoding="utf-8"?>
<comments xmlns="http://schemas.openxmlformats.org/spreadsheetml/2006/main">
  <authors>
    <author>David Frick</author>
    <author>Tobias Hatt</author>
  </authors>
  <commentList>
    <comment ref="F12" authorId="0" shapeId="0">
      <text>
        <r>
          <rPr>
            <sz val="9"/>
            <color indexed="81"/>
            <rFont val="Tahoma"/>
            <family val="2"/>
          </rPr>
          <t>Sollte in etwa
Kreditlaufzeit
entsprechen; Werte
größer 50 Jahre sind
nicht erlaubt</t>
        </r>
      </text>
    </comment>
    <comment ref="I12" authorId="0" shapeId="0">
      <text>
        <r>
          <rPr>
            <sz val="9"/>
            <color indexed="81"/>
            <rFont val="Tahoma"/>
            <family val="2"/>
          </rPr>
          <t>Wird "0" oder kein Wert
eingetragen wird die
Inflation nicht
berücksichtigt</t>
        </r>
      </text>
    </comment>
    <comment ref="L12" authorId="0" shapeId="0">
      <text>
        <r>
          <rPr>
            <sz val="9"/>
            <color indexed="81"/>
            <rFont val="Tahoma"/>
            <family val="2"/>
          </rPr>
          <t>Zinssatz für
konservative Anlage des
Eigenkapitals</t>
        </r>
      </text>
    </comment>
    <comment ref="F14" authorId="0" shapeId="0">
      <text>
        <r>
          <rPr>
            <sz val="9"/>
            <color indexed="81"/>
            <rFont val="Tahoma"/>
            <family val="2"/>
          </rPr>
          <t>Nominalen Zinssatz
angeben. Bei
Inflationsrate 0% bitte
Realen Zinssatz angeben</t>
        </r>
      </text>
    </comment>
    <comment ref="E22" authorId="1" shapeId="0">
      <text>
        <r>
          <rPr>
            <sz val="9"/>
            <color indexed="81"/>
            <rFont val="Tahoma"/>
            <family val="2"/>
          </rPr>
          <t>maximal 9 Zeichen
inklusive Leerzeichen</t>
        </r>
      </text>
    </comment>
    <comment ref="F22" authorId="0" shapeId="0">
      <text>
        <r>
          <rPr>
            <sz val="9"/>
            <color indexed="81"/>
            <rFont val="Tahoma"/>
            <family val="2"/>
          </rPr>
          <t>Referenzvariante mit X
markieren</t>
        </r>
      </text>
    </comment>
    <comment ref="M32" authorId="0" shapeId="0">
      <text>
        <r>
          <rPr>
            <sz val="9"/>
            <color indexed="81"/>
            <rFont val="Tahoma"/>
            <family val="2"/>
          </rPr>
          <t>wenn hier kein Wert
steht werden keine CO2
Folgekosten
berücksichtigt</t>
        </r>
      </text>
    </comment>
    <comment ref="K35" authorId="0" shapeId="0">
      <text>
        <r>
          <rPr>
            <sz val="9"/>
            <color indexed="81"/>
            <rFont val="Tahoma"/>
            <family val="2"/>
          </rPr>
          <t>Nominale
Energiepreissteigerungen
angeben. Bei Inflation
0% bitte Reale Steigerung
angeben</t>
        </r>
      </text>
    </comment>
    <comment ref="D51" authorId="1" shapeId="0">
      <text>
        <r>
          <rPr>
            <sz val="9"/>
            <color indexed="81"/>
            <rFont val="Tahoma"/>
            <family val="2"/>
          </rPr>
          <t>Wenn es unterschiedliche
Tarife mit kWp Deckelung
gibt, hier den
gewichteten Mittelwert
eintragen</t>
        </r>
      </text>
    </comment>
    <comment ref="F51" authorId="0" shapeId="0">
      <text>
        <r>
          <rPr>
            <sz val="9"/>
            <color indexed="81"/>
            <rFont val="Tahoma"/>
            <family val="2"/>
          </rPr>
          <t>zusätzliche Grundgebühr
im angegeben limitierten
Zeitraum</t>
        </r>
      </text>
    </comment>
    <comment ref="L51" authorId="0" shapeId="0">
      <text>
        <r>
          <rPr>
            <sz val="9"/>
            <color indexed="81"/>
            <rFont val="Tahoma"/>
            <family val="2"/>
          </rPr>
          <t>werden Zellen hier leer
gelassen, gibt es keine
Beschränkungen für die
Menge der Einspeisung</t>
        </r>
      </text>
    </comment>
    <comment ref="N51" authorId="0" shapeId="0">
      <text>
        <r>
          <rPr>
            <sz val="9"/>
            <color indexed="81"/>
            <rFont val="Tahoma"/>
            <family val="2"/>
          </rPr>
          <t>werden Zellen hier leer
gelassen, gibt es keine
Beschränkungen für die
Menge der Einspeisung</t>
        </r>
      </text>
    </comment>
  </commentList>
</comments>
</file>

<file path=xl/comments5.xml><?xml version="1.0" encoding="utf-8"?>
<comments xmlns="http://schemas.openxmlformats.org/spreadsheetml/2006/main">
  <authors>
    <author>Tobias Hatt</author>
    <author>Diete Fiete</author>
    <author>David Frick</author>
  </authors>
  <commentList>
    <comment ref="H13" authorId="0" shapeId="0">
      <text>
        <r>
          <rPr>
            <sz val="9"/>
            <color indexed="81"/>
            <rFont val="Tahoma"/>
            <family val="2"/>
          </rPr>
          <t>PV-Eigennutzung hier
nicht abziehen. Dies
geschieht dann auf
Kostenebene.</t>
        </r>
      </text>
    </comment>
    <comment ref="E15" authorId="1" shapeId="0">
      <text>
        <r>
          <rPr>
            <sz val="9"/>
            <color indexed="81"/>
            <rFont val="Tahoma"/>
            <family val="2"/>
          </rPr>
          <t>Gilt auch für
wärmegeführte BHKW's</t>
        </r>
      </text>
    </comment>
    <comment ref="E16" authorId="1" shapeId="0">
      <text>
        <r>
          <rPr>
            <sz val="9"/>
            <color indexed="81"/>
            <rFont val="Tahoma"/>
            <family val="2"/>
          </rPr>
          <t>Gilt auch für
wärmegeführte BHKW's</t>
        </r>
      </text>
    </comment>
    <comment ref="F35" authorId="2" shapeId="0">
      <text>
        <r>
          <rPr>
            <sz val="9"/>
            <color indexed="81"/>
            <rFont val="Tahoma"/>
            <family val="2"/>
          </rPr>
          <t>Es wird mit dem
Einspeisetarifmodell für
PV vom Blatt 1.
Projektangaben gerechnet</t>
        </r>
      </text>
    </comment>
    <comment ref="G36" authorId="2" shapeId="0">
      <text>
        <r>
          <rPr>
            <sz val="9"/>
            <color indexed="81"/>
            <rFont val="Tahoma"/>
            <family val="2"/>
          </rPr>
          <t>Hier mittleren Ertrag
über den gesamten
Betrachtungszeitraum
angeben.
Leistungsverlust durch
Alterung der Module
sollte hier
mitberücksichtigt werden.</t>
        </r>
      </text>
    </comment>
    <comment ref="G37" authorId="2" shapeId="0">
      <text>
        <r>
          <rPr>
            <sz val="9"/>
            <color indexed="81"/>
            <rFont val="Tahoma"/>
            <family val="2"/>
          </rPr>
          <t>Eigennutzung inklusive
Batteriespeicher</t>
        </r>
      </text>
    </comment>
    <comment ref="H44" authorId="0" shapeId="0">
      <text>
        <r>
          <rPr>
            <sz val="9"/>
            <color indexed="81"/>
            <rFont val="Tahoma"/>
            <family val="2"/>
          </rPr>
          <t>PV-Eigennutzung hier
nicht abziehen. Dies
geschieht dann auf
Kostenebene.</t>
        </r>
      </text>
    </comment>
    <comment ref="E46" authorId="1" shapeId="0">
      <text>
        <r>
          <rPr>
            <sz val="9"/>
            <color indexed="81"/>
            <rFont val="Tahoma"/>
            <family val="2"/>
          </rPr>
          <t>Gilt auch für
wärmegeführte BHKW's</t>
        </r>
      </text>
    </comment>
    <comment ref="E47" authorId="1" shapeId="0">
      <text>
        <r>
          <rPr>
            <sz val="9"/>
            <color indexed="81"/>
            <rFont val="Tahoma"/>
            <family val="2"/>
          </rPr>
          <t>Gilt auch für
wärmegeführte BHKW's</t>
        </r>
      </text>
    </comment>
    <comment ref="F66" authorId="2" shapeId="0">
      <text>
        <r>
          <rPr>
            <sz val="9"/>
            <color indexed="81"/>
            <rFont val="Tahoma"/>
            <family val="2"/>
          </rPr>
          <t>Es wird mit dem
Einspeisetarifmodell für
PV vom Blatt 1.
Projektangaben gerechnet</t>
        </r>
      </text>
    </comment>
    <comment ref="G67" authorId="2" shapeId="0">
      <text>
        <r>
          <rPr>
            <sz val="9"/>
            <color indexed="81"/>
            <rFont val="Tahoma"/>
            <family val="2"/>
          </rPr>
          <t>Hier mittleren Ertrag
über den gesamten
Betrachtungszeitraum
angeben.
Leistungsverlust durch
Alterung der Module
sollte hier
mitberücksichtigt werden.</t>
        </r>
      </text>
    </comment>
    <comment ref="G68" authorId="2" shapeId="0">
      <text>
        <r>
          <rPr>
            <sz val="9"/>
            <color indexed="81"/>
            <rFont val="Tahoma"/>
            <family val="2"/>
          </rPr>
          <t>Eigennutzung inklusive
Batteriespeicher</t>
        </r>
      </text>
    </comment>
    <comment ref="H75" authorId="0" shapeId="0">
      <text>
        <r>
          <rPr>
            <sz val="9"/>
            <color indexed="81"/>
            <rFont val="Tahoma"/>
            <family val="2"/>
          </rPr>
          <t>PV-Eigennutzung hier
nicht abziehen. Dies
geschieht dann auf
Kostenebene.</t>
        </r>
      </text>
    </comment>
    <comment ref="E77" authorId="1" shapeId="0">
      <text>
        <r>
          <rPr>
            <sz val="9"/>
            <color indexed="81"/>
            <rFont val="Tahoma"/>
            <family val="2"/>
          </rPr>
          <t>Gilt auch für
wärmegeführte BHKW's</t>
        </r>
      </text>
    </comment>
    <comment ref="E78" authorId="1" shapeId="0">
      <text>
        <r>
          <rPr>
            <sz val="9"/>
            <color indexed="81"/>
            <rFont val="Tahoma"/>
            <family val="2"/>
          </rPr>
          <t>Gilt auch für
wärmegeführte BHKW's</t>
        </r>
      </text>
    </comment>
    <comment ref="F97" authorId="2" shapeId="0">
      <text>
        <r>
          <rPr>
            <sz val="9"/>
            <color indexed="81"/>
            <rFont val="Tahoma"/>
            <family val="2"/>
          </rPr>
          <t>Es wird mit dem
Einspeisetarifmodell für
PV vom Blatt 1.
Projektangaben gerechnet</t>
        </r>
      </text>
    </comment>
    <comment ref="G98" authorId="2" shapeId="0">
      <text>
        <r>
          <rPr>
            <sz val="9"/>
            <color indexed="81"/>
            <rFont val="Tahoma"/>
            <family val="2"/>
          </rPr>
          <t>Hier mittleren Ertrag
über den gesamten
Betrachtungszeitraum
angeben.
Leistungsverlust durch
Alterung der Module
sollte hier
mitberücksichtigt werden.</t>
        </r>
      </text>
    </comment>
    <comment ref="G99" authorId="2" shapeId="0">
      <text>
        <r>
          <rPr>
            <sz val="9"/>
            <color indexed="81"/>
            <rFont val="Tahoma"/>
            <family val="2"/>
          </rPr>
          <t>Eigennutzung inklusive
Batteriespeicher</t>
        </r>
      </text>
    </comment>
    <comment ref="H106" authorId="0" shapeId="0">
      <text>
        <r>
          <rPr>
            <sz val="9"/>
            <color indexed="81"/>
            <rFont val="Tahoma"/>
            <family val="2"/>
          </rPr>
          <t>PV-Eigennutzung hier
nicht abziehen. Dies
geschieht dann auf
Kostenebene.</t>
        </r>
      </text>
    </comment>
    <comment ref="E108" authorId="1" shapeId="0">
      <text>
        <r>
          <rPr>
            <sz val="9"/>
            <color indexed="81"/>
            <rFont val="Tahoma"/>
            <family val="2"/>
          </rPr>
          <t>Gilt auch für
wärmegeführte BHKW's</t>
        </r>
      </text>
    </comment>
    <comment ref="E109" authorId="1" shapeId="0">
      <text>
        <r>
          <rPr>
            <sz val="9"/>
            <color indexed="81"/>
            <rFont val="Tahoma"/>
            <family val="2"/>
          </rPr>
          <t>Gilt auch für
wärmegeführte BHKW's</t>
        </r>
      </text>
    </comment>
    <comment ref="F128" authorId="2" shapeId="0">
      <text>
        <r>
          <rPr>
            <sz val="9"/>
            <color indexed="81"/>
            <rFont val="Tahoma"/>
            <family val="2"/>
          </rPr>
          <t>Es wird mit dem
Einspeisetarifmodell für
PV vom Blatt 1.
Projektangaben gerechnet</t>
        </r>
      </text>
    </comment>
    <comment ref="G129" authorId="2" shapeId="0">
      <text>
        <r>
          <rPr>
            <sz val="9"/>
            <color indexed="81"/>
            <rFont val="Tahoma"/>
            <family val="2"/>
          </rPr>
          <t>Hier mittleren Ertrag
über den gesamten
Betrachtungszeitraum
angeben.
Leistungsverlust durch
Alterung der Module
sollte hier
mitberücksichtigt werden.</t>
        </r>
      </text>
    </comment>
    <comment ref="G130" authorId="2" shapeId="0">
      <text>
        <r>
          <rPr>
            <sz val="9"/>
            <color indexed="81"/>
            <rFont val="Tahoma"/>
            <family val="2"/>
          </rPr>
          <t>Eigennutzung inklusive
Batteriespeicher</t>
        </r>
      </text>
    </comment>
    <comment ref="H137" authorId="0" shapeId="0">
      <text>
        <r>
          <rPr>
            <sz val="9"/>
            <color indexed="81"/>
            <rFont val="Tahoma"/>
            <family val="2"/>
          </rPr>
          <t>PV-Eigennutzung hier
nicht abziehen. Dies
geschieht dann auf
Kostenebene.</t>
        </r>
      </text>
    </comment>
    <comment ref="E139" authorId="1" shapeId="0">
      <text>
        <r>
          <rPr>
            <sz val="9"/>
            <color indexed="81"/>
            <rFont val="Tahoma"/>
            <family val="2"/>
          </rPr>
          <t>Gilt auch für
wärmegeführte BHKW's</t>
        </r>
      </text>
    </comment>
    <comment ref="E140" authorId="1" shapeId="0">
      <text>
        <r>
          <rPr>
            <sz val="9"/>
            <color indexed="81"/>
            <rFont val="Tahoma"/>
            <family val="2"/>
          </rPr>
          <t>Gilt auch für
wärmegeführte BHKW's</t>
        </r>
      </text>
    </comment>
    <comment ref="F159" authorId="2" shapeId="0">
      <text>
        <r>
          <rPr>
            <sz val="9"/>
            <color indexed="81"/>
            <rFont val="Tahoma"/>
            <family val="2"/>
          </rPr>
          <t>Es wird mit dem
Einspeisetarifmodell für
PV vom Blatt 1.
Projektangaben gerechnet</t>
        </r>
      </text>
    </comment>
    <comment ref="G160" authorId="2" shapeId="0">
      <text>
        <r>
          <rPr>
            <sz val="9"/>
            <color indexed="81"/>
            <rFont val="Tahoma"/>
            <family val="2"/>
          </rPr>
          <t>Hier mittleren Ertrag
über den gesamten
Betrachtungszeitraum
angeben.
Leistungsverlust durch
Alterung der Module
sollte hier
mitberücksichtigt werden.</t>
        </r>
      </text>
    </comment>
    <comment ref="G161" authorId="2" shapeId="0">
      <text>
        <r>
          <rPr>
            <sz val="9"/>
            <color indexed="81"/>
            <rFont val="Tahoma"/>
            <family val="2"/>
          </rPr>
          <t>Eigennutzung inklusive
Batteriespeicher</t>
        </r>
      </text>
    </comment>
  </commentList>
</comments>
</file>

<file path=xl/comments6.xml><?xml version="1.0" encoding="utf-8"?>
<comments xmlns="http://schemas.openxmlformats.org/spreadsheetml/2006/main">
  <authors>
    <author>Diete Fiete</author>
    <author>David Frick</author>
    <author>administrator</author>
  </authors>
  <commentList>
    <comment ref="J18" authorId="0" shapeId="0">
      <text>
        <r>
          <rPr>
            <sz val="9"/>
            <color indexed="81"/>
            <rFont val="Tahoma"/>
            <family val="2"/>
          </rPr>
          <t>Technischer Kennwert wie
z.B.: U-Wert, g-wert,
z-Wert, 1/h,</t>
        </r>
      </text>
    </comment>
    <comment ref="AI18" authorId="0" shapeId="0">
      <text>
        <r>
          <rPr>
            <sz val="9"/>
            <color indexed="81"/>
            <rFont val="Tahoma"/>
            <family val="2"/>
          </rPr>
          <t>Technische Lebensdauer,
wichtig für Betrachtung
mit Restwert</t>
        </r>
      </text>
    </comment>
    <comment ref="U20" authorId="1" shapeId="0">
      <text>
        <r>
          <rPr>
            <sz val="9"/>
            <color indexed="81"/>
            <rFont val="Tahoma"/>
            <family val="2"/>
          </rPr>
          <t>Werte z.B aus VDI 2076</t>
        </r>
      </text>
    </comment>
    <comment ref="X20" authorId="1" shapeId="0">
      <text>
        <r>
          <rPr>
            <sz val="9"/>
            <color indexed="81"/>
            <rFont val="Tahoma"/>
            <family val="2"/>
          </rPr>
          <t>Werte z.B aus VDI 2076</t>
        </r>
      </text>
    </comment>
    <comment ref="AA20" authorId="1" shapeId="0">
      <text>
        <r>
          <rPr>
            <sz val="9"/>
            <color indexed="81"/>
            <rFont val="Tahoma"/>
            <family val="2"/>
          </rPr>
          <t>Werte z.B aus VDI 2076</t>
        </r>
      </text>
    </comment>
    <comment ref="AD20" authorId="1" shapeId="0">
      <text>
        <r>
          <rPr>
            <sz val="9"/>
            <color indexed="81"/>
            <rFont val="Tahoma"/>
            <family val="2"/>
          </rPr>
          <t>Werte z.B aus VDI 2076</t>
        </r>
      </text>
    </comment>
    <comment ref="E33" authorId="2" shapeId="0">
      <text>
        <r>
          <rPr>
            <sz val="9"/>
            <color indexed="81"/>
            <rFont val="Tahoma"/>
            <family val="2"/>
          </rPr>
          <t>Versorgungsanlagen und
-leitungen außerhalb des
Objektes bis
Hausanschluss, z. B.
Wasser, Gas, Strom</t>
        </r>
      </text>
    </comment>
    <comment ref="E102" authorId="1" shapeId="0">
      <text>
        <r>
          <rPr>
            <sz val="9"/>
            <color indexed="81"/>
            <rFont val="Tahoma"/>
            <family val="2"/>
          </rPr>
          <t>Sondenwärmetauscher,
Flächenwärmetauscher,
Rauch- Abgasfänge,
Durchbruch für größeren
Ölkessel, Bauliche
Mehrkosten Nachtlüftung</t>
        </r>
      </text>
    </comment>
    <comment ref="E117" authorId="2" shapeId="0">
      <text>
        <r>
          <rPr>
            <sz val="9"/>
            <color indexed="81"/>
            <rFont val="Tahoma"/>
            <family val="2"/>
          </rPr>
          <t>Unterböden und
Bodenplatten, die nicht
der Fundierung dienen</t>
        </r>
      </text>
    </comment>
    <comment ref="E126" authorId="2" shapeId="0">
      <text>
        <r>
          <rPr>
            <sz val="9"/>
            <color indexed="81"/>
            <rFont val="Tahoma"/>
            <family val="2"/>
          </rPr>
          <t>Brennstoffversorgung,
Wärmeübergabestationen,
Wärmeerzeugung, zentrale
Wassererwärmungsanlagen</t>
        </r>
      </text>
    </comment>
    <comment ref="E134" authorId="2" shapeId="0">
      <text>
        <r>
          <rPr>
            <sz val="9"/>
            <color indexed="81"/>
            <rFont val="Tahoma"/>
            <family val="2"/>
          </rPr>
          <t>Pumpen, Verteiler,
Rohrleitungen für
Raumheizflächen,
raumlufttechnische
Anlagen und sonstige
Wärmeverteiler</t>
        </r>
      </text>
    </comment>
    <comment ref="N135" authorId="0" shapeId="0">
      <text>
        <r>
          <rPr>
            <sz val="9"/>
            <color indexed="81"/>
            <rFont val="Tahoma"/>
            <family val="2"/>
          </rPr>
          <t>verlegte Länge</t>
        </r>
      </text>
    </comment>
    <comment ref="E136" authorId="2" shapeId="0">
      <text>
        <r>
          <rPr>
            <sz val="9"/>
            <color indexed="81"/>
            <rFont val="Tahoma"/>
            <family val="2"/>
          </rPr>
          <t>Heizkörper,
Flächenheizsysteme</t>
        </r>
      </text>
    </comment>
    <comment ref="N138" authorId="0" shapeId="0">
      <text>
        <r>
          <rPr>
            <sz val="9"/>
            <color indexed="81"/>
            <rFont val="Tahoma"/>
            <family val="2"/>
          </rPr>
          <t>verlegte Fläche</t>
        </r>
      </text>
    </comment>
    <comment ref="N139" authorId="0" shapeId="0">
      <text>
        <r>
          <rPr>
            <sz val="9"/>
            <color indexed="81"/>
            <rFont val="Tahoma"/>
            <family val="2"/>
          </rPr>
          <t>verlegte Fläche</t>
        </r>
      </text>
    </comment>
    <comment ref="N140" authorId="0" shapeId="0">
      <text>
        <r>
          <rPr>
            <sz val="9"/>
            <color indexed="81"/>
            <rFont val="Tahoma"/>
            <family val="2"/>
          </rPr>
          <t>verlegte Fläche</t>
        </r>
      </text>
    </comment>
    <comment ref="N141" authorId="0" shapeId="0">
      <text>
        <r>
          <rPr>
            <sz val="9"/>
            <color indexed="81"/>
            <rFont val="Tahoma"/>
            <family val="2"/>
          </rPr>
          <t>verlegte Fläche</t>
        </r>
      </text>
    </comment>
    <comment ref="E143" authorId="2" shapeId="0">
      <text>
        <r>
          <rPr>
            <sz val="9"/>
            <color indexed="81"/>
            <rFont val="Tahoma"/>
            <family val="2"/>
          </rPr>
          <t>Zu-und Abluftanlagen mit
oder ohne
thermodynamische
Luftbehandlung,
mechanische
Entrauchungsanlagen</t>
        </r>
      </text>
    </comment>
    <comment ref="E147" authorId="2" shapeId="0">
      <text>
        <r>
          <rPr>
            <sz val="9"/>
            <color indexed="81"/>
            <rFont val="Tahoma"/>
            <family val="2"/>
          </rPr>
          <t>Anlagen mit zwei, drei
oder vier
thermodynamischen
Luftbehandlungsfunktionen</t>
        </r>
      </text>
    </comment>
    <comment ref="E151" authorId="0" shapeId="0">
      <text>
        <r>
          <rPr>
            <sz val="9"/>
            <color indexed="81"/>
            <rFont val="Tahoma"/>
            <family val="2"/>
          </rPr>
          <t>Kälteanlagen für
lufttechnische Anlagen:
Kälteerzeugung,
Rückkühlanlagen, Pumpen,
Verteiler, Rohrleitungen</t>
        </r>
      </text>
    </comment>
    <comment ref="E156" authorId="2" shapeId="0">
      <text>
        <r>
          <rPr>
            <sz val="9"/>
            <color indexed="81"/>
            <rFont val="Tahoma"/>
            <family val="2"/>
          </rPr>
          <t>Stromerzeugungsaggregate
einschließlich Kühlung,
Abgasanlage,
Brennstoffversorgung</t>
        </r>
      </text>
    </comment>
    <comment ref="E162" authorId="2" shapeId="0">
      <text>
        <r>
          <rPr>
            <sz val="9"/>
            <color indexed="81"/>
            <rFont val="Tahoma"/>
            <family val="2"/>
          </rPr>
          <t>Ortsfeste Leuchten
einschließlich
Leuchtmittel</t>
        </r>
      </text>
    </comment>
    <comment ref="E165" authorId="2" shapeId="0">
      <text>
        <r>
          <rPr>
            <sz val="9"/>
            <color indexed="81"/>
            <rFont val="Tahoma"/>
            <family val="2"/>
          </rPr>
          <t>Anlagen mit zugehörendem
Heizungs-, Lüftungs-und
Sanitär Verteiler und
Verkabelung</t>
        </r>
      </text>
    </comment>
    <comment ref="E176" authorId="2" shapeId="0">
      <text>
        <r>
          <rPr>
            <sz val="9"/>
            <color indexed="81"/>
            <rFont val="Tahoma"/>
            <family val="2"/>
          </rPr>
          <t>Dachfenster, Ausstiege
einschließlich
Umrahmungen, Beschläge,
Antriebe, Lüftungen,
sonstige eingebaute
Elemente</t>
        </r>
      </text>
    </comment>
    <comment ref="E182" authorId="2" shapeId="0">
      <text>
        <r>
          <rPr>
            <sz val="9"/>
            <color indexed="81"/>
            <rFont val="Tahoma"/>
            <family val="2"/>
          </rPr>
          <t>Außentüren, Tore,
Fenster einschließlich
Umrahmungen und
eingebaute Elemente,
Fassadenverglasungen</t>
        </r>
      </text>
    </comment>
    <comment ref="E186" authorId="2" shapeId="0">
      <text>
        <r>
          <rPr>
            <sz val="9"/>
            <color indexed="81"/>
            <rFont val="Tahoma"/>
            <family val="2"/>
          </rPr>
          <t>Außentüren, Tore,
Fenster einschließlich
Umrahmungen und
eingebaute Elemente,
Fassadenverglasungen</t>
        </r>
      </text>
    </comment>
    <comment ref="E195" authorId="2" shapeId="0">
      <text>
        <r>
          <rPr>
            <sz val="9"/>
            <color indexed="81"/>
            <rFont val="Tahoma"/>
            <family val="2"/>
          </rPr>
          <t>Rollläden, Markisen,
Jalousien, Läden und
sonstige
Sonnenschutzmaßnahmen
einschließlich Antriebe</t>
        </r>
      </text>
    </comment>
    <comment ref="E205" authorId="1" shapeId="0">
      <text>
        <r>
          <rPr>
            <sz val="9"/>
            <color indexed="81"/>
            <rFont val="Tahoma"/>
            <family val="2"/>
          </rPr>
          <t>Energieeffiziente
Haushaltsgeräte, EDV,
Lift</t>
        </r>
      </text>
    </comment>
    <comment ref="E220" authorId="0" shapeId="0">
      <text>
        <r>
          <rPr>
            <sz val="9"/>
            <color indexed="81"/>
            <rFont val="Tahoma"/>
            <family val="2"/>
          </rPr>
          <t>Statik, Planung
technische
Gebäudeausrüstung,
Bauleitung, Örtliche
Bauaufsicht,
Fachplanungen,
Gutachten, Beratungen,
Archtektur, Bauphysik</t>
        </r>
      </text>
    </comment>
    <comment ref="E233" authorId="2" shapeId="0">
      <text>
        <r>
          <rPr>
            <sz val="9"/>
            <color indexed="81"/>
            <rFont val="Tahoma"/>
            <family val="2"/>
          </rPr>
          <t>Prüfungen,
Genehmigungen, Abnahmen,
Vermessungsgebühren für
Kataster</t>
        </r>
      </text>
    </comment>
    <comment ref="E234" authorId="2" shapeId="0">
      <text>
        <r>
          <rPr>
            <sz val="9"/>
            <color indexed="81"/>
            <rFont val="Tahoma"/>
            <family val="2"/>
          </rPr>
          <t>Anschlussgebühr für
Abwasser, Wasser, Strom,
Gas, Fernwärme, Telefon,
Fernsehen und Radio,
öffentlicher Verkehr</t>
        </r>
      </text>
    </comment>
    <comment ref="E254" authorId="1" shapeId="0">
      <text>
        <r>
          <rPr>
            <sz val="9"/>
            <color indexed="81"/>
            <rFont val="Tahoma"/>
            <family val="2"/>
          </rPr>
          <t>Kaufpreis für Käufer von
Gesamtobjekten</t>
        </r>
      </text>
    </comment>
  </commentList>
</comments>
</file>

<file path=xl/comments7.xml><?xml version="1.0" encoding="utf-8"?>
<comments xmlns="http://schemas.openxmlformats.org/spreadsheetml/2006/main">
  <authors>
    <author>David Frick</author>
    <author>Diete Fiete</author>
    <author>Daniel Ruepp</author>
  </authors>
  <commentList>
    <comment ref="G24" authorId="0" shapeId="0">
      <text>
        <r>
          <rPr>
            <sz val="9"/>
            <color indexed="81"/>
            <rFont val="Tahoma"/>
            <family val="2"/>
          </rPr>
          <t>Sollte
Betrachtungszeitraum sein</t>
        </r>
      </text>
    </comment>
    <comment ref="H24" authorId="1" shapeId="0">
      <text>
        <r>
          <rPr>
            <sz val="9"/>
            <color indexed="81"/>
            <rFont val="Tahoma"/>
            <family val="2"/>
          </rPr>
          <t>Der Fremdkapitalzinssatz
sollte die durch die
Kreditaufnahme
entstandene
Zinsbelastung abbilden.
Er ist definiert als
Zinssatz des
aufgenommenen Kredits.</t>
        </r>
      </text>
    </comment>
    <comment ref="D25" authorId="2" shapeId="0">
      <text>
        <r>
          <rPr>
            <sz val="9"/>
            <color indexed="81"/>
            <rFont val="Tahoma"/>
            <family val="2"/>
          </rPr>
          <t>bezieht sich auf die
Kreditlaufzeit und den
Zinssatz.</t>
        </r>
      </text>
    </comment>
    <comment ref="H29" authorId="0" shapeId="0">
      <text>
        <r>
          <rPr>
            <sz val="9"/>
            <color indexed="81"/>
            <rFont val="Tahoma"/>
            <family val="2"/>
          </rPr>
          <t>Entspricht
Wohnbauförderung 2012</t>
        </r>
      </text>
    </comment>
    <comment ref="D47" authorId="1" shapeId="0">
      <text>
        <r>
          <rPr>
            <sz val="9"/>
            <color indexed="81"/>
            <rFont val="Tahoma"/>
            <family val="2"/>
          </rPr>
          <t>Kosten der Fremd- und
Eigenleistungen für die
Objekt- oder
Legenschaftsverwaltung,
(Kosten für die
ordentliche
Hausverwaltung, für die
kaufmännischen und
infrastrukturellen
Managementleistungen)</t>
        </r>
      </text>
    </comment>
    <comment ref="D48" authorId="1" shapeId="0">
      <text>
        <r>
          <rPr>
            <sz val="9"/>
            <color indexed="81"/>
            <rFont val="Tahoma"/>
            <family val="2"/>
          </rPr>
          <t>Gebühren, Steuern,
Abgaben und
Versicherungen für
Obejkte, Anlagen,
Einrichtungen und
Grundstücke, die
bestandsbedingt anfallen
und nicht aus
betriebelicher Nutzung
(z.B. Grundsteuer,
Gebrauchsabgaben)</t>
        </r>
      </text>
    </comment>
    <comment ref="K49" authorId="0" shapeId="0">
      <text>
        <r>
          <rPr>
            <sz val="9"/>
            <color indexed="81"/>
            <rFont val="Tahoma"/>
            <family val="2"/>
          </rPr>
          <t>sind Grundgebühren im
ersten Jahr, bitte
beachten, dass sich die
Einspeisegrundgebühr
dynamisch lt. 1.
Projektangaben,
Einseisetarif verändern
kann</t>
        </r>
      </text>
    </comment>
    <comment ref="D56" authorId="1" shapeId="0">
      <text>
        <r>
          <rPr>
            <sz val="9"/>
            <color indexed="81"/>
            <rFont val="Tahoma"/>
            <family val="2"/>
          </rPr>
          <t>Kosten der
Managementleistungen für
den technischen Betrieb,
die Instandhaltung und
den Unterhalt von
Objekten und
Grundstücken -
Störungs-, Wartungs-,
Instandhaltungs-,
Optimierungs- und
Energiemanagement.
Kosten für die Übernahme
oder Inbetriebnahme. Kosten für Betätigen und Bedienen (Einstellen, Überwachen, Störungen beheben, Verbrauchsstoffe nachfüllen, Prüfungen veranlassen, Optimieren im laufenden Betrieb, Gewährleistungen verfolgen). Kosten für Übergabe oder Außerbetriebnahme. Kosten für Dokumentation. Dazu zählen auch Ablesekosten für Energie</t>
        </r>
      </text>
    </comment>
    <comment ref="D61" authorId="1" shapeId="0">
      <text>
        <r>
          <rPr>
            <sz val="9"/>
            <color indexed="81"/>
            <rFont val="Tahoma"/>
            <family val="2"/>
          </rPr>
          <t>Kosten für Energie:
Wärme-, Kälte- und
Stromenergie mit
Berücksichtigung der
eigenen Erzeugung (z.B.
Photovoltaik, Solar-
oder Geothermie) (z.B.
Strom für Gebäudenutzung
(Beleuchtung, Betrieb
usw.), Strom für (den
Betrieb der)
Gebäudetechnik, Energie
fürRaum- und Lüftungswärme und Warmwasserbereitung, Energie für Kälte und Kühlung) Ausgenommen sind Energie für den Betrieb gewerblicher oder industrieller Anlagen, Prozesswärme und Abwärme</t>
        </r>
      </text>
    </comment>
    <comment ref="K85" authorId="0" shapeId="0">
      <text>
        <r>
          <rPr>
            <sz val="9"/>
            <color indexed="81"/>
            <rFont val="Tahoma"/>
            <family val="2"/>
          </rPr>
          <t>sind Erlöse im ersten
Jahr, bitte beachten,
dass sich der Tarif
dynamisch lt. 1.
Projektangaben,
Einseisetarif verändern
kann</t>
        </r>
      </text>
    </comment>
    <comment ref="D89" authorId="1" shapeId="0">
      <text>
        <r>
          <rPr>
            <sz val="9"/>
            <color indexed="81"/>
            <rFont val="Tahoma"/>
            <family val="2"/>
          </rPr>
          <t>Kosten für Wasser und
Abwasser (Brauch- und
Trinkwasser auch aus
eigenen Brunnenanlagen,
ausgenommen
Prozesswasser, Abwasser,
auch bei eigener
Entsorgung (Senkgrube,
Kläranlage), ausgenommen
sind Prozesswasser</t>
        </r>
      </text>
    </comment>
    <comment ref="D94" authorId="0" shapeId="0">
      <text>
        <r>
          <rPr>
            <sz val="9"/>
            <color indexed="81"/>
            <rFont val="Tahoma"/>
            <family val="2"/>
          </rPr>
          <t>Kosten für
Innenreinigung der
Boden-, Wand- und
Deckenflächen,
Sanitäranlagen,
Möblierungen und
Einbauten</t>
        </r>
      </text>
    </comment>
    <comment ref="D95" authorId="1" shapeId="0">
      <text>
        <r>
          <rPr>
            <sz val="9"/>
            <color indexed="81"/>
            <rFont val="Tahoma"/>
            <family val="2"/>
          </rPr>
          <t>Kosten für Fenster- und
Glasreinigung (innen und
außen), einschließlich
Bereitstellung von
Hubbühnen und Gerüsten</t>
        </r>
      </text>
    </comment>
    <comment ref="D96" authorId="1" shapeId="0">
      <text>
        <r>
          <rPr>
            <sz val="9"/>
            <color indexed="81"/>
            <rFont val="Tahoma"/>
            <family val="2"/>
          </rPr>
          <t>Kosten für
Fassadenreinigung,
einschließlich
Bereistellung von
Befahrungen, Hubbühnen
und Gerüsten</t>
        </r>
      </text>
    </comment>
  </commentList>
</comments>
</file>

<file path=xl/comments8.xml><?xml version="1.0" encoding="utf-8"?>
<comments xmlns="http://schemas.openxmlformats.org/spreadsheetml/2006/main">
  <authors>
    <author>Diete Fiete</author>
    <author>David Frick</author>
    <author>administrator</author>
  </authors>
  <commentList>
    <comment ref="J18" authorId="0" shapeId="0">
      <text>
        <r>
          <rPr>
            <sz val="9"/>
            <color indexed="81"/>
            <rFont val="Tahoma"/>
            <family val="2"/>
          </rPr>
          <t>Technischer Kennwert wie
z.B.: U-Wert, g-wert,
z-Wert, 1/h,</t>
        </r>
      </text>
    </comment>
    <comment ref="AI18" authorId="0" shapeId="0">
      <text>
        <r>
          <rPr>
            <sz val="9"/>
            <color indexed="81"/>
            <rFont val="Tahoma"/>
            <family val="2"/>
          </rPr>
          <t>Technische Lebensdauer,
wichtig für Betrachtung
mit Restwert</t>
        </r>
      </text>
    </comment>
    <comment ref="U20" authorId="1" shapeId="0">
      <text>
        <r>
          <rPr>
            <sz val="9"/>
            <color indexed="81"/>
            <rFont val="Tahoma"/>
            <family val="2"/>
          </rPr>
          <t>Werte z.B aus VDI 2076</t>
        </r>
      </text>
    </comment>
    <comment ref="X20" authorId="1" shapeId="0">
      <text>
        <r>
          <rPr>
            <sz val="9"/>
            <color indexed="81"/>
            <rFont val="Tahoma"/>
            <family val="2"/>
          </rPr>
          <t>Werte z.B aus VDI 2076</t>
        </r>
      </text>
    </comment>
    <comment ref="AA20" authorId="1" shapeId="0">
      <text>
        <r>
          <rPr>
            <sz val="9"/>
            <color indexed="81"/>
            <rFont val="Tahoma"/>
            <family val="2"/>
          </rPr>
          <t>Werte z.B aus VDI 2076</t>
        </r>
      </text>
    </comment>
    <comment ref="AD20" authorId="1" shapeId="0">
      <text>
        <r>
          <rPr>
            <sz val="9"/>
            <color indexed="81"/>
            <rFont val="Tahoma"/>
            <family val="2"/>
          </rPr>
          <t>Werte z.B aus VDI 2076</t>
        </r>
      </text>
    </comment>
    <comment ref="E33" authorId="2" shapeId="0">
      <text>
        <r>
          <rPr>
            <sz val="9"/>
            <color indexed="81"/>
            <rFont val="Tahoma"/>
            <family val="2"/>
          </rPr>
          <t>Versorgungsanlagen und
-leitungen außerhalb des
Objektes bis
Hausanschluss, z. B.
Wasser, Gas, Strom</t>
        </r>
      </text>
    </comment>
    <comment ref="E102" authorId="1" shapeId="0">
      <text>
        <r>
          <rPr>
            <sz val="9"/>
            <color indexed="81"/>
            <rFont val="Tahoma"/>
            <family val="2"/>
          </rPr>
          <t>Sondenwärmetauscher,
Flächenwärmetauscher,
Rauch- Abgasfänge,
Durchbruch für größeren
Ölkessel, Bauliche
Mehrkosten Nachtlüftung</t>
        </r>
      </text>
    </comment>
    <comment ref="E117" authorId="2" shapeId="0">
      <text>
        <r>
          <rPr>
            <sz val="9"/>
            <color indexed="81"/>
            <rFont val="Tahoma"/>
            <family val="2"/>
          </rPr>
          <t>Unterböden und
Bodenplatten, die nicht
der Fundierung dienen</t>
        </r>
      </text>
    </comment>
    <comment ref="E126" authorId="2" shapeId="0">
      <text>
        <r>
          <rPr>
            <sz val="9"/>
            <color indexed="81"/>
            <rFont val="Tahoma"/>
            <family val="2"/>
          </rPr>
          <t>Brennstoffversorgung,
Wärmeübergabestationen,
Wärmeerzeugung, zentrale
Wassererwärmungsanlagen</t>
        </r>
      </text>
    </comment>
    <comment ref="E134" authorId="2" shapeId="0">
      <text>
        <r>
          <rPr>
            <sz val="9"/>
            <color indexed="81"/>
            <rFont val="Tahoma"/>
            <family val="2"/>
          </rPr>
          <t>Pumpen, Verteiler,
Rohrleitungen für
Raumheizflächen,
raumlufttechnische
Anlagen und sonstige
Wärmeverteiler</t>
        </r>
      </text>
    </comment>
    <comment ref="N135" authorId="0" shapeId="0">
      <text>
        <r>
          <rPr>
            <sz val="9"/>
            <color indexed="81"/>
            <rFont val="Tahoma"/>
            <family val="2"/>
          </rPr>
          <t>verlegte Länge</t>
        </r>
      </text>
    </comment>
    <comment ref="E136" authorId="2" shapeId="0">
      <text>
        <r>
          <rPr>
            <sz val="9"/>
            <color indexed="81"/>
            <rFont val="Tahoma"/>
            <family val="2"/>
          </rPr>
          <t>Heizkörper,
Flächenheizsysteme</t>
        </r>
      </text>
    </comment>
    <comment ref="N138" authorId="0" shapeId="0">
      <text>
        <r>
          <rPr>
            <sz val="9"/>
            <color indexed="81"/>
            <rFont val="Tahoma"/>
            <family val="2"/>
          </rPr>
          <t>verlegte Fläche</t>
        </r>
      </text>
    </comment>
    <comment ref="N139" authorId="0" shapeId="0">
      <text>
        <r>
          <rPr>
            <sz val="9"/>
            <color indexed="81"/>
            <rFont val="Tahoma"/>
            <family val="2"/>
          </rPr>
          <t>verlegte Fläche</t>
        </r>
      </text>
    </comment>
    <comment ref="N140" authorId="0" shapeId="0">
      <text>
        <r>
          <rPr>
            <sz val="9"/>
            <color indexed="81"/>
            <rFont val="Tahoma"/>
            <family val="2"/>
          </rPr>
          <t>verlegte Fläche</t>
        </r>
      </text>
    </comment>
    <comment ref="N141" authorId="0" shapeId="0">
      <text>
        <r>
          <rPr>
            <sz val="9"/>
            <color indexed="81"/>
            <rFont val="Tahoma"/>
            <family val="2"/>
          </rPr>
          <t>verlegte Fläche</t>
        </r>
      </text>
    </comment>
    <comment ref="E143" authorId="2" shapeId="0">
      <text>
        <r>
          <rPr>
            <sz val="9"/>
            <color indexed="81"/>
            <rFont val="Tahoma"/>
            <family val="2"/>
          </rPr>
          <t>Zu-und Abluftanlagen mit
oder ohne
thermodynamische
Luftbehandlung,
mechanische
Entrauchungsanlagen</t>
        </r>
      </text>
    </comment>
    <comment ref="E147" authorId="2" shapeId="0">
      <text>
        <r>
          <rPr>
            <sz val="9"/>
            <color indexed="81"/>
            <rFont val="Tahoma"/>
            <family val="2"/>
          </rPr>
          <t>Anlagen mit zwei, drei
oder vier
thermodynamischen
Luftbehandlungsfunktionen</t>
        </r>
      </text>
    </comment>
    <comment ref="E151" authorId="0" shapeId="0">
      <text>
        <r>
          <rPr>
            <sz val="9"/>
            <color indexed="81"/>
            <rFont val="Tahoma"/>
            <family val="2"/>
          </rPr>
          <t>Kälteanlagen für
lufttechnische Anlagen:
Kälteerzeugung,
Rückkühlanlagen, Pumpen,
Verteiler, Rohrleitungen</t>
        </r>
      </text>
    </comment>
    <comment ref="E156" authorId="2" shapeId="0">
      <text>
        <r>
          <rPr>
            <sz val="9"/>
            <color indexed="81"/>
            <rFont val="Tahoma"/>
            <family val="2"/>
          </rPr>
          <t>Stromerzeugungsaggregate
einschließlich Kühlung,
Abgasanlage,
Brennstoffversorgung</t>
        </r>
      </text>
    </comment>
    <comment ref="E162" authorId="2" shapeId="0">
      <text>
        <r>
          <rPr>
            <sz val="9"/>
            <color indexed="81"/>
            <rFont val="Tahoma"/>
            <family val="2"/>
          </rPr>
          <t>Ortsfeste Leuchten
einschließlich
Leuchtmittel</t>
        </r>
      </text>
    </comment>
    <comment ref="E165" authorId="2" shapeId="0">
      <text>
        <r>
          <rPr>
            <sz val="9"/>
            <color indexed="81"/>
            <rFont val="Tahoma"/>
            <family val="2"/>
          </rPr>
          <t>Anlagen mit zugehörendem
Heizungs-, Lüftungs-und
Sanitär Verteiler und
Verkabelung</t>
        </r>
      </text>
    </comment>
    <comment ref="E176" authorId="2" shapeId="0">
      <text>
        <r>
          <rPr>
            <sz val="9"/>
            <color indexed="81"/>
            <rFont val="Tahoma"/>
            <family val="2"/>
          </rPr>
          <t>Dachfenster, Ausstiege
einschließlich
Umrahmungen, Beschläge,
Antriebe, Lüftungen,
sonstige eingebaute
Elemente</t>
        </r>
      </text>
    </comment>
    <comment ref="E182" authorId="2" shapeId="0">
      <text>
        <r>
          <rPr>
            <sz val="9"/>
            <color indexed="81"/>
            <rFont val="Tahoma"/>
            <family val="2"/>
          </rPr>
          <t>Außentüren, Tore,
Fenster einschließlich
Umrahmungen und
eingebaute Elemente,
Fassadenverglasungen</t>
        </r>
      </text>
    </comment>
    <comment ref="E186" authorId="2" shapeId="0">
      <text>
        <r>
          <rPr>
            <sz val="9"/>
            <color indexed="81"/>
            <rFont val="Tahoma"/>
            <family val="2"/>
          </rPr>
          <t>Außentüren, Tore,
Fenster einschließlich
Umrahmungen und
eingebaute Elemente,
Fassadenverglasungen</t>
        </r>
      </text>
    </comment>
    <comment ref="E195" authorId="2" shapeId="0">
      <text>
        <r>
          <rPr>
            <sz val="9"/>
            <color indexed="81"/>
            <rFont val="Tahoma"/>
            <family val="2"/>
          </rPr>
          <t>Rollläden, Markisen,
Jalousien, Läden und
sonstige
Sonnenschutzmaßnahmen
einschließlich Antriebe</t>
        </r>
      </text>
    </comment>
    <comment ref="E205" authorId="1" shapeId="0">
      <text>
        <r>
          <rPr>
            <sz val="9"/>
            <color indexed="81"/>
            <rFont val="Tahoma"/>
            <family val="2"/>
          </rPr>
          <t>Energieeffiziente
Haushaltsgeräte, EDV,
Lift</t>
        </r>
      </text>
    </comment>
    <comment ref="E220" authorId="0" shapeId="0">
      <text>
        <r>
          <rPr>
            <sz val="9"/>
            <color indexed="81"/>
            <rFont val="Tahoma"/>
            <family val="2"/>
          </rPr>
          <t>Statik, Planung
technische
Gebäudeausrüstung,
Bauleitung, Örtliche
Bauaufsicht,
Fachplanungen,
Gutachten, Beratungen,
Archtektur, Bauphysik</t>
        </r>
      </text>
    </comment>
    <comment ref="E233" authorId="2" shapeId="0">
      <text>
        <r>
          <rPr>
            <sz val="9"/>
            <color indexed="81"/>
            <rFont val="Tahoma"/>
            <family val="2"/>
          </rPr>
          <t>Prüfungen,
Genehmigungen, Abnahmen,
Vermessungsgebühren für
Kataster</t>
        </r>
      </text>
    </comment>
    <comment ref="E234" authorId="2" shapeId="0">
      <text>
        <r>
          <rPr>
            <sz val="9"/>
            <color indexed="81"/>
            <rFont val="Tahoma"/>
            <family val="2"/>
          </rPr>
          <t>Anschlussgebühr für
Abwasser, Wasser, Strom,
Gas, Fernwärme, Telefon,
Fernsehen und Radio,
öffentlicher Verkehr</t>
        </r>
      </text>
    </comment>
    <comment ref="E254" authorId="1" shapeId="0">
      <text>
        <r>
          <rPr>
            <sz val="9"/>
            <color indexed="81"/>
            <rFont val="Tahoma"/>
            <family val="2"/>
          </rPr>
          <t>Kaufpreis für Käufer von
Gesamtobjekten</t>
        </r>
      </text>
    </comment>
  </commentList>
</comments>
</file>

<file path=xl/comments9.xml><?xml version="1.0" encoding="utf-8"?>
<comments xmlns="http://schemas.openxmlformats.org/spreadsheetml/2006/main">
  <authors>
    <author>David Frick</author>
    <author>Diete Fiete</author>
    <author>Daniel Ruepp</author>
  </authors>
  <commentList>
    <comment ref="G24" authorId="0" shapeId="0">
      <text>
        <r>
          <rPr>
            <sz val="9"/>
            <color indexed="81"/>
            <rFont val="Tahoma"/>
            <family val="2"/>
          </rPr>
          <t>Sollte
Betrachtungszeitraum sein</t>
        </r>
      </text>
    </comment>
    <comment ref="H24" authorId="1" shapeId="0">
      <text>
        <r>
          <rPr>
            <sz val="9"/>
            <color indexed="81"/>
            <rFont val="Tahoma"/>
            <family val="2"/>
          </rPr>
          <t>Der Fremdkapitalzinssatz
sollte die durch die
Kreditaufnahme
entstandene
Zinsbelastung abbilden.
Er ist definiert als
Zinssatz des
aufgenommenen Kredits.</t>
        </r>
      </text>
    </comment>
    <comment ref="D25" authorId="2" shapeId="0">
      <text>
        <r>
          <rPr>
            <sz val="9"/>
            <color indexed="81"/>
            <rFont val="Tahoma"/>
            <family val="2"/>
          </rPr>
          <t>bezieht sich auf die
Kreditlaufzeit und den
Zinssatz.</t>
        </r>
      </text>
    </comment>
    <comment ref="H29" authorId="0" shapeId="0">
      <text>
        <r>
          <rPr>
            <sz val="9"/>
            <color indexed="81"/>
            <rFont val="Tahoma"/>
            <family val="2"/>
          </rPr>
          <t>Entspricht
Wohnbauförderung 2012</t>
        </r>
      </text>
    </comment>
    <comment ref="D47" authorId="1" shapeId="0">
      <text>
        <r>
          <rPr>
            <sz val="9"/>
            <color indexed="81"/>
            <rFont val="Tahoma"/>
            <family val="2"/>
          </rPr>
          <t>Kosten der Fremd- und
Eigenleistungen für die
Objekt- oder
Legenschaftsverwaltung,
(Kosten für die
ordentliche
Hausverwaltung, für die
kaufmännischen und
infrastrukturellen
Managementleistungen)</t>
        </r>
      </text>
    </comment>
    <comment ref="D48" authorId="1" shapeId="0">
      <text>
        <r>
          <rPr>
            <sz val="9"/>
            <color indexed="81"/>
            <rFont val="Tahoma"/>
            <family val="2"/>
          </rPr>
          <t>Gebühren, Steuern,
Abgaben und
Versicherungen für
Obejkte, Anlagen,
Einrichtungen und
Grundstücke, die
bestandsbedingt anfallen
und nicht aus
betriebelicher Nutzung
(z.B. Grundsteuer,
Gebrauchsabgaben)</t>
        </r>
      </text>
    </comment>
    <comment ref="K49" authorId="0" shapeId="0">
      <text>
        <r>
          <rPr>
            <sz val="9"/>
            <color indexed="81"/>
            <rFont val="Tahoma"/>
            <family val="2"/>
          </rPr>
          <t>sind Grundgebühren im
ersten Jahr, bitte
beachten, dass sich die
Einspeisegrundgebühr
dynamisch lt. 1.
Projektangaben,
Einseisetarif verändern
kann</t>
        </r>
      </text>
    </comment>
    <comment ref="D56" authorId="1" shapeId="0">
      <text>
        <r>
          <rPr>
            <sz val="9"/>
            <color indexed="81"/>
            <rFont val="Tahoma"/>
            <family val="2"/>
          </rPr>
          <t>Kosten der
Managementleistungen für
den technischen Betrieb,
die Instandhaltung und
den Unterhalt von
Objekten und
Grundstücken -
Störungs-, Wartungs-,
Instandhaltungs-,
Optimierungs- und
Energiemanagement.
Kosten für die Übernahme
oder Inbetriebnahme. Kosten für Betätigen und Bedienen (Einstellen, Überwachen, Störungen beheben, Verbrauchsstoffe nachfüllen, Prüfungen veranlassen, Optimieren im laufenden Betrieb, Gewährleistungen verfolgen). Kosten für Übergabe oder Außerbetriebnahme. Kosten für Dokumentation. Dazu zählen auch Ablesekosten für Energie</t>
        </r>
      </text>
    </comment>
    <comment ref="D61" authorId="1" shapeId="0">
      <text>
        <r>
          <rPr>
            <sz val="9"/>
            <color indexed="81"/>
            <rFont val="Tahoma"/>
            <family val="2"/>
          </rPr>
          <t>Kosten für Energie:
Wärme-, Kälte- und
Stromenergie mit
Berücksichtigung der
eigenen Erzeugung (z.B.
Photovoltaik, Solar-
oder Geothermie) (z.B.
Strom für Gebäudenutzung
(Beleuchtung, Betrieb
usw.), Strom für (den
Betrieb der)
Gebäudetechnik, Energie
fürRaum- und Lüftungswärme und Warmwasserbereitung, Energie für Kälte und Kühlung) Ausgenommen sind Energie für den Betrieb gewerblicher oder industrieller Anlagen, Prozesswärme und Abwärme</t>
        </r>
      </text>
    </comment>
    <comment ref="K85" authorId="0" shapeId="0">
      <text>
        <r>
          <rPr>
            <sz val="9"/>
            <color indexed="81"/>
            <rFont val="Tahoma"/>
            <family val="2"/>
          </rPr>
          <t>sind Erlöse im ersten
Jahr, bitte beachten,
dass sich der Tarif
dynamisch lt. 1.
Projektangaben,
Einseisetarif verändern
kann</t>
        </r>
      </text>
    </comment>
    <comment ref="D89" authorId="1" shapeId="0">
      <text>
        <r>
          <rPr>
            <sz val="9"/>
            <color indexed="81"/>
            <rFont val="Tahoma"/>
            <family val="2"/>
          </rPr>
          <t>Kosten für Wasser und
Abwasser (Brauch- und
Trinkwasser auch aus
eigenen Brunnenanlagen,
ausgenommen
Prozesswasser, Abwasser,
auch bei eigener
Entsorgung (Senkgrube,
Kläranlage), ausgenommen
sind Prozesswasser</t>
        </r>
      </text>
    </comment>
    <comment ref="D94" authorId="0" shapeId="0">
      <text>
        <r>
          <rPr>
            <sz val="9"/>
            <color indexed="81"/>
            <rFont val="Tahoma"/>
            <family val="2"/>
          </rPr>
          <t>Kosten für
Innenreinigung der
Boden-, Wand- und
Deckenflächen,
Sanitäranlagen,
Möblierungen und
Einbauten</t>
        </r>
      </text>
    </comment>
    <comment ref="D95" authorId="1" shapeId="0">
      <text>
        <r>
          <rPr>
            <sz val="9"/>
            <color indexed="81"/>
            <rFont val="Tahoma"/>
            <family val="2"/>
          </rPr>
          <t>Kosten für Fenster- und
Glasreinigung (innen und
außen), einschließlich
Bereitstellung von
Hubbühnen und Gerüsten</t>
        </r>
      </text>
    </comment>
    <comment ref="D96" authorId="1" shapeId="0">
      <text>
        <r>
          <rPr>
            <sz val="9"/>
            <color indexed="81"/>
            <rFont val="Tahoma"/>
            <family val="2"/>
          </rPr>
          <t>Kosten für
Fassadenreinigung,
einschließlich
Bereistellung von
Befahrungen, Hubbühnen
und Gerüsten</t>
        </r>
      </text>
    </comment>
  </commentList>
</comments>
</file>

<file path=xl/sharedStrings.xml><?xml version="1.0" encoding="utf-8"?>
<sst xmlns="http://schemas.openxmlformats.org/spreadsheetml/2006/main" count="6058" uniqueCount="874">
  <si>
    <t>Reserven</t>
  </si>
  <si>
    <t>Anschlussgebühren</t>
  </si>
  <si>
    <t>8B.02</t>
  </si>
  <si>
    <t>Bewilligungen, Abnahmen</t>
  </si>
  <si>
    <t>8B.01</t>
  </si>
  <si>
    <t>Baunebenleistungen</t>
  </si>
  <si>
    <t>8B</t>
  </si>
  <si>
    <t>Nebenleistungen</t>
  </si>
  <si>
    <t>8</t>
  </si>
  <si>
    <t>Planungsleistungen</t>
  </si>
  <si>
    <t>Außenanlagen</t>
  </si>
  <si>
    <t>Betriebseinrichtungen</t>
  </si>
  <si>
    <t>5B</t>
  </si>
  <si>
    <t>Einrichtung</t>
  </si>
  <si>
    <t>5</t>
  </si>
  <si>
    <t>Sonnenschutz</t>
  </si>
  <si>
    <t>4C.03</t>
  </si>
  <si>
    <t>Fassadenhülle</t>
  </si>
  <si>
    <t>4C</t>
  </si>
  <si>
    <t>Dachfenster/-öffnungen</t>
  </si>
  <si>
    <t>4B.02</t>
  </si>
  <si>
    <t>Dachverkleidung</t>
  </si>
  <si>
    <t>4B</t>
  </si>
  <si>
    <t>Bauwerk-Ausbau</t>
  </si>
  <si>
    <t>4</t>
  </si>
  <si>
    <t>Mess-, Steuer-, Regel-und Leitanlagen</t>
  </si>
  <si>
    <t>3H.01</t>
  </si>
  <si>
    <t>Gebäudeautomation</t>
  </si>
  <si>
    <t>3H</t>
  </si>
  <si>
    <t>Beleuchtungsanlagen</t>
  </si>
  <si>
    <t>3F.05</t>
  </si>
  <si>
    <t>Eigenstromversorgung</t>
  </si>
  <si>
    <t>3F.02</t>
  </si>
  <si>
    <t>Starkstromanlagen</t>
  </si>
  <si>
    <t>3F</t>
  </si>
  <si>
    <t>3D.02</t>
  </si>
  <si>
    <t>Lüftungsanlagen</t>
  </si>
  <si>
    <t>3D.01</t>
  </si>
  <si>
    <t>Klima-/Lüftungsanlagen</t>
  </si>
  <si>
    <t>3D</t>
  </si>
  <si>
    <t>Raumheizflächen</t>
  </si>
  <si>
    <t>3C.03</t>
  </si>
  <si>
    <t>Wärmeverteilnetze</t>
  </si>
  <si>
    <t>3C.02</t>
  </si>
  <si>
    <t>Wärmeerzeugungsanlagen</t>
  </si>
  <si>
    <t>3C.01</t>
  </si>
  <si>
    <t>Wärmeversorgungsanlagen</t>
  </si>
  <si>
    <t>3C</t>
  </si>
  <si>
    <t>Bauwerk-Technik</t>
  </si>
  <si>
    <t>3</t>
  </si>
  <si>
    <t>Versorgungsleitungen</t>
  </si>
  <si>
    <t>Bodenkonstruktionen</t>
  </si>
  <si>
    <t>Gründungen, Bodenkonstruktionen</t>
  </si>
  <si>
    <t>2C</t>
  </si>
  <si>
    <t>Bauwerk-Rohbau</t>
  </si>
  <si>
    <t>2</t>
  </si>
  <si>
    <t>1C.02</t>
  </si>
  <si>
    <t>Erschließung</t>
  </si>
  <si>
    <t>1C</t>
  </si>
  <si>
    <t>Aufschließung</t>
  </si>
  <si>
    <t>1</t>
  </si>
  <si>
    <t>Grund</t>
  </si>
  <si>
    <t>Investition</t>
  </si>
  <si>
    <t>Wartung</t>
  </si>
  <si>
    <t>(%/a)</t>
  </si>
  <si>
    <t>(€)</t>
  </si>
  <si>
    <t>(a)</t>
  </si>
  <si>
    <t>m²</t>
  </si>
  <si>
    <t>€/m²</t>
  </si>
  <si>
    <t>kW</t>
  </si>
  <si>
    <t>€/kW</t>
  </si>
  <si>
    <t>m³/h</t>
  </si>
  <si>
    <t>€/(m³/h)</t>
  </si>
  <si>
    <t>Verwaltung</t>
  </si>
  <si>
    <t>1.1</t>
  </si>
  <si>
    <t>Verwaltung und Management</t>
  </si>
  <si>
    <t>1.2</t>
  </si>
  <si>
    <t>Gebühren, Steuern und Abgaben</t>
  </si>
  <si>
    <t>Technischer Gebäudedienst</t>
  </si>
  <si>
    <t>Technisches Gebäudemanagement</t>
  </si>
  <si>
    <t>2.1</t>
  </si>
  <si>
    <t>3.1</t>
  </si>
  <si>
    <t>Strom</t>
  </si>
  <si>
    <t>Wasser und Abwasser</t>
  </si>
  <si>
    <t>Reinigung und Pflege</t>
  </si>
  <si>
    <t>4.2</t>
  </si>
  <si>
    <t>3.2</t>
  </si>
  <si>
    <t>Fenster und Glasflächenreinigung</t>
  </si>
  <si>
    <t>4.3</t>
  </si>
  <si>
    <t>Fassadenreinigung</t>
  </si>
  <si>
    <t>Sicherheit</t>
  </si>
  <si>
    <t>Sonstiges</t>
  </si>
  <si>
    <t>Energieträger</t>
  </si>
  <si>
    <t>(€/a)</t>
  </si>
  <si>
    <t>Kosten</t>
  </si>
  <si>
    <t>/</t>
  </si>
  <si>
    <t>Bauherr</t>
  </si>
  <si>
    <t>Gebäudetyp</t>
  </si>
  <si>
    <t>Baujahr</t>
  </si>
  <si>
    <t>Architekt</t>
  </si>
  <si>
    <t>Anmerkung</t>
  </si>
  <si>
    <t>Adresse, Ort</t>
  </si>
  <si>
    <t>Inflationsrate</t>
  </si>
  <si>
    <t>Kapitalzinssatz</t>
  </si>
  <si>
    <t>Variante 1</t>
  </si>
  <si>
    <t>Variante 2</t>
  </si>
  <si>
    <t>Variante 3</t>
  </si>
  <si>
    <t>Variante 4</t>
  </si>
  <si>
    <t>Variante 5</t>
  </si>
  <si>
    <t>Bezeichnung</t>
  </si>
  <si>
    <t>Referenz</t>
  </si>
  <si>
    <t>Kürzel</t>
  </si>
  <si>
    <t>Zinsbegünstigter Kredit</t>
  </si>
  <si>
    <t>Kreditlaufzeit</t>
  </si>
  <si>
    <t>Rückzahlungsrate</t>
  </si>
  <si>
    <t>Zinssatz</t>
  </si>
  <si>
    <t>Heizöl</t>
  </si>
  <si>
    <t>Heizung</t>
  </si>
  <si>
    <t>Warmwasser</t>
  </si>
  <si>
    <t>Erdgas</t>
  </si>
  <si>
    <t>CO2 Emissionen</t>
  </si>
  <si>
    <t>(kWh/m²a)</t>
  </si>
  <si>
    <t>(€/kWh)</t>
  </si>
  <si>
    <t>(kWh/a)</t>
  </si>
  <si>
    <t>Personen</t>
  </si>
  <si>
    <t>Flachdach</t>
  </si>
  <si>
    <t>Schrägdach</t>
  </si>
  <si>
    <t>Oberste Geschossdecke</t>
  </si>
  <si>
    <t>Decke gegen Außenluft unten</t>
  </si>
  <si>
    <t>Außenwand gegen Außenluft</t>
  </si>
  <si>
    <t>Außenwand gegen unbeheizt</t>
  </si>
  <si>
    <t>Außenwand gegen Erdreich</t>
  </si>
  <si>
    <t>Kellerdecke</t>
  </si>
  <si>
    <t>Dächer</t>
  </si>
  <si>
    <t>Decken</t>
  </si>
  <si>
    <t>Wände</t>
  </si>
  <si>
    <t>Oberste Geschossdecke (2D.01, 4D.03)</t>
  </si>
  <si>
    <t>Kellerdecke (2D.01, 4D.03)</t>
  </si>
  <si>
    <t>Decke gegen Außenluft unten (2D.01, 4D.03, 4C.01)</t>
  </si>
  <si>
    <t>Flachdach (2D.01, 4B.01, 4C.01)</t>
  </si>
  <si>
    <t>Schrägdach (2D.01, 4B.01, 4C.01)</t>
  </si>
  <si>
    <t>x</t>
  </si>
  <si>
    <t>=</t>
  </si>
  <si>
    <t>Elementgliederung</t>
  </si>
  <si>
    <t>E</t>
  </si>
  <si>
    <t>E1</t>
  </si>
  <si>
    <t>E1.01</t>
  </si>
  <si>
    <t>E1.02</t>
  </si>
  <si>
    <t>E2</t>
  </si>
  <si>
    <t>E2.01</t>
  </si>
  <si>
    <t>E2.02</t>
  </si>
  <si>
    <t>E2.03</t>
  </si>
  <si>
    <t>E3</t>
  </si>
  <si>
    <t>E3.01</t>
  </si>
  <si>
    <t>E3.02</t>
  </si>
  <si>
    <t>E3.03</t>
  </si>
  <si>
    <t>E4</t>
  </si>
  <si>
    <t>E4.01</t>
  </si>
  <si>
    <t>Außenwand gegen Außenluft (2E.01, 4C.01)</t>
  </si>
  <si>
    <t>Außenwand gegen unbeheizt (2E.01, 4D.02)</t>
  </si>
  <si>
    <t>Außenwand gegen Erdreich (2E.01, 4C.05)</t>
  </si>
  <si>
    <t>a</t>
  </si>
  <si>
    <t>E4.02</t>
  </si>
  <si>
    <t>Energiebezugsfläche</t>
  </si>
  <si>
    <t>Biomasse</t>
  </si>
  <si>
    <t>Einspeisung</t>
  </si>
  <si>
    <t>Endenergie</t>
  </si>
  <si>
    <t>Tarif</t>
  </si>
  <si>
    <t xml:space="preserve">Energie (Wärme, Kälte, Strom) </t>
  </si>
  <si>
    <t>Kennwert</t>
  </si>
  <si>
    <t>U-Wert</t>
  </si>
  <si>
    <t>W/Km²</t>
  </si>
  <si>
    <t>Kosten Minimierung Wärmebrücken (4C.01,  4D.02, 4D.03)</t>
  </si>
  <si>
    <t>1/h</t>
  </si>
  <si>
    <t>Kosten Dichtheit der Außenhülle</t>
  </si>
  <si>
    <t>LD</t>
  </si>
  <si>
    <t>technischer</t>
  </si>
  <si>
    <t>W/m²K</t>
  </si>
  <si>
    <t>Luftwechsel</t>
  </si>
  <si>
    <t>η</t>
  </si>
  <si>
    <t>kW/m²</t>
  </si>
  <si>
    <t>z-Wert</t>
  </si>
  <si>
    <t>Türen (Fassadenöffnungen)</t>
  </si>
  <si>
    <t>Fenster (Fassadenöffnungen)</t>
  </si>
  <si>
    <t>E5</t>
  </si>
  <si>
    <t>Bauliche Kosten Haustechnik (2C.02, 2C.03, 2G)</t>
  </si>
  <si>
    <t>Minimierung Wärmebrücken und Dichtheit Außenhülle</t>
  </si>
  <si>
    <t xml:space="preserve"> Ver- und Entsorgung</t>
  </si>
  <si>
    <t>Wirkungsgrad</t>
  </si>
  <si>
    <t>Nutzungsdauer</t>
  </si>
  <si>
    <t>Instandsetzung</t>
  </si>
  <si>
    <t>Bankkredit</t>
  </si>
  <si>
    <t>Finanzierungskosten</t>
  </si>
  <si>
    <t>Gesamtkosten aus I&amp;W-Blatt</t>
  </si>
  <si>
    <t>Klimaanlagen und Teilklimaanlagen</t>
  </si>
  <si>
    <t>Anteile</t>
  </si>
  <si>
    <t>Quelle</t>
  </si>
  <si>
    <t>Kategorie</t>
  </si>
  <si>
    <t>biomasse</t>
  </si>
  <si>
    <t>strom</t>
  </si>
  <si>
    <t>Betrachtungszeitraum</t>
  </si>
  <si>
    <t>Annuitätenfaktor</t>
  </si>
  <si>
    <t>Betrag</t>
  </si>
  <si>
    <t>ges. Kreditlaufzeit</t>
  </si>
  <si>
    <t>(%)</t>
  </si>
  <si>
    <t>Tilgung</t>
  </si>
  <si>
    <t>Kredit</t>
  </si>
  <si>
    <t>Zinsbegünstigter -</t>
  </si>
  <si>
    <t>Bezugsfläche</t>
  </si>
  <si>
    <t>(m²)</t>
  </si>
  <si>
    <t>Ersatzhäufigkeit</t>
  </si>
  <si>
    <t>Tn</t>
  </si>
  <si>
    <t>n</t>
  </si>
  <si>
    <t>Zins</t>
  </si>
  <si>
    <t>Aufzinsungsfaktor</t>
  </si>
  <si>
    <t>q</t>
  </si>
  <si>
    <t>T</t>
  </si>
  <si>
    <t>rk</t>
  </si>
  <si>
    <t>rb</t>
  </si>
  <si>
    <t>rs</t>
  </si>
  <si>
    <t>rin</t>
  </si>
  <si>
    <t>re</t>
  </si>
  <si>
    <t>Kapitalgebundene Zahlungen</t>
  </si>
  <si>
    <t>sonstige Zahlungen</t>
  </si>
  <si>
    <t>Einzahlungen</t>
  </si>
  <si>
    <t>bk</t>
  </si>
  <si>
    <t>bb</t>
  </si>
  <si>
    <t>bs</t>
  </si>
  <si>
    <t>bin</t>
  </si>
  <si>
    <t>be</t>
  </si>
  <si>
    <t>Preisdyn. Annuitätsfaktor</t>
  </si>
  <si>
    <t>bak</t>
  </si>
  <si>
    <t>bas</t>
  </si>
  <si>
    <t>bain</t>
  </si>
  <si>
    <t>bae</t>
  </si>
  <si>
    <t>Beschreibung(Übergruppe</t>
  </si>
  <si>
    <t>A1</t>
  </si>
  <si>
    <t>A2</t>
  </si>
  <si>
    <t>A3</t>
  </si>
  <si>
    <t>A4</t>
  </si>
  <si>
    <t>A5</t>
  </si>
  <si>
    <t>Barwert der Ersatzinvestition</t>
  </si>
  <si>
    <t>Barwert des Restwerts</t>
  </si>
  <si>
    <t>RW</t>
  </si>
  <si>
    <t>Inflation</t>
  </si>
  <si>
    <t>Annuität</t>
  </si>
  <si>
    <t>Zinsen</t>
  </si>
  <si>
    <t>Restschuld</t>
  </si>
  <si>
    <t>Jahr</t>
  </si>
  <si>
    <t>Ergebnis</t>
  </si>
  <si>
    <t>Interner Zinssatz</t>
  </si>
  <si>
    <t>Faktor für Wartung</t>
  </si>
  <si>
    <t>Faktor für Instandsetzung</t>
  </si>
  <si>
    <t>fk*A0*bin</t>
  </si>
  <si>
    <t>Barwert Instandsetzungskosten</t>
  </si>
  <si>
    <t>bab</t>
  </si>
  <si>
    <t>Wartung Reinigung</t>
  </si>
  <si>
    <t>Kosten für Instandsetzung</t>
  </si>
  <si>
    <t>Kosten für Wartung</t>
  </si>
  <si>
    <t>fw</t>
  </si>
  <si>
    <t>Kw</t>
  </si>
  <si>
    <t>Kis</t>
  </si>
  <si>
    <t>fis</t>
  </si>
  <si>
    <t>Kosten Minimierung Wärmebrücken</t>
  </si>
  <si>
    <t>Bauliche Kosten Haustechnik</t>
  </si>
  <si>
    <t>Außenalnagen</t>
  </si>
  <si>
    <t>Blatt</t>
  </si>
  <si>
    <t>I&amp;W</t>
  </si>
  <si>
    <t>Verbrauchsgebunden Kosten</t>
  </si>
  <si>
    <t>Förderung</t>
  </si>
  <si>
    <t>Eigenkapitaleinsatz</t>
  </si>
  <si>
    <t>Kv</t>
  </si>
  <si>
    <t>Sonstige</t>
  </si>
  <si>
    <t>Betriebsgebundene Kosten</t>
  </si>
  <si>
    <t>Kb</t>
  </si>
  <si>
    <t>FOKO</t>
  </si>
  <si>
    <t>Betriebsgebundene Zahlungen</t>
  </si>
  <si>
    <t>Barwert der Betriebsgebundenen Zahlungen (Wartung)</t>
  </si>
  <si>
    <t>Sensitivität</t>
  </si>
  <si>
    <t>Annuitäten = Kapitalwerte*a</t>
  </si>
  <si>
    <t>Ersatzinvestition</t>
  </si>
  <si>
    <t>Betriebsgebundenen Zahlungen</t>
  </si>
  <si>
    <t>Verbrauchsgebundenen Zahlungen</t>
  </si>
  <si>
    <t>Art der Kosten</t>
  </si>
  <si>
    <t>Restwerte</t>
  </si>
  <si>
    <t>Summe</t>
  </si>
  <si>
    <t>SUMME(Barwerte)</t>
  </si>
  <si>
    <t>Tabelle für Kredite</t>
  </si>
  <si>
    <t>Barwert  der Verbrauchsgebundenen Zahlungen</t>
  </si>
  <si>
    <t>Barwert  der Verbrauchsgebundenen Zahlungen mit negativer Sensititvität</t>
  </si>
  <si>
    <t>Barwert  der Verbrauchsgebundenen Zahlungen mit positiver Sensititvität</t>
  </si>
  <si>
    <t>Ad0</t>
  </si>
  <si>
    <t>ALLGEMEINE ANGABEN</t>
  </si>
  <si>
    <t>Kapitalwert</t>
  </si>
  <si>
    <t>Restwert</t>
  </si>
  <si>
    <t>Kapitalwerte und Annuitäten</t>
  </si>
  <si>
    <t>Energiequelle</t>
  </si>
  <si>
    <t>/a</t>
  </si>
  <si>
    <t>Verbauchsgebundene ohne Preissteigerung Energie</t>
  </si>
  <si>
    <t>Jährliche aktuelle Kosten Energie</t>
  </si>
  <si>
    <t>Summe gewählt</t>
  </si>
  <si>
    <t>gewählt</t>
  </si>
  <si>
    <t>EDV</t>
  </si>
  <si>
    <t>Wärmeerzeugungsanlagen incl Speicher</t>
  </si>
  <si>
    <t>m</t>
  </si>
  <si>
    <t>€/m</t>
  </si>
  <si>
    <r>
      <t>U</t>
    </r>
    <r>
      <rPr>
        <vertAlign val="subscript"/>
        <sz val="8"/>
        <color theme="1"/>
        <rFont val="Arial"/>
        <family val="2"/>
      </rPr>
      <t>w</t>
    </r>
    <r>
      <rPr>
        <sz val="8"/>
        <color theme="1"/>
        <rFont val="Arial"/>
        <family val="2"/>
      </rPr>
      <t>-Wert</t>
    </r>
  </si>
  <si>
    <t>Kälteanlagen</t>
  </si>
  <si>
    <t>Systembeschreibung</t>
  </si>
  <si>
    <r>
      <t>(</t>
    </r>
    <r>
      <rPr>
        <sz val="8"/>
        <color theme="1"/>
        <rFont val="Calibri"/>
        <family val="2"/>
      </rPr>
      <t>η</t>
    </r>
    <r>
      <rPr>
        <sz val="9.1999999999999993"/>
        <color theme="1"/>
        <rFont val="Arial"/>
        <family val="2"/>
      </rPr>
      <t>)</t>
    </r>
  </si>
  <si>
    <t>Nutzungsgrad=</t>
  </si>
  <si>
    <t>Heizung 2</t>
  </si>
  <si>
    <t>Warmwasser 2</t>
  </si>
  <si>
    <t>Hilfstrom Heizung</t>
  </si>
  <si>
    <t>Hilfsstrom Solaranlage</t>
  </si>
  <si>
    <t>Kühlung</t>
  </si>
  <si>
    <t>Beleuchtung</t>
  </si>
  <si>
    <t>Befeuchten</t>
  </si>
  <si>
    <t>Entfeuchten</t>
  </si>
  <si>
    <t>Spezifische Kosten/Jahr</t>
  </si>
  <si>
    <t>(€/m²a)</t>
  </si>
  <si>
    <t>Endenergiebed. =</t>
  </si>
  <si>
    <t>E2.04</t>
  </si>
  <si>
    <t>Bodenplatte</t>
  </si>
  <si>
    <t>Bodenplatte (2C.04)</t>
  </si>
  <si>
    <t>2C.02</t>
  </si>
  <si>
    <t>Tiefen- und Flachgründungen</t>
  </si>
  <si>
    <t>3D.04</t>
  </si>
  <si>
    <t>Verbrauchsgebundene Kosten</t>
  </si>
  <si>
    <t>fossile</t>
  </si>
  <si>
    <t>Energiekennwerte</t>
  </si>
  <si>
    <t>Nutzenergie /</t>
  </si>
  <si>
    <t>Instandsetzungskosten</t>
  </si>
  <si>
    <t>CO2 Emissionskoeffizient</t>
  </si>
  <si>
    <t>Zahlungen für Instandsetzung</t>
  </si>
  <si>
    <t>wird nicht verwendet</t>
  </si>
  <si>
    <t>Preissteigerung Instandsetzungskosten</t>
  </si>
  <si>
    <t>Klimatisierung</t>
  </si>
  <si>
    <t>Hilfsstrom Kühlung</t>
  </si>
  <si>
    <t>Hilfsstrom Lüftung</t>
  </si>
  <si>
    <t>Hilfsstrom Klimatisierung</t>
  </si>
  <si>
    <t>Hilfsstrom Warmwasser</t>
  </si>
  <si>
    <t>4C.02.01</t>
  </si>
  <si>
    <t>4C.02.02</t>
  </si>
  <si>
    <t>Sicherheitskosten</t>
  </si>
  <si>
    <t>€/kWh</t>
  </si>
  <si>
    <t>Eingabefeld</t>
  </si>
  <si>
    <t>Standard</t>
  </si>
  <si>
    <t>Informationen</t>
  </si>
  <si>
    <t>von</t>
  </si>
  <si>
    <t>bis</t>
  </si>
  <si>
    <t>Kreditlaufzeit in Jahren</t>
  </si>
  <si>
    <t>Verbrauch</t>
  </si>
  <si>
    <t>Kv * bv</t>
  </si>
  <si>
    <t>Anb*Ab*bb</t>
  </si>
  <si>
    <t>Barwertfaktor für Preissteigerungen</t>
  </si>
  <si>
    <t>Ausgeblendet J/N</t>
  </si>
  <si>
    <t>Energebezugsfläche</t>
  </si>
  <si>
    <t>Endenergie spez</t>
  </si>
  <si>
    <t>Sonstige Kosten die nicht angeführt sind</t>
  </si>
  <si>
    <t>Wohnfläche</t>
  </si>
  <si>
    <t>Nutzfläche</t>
  </si>
  <si>
    <t>S</t>
  </si>
  <si>
    <t>€</t>
  </si>
  <si>
    <t>Verkaufserlösschmälerung</t>
  </si>
  <si>
    <t>Kaufpreis</t>
  </si>
  <si>
    <t>K</t>
  </si>
  <si>
    <t>m²-Verlust</t>
  </si>
  <si>
    <t>€-Verlust</t>
  </si>
  <si>
    <t>Gesamt</t>
  </si>
  <si>
    <t>Verkaufspreis €/m²</t>
  </si>
  <si>
    <t>€/a</t>
  </si>
  <si>
    <t>Verwaltungskosten</t>
  </si>
  <si>
    <t>Investitionskosten</t>
  </si>
  <si>
    <t>Folgekosten</t>
  </si>
  <si>
    <t>Allgemeine Angaben</t>
  </si>
  <si>
    <t>Kalkulationszinssatz</t>
  </si>
  <si>
    <t>€-Mehrkosten</t>
  </si>
  <si>
    <t>€/m²-Mehrkosten</t>
  </si>
  <si>
    <t>Rohbau und Ausbau 2 u. 4</t>
  </si>
  <si>
    <t>Planung 7</t>
  </si>
  <si>
    <t>Haustechnik 3</t>
  </si>
  <si>
    <t>Verbrauchsgebundene Kosten (3)</t>
  </si>
  <si>
    <t>Restliche (0, 1, 5, 6, 8,9)</t>
  </si>
  <si>
    <t>KP</t>
  </si>
  <si>
    <t>Betriebsgebundene Kosten (1, 2, 4, 5, 8)</t>
  </si>
  <si>
    <t>Rohbau und Ausbau (2, 4, E)</t>
  </si>
  <si>
    <t>Geordnet nach Referenzvariante</t>
  </si>
  <si>
    <t>Restliche (0, 1, 5, 6, 8,9,S)</t>
  </si>
  <si>
    <t>Kaufpreis (K)</t>
  </si>
  <si>
    <t>Haustechnik (3)</t>
  </si>
  <si>
    <t>Planung (7)</t>
  </si>
  <si>
    <t>Endenergiebedarf Heizung</t>
  </si>
  <si>
    <t>Energieträger Heizung</t>
  </si>
  <si>
    <t>Energiepreis Energieträger Heizung</t>
  </si>
  <si>
    <t>kWh/m²a</t>
  </si>
  <si>
    <t>Verkaufserlösschmälerungen</t>
  </si>
  <si>
    <t>Kalulationszinssatz nominal</t>
  </si>
  <si>
    <t>Bauträger</t>
  </si>
  <si>
    <t>Bauherr Wahr/Falsch</t>
  </si>
  <si>
    <t>Platz für Nebenrechnungen</t>
  </si>
  <si>
    <t>Eigenkapitalzinssatz</t>
  </si>
  <si>
    <t>Oppotunitäsverluste</t>
  </si>
  <si>
    <t>Rohbau und Ausbau (2 , 4)</t>
  </si>
  <si>
    <t>Bauvorhaben</t>
  </si>
  <si>
    <t>Leer für weitere Dinge in Diagramm</t>
  </si>
  <si>
    <t>Mieteinnahmen</t>
  </si>
  <si>
    <t>4.1</t>
  </si>
  <si>
    <t>Unterhaltsreinigung</t>
  </si>
  <si>
    <t>M</t>
  </si>
  <si>
    <t>Unbenützt</t>
  </si>
  <si>
    <t>Datum</t>
  </si>
  <si>
    <t>Wärmepumpenstrom</t>
  </si>
  <si>
    <t>CO2-Folgekosten</t>
  </si>
  <si>
    <r>
      <t>CO</t>
    </r>
    <r>
      <rPr>
        <vertAlign val="subscript"/>
        <sz val="8"/>
        <color theme="1"/>
        <rFont val="Arial"/>
        <family val="2"/>
      </rPr>
      <t>2</t>
    </r>
    <r>
      <rPr>
        <sz val="8"/>
        <color theme="1"/>
        <rFont val="Arial"/>
        <family val="2"/>
      </rPr>
      <t>-Folgekosten</t>
    </r>
  </si>
  <si>
    <t>€/kgco2a</t>
  </si>
  <si>
    <t>heutige CO2-Folgekosten</t>
  </si>
  <si>
    <r>
      <t>Verbrauchsgebundene Kosten (3,CO</t>
    </r>
    <r>
      <rPr>
        <b/>
        <vertAlign val="subscript"/>
        <sz val="8"/>
        <color theme="1"/>
        <rFont val="Arial"/>
        <family val="2"/>
      </rPr>
      <t>2</t>
    </r>
    <r>
      <rPr>
        <b/>
        <sz val="8"/>
        <color theme="1"/>
        <rFont val="Arial"/>
        <family val="2"/>
      </rPr>
      <t>)</t>
    </r>
  </si>
  <si>
    <t>Planungsleistungen (braucht es nur einmal da keine LD W u. INST)</t>
  </si>
  <si>
    <t>Informationsblatt</t>
  </si>
  <si>
    <t>Auswertungsblatt</t>
  </si>
  <si>
    <t>Projektangabenblatt</t>
  </si>
  <si>
    <t>Energiekennwerteblatt</t>
  </si>
  <si>
    <t>nten</t>
  </si>
  <si>
    <t>Varia</t>
  </si>
  <si>
    <t>Blätt</t>
  </si>
  <si>
    <t>er</t>
  </si>
  <si>
    <t>Arbeitsblätter:</t>
  </si>
  <si>
    <t>Zellen auf den Arbeitsblättern:</t>
  </si>
  <si>
    <t>………………</t>
  </si>
  <si>
    <t>Informationen über "econ calc", Sie befinden sich auf diesem Blatt</t>
  </si>
  <si>
    <t>Kostengegenüberstellung, wirtschaftliche- und ökologische und energetische Auswertung</t>
  </si>
  <si>
    <t>Allgemeine Projektangaben und Definition der Varianten</t>
  </si>
  <si>
    <t>Angabe der Energieträger und Energiekennwerte (Endenergie) der einzelnen Varianten</t>
  </si>
  <si>
    <t>Felder in die Werte eingetragen werden können</t>
  </si>
  <si>
    <t>Gekennzeichnet mit roter Ecke rechts oben. Man erhält nützliche zusätzliche Informationen</t>
  </si>
  <si>
    <t>Informationen über econ calc</t>
  </si>
  <si>
    <t>Kosten und Werte für E.1 Kosten Blatt</t>
  </si>
  <si>
    <t>Variantenübersezungszeile</t>
  </si>
  <si>
    <t>jährlicher Betrag €/a</t>
  </si>
  <si>
    <t>Zeitraum a</t>
  </si>
  <si>
    <t>aktueller Energiepreis Energieträger Heizung</t>
  </si>
  <si>
    <t>Einfamilienhaus</t>
  </si>
  <si>
    <t>Mehrfamilienhaus</t>
  </si>
  <si>
    <t>sonstige Arten Energie verbrauchender Gebäude</t>
  </si>
  <si>
    <t>Bürogebäude</t>
  </si>
  <si>
    <t>Unterrichtsgebäude</t>
  </si>
  <si>
    <t>Krankenhäuser</t>
  </si>
  <si>
    <t>Hotels und Gaststätten</t>
  </si>
  <si>
    <t>Sportanlagen</t>
  </si>
  <si>
    <t>Gebäude des Groß- und Einzelhandels</t>
  </si>
  <si>
    <t>+</t>
  </si>
  <si>
    <t>spez. Leistung</t>
  </si>
  <si>
    <t>aktueller Energiepreis   x</t>
  </si>
  <si>
    <t>Neubau</t>
  </si>
  <si>
    <t>Sanierung</t>
  </si>
  <si>
    <t>Betrachtungsperspektive</t>
  </si>
  <si>
    <t>Bauherr/Eigentümer</t>
  </si>
  <si>
    <t>Käufer</t>
  </si>
  <si>
    <t>Bauträger/Verkäufer</t>
  </si>
  <si>
    <t>Haushaltsstrom</t>
  </si>
  <si>
    <t>Summe Investition</t>
  </si>
  <si>
    <t>Fixpreis</t>
  </si>
  <si>
    <t>Eingabe</t>
  </si>
  <si>
    <t>Kohle</t>
  </si>
  <si>
    <t>Fernwärme e.</t>
  </si>
  <si>
    <t>Einheitspreis)</t>
  </si>
  <si>
    <t>(Menge</t>
  </si>
  <si>
    <t>eigene Eingabe</t>
  </si>
  <si>
    <t>aus Projektangaben</t>
  </si>
  <si>
    <t>Können nicht bearbeitet werden.</t>
  </si>
  <si>
    <t>Diagramm Kapitalwert</t>
  </si>
  <si>
    <t>Diagramm für Annuitätendarstellung</t>
  </si>
  <si>
    <t>ZUSAMMENKOPERTABELLE DER ERGEBNISSE</t>
  </si>
  <si>
    <t>Jährlicher Betrag/Jahr</t>
  </si>
  <si>
    <t>Eigennutzung [kWh/a]</t>
  </si>
  <si>
    <t>Einspeisung [kWh/a]</t>
  </si>
  <si>
    <t>Tarif [€/kWh]</t>
  </si>
  <si>
    <t>Ertrag [€/a]</t>
  </si>
  <si>
    <t>Grundgebühr Einspeisung</t>
  </si>
  <si>
    <t>Einsparung durch Eigennutzung</t>
  </si>
  <si>
    <t>Jahre</t>
  </si>
  <si>
    <t>Block 1</t>
  </si>
  <si>
    <t>Block 2</t>
  </si>
  <si>
    <t>Block 3</t>
  </si>
  <si>
    <t>[€/a]</t>
  </si>
  <si>
    <t>Eigennutzung</t>
  </si>
  <si>
    <t>PV-Ertrag gesamt</t>
  </si>
  <si>
    <t>kWh/a</t>
  </si>
  <si>
    <t>Hier den gemittelten Ertrag über den Betrachtungszeitraum eingeben</t>
  </si>
  <si>
    <t xml:space="preserve">Eigennutzung (inklusive Batteriespeicher) </t>
  </si>
  <si>
    <t>Strompreis</t>
  </si>
  <si>
    <t>Strompreissteigerung/Jahr</t>
  </si>
  <si>
    <t>p.p.a</t>
  </si>
  <si>
    <t>Einspeisetarif (Anrechnung der Einspeisung)</t>
  </si>
  <si>
    <t>Basisdaten</t>
  </si>
  <si>
    <t>Einspeisevergütung</t>
  </si>
  <si>
    <t>Grundgebühr PV (zusätzlich)</t>
  </si>
  <si>
    <t>Steigerung Einspeisevergütung</t>
  </si>
  <si>
    <t>Beschränk-ungen</t>
  </si>
  <si>
    <t>Dauer von (Jahr)</t>
  </si>
  <si>
    <t>Dauer bis (Jahr)</t>
  </si>
  <si>
    <t>Menge Einspeisung von</t>
  </si>
  <si>
    <t>Menge Einspeisung bis</t>
  </si>
  <si>
    <t>Beschreibung</t>
  </si>
  <si>
    <t>Tarife können abhängig von eingespeister Strommenge und mit zeitlicher Begrenzung in drei Blöcken eingegeben werden</t>
  </si>
  <si>
    <t>Wird ein Grenzwert der Dauer oder der Einspeisemenge überschritten, gilt der Tarif des darauffolgenden Blockes.</t>
  </si>
  <si>
    <t>Wird nur ein Block ausgefüllt, wird auch nur dieser berücksichtigt. Werden zwei Blöcke ausgefüllt, werden auch nur diese zwei berücksichtigt.</t>
  </si>
  <si>
    <t>Beispiele</t>
  </si>
  <si>
    <t>Beispiel: http://www.pvaustria.at/strom-verkaufen/</t>
  </si>
  <si>
    <t>Strombezug Stadtwerke Kapfenberg (Ökostrom)</t>
  </si>
  <si>
    <t>Tarif abhängig von eingespeister Strommenge: 0-500 kWh=15 Cent; 500-1.000 kWh=6,0 Cent, ab 1.000 kWh=4 Cent</t>
  </si>
  <si>
    <t>PV-Anlagengröße 5 kWp</t>
  </si>
  <si>
    <t>Servicepauschale 2,5 € pro Monat</t>
  </si>
  <si>
    <t>Verlinkt</t>
  </si>
  <si>
    <t>WNF</t>
  </si>
  <si>
    <t>SORTIERTABELLE NACH GEWÄHLTER REFERENZ UND AUSWAHL IN WIRTSCHAFTLICHKEITSBLATT</t>
  </si>
  <si>
    <t>EBF</t>
  </si>
  <si>
    <t>BGF</t>
  </si>
  <si>
    <t>X</t>
  </si>
  <si>
    <t>Preis [€/kWh]</t>
  </si>
  <si>
    <t>Energiepreissteigerung [%/Jahr]</t>
  </si>
  <si>
    <r>
      <t>Zusatzkosten CO</t>
    </r>
    <r>
      <rPr>
        <b/>
        <vertAlign val="subscript"/>
        <sz val="8"/>
        <color theme="1"/>
        <rFont val="Arial"/>
        <family val="2"/>
      </rPr>
      <t>2</t>
    </r>
    <r>
      <rPr>
        <b/>
        <sz val="8"/>
        <color theme="1"/>
        <rFont val="Arial"/>
        <family val="2"/>
      </rPr>
      <t xml:space="preserve"> [€/kWh]</t>
    </r>
  </si>
  <si>
    <r>
      <t>CO</t>
    </r>
    <r>
      <rPr>
        <b/>
        <vertAlign val="subscript"/>
        <sz val="8"/>
        <color theme="1"/>
        <rFont val="Arial"/>
        <family val="2"/>
      </rPr>
      <t>2</t>
    </r>
    <r>
      <rPr>
        <b/>
        <sz val="8"/>
        <color theme="1"/>
        <rFont val="Arial"/>
        <family val="2"/>
      </rPr>
      <t>-Folgekosten</t>
    </r>
  </si>
  <si>
    <r>
      <t>€/t</t>
    </r>
    <r>
      <rPr>
        <vertAlign val="subscript"/>
        <sz val="8"/>
        <color theme="1"/>
        <rFont val="Arial"/>
        <family val="2"/>
      </rPr>
      <t>CO2</t>
    </r>
    <r>
      <rPr>
        <sz val="8"/>
        <color theme="1"/>
        <rFont val="Arial"/>
        <family val="2"/>
      </rPr>
      <t xml:space="preserve"> a</t>
    </r>
  </si>
  <si>
    <t>Grundgebühr [€/Jahr]</t>
  </si>
  <si>
    <t>Fernwärme ne.</t>
  </si>
  <si>
    <t>FÜR SVERWEIS in Berechnungen</t>
  </si>
  <si>
    <r>
      <t>CO</t>
    </r>
    <r>
      <rPr>
        <b/>
        <vertAlign val="subscript"/>
        <sz val="8"/>
        <color theme="1"/>
        <rFont val="Arial"/>
        <family val="2"/>
      </rPr>
      <t>2</t>
    </r>
    <r>
      <rPr>
        <b/>
        <sz val="8"/>
        <color theme="1"/>
        <rFont val="Arial"/>
        <family val="2"/>
      </rPr>
      <t xml:space="preserve"> Emissionskennwerte</t>
    </r>
  </si>
  <si>
    <t>LISTEN</t>
  </si>
  <si>
    <t>geht im moment nicht da keine Sensitivität</t>
  </si>
  <si>
    <t>Grundgebühren Energiebezug und Einspeisung</t>
  </si>
  <si>
    <t>Versicherungen für PV Anlagen</t>
  </si>
  <si>
    <t>Stromeinspeisung PV</t>
  </si>
  <si>
    <t>lt. 1. Projektangaben, Einspeisetarif</t>
  </si>
  <si>
    <t>Einspeisevergütung [€/kWh]</t>
  </si>
  <si>
    <t>Grundgebühr PV (zusätzlich) [€/a]</t>
  </si>
  <si>
    <t>Steigerung Einspeisevergütung [%/a]</t>
  </si>
  <si>
    <t>Menge Einspeisung von [kWh/a]</t>
  </si>
  <si>
    <t>zeitliche und mengenmäßige Limitierungen je Bereich</t>
  </si>
  <si>
    <t>Menge Einspeisung bis [kWh/a]</t>
  </si>
  <si>
    <t>Einspeisemodell für PV-Strom</t>
  </si>
  <si>
    <t>PV-Eigennutzung</t>
  </si>
  <si>
    <t>PV Eigennutzung</t>
  </si>
  <si>
    <t>PV-Einspeisung</t>
  </si>
  <si>
    <t>Manuell auf Wahr gesetzt, war für Diagrammanpassung</t>
  </si>
  <si>
    <t>MANUELL AUF WAHR</t>
  </si>
  <si>
    <t>SUMME:</t>
  </si>
  <si>
    <t>PV-Anlage</t>
  </si>
  <si>
    <t>Eigennutzung PV</t>
  </si>
  <si>
    <t>SUMME</t>
  </si>
  <si>
    <t>GRUNDGEBÜHR ENERGIE</t>
  </si>
  <si>
    <t>ALLGEMEIN</t>
  </si>
  <si>
    <t>Energieträger vorhanden</t>
  </si>
  <si>
    <t>Grundgebühren</t>
  </si>
  <si>
    <t>BARWERT</t>
  </si>
  <si>
    <t>Grundgebühr Einspeisung [€/a]</t>
  </si>
  <si>
    <t>BARWERTE</t>
  </si>
  <si>
    <t>PV- Einspeisung kann nicht angerechnet werden</t>
  </si>
  <si>
    <t>kWp</t>
  </si>
  <si>
    <t>€/kWp</t>
  </si>
  <si>
    <t>PV-Eingennutzung</t>
  </si>
  <si>
    <t>Teilergebnisse</t>
  </si>
  <si>
    <t>Annuität (gesamt)</t>
  </si>
  <si>
    <t>Für DIAGRAMM</t>
  </si>
  <si>
    <t>wenn wahr dann Kapitalwert</t>
  </si>
  <si>
    <t>Namen filtern</t>
  </si>
  <si>
    <t>Sortiert nach Referenz</t>
  </si>
  <si>
    <t>Übertrag aus auswahl</t>
  </si>
  <si>
    <t>für Berrechnung</t>
  </si>
  <si>
    <t>Kapitalwertvergleich</t>
  </si>
  <si>
    <t>Annuitätenvergleich</t>
  </si>
  <si>
    <t>Übertrag</t>
  </si>
  <si>
    <t>Überprüfung</t>
  </si>
  <si>
    <t>Annuität/Jahr [€]</t>
  </si>
  <si>
    <t>Kapitalwert [€]</t>
  </si>
  <si>
    <t>Tabelle für Ersatzinvestitionen</t>
  </si>
  <si>
    <t xml:space="preserve">Nutzungsdauer </t>
  </si>
  <si>
    <t>Invest</t>
  </si>
  <si>
    <t>Infaltion</t>
  </si>
  <si>
    <t>Ersatzinvest</t>
  </si>
  <si>
    <t>SUMMEN</t>
  </si>
  <si>
    <t>Verbrauchsgebundene Zahlungen</t>
  </si>
  <si>
    <t>Betriebsgebundene</t>
  </si>
  <si>
    <t>PV-Grundgebühr</t>
  </si>
  <si>
    <t>TABELLE FÜR ZAHLUNGSSTRÖHME</t>
  </si>
  <si>
    <t>GEWÄHLT:</t>
  </si>
  <si>
    <t>Eigenkapitalzins</t>
  </si>
  <si>
    <t>Nomialzins</t>
  </si>
  <si>
    <t>Barwert der offenen Finanzierung</t>
  </si>
  <si>
    <t>FINAZIERUNG</t>
  </si>
  <si>
    <t>Übergabewerte von rechts</t>
  </si>
  <si>
    <t>KOSTEN</t>
  </si>
  <si>
    <t>Wohnbauförderungsdarlehen</t>
  </si>
  <si>
    <t>LASTENRECHNUNG</t>
  </si>
  <si>
    <t>Zinsfrei immer</t>
  </si>
  <si>
    <t>Bearbeitungsgebühr</t>
  </si>
  <si>
    <t>Barwert der Auslauferträge innerhalb von 50 Jahren</t>
  </si>
  <si>
    <t>Grundkosten</t>
  </si>
  <si>
    <t>Bankdarlehen (=Restfinanzierung)</t>
  </si>
  <si>
    <t>Baukosten</t>
  </si>
  <si>
    <t>Eigenmittel f. Grundkosten</t>
  </si>
  <si>
    <t>%Grundkosten</t>
  </si>
  <si>
    <t>Summe Barwert Finanzierungskomponente</t>
  </si>
  <si>
    <t>Gesamtkosten</t>
  </si>
  <si>
    <t>Eigenmittel f. Baukosten</t>
  </si>
  <si>
    <t>Laufzeit der Eigenmittel</t>
  </si>
  <si>
    <t>Grundkosten bleiben konstant</t>
  </si>
  <si>
    <t>Korrekurbetrag</t>
  </si>
  <si>
    <t>(mit Tilgung, mit Eigenkapitalzins. Verzinst)</t>
  </si>
  <si>
    <t>ECKDATEN</t>
  </si>
  <si>
    <t>verlorene Zuschüsse</t>
  </si>
  <si>
    <t>Finanzerungsbeitrag</t>
  </si>
  <si>
    <t>Annuitätenzuschuss</t>
  </si>
  <si>
    <t>Erst-Abstützung auf / Erhöhung ff.</t>
  </si>
  <si>
    <t>€/m²/Mo</t>
  </si>
  <si>
    <t>Ausfinanziert nach (Jahren):</t>
  </si>
  <si>
    <t>gewährt für</t>
  </si>
  <si>
    <t>Geflossener Annzuschuss:</t>
  </si>
  <si>
    <t>Angabe</t>
  </si>
  <si>
    <t>Ausgaben Positiv</t>
  </si>
  <si>
    <t>Ausgaben negativ</t>
  </si>
  <si>
    <t>Ergebnisse</t>
  </si>
  <si>
    <t>ohne entgeltstundung</t>
  </si>
  <si>
    <t>mit entgeltstundung</t>
  </si>
  <si>
    <t>Barwert WBF aus Landessicht</t>
  </si>
  <si>
    <t>Barwert Annzuschuss aus Landessicht</t>
  </si>
  <si>
    <t>Nebenrechnungen</t>
  </si>
  <si>
    <t>Fragen an VOGEWOSI</t>
  </si>
  <si>
    <t>nicht in Gebrauch</t>
  </si>
  <si>
    <t>für Berechnung Finanzierungsdauer</t>
  </si>
  <si>
    <t>WBF Darlehen</t>
  </si>
  <si>
    <t>verstärkte Tilgung WBF</t>
  </si>
  <si>
    <t>SUMME WBF (Nebenrechnung)</t>
  </si>
  <si>
    <t>Bankdarlehen</t>
  </si>
  <si>
    <t>Kapitaldienst gesamt</t>
  </si>
  <si>
    <t>Annutätenzuschuss mit Betrachtungszeitraum</t>
  </si>
  <si>
    <t>SUMME ANN ZUSCH (Nebenr) mit Betrachtungszeitraum</t>
  </si>
  <si>
    <t>Annutätenzuschuss ohne Betrachtungszeitraum</t>
  </si>
  <si>
    <t>SUMME ANN ZUSCH (Nebenr) ohne Betrachtungszeitraum</t>
  </si>
  <si>
    <t>Entgelt-stundung</t>
  </si>
  <si>
    <t>Summe Entgelt-stundung verzinst</t>
  </si>
  <si>
    <t>Auslauf Annuität</t>
  </si>
  <si>
    <t>Barwert Auslauf-annuität</t>
  </si>
  <si>
    <t>restl. Kapitaldienst</t>
  </si>
  <si>
    <t>Kapitaldienst ges + Annzuschuss</t>
  </si>
  <si>
    <t>Kapitaldienst ges + Annzuschuss + verst. Tilgung</t>
  </si>
  <si>
    <t>Kapitaldienst ges + Annzuschuss + verst. Tilgung - Mieteinnahmen</t>
  </si>
  <si>
    <t>Ausgaben = WBF Darlehen + verst. Tildung WBF + Bankdarlehen + Eigenmittel f Grund + Eigenmittel f. Baukosten + Annzuschuss - Entgeldstundung</t>
  </si>
  <si>
    <t>Kapitaldienst ges + Annzuschuss ohne Betrachtungszeitraum</t>
  </si>
  <si>
    <t>WBF aus Landessicht</t>
  </si>
  <si>
    <t>Annzuschuss aus Landessicht</t>
  </si>
  <si>
    <t>Gesamtkosten inkl. Grund</t>
  </si>
  <si>
    <t>Wohnbauförderungdarlehen:</t>
  </si>
  <si>
    <t>Barwert der Finanzierungskosten</t>
  </si>
  <si>
    <t>verlorene Zuschüsse:</t>
  </si>
  <si>
    <t>Kapitalwert der Finanzierungskosten</t>
  </si>
  <si>
    <t>Betrachtungen aus Fördergebersicht (Auszahlungen negativ)</t>
  </si>
  <si>
    <t>Gewährtes WBF</t>
  </si>
  <si>
    <t>Barwert der Rückzahlungen WBF</t>
  </si>
  <si>
    <t>Barwert des geflossenen Annuitätenzuschusses</t>
  </si>
  <si>
    <t>Energieförderung (Direktförderung)</t>
  </si>
  <si>
    <t>Kapitalwert der Förderung aus Landessicht</t>
  </si>
  <si>
    <t>(Geflossener Annuitätenzuschuss, kein Barwert)</t>
  </si>
  <si>
    <t>Betrachtung aus VOGEWOSI Sicht</t>
  </si>
  <si>
    <t>Barwert der Finanzierungskosten mit Mieteinnahmen</t>
  </si>
  <si>
    <t>Barwert der Mieteinnahmen</t>
  </si>
  <si>
    <t>Nominalzins</t>
  </si>
  <si>
    <t>Nominalzins Land Vorarlberg AUSGABEN</t>
  </si>
  <si>
    <t>Tilgung Eigenmittel f. Grundkosten</t>
  </si>
  <si>
    <t>Tilgung Eigenmittel f. Baukosten</t>
  </si>
  <si>
    <t>Zinssatz Bankkredit</t>
  </si>
  <si>
    <t>Laufzeit Bankkredit</t>
  </si>
  <si>
    <t>Finanzierungsbeitrag</t>
  </si>
  <si>
    <t>Zinsen WBF Kredit</t>
  </si>
  <si>
    <t>Bearbeitungsgebühr WBF Kredit</t>
  </si>
  <si>
    <t>Anuuitätenzuschüss gewährt für</t>
  </si>
  <si>
    <t>Kummuliert</t>
  </si>
  <si>
    <t>Eigenkapital</t>
  </si>
  <si>
    <t>Entgeltstundung</t>
  </si>
  <si>
    <t>(Mieteinnahmen)</t>
  </si>
  <si>
    <t>Barwert Gesamt</t>
  </si>
  <si>
    <t>Zeitwert gesamt</t>
  </si>
  <si>
    <t>Wohnbauförderkredit</t>
  </si>
  <si>
    <t>Zinssatz WBF_kredit</t>
  </si>
  <si>
    <t>Bearbeitungsgebühr WBF-Kredit</t>
  </si>
  <si>
    <t>€/Jahr</t>
  </si>
  <si>
    <t>€/m² Monat</t>
  </si>
  <si>
    <t>Eigenmittel</t>
  </si>
  <si>
    <t>Kostenangaben</t>
  </si>
  <si>
    <t>Finanzierungsbeitrag MieterInnen</t>
  </si>
  <si>
    <t>Wohnbau-förderungdarlehen</t>
  </si>
  <si>
    <t>Anzuzeigende Komponente wählen</t>
  </si>
  <si>
    <t>varianzenspezifische Angaben</t>
  </si>
  <si>
    <t>allgemeine Parameter</t>
  </si>
  <si>
    <t>WBF Kredit</t>
  </si>
  <si>
    <t>WBF Darlehen Tilgung</t>
  </si>
  <si>
    <t>WBF Zinsen + Bearbeitungsgebühren</t>
  </si>
  <si>
    <t>&lt;-- wird nicht verwendet und kann hier MANUELL angegeben werden</t>
  </si>
  <si>
    <t>Mieteinnahmen im Betrachtungszeitraum</t>
  </si>
  <si>
    <t>BARWERT Ergebnisse</t>
  </si>
  <si>
    <t>Mit Annuitätenzuschuss?</t>
  </si>
  <si>
    <t>Für Übergabe:</t>
  </si>
  <si>
    <t>Übergabe aus Annuitätenzuschussblatt</t>
  </si>
  <si>
    <t>Übernahme der Eingabedaten von Variante</t>
  </si>
  <si>
    <t>erst ab Variante 2 möglich</t>
  </si>
  <si>
    <t>Auswahlliste ohne aktuelle Variante</t>
  </si>
  <si>
    <t>Keine Übernahme</t>
  </si>
  <si>
    <t>3.1 I&amp;W</t>
  </si>
  <si>
    <t>Hier kann ausgewählt werden, von welcher Variante die Eingaben übernommen werden sollen. Wird nichts ausgewählt, müssen die Eingaben manuell erfolgen.</t>
  </si>
  <si>
    <t xml:space="preserve">Es werden die Teilergebnisse aus den "grauen" Zellen der ausgewählten Variante übernommen. </t>
  </si>
  <si>
    <t>3.3 I&amp;W</t>
  </si>
  <si>
    <t>Die Variante in diesem Blatt kann dann durch befüllen der "weißen" Felder modifiziert werden.</t>
  </si>
  <si>
    <t>3.4 I&amp;W</t>
  </si>
  <si>
    <t>3.5 I&amp;W</t>
  </si>
  <si>
    <t>Eing.</t>
  </si>
  <si>
    <t>Steuercode welche Daten zur Berechnung herangezogen werden</t>
  </si>
  <si>
    <t>ausgewählte Variante</t>
  </si>
  <si>
    <t>Zeilennummer/Spaltenbezeichnung</t>
  </si>
  <si>
    <t>F</t>
  </si>
  <si>
    <t>AI</t>
  </si>
  <si>
    <t>E=Eigene Eingabe in der Variante da entweder "Keine Übernahme" oder Eigene Eingaben vorhanden sind</t>
  </si>
  <si>
    <t>U=Übernahme der Werte aus der ausgewählten Variante</t>
  </si>
  <si>
    <t>3.2 I&amp;W</t>
  </si>
  <si>
    <t>nicht Auswählbar um Zirkelbezug zu vermeiden</t>
  </si>
  <si>
    <t>Y</t>
  </si>
  <si>
    <t>AD</t>
  </si>
  <si>
    <t>AE</t>
  </si>
  <si>
    <t>W</t>
  </si>
  <si>
    <t>AC</t>
  </si>
  <si>
    <t>lt. 1. Projektangaben</t>
  </si>
  <si>
    <t>Wohnflächen-verkaufspreis Referenz</t>
  </si>
  <si>
    <t>Nutzflächen-verkaufspreis Referenz</t>
  </si>
  <si>
    <t>Gesamte Tilgung:</t>
  </si>
  <si>
    <t>Variante angegeben</t>
  </si>
  <si>
    <t>Für jede Variante; Angabe von Investitionskosten, Lebensdauern, Folgekosten und Förderungen</t>
  </si>
  <si>
    <t>KliNaWo</t>
  </si>
  <si>
    <t>Siedlungsstrasse, Feldkirch</t>
  </si>
  <si>
    <t>BTV-WDVS-WP-Abl-ohne Sol_PV</t>
  </si>
  <si>
    <t>PH-WDVS-WP-Abl-ohne Sol_PV</t>
  </si>
  <si>
    <t>PH-WDVS-WP-Abl-mittl.Sol-ohne PV</t>
  </si>
  <si>
    <t>PH-WDVS-WP-WRG-mittl.Sol-ohne PV</t>
  </si>
  <si>
    <t>PH-WDVS-WP-WRG-mittl.Sol-mit PV</t>
  </si>
  <si>
    <t>BTV</t>
  </si>
  <si>
    <t>PH</t>
  </si>
  <si>
    <t>Estrich</t>
  </si>
  <si>
    <t>Trockenbau Deckenverkleidung</t>
  </si>
  <si>
    <t>Trockenbau</t>
  </si>
  <si>
    <t>Wärmepumpe LD20</t>
  </si>
  <si>
    <t>Fussbodenheizung LD50</t>
  </si>
  <si>
    <t>Abluft mit Zuluftnachströmung LD50</t>
  </si>
  <si>
    <t>Türen mit Stahlzargen</t>
  </si>
  <si>
    <t>Vollverschattung</t>
  </si>
  <si>
    <t>Elektroaussbau</t>
  </si>
  <si>
    <t>sämtliche Planungs- und Dienstleistungen</t>
  </si>
  <si>
    <t>Baumeister</t>
  </si>
  <si>
    <t>Zimmermann</t>
  </si>
  <si>
    <t>alle sonst. mit LD100</t>
  </si>
  <si>
    <t>Spengler und Schwarzdecker LD30</t>
  </si>
  <si>
    <t>Spengler und Schwarzdecker LD50</t>
  </si>
  <si>
    <t>Sanitär</t>
  </si>
  <si>
    <t>Vollverschattung+gedämmt. Jalousiekasten</t>
  </si>
  <si>
    <t>mittl. Solarthermie LD50</t>
  </si>
  <si>
    <t>mittl. Solarthermie LD25</t>
  </si>
  <si>
    <t>Lüftung mit WRG LD50</t>
  </si>
  <si>
    <t>Photovoltaik LD15</t>
  </si>
  <si>
    <t>Photovoltaik LD30</t>
  </si>
  <si>
    <t>Photovoltaik LD50</t>
  </si>
  <si>
    <t>PHSol</t>
  </si>
  <si>
    <t>PHWRGSo</t>
  </si>
  <si>
    <t>PHWRGSoPV</t>
  </si>
  <si>
    <t>/Jahr</t>
  </si>
  <si>
    <t>der Grundkosten</t>
  </si>
  <si>
    <t>Walser und Werle Architekten</t>
  </si>
  <si>
    <t>https://www.energieinstitut.at/tools/susi/</t>
  </si>
  <si>
    <t>Die Abschätzung kann für Einfamilienhäuser mit dem Tool "SUSI – die Strom-Unabhängigkeits-Simulation" erfolgen.</t>
  </si>
  <si>
    <t>Eigennutzung*</t>
  </si>
  <si>
    <t>18+1 WE</t>
  </si>
  <si>
    <t>V3.0</t>
  </si>
  <si>
    <t>Heutige Energiepreise und Einspeisetarife</t>
  </si>
  <si>
    <t>Beispiele verschiedener Varianten</t>
  </si>
  <si>
    <t>Eigenmittel für Baukosten</t>
  </si>
  <si>
    <t>Eigenmittel für Grundkosten</t>
  </si>
  <si>
    <t>Gemeinnütziger Bauträger</t>
  </si>
  <si>
    <t>einmalige Zuschüsse</t>
  </si>
  <si>
    <t>*Berechnung des eigengenützten Stromes der PV-Anlage</t>
  </si>
  <si>
    <t>Tarifbereich 1</t>
  </si>
  <si>
    <t>Zusammenfassung der Randbedingungen</t>
  </si>
  <si>
    <t>Felder in denen Werte ausgewählt werden können</t>
  </si>
  <si>
    <t>(Auswählen der darzustellenden Variante)</t>
  </si>
  <si>
    <t>Zahlungsströme über die Jahre</t>
  </si>
  <si>
    <t>Betrachtungsperspektive und Randbedingungen</t>
  </si>
  <si>
    <t>Angaben die für alle Varianten gleich sind</t>
  </si>
  <si>
    <t>Für Betrachtung als gemeinnütziger Bauträger Angaben zur Finanzierung auf Blatt 1.Projektangaben</t>
  </si>
  <si>
    <t>Tilgung Eigenmittel Baukosten</t>
  </si>
  <si>
    <t>Auswählen zwischen Kapitalwert oder Annuitäten</t>
  </si>
  <si>
    <t>Brutto-Grundfläche</t>
  </si>
  <si>
    <t>Wohnnutzfläche</t>
  </si>
  <si>
    <t>Differenz zur Referenzvariante</t>
  </si>
  <si>
    <t>Diagrammbeschriftung im Balken</t>
  </si>
  <si>
    <t>Variante</t>
  </si>
  <si>
    <t>gesamtergebnis</t>
  </si>
  <si>
    <t>Differenz</t>
  </si>
  <si>
    <t>Beschriftung</t>
  </si>
  <si>
    <t>(Reihenfolge im Diagramm und der Tabelle ändern)</t>
  </si>
  <si>
    <t>Ergebnis: Kostenauswertung</t>
  </si>
  <si>
    <t>Eingabe: Projektangaben</t>
  </si>
  <si>
    <t>Sverweis diagramm</t>
  </si>
  <si>
    <t>Spezifische Angaben zu den einzelnen Varianten</t>
  </si>
  <si>
    <t>Achtung: spezifische Werte beziehen sich auf die</t>
  </si>
  <si>
    <t>Energiepreise</t>
  </si>
  <si>
    <t>Code</t>
  </si>
  <si>
    <t>Übernahme aus</t>
  </si>
  <si>
    <t>Zeile von</t>
  </si>
  <si>
    <t>Zeile bis</t>
  </si>
  <si>
    <t>Ausgewählte Variante</t>
  </si>
  <si>
    <t>Übernahme aus Variante</t>
  </si>
  <si>
    <t>Tarifbereich 2</t>
  </si>
  <si>
    <t>Tarifbereich 3</t>
  </si>
  <si>
    <t>Spalte</t>
  </si>
  <si>
    <t>Steuerelement</t>
  </si>
  <si>
    <t>% Mehrkosten</t>
  </si>
  <si>
    <t>https://www.energieinstitut.at/buerger/haustechnik-energieversorgung/energiepreise-im-vergleich/</t>
  </si>
  <si>
    <t>Energiepreise:</t>
  </si>
  <si>
    <t>https://www.oib.or.at/sites/default/files/richtlinie_6_26.03.15.pdf</t>
  </si>
  <si>
    <r>
      <t>CO</t>
    </r>
    <r>
      <rPr>
        <vertAlign val="subscript"/>
        <sz val="10"/>
        <color theme="1"/>
        <rFont val="Arial"/>
        <family val="2"/>
      </rPr>
      <t>2</t>
    </r>
    <r>
      <rPr>
        <sz val="10"/>
        <color theme="1"/>
        <rFont val="Arial"/>
        <family val="2"/>
      </rPr>
      <t xml:space="preserve"> Kennwerte:</t>
    </r>
  </si>
  <si>
    <t>Steuercode</t>
  </si>
  <si>
    <t>Auswahlfeld</t>
  </si>
  <si>
    <t>Maximaler Ertrag aller Varianten</t>
  </si>
  <si>
    <t>Kapitalwert =1; Annuität =2</t>
  </si>
  <si>
    <t>Diagramm Reihenfolge Steuerelemente</t>
  </si>
  <si>
    <t>Ausgewählte Referenzvariante</t>
  </si>
  <si>
    <t>Ausgewählte Bezugsfläche</t>
  </si>
  <si>
    <t>Steuerelemente</t>
  </si>
  <si>
    <t>Var.</t>
  </si>
  <si>
    <t>Code der Variante 4</t>
  </si>
  <si>
    <t>Code der Variante 5</t>
  </si>
  <si>
    <t>Code der Variante 3</t>
  </si>
  <si>
    <t>Code der Variante 2</t>
  </si>
  <si>
    <t>Code der Variante 1</t>
  </si>
  <si>
    <t>Code Übernahmevariante</t>
  </si>
  <si>
    <t>Hundert</t>
  </si>
  <si>
    <t>Tausend</t>
  </si>
  <si>
    <t>Million</t>
  </si>
  <si>
    <t>Länge</t>
  </si>
  <si>
    <t>Text</t>
  </si>
  <si>
    <t>Zahlungsströme über die Jahre als absolute jährliche Kosten (keine Kapitalwerte) für jeweils eine ausgewählte Variante</t>
  </si>
  <si>
    <t>Schnellnavigation:</t>
  </si>
  <si>
    <t>Oben in jedem Arbeitsblatt kann durch einen Klick auf ein anderes Blatt gewechselt werden</t>
  </si>
  <si>
    <t>eigene Eingabe Eigenkapital</t>
  </si>
  <si>
    <t>in % der Baukosten</t>
  </si>
  <si>
    <t>in € als Gesamtbetrag</t>
  </si>
  <si>
    <t>Eigenmittel in Prozenz oder Absolut?</t>
  </si>
  <si>
    <t>Dieses Teil wurde für Gemeinnützige Wohnbauträger entworfen. Es können alle Varianten unter Berücksichtigung von Wohnbauförderungsdarlehen inklusive eines gewährten Annuitätenzuschusses , und Direktzuschüssen (verlorene Zuschüsse wie Energieförderung) betrachtet werden. Es ändert sich nur die Berechnung der Finanzierunskosten, alle anderen Berechnungen bleiben gleich.</t>
  </si>
  <si>
    <t>Angaben die für die Varianten unterschiedlich sind</t>
  </si>
  <si>
    <t>Tilgung Eigenmittel für Grundkosten</t>
  </si>
  <si>
    <t>brutto</t>
  </si>
  <si>
    <t>privater Bauträger</t>
  </si>
  <si>
    <t>WBF 1108€/m² WNF</t>
  </si>
  <si>
    <t>Verputz LD80 - Innenputz</t>
  </si>
  <si>
    <t>Verputz LD100 -Schlitzarbeiten innen</t>
  </si>
  <si>
    <t>Maler LD 15-Innenwand nass</t>
  </si>
  <si>
    <t>Maler LD 25 - Innenwand standard Dispersion</t>
  </si>
  <si>
    <t>Maler LD 65- Anstriche, Beschichtungen</t>
  </si>
  <si>
    <t xml:space="preserve">  für Dichtungen und Öffnungen</t>
  </si>
  <si>
    <t xml:space="preserve"> Für Dämmschicht und Verblechung</t>
  </si>
  <si>
    <t>Holz/Alufenster Uw=0,55</t>
  </si>
  <si>
    <t>WDVS</t>
  </si>
  <si>
    <t>Sonden und Speicher  LD50</t>
  </si>
  <si>
    <t>Abluft- Ventilatoren LD15</t>
  </si>
  <si>
    <t>Lüftung mit WRG - Ventilatoren LD15</t>
  </si>
  <si>
    <t>WBF 1335€/m² WNF</t>
  </si>
  <si>
    <t>WBF 1289€/m² WNF</t>
  </si>
  <si>
    <t>WBF 1198€/m² WNF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</si>
</sst>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 _€_-;\-* #,##0.00\ _€_-;_-* &quot;-&quot;??\ _€_-;_-@_-"/>
    <numFmt numFmtId="164" formatCode="&quot;€&quot;\ #,##0.00;[Red]\-&quot;€&quot;\ #,##0.00"/>
    <numFmt numFmtId="165" formatCode="_-&quot;€&quot;\ * #,##0.00_-;\-&quot;€&quot;\ * #,##0.00_-;_-&quot;€&quot;\ * &quot;-&quot;??_-;_-@_-"/>
    <numFmt numFmtId="166" formatCode="#,##0.0"/>
    <numFmt numFmtId="167" formatCode="0.0%"/>
    <numFmt numFmtId="168" formatCode="0.00000"/>
    <numFmt numFmtId="169" formatCode="0.000"/>
    <numFmt numFmtId="170" formatCode="0.0000"/>
    <numFmt numFmtId="171" formatCode="0.00000000%"/>
    <numFmt numFmtId="172" formatCode="&quot;€&quot;\ #,##0.00000;[Red]\-&quot;€&quot;\ #,##0.00000"/>
    <numFmt numFmtId="173" formatCode="&quot;€&quot;\ #,##0.00"/>
    <numFmt numFmtId="174" formatCode="0.0"/>
    <numFmt numFmtId="175" formatCode="&quot;€&quot;\ #,##0"/>
    <numFmt numFmtId="176" formatCode="&quot;€/m²&quot;\ 0.00"/>
    <numFmt numFmtId="177" formatCode="#,##0.0\ &quot;m²&quot;"/>
    <numFmt numFmtId="178" formatCode="#,##0\ &quot;€&quot;"/>
  </numFmts>
  <fonts count="86" x14ac:knownFonts="1">
    <font>
      <sz val="11"/>
      <color theme="1"/>
      <name val="Calibri"/>
      <family val="2"/>
      <scheme val="minor"/>
    </font>
    <font>
      <sz val="8"/>
      <color theme="1"/>
      <name val="Arial"/>
      <family val="2"/>
    </font>
    <font>
      <b/>
      <sz val="10"/>
      <color theme="0"/>
      <name val="Arial"/>
      <family val="2"/>
    </font>
    <font>
      <b/>
      <sz val="8"/>
      <name val="Arial"/>
      <family val="2"/>
    </font>
    <font>
      <sz val="8"/>
      <name val="Arial"/>
      <family val="2"/>
    </font>
    <font>
      <b/>
      <sz val="12"/>
      <color theme="0"/>
      <name val="Arial"/>
      <family val="2"/>
    </font>
    <font>
      <b/>
      <sz val="8"/>
      <color theme="1"/>
      <name val="Arial"/>
      <family val="2"/>
    </font>
    <font>
      <i/>
      <sz val="8"/>
      <color theme="1"/>
      <name val="Arial"/>
      <family val="2"/>
    </font>
    <font>
      <b/>
      <sz val="11"/>
      <color theme="1"/>
      <name val="Calibri"/>
      <family val="2"/>
      <scheme val="minor"/>
    </font>
    <font>
      <b/>
      <sz val="8"/>
      <color theme="0"/>
      <name val="Arial"/>
      <family val="2"/>
    </font>
    <font>
      <b/>
      <sz val="10"/>
      <color indexed="9"/>
      <name val="Arial"/>
      <family val="2"/>
    </font>
    <font>
      <sz val="10"/>
      <name val="Arial"/>
      <family val="2"/>
    </font>
    <font>
      <b/>
      <i/>
      <sz val="8"/>
      <color theme="1"/>
      <name val="Arial"/>
      <family val="2"/>
    </font>
    <font>
      <sz val="11"/>
      <color theme="0"/>
      <name val="Calibri"/>
      <family val="2"/>
      <scheme val="minor"/>
    </font>
    <font>
      <i/>
      <sz val="8"/>
      <color theme="0"/>
      <name val="Arial"/>
      <family val="2"/>
    </font>
    <font>
      <i/>
      <sz val="8"/>
      <name val="Arial"/>
      <family val="2"/>
    </font>
    <font>
      <sz val="8"/>
      <color theme="1"/>
      <name val="Calibri"/>
      <family val="2"/>
    </font>
    <font>
      <b/>
      <sz val="12"/>
      <color theme="1"/>
      <name val="Calibri"/>
      <family val="2"/>
      <scheme val="minor"/>
    </font>
    <font>
      <sz val="11"/>
      <name val="Calibri"/>
      <family val="2"/>
      <scheme val="minor"/>
    </font>
    <font>
      <sz val="11"/>
      <color theme="1"/>
      <name val="Calibri"/>
      <family val="2"/>
      <scheme val="minor"/>
    </font>
    <font>
      <sz val="36"/>
      <color theme="1"/>
      <name val="Arial"/>
      <family val="2"/>
    </font>
    <font>
      <sz val="20"/>
      <color theme="1"/>
      <name val="Arial"/>
      <family val="2"/>
    </font>
    <font>
      <b/>
      <sz val="48"/>
      <color theme="1"/>
      <name val="Arial"/>
      <family val="2"/>
    </font>
    <font>
      <b/>
      <sz val="14"/>
      <color theme="1"/>
      <name val="Arial"/>
      <family val="2"/>
    </font>
    <font>
      <sz val="8"/>
      <color theme="1"/>
      <name val="Calibri"/>
      <family val="2"/>
      <scheme val="minor"/>
    </font>
    <font>
      <b/>
      <sz val="24"/>
      <color theme="1"/>
      <name val="Arial"/>
      <family val="2"/>
    </font>
    <font>
      <sz val="11"/>
      <color theme="1"/>
      <name val="Arial"/>
      <family val="2"/>
    </font>
    <font>
      <vertAlign val="subscript"/>
      <sz val="8"/>
      <color theme="1"/>
      <name val="Arial"/>
      <family val="2"/>
    </font>
    <font>
      <sz val="8"/>
      <color rgb="FFFF0000"/>
      <name val="Arial"/>
      <family val="2"/>
    </font>
    <font>
      <sz val="9.1999999999999993"/>
      <color theme="1"/>
      <name val="Arial"/>
      <family val="2"/>
    </font>
    <font>
      <b/>
      <sz val="72"/>
      <color theme="1"/>
      <name val="Arial"/>
      <family val="2"/>
    </font>
    <font>
      <sz val="10"/>
      <color theme="1"/>
      <name val="Calibri"/>
      <family val="2"/>
      <scheme val="minor"/>
    </font>
    <font>
      <b/>
      <sz val="18"/>
      <color theme="0"/>
      <name val="Arial"/>
      <family val="2"/>
    </font>
    <font>
      <b/>
      <sz val="20"/>
      <color theme="0"/>
      <name val="Arial"/>
      <family val="2"/>
    </font>
    <font>
      <sz val="2"/>
      <color theme="1"/>
      <name val="Arial"/>
      <family val="2"/>
    </font>
    <font>
      <sz val="14"/>
      <color theme="1"/>
      <name val="Arial"/>
      <family val="2"/>
    </font>
    <font>
      <b/>
      <sz val="9"/>
      <color theme="1"/>
      <name val="Arial"/>
      <family val="2"/>
    </font>
    <font>
      <sz val="16"/>
      <color theme="1"/>
      <name val="Arial"/>
      <family val="2"/>
    </font>
    <font>
      <u/>
      <sz val="11"/>
      <color theme="10"/>
      <name val="Calibri"/>
      <family val="2"/>
      <scheme val="minor"/>
    </font>
    <font>
      <b/>
      <sz val="12"/>
      <color theme="1"/>
      <name val="Arial"/>
      <family val="2"/>
    </font>
    <font>
      <b/>
      <sz val="11"/>
      <color theme="1"/>
      <name val="Arial"/>
      <family val="2"/>
    </font>
    <font>
      <sz val="9"/>
      <color theme="1"/>
      <name val="Arial"/>
      <family val="2"/>
    </font>
    <font>
      <b/>
      <sz val="26"/>
      <color theme="1"/>
      <name val="Arial"/>
      <family val="2"/>
    </font>
    <font>
      <b/>
      <vertAlign val="subscript"/>
      <sz val="8"/>
      <color theme="1"/>
      <name val="Arial"/>
      <family val="2"/>
    </font>
    <font>
      <sz val="9"/>
      <color indexed="81"/>
      <name val="Tahoma"/>
      <family val="2"/>
    </font>
    <font>
      <b/>
      <sz val="16"/>
      <color theme="1"/>
      <name val="Arial"/>
      <family val="2"/>
    </font>
    <font>
      <sz val="16"/>
      <color theme="0"/>
      <name val="Arial"/>
      <family val="2"/>
    </font>
    <font>
      <b/>
      <sz val="9"/>
      <color theme="0"/>
      <name val="Arial"/>
      <family val="2"/>
    </font>
    <font>
      <b/>
      <sz val="9"/>
      <name val="Arial"/>
      <family val="2"/>
    </font>
    <font>
      <b/>
      <sz val="9"/>
      <color rgb="FFFF0000"/>
      <name val="Arial"/>
      <family val="2"/>
    </font>
    <font>
      <u/>
      <sz val="10"/>
      <color indexed="12"/>
      <name val="Arial"/>
      <family val="2"/>
    </font>
    <font>
      <sz val="10"/>
      <color theme="1"/>
      <name val="Arial"/>
      <family val="2"/>
    </font>
    <font>
      <b/>
      <sz val="10"/>
      <color theme="1"/>
      <name val="Arial"/>
      <family val="2"/>
    </font>
    <font>
      <sz val="8"/>
      <color rgb="FFDA0000"/>
      <name val="Arial"/>
      <family val="2"/>
    </font>
    <font>
      <sz val="11"/>
      <color rgb="FF3F3F76"/>
      <name val="Calibri"/>
      <family val="2"/>
      <scheme val="minor"/>
    </font>
    <font>
      <b/>
      <sz val="11"/>
      <color rgb="FFFA7D00"/>
      <name val="Calibri"/>
      <family val="2"/>
      <scheme val="minor"/>
    </font>
    <font>
      <b/>
      <u/>
      <sz val="12"/>
      <color theme="1"/>
      <name val="Calibri"/>
      <family val="2"/>
      <scheme val="minor"/>
    </font>
    <font>
      <sz val="11"/>
      <color theme="0" tint="-0.34998626667073579"/>
      <name val="Calibri"/>
      <family val="2"/>
      <scheme val="minor"/>
    </font>
    <font>
      <b/>
      <sz val="28"/>
      <color theme="1"/>
      <name val="Calibri"/>
      <family val="2"/>
      <scheme val="minor"/>
    </font>
    <font>
      <sz val="11"/>
      <color theme="0" tint="-0.14999847407452621"/>
      <name val="Arial"/>
      <family val="2"/>
    </font>
    <font>
      <sz val="11"/>
      <color rgb="FFFF0000"/>
      <name val="Arial"/>
      <family val="2"/>
    </font>
    <font>
      <sz val="8"/>
      <color theme="0" tint="-0.14999847407452621"/>
      <name val="Arial"/>
      <family val="2"/>
    </font>
    <font>
      <b/>
      <sz val="18"/>
      <color theme="1"/>
      <name val="Calibri"/>
      <family val="2"/>
      <scheme val="minor"/>
    </font>
    <font>
      <b/>
      <sz val="14"/>
      <color theme="1"/>
      <name val="Calibri"/>
      <family val="2"/>
      <scheme val="minor"/>
    </font>
    <font>
      <b/>
      <sz val="20"/>
      <color theme="1"/>
      <name val="Calibri"/>
      <family val="2"/>
      <scheme val="minor"/>
    </font>
    <font>
      <sz val="11"/>
      <name val="Arial"/>
      <family val="2"/>
    </font>
    <font>
      <sz val="36"/>
      <color theme="1"/>
      <name val="Calibri"/>
      <family val="2"/>
      <scheme val="minor"/>
    </font>
    <font>
      <b/>
      <sz val="11"/>
      <color rgb="FFFF0000"/>
      <name val="Calibri"/>
      <family val="2"/>
      <scheme val="minor"/>
    </font>
    <font>
      <sz val="11"/>
      <color rgb="FF006100"/>
      <name val="Calibri"/>
      <family val="2"/>
      <scheme val="minor"/>
    </font>
    <font>
      <sz val="6"/>
      <color theme="1"/>
      <name val="Arial"/>
      <family val="2"/>
    </font>
    <font>
      <i/>
      <sz val="8"/>
      <color theme="1" tint="0.34998626667073579"/>
      <name val="Arial"/>
      <family val="2"/>
    </font>
    <font>
      <b/>
      <sz val="8"/>
      <color rgb="FFFF0000"/>
      <name val="Arial"/>
      <family val="2"/>
    </font>
    <font>
      <b/>
      <sz val="11"/>
      <color theme="0" tint="-0.14999847407452621"/>
      <name val="Arial"/>
      <family val="2"/>
    </font>
    <font>
      <b/>
      <sz val="8"/>
      <color theme="0" tint="-0.14999847407452621"/>
      <name val="Arial"/>
      <family val="2"/>
    </font>
    <font>
      <i/>
      <sz val="8"/>
      <color theme="0" tint="-0.14999847407452621"/>
      <name val="Arial"/>
      <family val="2"/>
    </font>
    <font>
      <sz val="8"/>
      <color theme="1" tint="0.499984740745262"/>
      <name val="Arial"/>
      <family val="2"/>
    </font>
    <font>
      <b/>
      <sz val="8"/>
      <color theme="1" tint="0.499984740745262"/>
      <name val="Arial"/>
      <family val="2"/>
    </font>
    <font>
      <i/>
      <sz val="8"/>
      <color theme="1" tint="0.499984740745262"/>
      <name val="Arial"/>
      <family val="2"/>
    </font>
    <font>
      <sz val="8"/>
      <color rgb="FF000000"/>
      <name val="Tahoma"/>
      <family val="2"/>
    </font>
    <font>
      <sz val="8"/>
      <color theme="0"/>
      <name val="Arial"/>
      <family val="2"/>
    </font>
    <font>
      <sz val="8"/>
      <color theme="0" tint="-0.499984740745262"/>
      <name val="Arial"/>
      <family val="2"/>
    </font>
    <font>
      <b/>
      <sz val="11"/>
      <name val="Arial"/>
      <family val="2"/>
    </font>
    <font>
      <b/>
      <u/>
      <sz val="8"/>
      <color rgb="FFDA0000"/>
      <name val="Arial"/>
      <family val="2"/>
    </font>
    <font>
      <b/>
      <sz val="8"/>
      <color theme="0" tint="-0.499984740745262"/>
      <name val="Arial"/>
      <family val="2"/>
    </font>
    <font>
      <sz val="11"/>
      <color theme="0" tint="-0.499984740745262"/>
      <name val="Arial"/>
      <family val="2"/>
    </font>
    <font>
      <vertAlign val="subscript"/>
      <sz val="10"/>
      <color theme="1"/>
      <name val="Arial"/>
      <family val="2"/>
    </font>
  </fonts>
  <fills count="53">
    <fill>
      <patternFill patternType="none"/>
    </fill>
    <fill>
      <patternFill patternType="gray125"/>
    </fill>
    <fill>
      <patternFill patternType="solid">
        <fgColor rgb="FFFF0000"/>
        <bgColor indexed="64"/>
      </patternFill>
    </fill>
    <fill>
      <patternFill patternType="gray0625"/>
    </fill>
    <fill>
      <patternFill patternType="solid">
        <fgColor theme="0"/>
        <bgColor indexed="64"/>
      </patternFill>
    </fill>
    <fill>
      <patternFill patternType="solid">
        <fgColor indexed="9"/>
        <bgColor indexed="64"/>
      </patternFill>
    </fill>
    <fill>
      <patternFill patternType="solid">
        <fgColor rgb="FF00B0F0"/>
        <bgColor indexed="64"/>
      </patternFill>
    </fill>
    <fill>
      <patternFill patternType="solid">
        <fgColor indexed="8"/>
        <bgColor indexed="8"/>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3" tint="0.39997558519241921"/>
        <bgColor indexed="64"/>
      </patternFill>
    </fill>
    <fill>
      <patternFill patternType="solid">
        <fgColor rgb="FFFFC000"/>
        <bgColor indexed="64"/>
      </patternFill>
    </fill>
    <fill>
      <patternFill patternType="solid">
        <fgColor rgb="FFC00000"/>
        <bgColor indexed="64"/>
      </patternFill>
    </fill>
    <fill>
      <patternFill patternType="solid">
        <fgColor rgb="FF0070C0"/>
        <bgColor indexed="64"/>
      </patternFill>
    </fill>
    <fill>
      <patternFill patternType="solid">
        <fgColor rgb="FF7030A0"/>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rgb="FFFEA39C"/>
        <bgColor indexed="64"/>
      </patternFill>
    </fill>
    <fill>
      <patternFill patternType="solid">
        <fgColor rgb="FF00B050"/>
        <bgColor indexed="64"/>
      </patternFill>
    </fill>
    <fill>
      <patternFill patternType="solid">
        <fgColor rgb="FF00206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1" tint="0.499984740745262"/>
        <bgColor indexed="64"/>
      </patternFill>
    </fill>
    <fill>
      <patternFill patternType="solid">
        <fgColor rgb="FFDA0000"/>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tint="-0.249977111117893"/>
        <bgColor indexed="64"/>
      </patternFill>
    </fill>
    <fill>
      <patternFill patternType="solid">
        <fgColor theme="2" tint="-0.749992370372631"/>
        <bgColor indexed="64"/>
      </patternFill>
    </fill>
    <fill>
      <patternFill patternType="solid">
        <fgColor theme="9" tint="-0.249977111117893"/>
        <bgColor indexed="64"/>
      </patternFill>
    </fill>
    <fill>
      <patternFill patternType="solid">
        <fgColor rgb="FFFFFFFF"/>
        <bgColor indexed="64"/>
      </patternFill>
    </fill>
    <fill>
      <patternFill patternType="solid">
        <fgColor theme="3"/>
        <bgColor indexed="64"/>
      </patternFill>
    </fill>
    <fill>
      <patternFill patternType="solid">
        <fgColor rgb="FFFFCC99"/>
      </patternFill>
    </fill>
    <fill>
      <patternFill patternType="solid">
        <fgColor rgb="FFF2F2F2"/>
      </patternFill>
    </fill>
    <fill>
      <patternFill patternType="solid">
        <fgColor theme="6" tint="0.39997558519241921"/>
        <bgColor indexed="64"/>
      </patternFill>
    </fill>
    <fill>
      <patternFill patternType="solid">
        <fgColor theme="5" tint="0.79998168889431442"/>
        <bgColor indexed="64"/>
      </patternFill>
    </fill>
    <fill>
      <patternFill patternType="solid">
        <fgColor rgb="FF48BA20"/>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rgb="FFFF00FF"/>
        <bgColor indexed="64"/>
      </patternFill>
    </fill>
    <fill>
      <patternFill patternType="solid">
        <fgColor rgb="FFF7B5A3"/>
        <bgColor indexed="64"/>
      </patternFill>
    </fill>
    <fill>
      <patternFill patternType="solid">
        <fgColor theme="2" tint="-0.499984740745262"/>
        <bgColor indexed="64"/>
      </patternFill>
    </fill>
    <fill>
      <patternFill patternType="solid">
        <fgColor theme="5" tint="0.59999389629810485"/>
        <bgColor indexed="64"/>
      </patternFill>
    </fill>
    <fill>
      <patternFill patternType="solid">
        <fgColor theme="7" tint="-0.249977111117893"/>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C6EFCE"/>
      </patternFill>
    </fill>
    <fill>
      <patternFill patternType="solid">
        <fgColor theme="0" tint="-0.499984740745262"/>
        <bgColor indexed="64"/>
      </patternFill>
    </fill>
    <fill>
      <patternFill patternType="solid">
        <fgColor theme="0" tint="-4.9989318521683403E-2"/>
        <bgColor indexed="64"/>
      </patternFill>
    </fill>
    <fill>
      <patternFill patternType="solid">
        <fgColor theme="4"/>
        <bgColor indexed="64"/>
      </patternFill>
    </fill>
    <fill>
      <patternFill patternType="solid">
        <fgColor theme="5" tint="-0.249977111117893"/>
        <bgColor indexed="64"/>
      </patternFill>
    </fill>
  </fills>
  <borders count="2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bottom style="double">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1"/>
      </left>
      <right style="thin">
        <color theme="1"/>
      </right>
      <top style="thin">
        <color theme="1"/>
      </top>
      <bottom style="thin">
        <color indexed="64"/>
      </bottom>
      <diagonal/>
    </border>
    <border>
      <left style="thin">
        <color indexed="64"/>
      </left>
      <right style="thin">
        <color indexed="64"/>
      </right>
      <top style="medium">
        <color theme="1"/>
      </top>
      <bottom style="thin">
        <color theme="1"/>
      </bottom>
      <diagonal/>
    </border>
    <border>
      <left style="thin">
        <color theme="1"/>
      </left>
      <right/>
      <top style="medium">
        <color theme="1"/>
      </top>
      <bottom style="thin">
        <color theme="1"/>
      </bottom>
      <diagonal/>
    </border>
    <border>
      <left/>
      <right style="thin">
        <color theme="1"/>
      </right>
      <top style="thin">
        <color theme="1"/>
      </top>
      <bottom style="thin">
        <color theme="1"/>
      </bottom>
      <diagonal/>
    </border>
    <border>
      <left/>
      <right style="thin">
        <color theme="1"/>
      </right>
      <top style="thin">
        <color theme="1"/>
      </top>
      <bottom style="thin">
        <color indexed="64"/>
      </bottom>
      <diagonal/>
    </border>
    <border>
      <left style="thin">
        <color theme="1"/>
      </left>
      <right style="thin">
        <color theme="1"/>
      </right>
      <top style="medium">
        <color auto="1"/>
      </top>
      <bottom style="thin">
        <color theme="1"/>
      </bottom>
      <diagonal/>
    </border>
    <border>
      <left style="thin">
        <color theme="1"/>
      </left>
      <right/>
      <top style="medium">
        <color auto="1"/>
      </top>
      <bottom style="thin">
        <color theme="1"/>
      </bottom>
      <diagonal/>
    </border>
    <border>
      <left style="thin">
        <color theme="1"/>
      </left>
      <right style="medium">
        <color auto="1"/>
      </right>
      <top style="thin">
        <color theme="1"/>
      </top>
      <bottom style="thin">
        <color theme="1"/>
      </bottom>
      <diagonal/>
    </border>
    <border>
      <left style="thin">
        <color theme="1"/>
      </left>
      <right style="thin">
        <color theme="1"/>
      </right>
      <top style="thin">
        <color theme="1"/>
      </top>
      <bottom style="medium">
        <color auto="1"/>
      </bottom>
      <diagonal/>
    </border>
    <border>
      <left/>
      <right style="thin">
        <color theme="1"/>
      </right>
      <top style="thin">
        <color theme="1"/>
      </top>
      <bottom style="medium">
        <color auto="1"/>
      </bottom>
      <diagonal/>
    </border>
    <border>
      <left style="thin">
        <color theme="1"/>
      </left>
      <right style="thin">
        <color theme="1"/>
      </right>
      <top style="thin">
        <color theme="1"/>
      </top>
      <bottom style="medium">
        <color theme="1"/>
      </bottom>
      <diagonal/>
    </border>
    <border diagonalUp="1" diagonalDown="1">
      <left/>
      <right/>
      <top/>
      <bottom/>
      <diagonal style="medium">
        <color rgb="FFFF0000"/>
      </diagonal>
    </border>
    <border diagonalUp="1" diagonalDown="1">
      <left/>
      <right style="medium">
        <color indexed="64"/>
      </right>
      <top/>
      <bottom/>
      <diagonal style="medium">
        <color rgb="FFFF0000"/>
      </diagonal>
    </border>
    <border diagonalUp="1" diagonalDown="1">
      <left/>
      <right/>
      <top/>
      <bottom style="medium">
        <color indexed="64"/>
      </bottom>
      <diagonal style="medium">
        <color rgb="FFFF0000"/>
      </diagonal>
    </border>
    <border diagonalUp="1" diagonalDown="1">
      <left/>
      <right style="medium">
        <color indexed="64"/>
      </right>
      <top/>
      <bottom style="medium">
        <color indexed="64"/>
      </bottom>
      <diagonal style="medium">
        <color rgb="FFFF0000"/>
      </diagonal>
    </border>
    <border>
      <left/>
      <right style="thin">
        <color theme="1"/>
      </right>
      <top style="medium">
        <color indexed="64"/>
      </top>
      <bottom/>
      <diagonal/>
    </border>
    <border>
      <left/>
      <right style="thin">
        <color theme="1"/>
      </right>
      <top/>
      <bottom style="thin">
        <color theme="1"/>
      </bottom>
      <diagonal/>
    </border>
    <border>
      <left/>
      <right style="thin">
        <color theme="1"/>
      </right>
      <top/>
      <bottom/>
      <diagonal/>
    </border>
    <border>
      <left/>
      <right style="thin">
        <color theme="1"/>
      </right>
      <top style="thin">
        <color indexed="64"/>
      </top>
      <bottom style="thin">
        <color indexed="64"/>
      </bottom>
      <diagonal/>
    </border>
    <border>
      <left/>
      <right style="thin">
        <color theme="1"/>
      </right>
      <top style="thin">
        <color indexed="64"/>
      </top>
      <bottom style="medium">
        <color indexed="64"/>
      </bottom>
      <diagonal/>
    </border>
    <border>
      <left/>
      <right style="thin">
        <color theme="1"/>
      </right>
      <top/>
      <bottom style="medium">
        <color indexed="64"/>
      </bottom>
      <diagonal/>
    </border>
    <border>
      <left style="thin">
        <color auto="1"/>
      </left>
      <right style="thin">
        <color auto="1"/>
      </right>
      <top/>
      <bottom style="medium">
        <color theme="1"/>
      </bottom>
      <diagonal/>
    </border>
    <border>
      <left style="thin">
        <color theme="1"/>
      </left>
      <right/>
      <top/>
      <bottom style="thin">
        <color theme="1"/>
      </bottom>
      <diagonal/>
    </border>
    <border>
      <left style="thin">
        <color theme="1"/>
      </left>
      <right style="thin">
        <color theme="1"/>
      </right>
      <top/>
      <bottom style="thin">
        <color theme="1"/>
      </bottom>
      <diagonal/>
    </border>
    <border>
      <left/>
      <right style="thin">
        <color theme="1"/>
      </right>
      <top style="medium">
        <color auto="1"/>
      </top>
      <bottom style="thin">
        <color theme="1"/>
      </bottom>
      <diagonal/>
    </border>
    <border>
      <left/>
      <right/>
      <top style="medium">
        <color indexed="64"/>
      </top>
      <bottom style="thin">
        <color theme="1"/>
      </bottom>
      <diagonal/>
    </border>
    <border>
      <left style="thin">
        <color auto="1"/>
      </left>
      <right style="thin">
        <color auto="1"/>
      </right>
      <top style="thin">
        <color theme="1"/>
      </top>
      <bottom style="thin">
        <color theme="1"/>
      </bottom>
      <diagonal/>
    </border>
    <border>
      <left style="thin">
        <color auto="1"/>
      </left>
      <right style="thin">
        <color auto="1"/>
      </right>
      <top/>
      <bottom style="thin">
        <color theme="1"/>
      </bottom>
      <diagonal/>
    </border>
    <border>
      <left style="thin">
        <color auto="1"/>
      </left>
      <right style="thin">
        <color auto="1"/>
      </right>
      <top style="medium">
        <color auto="1"/>
      </top>
      <bottom style="thin">
        <color theme="1"/>
      </bottom>
      <diagonal/>
    </border>
    <border>
      <left style="medium">
        <color indexed="64"/>
      </left>
      <right/>
      <top/>
      <bottom style="thin">
        <color indexed="64"/>
      </bottom>
      <diagonal/>
    </border>
    <border>
      <left/>
      <right style="thin">
        <color theme="1"/>
      </right>
      <top style="thin">
        <color indexed="64"/>
      </top>
      <bottom/>
      <diagonal/>
    </border>
    <border>
      <left style="thin">
        <color theme="1"/>
      </left>
      <right style="thin">
        <color auto="1"/>
      </right>
      <top style="thin">
        <color theme="1"/>
      </top>
      <bottom style="thin">
        <color theme="1"/>
      </bottom>
      <diagonal/>
    </border>
    <border>
      <left style="thin">
        <color indexed="64"/>
      </left>
      <right style="thin">
        <color indexed="64"/>
      </right>
      <top style="medium">
        <color theme="1"/>
      </top>
      <bottom/>
      <diagonal/>
    </border>
    <border>
      <left style="thin">
        <color theme="1"/>
      </left>
      <right style="thin">
        <color auto="1"/>
      </right>
      <top style="thin">
        <color theme="1"/>
      </top>
      <bottom style="medium">
        <color theme="1"/>
      </bottom>
      <diagonal/>
    </border>
    <border>
      <left/>
      <right/>
      <top style="medium">
        <color theme="1"/>
      </top>
      <bottom/>
      <diagonal/>
    </border>
    <border>
      <left style="thin">
        <color auto="1"/>
      </left>
      <right style="medium">
        <color indexed="64"/>
      </right>
      <top style="medium">
        <color indexed="64"/>
      </top>
      <bottom style="thin">
        <color theme="1"/>
      </bottom>
      <diagonal/>
    </border>
    <border>
      <left style="thin">
        <color theme="1"/>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medium">
        <color indexed="64"/>
      </right>
      <top style="thin">
        <color indexed="64"/>
      </top>
      <bottom style="thin">
        <color theme="1"/>
      </bottom>
      <diagonal/>
    </border>
    <border>
      <left/>
      <right style="thin">
        <color theme="1"/>
      </right>
      <top style="thin">
        <color theme="1"/>
      </top>
      <bottom/>
      <diagonal/>
    </border>
    <border>
      <left style="thin">
        <color theme="1"/>
      </left>
      <right style="thin">
        <color theme="1"/>
      </right>
      <top style="thin">
        <color indexed="64"/>
      </top>
      <bottom style="medium">
        <color auto="1"/>
      </bottom>
      <diagonal/>
    </border>
    <border>
      <left style="thin">
        <color theme="1"/>
      </left>
      <right style="thin">
        <color theme="1"/>
      </right>
      <top style="thin">
        <color indexed="64"/>
      </top>
      <bottom/>
      <diagonal/>
    </border>
    <border>
      <left style="thin">
        <color theme="1"/>
      </left>
      <right/>
      <top style="thin">
        <color theme="1"/>
      </top>
      <bottom style="thin">
        <color indexed="64"/>
      </bottom>
      <diagonal/>
    </border>
    <border>
      <left style="thin">
        <color theme="1"/>
      </left>
      <right/>
      <top style="thin">
        <color indexed="64"/>
      </top>
      <bottom style="thin">
        <color indexed="64"/>
      </bottom>
      <diagonal/>
    </border>
    <border>
      <left style="medium">
        <color rgb="FFDA0000"/>
      </left>
      <right style="medium">
        <color rgb="FFDA0000"/>
      </right>
      <top/>
      <bottom/>
      <diagonal/>
    </border>
    <border>
      <left style="medium">
        <color rgb="FFDA0000"/>
      </left>
      <right style="medium">
        <color rgb="FFDA0000"/>
      </right>
      <top style="medium">
        <color indexed="64"/>
      </top>
      <bottom style="thin">
        <color theme="1"/>
      </bottom>
      <diagonal/>
    </border>
    <border>
      <left style="medium">
        <color rgb="FFDA0000"/>
      </left>
      <right style="medium">
        <color rgb="FFDA0000"/>
      </right>
      <top style="thin">
        <color theme="1"/>
      </top>
      <bottom/>
      <diagonal/>
    </border>
    <border>
      <left style="medium">
        <color rgb="FFDA0000"/>
      </left>
      <right style="medium">
        <color rgb="FFDA0000"/>
      </right>
      <top style="thin">
        <color indexed="64"/>
      </top>
      <bottom/>
      <diagonal/>
    </border>
    <border>
      <left style="medium">
        <color rgb="FFDA0000"/>
      </left>
      <right style="medium">
        <color rgb="FFDA0000"/>
      </right>
      <top style="thin">
        <color theme="1"/>
      </top>
      <bottom style="thin">
        <color theme="1"/>
      </bottom>
      <diagonal/>
    </border>
    <border>
      <left style="medium">
        <color rgb="FFDA0000"/>
      </left>
      <right style="medium">
        <color rgb="FFDA0000"/>
      </right>
      <top style="thin">
        <color theme="1"/>
      </top>
      <bottom style="medium">
        <color auto="1"/>
      </bottom>
      <diagonal/>
    </border>
    <border>
      <left style="medium">
        <color rgb="FFDA0000"/>
      </left>
      <right style="medium">
        <color rgb="FFDA0000"/>
      </right>
      <top style="thin">
        <color indexed="64"/>
      </top>
      <bottom style="thin">
        <color indexed="64"/>
      </bottom>
      <diagonal/>
    </border>
    <border>
      <left style="medium">
        <color rgb="FFDA0000"/>
      </left>
      <right style="thin">
        <color auto="1"/>
      </right>
      <top style="thin">
        <color indexed="64"/>
      </top>
      <bottom style="thin">
        <color theme="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rgb="FFDA0000"/>
      </left>
      <right style="medium">
        <color rgb="FFDA0000"/>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rgb="FF7F7F7F"/>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rgb="FF7F7F7F"/>
      </left>
      <right style="thin">
        <color rgb="FF7F7F7F"/>
      </right>
      <top style="thin">
        <color rgb="FF7F7F7F"/>
      </top>
      <bottom style="medium">
        <color indexed="64"/>
      </bottom>
      <diagonal/>
    </border>
    <border>
      <left style="thin">
        <color indexed="64"/>
      </left>
      <right style="thin">
        <color indexed="64"/>
      </right>
      <top style="thin">
        <color indexed="64"/>
      </top>
      <bottom style="thick">
        <color rgb="FFC00000"/>
      </bottom>
      <diagonal/>
    </border>
    <border>
      <left/>
      <right style="medium">
        <color indexed="64"/>
      </right>
      <top style="thin">
        <color indexed="64"/>
      </top>
      <bottom style="double">
        <color indexed="64"/>
      </bottom>
      <diagonal/>
    </border>
    <border>
      <left/>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top style="thin">
        <color theme="0" tint="-0.34998626667073579"/>
      </top>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medium">
        <color indexed="64"/>
      </top>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indexed="64"/>
      </left>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medium">
        <color rgb="FFDA0000"/>
      </right>
      <top style="thin">
        <color theme="1"/>
      </top>
      <bottom style="thin">
        <color theme="1"/>
      </bottom>
      <diagonal/>
    </border>
    <border>
      <left/>
      <right style="thin">
        <color theme="1"/>
      </right>
      <top/>
      <bottom style="thin">
        <color indexed="64"/>
      </bottom>
      <diagonal/>
    </border>
    <border>
      <left style="thin">
        <color theme="1"/>
      </left>
      <right style="medium">
        <color indexed="64"/>
      </right>
      <top style="medium">
        <color indexed="64"/>
      </top>
      <bottom style="thin">
        <color theme="1"/>
      </bottom>
      <diagonal/>
    </border>
    <border>
      <left style="thin">
        <color theme="1"/>
      </left>
      <right style="medium">
        <color indexed="64"/>
      </right>
      <top style="thin">
        <color theme="1"/>
      </top>
      <bottom/>
      <diagonal/>
    </border>
    <border>
      <left style="thin">
        <color theme="1"/>
      </left>
      <right style="medium">
        <color indexed="64"/>
      </right>
      <top style="thin">
        <color indexed="64"/>
      </top>
      <bottom style="medium">
        <color indexed="64"/>
      </bottom>
      <diagonal/>
    </border>
    <border>
      <left/>
      <right style="thin">
        <color auto="1"/>
      </right>
      <top/>
      <bottom style="medium">
        <color auto="1"/>
      </bottom>
      <diagonal/>
    </border>
    <border>
      <left style="thin">
        <color theme="1"/>
      </left>
      <right style="thin">
        <color theme="1"/>
      </right>
      <top/>
      <bottom/>
      <diagonal/>
    </border>
    <border>
      <left/>
      <right style="medium">
        <color rgb="FFDA0000"/>
      </right>
      <top style="medium">
        <color auto="1"/>
      </top>
      <bottom style="thin">
        <color theme="1"/>
      </bottom>
      <diagonal/>
    </border>
    <border>
      <left/>
      <right/>
      <top/>
      <bottom style="thick">
        <color rgb="FFDA0000"/>
      </bottom>
      <diagonal/>
    </border>
    <border>
      <left/>
      <right style="thick">
        <color rgb="FFDA0000"/>
      </right>
      <top style="thick">
        <color rgb="FFDA0000"/>
      </top>
      <bottom/>
      <diagonal/>
    </border>
    <border>
      <left/>
      <right style="thick">
        <color rgb="FFDA0000"/>
      </right>
      <top/>
      <bottom/>
      <diagonal/>
    </border>
    <border>
      <left/>
      <right style="thick">
        <color rgb="FFDA0000"/>
      </right>
      <top style="thin">
        <color indexed="64"/>
      </top>
      <bottom/>
      <diagonal/>
    </border>
    <border>
      <left/>
      <right style="thick">
        <color rgb="FFDA0000"/>
      </right>
      <top style="thin">
        <color theme="1"/>
      </top>
      <bottom style="thin">
        <color indexed="64"/>
      </bottom>
      <diagonal/>
    </border>
    <border>
      <left/>
      <right style="thick">
        <color rgb="FFDA0000"/>
      </right>
      <top style="thin">
        <color indexed="64"/>
      </top>
      <bottom style="thin">
        <color indexed="64"/>
      </bottom>
      <diagonal/>
    </border>
    <border>
      <left/>
      <right style="medium">
        <color rgb="FFDA0000"/>
      </right>
      <top/>
      <bottom/>
      <diagonal/>
    </border>
    <border>
      <left style="thin">
        <color indexed="64"/>
      </left>
      <right style="medium">
        <color rgb="FFDA0000"/>
      </right>
      <top/>
      <bottom style="thin">
        <color indexed="64"/>
      </bottom>
      <diagonal/>
    </border>
    <border>
      <left style="thin">
        <color indexed="64"/>
      </left>
      <right style="medium">
        <color rgb="FFDA0000"/>
      </right>
      <top style="thin">
        <color indexed="64"/>
      </top>
      <bottom style="thin">
        <color indexed="64"/>
      </bottom>
      <diagonal/>
    </border>
    <border>
      <left style="thin">
        <color indexed="64"/>
      </left>
      <right style="medium">
        <color rgb="FFDA0000"/>
      </right>
      <top style="thin">
        <color indexed="64"/>
      </top>
      <bottom/>
      <diagonal/>
    </border>
    <border>
      <left/>
      <right style="medium">
        <color rgb="FFDA0000"/>
      </right>
      <top style="thin">
        <color indexed="64"/>
      </top>
      <bottom style="thin">
        <color indexed="64"/>
      </bottom>
      <diagonal/>
    </border>
    <border>
      <left/>
      <right style="medium">
        <color rgb="FFDA0000"/>
      </right>
      <top style="thin">
        <color indexed="64"/>
      </top>
      <bottom/>
      <diagonal/>
    </border>
    <border>
      <left/>
      <right style="medium">
        <color rgb="FFDA0000"/>
      </right>
      <top style="thin">
        <color indexed="64"/>
      </top>
      <bottom style="medium">
        <color indexed="64"/>
      </bottom>
      <diagonal/>
    </border>
    <border>
      <left/>
      <right style="medium">
        <color rgb="FFDA0000"/>
      </right>
      <top style="thick">
        <color rgb="FFDA0000"/>
      </top>
      <bottom/>
      <diagonal/>
    </border>
    <border>
      <left/>
      <right style="medium">
        <color rgb="FFDA0000"/>
      </right>
      <top/>
      <bottom style="thin">
        <color indexed="64"/>
      </bottom>
      <diagonal/>
    </border>
    <border>
      <left style="medium">
        <color rgb="FFDA0000"/>
      </left>
      <right style="medium">
        <color rgb="FFDA0000"/>
      </right>
      <top style="thin">
        <color indexed="64"/>
      </top>
      <bottom style="medium">
        <color indexed="64"/>
      </bottom>
      <diagonal/>
    </border>
    <border>
      <left style="medium">
        <color rgb="FFDA0000"/>
      </left>
      <right style="medium">
        <color rgb="FFDA0000"/>
      </right>
      <top style="medium">
        <color indexed="64"/>
      </top>
      <bottom/>
      <diagonal/>
    </border>
    <border>
      <left style="medium">
        <color rgb="FFDA0000"/>
      </left>
      <right style="medium">
        <color rgb="FFDA0000"/>
      </right>
      <top/>
      <bottom style="medium">
        <color rgb="FFDA0000"/>
      </bottom>
      <diagonal/>
    </border>
    <border>
      <left style="thin">
        <color theme="1"/>
      </left>
      <right/>
      <top style="thin">
        <color indexed="64"/>
      </top>
      <bottom style="thin">
        <color theme="1"/>
      </bottom>
      <diagonal/>
    </border>
    <border>
      <left/>
      <right style="thick">
        <color rgb="FFDA0000"/>
      </right>
      <top style="thin">
        <color indexed="64"/>
      </top>
      <bottom style="thin">
        <color theme="1"/>
      </bottom>
      <diagonal/>
    </border>
    <border>
      <left style="medium">
        <color rgb="FFDA0000"/>
      </left>
      <right style="medium">
        <color rgb="FFDA0000"/>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theme="1"/>
      </left>
      <right style="thin">
        <color indexed="64"/>
      </right>
      <top style="thin">
        <color theme="1"/>
      </top>
      <bottom/>
      <diagonal/>
    </border>
    <border>
      <left style="thin">
        <color theme="1"/>
      </left>
      <right style="thin">
        <color indexed="64"/>
      </right>
      <top style="thin">
        <color indexed="64"/>
      </top>
      <bottom/>
      <diagonal/>
    </border>
    <border>
      <left style="thick">
        <color rgb="FFDA0000"/>
      </left>
      <right style="thick">
        <color rgb="FFDA0000"/>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indexed="64"/>
      </right>
      <top style="thin">
        <color indexed="64"/>
      </top>
      <bottom style="thin">
        <color indexed="64"/>
      </bottom>
      <diagonal/>
    </border>
    <border>
      <left style="thin">
        <color indexed="64"/>
      </left>
      <right/>
      <top style="thin">
        <color indexed="64"/>
      </top>
      <bottom style="thin">
        <color theme="1"/>
      </bottom>
      <diagonal/>
    </border>
    <border>
      <left/>
      <right style="medium">
        <color rgb="FFDA0000"/>
      </right>
      <top style="thin">
        <color indexed="64"/>
      </top>
      <bottom style="thin">
        <color theme="1"/>
      </bottom>
      <diagonal/>
    </border>
    <border>
      <left style="thin">
        <color indexed="64"/>
      </left>
      <right/>
      <top style="thin">
        <color theme="1"/>
      </top>
      <bottom style="thin">
        <color theme="1"/>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right style="medium">
        <color rgb="FFDA0000"/>
      </right>
      <top style="thin">
        <color theme="1"/>
      </top>
      <bottom style="medium">
        <color indexed="64"/>
      </bottom>
      <diagonal/>
    </border>
    <border>
      <left style="thin">
        <color theme="1"/>
      </left>
      <right style="medium">
        <color indexed="64"/>
      </right>
      <top style="thin">
        <color theme="1"/>
      </top>
      <bottom style="medium">
        <color indexed="64"/>
      </bottom>
      <diagonal/>
    </border>
    <border>
      <left/>
      <right/>
      <top style="thin">
        <color indexed="64"/>
      </top>
      <bottom style="thin">
        <color theme="1"/>
      </bottom>
      <diagonal/>
    </border>
    <border>
      <left style="thin">
        <color theme="1"/>
      </left>
      <right/>
      <top style="thin">
        <color theme="1"/>
      </top>
      <bottom style="medium">
        <color indexed="64"/>
      </bottom>
      <diagonal/>
    </border>
    <border>
      <left style="thin">
        <color indexed="64"/>
      </left>
      <right/>
      <top/>
      <bottom style="thin">
        <color theme="1"/>
      </bottom>
      <diagonal/>
    </border>
    <border>
      <left/>
      <right style="medium">
        <color rgb="FFDA0000"/>
      </right>
      <top style="thin">
        <color theme="1"/>
      </top>
      <bottom/>
      <diagonal/>
    </border>
    <border>
      <left style="thin">
        <color auto="1"/>
      </left>
      <right style="thin">
        <color theme="1"/>
      </right>
      <top style="medium">
        <color indexed="64"/>
      </top>
      <bottom/>
      <diagonal/>
    </border>
    <border>
      <left/>
      <right style="thin">
        <color indexed="64"/>
      </right>
      <top style="medium">
        <color indexed="64"/>
      </top>
      <bottom style="thin">
        <color theme="1"/>
      </bottom>
      <diagonal/>
    </border>
    <border>
      <left style="thin">
        <color auto="1"/>
      </left>
      <right style="thin">
        <color theme="1"/>
      </right>
      <top/>
      <bottom style="medium">
        <color indexed="64"/>
      </bottom>
      <diagonal/>
    </border>
    <border>
      <left/>
      <right style="medium">
        <color indexed="64"/>
      </right>
      <top style="thin">
        <color indexed="64"/>
      </top>
      <bottom/>
      <diagonal/>
    </border>
    <border>
      <left style="medium">
        <color indexed="64"/>
      </left>
      <right/>
      <top style="thin">
        <color theme="1"/>
      </top>
      <bottom style="thin">
        <color theme="1"/>
      </bottom>
      <diagonal/>
    </border>
    <border>
      <left style="medium">
        <color indexed="64"/>
      </left>
      <right/>
      <top style="medium">
        <color indexed="64"/>
      </top>
      <bottom style="thin">
        <color theme="1"/>
      </bottom>
      <diagonal/>
    </border>
    <border>
      <left style="medium">
        <color indexed="64"/>
      </left>
      <right/>
      <top style="thin">
        <color theme="1"/>
      </top>
      <bottom style="medium">
        <color indexed="64"/>
      </bottom>
      <diagonal/>
    </border>
    <border>
      <left/>
      <right style="medium">
        <color indexed="64"/>
      </right>
      <top style="thin">
        <color theme="1"/>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medium">
        <color indexed="64"/>
      </bottom>
      <diagonal/>
    </border>
    <border>
      <left style="medium">
        <color indexed="64"/>
      </left>
      <right style="medium">
        <color indexed="64"/>
      </right>
      <top/>
      <bottom style="thin">
        <color indexed="64"/>
      </bottom>
      <diagonal/>
    </border>
  </borders>
  <cellStyleXfs count="17">
    <xf numFmtId="0" fontId="0" fillId="0" borderId="0"/>
    <xf numFmtId="0" fontId="3" fillId="3" borderId="0">
      <alignment horizontal="center" vertical="center"/>
    </xf>
    <xf numFmtId="0" fontId="4" fillId="3" borderId="0">
      <alignment horizontal="center" vertical="center"/>
    </xf>
    <xf numFmtId="0" fontId="10" fillId="7" borderId="0">
      <alignment horizontal="left" vertical="center"/>
    </xf>
    <xf numFmtId="3" fontId="11" fillId="0" borderId="29">
      <alignment vertical="center"/>
      <protection locked="0"/>
    </xf>
    <xf numFmtId="166" fontId="11" fillId="3" borderId="29">
      <alignment vertical="center"/>
    </xf>
    <xf numFmtId="0" fontId="3" fillId="8" borderId="0">
      <alignment horizontal="left" vertical="center"/>
    </xf>
    <xf numFmtId="9" fontId="19" fillId="0" borderId="0" applyFont="0" applyFill="0" applyBorder="0" applyAlignment="0" applyProtection="0"/>
    <xf numFmtId="0" fontId="38" fillId="0" borderId="0" applyNumberFormat="0" applyFill="0" applyBorder="0" applyAlignment="0" applyProtection="0"/>
    <xf numFmtId="0" fontId="11" fillId="0" borderId="0"/>
    <xf numFmtId="0" fontId="5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4" fillId="33" borderId="139" applyNumberFormat="0" applyAlignment="0" applyProtection="0"/>
    <xf numFmtId="0" fontId="55" fillId="34" borderId="139" applyNumberFormat="0" applyAlignment="0" applyProtection="0"/>
    <xf numFmtId="165" fontId="19" fillId="0" borderId="0" applyFont="0" applyFill="0" applyBorder="0" applyAlignment="0" applyProtection="0"/>
    <xf numFmtId="0" fontId="68" fillId="48" borderId="0" applyNumberFormat="0" applyBorder="0" applyAlignment="0" applyProtection="0"/>
  </cellStyleXfs>
  <cellXfs count="1722">
    <xf numFmtId="0" fontId="0" fillId="0" borderId="0" xfId="0"/>
    <xf numFmtId="0" fontId="1" fillId="0" borderId="1" xfId="0" applyFont="1" applyBorder="1" applyAlignment="1">
      <alignment vertical="center"/>
    </xf>
    <xf numFmtId="0" fontId="1" fillId="0" borderId="0" xfId="0" applyFont="1" applyAlignment="1">
      <alignment horizontal="center" vertical="center"/>
    </xf>
    <xf numFmtId="0" fontId="1" fillId="10" borderId="0" xfId="0" applyFont="1" applyFill="1" applyAlignment="1">
      <alignment vertical="center"/>
    </xf>
    <xf numFmtId="9" fontId="1" fillId="0" borderId="1" xfId="7" applyFont="1" applyBorder="1" applyAlignment="1">
      <alignment horizontal="center" vertical="center"/>
    </xf>
    <xf numFmtId="2" fontId="1" fillId="10" borderId="1" xfId="0" applyNumberFormat="1" applyFont="1" applyFill="1" applyBorder="1" applyAlignment="1">
      <alignment horizontal="center" vertical="center"/>
    </xf>
    <xf numFmtId="9" fontId="1" fillId="4" borderId="1" xfId="7" applyFont="1" applyFill="1" applyBorder="1" applyAlignment="1">
      <alignment horizontal="center" vertical="center"/>
    </xf>
    <xf numFmtId="0" fontId="1" fillId="10" borderId="12" xfId="0" applyFont="1" applyFill="1" applyBorder="1" applyAlignment="1">
      <alignment horizontal="center" vertical="center"/>
    </xf>
    <xf numFmtId="0" fontId="1" fillId="10" borderId="2" xfId="0" applyFont="1" applyFill="1" applyBorder="1" applyAlignment="1">
      <alignment horizontal="center" vertical="center"/>
    </xf>
    <xf numFmtId="0" fontId="1" fillId="10" borderId="1" xfId="0" applyFont="1" applyFill="1" applyBorder="1" applyAlignment="1">
      <alignment vertical="center"/>
    </xf>
    <xf numFmtId="0" fontId="1" fillId="10" borderId="6" xfId="0" applyFont="1" applyFill="1" applyBorder="1" applyAlignment="1">
      <alignment vertical="center"/>
    </xf>
    <xf numFmtId="0" fontId="1" fillId="10" borderId="6" xfId="0" applyFont="1" applyFill="1" applyBorder="1" applyAlignment="1">
      <alignment horizontal="center" vertical="center"/>
    </xf>
    <xf numFmtId="0" fontId="1" fillId="10" borderId="39" xfId="0" applyFont="1" applyFill="1" applyBorder="1" applyAlignment="1">
      <alignment horizontal="center" vertical="center"/>
    </xf>
    <xf numFmtId="0" fontId="1" fillId="10" borderId="39" xfId="0" applyFont="1" applyFill="1" applyBorder="1" applyAlignment="1">
      <alignment vertical="center"/>
    </xf>
    <xf numFmtId="49" fontId="1" fillId="10" borderId="38" xfId="0" applyNumberFormat="1" applyFont="1" applyFill="1" applyBorder="1" applyAlignment="1">
      <alignment horizontal="right" vertical="center"/>
    </xf>
    <xf numFmtId="49" fontId="1" fillId="10" borderId="4" xfId="0" applyNumberFormat="1" applyFont="1" applyFill="1" applyBorder="1" applyAlignment="1">
      <alignment horizontal="right" vertical="center"/>
    </xf>
    <xf numFmtId="49" fontId="1" fillId="10" borderId="1" xfId="0" applyNumberFormat="1" applyFont="1" applyFill="1" applyBorder="1" applyAlignment="1">
      <alignment horizontal="right" vertical="center"/>
    </xf>
    <xf numFmtId="0" fontId="1" fillId="10" borderId="44" xfId="0" applyFont="1" applyFill="1" applyBorder="1" applyAlignment="1">
      <alignment horizontal="center" vertical="center"/>
    </xf>
    <xf numFmtId="49" fontId="1" fillId="10" borderId="39" xfId="0" applyNumberFormat="1" applyFont="1" applyFill="1" applyBorder="1" applyAlignment="1">
      <alignment horizontal="right" vertical="center"/>
    </xf>
    <xf numFmtId="0" fontId="1" fillId="10" borderId="44" xfId="0" applyFont="1" applyFill="1" applyBorder="1" applyAlignment="1">
      <alignment vertical="center"/>
    </xf>
    <xf numFmtId="0" fontId="1" fillId="10" borderId="26" xfId="0" applyFont="1" applyFill="1" applyBorder="1" applyAlignment="1">
      <alignment horizontal="center" vertical="center"/>
    </xf>
    <xf numFmtId="0" fontId="1" fillId="10" borderId="28" xfId="0" applyFont="1" applyFill="1" applyBorder="1" applyAlignment="1">
      <alignment vertical="center"/>
    </xf>
    <xf numFmtId="0" fontId="1" fillId="10" borderId="25" xfId="0" applyFont="1" applyFill="1" applyBorder="1" applyAlignment="1">
      <alignment vertical="center"/>
    </xf>
    <xf numFmtId="0" fontId="1" fillId="10" borderId="43" xfId="0" applyFont="1" applyFill="1" applyBorder="1" applyAlignment="1">
      <alignment vertical="center"/>
    </xf>
    <xf numFmtId="0" fontId="1" fillId="9" borderId="56" xfId="0" applyFont="1" applyFill="1" applyBorder="1" applyAlignment="1">
      <alignment horizontal="center" vertical="center"/>
    </xf>
    <xf numFmtId="0" fontId="1" fillId="9" borderId="8" xfId="0" applyFont="1" applyFill="1" applyBorder="1" applyAlignment="1">
      <alignment horizontal="center" vertical="center"/>
    </xf>
    <xf numFmtId="0" fontId="1" fillId="9" borderId="57" xfId="0" applyFont="1" applyFill="1" applyBorder="1" applyAlignment="1">
      <alignment horizontal="center" vertical="center"/>
    </xf>
    <xf numFmtId="2" fontId="1" fillId="9" borderId="40" xfId="0" applyNumberFormat="1" applyFont="1" applyFill="1" applyBorder="1" applyAlignment="1">
      <alignment horizontal="center" vertical="center"/>
    </xf>
    <xf numFmtId="2" fontId="1" fillId="9" borderId="39" xfId="0" applyNumberFormat="1" applyFont="1" applyFill="1" applyBorder="1" applyAlignment="1">
      <alignment horizontal="center" vertical="center"/>
    </xf>
    <xf numFmtId="2" fontId="1" fillId="9" borderId="51" xfId="0" applyNumberFormat="1" applyFont="1" applyFill="1" applyBorder="1" applyAlignment="1">
      <alignment horizontal="center" vertical="center"/>
    </xf>
    <xf numFmtId="2" fontId="1" fillId="9" borderId="35" xfId="0" applyNumberFormat="1" applyFont="1" applyFill="1" applyBorder="1" applyAlignment="1">
      <alignment horizontal="center" vertical="center"/>
    </xf>
    <xf numFmtId="2" fontId="1" fillId="9" borderId="1" xfId="0" applyNumberFormat="1" applyFont="1" applyFill="1" applyBorder="1" applyAlignment="1">
      <alignment horizontal="center" vertical="center"/>
    </xf>
    <xf numFmtId="2" fontId="1" fillId="9" borderId="31" xfId="0" applyNumberFormat="1" applyFont="1" applyFill="1" applyBorder="1" applyAlignment="1">
      <alignment horizontal="center" vertical="center"/>
    </xf>
    <xf numFmtId="2" fontId="1" fillId="9" borderId="42" xfId="0" applyNumberFormat="1" applyFont="1" applyFill="1" applyBorder="1" applyAlignment="1">
      <alignment horizontal="center" vertical="center"/>
    </xf>
    <xf numFmtId="2" fontId="1" fillId="9" borderId="44" xfId="0" applyNumberFormat="1" applyFont="1" applyFill="1" applyBorder="1" applyAlignment="1">
      <alignment horizontal="center" vertical="center"/>
    </xf>
    <xf numFmtId="0" fontId="1" fillId="2" borderId="13" xfId="0" applyFont="1" applyFill="1" applyBorder="1" applyAlignment="1">
      <alignment horizontal="center" vertical="center"/>
    </xf>
    <xf numFmtId="0" fontId="1" fillId="2" borderId="49" xfId="0" applyFont="1" applyFill="1" applyBorder="1" applyAlignment="1">
      <alignment horizontal="center" vertical="center"/>
    </xf>
    <xf numFmtId="2" fontId="1" fillId="2" borderId="48" xfId="0" applyNumberFormat="1" applyFont="1" applyFill="1" applyBorder="1" applyAlignment="1">
      <alignment horizontal="center" vertical="center"/>
    </xf>
    <xf numFmtId="0" fontId="1" fillId="12" borderId="13" xfId="0" applyFont="1" applyFill="1" applyBorder="1" applyAlignment="1">
      <alignment horizontal="center" vertical="center"/>
    </xf>
    <xf numFmtId="0" fontId="1" fillId="12" borderId="49" xfId="0" applyFont="1" applyFill="1" applyBorder="1" applyAlignment="1">
      <alignment horizontal="center" vertical="center"/>
    </xf>
    <xf numFmtId="2" fontId="1" fillId="12" borderId="53" xfId="0" applyNumberFormat="1" applyFont="1" applyFill="1" applyBorder="1" applyAlignment="1">
      <alignment horizontal="center" vertical="center"/>
    </xf>
    <xf numFmtId="0" fontId="1" fillId="13" borderId="39" xfId="0" applyFont="1" applyFill="1" applyBorder="1" applyAlignment="1">
      <alignment horizontal="center" vertical="center"/>
    </xf>
    <xf numFmtId="0" fontId="1" fillId="6" borderId="51" xfId="0" applyFont="1" applyFill="1" applyBorder="1" applyAlignment="1">
      <alignment horizontal="center" vertical="center"/>
    </xf>
    <xf numFmtId="0" fontId="1" fillId="6" borderId="31" xfId="0" applyFont="1" applyFill="1" applyBorder="1" applyAlignment="1">
      <alignment horizontal="center" vertical="center"/>
    </xf>
    <xf numFmtId="0" fontId="1" fillId="6" borderId="45" xfId="0" applyFont="1" applyFill="1" applyBorder="1" applyAlignment="1">
      <alignment horizontal="center" vertical="center"/>
    </xf>
    <xf numFmtId="0" fontId="1" fillId="14" borderId="51" xfId="0" applyFont="1" applyFill="1" applyBorder="1" applyAlignment="1">
      <alignment horizontal="center" vertical="center"/>
    </xf>
    <xf numFmtId="0" fontId="1" fillId="14" borderId="31" xfId="0" applyFont="1" applyFill="1" applyBorder="1" applyAlignment="1">
      <alignment horizontal="center" vertical="center"/>
    </xf>
    <xf numFmtId="0" fontId="1" fillId="14" borderId="45" xfId="0" applyFont="1" applyFill="1" applyBorder="1" applyAlignment="1">
      <alignment horizontal="center" vertical="center"/>
    </xf>
    <xf numFmtId="0" fontId="1" fillId="11" borderId="54" xfId="0" applyFont="1" applyFill="1" applyBorder="1" applyAlignment="1">
      <alignment horizontal="center" vertical="center"/>
    </xf>
    <xf numFmtId="0" fontId="1" fillId="11" borderId="55" xfId="0" applyFont="1" applyFill="1" applyBorder="1" applyAlignment="1">
      <alignment horizontal="center" vertical="center"/>
    </xf>
    <xf numFmtId="0" fontId="1" fillId="11" borderId="51" xfId="0" applyFont="1" applyFill="1" applyBorder="1" applyAlignment="1">
      <alignment horizontal="center" vertical="center"/>
    </xf>
    <xf numFmtId="0" fontId="1" fillId="10" borderId="1" xfId="0" applyFont="1" applyFill="1" applyBorder="1" applyAlignment="1">
      <alignment horizontal="right" vertical="center"/>
    </xf>
    <xf numFmtId="0" fontId="1" fillId="13" borderId="40" xfId="0" applyFont="1" applyFill="1" applyBorder="1" applyAlignment="1">
      <alignment horizontal="center" vertical="center"/>
    </xf>
    <xf numFmtId="0" fontId="1" fillId="6" borderId="39" xfId="0" applyFont="1" applyFill="1" applyBorder="1" applyAlignment="1">
      <alignment horizontal="center" vertical="center"/>
    </xf>
    <xf numFmtId="0" fontId="1" fillId="14" borderId="39" xfId="0" applyFont="1" applyFill="1" applyBorder="1" applyAlignment="1">
      <alignment horizontal="center" vertical="center"/>
    </xf>
    <xf numFmtId="0" fontId="1" fillId="13" borderId="19" xfId="0" applyFont="1" applyFill="1" applyBorder="1" applyAlignment="1">
      <alignment horizontal="center" vertical="center"/>
    </xf>
    <xf numFmtId="0" fontId="1" fillId="6" borderId="44" xfId="0" applyFont="1" applyFill="1" applyBorder="1" applyAlignment="1">
      <alignment horizontal="center" vertical="center"/>
    </xf>
    <xf numFmtId="0" fontId="1" fillId="14" borderId="44" xfId="0" applyFont="1" applyFill="1" applyBorder="1" applyAlignment="1">
      <alignment horizontal="center" vertical="center"/>
    </xf>
    <xf numFmtId="0" fontId="1" fillId="11" borderId="45" xfId="0" applyFont="1" applyFill="1" applyBorder="1" applyAlignment="1">
      <alignment horizontal="center" vertical="center"/>
    </xf>
    <xf numFmtId="2" fontId="1" fillId="10" borderId="0" xfId="0" applyNumberFormat="1" applyFont="1" applyFill="1" applyAlignment="1">
      <alignment vertical="center"/>
    </xf>
    <xf numFmtId="0" fontId="1" fillId="10" borderId="0" xfId="0" applyFont="1" applyFill="1" applyAlignment="1">
      <alignment horizontal="right" vertical="center"/>
    </xf>
    <xf numFmtId="164" fontId="1" fillId="10" borderId="0" xfId="0" applyNumberFormat="1" applyFont="1" applyFill="1" applyAlignment="1">
      <alignment vertical="center"/>
    </xf>
    <xf numFmtId="173" fontId="1" fillId="10" borderId="1" xfId="0" applyNumberFormat="1" applyFont="1" applyFill="1" applyBorder="1" applyAlignment="1">
      <alignment horizontal="center" vertical="center"/>
    </xf>
    <xf numFmtId="0" fontId="1" fillId="10" borderId="30" xfId="0" applyFont="1" applyFill="1" applyBorder="1" applyAlignment="1">
      <alignment horizontal="center" vertical="center"/>
    </xf>
    <xf numFmtId="2" fontId="1" fillId="10" borderId="47" xfId="0" applyNumberFormat="1" applyFont="1" applyFill="1" applyBorder="1" applyAlignment="1">
      <alignment horizontal="center" vertical="center"/>
    </xf>
    <xf numFmtId="2" fontId="1" fillId="9" borderId="58" xfId="0" applyNumberFormat="1" applyFont="1" applyFill="1" applyBorder="1" applyAlignment="1">
      <alignment horizontal="center" vertical="center"/>
    </xf>
    <xf numFmtId="2" fontId="1" fillId="9" borderId="6" xfId="0" applyNumberFormat="1" applyFont="1" applyFill="1" applyBorder="1" applyAlignment="1">
      <alignment horizontal="center" vertical="center"/>
    </xf>
    <xf numFmtId="2" fontId="1" fillId="9" borderId="59" xfId="0" applyNumberFormat="1" applyFont="1" applyFill="1" applyBorder="1" applyAlignment="1">
      <alignment horizontal="center" vertical="center"/>
    </xf>
    <xf numFmtId="0" fontId="1" fillId="16" borderId="15" xfId="0" applyFont="1" applyFill="1" applyBorder="1" applyAlignment="1">
      <alignment vertical="center"/>
    </xf>
    <xf numFmtId="164" fontId="1" fillId="16" borderId="15" xfId="0" applyNumberFormat="1" applyFont="1" applyFill="1" applyBorder="1" applyAlignment="1">
      <alignment vertical="center"/>
    </xf>
    <xf numFmtId="0" fontId="1" fillId="16" borderId="16" xfId="0" applyFont="1" applyFill="1" applyBorder="1" applyAlignment="1">
      <alignment vertical="center"/>
    </xf>
    <xf numFmtId="0" fontId="1" fillId="16" borderId="17" xfId="0" applyFont="1" applyFill="1" applyBorder="1" applyAlignment="1">
      <alignment vertical="center"/>
    </xf>
    <xf numFmtId="0" fontId="1" fillId="16" borderId="0" xfId="0" applyFont="1" applyFill="1" applyBorder="1" applyAlignment="1">
      <alignment vertical="center"/>
    </xf>
    <xf numFmtId="164" fontId="1" fillId="16" borderId="0" xfId="0" applyNumberFormat="1" applyFont="1" applyFill="1" applyBorder="1" applyAlignment="1">
      <alignment vertical="center"/>
    </xf>
    <xf numFmtId="168" fontId="1" fillId="16" borderId="18" xfId="0" applyNumberFormat="1" applyFont="1" applyFill="1" applyBorder="1" applyAlignment="1">
      <alignment vertical="center"/>
    </xf>
    <xf numFmtId="0" fontId="1" fillId="16" borderId="24" xfId="0" applyFont="1" applyFill="1" applyBorder="1" applyAlignment="1">
      <alignment vertical="center"/>
    </xf>
    <xf numFmtId="171" fontId="1" fillId="16" borderId="23" xfId="0" applyNumberFormat="1" applyFont="1" applyFill="1" applyBorder="1" applyAlignment="1">
      <alignment vertical="center"/>
    </xf>
    <xf numFmtId="10" fontId="1" fillId="16" borderId="18" xfId="0" applyNumberFormat="1" applyFont="1" applyFill="1" applyBorder="1" applyAlignment="1">
      <alignment vertical="center"/>
    </xf>
    <xf numFmtId="168" fontId="1" fillId="16" borderId="0" xfId="0" applyNumberFormat="1" applyFont="1" applyFill="1" applyBorder="1" applyAlignment="1">
      <alignment vertical="center"/>
    </xf>
    <xf numFmtId="0" fontId="1" fillId="16" borderId="18" xfId="0" applyFont="1" applyFill="1" applyBorder="1" applyAlignment="1">
      <alignment vertical="center"/>
    </xf>
    <xf numFmtId="2" fontId="1" fillId="16" borderId="0" xfId="0" applyNumberFormat="1" applyFont="1" applyFill="1" applyBorder="1" applyAlignment="1">
      <alignment vertical="center"/>
    </xf>
    <xf numFmtId="164" fontId="1" fillId="16" borderId="18" xfId="0" applyNumberFormat="1" applyFont="1" applyFill="1" applyBorder="1" applyAlignment="1">
      <alignment vertical="center"/>
    </xf>
    <xf numFmtId="172" fontId="1" fillId="16" borderId="18" xfId="0" applyNumberFormat="1" applyFont="1" applyFill="1" applyBorder="1" applyAlignment="1">
      <alignment vertical="center"/>
    </xf>
    <xf numFmtId="0" fontId="1" fillId="16" borderId="17" xfId="0" applyFont="1" applyFill="1" applyBorder="1" applyAlignment="1">
      <alignment horizontal="center" vertical="center"/>
    </xf>
    <xf numFmtId="168" fontId="1" fillId="16" borderId="17" xfId="0" applyNumberFormat="1" applyFont="1" applyFill="1" applyBorder="1" applyAlignment="1">
      <alignment vertical="center"/>
    </xf>
    <xf numFmtId="2" fontId="1" fillId="16" borderId="18" xfId="0" applyNumberFormat="1" applyFont="1" applyFill="1" applyBorder="1" applyAlignment="1">
      <alignment vertical="center"/>
    </xf>
    <xf numFmtId="173" fontId="1" fillId="16" borderId="0" xfId="0" applyNumberFormat="1" applyFont="1" applyFill="1" applyBorder="1" applyAlignment="1">
      <alignment vertical="center"/>
    </xf>
    <xf numFmtId="0" fontId="1" fillId="16" borderId="20" xfId="0" applyFont="1" applyFill="1" applyBorder="1" applyAlignment="1">
      <alignment vertical="center"/>
    </xf>
    <xf numFmtId="168" fontId="1" fillId="16" borderId="20" xfId="0" applyNumberFormat="1" applyFont="1" applyFill="1" applyBorder="1" applyAlignment="1">
      <alignment vertical="center"/>
    </xf>
    <xf numFmtId="2" fontId="1" fillId="16" borderId="21" xfId="0" applyNumberFormat="1" applyFont="1" applyFill="1" applyBorder="1" applyAlignment="1">
      <alignment vertical="center"/>
    </xf>
    <xf numFmtId="2" fontId="1" fillId="16" borderId="20" xfId="0" applyNumberFormat="1" applyFont="1" applyFill="1" applyBorder="1" applyAlignment="1">
      <alignment vertical="center"/>
    </xf>
    <xf numFmtId="0" fontId="1" fillId="16" borderId="21" xfId="0" applyFont="1" applyFill="1" applyBorder="1" applyAlignment="1">
      <alignment vertical="center"/>
    </xf>
    <xf numFmtId="0" fontId="21" fillId="16" borderId="17" xfId="0" applyFont="1" applyFill="1" applyBorder="1" applyAlignment="1">
      <alignment vertical="center"/>
    </xf>
    <xf numFmtId="10" fontId="1" fillId="10" borderId="0" xfId="0" applyNumberFormat="1" applyFont="1" applyFill="1" applyAlignment="1">
      <alignment vertical="center"/>
    </xf>
    <xf numFmtId="168" fontId="1" fillId="10" borderId="0" xfId="0" applyNumberFormat="1" applyFont="1" applyFill="1" applyAlignment="1">
      <alignment vertical="center"/>
    </xf>
    <xf numFmtId="0" fontId="1" fillId="10" borderId="27" xfId="0" applyFont="1" applyFill="1" applyBorder="1" applyAlignment="1">
      <alignment vertical="center"/>
    </xf>
    <xf numFmtId="0" fontId="1" fillId="10" borderId="0" xfId="0" applyFont="1" applyFill="1" applyAlignment="1">
      <alignment horizontal="center" vertical="center"/>
    </xf>
    <xf numFmtId="0" fontId="1" fillId="10" borderId="1" xfId="0" applyNumberFormat="1" applyFont="1" applyFill="1" applyBorder="1" applyAlignment="1">
      <alignment horizontal="right" vertical="center"/>
    </xf>
    <xf numFmtId="0" fontId="1" fillId="10" borderId="44" xfId="0" applyNumberFormat="1" applyFont="1" applyFill="1" applyBorder="1" applyAlignment="1">
      <alignment horizontal="right" vertical="center"/>
    </xf>
    <xf numFmtId="2" fontId="1" fillId="10" borderId="0" xfId="0" applyNumberFormat="1" applyFont="1" applyFill="1" applyBorder="1" applyAlignment="1">
      <alignment horizontal="center" vertical="center"/>
    </xf>
    <xf numFmtId="0" fontId="1" fillId="17" borderId="25" xfId="0" applyFont="1" applyFill="1" applyBorder="1" applyAlignment="1">
      <alignment horizontal="right" vertical="center"/>
    </xf>
    <xf numFmtId="0" fontId="1" fillId="17" borderId="1" xfId="0" applyFont="1" applyFill="1" applyBorder="1" applyAlignment="1">
      <alignment horizontal="right" vertical="center"/>
    </xf>
    <xf numFmtId="0" fontId="1" fillId="17" borderId="1" xfId="0" applyFont="1" applyFill="1" applyBorder="1" applyAlignment="1">
      <alignment vertical="center"/>
    </xf>
    <xf numFmtId="173" fontId="1" fillId="17" borderId="1" xfId="0" applyNumberFormat="1" applyFont="1" applyFill="1" applyBorder="1" applyAlignment="1">
      <alignment horizontal="center" vertical="center"/>
    </xf>
    <xf numFmtId="0" fontId="24" fillId="17" borderId="1" xfId="0" applyFont="1" applyFill="1" applyBorder="1" applyAlignment="1">
      <alignment horizontal="center"/>
    </xf>
    <xf numFmtId="0" fontId="24" fillId="17" borderId="1" xfId="0" applyFont="1" applyFill="1" applyBorder="1"/>
    <xf numFmtId="0" fontId="1" fillId="2" borderId="0" xfId="0" applyFont="1" applyFill="1" applyAlignment="1">
      <alignment vertical="center"/>
    </xf>
    <xf numFmtId="0" fontId="1" fillId="17" borderId="5" xfId="0" applyFont="1" applyFill="1" applyBorder="1" applyAlignment="1">
      <alignment horizontal="right" vertical="center"/>
    </xf>
    <xf numFmtId="0" fontId="1" fillId="12" borderId="7" xfId="0" applyFont="1" applyFill="1" applyBorder="1" applyAlignment="1">
      <alignment vertical="center"/>
    </xf>
    <xf numFmtId="173" fontId="1" fillId="0" borderId="0" xfId="0" applyNumberFormat="1" applyFont="1" applyAlignment="1">
      <alignment vertical="center"/>
    </xf>
    <xf numFmtId="0" fontId="1" fillId="10" borderId="4" xfId="0" applyFont="1" applyFill="1" applyBorder="1" applyAlignment="1">
      <alignment horizontal="right" vertical="center"/>
    </xf>
    <xf numFmtId="0" fontId="1" fillId="0" borderId="0" xfId="0" applyFont="1" applyFill="1" applyBorder="1" applyAlignment="1">
      <alignment vertical="center"/>
    </xf>
    <xf numFmtId="0" fontId="1" fillId="0" borderId="0" xfId="0" applyFont="1" applyFill="1" applyAlignment="1">
      <alignment vertical="center"/>
    </xf>
    <xf numFmtId="0" fontId="1" fillId="0" borderId="0" xfId="0" applyFont="1" applyBorder="1" applyAlignment="1">
      <alignment vertical="center"/>
    </xf>
    <xf numFmtId="0" fontId="1" fillId="18" borderId="0" xfId="0" applyFont="1" applyFill="1" applyAlignment="1">
      <alignment horizontal="right" vertical="center"/>
    </xf>
    <xf numFmtId="0" fontId="1" fillId="0" borderId="0" xfId="0" applyFont="1" applyAlignment="1">
      <alignment horizontal="right" vertical="center"/>
    </xf>
    <xf numFmtId="0" fontId="1" fillId="10" borderId="1" xfId="0" applyFont="1" applyFill="1" applyBorder="1" applyAlignment="1">
      <alignment horizontal="center" vertical="center"/>
    </xf>
    <xf numFmtId="0" fontId="1" fillId="0" borderId="35" xfId="0" applyFont="1" applyBorder="1" applyAlignment="1">
      <alignment vertical="center"/>
    </xf>
    <xf numFmtId="0" fontId="1" fillId="0" borderId="58" xfId="0" applyFont="1" applyBorder="1" applyAlignment="1">
      <alignment vertical="center"/>
    </xf>
    <xf numFmtId="0" fontId="1" fillId="0" borderId="6" xfId="0" applyFont="1" applyBorder="1" applyAlignment="1">
      <alignment vertical="center"/>
    </xf>
    <xf numFmtId="0" fontId="1" fillId="0" borderId="32" xfId="0" applyFont="1" applyBorder="1" applyAlignment="1">
      <alignment vertical="center"/>
    </xf>
    <xf numFmtId="0" fontId="1" fillId="0" borderId="33" xfId="0" applyFont="1" applyBorder="1" applyAlignment="1">
      <alignment vertical="center"/>
    </xf>
    <xf numFmtId="0" fontId="1" fillId="10" borderId="5" xfId="0" applyFont="1" applyFill="1" applyBorder="1" applyAlignment="1">
      <alignment horizontal="right" vertical="center"/>
    </xf>
    <xf numFmtId="0" fontId="1" fillId="12" borderId="1" xfId="0" applyFont="1" applyFill="1" applyBorder="1" applyAlignment="1">
      <alignment vertical="center"/>
    </xf>
    <xf numFmtId="0" fontId="1" fillId="11" borderId="28" xfId="0" applyFont="1" applyFill="1" applyBorder="1" applyAlignment="1">
      <alignment horizontal="center" vertical="center"/>
    </xf>
    <xf numFmtId="0" fontId="1" fillId="11" borderId="43" xfId="0" applyFont="1" applyFill="1" applyBorder="1" applyAlignment="1">
      <alignment horizontal="center" vertical="center"/>
    </xf>
    <xf numFmtId="0" fontId="1" fillId="11" borderId="25" xfId="0" applyFont="1" applyFill="1" applyBorder="1" applyAlignment="1">
      <alignment horizontal="center" vertical="center"/>
    </xf>
    <xf numFmtId="0" fontId="1" fillId="11" borderId="12" xfId="0" applyFont="1" applyFill="1" applyBorder="1" applyAlignment="1">
      <alignment horizontal="center" vertical="center"/>
    </xf>
    <xf numFmtId="0" fontId="1" fillId="11" borderId="62" xfId="0" applyFont="1" applyFill="1" applyBorder="1" applyAlignment="1">
      <alignment horizontal="center" vertical="center"/>
    </xf>
    <xf numFmtId="0" fontId="1" fillId="11" borderId="62" xfId="0" applyFont="1" applyFill="1" applyBorder="1" applyAlignment="1">
      <alignment vertical="center"/>
    </xf>
    <xf numFmtId="0" fontId="1" fillId="11" borderId="61" xfId="0" applyFont="1" applyFill="1" applyBorder="1" applyAlignment="1">
      <alignment vertical="center"/>
    </xf>
    <xf numFmtId="0" fontId="1" fillId="16" borderId="0" xfId="0" applyFont="1" applyFill="1" applyBorder="1" applyAlignment="1">
      <alignment horizontal="center" vertical="center"/>
    </xf>
    <xf numFmtId="0" fontId="1" fillId="6" borderId="1" xfId="0" applyFont="1" applyFill="1" applyBorder="1" applyAlignment="1">
      <alignment vertical="center"/>
    </xf>
    <xf numFmtId="0" fontId="1" fillId="20" borderId="51" xfId="0" applyFont="1" applyFill="1" applyBorder="1" applyAlignment="1">
      <alignment vertical="center"/>
    </xf>
    <xf numFmtId="0" fontId="1" fillId="20" borderId="45" xfId="0" applyFont="1" applyFill="1" applyBorder="1" applyAlignment="1">
      <alignment vertical="center"/>
    </xf>
    <xf numFmtId="0" fontId="1" fillId="20" borderId="46" xfId="0" applyFont="1" applyFill="1" applyBorder="1" applyAlignment="1">
      <alignment vertical="center"/>
    </xf>
    <xf numFmtId="0" fontId="1" fillId="20" borderId="31" xfId="0" applyFont="1" applyFill="1" applyBorder="1" applyAlignment="1">
      <alignment vertical="center"/>
    </xf>
    <xf numFmtId="2" fontId="1" fillId="19" borderId="22" xfId="0" applyNumberFormat="1" applyFont="1" applyFill="1" applyBorder="1" applyAlignment="1">
      <alignment vertical="center"/>
    </xf>
    <xf numFmtId="2" fontId="1" fillId="19" borderId="23" xfId="0" applyNumberFormat="1" applyFont="1" applyFill="1" applyBorder="1" applyAlignment="1">
      <alignment vertical="center"/>
    </xf>
    <xf numFmtId="2" fontId="1" fillId="19" borderId="24" xfId="0" applyNumberFormat="1" applyFont="1" applyFill="1" applyBorder="1" applyAlignment="1">
      <alignment vertical="center"/>
    </xf>
    <xf numFmtId="173" fontId="1" fillId="10" borderId="7" xfId="0" applyNumberFormat="1" applyFont="1" applyFill="1" applyBorder="1" applyAlignment="1">
      <alignment horizontal="center" vertical="center"/>
    </xf>
    <xf numFmtId="173" fontId="1" fillId="19" borderId="32" xfId="0" applyNumberFormat="1" applyFont="1" applyFill="1" applyBorder="1" applyAlignment="1">
      <alignment horizontal="center" vertical="center"/>
    </xf>
    <xf numFmtId="173" fontId="1" fillId="19" borderId="33" xfId="0" applyNumberFormat="1" applyFont="1" applyFill="1" applyBorder="1" applyAlignment="1">
      <alignment horizontal="center" vertical="center"/>
    </xf>
    <xf numFmtId="173" fontId="1" fillId="19" borderId="34" xfId="0" applyNumberFormat="1" applyFont="1" applyFill="1" applyBorder="1" applyAlignment="1">
      <alignment horizontal="center" vertical="center"/>
    </xf>
    <xf numFmtId="0" fontId="1" fillId="6" borderId="35" xfId="0" applyFont="1" applyFill="1" applyBorder="1" applyAlignment="1">
      <alignment vertical="center"/>
    </xf>
    <xf numFmtId="0" fontId="1" fillId="6" borderId="41" xfId="0" applyFont="1" applyFill="1" applyBorder="1" applyAlignment="1">
      <alignment vertical="center"/>
    </xf>
    <xf numFmtId="0" fontId="1" fillId="6" borderId="7" xfId="0" applyFont="1" applyFill="1" applyBorder="1" applyAlignment="1">
      <alignment vertical="center"/>
    </xf>
    <xf numFmtId="0" fontId="1" fillId="0" borderId="41" xfId="0" applyFont="1" applyBorder="1" applyAlignment="1">
      <alignment vertical="center"/>
    </xf>
    <xf numFmtId="0" fontId="1" fillId="0" borderId="7" xfId="0" applyFont="1" applyBorder="1" applyAlignment="1">
      <alignment vertical="center"/>
    </xf>
    <xf numFmtId="0" fontId="1" fillId="18" borderId="32" xfId="0" applyFont="1" applyFill="1" applyBorder="1" applyAlignment="1">
      <alignment vertical="center"/>
    </xf>
    <xf numFmtId="173" fontId="1" fillId="18" borderId="33" xfId="0" applyNumberFormat="1" applyFont="1" applyFill="1" applyBorder="1" applyAlignment="1">
      <alignment vertical="center"/>
    </xf>
    <xf numFmtId="0" fontId="1" fillId="18" borderId="33" xfId="0" applyFont="1" applyFill="1" applyBorder="1" applyAlignment="1">
      <alignment vertical="center"/>
    </xf>
    <xf numFmtId="173" fontId="1" fillId="18" borderId="34" xfId="0" applyNumberFormat="1" applyFont="1" applyFill="1" applyBorder="1" applyAlignment="1">
      <alignment vertical="center"/>
    </xf>
    <xf numFmtId="0" fontId="1" fillId="0" borderId="24" xfId="0" applyFont="1" applyBorder="1" applyAlignment="1">
      <alignment vertical="center"/>
    </xf>
    <xf numFmtId="0" fontId="30" fillId="0" borderId="0" xfId="0" applyFont="1" applyFill="1" applyAlignment="1">
      <alignment vertical="center"/>
    </xf>
    <xf numFmtId="0" fontId="1" fillId="20" borderId="25" xfId="0" applyFont="1" applyFill="1" applyBorder="1" applyAlignment="1">
      <alignment vertical="center"/>
    </xf>
    <xf numFmtId="0" fontId="1" fillId="15" borderId="1" xfId="0" applyFont="1" applyFill="1" applyBorder="1" applyAlignment="1">
      <alignment horizontal="center" vertical="center"/>
    </xf>
    <xf numFmtId="0" fontId="1" fillId="15" borderId="6" xfId="0" applyFont="1" applyFill="1" applyBorder="1" applyAlignment="1">
      <alignment horizontal="center" vertical="center"/>
    </xf>
    <xf numFmtId="0" fontId="1" fillId="15" borderId="32" xfId="0" applyFont="1" applyFill="1" applyBorder="1" applyAlignment="1">
      <alignment horizontal="center" vertical="center"/>
    </xf>
    <xf numFmtId="0" fontId="1" fillId="15" borderId="33" xfId="0" applyFont="1" applyFill="1" applyBorder="1" applyAlignment="1">
      <alignment horizontal="center" vertical="center"/>
    </xf>
    <xf numFmtId="0" fontId="1" fillId="15" borderId="34" xfId="0" applyFont="1" applyFill="1" applyBorder="1" applyAlignment="1">
      <alignment horizontal="center" vertical="center"/>
    </xf>
    <xf numFmtId="0" fontId="1" fillId="15" borderId="25" xfId="0" applyFont="1" applyFill="1" applyBorder="1" applyAlignment="1">
      <alignment horizontal="right" vertical="center"/>
    </xf>
    <xf numFmtId="0" fontId="1" fillId="19" borderId="22" xfId="0" applyFont="1" applyFill="1" applyBorder="1" applyAlignment="1">
      <alignment horizontal="right" vertical="center"/>
    </xf>
    <xf numFmtId="173" fontId="1" fillId="10" borderId="1" xfId="0" applyNumberFormat="1" applyFont="1" applyFill="1" applyBorder="1" applyAlignment="1">
      <alignment vertical="center"/>
    </xf>
    <xf numFmtId="0" fontId="1" fillId="6" borderId="1" xfId="0" applyNumberFormat="1" applyFont="1" applyFill="1" applyBorder="1" applyAlignment="1">
      <alignment vertical="center"/>
    </xf>
    <xf numFmtId="0" fontId="1" fillId="10" borderId="7" xfId="0" applyFont="1" applyFill="1" applyBorder="1" applyAlignment="1">
      <alignment horizontal="center" vertical="center"/>
    </xf>
    <xf numFmtId="0" fontId="1" fillId="10" borderId="47" xfId="0" applyNumberFormat="1" applyFont="1" applyFill="1" applyBorder="1" applyAlignment="1">
      <alignment horizontal="right" vertical="center"/>
    </xf>
    <xf numFmtId="0" fontId="1" fillId="20" borderId="51" xfId="0" applyFont="1" applyFill="1" applyBorder="1" applyAlignment="1">
      <alignment horizontal="right" vertical="center"/>
    </xf>
    <xf numFmtId="2" fontId="1" fillId="16" borderId="17" xfId="0" applyNumberFormat="1" applyFont="1" applyFill="1" applyBorder="1" applyAlignment="1">
      <alignment horizontal="center" vertical="center"/>
    </xf>
    <xf numFmtId="2" fontId="1" fillId="16" borderId="0" xfId="0" applyNumberFormat="1" applyFont="1" applyFill="1" applyBorder="1" applyAlignment="1">
      <alignment horizontal="center" vertical="center"/>
    </xf>
    <xf numFmtId="2" fontId="1" fillId="16" borderId="18" xfId="0" applyNumberFormat="1" applyFont="1" applyFill="1" applyBorder="1" applyAlignment="1">
      <alignment horizontal="center" vertical="center"/>
    </xf>
    <xf numFmtId="2" fontId="1" fillId="16" borderId="20" xfId="0" applyNumberFormat="1" applyFont="1" applyFill="1" applyBorder="1" applyAlignment="1">
      <alignment horizontal="center" vertical="center"/>
    </xf>
    <xf numFmtId="2" fontId="1" fillId="16" borderId="21" xfId="0" applyNumberFormat="1" applyFont="1" applyFill="1" applyBorder="1" applyAlignment="1">
      <alignment horizontal="center" vertical="center"/>
    </xf>
    <xf numFmtId="10" fontId="1" fillId="16" borderId="23" xfId="0" applyNumberFormat="1" applyFont="1" applyFill="1" applyBorder="1" applyAlignment="1">
      <alignment vertical="center"/>
    </xf>
    <xf numFmtId="0" fontId="1" fillId="16" borderId="14" xfId="0" applyFont="1" applyFill="1" applyBorder="1" applyAlignment="1">
      <alignment vertical="center"/>
    </xf>
    <xf numFmtId="0" fontId="1" fillId="16" borderId="13" xfId="0" applyFont="1" applyFill="1" applyBorder="1" applyAlignment="1">
      <alignment horizontal="center" vertical="center"/>
    </xf>
    <xf numFmtId="0" fontId="1" fillId="16" borderId="18" xfId="0" applyFont="1" applyFill="1" applyBorder="1" applyAlignment="1">
      <alignment horizontal="center" vertical="center"/>
    </xf>
    <xf numFmtId="2" fontId="1" fillId="16" borderId="13" xfId="0" applyNumberFormat="1" applyFont="1" applyFill="1" applyBorder="1" applyAlignment="1">
      <alignment horizontal="center" vertical="center"/>
    </xf>
    <xf numFmtId="0" fontId="1" fillId="15" borderId="39" xfId="0" applyFont="1" applyFill="1" applyBorder="1" applyAlignment="1">
      <alignment vertical="center"/>
    </xf>
    <xf numFmtId="0" fontId="1" fillId="15" borderId="1" xfId="0" applyFont="1" applyFill="1" applyBorder="1" applyAlignment="1">
      <alignment vertical="center"/>
    </xf>
    <xf numFmtId="0" fontId="1" fillId="15" borderId="44" xfId="0" applyFont="1" applyFill="1" applyBorder="1" applyAlignment="1">
      <alignment vertical="center"/>
    </xf>
    <xf numFmtId="0" fontId="1" fillId="10" borderId="0" xfId="0" applyNumberFormat="1" applyFont="1" applyFill="1" applyAlignment="1">
      <alignment vertical="center"/>
    </xf>
    <xf numFmtId="0" fontId="1" fillId="10" borderId="8" xfId="0" applyFont="1" applyFill="1" applyBorder="1" applyAlignment="1">
      <alignment horizontal="center" vertical="center"/>
    </xf>
    <xf numFmtId="49" fontId="1" fillId="10" borderId="27" xfId="0" applyNumberFormat="1" applyFont="1" applyFill="1" applyBorder="1" applyAlignment="1">
      <alignment horizontal="right" vertical="center"/>
    </xf>
    <xf numFmtId="0" fontId="1" fillId="6" borderId="59" xfId="0" applyFont="1" applyFill="1" applyBorder="1" applyAlignment="1">
      <alignment horizontal="center" vertical="center"/>
    </xf>
    <xf numFmtId="0" fontId="1" fillId="14" borderId="59" xfId="0" applyFont="1" applyFill="1" applyBorder="1" applyAlignment="1">
      <alignment horizontal="center" vertical="center"/>
    </xf>
    <xf numFmtId="0" fontId="1" fillId="20" borderId="59" xfId="0" applyFont="1" applyFill="1" applyBorder="1" applyAlignment="1">
      <alignment vertical="center"/>
    </xf>
    <xf numFmtId="49" fontId="20" fillId="10" borderId="17" xfId="0" applyNumberFormat="1" applyFont="1" applyFill="1" applyBorder="1" applyAlignment="1">
      <alignment horizontal="center" vertical="center" textRotation="90"/>
    </xf>
    <xf numFmtId="2" fontId="1" fillId="9" borderId="25" xfId="0" applyNumberFormat="1" applyFont="1" applyFill="1" applyBorder="1" applyAlignment="1">
      <alignment horizontal="center" vertical="center"/>
    </xf>
    <xf numFmtId="2" fontId="1" fillId="9" borderId="43" xfId="0" applyNumberFormat="1"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6" borderId="5" xfId="0" applyFont="1" applyFill="1" applyBorder="1" applyAlignment="1">
      <alignment horizontal="center" vertical="center"/>
    </xf>
    <xf numFmtId="0" fontId="1" fillId="6" borderId="36" xfId="0" applyFont="1" applyFill="1" applyBorder="1" applyAlignment="1">
      <alignment horizontal="center" vertical="center"/>
    </xf>
    <xf numFmtId="0" fontId="1" fillId="14" borderId="54" xfId="0" applyFont="1" applyFill="1" applyBorder="1" applyAlignment="1">
      <alignment horizontal="center" vertical="center"/>
    </xf>
    <xf numFmtId="0" fontId="1" fillId="20" borderId="54" xfId="0" applyFont="1" applyFill="1" applyBorder="1" applyAlignment="1">
      <alignment vertical="center"/>
    </xf>
    <xf numFmtId="0" fontId="1" fillId="14" borderId="55" xfId="0" applyFont="1" applyFill="1" applyBorder="1" applyAlignment="1">
      <alignment horizontal="center" vertical="center"/>
    </xf>
    <xf numFmtId="0" fontId="1" fillId="20" borderId="55" xfId="0" applyFont="1" applyFill="1" applyBorder="1" applyAlignment="1">
      <alignment vertical="center"/>
    </xf>
    <xf numFmtId="0" fontId="1" fillId="6" borderId="62" xfId="0" applyFont="1" applyFill="1" applyBorder="1" applyAlignment="1">
      <alignment horizontal="center" vertical="center"/>
    </xf>
    <xf numFmtId="0" fontId="1" fillId="11" borderId="65" xfId="0" applyFont="1" applyFill="1" applyBorder="1" applyAlignment="1">
      <alignment horizontal="center" vertical="center"/>
    </xf>
    <xf numFmtId="0" fontId="1" fillId="10" borderId="35" xfId="0" applyNumberFormat="1" applyFont="1" applyFill="1" applyBorder="1" applyAlignment="1">
      <alignment horizontal="right" vertical="center"/>
    </xf>
    <xf numFmtId="1" fontId="1" fillId="10" borderId="25" xfId="0" applyNumberFormat="1" applyFont="1" applyFill="1" applyBorder="1" applyAlignment="1">
      <alignment horizontal="center" vertical="center"/>
    </xf>
    <xf numFmtId="0" fontId="1" fillId="16" borderId="81" xfId="0" applyFont="1" applyFill="1" applyBorder="1" applyAlignment="1">
      <alignment horizontal="center" vertical="center"/>
    </xf>
    <xf numFmtId="0" fontId="1" fillId="16" borderId="82" xfId="0" applyFont="1" applyFill="1" applyBorder="1" applyAlignment="1">
      <alignment horizontal="center" vertical="center"/>
    </xf>
    <xf numFmtId="2" fontId="1" fillId="16" borderId="81" xfId="0" applyNumberFormat="1" applyFont="1" applyFill="1" applyBorder="1" applyAlignment="1">
      <alignment horizontal="center" vertical="center"/>
    </xf>
    <xf numFmtId="2" fontId="1" fillId="16" borderId="82" xfId="0" applyNumberFormat="1" applyFont="1" applyFill="1" applyBorder="1" applyAlignment="1">
      <alignment horizontal="center" vertical="center"/>
    </xf>
    <xf numFmtId="2" fontId="1" fillId="16" borderId="83" xfId="0" applyNumberFormat="1" applyFont="1" applyFill="1" applyBorder="1" applyAlignment="1">
      <alignment horizontal="center" vertical="center"/>
    </xf>
    <xf numFmtId="2" fontId="1" fillId="16" borderId="84" xfId="0" applyNumberFormat="1" applyFont="1" applyFill="1" applyBorder="1" applyAlignment="1">
      <alignment horizontal="center" vertical="center"/>
    </xf>
    <xf numFmtId="0" fontId="1" fillId="16" borderId="81" xfId="0" applyFont="1" applyFill="1" applyBorder="1" applyAlignment="1">
      <alignment vertical="center"/>
    </xf>
    <xf numFmtId="0" fontId="1" fillId="16" borderId="82" xfId="0" applyFont="1" applyFill="1" applyBorder="1" applyAlignment="1">
      <alignment vertical="center"/>
    </xf>
    <xf numFmtId="2" fontId="1" fillId="16" borderId="82" xfId="0" applyNumberFormat="1" applyFont="1" applyFill="1" applyBorder="1" applyAlignment="1">
      <alignment vertical="center"/>
    </xf>
    <xf numFmtId="2" fontId="1" fillId="16" borderId="81" xfId="0" applyNumberFormat="1" applyFont="1" applyFill="1" applyBorder="1" applyAlignment="1">
      <alignment vertical="center"/>
    </xf>
    <xf numFmtId="0" fontId="1" fillId="16" borderId="83" xfId="0" applyFont="1" applyFill="1" applyBorder="1" applyAlignment="1">
      <alignment vertical="center"/>
    </xf>
    <xf numFmtId="2" fontId="1" fillId="16" borderId="83" xfId="0" applyNumberFormat="1" applyFont="1" applyFill="1" applyBorder="1" applyAlignment="1">
      <alignment vertical="center"/>
    </xf>
    <xf numFmtId="2" fontId="1" fillId="16" borderId="84" xfId="0" applyNumberFormat="1" applyFont="1" applyFill="1" applyBorder="1" applyAlignment="1">
      <alignment vertical="center"/>
    </xf>
    <xf numFmtId="164" fontId="1" fillId="0" borderId="0" xfId="0" applyNumberFormat="1" applyFont="1" applyAlignment="1">
      <alignment vertical="center"/>
    </xf>
    <xf numFmtId="0" fontId="1" fillId="4" borderId="25" xfId="0" applyFont="1" applyFill="1" applyBorder="1" applyAlignment="1" applyProtection="1">
      <alignment horizontal="center" vertical="center"/>
      <protection locked="0"/>
    </xf>
    <xf numFmtId="1" fontId="1" fillId="4" borderId="1" xfId="0" applyNumberFormat="1" applyFont="1" applyFill="1" applyBorder="1" applyAlignment="1" applyProtection="1">
      <alignment horizontal="center"/>
      <protection locked="0"/>
    </xf>
    <xf numFmtId="167" fontId="1" fillId="4" borderId="1" xfId="0" applyNumberFormat="1" applyFont="1" applyFill="1" applyBorder="1" applyAlignment="1" applyProtection="1">
      <alignment horizontal="center" vertical="center"/>
      <protection locked="0"/>
    </xf>
    <xf numFmtId="167" fontId="1" fillId="4" borderId="1" xfId="7" applyNumberFormat="1" applyFont="1" applyFill="1" applyBorder="1" applyAlignment="1" applyProtection="1">
      <alignment horizontal="center" vertical="center"/>
      <protection locked="0"/>
    </xf>
    <xf numFmtId="0" fontId="1" fillId="21" borderId="0" xfId="0" applyFont="1" applyFill="1" applyBorder="1" applyAlignment="1">
      <alignment horizontal="center" vertical="center"/>
    </xf>
    <xf numFmtId="0" fontId="6" fillId="21" borderId="91" xfId="0" applyFont="1" applyFill="1" applyBorder="1" applyAlignment="1">
      <alignment horizontal="center" vertical="center"/>
    </xf>
    <xf numFmtId="0" fontId="6" fillId="21" borderId="14" xfId="0" applyFont="1" applyFill="1" applyBorder="1" applyAlignment="1">
      <alignment vertical="center"/>
    </xf>
    <xf numFmtId="0" fontId="1" fillId="21" borderId="72" xfId="0" applyFont="1" applyFill="1" applyBorder="1" applyAlignment="1">
      <alignment horizontal="left" vertical="center"/>
    </xf>
    <xf numFmtId="0" fontId="6" fillId="21" borderId="99" xfId="0" applyFont="1" applyFill="1" applyBorder="1" applyAlignment="1">
      <alignment vertical="center"/>
    </xf>
    <xf numFmtId="0" fontId="1" fillId="21" borderId="68" xfId="0" applyFont="1" applyFill="1" applyBorder="1" applyAlignment="1">
      <alignment horizontal="right" vertical="center"/>
    </xf>
    <xf numFmtId="0" fontId="6" fillId="21" borderId="65" xfId="0" applyFont="1" applyFill="1" applyBorder="1" applyAlignment="1">
      <alignment vertical="center"/>
    </xf>
    <xf numFmtId="0" fontId="1" fillId="21" borderId="67" xfId="0" applyFont="1" applyFill="1" applyBorder="1" applyAlignment="1">
      <alignment horizontal="left" vertical="center"/>
    </xf>
    <xf numFmtId="0" fontId="1" fillId="21" borderId="96" xfId="0" applyFont="1" applyFill="1" applyBorder="1" applyAlignment="1">
      <alignment vertical="center"/>
    </xf>
    <xf numFmtId="0" fontId="6" fillId="21" borderId="19" xfId="0" applyFont="1" applyFill="1" applyBorder="1" applyAlignment="1">
      <alignment vertical="center"/>
    </xf>
    <xf numFmtId="0" fontId="1" fillId="21" borderId="97" xfId="0" applyFont="1" applyFill="1" applyBorder="1" applyAlignment="1">
      <alignment vertical="center"/>
    </xf>
    <xf numFmtId="0" fontId="6" fillId="21" borderId="17" xfId="0" applyFont="1" applyFill="1" applyBorder="1" applyAlignment="1">
      <alignment vertical="center"/>
    </xf>
    <xf numFmtId="0" fontId="1" fillId="21" borderId="80" xfId="0" applyFont="1" applyFill="1" applyBorder="1" applyAlignment="1">
      <alignment horizontal="right" vertical="center"/>
    </xf>
    <xf numFmtId="0" fontId="1" fillId="21" borderId="0" xfId="0" applyFont="1" applyFill="1" applyBorder="1" applyAlignment="1">
      <alignment horizontal="right" vertical="center"/>
    </xf>
    <xf numFmtId="0" fontId="6" fillId="21" borderId="0" xfId="0" applyFont="1" applyFill="1" applyBorder="1" applyAlignment="1">
      <alignment vertical="center"/>
    </xf>
    <xf numFmtId="0" fontId="6" fillId="21" borderId="8" xfId="0" applyFont="1" applyFill="1" applyBorder="1" applyAlignment="1">
      <alignment horizontal="center" vertical="center"/>
    </xf>
    <xf numFmtId="0" fontId="1" fillId="21" borderId="76" xfId="0" applyFont="1" applyFill="1" applyBorder="1" applyAlignment="1">
      <alignment horizontal="left" vertical="center"/>
    </xf>
    <xf numFmtId="0" fontId="1" fillId="21" borderId="98" xfId="0" applyFont="1" applyFill="1" applyBorder="1" applyAlignment="1">
      <alignment vertical="center"/>
    </xf>
    <xf numFmtId="0" fontId="1" fillId="21" borderId="78" xfId="0" applyFont="1" applyFill="1" applyBorder="1" applyAlignment="1">
      <alignment horizontal="right" vertical="center"/>
    </xf>
    <xf numFmtId="0" fontId="1" fillId="21" borderId="92" xfId="0" applyFont="1" applyFill="1" applyBorder="1" applyAlignment="1">
      <alignment horizontal="left" vertical="center"/>
    </xf>
    <xf numFmtId="0" fontId="6" fillId="22" borderId="91" xfId="0" applyFont="1" applyFill="1" applyBorder="1" applyAlignment="1">
      <alignment horizontal="center" vertical="center"/>
    </xf>
    <xf numFmtId="0" fontId="6" fillId="22" borderId="14" xfId="0" applyFont="1" applyFill="1" applyBorder="1" applyAlignment="1">
      <alignment vertical="center"/>
    </xf>
    <xf numFmtId="0" fontId="1" fillId="22" borderId="72" xfId="0" applyFont="1" applyFill="1" applyBorder="1" applyAlignment="1">
      <alignment horizontal="left" vertical="center"/>
    </xf>
    <xf numFmtId="0" fontId="6" fillId="22" borderId="65" xfId="0" applyFont="1" applyFill="1" applyBorder="1" applyAlignment="1">
      <alignment vertical="center"/>
    </xf>
    <xf numFmtId="0" fontId="1" fillId="22" borderId="67" xfId="0" applyFont="1" applyFill="1" applyBorder="1" applyAlignment="1">
      <alignment horizontal="left" vertical="center"/>
    </xf>
    <xf numFmtId="0" fontId="1" fillId="22" borderId="97" xfId="0" applyFont="1" applyFill="1" applyBorder="1" applyAlignment="1">
      <alignment vertical="center"/>
    </xf>
    <xf numFmtId="0" fontId="1" fillId="22" borderId="0" xfId="0" applyFont="1" applyFill="1" applyBorder="1" applyAlignment="1">
      <alignment horizontal="right" vertical="center"/>
    </xf>
    <xf numFmtId="0" fontId="6" fillId="22" borderId="8" xfId="0" applyFont="1" applyFill="1" applyBorder="1" applyAlignment="1">
      <alignment vertical="center"/>
    </xf>
    <xf numFmtId="0" fontId="6" fillId="22" borderId="0" xfId="0" applyFont="1" applyFill="1" applyBorder="1" applyAlignment="1">
      <alignment vertical="center"/>
    </xf>
    <xf numFmtId="0" fontId="6" fillId="22" borderId="8" xfId="0" applyFont="1" applyFill="1" applyBorder="1" applyAlignment="1">
      <alignment horizontal="center" vertical="center"/>
    </xf>
    <xf numFmtId="0" fontId="1" fillId="22" borderId="76" xfId="0" applyFont="1" applyFill="1" applyBorder="1" applyAlignment="1">
      <alignment horizontal="left" vertical="center"/>
    </xf>
    <xf numFmtId="0" fontId="1" fillId="22" borderId="8" xfId="0" applyFont="1" applyFill="1" applyBorder="1" applyAlignment="1">
      <alignment vertical="center"/>
    </xf>
    <xf numFmtId="0" fontId="1" fillId="22" borderId="92" xfId="0" applyFont="1" applyFill="1" applyBorder="1" applyAlignment="1">
      <alignment horizontal="left" vertical="center"/>
    </xf>
    <xf numFmtId="0" fontId="1" fillId="22" borderId="17" xfId="0" applyFont="1" applyFill="1" applyBorder="1" applyAlignment="1">
      <alignment vertical="center"/>
    </xf>
    <xf numFmtId="0" fontId="1" fillId="22" borderId="0" xfId="0" applyFont="1" applyFill="1" applyBorder="1" applyAlignment="1">
      <alignment vertical="center"/>
    </xf>
    <xf numFmtId="0" fontId="1" fillId="22" borderId="18" xfId="0" applyFont="1" applyFill="1" applyBorder="1" applyAlignment="1">
      <alignment vertical="center"/>
    </xf>
    <xf numFmtId="0" fontId="23" fillId="22" borderId="18" xfId="0" applyFont="1" applyFill="1" applyBorder="1" applyAlignment="1">
      <alignment horizontal="center" vertical="center" textRotation="90"/>
    </xf>
    <xf numFmtId="0" fontId="6" fillId="22" borderId="17" xfId="0" applyFont="1" applyFill="1" applyBorder="1" applyAlignment="1">
      <alignment horizontal="center" vertical="center"/>
    </xf>
    <xf numFmtId="0" fontId="1" fillId="21" borderId="17" xfId="0" applyFont="1" applyFill="1" applyBorder="1" applyAlignment="1">
      <alignment vertical="center"/>
    </xf>
    <xf numFmtId="0" fontId="1" fillId="21" borderId="0" xfId="0" applyFont="1" applyFill="1" applyBorder="1" applyAlignment="1">
      <alignment vertical="center"/>
    </xf>
    <xf numFmtId="0" fontId="1" fillId="21" borderId="18" xfId="0" applyFont="1" applyFill="1" applyBorder="1" applyAlignment="1">
      <alignment vertical="center"/>
    </xf>
    <xf numFmtId="0" fontId="23" fillId="21" borderId="18" xfId="0" applyFont="1" applyFill="1" applyBorder="1" applyAlignment="1">
      <alignment horizontal="center" vertical="center" textRotation="90"/>
    </xf>
    <xf numFmtId="0" fontId="6" fillId="21" borderId="17" xfId="0" applyFont="1" applyFill="1" applyBorder="1" applyAlignment="1">
      <alignment horizontal="center" vertical="center"/>
    </xf>
    <xf numFmtId="1" fontId="1" fillId="22" borderId="71" xfId="0" applyNumberFormat="1" applyFont="1" applyFill="1" applyBorder="1" applyAlignment="1">
      <alignment vertical="center"/>
    </xf>
    <xf numFmtId="1" fontId="1" fillId="22" borderId="96" xfId="0" applyNumberFormat="1" applyFont="1" applyFill="1" applyBorder="1" applyAlignment="1">
      <alignment vertical="center"/>
    </xf>
    <xf numFmtId="1" fontId="1" fillId="22" borderId="101" xfId="0" applyNumberFormat="1" applyFont="1" applyFill="1" applyBorder="1" applyAlignment="1">
      <alignment vertical="center"/>
    </xf>
    <xf numFmtId="1" fontId="1" fillId="22" borderId="97" xfId="0" applyNumberFormat="1" applyFont="1" applyFill="1" applyBorder="1" applyAlignment="1">
      <alignment vertical="center"/>
    </xf>
    <xf numFmtId="1" fontId="1" fillId="22" borderId="86" xfId="0" applyNumberFormat="1" applyFont="1" applyFill="1" applyBorder="1" applyAlignment="1">
      <alignment vertical="center"/>
    </xf>
    <xf numFmtId="1" fontId="1" fillId="22" borderId="98" xfId="0" applyNumberFormat="1" applyFont="1" applyFill="1" applyBorder="1" applyAlignment="1">
      <alignment vertical="center"/>
    </xf>
    <xf numFmtId="1" fontId="23" fillId="22" borderId="48" xfId="0" applyNumberFormat="1" applyFont="1" applyFill="1" applyBorder="1" applyAlignment="1">
      <alignment horizontal="center" textRotation="90"/>
    </xf>
    <xf numFmtId="0" fontId="1" fillId="21" borderId="69" xfId="0" applyFont="1" applyFill="1" applyBorder="1" applyAlignment="1">
      <alignment horizontal="right" vertical="center"/>
    </xf>
    <xf numFmtId="0" fontId="1" fillId="21" borderId="102" xfId="0" applyFont="1" applyFill="1" applyBorder="1" applyAlignment="1">
      <alignment vertical="center"/>
    </xf>
    <xf numFmtId="0" fontId="1" fillId="21" borderId="1" xfId="0" applyFont="1" applyFill="1" applyBorder="1" applyAlignment="1">
      <alignment vertical="center"/>
    </xf>
    <xf numFmtId="0" fontId="1" fillId="21" borderId="31" xfId="0" applyFont="1" applyFill="1" applyBorder="1" applyAlignment="1">
      <alignment vertical="center"/>
    </xf>
    <xf numFmtId="0" fontId="1" fillId="21" borderId="103" xfId="0" applyFont="1" applyFill="1" applyBorder="1" applyAlignment="1">
      <alignment vertical="center"/>
    </xf>
    <xf numFmtId="0" fontId="1" fillId="21" borderId="9" xfId="0" applyFont="1" applyFill="1" applyBorder="1" applyAlignment="1">
      <alignment vertical="center"/>
    </xf>
    <xf numFmtId="0" fontId="6" fillId="21" borderId="104" xfId="0" applyFont="1" applyFill="1" applyBorder="1" applyAlignment="1">
      <alignment vertical="center"/>
    </xf>
    <xf numFmtId="0" fontId="1" fillId="21" borderId="47" xfId="0" applyFont="1" applyFill="1" applyBorder="1" applyAlignment="1">
      <alignment vertical="center"/>
    </xf>
    <xf numFmtId="0" fontId="1" fillId="21" borderId="105" xfId="0" applyFont="1" applyFill="1" applyBorder="1" applyAlignment="1">
      <alignment vertical="center"/>
    </xf>
    <xf numFmtId="0" fontId="6" fillId="21" borderId="64" xfId="0" applyFont="1" applyFill="1" applyBorder="1" applyAlignment="1">
      <alignment horizontal="center" vertical="center"/>
    </xf>
    <xf numFmtId="0" fontId="1" fillId="21" borderId="30" xfId="0" applyFont="1" applyFill="1" applyBorder="1" applyAlignment="1">
      <alignment horizontal="right" vertical="center"/>
    </xf>
    <xf numFmtId="0" fontId="1" fillId="21" borderId="66" xfId="0" applyFont="1" applyFill="1" applyBorder="1" applyAlignment="1">
      <alignment horizontal="right" vertical="center"/>
    </xf>
    <xf numFmtId="0" fontId="1" fillId="21" borderId="106" xfId="0" applyFont="1" applyFill="1" applyBorder="1" applyAlignment="1">
      <alignment vertical="center"/>
    </xf>
    <xf numFmtId="0" fontId="1" fillId="21" borderId="107" xfId="0" applyFont="1" applyFill="1" applyBorder="1" applyAlignment="1">
      <alignment vertical="center"/>
    </xf>
    <xf numFmtId="0" fontId="1" fillId="21" borderId="108" xfId="0" applyFont="1" applyFill="1" applyBorder="1" applyAlignment="1">
      <alignment vertical="center"/>
    </xf>
    <xf numFmtId="0" fontId="1" fillId="23" borderId="1" xfId="0" applyFont="1" applyFill="1" applyBorder="1" applyAlignment="1">
      <alignment vertical="center"/>
    </xf>
    <xf numFmtId="0" fontId="6" fillId="23" borderId="1" xfId="0" applyFont="1" applyFill="1" applyBorder="1" applyAlignment="1">
      <alignment vertical="center"/>
    </xf>
    <xf numFmtId="0" fontId="1" fillId="23" borderId="39" xfId="0" applyFont="1" applyFill="1" applyBorder="1" applyAlignment="1">
      <alignment vertical="center"/>
    </xf>
    <xf numFmtId="0" fontId="1" fillId="23" borderId="39" xfId="0" applyFont="1" applyFill="1" applyBorder="1" applyAlignment="1">
      <alignment horizontal="right" vertical="center"/>
    </xf>
    <xf numFmtId="0" fontId="1" fillId="23" borderId="51" xfId="0" applyFont="1" applyFill="1" applyBorder="1" applyAlignment="1">
      <alignment vertical="center"/>
    </xf>
    <xf numFmtId="0" fontId="6" fillId="23" borderId="35" xfId="0" applyFont="1" applyFill="1" applyBorder="1" applyAlignment="1">
      <alignment vertical="center"/>
    </xf>
    <xf numFmtId="0" fontId="1" fillId="23" borderId="31" xfId="0" applyFont="1" applyFill="1" applyBorder="1" applyAlignment="1">
      <alignment vertical="center"/>
    </xf>
    <xf numFmtId="0" fontId="6" fillId="23" borderId="42" xfId="0" applyFont="1" applyFill="1" applyBorder="1" applyAlignment="1">
      <alignment vertical="center"/>
    </xf>
    <xf numFmtId="0" fontId="6" fillId="23" borderId="44" xfId="0" applyFont="1" applyFill="1" applyBorder="1" applyAlignment="1">
      <alignment vertical="center"/>
    </xf>
    <xf numFmtId="0" fontId="1" fillId="23" borderId="44" xfId="0" applyFont="1" applyFill="1" applyBorder="1" applyAlignment="1">
      <alignment vertical="center"/>
    </xf>
    <xf numFmtId="0" fontId="1" fillId="23" borderId="45" xfId="0" applyFont="1" applyFill="1" applyBorder="1" applyAlignment="1">
      <alignment vertical="center"/>
    </xf>
    <xf numFmtId="0" fontId="6" fillId="23" borderId="40" xfId="0" applyFont="1" applyFill="1" applyBorder="1" applyAlignment="1">
      <alignment vertical="center"/>
    </xf>
    <xf numFmtId="2" fontId="6" fillId="23" borderId="1" xfId="0" applyNumberFormat="1" applyFont="1" applyFill="1" applyBorder="1" applyAlignment="1">
      <alignment vertical="center"/>
    </xf>
    <xf numFmtId="2" fontId="1" fillId="23" borderId="1" xfId="0" applyNumberFormat="1" applyFont="1" applyFill="1" applyBorder="1" applyAlignment="1">
      <alignment vertical="center"/>
    </xf>
    <xf numFmtId="2" fontId="6" fillId="23" borderId="44" xfId="0" applyNumberFormat="1" applyFont="1" applyFill="1" applyBorder="1" applyAlignment="1">
      <alignment vertical="center"/>
    </xf>
    <xf numFmtId="173" fontId="1" fillId="17" borderId="1" xfId="0" applyNumberFormat="1" applyFont="1" applyFill="1" applyBorder="1" applyAlignment="1">
      <alignment vertical="center"/>
    </xf>
    <xf numFmtId="0" fontId="1" fillId="0" borderId="0" xfId="0" applyFont="1" applyAlignment="1">
      <alignment vertical="center"/>
    </xf>
    <xf numFmtId="0" fontId="1" fillId="24" borderId="0" xfId="0" applyFont="1" applyFill="1" applyBorder="1"/>
    <xf numFmtId="0" fontId="1" fillId="25" borderId="0" xfId="0" applyFont="1" applyFill="1" applyBorder="1" applyAlignment="1">
      <alignment vertical="center"/>
    </xf>
    <xf numFmtId="49" fontId="7" fillId="26" borderId="0" xfId="0" applyNumberFormat="1" applyFont="1" applyFill="1" applyBorder="1" applyAlignment="1" applyProtection="1">
      <alignment vertical="top"/>
    </xf>
    <xf numFmtId="0" fontId="4" fillId="26" borderId="0" xfId="0" applyFont="1" applyFill="1" applyBorder="1" applyAlignment="1">
      <alignment vertical="center"/>
    </xf>
    <xf numFmtId="3" fontId="1" fillId="5" borderId="1" xfId="0" applyNumberFormat="1" applyFont="1" applyFill="1" applyBorder="1" applyAlignment="1" applyProtection="1">
      <alignment vertical="top"/>
      <protection locked="0"/>
    </xf>
    <xf numFmtId="3" fontId="3" fillId="4" borderId="1" xfId="1" applyNumberFormat="1" applyFont="1" applyFill="1" applyBorder="1" applyAlignment="1" applyProtection="1">
      <alignment horizontal="center" vertical="center"/>
      <protection locked="0"/>
    </xf>
    <xf numFmtId="3" fontId="1" fillId="5" borderId="4" xfId="7" applyNumberFormat="1" applyFont="1" applyFill="1" applyBorder="1" applyAlignment="1" applyProtection="1">
      <alignment vertical="top"/>
      <protection locked="0"/>
    </xf>
    <xf numFmtId="3" fontId="1" fillId="5" borderId="1" xfId="7" applyNumberFormat="1" applyFont="1" applyFill="1" applyBorder="1" applyAlignment="1" applyProtection="1">
      <alignment vertical="top"/>
      <protection locked="0"/>
    </xf>
    <xf numFmtId="3" fontId="1" fillId="5" borderId="6" xfId="7" applyNumberFormat="1" applyFont="1" applyFill="1" applyBorder="1" applyAlignment="1" applyProtection="1">
      <alignment vertical="top"/>
      <protection locked="0"/>
    </xf>
    <xf numFmtId="2" fontId="1" fillId="16" borderId="23" xfId="0" applyNumberFormat="1" applyFont="1" applyFill="1" applyBorder="1" applyAlignment="1">
      <alignment horizontal="center" vertical="center"/>
    </xf>
    <xf numFmtId="0" fontId="1" fillId="16" borderId="48" xfId="0" applyFont="1" applyFill="1" applyBorder="1" applyAlignment="1">
      <alignment vertical="center"/>
    </xf>
    <xf numFmtId="2" fontId="1" fillId="16" borderId="49" xfId="0" applyNumberFormat="1" applyFont="1" applyFill="1" applyBorder="1" applyAlignment="1">
      <alignment horizontal="center" vertical="center"/>
    </xf>
    <xf numFmtId="0" fontId="1" fillId="4" borderId="1" xfId="0" applyFont="1" applyFill="1" applyBorder="1" applyAlignment="1" applyProtection="1">
      <alignment horizontal="center" vertical="center"/>
      <protection locked="0"/>
    </xf>
    <xf numFmtId="0" fontId="1" fillId="4" borderId="20" xfId="0" applyFont="1" applyFill="1" applyBorder="1" applyAlignment="1" applyProtection="1">
      <alignment vertical="center"/>
      <protection locked="0"/>
    </xf>
    <xf numFmtId="0" fontId="1" fillId="25" borderId="0" xfId="0" applyFont="1" applyFill="1" applyAlignment="1" applyProtection="1">
      <alignment vertical="center"/>
    </xf>
    <xf numFmtId="0" fontId="1" fillId="26" borderId="0" xfId="0" applyFont="1" applyFill="1" applyAlignment="1" applyProtection="1">
      <alignment vertical="center"/>
    </xf>
    <xf numFmtId="0" fontId="28" fillId="26" borderId="0" xfId="0" applyFont="1" applyFill="1" applyAlignment="1" applyProtection="1">
      <alignment vertical="center"/>
    </xf>
    <xf numFmtId="0" fontId="4" fillId="26" borderId="2" xfId="2" applyFont="1" applyFill="1" applyBorder="1" applyAlignment="1" applyProtection="1">
      <alignment horizontal="center" vertical="center"/>
    </xf>
    <xf numFmtId="0" fontId="4" fillId="26" borderId="0" xfId="2" applyFont="1" applyFill="1" applyBorder="1" applyAlignment="1" applyProtection="1">
      <alignment horizontal="center" vertical="center"/>
    </xf>
    <xf numFmtId="49" fontId="1" fillId="26" borderId="0" xfId="0" applyNumberFormat="1" applyFont="1" applyFill="1" applyBorder="1" applyAlignment="1" applyProtection="1">
      <alignment vertical="center"/>
    </xf>
    <xf numFmtId="49" fontId="1" fillId="26" borderId="2" xfId="0" applyNumberFormat="1" applyFont="1" applyFill="1" applyBorder="1" applyAlignment="1" applyProtection="1">
      <alignment vertical="center"/>
    </xf>
    <xf numFmtId="2" fontId="1" fillId="26" borderId="0" xfId="0" applyNumberFormat="1" applyFont="1" applyFill="1" applyBorder="1" applyAlignment="1" applyProtection="1">
      <alignment vertical="center"/>
    </xf>
    <xf numFmtId="0" fontId="1" fillId="26" borderId="0" xfId="0" applyFont="1" applyFill="1" applyBorder="1" applyAlignment="1" applyProtection="1">
      <alignment vertical="center"/>
    </xf>
    <xf numFmtId="0" fontId="1" fillId="26" borderId="2" xfId="0" applyFont="1" applyFill="1" applyBorder="1" applyAlignment="1" applyProtection="1">
      <alignment vertical="center"/>
    </xf>
    <xf numFmtId="0" fontId="4" fillId="26" borderId="0" xfId="1" applyFont="1" applyFill="1" applyBorder="1" applyAlignment="1" applyProtection="1">
      <alignment horizontal="center" vertical="center"/>
    </xf>
    <xf numFmtId="0" fontId="4" fillId="26" borderId="2" xfId="1" applyFont="1" applyFill="1" applyBorder="1" applyAlignment="1" applyProtection="1">
      <alignment horizontal="center" vertical="center"/>
    </xf>
    <xf numFmtId="0" fontId="1" fillId="0" borderId="0" xfId="0" applyFont="1" applyAlignment="1" applyProtection="1">
      <alignment vertical="center"/>
    </xf>
    <xf numFmtId="0" fontId="1" fillId="26" borderId="0" xfId="0" applyFont="1" applyFill="1" applyBorder="1" applyAlignment="1" applyProtection="1">
      <alignment horizontal="center" vertical="center"/>
    </xf>
    <xf numFmtId="0" fontId="1" fillId="24" borderId="10" xfId="0" applyFont="1" applyFill="1" applyBorder="1" applyProtection="1"/>
    <xf numFmtId="0" fontId="1" fillId="10" borderId="44" xfId="0" applyFont="1" applyFill="1" applyBorder="1" applyAlignment="1">
      <alignment horizontal="right" vertical="center"/>
    </xf>
    <xf numFmtId="0" fontId="1" fillId="9" borderId="0" xfId="0" applyFont="1" applyFill="1" applyAlignment="1">
      <alignment vertical="center"/>
    </xf>
    <xf numFmtId="0" fontId="1" fillId="10" borderId="9" xfId="0" applyFont="1" applyFill="1" applyBorder="1" applyAlignment="1">
      <alignment horizontal="right" vertical="center"/>
    </xf>
    <xf numFmtId="0" fontId="1" fillId="10" borderId="3" xfId="0" applyFont="1" applyFill="1" applyBorder="1" applyAlignment="1">
      <alignment horizontal="left" vertical="center"/>
    </xf>
    <xf numFmtId="173" fontId="1" fillId="22" borderId="71" xfId="0" applyNumberFormat="1" applyFont="1" applyFill="1" applyBorder="1" applyAlignment="1">
      <alignment vertical="center"/>
    </xf>
    <xf numFmtId="49" fontId="1" fillId="10" borderId="4" xfId="0" applyNumberFormat="1" applyFont="1" applyFill="1" applyBorder="1" applyAlignment="1">
      <alignment horizontal="left" vertical="center"/>
    </xf>
    <xf numFmtId="0" fontId="26" fillId="0" borderId="0" xfId="0" applyFont="1" applyAlignment="1">
      <alignment horizontal="justify" vertical="center"/>
    </xf>
    <xf numFmtId="0" fontId="1" fillId="28" borderId="0" xfId="0" applyFont="1" applyFill="1" applyBorder="1" applyAlignment="1">
      <alignment vertical="center"/>
    </xf>
    <xf numFmtId="4" fontId="4" fillId="31" borderId="4" xfId="0" applyNumberFormat="1" applyFont="1" applyFill="1" applyBorder="1" applyAlignment="1" applyProtection="1">
      <protection locked="0"/>
    </xf>
    <xf numFmtId="4" fontId="1" fillId="31" borderId="1" xfId="0" applyNumberFormat="1" applyFont="1" applyFill="1" applyBorder="1" applyAlignment="1" applyProtection="1">
      <alignment vertical="top"/>
      <protection locked="0"/>
    </xf>
    <xf numFmtId="4" fontId="1" fillId="31" borderId="4" xfId="0" applyNumberFormat="1" applyFont="1" applyFill="1" applyBorder="1" applyAlignment="1" applyProtection="1">
      <alignment vertical="top"/>
      <protection locked="0"/>
    </xf>
    <xf numFmtId="4" fontId="1" fillId="31" borderId="27" xfId="0" applyNumberFormat="1" applyFont="1" applyFill="1" applyBorder="1" applyAlignment="1" applyProtection="1">
      <alignment vertical="top"/>
      <protection locked="0"/>
    </xf>
    <xf numFmtId="4" fontId="1" fillId="31" borderId="4" xfId="0" applyNumberFormat="1" applyFont="1" applyFill="1" applyBorder="1" applyAlignment="1" applyProtection="1">
      <protection locked="0"/>
    </xf>
    <xf numFmtId="4" fontId="1" fillId="31" borderId="1" xfId="0" applyNumberFormat="1" applyFont="1" applyFill="1" applyBorder="1" applyAlignment="1" applyProtection="1">
      <protection locked="0"/>
    </xf>
    <xf numFmtId="4" fontId="1" fillId="31" borderId="1" xfId="0" applyNumberFormat="1" applyFont="1" applyFill="1" applyBorder="1" applyProtection="1">
      <protection locked="0"/>
    </xf>
    <xf numFmtId="4" fontId="1" fillId="31" borderId="6" xfId="0" applyNumberFormat="1" applyFont="1" applyFill="1" applyBorder="1" applyAlignment="1" applyProtection="1">
      <alignment vertical="top"/>
      <protection locked="0"/>
    </xf>
    <xf numFmtId="3" fontId="1" fillId="4" borderId="0" xfId="0" applyNumberFormat="1" applyFont="1" applyFill="1" applyBorder="1" applyAlignment="1" applyProtection="1">
      <alignment horizontal="center" vertical="center"/>
      <protection locked="0"/>
    </xf>
    <xf numFmtId="0" fontId="1" fillId="4" borderId="52" xfId="0" applyFont="1" applyFill="1" applyBorder="1" applyAlignment="1" applyProtection="1">
      <alignment horizontal="center" vertical="center"/>
      <protection locked="0"/>
    </xf>
    <xf numFmtId="0" fontId="1" fillId="4" borderId="44" xfId="0" applyFont="1" applyFill="1" applyBorder="1" applyAlignment="1" applyProtection="1">
      <alignment horizontal="center" vertical="center"/>
      <protection locked="0"/>
    </xf>
    <xf numFmtId="2" fontId="1" fillId="4" borderId="25" xfId="0" applyNumberFormat="1" applyFont="1" applyFill="1" applyBorder="1" applyAlignment="1" applyProtection="1">
      <alignment horizontal="center" vertical="center"/>
      <protection locked="0"/>
    </xf>
    <xf numFmtId="167" fontId="1" fillId="4" borderId="1" xfId="0" applyNumberFormat="1" applyFont="1" applyFill="1" applyBorder="1" applyAlignment="1" applyProtection="1">
      <alignment horizontal="right" vertical="top"/>
      <protection locked="0"/>
    </xf>
    <xf numFmtId="4" fontId="1" fillId="31" borderId="1" xfId="0" applyNumberFormat="1" applyFont="1" applyFill="1" applyBorder="1" applyAlignment="1" applyProtection="1">
      <alignment vertical="center"/>
      <protection locked="0"/>
    </xf>
    <xf numFmtId="1" fontId="1" fillId="4" borderId="1" xfId="0" applyNumberFormat="1" applyFont="1" applyFill="1" applyBorder="1" applyAlignment="1" applyProtection="1">
      <alignment horizontal="right" vertical="top"/>
      <protection locked="0"/>
    </xf>
    <xf numFmtId="3" fontId="7" fillId="27" borderId="1" xfId="0" applyNumberFormat="1" applyFont="1" applyFill="1" applyBorder="1" applyAlignment="1" applyProtection="1">
      <alignment horizontal="right" vertical="top"/>
    </xf>
    <xf numFmtId="3" fontId="7" fillId="26" borderId="5" xfId="0" applyNumberFormat="1" applyFont="1" applyFill="1" applyBorder="1" applyAlignment="1" applyProtection="1">
      <alignment horizontal="right" vertical="top"/>
    </xf>
    <xf numFmtId="3" fontId="1" fillId="26" borderId="5" xfId="0" applyNumberFormat="1" applyFont="1" applyFill="1" applyBorder="1" applyAlignment="1" applyProtection="1">
      <alignment horizontal="center" vertical="top"/>
    </xf>
    <xf numFmtId="167" fontId="1" fillId="26" borderId="1" xfId="0" applyNumberFormat="1" applyFont="1" applyFill="1" applyBorder="1" applyAlignment="1" applyProtection="1">
      <alignment horizontal="right" vertical="top"/>
    </xf>
    <xf numFmtId="4" fontId="1" fillId="26" borderId="1" xfId="0" applyNumberFormat="1" applyFont="1" applyFill="1" applyBorder="1" applyProtection="1"/>
    <xf numFmtId="1" fontId="1" fillId="26" borderId="0" xfId="0" applyNumberFormat="1" applyFont="1" applyFill="1" applyBorder="1" applyAlignment="1" applyProtection="1">
      <alignment horizontal="center" vertical="top"/>
    </xf>
    <xf numFmtId="2" fontId="1" fillId="26" borderId="0" xfId="0" applyNumberFormat="1" applyFont="1" applyFill="1" applyBorder="1" applyAlignment="1" applyProtection="1">
      <alignment horizontal="center" vertical="top"/>
    </xf>
    <xf numFmtId="2" fontId="1" fillId="26" borderId="0" xfId="7" applyNumberFormat="1" applyFont="1" applyFill="1" applyBorder="1" applyAlignment="1" applyProtection="1">
      <alignment horizontal="center" vertical="top"/>
    </xf>
    <xf numFmtId="3" fontId="1" fillId="26" borderId="0" xfId="0" applyNumberFormat="1" applyFont="1" applyFill="1" applyBorder="1" applyAlignment="1" applyProtection="1">
      <alignment horizontal="center" vertical="top"/>
    </xf>
    <xf numFmtId="2" fontId="1" fillId="26" borderId="5" xfId="7" applyNumberFormat="1" applyFont="1" applyFill="1" applyBorder="1" applyAlignment="1" applyProtection="1">
      <alignment horizontal="center" vertical="top"/>
    </xf>
    <xf numFmtId="2" fontId="1" fillId="26" borderId="0" xfId="0" applyNumberFormat="1" applyFont="1" applyFill="1" applyBorder="1" applyAlignment="1" applyProtection="1">
      <alignment vertical="top"/>
    </xf>
    <xf numFmtId="2" fontId="1" fillId="26" borderId="0" xfId="7" applyNumberFormat="1" applyFont="1" applyFill="1" applyBorder="1" applyAlignment="1" applyProtection="1">
      <alignment vertical="top"/>
    </xf>
    <xf numFmtId="3" fontId="1" fillId="26" borderId="0" xfId="0" applyNumberFormat="1" applyFont="1" applyFill="1" applyBorder="1" applyAlignment="1" applyProtection="1">
      <alignment vertical="top"/>
    </xf>
    <xf numFmtId="2" fontId="1" fillId="26" borderId="2" xfId="7" applyNumberFormat="1" applyFont="1" applyFill="1" applyBorder="1" applyAlignment="1" applyProtection="1">
      <alignment horizontal="center" vertical="top"/>
    </xf>
    <xf numFmtId="3" fontId="1" fillId="26" borderId="2" xfId="0" applyNumberFormat="1" applyFont="1" applyFill="1" applyBorder="1" applyAlignment="1" applyProtection="1">
      <alignment horizontal="center" vertical="top"/>
    </xf>
    <xf numFmtId="2" fontId="1" fillId="26" borderId="10" xfId="7" applyNumberFormat="1" applyFont="1" applyFill="1" applyBorder="1" applyAlignment="1" applyProtection="1">
      <alignment horizontal="center" vertical="top"/>
    </xf>
    <xf numFmtId="3" fontId="1" fillId="26" borderId="10" xfId="0" applyNumberFormat="1" applyFont="1" applyFill="1" applyBorder="1" applyAlignment="1" applyProtection="1">
      <alignment horizontal="center" vertical="top"/>
    </xf>
    <xf numFmtId="49" fontId="1" fillId="26" borderId="2" xfId="0" applyNumberFormat="1" applyFont="1" applyFill="1" applyBorder="1" applyAlignment="1" applyProtection="1">
      <alignment vertical="top"/>
    </xf>
    <xf numFmtId="2" fontId="1" fillId="26" borderId="2" xfId="0" applyNumberFormat="1" applyFont="1" applyFill="1" applyBorder="1" applyAlignment="1" applyProtection="1">
      <alignment vertical="top"/>
    </xf>
    <xf numFmtId="0" fontId="4" fillId="26" borderId="0" xfId="2" applyFont="1" applyFill="1" applyBorder="1" applyProtection="1">
      <alignment horizontal="center" vertical="center"/>
    </xf>
    <xf numFmtId="1" fontId="1" fillId="26" borderId="2" xfId="0" applyNumberFormat="1" applyFont="1" applyFill="1" applyBorder="1" applyAlignment="1" applyProtection="1">
      <alignment horizontal="center" vertical="top"/>
    </xf>
    <xf numFmtId="49" fontId="7" fillId="26" borderId="2" xfId="0" applyNumberFormat="1" applyFont="1" applyFill="1" applyBorder="1" applyAlignment="1" applyProtection="1">
      <alignment vertical="top"/>
    </xf>
    <xf numFmtId="9" fontId="1" fillId="26" borderId="0" xfId="7" applyFont="1" applyFill="1" applyBorder="1" applyAlignment="1" applyProtection="1">
      <alignment horizontal="center" vertical="top"/>
    </xf>
    <xf numFmtId="9" fontId="1" fillId="26" borderId="0" xfId="7" applyFont="1" applyFill="1" applyBorder="1" applyAlignment="1" applyProtection="1">
      <alignment vertical="top"/>
    </xf>
    <xf numFmtId="1" fontId="1" fillId="26" borderId="0" xfId="0" applyNumberFormat="1" applyFont="1" applyFill="1" applyBorder="1" applyAlignment="1" applyProtection="1">
      <alignment vertical="top"/>
    </xf>
    <xf numFmtId="0" fontId="1" fillId="26" borderId="2" xfId="0" applyFont="1" applyFill="1" applyBorder="1" applyProtection="1"/>
    <xf numFmtId="0" fontId="3" fillId="26" borderId="0" xfId="1" applyFont="1" applyFill="1" applyBorder="1" applyProtection="1">
      <alignment horizontal="center" vertical="center"/>
    </xf>
    <xf numFmtId="0" fontId="1" fillId="26" borderId="0" xfId="0" applyFont="1" applyFill="1" applyBorder="1" applyProtection="1"/>
    <xf numFmtId="167" fontId="1" fillId="26" borderId="0" xfId="7" applyNumberFormat="1" applyFont="1" applyFill="1" applyBorder="1" applyAlignment="1" applyProtection="1">
      <alignment vertical="top"/>
    </xf>
    <xf numFmtId="3" fontId="6" fillId="26" borderId="2" xfId="0" applyNumberFormat="1" applyFont="1" applyFill="1" applyBorder="1" applyAlignment="1" applyProtection="1">
      <alignment horizontal="left"/>
    </xf>
    <xf numFmtId="3" fontId="3" fillId="26" borderId="0" xfId="1" applyNumberFormat="1" applyFont="1" applyFill="1" applyBorder="1" applyProtection="1">
      <alignment horizontal="center" vertical="center"/>
    </xf>
    <xf numFmtId="3" fontId="4" fillId="26" borderId="0" xfId="2" applyNumberFormat="1" applyFont="1" applyFill="1" applyBorder="1" applyProtection="1">
      <alignment horizontal="center" vertical="center"/>
    </xf>
    <xf numFmtId="3" fontId="6" fillId="26" borderId="5" xfId="0" applyNumberFormat="1" applyFont="1" applyFill="1" applyBorder="1" applyAlignment="1" applyProtection="1">
      <alignment horizontal="left" vertical="top"/>
    </xf>
    <xf numFmtId="49" fontId="1" fillId="26" borderId="0" xfId="0" applyNumberFormat="1" applyFont="1" applyFill="1" applyBorder="1" applyAlignment="1" applyProtection="1">
      <alignment vertical="top"/>
    </xf>
    <xf numFmtId="2" fontId="7" fillId="26" borderId="2" xfId="0" applyNumberFormat="1" applyFont="1" applyFill="1" applyBorder="1" applyAlignment="1" applyProtection="1">
      <alignment horizontal="right" vertical="top"/>
    </xf>
    <xf numFmtId="3" fontId="7" fillId="26" borderId="10" xfId="0" applyNumberFormat="1" applyFont="1" applyFill="1" applyBorder="1" applyAlignment="1" applyProtection="1">
      <alignment horizontal="right" vertical="top"/>
    </xf>
    <xf numFmtId="0" fontId="3" fillId="26" borderId="10" xfId="1" applyFont="1" applyFill="1" applyBorder="1" applyProtection="1">
      <alignment horizontal="center" vertical="center"/>
    </xf>
    <xf numFmtId="3" fontId="7" fillId="26" borderId="5" xfId="0" applyNumberFormat="1" applyFont="1" applyFill="1" applyBorder="1" applyAlignment="1" applyProtection="1">
      <alignment vertical="top"/>
    </xf>
    <xf numFmtId="2" fontId="1" fillId="26" borderId="2" xfId="0" applyNumberFormat="1" applyFont="1" applyFill="1" applyBorder="1" applyAlignment="1" applyProtection="1">
      <alignment horizontal="left" vertical="top"/>
    </xf>
    <xf numFmtId="2" fontId="1" fillId="26" borderId="54" xfId="0" applyNumberFormat="1" applyFont="1" applyFill="1" applyBorder="1" applyAlignment="1" applyProtection="1">
      <alignment horizontal="center" vertical="center"/>
    </xf>
    <xf numFmtId="2" fontId="1" fillId="26" borderId="60" xfId="0" applyNumberFormat="1" applyFont="1" applyFill="1" applyBorder="1" applyAlignment="1" applyProtection="1">
      <alignment horizontal="center" vertical="center"/>
    </xf>
    <xf numFmtId="2" fontId="1" fillId="26" borderId="55" xfId="0" applyNumberFormat="1" applyFont="1" applyFill="1" applyBorder="1" applyAlignment="1" applyProtection="1">
      <alignment horizontal="center" vertical="center"/>
    </xf>
    <xf numFmtId="0" fontId="0" fillId="0" borderId="0" xfId="0" applyProtection="1"/>
    <xf numFmtId="3" fontId="1" fillId="10" borderId="1" xfId="0" applyNumberFormat="1" applyFont="1" applyFill="1" applyBorder="1" applyAlignment="1">
      <alignment horizontal="center" vertical="center"/>
    </xf>
    <xf numFmtId="3" fontId="1" fillId="10" borderId="39" xfId="0" applyNumberFormat="1" applyFont="1" applyFill="1" applyBorder="1" applyAlignment="1">
      <alignment horizontal="center" vertical="center"/>
    </xf>
    <xf numFmtId="0" fontId="1" fillId="26" borderId="2" xfId="0" applyFont="1" applyFill="1" applyBorder="1" applyAlignment="1" applyProtection="1">
      <alignment horizontal="center" vertical="center"/>
    </xf>
    <xf numFmtId="0" fontId="32" fillId="25" borderId="0" xfId="0" applyFont="1" applyFill="1" applyBorder="1" applyAlignment="1" applyProtection="1">
      <alignment vertical="center"/>
    </xf>
    <xf numFmtId="0" fontId="1" fillId="25" borderId="0" xfId="0" applyFont="1" applyFill="1" applyBorder="1" applyAlignment="1" applyProtection="1">
      <alignment vertical="center"/>
    </xf>
    <xf numFmtId="2" fontId="1" fillId="25" borderId="0" xfId="0" applyNumberFormat="1" applyFont="1" applyFill="1" applyBorder="1" applyAlignment="1" applyProtection="1">
      <alignment vertical="center"/>
    </xf>
    <xf numFmtId="0" fontId="0" fillId="24" borderId="0" xfId="0" applyFill="1" applyProtection="1"/>
    <xf numFmtId="2" fontId="1" fillId="26" borderId="0" xfId="0" applyNumberFormat="1" applyFont="1" applyFill="1" applyAlignment="1" applyProtection="1">
      <alignment vertical="center"/>
    </xf>
    <xf numFmtId="0" fontId="1" fillId="26" borderId="25" xfId="0" applyFont="1" applyFill="1" applyBorder="1" applyAlignment="1" applyProtection="1">
      <alignment horizontal="left" vertical="center"/>
    </xf>
    <xf numFmtId="0" fontId="1" fillId="26" borderId="5" xfId="0" applyFont="1" applyFill="1" applyBorder="1" applyAlignment="1" applyProtection="1">
      <alignment vertical="center"/>
    </xf>
    <xf numFmtId="0" fontId="1" fillId="26" borderId="4" xfId="0" applyFont="1" applyFill="1" applyBorder="1" applyAlignment="1" applyProtection="1">
      <alignment vertical="center"/>
    </xf>
    <xf numFmtId="0" fontId="1" fillId="26" borderId="4" xfId="0" applyFont="1" applyFill="1" applyBorder="1" applyAlignment="1" applyProtection="1">
      <alignment horizontal="center" vertical="center"/>
    </xf>
    <xf numFmtId="0" fontId="1" fillId="26" borderId="12" xfId="0" applyFont="1" applyFill="1" applyBorder="1" applyAlignment="1" applyProtection="1">
      <alignment horizontal="left" vertical="center"/>
    </xf>
    <xf numFmtId="0" fontId="1" fillId="26" borderId="11" xfId="0" applyFont="1" applyFill="1" applyBorder="1" applyAlignment="1" applyProtection="1">
      <alignment vertical="center"/>
    </xf>
    <xf numFmtId="0" fontId="1" fillId="26" borderId="1" xfId="0" applyFont="1" applyFill="1" applyBorder="1" applyAlignment="1" applyProtection="1">
      <alignment horizontal="center" vertical="center"/>
    </xf>
    <xf numFmtId="0" fontId="1" fillId="26" borderId="5" xfId="0" applyFont="1" applyFill="1" applyBorder="1" applyProtection="1"/>
    <xf numFmtId="0" fontId="1" fillId="26" borderId="5" xfId="0" applyFont="1" applyFill="1" applyBorder="1" applyAlignment="1" applyProtection="1">
      <alignment horizontal="left" vertical="center"/>
    </xf>
    <xf numFmtId="0" fontId="2" fillId="26" borderId="0" xfId="0" applyFont="1" applyFill="1" applyBorder="1" applyAlignment="1" applyProtection="1">
      <alignment horizontal="left" vertical="center"/>
    </xf>
    <xf numFmtId="0" fontId="9" fillId="26" borderId="0" xfId="0" applyFont="1" applyFill="1" applyBorder="1" applyAlignment="1" applyProtection="1">
      <alignment horizontal="center" vertical="center"/>
    </xf>
    <xf numFmtId="2" fontId="9" fillId="26" borderId="0" xfId="0" applyNumberFormat="1" applyFont="1" applyFill="1" applyBorder="1" applyAlignment="1" applyProtection="1">
      <alignment horizontal="center" vertical="center"/>
    </xf>
    <xf numFmtId="0" fontId="1" fillId="26" borderId="3" xfId="0" applyFont="1" applyFill="1" applyBorder="1" applyAlignment="1" applyProtection="1">
      <alignment vertical="center"/>
    </xf>
    <xf numFmtId="0" fontId="6" fillId="26" borderId="0" xfId="0" applyFont="1" applyFill="1" applyBorder="1" applyAlignment="1" applyProtection="1">
      <alignment horizontal="center" vertical="center"/>
    </xf>
    <xf numFmtId="0" fontId="6" fillId="26" borderId="0" xfId="0" applyFont="1" applyFill="1" applyAlignment="1" applyProtection="1">
      <alignment vertical="center"/>
    </xf>
    <xf numFmtId="2" fontId="1" fillId="26" borderId="9" xfId="0" applyNumberFormat="1" applyFont="1" applyFill="1" applyBorder="1" applyAlignment="1" applyProtection="1">
      <alignment horizontal="center" vertical="center"/>
    </xf>
    <xf numFmtId="0" fontId="15" fillId="26" borderId="2" xfId="1" applyFont="1" applyFill="1" applyBorder="1" applyAlignment="1" applyProtection="1">
      <alignment horizontal="right" vertical="center"/>
    </xf>
    <xf numFmtId="0" fontId="15" fillId="26" borderId="5" xfId="1" applyFont="1" applyFill="1" applyBorder="1" applyAlignment="1" applyProtection="1">
      <alignment horizontal="right" vertical="center"/>
    </xf>
    <xf numFmtId="0" fontId="1" fillId="26" borderId="5" xfId="0" applyFont="1" applyFill="1" applyBorder="1" applyAlignment="1" applyProtection="1">
      <alignment horizontal="center" vertical="center"/>
    </xf>
    <xf numFmtId="0" fontId="7" fillId="26" borderId="2" xfId="0" applyFont="1" applyFill="1" applyBorder="1" applyAlignment="1" applyProtection="1">
      <alignment horizontal="right" vertical="center"/>
    </xf>
    <xf numFmtId="0" fontId="1" fillId="26" borderId="10" xfId="0" applyFont="1" applyFill="1" applyBorder="1" applyAlignment="1" applyProtection="1">
      <alignment horizontal="center" vertical="center"/>
    </xf>
    <xf numFmtId="0" fontId="7" fillId="26" borderId="5" xfId="0" applyFont="1" applyFill="1" applyBorder="1" applyAlignment="1" applyProtection="1">
      <alignment horizontal="right" vertical="center"/>
    </xf>
    <xf numFmtId="0" fontId="1" fillId="26" borderId="12" xfId="0" applyFont="1" applyFill="1" applyBorder="1" applyAlignment="1" applyProtection="1">
      <alignment vertical="center"/>
    </xf>
    <xf numFmtId="2" fontId="1" fillId="26" borderId="11" xfId="0" applyNumberFormat="1" applyFont="1" applyFill="1" applyBorder="1" applyAlignment="1" applyProtection="1">
      <alignment horizontal="center" vertical="center"/>
    </xf>
    <xf numFmtId="2" fontId="1" fillId="0" borderId="0" xfId="0" applyNumberFormat="1" applyFont="1" applyAlignment="1" applyProtection="1">
      <alignment vertical="center"/>
    </xf>
    <xf numFmtId="3" fontId="6" fillId="26" borderId="0" xfId="0" applyNumberFormat="1" applyFont="1" applyFill="1" applyBorder="1" applyAlignment="1" applyProtection="1">
      <alignment horizontal="left" vertical="top"/>
    </xf>
    <xf numFmtId="3" fontId="52" fillId="26" borderId="5" xfId="0" applyNumberFormat="1" applyFont="1" applyFill="1" applyBorder="1" applyAlignment="1" applyProtection="1">
      <alignment horizontal="left" vertical="center"/>
    </xf>
    <xf numFmtId="2" fontId="51" fillId="26" borderId="0" xfId="0" applyNumberFormat="1" applyFont="1" applyFill="1" applyBorder="1" applyAlignment="1" applyProtection="1">
      <alignment vertical="center"/>
    </xf>
    <xf numFmtId="0" fontId="1" fillId="26" borderId="1" xfId="0" applyFont="1" applyFill="1" applyBorder="1" applyAlignment="1">
      <alignment horizontal="center" vertical="center"/>
    </xf>
    <xf numFmtId="0" fontId="6" fillId="26" borderId="10" xfId="0" applyFont="1" applyFill="1" applyBorder="1" applyAlignment="1" applyProtection="1">
      <alignment horizontal="center" vertical="center"/>
    </xf>
    <xf numFmtId="0" fontId="1" fillId="26" borderId="0" xfId="0" applyFont="1" applyFill="1" applyAlignment="1" applyProtection="1">
      <alignment horizontal="right" vertical="center"/>
    </xf>
    <xf numFmtId="0" fontId="3" fillId="26" borderId="0" xfId="1" applyFont="1" applyFill="1" applyBorder="1" applyAlignment="1" applyProtection="1">
      <alignment horizontal="center" vertical="center"/>
    </xf>
    <xf numFmtId="0" fontId="1" fillId="26" borderId="0" xfId="0" applyFont="1" applyFill="1" applyBorder="1" applyAlignment="1">
      <alignment vertical="center"/>
    </xf>
    <xf numFmtId="0" fontId="1" fillId="26" borderId="0" xfId="0" applyFont="1" applyFill="1" applyAlignment="1" applyProtection="1">
      <alignment horizontal="right" vertical="center"/>
    </xf>
    <xf numFmtId="0" fontId="3" fillId="26" borderId="0" xfId="1" applyFont="1" applyFill="1" applyBorder="1" applyAlignment="1" applyProtection="1">
      <alignment horizontal="center" vertical="center"/>
    </xf>
    <xf numFmtId="0" fontId="5" fillId="25" borderId="0" xfId="0" applyFont="1" applyFill="1" applyBorder="1" applyAlignment="1" applyProtection="1">
      <alignment vertical="center"/>
    </xf>
    <xf numFmtId="0" fontId="1" fillId="24" borderId="0" xfId="0" applyFont="1" applyFill="1" applyBorder="1" applyProtection="1"/>
    <xf numFmtId="0" fontId="1" fillId="26" borderId="0" xfId="0" applyFont="1" applyFill="1" applyBorder="1" applyAlignment="1" applyProtection="1">
      <alignment horizontal="left" vertical="center"/>
    </xf>
    <xf numFmtId="0" fontId="0" fillId="26" borderId="5" xfId="0" applyFill="1" applyBorder="1" applyAlignment="1" applyProtection="1">
      <alignment horizontal="center" vertical="center"/>
    </xf>
    <xf numFmtId="0" fontId="0" fillId="26" borderId="4" xfId="0" applyFill="1" applyBorder="1" applyAlignment="1" applyProtection="1">
      <alignment horizontal="center" vertical="center"/>
    </xf>
    <xf numFmtId="0" fontId="0" fillId="26" borderId="2" xfId="0" applyFill="1" applyBorder="1" applyAlignment="1" applyProtection="1">
      <alignment horizontal="center" vertical="center"/>
    </xf>
    <xf numFmtId="0" fontId="0" fillId="26" borderId="11" xfId="0" applyFill="1" applyBorder="1" applyAlignment="1" applyProtection="1">
      <alignment horizontal="center" vertical="center"/>
    </xf>
    <xf numFmtId="0" fontId="1" fillId="26" borderId="0" xfId="0" applyFont="1" applyFill="1" applyAlignment="1" applyProtection="1">
      <alignment horizontal="center" vertical="center"/>
    </xf>
    <xf numFmtId="0" fontId="1" fillId="26" borderId="4" xfId="0" applyFont="1" applyFill="1" applyBorder="1" applyAlignment="1" applyProtection="1">
      <alignment horizontal="left" vertical="center"/>
    </xf>
    <xf numFmtId="0" fontId="6" fillId="26" borderId="0" xfId="0" applyFont="1" applyFill="1" applyAlignment="1" applyProtection="1">
      <alignment horizontal="left" vertical="center"/>
    </xf>
    <xf numFmtId="0" fontId="6" fillId="26" borderId="0" xfId="0" applyFont="1" applyFill="1" applyBorder="1" applyAlignment="1" applyProtection="1">
      <alignment vertical="center"/>
    </xf>
    <xf numFmtId="0" fontId="1" fillId="26" borderId="1" xfId="0" applyFont="1" applyFill="1" applyBorder="1" applyAlignment="1" applyProtection="1">
      <alignment horizontal="center" vertical="center"/>
    </xf>
    <xf numFmtId="0" fontId="1" fillId="26" borderId="1" xfId="0" applyFont="1" applyFill="1" applyBorder="1" applyAlignment="1" applyProtection="1">
      <alignment vertical="center"/>
    </xf>
    <xf numFmtId="0" fontId="26" fillId="26" borderId="0" xfId="0" applyFont="1" applyFill="1" applyProtection="1"/>
    <xf numFmtId="175" fontId="1" fillId="26" borderId="1" xfId="0" applyNumberFormat="1" applyFont="1" applyFill="1" applyBorder="1" applyAlignment="1" applyProtection="1">
      <alignment vertical="center"/>
    </xf>
    <xf numFmtId="175" fontId="1" fillId="26" borderId="6" xfId="0" applyNumberFormat="1" applyFont="1" applyFill="1" applyBorder="1" applyAlignment="1" applyProtection="1">
      <alignment vertical="center"/>
    </xf>
    <xf numFmtId="0" fontId="1" fillId="26" borderId="0" xfId="0" applyFont="1" applyFill="1" applyBorder="1" applyAlignment="1" applyProtection="1">
      <alignment horizontal="right" vertical="center"/>
    </xf>
    <xf numFmtId="0" fontId="26" fillId="26" borderId="0" xfId="0" applyFont="1" applyFill="1" applyBorder="1" applyProtection="1"/>
    <xf numFmtId="0" fontId="1" fillId="26" borderId="36" xfId="0" applyFont="1" applyFill="1" applyBorder="1" applyAlignment="1" applyProtection="1">
      <alignment horizontal="center" vertical="center"/>
    </xf>
    <xf numFmtId="0" fontId="1" fillId="0" borderId="0" xfId="0" applyFont="1" applyFill="1" applyAlignment="1" applyProtection="1">
      <alignment vertical="center"/>
    </xf>
    <xf numFmtId="0" fontId="1" fillId="25" borderId="0" xfId="0" applyFont="1" applyFill="1" applyBorder="1" applyProtection="1"/>
    <xf numFmtId="0" fontId="1" fillId="0" borderId="0" xfId="0" applyFont="1" applyBorder="1" applyProtection="1"/>
    <xf numFmtId="0" fontId="35" fillId="26" borderId="0" xfId="0" applyFont="1" applyFill="1" applyAlignment="1" applyProtection="1">
      <alignment horizontal="left" vertical="center"/>
    </xf>
    <xf numFmtId="0" fontId="0" fillId="26" borderId="0" xfId="0" applyFill="1" applyAlignment="1" applyProtection="1">
      <alignment horizontal="center"/>
    </xf>
    <xf numFmtId="0" fontId="1" fillId="26" borderId="0" xfId="0" applyFont="1" applyFill="1" applyBorder="1" applyAlignment="1" applyProtection="1">
      <alignment horizontal="center"/>
    </xf>
    <xf numFmtId="1" fontId="1" fillId="26" borderId="0" xfId="0" applyNumberFormat="1" applyFont="1" applyFill="1" applyBorder="1" applyAlignment="1" applyProtection="1">
      <alignment horizontal="center"/>
    </xf>
    <xf numFmtId="0" fontId="0" fillId="26" borderId="0" xfId="0" applyFill="1" applyAlignment="1" applyProtection="1"/>
    <xf numFmtId="0" fontId="1" fillId="26" borderId="5" xfId="0" applyFont="1" applyFill="1" applyBorder="1" applyAlignment="1" applyProtection="1">
      <alignment horizontal="center"/>
    </xf>
    <xf numFmtId="0" fontId="1" fillId="26" borderId="4" xfId="0" applyFont="1" applyFill="1" applyBorder="1" applyProtection="1"/>
    <xf numFmtId="0" fontId="0" fillId="26" borderId="10" xfId="0" applyFill="1" applyBorder="1" applyAlignment="1" applyProtection="1">
      <alignment horizontal="center" vertical="center"/>
    </xf>
    <xf numFmtId="49" fontId="1" fillId="26" borderId="7" xfId="0" applyNumberFormat="1" applyFont="1" applyFill="1" applyBorder="1" applyAlignment="1" applyProtection="1">
      <alignment horizontal="center" vertical="center"/>
    </xf>
    <xf numFmtId="0" fontId="1" fillId="26" borderId="0" xfId="0" applyFont="1" applyFill="1" applyBorder="1" applyAlignment="1" applyProtection="1">
      <alignment horizontal="right"/>
    </xf>
    <xf numFmtId="0" fontId="1" fillId="26" borderId="7" xfId="0" applyFont="1" applyFill="1" applyBorder="1" applyAlignment="1" applyProtection="1">
      <alignment horizontal="center" vertical="center"/>
    </xf>
    <xf numFmtId="1" fontId="1" fillId="26" borderId="0" xfId="0" applyNumberFormat="1" applyFont="1" applyFill="1" applyAlignment="1" applyProtection="1">
      <alignment horizontal="center" vertical="center"/>
    </xf>
    <xf numFmtId="0" fontId="2" fillId="26" borderId="0" xfId="0" applyFont="1" applyFill="1" applyBorder="1" applyAlignment="1" applyProtection="1">
      <alignment horizontal="center"/>
    </xf>
    <xf numFmtId="0" fontId="47" fillId="26" borderId="0" xfId="0" applyFont="1" applyFill="1" applyBorder="1" applyAlignment="1" applyProtection="1">
      <alignment horizontal="center"/>
    </xf>
    <xf numFmtId="0" fontId="48" fillId="26" borderId="0" xfId="1" applyFont="1" applyFill="1" applyBorder="1" applyAlignment="1" applyProtection="1">
      <alignment horizontal="right" vertical="center"/>
    </xf>
    <xf numFmtId="0" fontId="48" fillId="26" borderId="0" xfId="1" applyFont="1" applyFill="1" applyBorder="1" applyAlignment="1" applyProtection="1">
      <alignment horizontal="center" vertical="center"/>
    </xf>
    <xf numFmtId="0" fontId="48" fillId="26" borderId="0" xfId="1" applyFont="1" applyFill="1" applyBorder="1" applyAlignment="1" applyProtection="1">
      <alignment horizontal="left" vertical="center"/>
    </xf>
    <xf numFmtId="0" fontId="48" fillId="26" borderId="0" xfId="1" applyFont="1" applyFill="1" applyBorder="1" applyProtection="1">
      <alignment horizontal="center" vertical="center"/>
    </xf>
    <xf numFmtId="0" fontId="48" fillId="26" borderId="0" xfId="1" applyFont="1" applyFill="1" applyBorder="1" applyAlignment="1" applyProtection="1">
      <alignment horizontal="center" vertical="center" wrapText="1"/>
    </xf>
    <xf numFmtId="0" fontId="3" fillId="26" borderId="0" xfId="1" applyFont="1" applyFill="1" applyBorder="1" applyAlignment="1" applyProtection="1">
      <alignment vertical="center"/>
    </xf>
    <xf numFmtId="1" fontId="3" fillId="26" borderId="0" xfId="1" applyNumberFormat="1" applyFont="1" applyFill="1" applyBorder="1" applyAlignment="1" applyProtection="1">
      <alignment horizontal="center" vertical="center"/>
    </xf>
    <xf numFmtId="1" fontId="4" fillId="26" borderId="0" xfId="2" applyNumberFormat="1" applyFont="1" applyFill="1" applyBorder="1" applyAlignment="1" applyProtection="1">
      <alignment horizontal="center" vertical="center"/>
    </xf>
    <xf numFmtId="0" fontId="51" fillId="24" borderId="0" xfId="0" applyFont="1" applyFill="1" applyBorder="1" applyAlignment="1" applyProtection="1">
      <alignment vertical="center"/>
    </xf>
    <xf numFmtId="0" fontId="52" fillId="26" borderId="0" xfId="0" applyNumberFormat="1" applyFont="1" applyFill="1" applyBorder="1" applyAlignment="1" applyProtection="1">
      <alignment horizontal="right" vertical="center"/>
    </xf>
    <xf numFmtId="49" fontId="51" fillId="26" borderId="0" xfId="0" applyNumberFormat="1" applyFont="1" applyFill="1" applyBorder="1" applyAlignment="1" applyProtection="1">
      <alignment horizontal="left" vertical="center"/>
    </xf>
    <xf numFmtId="0" fontId="52" fillId="26" borderId="0" xfId="0" applyFont="1" applyFill="1" applyBorder="1" applyAlignment="1" applyProtection="1">
      <alignment vertical="center"/>
    </xf>
    <xf numFmtId="0" fontId="31" fillId="26" borderId="0" xfId="0" applyFont="1" applyFill="1" applyBorder="1" applyAlignment="1" applyProtection="1">
      <alignment vertical="center"/>
    </xf>
    <xf numFmtId="0" fontId="31" fillId="26" borderId="0" xfId="0" applyFont="1" applyFill="1" applyAlignment="1" applyProtection="1">
      <alignment horizontal="center" vertical="center"/>
    </xf>
    <xf numFmtId="4" fontId="51" fillId="26" borderId="0" xfId="0" applyNumberFormat="1" applyFont="1" applyFill="1" applyBorder="1" applyAlignment="1" applyProtection="1">
      <alignment vertical="center"/>
    </xf>
    <xf numFmtId="2" fontId="51" fillId="26" borderId="0" xfId="0" applyNumberFormat="1" applyFont="1" applyFill="1" applyBorder="1" applyAlignment="1" applyProtection="1">
      <alignment horizontal="center" vertical="center"/>
    </xf>
    <xf numFmtId="1" fontId="51" fillId="26" borderId="0" xfId="0" applyNumberFormat="1" applyFont="1" applyFill="1" applyBorder="1" applyAlignment="1" applyProtection="1">
      <alignment horizontal="center" vertical="center"/>
    </xf>
    <xf numFmtId="0" fontId="51" fillId="0" borderId="0" xfId="0" applyFont="1" applyBorder="1" applyAlignment="1" applyProtection="1">
      <alignment vertical="center"/>
    </xf>
    <xf numFmtId="0" fontId="6" fillId="26" borderId="0" xfId="0" applyNumberFormat="1" applyFont="1" applyFill="1" applyBorder="1" applyAlignment="1" applyProtection="1">
      <alignment horizontal="right" vertical="center"/>
    </xf>
    <xf numFmtId="49" fontId="34" fillId="26" borderId="0" xfId="0" applyNumberFormat="1" applyFont="1" applyFill="1" applyBorder="1" applyAlignment="1" applyProtection="1">
      <alignment horizontal="left" vertical="center"/>
    </xf>
    <xf numFmtId="0" fontId="6" fillId="26" borderId="0" xfId="0" applyFont="1" applyFill="1" applyBorder="1" applyProtection="1"/>
    <xf numFmtId="49" fontId="6" fillId="26" borderId="0" xfId="0" applyNumberFormat="1" applyFont="1" applyFill="1" applyBorder="1" applyAlignment="1" applyProtection="1">
      <alignment vertical="top"/>
    </xf>
    <xf numFmtId="0" fontId="0" fillId="26" borderId="0" xfId="0" applyFill="1" applyBorder="1" applyAlignment="1" applyProtection="1"/>
    <xf numFmtId="4" fontId="1" fillId="26" borderId="0" xfId="0" applyNumberFormat="1" applyFont="1" applyFill="1" applyBorder="1" applyAlignment="1" applyProtection="1">
      <alignment vertical="top"/>
    </xf>
    <xf numFmtId="0" fontId="6" fillId="26" borderId="0" xfId="0" applyNumberFormat="1" applyFont="1" applyFill="1" applyBorder="1" applyAlignment="1" applyProtection="1">
      <alignment vertical="center"/>
    </xf>
    <xf numFmtId="49" fontId="6" fillId="26" borderId="0" xfId="0" applyNumberFormat="1" applyFont="1" applyFill="1" applyBorder="1" applyAlignment="1" applyProtection="1">
      <alignment vertical="top"/>
    </xf>
    <xf numFmtId="0" fontId="0" fillId="26" borderId="0" xfId="0" applyFill="1" applyBorder="1" applyAlignment="1" applyProtection="1"/>
    <xf numFmtId="0" fontId="0" fillId="26" borderId="0" xfId="0" applyFill="1" applyBorder="1" applyAlignment="1" applyProtection="1">
      <alignment horizontal="center"/>
    </xf>
    <xf numFmtId="49" fontId="1" fillId="26" borderId="0" xfId="0" applyNumberFormat="1" applyFont="1" applyFill="1" applyBorder="1" applyAlignment="1" applyProtection="1">
      <alignment horizontal="center" vertical="top"/>
    </xf>
    <xf numFmtId="49" fontId="1" fillId="26" borderId="3" xfId="0" applyNumberFormat="1" applyFont="1" applyFill="1" applyBorder="1" applyAlignment="1" applyProtection="1">
      <alignment vertical="top"/>
    </xf>
    <xf numFmtId="49" fontId="6" fillId="26" borderId="2" xfId="0" applyNumberFormat="1" applyFont="1" applyFill="1" applyBorder="1" applyAlignment="1" applyProtection="1">
      <alignment vertical="center"/>
    </xf>
    <xf numFmtId="49" fontId="6" fillId="26" borderId="2" xfId="0" applyNumberFormat="1" applyFont="1" applyFill="1" applyBorder="1" applyAlignment="1" applyProtection="1">
      <alignment vertical="top"/>
    </xf>
    <xf numFmtId="0" fontId="0" fillId="26" borderId="2" xfId="0" applyFill="1" applyBorder="1" applyAlignment="1" applyProtection="1"/>
    <xf numFmtId="0" fontId="0" fillId="26" borderId="2" xfId="0" applyFill="1" applyBorder="1" applyAlignment="1" applyProtection="1">
      <alignment horizontal="center"/>
    </xf>
    <xf numFmtId="0" fontId="4" fillId="26" borderId="2" xfId="2" applyFont="1" applyFill="1" applyBorder="1" applyProtection="1">
      <alignment horizontal="center" vertical="center"/>
    </xf>
    <xf numFmtId="1" fontId="1" fillId="26" borderId="2" xfId="0" applyNumberFormat="1" applyFont="1" applyFill="1" applyBorder="1" applyAlignment="1" applyProtection="1">
      <alignment horizontal="center"/>
    </xf>
    <xf numFmtId="0" fontId="0" fillId="26" borderId="0" xfId="0" applyFill="1" applyAlignment="1" applyProtection="1"/>
    <xf numFmtId="49" fontId="1" fillId="26" borderId="0" xfId="0" applyNumberFormat="1" applyFont="1" applyFill="1" applyBorder="1" applyAlignment="1" applyProtection="1">
      <alignment horizontal="left" vertical="top"/>
    </xf>
    <xf numFmtId="49" fontId="1" fillId="26" borderId="0" xfId="0" applyNumberFormat="1" applyFont="1" applyFill="1" applyBorder="1" applyAlignment="1" applyProtection="1">
      <alignment vertical="top"/>
    </xf>
    <xf numFmtId="49" fontId="7" fillId="26" borderId="0" xfId="0" applyNumberFormat="1" applyFont="1" applyFill="1" applyBorder="1" applyAlignment="1" applyProtection="1">
      <alignment vertical="top"/>
    </xf>
    <xf numFmtId="49" fontId="14" fillId="26" borderId="0" xfId="0" applyNumberFormat="1" applyFont="1" applyFill="1" applyBorder="1" applyAlignment="1" applyProtection="1">
      <alignment vertical="top"/>
    </xf>
    <xf numFmtId="0" fontId="13" fillId="26" borderId="0" xfId="0" applyFont="1" applyFill="1" applyBorder="1" applyAlignment="1" applyProtection="1"/>
    <xf numFmtId="2" fontId="1" fillId="26" borderId="2" xfId="0" applyNumberFormat="1" applyFont="1" applyFill="1" applyBorder="1" applyAlignment="1" applyProtection="1">
      <alignment horizontal="center" vertical="top"/>
    </xf>
    <xf numFmtId="49" fontId="6" fillId="26" borderId="0" xfId="0" applyNumberFormat="1" applyFont="1" applyFill="1" applyBorder="1" applyAlignment="1" applyProtection="1">
      <alignment vertical="center"/>
    </xf>
    <xf numFmtId="49" fontId="7" fillId="26" borderId="0" xfId="0" applyNumberFormat="1" applyFont="1" applyFill="1" applyBorder="1" applyAlignment="1" applyProtection="1">
      <alignment horizontal="center" vertical="top"/>
    </xf>
    <xf numFmtId="49" fontId="1" fillId="26" borderId="5" xfId="0" applyNumberFormat="1" applyFont="1" applyFill="1" applyBorder="1" applyAlignment="1" applyProtection="1">
      <alignment horizontal="center" vertical="top"/>
    </xf>
    <xf numFmtId="49" fontId="1" fillId="26" borderId="8" xfId="0" applyNumberFormat="1" applyFont="1" applyFill="1" applyBorder="1" applyAlignment="1" applyProtection="1">
      <alignment horizontal="center" vertical="top"/>
    </xf>
    <xf numFmtId="0" fontId="4" fillId="26" borderId="0" xfId="2" applyFont="1" applyFill="1" applyBorder="1" applyAlignment="1" applyProtection="1">
      <alignment horizontal="left" vertical="center"/>
    </xf>
    <xf numFmtId="2" fontId="1" fillId="26" borderId="9" xfId="0" applyNumberFormat="1" applyFont="1" applyFill="1" applyBorder="1" applyAlignment="1" applyProtection="1">
      <alignment vertical="top"/>
    </xf>
    <xf numFmtId="2" fontId="1" fillId="26" borderId="3" xfId="0" applyNumberFormat="1" applyFont="1" applyFill="1" applyBorder="1" applyAlignment="1" applyProtection="1">
      <alignment vertical="top"/>
    </xf>
    <xf numFmtId="2" fontId="1" fillId="26" borderId="8" xfId="0" applyNumberFormat="1" applyFont="1" applyFill="1" applyBorder="1" applyAlignment="1" applyProtection="1">
      <alignment vertical="top"/>
    </xf>
    <xf numFmtId="4" fontId="7" fillId="26" borderId="0" xfId="0" applyNumberFormat="1" applyFont="1" applyFill="1" applyBorder="1" applyAlignment="1" applyProtection="1">
      <alignment vertical="top"/>
    </xf>
    <xf numFmtId="3" fontId="1" fillId="26" borderId="0" xfId="0" applyNumberFormat="1" applyFont="1" applyFill="1" applyBorder="1" applyProtection="1"/>
    <xf numFmtId="3" fontId="1" fillId="26" borderId="8" xfId="0" applyNumberFormat="1" applyFont="1" applyFill="1" applyBorder="1" applyAlignment="1" applyProtection="1">
      <alignment horizontal="center" vertical="top"/>
    </xf>
    <xf numFmtId="0" fontId="0" fillId="26" borderId="0" xfId="0" applyFont="1" applyFill="1" applyAlignment="1" applyProtection="1">
      <alignment horizontal="center"/>
    </xf>
    <xf numFmtId="3" fontId="7" fillId="26" borderId="0" xfId="0" applyNumberFormat="1" applyFont="1" applyFill="1" applyBorder="1" applyAlignment="1" applyProtection="1">
      <alignment vertical="top"/>
    </xf>
    <xf numFmtId="1" fontId="1" fillId="26" borderId="5" xfId="0" applyNumberFormat="1" applyFont="1" applyFill="1" applyBorder="1" applyAlignment="1" applyProtection="1">
      <alignment horizontal="center" vertical="top"/>
    </xf>
    <xf numFmtId="4" fontId="1" fillId="26" borderId="0" xfId="0" applyNumberFormat="1" applyFont="1" applyFill="1" applyBorder="1" applyProtection="1"/>
    <xf numFmtId="49" fontId="1" fillId="26" borderId="1" xfId="0" applyNumberFormat="1" applyFont="1" applyFill="1" applyBorder="1" applyAlignment="1" applyProtection="1">
      <alignment horizontal="center" vertical="top"/>
    </xf>
    <xf numFmtId="1" fontId="1" fillId="26" borderId="10" xfId="0" applyNumberFormat="1" applyFont="1" applyFill="1" applyBorder="1" applyAlignment="1" applyProtection="1">
      <alignment horizontal="center" vertical="top"/>
    </xf>
    <xf numFmtId="49" fontId="1" fillId="26" borderId="0" xfId="0" applyNumberFormat="1" applyFont="1" applyFill="1" applyBorder="1" applyAlignment="1" applyProtection="1">
      <alignment horizontal="left" vertical="top"/>
    </xf>
    <xf numFmtId="4" fontId="0" fillId="26" borderId="0" xfId="0" applyNumberFormat="1" applyFill="1" applyAlignment="1" applyProtection="1"/>
    <xf numFmtId="3" fontId="0" fillId="26" borderId="0" xfId="0" applyNumberFormat="1" applyFill="1" applyAlignment="1" applyProtection="1"/>
    <xf numFmtId="49" fontId="1" fillId="26" borderId="4" xfId="0" applyNumberFormat="1" applyFont="1" applyFill="1" applyBorder="1" applyAlignment="1" applyProtection="1">
      <alignment horizontal="center" vertical="top"/>
    </xf>
    <xf numFmtId="49" fontId="7" fillId="26" borderId="0" xfId="0" applyNumberFormat="1" applyFont="1" applyFill="1" applyBorder="1" applyAlignment="1" applyProtection="1">
      <alignment horizontal="left" vertical="top"/>
    </xf>
    <xf numFmtId="49" fontId="1" fillId="26" borderId="10" xfId="0" applyNumberFormat="1" applyFont="1" applyFill="1" applyBorder="1" applyAlignment="1" applyProtection="1">
      <alignment horizontal="center" vertical="top"/>
    </xf>
    <xf numFmtId="49" fontId="7" fillId="26" borderId="8" xfId="0" applyNumberFormat="1" applyFont="1" applyFill="1" applyBorder="1" applyAlignment="1" applyProtection="1">
      <alignment horizontal="center" vertical="top"/>
    </xf>
    <xf numFmtId="4" fontId="1" fillId="31" borderId="4" xfId="0" applyNumberFormat="1" applyFont="1" applyFill="1" applyBorder="1" applyAlignment="1" applyProtection="1">
      <alignment vertical="top"/>
    </xf>
    <xf numFmtId="3" fontId="1" fillId="26" borderId="3" xfId="0" applyNumberFormat="1" applyFont="1" applyFill="1" applyBorder="1" applyAlignment="1" applyProtection="1">
      <alignment vertical="top"/>
    </xf>
    <xf numFmtId="49" fontId="7" fillId="26" borderId="2" xfId="0" applyNumberFormat="1" applyFont="1" applyFill="1" applyBorder="1" applyAlignment="1" applyProtection="1">
      <alignment horizontal="center" vertical="top"/>
    </xf>
    <xf numFmtId="4" fontId="7" fillId="26" borderId="2" xfId="0" applyNumberFormat="1" applyFont="1" applyFill="1" applyBorder="1" applyAlignment="1" applyProtection="1">
      <alignment vertical="top"/>
    </xf>
    <xf numFmtId="1" fontId="7" fillId="26" borderId="2" xfId="0" applyNumberFormat="1" applyFont="1" applyFill="1" applyBorder="1" applyAlignment="1" applyProtection="1">
      <alignment horizontal="center" vertical="top"/>
    </xf>
    <xf numFmtId="49" fontId="1" fillId="26" borderId="10" xfId="0" applyNumberFormat="1" applyFont="1" applyFill="1" applyBorder="1" applyAlignment="1" applyProtection="1">
      <alignment vertical="center"/>
    </xf>
    <xf numFmtId="49" fontId="1" fillId="26" borderId="10" xfId="0" applyNumberFormat="1" applyFont="1" applyFill="1" applyBorder="1" applyAlignment="1" applyProtection="1">
      <alignment vertical="top"/>
    </xf>
    <xf numFmtId="4" fontId="3" fillId="26" borderId="0" xfId="1" applyNumberFormat="1" applyFont="1" applyFill="1" applyBorder="1" applyProtection="1">
      <alignment horizontal="center" vertical="center"/>
    </xf>
    <xf numFmtId="49" fontId="16" fillId="26" borderId="5" xfId="0" applyNumberFormat="1" applyFont="1" applyFill="1" applyBorder="1" applyAlignment="1" applyProtection="1">
      <alignment horizontal="center" vertical="top"/>
    </xf>
    <xf numFmtId="49" fontId="16" fillId="26" borderId="8" xfId="0" applyNumberFormat="1" applyFont="1" applyFill="1" applyBorder="1" applyAlignment="1" applyProtection="1">
      <alignment horizontal="center" vertical="top"/>
    </xf>
    <xf numFmtId="49" fontId="1" fillId="26" borderId="3" xfId="0" applyNumberFormat="1" applyFont="1" applyFill="1" applyBorder="1" applyAlignment="1" applyProtection="1">
      <alignment horizontal="center" vertical="top"/>
    </xf>
    <xf numFmtId="2" fontId="1" fillId="26" borderId="8" xfId="0" applyNumberFormat="1" applyFont="1" applyFill="1" applyBorder="1" applyAlignment="1" applyProtection="1">
      <alignment horizontal="center" vertical="top"/>
    </xf>
    <xf numFmtId="0" fontId="1" fillId="26" borderId="0" xfId="0" applyFont="1" applyFill="1" applyBorder="1" applyAlignment="1" applyProtection="1">
      <alignment horizontal="left"/>
    </xf>
    <xf numFmtId="49" fontId="7" fillId="26" borderId="5" xfId="0" applyNumberFormat="1" applyFont="1" applyFill="1" applyBorder="1" applyAlignment="1" applyProtection="1">
      <alignment horizontal="center" vertical="top"/>
    </xf>
    <xf numFmtId="1" fontId="7" fillId="26" borderId="2" xfId="0" applyNumberFormat="1" applyFont="1" applyFill="1" applyBorder="1" applyAlignment="1" applyProtection="1">
      <alignment vertical="top"/>
    </xf>
    <xf numFmtId="0" fontId="3" fillId="26" borderId="10" xfId="1" applyFont="1" applyFill="1" applyBorder="1" applyAlignment="1" applyProtection="1">
      <alignment horizontal="center" vertical="center"/>
    </xf>
    <xf numFmtId="4" fontId="3" fillId="26" borderId="10" xfId="1" applyNumberFormat="1" applyFont="1" applyFill="1" applyBorder="1" applyProtection="1">
      <alignment horizontal="center" vertical="center"/>
    </xf>
    <xf numFmtId="0" fontId="7" fillId="26" borderId="0" xfId="0" applyFont="1" applyFill="1" applyBorder="1" applyAlignment="1" applyProtection="1">
      <alignment horizontal="center"/>
    </xf>
    <xf numFmtId="4" fontId="1" fillId="26" borderId="2" xfId="0" applyNumberFormat="1" applyFont="1" applyFill="1" applyBorder="1" applyProtection="1"/>
    <xf numFmtId="0" fontId="1" fillId="26" borderId="2" xfId="0" applyFont="1" applyFill="1" applyBorder="1" applyAlignment="1" applyProtection="1">
      <alignment horizontal="center"/>
    </xf>
    <xf numFmtId="1" fontId="1" fillId="26" borderId="2" xfId="0" applyNumberFormat="1" applyFont="1" applyFill="1" applyBorder="1" applyProtection="1"/>
    <xf numFmtId="0" fontId="6" fillId="26" borderId="2" xfId="0" applyFont="1" applyFill="1" applyBorder="1" applyProtection="1"/>
    <xf numFmtId="4" fontId="1" fillId="26" borderId="2" xfId="0" applyNumberFormat="1" applyFont="1" applyFill="1" applyBorder="1" applyAlignment="1" applyProtection="1">
      <alignment vertical="top"/>
    </xf>
    <xf numFmtId="1" fontId="1" fillId="26" borderId="2" xfId="0" applyNumberFormat="1" applyFont="1" applyFill="1" applyBorder="1" applyAlignment="1" applyProtection="1">
      <alignment vertical="top"/>
    </xf>
    <xf numFmtId="0" fontId="1" fillId="0" borderId="0" xfId="0" applyFont="1" applyBorder="1" applyAlignment="1" applyProtection="1">
      <alignment vertical="center"/>
    </xf>
    <xf numFmtId="0" fontId="1" fillId="0" borderId="0" xfId="0" applyFont="1" applyBorder="1" applyAlignment="1" applyProtection="1">
      <alignment horizontal="center"/>
    </xf>
    <xf numFmtId="0" fontId="1" fillId="0" borderId="0" xfId="0" applyFont="1" applyFill="1" applyBorder="1" applyAlignment="1" applyProtection="1">
      <alignment horizontal="center"/>
    </xf>
    <xf numFmtId="0" fontId="1" fillId="0" borderId="0" xfId="0" applyFont="1" applyFill="1" applyBorder="1" applyProtection="1"/>
    <xf numFmtId="1" fontId="1" fillId="0" borderId="0" xfId="0" applyNumberFormat="1" applyFont="1" applyBorder="1" applyAlignment="1" applyProtection="1">
      <alignment horizontal="center"/>
    </xf>
    <xf numFmtId="0" fontId="1" fillId="0" borderId="0" xfId="0" applyFont="1" applyFill="1" applyBorder="1" applyAlignment="1" applyProtection="1">
      <alignment vertical="center"/>
    </xf>
    <xf numFmtId="0" fontId="0" fillId="26" borderId="0" xfId="0" applyFill="1" applyBorder="1" applyAlignment="1" applyProtection="1">
      <alignment horizontal="center" vertical="center"/>
    </xf>
    <xf numFmtId="0" fontId="1" fillId="0" borderId="0" xfId="0" applyFont="1" applyFill="1" applyBorder="1" applyAlignment="1" applyProtection="1">
      <alignment horizontal="right" vertical="center"/>
    </xf>
    <xf numFmtId="0" fontId="1" fillId="0" borderId="0" xfId="0" applyFont="1" applyFill="1" applyBorder="1" applyAlignment="1" applyProtection="1">
      <alignment horizontal="center" vertical="center"/>
    </xf>
    <xf numFmtId="0" fontId="1" fillId="26" borderId="4" xfId="0" applyFont="1" applyFill="1" applyBorder="1" applyAlignment="1" applyProtection="1">
      <alignment horizontal="center" vertical="center"/>
    </xf>
    <xf numFmtId="49" fontId="1" fillId="26" borderId="1" xfId="0" applyNumberFormat="1" applyFont="1" applyFill="1" applyBorder="1" applyAlignment="1" applyProtection="1">
      <alignment horizontal="center" vertical="center"/>
    </xf>
    <xf numFmtId="0" fontId="11" fillId="26" borderId="0" xfId="0" applyFont="1" applyFill="1" applyBorder="1" applyAlignment="1" applyProtection="1">
      <alignment horizontal="left" vertical="center"/>
    </xf>
    <xf numFmtId="0" fontId="4" fillId="26" borderId="0" xfId="0" applyFont="1" applyFill="1" applyBorder="1" applyAlignment="1" applyProtection="1">
      <alignment vertical="center"/>
    </xf>
    <xf numFmtId="0" fontId="4" fillId="26" borderId="0" xfId="0" applyFont="1" applyFill="1" applyBorder="1" applyAlignment="1" applyProtection="1">
      <alignment horizontal="center" vertical="center"/>
    </xf>
    <xf numFmtId="0" fontId="6" fillId="26" borderId="5" xfId="0" applyFont="1" applyFill="1" applyBorder="1" applyAlignment="1" applyProtection="1">
      <alignment horizontal="right" vertical="center"/>
    </xf>
    <xf numFmtId="3" fontId="1" fillId="26" borderId="5" xfId="0" applyNumberFormat="1" applyFont="1" applyFill="1" applyBorder="1" applyAlignment="1" applyProtection="1">
      <alignment horizontal="center" vertical="center"/>
    </xf>
    <xf numFmtId="0" fontId="3" fillId="26" borderId="0" xfId="0" applyFont="1" applyFill="1" applyBorder="1" applyAlignment="1" applyProtection="1">
      <alignment horizontal="right" vertical="center"/>
    </xf>
    <xf numFmtId="0" fontId="1" fillId="26" borderId="20" xfId="0" applyFont="1" applyFill="1" applyBorder="1" applyAlignment="1" applyProtection="1">
      <alignment vertical="center"/>
    </xf>
    <xf numFmtId="0" fontId="6" fillId="26" borderId="36" xfId="0" applyFont="1" applyFill="1" applyBorder="1" applyAlignment="1" applyProtection="1">
      <alignment horizontal="right" vertical="center"/>
    </xf>
    <xf numFmtId="0" fontId="6" fillId="26" borderId="36" xfId="0" quotePrefix="1" applyFont="1" applyFill="1" applyBorder="1" applyAlignment="1" applyProtection="1">
      <alignment horizontal="right" vertical="center"/>
    </xf>
    <xf numFmtId="3" fontId="1" fillId="26" borderId="2" xfId="0" applyNumberFormat="1" applyFont="1" applyFill="1" applyBorder="1" applyAlignment="1" applyProtection="1">
      <alignment horizontal="center" vertical="center"/>
    </xf>
    <xf numFmtId="0" fontId="3" fillId="26" borderId="0" xfId="0" applyFont="1" applyFill="1" applyBorder="1" applyAlignment="1" applyProtection="1">
      <alignment horizontal="center" vertical="center"/>
    </xf>
    <xf numFmtId="167" fontId="4" fillId="26" borderId="36" xfId="0" applyNumberFormat="1" applyFont="1" applyFill="1" applyBorder="1" applyAlignment="1" applyProtection="1">
      <alignment horizontal="center" vertical="center"/>
    </xf>
    <xf numFmtId="167" fontId="1" fillId="26" borderId="0" xfId="0" applyNumberFormat="1" applyFont="1" applyFill="1" applyBorder="1" applyAlignment="1" applyProtection="1">
      <alignment horizontal="center" vertical="center"/>
    </xf>
    <xf numFmtId="0" fontId="1" fillId="26" borderId="37" xfId="0" applyFont="1" applyFill="1" applyBorder="1" applyAlignment="1" applyProtection="1">
      <alignment vertical="center"/>
    </xf>
    <xf numFmtId="0" fontId="6" fillId="26" borderId="37" xfId="0" applyFont="1" applyFill="1" applyBorder="1" applyAlignment="1" applyProtection="1">
      <alignment horizontal="right" vertical="center"/>
    </xf>
    <xf numFmtId="3" fontId="1" fillId="26" borderId="37" xfId="0" applyNumberFormat="1" applyFont="1" applyFill="1" applyBorder="1" applyAlignment="1" applyProtection="1">
      <alignment horizontal="center" vertical="center"/>
    </xf>
    <xf numFmtId="167" fontId="4" fillId="26" borderId="37" xfId="0" applyNumberFormat="1" applyFont="1" applyFill="1" applyBorder="1" applyAlignment="1" applyProtection="1">
      <alignment horizontal="center" vertical="center"/>
    </xf>
    <xf numFmtId="0" fontId="12" fillId="26" borderId="0" xfId="0" applyFont="1" applyFill="1" applyBorder="1" applyAlignment="1" applyProtection="1">
      <alignment horizontal="right" vertical="center"/>
    </xf>
    <xf numFmtId="167" fontId="4" fillId="26" borderId="2" xfId="0" applyNumberFormat="1" applyFont="1" applyFill="1" applyBorder="1" applyAlignment="1" applyProtection="1">
      <alignment horizontal="center" vertical="center"/>
    </xf>
    <xf numFmtId="0" fontId="12" fillId="26" borderId="5" xfId="0" applyFont="1" applyFill="1" applyBorder="1" applyAlignment="1" applyProtection="1">
      <alignment horizontal="right" vertical="center"/>
    </xf>
    <xf numFmtId="167" fontId="4" fillId="26" borderId="5" xfId="0" applyNumberFormat="1" applyFont="1" applyFill="1" applyBorder="1" applyAlignment="1" applyProtection="1">
      <alignment horizontal="center" vertical="center"/>
    </xf>
    <xf numFmtId="167" fontId="1" fillId="26" borderId="0" xfId="0" applyNumberFormat="1" applyFont="1" applyFill="1" applyBorder="1" applyAlignment="1" applyProtection="1">
      <alignment vertical="center"/>
    </xf>
    <xf numFmtId="0" fontId="3" fillId="26" borderId="0" xfId="0" applyFont="1" applyFill="1" applyBorder="1" applyAlignment="1" applyProtection="1">
      <alignment vertical="center"/>
    </xf>
    <xf numFmtId="0" fontId="3" fillId="26" borderId="10" xfId="0" applyFont="1" applyFill="1" applyBorder="1" applyAlignment="1" applyProtection="1">
      <alignment vertical="center"/>
    </xf>
    <xf numFmtId="3" fontId="1" fillId="26" borderId="1" xfId="0" applyNumberFormat="1" applyFont="1" applyFill="1" applyBorder="1" applyAlignment="1" applyProtection="1">
      <alignment horizontal="center" vertical="center"/>
    </xf>
    <xf numFmtId="2" fontId="1" fillId="26" borderId="0" xfId="0" applyNumberFormat="1" applyFont="1" applyFill="1" applyBorder="1" applyAlignment="1" applyProtection="1">
      <alignment horizontal="center" vertical="center"/>
    </xf>
    <xf numFmtId="0" fontId="49" fillId="26" borderId="0" xfId="0" applyFont="1" applyFill="1" applyBorder="1" applyAlignment="1" applyProtection="1">
      <alignment vertical="center"/>
    </xf>
    <xf numFmtId="0" fontId="1" fillId="26" borderId="10" xfId="0" applyFont="1" applyFill="1" applyBorder="1" applyAlignment="1" applyProtection="1">
      <alignment horizontal="right" vertical="center"/>
    </xf>
    <xf numFmtId="0" fontId="1" fillId="26" borderId="10" xfId="0" applyFont="1" applyFill="1" applyBorder="1" applyAlignment="1" applyProtection="1">
      <alignment vertical="center"/>
    </xf>
    <xf numFmtId="9" fontId="1" fillId="0" borderId="0" xfId="0" applyNumberFormat="1" applyFont="1" applyAlignment="1" applyProtection="1">
      <alignment vertical="center"/>
    </xf>
    <xf numFmtId="3" fontId="1" fillId="26" borderId="1" xfId="0" applyNumberFormat="1" applyFont="1" applyFill="1" applyBorder="1" applyAlignment="1" applyProtection="1">
      <alignment vertical="center"/>
    </xf>
    <xf numFmtId="0" fontId="28" fillId="26" borderId="0" xfId="0" applyFont="1" applyFill="1" applyBorder="1" applyAlignment="1" applyProtection="1">
      <alignment vertical="center"/>
    </xf>
    <xf numFmtId="49" fontId="6" fillId="26" borderId="0" xfId="0" applyNumberFormat="1" applyFont="1" applyFill="1" applyBorder="1" applyAlignment="1" applyProtection="1">
      <alignment vertical="center"/>
    </xf>
    <xf numFmtId="0" fontId="1" fillId="26" borderId="0" xfId="0" applyFont="1" applyFill="1" applyAlignment="1" applyProtection="1">
      <alignment vertical="center"/>
    </xf>
    <xf numFmtId="0" fontId="0" fillId="26" borderId="0" xfId="0" applyFill="1" applyAlignment="1" applyProtection="1">
      <alignment vertical="center"/>
    </xf>
    <xf numFmtId="49" fontId="1" fillId="26" borderId="2" xfId="0" applyNumberFormat="1" applyFont="1" applyFill="1" applyBorder="1" applyAlignment="1" applyProtection="1">
      <alignment horizontal="left" vertical="center"/>
    </xf>
    <xf numFmtId="0" fontId="3" fillId="26" borderId="2" xfId="1" applyFont="1" applyFill="1" applyBorder="1" applyAlignment="1" applyProtection="1">
      <alignment horizontal="center" vertical="center"/>
    </xf>
    <xf numFmtId="49" fontId="1" fillId="26" borderId="0" xfId="0" applyNumberFormat="1" applyFont="1" applyFill="1" applyBorder="1" applyAlignment="1" applyProtection="1">
      <alignment horizontal="left" vertical="center"/>
    </xf>
    <xf numFmtId="0" fontId="0" fillId="26" borderId="0" xfId="0" applyFill="1" applyBorder="1" applyAlignment="1" applyProtection="1">
      <alignment horizontal="left" vertical="center"/>
    </xf>
    <xf numFmtId="2" fontId="6" fillId="26" borderId="0" xfId="0" applyNumberFormat="1" applyFont="1" applyFill="1" applyBorder="1" applyAlignment="1" applyProtection="1">
      <alignment horizontal="center" vertical="center"/>
    </xf>
    <xf numFmtId="0" fontId="15" fillId="26" borderId="0" xfId="1" applyFont="1" applyFill="1" applyBorder="1" applyAlignment="1" applyProtection="1">
      <alignment horizontal="right" vertical="center"/>
    </xf>
    <xf numFmtId="2" fontId="1" fillId="26" borderId="1" xfId="0" applyNumberFormat="1" applyFont="1" applyFill="1" applyBorder="1" applyAlignment="1" applyProtection="1">
      <alignment horizontal="center" vertical="center"/>
    </xf>
    <xf numFmtId="2" fontId="1" fillId="26" borderId="1" xfId="0" applyNumberFormat="1" applyFont="1" applyFill="1" applyBorder="1" applyAlignment="1" applyProtection="1">
      <alignment vertical="center"/>
    </xf>
    <xf numFmtId="3" fontId="3" fillId="26" borderId="1" xfId="1" applyNumberFormat="1" applyFont="1" applyFill="1" applyBorder="1" applyAlignment="1" applyProtection="1">
      <alignment horizontal="right" vertical="center"/>
    </xf>
    <xf numFmtId="0" fontId="7" fillId="26" borderId="0" xfId="0" applyFont="1" applyFill="1" applyAlignment="1" applyProtection="1">
      <alignment horizontal="right" vertical="center"/>
    </xf>
    <xf numFmtId="0" fontId="1" fillId="26" borderId="9" xfId="0" applyFont="1" applyFill="1" applyBorder="1" applyAlignment="1" applyProtection="1">
      <alignment vertical="center"/>
    </xf>
    <xf numFmtId="0" fontId="1" fillId="26" borderId="0" xfId="0" applyFont="1" applyFill="1" applyBorder="1" applyAlignment="1" applyProtection="1">
      <alignment horizontal="left" vertical="center"/>
    </xf>
    <xf numFmtId="0" fontId="0" fillId="26" borderId="0" xfId="0" applyFill="1" applyBorder="1" applyAlignment="1" applyProtection="1">
      <alignment horizontal="left" vertical="center"/>
    </xf>
    <xf numFmtId="0" fontId="1" fillId="26" borderId="2" xfId="0" applyFont="1" applyFill="1" applyBorder="1" applyAlignment="1" applyProtection="1">
      <alignment horizontal="left" vertical="center"/>
    </xf>
    <xf numFmtId="0" fontId="0" fillId="26" borderId="2" xfId="0" applyFill="1" applyBorder="1" applyAlignment="1" applyProtection="1">
      <alignment horizontal="left" vertical="center"/>
    </xf>
    <xf numFmtId="0" fontId="0" fillId="26" borderId="0" xfId="0" applyFill="1" applyBorder="1" applyAlignment="1" applyProtection="1">
      <alignment vertical="center"/>
    </xf>
    <xf numFmtId="0" fontId="1" fillId="26" borderId="0" xfId="0" applyFont="1" applyFill="1" applyBorder="1" applyAlignment="1" applyProtection="1">
      <alignment vertical="center"/>
    </xf>
    <xf numFmtId="0" fontId="0" fillId="26" borderId="0" xfId="0" applyFill="1" applyBorder="1" applyAlignment="1" applyProtection="1">
      <alignment vertical="center"/>
    </xf>
    <xf numFmtId="49" fontId="1" fillId="26" borderId="10" xfId="0" applyNumberFormat="1" applyFont="1" applyFill="1" applyBorder="1" applyAlignment="1" applyProtection="1">
      <alignment horizontal="left" vertical="center"/>
    </xf>
    <xf numFmtId="0" fontId="1" fillId="26" borderId="10" xfId="0" applyFont="1" applyFill="1" applyBorder="1" applyAlignment="1" applyProtection="1">
      <alignment horizontal="left" vertical="center"/>
    </xf>
    <xf numFmtId="0" fontId="0" fillId="26" borderId="10" xfId="0" applyFill="1" applyBorder="1" applyAlignment="1" applyProtection="1">
      <alignment horizontal="left" vertical="center"/>
    </xf>
    <xf numFmtId="0" fontId="0" fillId="26" borderId="2" xfId="0" applyFill="1" applyBorder="1" applyAlignment="1" applyProtection="1">
      <alignment vertical="center"/>
    </xf>
    <xf numFmtId="0" fontId="1" fillId="0" borderId="0" xfId="0" applyFont="1" applyAlignment="1" applyProtection="1">
      <alignment horizontal="center" vertical="center"/>
    </xf>
    <xf numFmtId="0" fontId="1" fillId="26" borderId="7" xfId="0" applyNumberFormat="1" applyFont="1" applyFill="1" applyBorder="1" applyAlignment="1" applyProtection="1">
      <alignment horizontal="center" vertical="center"/>
    </xf>
    <xf numFmtId="0" fontId="53" fillId="25" borderId="0" xfId="0" applyFont="1" applyFill="1" applyBorder="1" applyAlignment="1">
      <alignment vertical="center"/>
    </xf>
    <xf numFmtId="1" fontId="1" fillId="4" borderId="1" xfId="0" applyNumberFormat="1" applyFont="1" applyFill="1" applyBorder="1" applyAlignment="1" applyProtection="1">
      <alignment horizontal="center" vertical="top"/>
      <protection locked="0"/>
    </xf>
    <xf numFmtId="2" fontId="7" fillId="4" borderId="25" xfId="0" applyNumberFormat="1" applyFont="1" applyFill="1" applyBorder="1" applyAlignment="1" applyProtection="1">
      <alignment horizontal="center" vertical="top"/>
      <protection locked="0"/>
    </xf>
    <xf numFmtId="2" fontId="7" fillId="4" borderId="25" xfId="0" applyNumberFormat="1" applyFont="1" applyFill="1" applyBorder="1" applyAlignment="1" applyProtection="1">
      <alignment horizontal="left" vertical="top"/>
      <protection locked="0"/>
    </xf>
    <xf numFmtId="0" fontId="1" fillId="26" borderId="0" xfId="0" applyFont="1" applyFill="1" applyBorder="1" applyAlignment="1" applyProtection="1">
      <alignment vertical="center"/>
    </xf>
    <xf numFmtId="0" fontId="1" fillId="26" borderId="0" xfId="0" applyFont="1" applyFill="1" applyAlignment="1" applyProtection="1">
      <alignment vertical="center"/>
    </xf>
    <xf numFmtId="167" fontId="1" fillId="26" borderId="1" xfId="0" applyNumberFormat="1" applyFont="1" applyFill="1" applyBorder="1" applyAlignment="1" applyProtection="1">
      <alignment horizontal="center" vertical="center"/>
    </xf>
    <xf numFmtId="0" fontId="3" fillId="26" borderId="0" xfId="1" applyFont="1" applyFill="1" applyBorder="1" applyAlignment="1" applyProtection="1">
      <alignment horizontal="center" vertical="center"/>
    </xf>
    <xf numFmtId="0" fontId="40" fillId="0" borderId="0" xfId="0" applyFont="1" applyAlignment="1">
      <alignment vertical="center"/>
    </xf>
    <xf numFmtId="0" fontId="1" fillId="10" borderId="1" xfId="0" applyNumberFormat="1" applyFont="1" applyFill="1" applyBorder="1" applyAlignment="1">
      <alignment horizontal="center" vertical="center"/>
    </xf>
    <xf numFmtId="0" fontId="1" fillId="10" borderId="7" xfId="0" applyNumberFormat="1" applyFont="1" applyFill="1" applyBorder="1" applyAlignment="1">
      <alignment horizontal="center" vertical="center"/>
    </xf>
    <xf numFmtId="0" fontId="39" fillId="0" borderId="0" xfId="0" applyFont="1" applyAlignment="1">
      <alignment vertical="center"/>
    </xf>
    <xf numFmtId="0" fontId="0" fillId="0" borderId="14" xfId="0" applyBorder="1"/>
    <xf numFmtId="0" fontId="0" fillId="0" borderId="15" xfId="0" applyBorder="1"/>
    <xf numFmtId="0" fontId="0" fillId="0" borderId="16" xfId="0" applyBorder="1"/>
    <xf numFmtId="0" fontId="0" fillId="0" borderId="17" xfId="0" applyBorder="1"/>
    <xf numFmtId="0" fontId="17" fillId="0" borderId="0" xfId="0" applyFont="1" applyBorder="1"/>
    <xf numFmtId="0" fontId="0" fillId="0" borderId="0" xfId="0" applyBorder="1"/>
    <xf numFmtId="0" fontId="0" fillId="0" borderId="18" xfId="0" applyBorder="1"/>
    <xf numFmtId="0" fontId="0" fillId="0" borderId="48" xfId="0" applyBorder="1" applyAlignment="1">
      <alignment wrapText="1"/>
    </xf>
    <xf numFmtId="0" fontId="8" fillId="35" borderId="16" xfId="0" applyFont="1" applyFill="1" applyBorder="1" applyAlignment="1">
      <alignment wrapText="1"/>
    </xf>
    <xf numFmtId="0" fontId="8" fillId="36" borderId="48" xfId="0" applyFont="1" applyFill="1" applyBorder="1" applyAlignment="1">
      <alignment wrapText="1"/>
    </xf>
    <xf numFmtId="0" fontId="8" fillId="36" borderId="16" xfId="0" applyFont="1" applyFill="1" applyBorder="1" applyAlignment="1">
      <alignment wrapText="1"/>
    </xf>
    <xf numFmtId="0" fontId="8" fillId="0" borderId="16" xfId="0" applyFont="1" applyBorder="1" applyAlignment="1">
      <alignment wrapText="1"/>
    </xf>
    <xf numFmtId="0" fontId="0" fillId="0" borderId="50" xfId="0" applyBorder="1"/>
    <xf numFmtId="0" fontId="0" fillId="35" borderId="19" xfId="0" applyFill="1" applyBorder="1"/>
    <xf numFmtId="0" fontId="0" fillId="35" borderId="20" xfId="0" applyFill="1" applyBorder="1"/>
    <xf numFmtId="0" fontId="0" fillId="35" borderId="21" xfId="0" applyFill="1" applyBorder="1"/>
    <xf numFmtId="0" fontId="0" fillId="36" borderId="50" xfId="0" applyFill="1" applyBorder="1"/>
    <xf numFmtId="0" fontId="0" fillId="36" borderId="21" xfId="0" applyFill="1" applyBorder="1"/>
    <xf numFmtId="0" fontId="0" fillId="0" borderId="21" xfId="0" applyBorder="1"/>
    <xf numFmtId="0" fontId="0" fillId="0" borderId="49" xfId="0" applyBorder="1"/>
    <xf numFmtId="0" fontId="0" fillId="35" borderId="17" xfId="0" applyFill="1" applyBorder="1"/>
    <xf numFmtId="0" fontId="0" fillId="35" borderId="0" xfId="0" applyFill="1" applyBorder="1"/>
    <xf numFmtId="0" fontId="0" fillId="35" borderId="18" xfId="0" applyFill="1" applyBorder="1"/>
    <xf numFmtId="2" fontId="0" fillId="35" borderId="17" xfId="0" applyNumberFormat="1" applyFill="1" applyBorder="1"/>
    <xf numFmtId="2" fontId="0" fillId="35" borderId="0" xfId="0" applyNumberFormat="1" applyFill="1" applyBorder="1"/>
    <xf numFmtId="2" fontId="0" fillId="35" borderId="18" xfId="0" applyNumberFormat="1" applyFill="1" applyBorder="1"/>
    <xf numFmtId="174" fontId="0" fillId="35" borderId="17" xfId="0" applyNumberFormat="1" applyFill="1" applyBorder="1"/>
    <xf numFmtId="174" fontId="0" fillId="35" borderId="0" xfId="0" applyNumberFormat="1" applyFill="1" applyBorder="1"/>
    <xf numFmtId="174" fontId="0" fillId="35" borderId="18" xfId="0" applyNumberFormat="1" applyFill="1" applyBorder="1"/>
    <xf numFmtId="0" fontId="0" fillId="36" borderId="17" xfId="0" applyFill="1" applyBorder="1"/>
    <xf numFmtId="174" fontId="0" fillId="36" borderId="18" xfId="0" applyNumberFormat="1" applyFill="1" applyBorder="1"/>
    <xf numFmtId="2" fontId="0" fillId="36" borderId="0" xfId="0" applyNumberFormat="1" applyFill="1" applyBorder="1"/>
    <xf numFmtId="0" fontId="0" fillId="0" borderId="19" xfId="0" applyBorder="1"/>
    <xf numFmtId="0" fontId="0" fillId="0" borderId="20" xfId="0" applyBorder="1"/>
    <xf numFmtId="2" fontId="0" fillId="35" borderId="19" xfId="0" applyNumberFormat="1" applyFill="1" applyBorder="1"/>
    <xf numFmtId="2" fontId="0" fillId="35" borderId="20" xfId="0" applyNumberFormat="1" applyFill="1" applyBorder="1"/>
    <xf numFmtId="2" fontId="0" fillId="35" borderId="21" xfId="0" applyNumberFormat="1" applyFill="1" applyBorder="1"/>
    <xf numFmtId="174" fontId="0" fillId="35" borderId="19" xfId="0" applyNumberFormat="1" applyFill="1" applyBorder="1"/>
    <xf numFmtId="174" fontId="0" fillId="35" borderId="20" xfId="0" applyNumberFormat="1" applyFill="1" applyBorder="1"/>
    <xf numFmtId="0" fontId="0" fillId="36" borderId="19" xfId="0" applyFill="1" applyBorder="1"/>
    <xf numFmtId="2" fontId="0" fillId="36" borderId="20" xfId="0" applyNumberFormat="1" applyFill="1" applyBorder="1"/>
    <xf numFmtId="0" fontId="0" fillId="37" borderId="0" xfId="0" applyFill="1" applyBorder="1"/>
    <xf numFmtId="0" fontId="54" fillId="37" borderId="139" xfId="13" applyFill="1" applyBorder="1"/>
    <xf numFmtId="0" fontId="0" fillId="0" borderId="0" xfId="0" applyFill="1" applyBorder="1"/>
    <xf numFmtId="0" fontId="54" fillId="0" borderId="0" xfId="13" applyFill="1" applyBorder="1"/>
    <xf numFmtId="0" fontId="18" fillId="0" borderId="0" xfId="0" applyFont="1" applyFill="1" applyBorder="1"/>
    <xf numFmtId="0" fontId="56" fillId="0" borderId="0" xfId="0" applyFont="1" applyBorder="1"/>
    <xf numFmtId="14" fontId="0" fillId="0" borderId="0" xfId="0" applyNumberFormat="1" applyBorder="1"/>
    <xf numFmtId="0" fontId="0" fillId="0" borderId="18" xfId="0" applyFill="1" applyBorder="1"/>
    <xf numFmtId="0" fontId="58" fillId="0" borderId="0" xfId="0" applyFont="1" applyBorder="1" applyAlignment="1">
      <alignment horizontal="left" vertical="center"/>
    </xf>
    <xf numFmtId="0" fontId="1" fillId="4" borderId="1" xfId="0" applyFont="1" applyFill="1" applyBorder="1" applyAlignment="1">
      <alignment horizontal="center" vertical="center"/>
    </xf>
    <xf numFmtId="0" fontId="26" fillId="24" borderId="0" xfId="0" applyFont="1" applyFill="1" applyProtection="1"/>
    <xf numFmtId="0" fontId="26" fillId="0" borderId="0" xfId="0" applyFont="1" applyProtection="1"/>
    <xf numFmtId="0" fontId="26" fillId="9" borderId="0" xfId="0" applyFont="1" applyFill="1" applyProtection="1"/>
    <xf numFmtId="0" fontId="39" fillId="26" borderId="0" xfId="0" applyFont="1" applyFill="1" applyProtection="1"/>
    <xf numFmtId="0" fontId="59" fillId="26" borderId="0" xfId="0" applyFont="1" applyFill="1" applyProtection="1"/>
    <xf numFmtId="0" fontId="26" fillId="0" borderId="0" xfId="0" quotePrefix="1" applyFont="1" applyProtection="1"/>
    <xf numFmtId="0" fontId="60" fillId="0" borderId="0" xfId="0" applyFont="1" applyProtection="1"/>
    <xf numFmtId="0" fontId="26" fillId="27" borderId="0" xfId="0" applyFont="1" applyFill="1" applyProtection="1"/>
    <xf numFmtId="170" fontId="1" fillId="4" borderId="5" xfId="0" applyNumberFormat="1" applyFont="1" applyFill="1" applyBorder="1" applyAlignment="1">
      <alignment horizontal="center" vertical="center"/>
    </xf>
    <xf numFmtId="0" fontId="1" fillId="26" borderId="1" xfId="0" applyFont="1" applyFill="1" applyBorder="1" applyAlignment="1" applyProtection="1">
      <alignment horizontal="center" vertical="center"/>
    </xf>
    <xf numFmtId="0" fontId="1" fillId="26" borderId="0" xfId="0" applyFont="1" applyFill="1" applyAlignment="1" applyProtection="1">
      <alignment vertical="center"/>
    </xf>
    <xf numFmtId="0" fontId="0" fillId="26" borderId="0" xfId="0" applyFill="1" applyBorder="1" applyAlignment="1" applyProtection="1">
      <alignment horizontal="left" vertical="center"/>
    </xf>
    <xf numFmtId="0" fontId="36" fillId="26" borderId="0" xfId="0" applyFont="1" applyFill="1" applyBorder="1" applyAlignment="1" applyProtection="1"/>
    <xf numFmtId="0" fontId="41" fillId="26" borderId="0" xfId="0" applyFont="1" applyFill="1" applyBorder="1" applyAlignment="1" applyProtection="1"/>
    <xf numFmtId="0" fontId="32" fillId="25" borderId="0" xfId="0" applyFont="1" applyFill="1" applyBorder="1" applyProtection="1"/>
    <xf numFmtId="0" fontId="60" fillId="26" borderId="0" xfId="0" applyFont="1" applyFill="1" applyProtection="1"/>
    <xf numFmtId="0" fontId="1" fillId="26" borderId="0" xfId="0" applyFont="1" applyFill="1" applyProtection="1"/>
    <xf numFmtId="0" fontId="1" fillId="4" borderId="123" xfId="0" applyNumberFormat="1" applyFont="1" applyFill="1" applyBorder="1" applyAlignment="1" applyProtection="1">
      <alignment vertical="center"/>
      <protection locked="0"/>
    </xf>
    <xf numFmtId="0" fontId="1" fillId="26" borderId="123" xfId="0" applyFont="1" applyFill="1" applyBorder="1" applyAlignment="1" applyProtection="1">
      <alignment horizontal="left" vertical="center"/>
    </xf>
    <xf numFmtId="0" fontId="1" fillId="26" borderId="123" xfId="0" applyFont="1" applyFill="1" applyBorder="1" applyAlignment="1" applyProtection="1">
      <alignment vertical="center"/>
    </xf>
    <xf numFmtId="0" fontId="1" fillId="4" borderId="29" xfId="0" applyNumberFormat="1" applyFont="1" applyFill="1" applyBorder="1" applyAlignment="1" applyProtection="1">
      <alignment vertical="center"/>
      <protection locked="0"/>
    </xf>
    <xf numFmtId="0" fontId="1" fillId="26" borderId="29" xfId="0" applyFont="1" applyFill="1" applyBorder="1" applyAlignment="1" applyProtection="1">
      <alignment horizontal="left" vertical="center"/>
    </xf>
    <xf numFmtId="0" fontId="1" fillId="26" borderId="29" xfId="0" applyFont="1" applyFill="1" applyBorder="1" applyAlignment="1" applyProtection="1">
      <alignment vertical="center"/>
    </xf>
    <xf numFmtId="0" fontId="1" fillId="4" borderId="126" xfId="0" applyNumberFormat="1" applyFont="1" applyFill="1" applyBorder="1" applyAlignment="1" applyProtection="1">
      <alignment vertical="center"/>
      <protection locked="0"/>
    </xf>
    <xf numFmtId="0" fontId="1" fillId="26" borderId="126" xfId="0" applyFont="1" applyFill="1" applyBorder="1" applyAlignment="1" applyProtection="1">
      <alignment horizontal="left" vertical="center"/>
    </xf>
    <xf numFmtId="0" fontId="1" fillId="26" borderId="126" xfId="0" applyFont="1" applyFill="1" applyBorder="1" applyAlignment="1" applyProtection="1">
      <alignment vertical="center"/>
    </xf>
    <xf numFmtId="0" fontId="36" fillId="26" borderId="0" xfId="0" applyFont="1" applyFill="1" applyProtection="1"/>
    <xf numFmtId="0" fontId="6" fillId="26" borderId="7" xfId="0" applyFont="1" applyFill="1" applyBorder="1" applyAlignment="1" applyProtection="1">
      <alignment horizontal="center" vertical="center"/>
    </xf>
    <xf numFmtId="0" fontId="6" fillId="26" borderId="0" xfId="0" applyFont="1" applyFill="1" applyAlignment="1" applyProtection="1">
      <alignment horizontal="center"/>
    </xf>
    <xf numFmtId="174" fontId="1" fillId="4" borderId="1" xfId="8" applyNumberFormat="1" applyFont="1" applyFill="1" applyBorder="1" applyAlignment="1" applyProtection="1">
      <alignment horizontal="center" vertical="center"/>
      <protection locked="0"/>
    </xf>
    <xf numFmtId="0" fontId="1" fillId="27" borderId="0" xfId="0" applyFont="1" applyFill="1" applyProtection="1"/>
    <xf numFmtId="0" fontId="1" fillId="4" borderId="1" xfId="0" applyNumberFormat="1" applyFont="1" applyFill="1" applyBorder="1" applyAlignment="1" applyProtection="1">
      <alignment horizontal="center" vertical="center"/>
      <protection locked="0"/>
    </xf>
    <xf numFmtId="0" fontId="1" fillId="4" borderId="6" xfId="0" applyNumberFormat="1" applyFont="1" applyFill="1" applyBorder="1" applyAlignment="1" applyProtection="1">
      <alignment horizontal="center" vertical="center"/>
      <protection locked="0"/>
    </xf>
    <xf numFmtId="14" fontId="1" fillId="4" borderId="4" xfId="0" applyNumberFormat="1" applyFont="1" applyFill="1" applyBorder="1" applyAlignment="1" applyProtection="1">
      <alignment horizontal="center" vertical="center"/>
      <protection locked="0"/>
    </xf>
    <xf numFmtId="2" fontId="1" fillId="26" borderId="25" xfId="0" applyNumberFormat="1" applyFont="1" applyFill="1" applyBorder="1" applyAlignment="1" applyProtection="1">
      <alignment horizontal="center" vertical="center"/>
    </xf>
    <xf numFmtId="0" fontId="6" fillId="26" borderId="0" xfId="0" applyFont="1" applyFill="1" applyBorder="1" applyAlignment="1" applyProtection="1">
      <alignment horizontal="center" vertical="center" wrapText="1"/>
    </xf>
    <xf numFmtId="0" fontId="9" fillId="25" borderId="0" xfId="0" applyFont="1" applyFill="1" applyBorder="1" applyAlignment="1">
      <alignment vertical="center"/>
    </xf>
    <xf numFmtId="0" fontId="9" fillId="26" borderId="0" xfId="0" applyFont="1" applyFill="1" applyBorder="1" applyAlignment="1">
      <alignment horizontal="left" vertical="center"/>
    </xf>
    <xf numFmtId="0" fontId="4" fillId="23" borderId="0" xfId="0" applyFont="1" applyFill="1" applyBorder="1" applyAlignment="1">
      <alignment vertical="center"/>
    </xf>
    <xf numFmtId="0" fontId="6" fillId="10" borderId="0" xfId="0" applyFont="1" applyFill="1" applyProtection="1"/>
    <xf numFmtId="0" fontId="1" fillId="10" borderId="0" xfId="0" applyFont="1" applyFill="1" applyProtection="1"/>
    <xf numFmtId="0" fontId="1" fillId="39" borderId="0" xfId="0" applyFont="1" applyFill="1" applyProtection="1"/>
    <xf numFmtId="0" fontId="1" fillId="25" borderId="0" xfId="0" applyFont="1" applyFill="1"/>
    <xf numFmtId="0" fontId="1" fillId="0" borderId="0" xfId="0" applyFont="1"/>
    <xf numFmtId="0" fontId="1" fillId="26" borderId="0" xfId="0" applyFont="1" applyFill="1"/>
    <xf numFmtId="0" fontId="1" fillId="9" borderId="0" xfId="0" applyFont="1" applyFill="1" applyAlignment="1">
      <alignment horizontal="left" indent="2"/>
    </xf>
    <xf numFmtId="0" fontId="1" fillId="38" borderId="0" xfId="0" applyFont="1" applyFill="1" applyAlignment="1"/>
    <xf numFmtId="0" fontId="1" fillId="17" borderId="0" xfId="0" applyFont="1" applyFill="1"/>
    <xf numFmtId="0" fontId="32" fillId="25" borderId="0" xfId="0" applyFont="1" applyFill="1" applyBorder="1" applyAlignment="1">
      <alignment vertical="center"/>
    </xf>
    <xf numFmtId="0" fontId="1" fillId="26" borderId="0" xfId="0" applyFont="1" applyFill="1" applyAlignment="1" applyProtection="1">
      <alignment horizontal="right" vertical="center"/>
    </xf>
    <xf numFmtId="0" fontId="3" fillId="26" borderId="0" xfId="1" applyFont="1" applyFill="1" applyBorder="1" applyAlignment="1" applyProtection="1">
      <alignment horizontal="center" vertical="center"/>
    </xf>
    <xf numFmtId="49" fontId="7" fillId="26" borderId="0" xfId="0" applyNumberFormat="1" applyFont="1" applyFill="1" applyBorder="1" applyAlignment="1" applyProtection="1">
      <alignment vertical="top"/>
    </xf>
    <xf numFmtId="0" fontId="1" fillId="26" borderId="0" xfId="0" applyFont="1" applyFill="1" applyBorder="1" applyAlignment="1" applyProtection="1">
      <alignment vertical="center"/>
    </xf>
    <xf numFmtId="0" fontId="0" fillId="26" borderId="0" xfId="0" applyFill="1" applyBorder="1" applyAlignment="1" applyProtection="1">
      <alignment horizontal="left" vertical="center"/>
    </xf>
    <xf numFmtId="49" fontId="1" fillId="26" borderId="0" xfId="0" applyNumberFormat="1" applyFont="1" applyFill="1" applyBorder="1" applyAlignment="1" applyProtection="1">
      <alignment horizontal="left" vertical="center"/>
    </xf>
    <xf numFmtId="0" fontId="1" fillId="26" borderId="0" xfId="0" applyFont="1" applyFill="1" applyAlignment="1" applyProtection="1">
      <alignment vertical="center"/>
    </xf>
    <xf numFmtId="0" fontId="1" fillId="40" borderId="31" xfId="0" applyFont="1" applyFill="1" applyBorder="1" applyAlignment="1">
      <alignment horizontal="center" vertical="center"/>
    </xf>
    <xf numFmtId="0" fontId="1" fillId="40" borderId="62" xfId="0" applyFont="1" applyFill="1" applyBorder="1" applyAlignment="1">
      <alignment horizontal="center" vertical="center"/>
    </xf>
    <xf numFmtId="0" fontId="1" fillId="40" borderId="31" xfId="0" applyFont="1" applyFill="1" applyBorder="1" applyAlignment="1">
      <alignment horizontal="left" vertical="center"/>
    </xf>
    <xf numFmtId="0" fontId="1" fillId="40" borderId="0" xfId="0" applyFont="1" applyFill="1" applyAlignment="1">
      <alignment vertical="center"/>
    </xf>
    <xf numFmtId="0" fontId="61" fillId="26" borderId="0" xfId="0" applyFont="1" applyFill="1" applyBorder="1" applyAlignment="1" applyProtection="1">
      <alignment vertical="center"/>
    </xf>
    <xf numFmtId="173" fontId="1" fillId="22" borderId="97" xfId="0" applyNumberFormat="1" applyFont="1" applyFill="1" applyBorder="1" applyAlignment="1">
      <alignment vertical="center"/>
    </xf>
    <xf numFmtId="2" fontId="1" fillId="12" borderId="1" xfId="0" applyNumberFormat="1" applyFont="1" applyFill="1" applyBorder="1" applyAlignment="1">
      <alignment vertical="center"/>
    </xf>
    <xf numFmtId="2" fontId="54" fillId="37" borderId="139" xfId="13" applyNumberFormat="1" applyFill="1" applyBorder="1"/>
    <xf numFmtId="10" fontId="54" fillId="37" borderId="139" xfId="7" applyNumberFormat="1" applyFont="1" applyFill="1" applyBorder="1"/>
    <xf numFmtId="0" fontId="17" fillId="0" borderId="14" xfId="0" applyFont="1" applyBorder="1"/>
    <xf numFmtId="0" fontId="17" fillId="0" borderId="17" xfId="0" applyFont="1" applyBorder="1"/>
    <xf numFmtId="0" fontId="26" fillId="24" borderId="0" xfId="0" applyFont="1" applyFill="1" applyAlignment="1" applyProtection="1">
      <alignment wrapText="1"/>
    </xf>
    <xf numFmtId="0" fontId="26" fillId="26" borderId="0" xfId="0" applyFont="1" applyFill="1" applyAlignment="1" applyProtection="1">
      <alignment wrapText="1"/>
    </xf>
    <xf numFmtId="0" fontId="26" fillId="0" borderId="0" xfId="0" applyFont="1" applyAlignment="1" applyProtection="1">
      <alignment wrapText="1"/>
    </xf>
    <xf numFmtId="1" fontId="1" fillId="4" borderId="25" xfId="0" applyNumberFormat="1" applyFont="1" applyFill="1" applyBorder="1" applyAlignment="1" applyProtection="1">
      <alignment horizontal="center" vertical="center"/>
      <protection locked="0"/>
    </xf>
    <xf numFmtId="167" fontId="1" fillId="4" borderId="1" xfId="7" applyNumberFormat="1" applyFont="1" applyFill="1" applyBorder="1" applyAlignment="1" applyProtection="1">
      <alignment horizontal="center" vertical="center" wrapText="1"/>
      <protection locked="0"/>
    </xf>
    <xf numFmtId="1" fontId="1" fillId="26" borderId="25" xfId="0" applyNumberFormat="1" applyFont="1" applyFill="1" applyBorder="1" applyAlignment="1" applyProtection="1">
      <alignment horizontal="center" vertical="center"/>
    </xf>
    <xf numFmtId="0" fontId="0" fillId="37" borderId="17" xfId="0" applyFill="1" applyBorder="1"/>
    <xf numFmtId="0" fontId="0" fillId="37" borderId="18" xfId="0" applyFill="1" applyBorder="1"/>
    <xf numFmtId="2" fontId="54" fillId="37" borderId="140" xfId="13" applyNumberFormat="1" applyFill="1" applyBorder="1"/>
    <xf numFmtId="10" fontId="0" fillId="37" borderId="0" xfId="0" applyNumberFormat="1" applyFill="1" applyBorder="1"/>
    <xf numFmtId="10" fontId="54" fillId="37" borderId="140" xfId="7" applyNumberFormat="1" applyFont="1" applyFill="1" applyBorder="1"/>
    <xf numFmtId="1" fontId="57" fillId="37" borderId="139" xfId="14" applyNumberFormat="1" applyFont="1" applyFill="1" applyBorder="1"/>
    <xf numFmtId="1" fontId="54" fillId="37" borderId="139" xfId="13" applyNumberFormat="1" applyFill="1" applyBorder="1"/>
    <xf numFmtId="1" fontId="54" fillId="37" borderId="140" xfId="13" applyNumberFormat="1" applyFill="1" applyBorder="1"/>
    <xf numFmtId="2" fontId="57" fillId="37" borderId="139" xfId="14" applyNumberFormat="1" applyFont="1" applyFill="1" applyBorder="1"/>
    <xf numFmtId="0" fontId="0" fillId="37" borderId="20" xfId="0" applyFill="1" applyBorder="1"/>
    <xf numFmtId="2" fontId="54" fillId="37" borderId="141" xfId="13" applyNumberFormat="1" applyFill="1" applyBorder="1"/>
    <xf numFmtId="14" fontId="1" fillId="4" borderId="1" xfId="8" applyNumberFormat="1" applyFont="1" applyFill="1" applyBorder="1" applyAlignment="1" applyProtection="1">
      <alignment horizontal="center" vertical="center"/>
      <protection locked="0"/>
    </xf>
    <xf numFmtId="0" fontId="1" fillId="9" borderId="0" xfId="0" applyFont="1" applyFill="1" applyAlignment="1">
      <alignment horizontal="right" vertical="center"/>
    </xf>
    <xf numFmtId="0" fontId="1" fillId="9" borderId="0" xfId="0" applyFont="1" applyFill="1" applyAlignment="1">
      <alignment horizontal="center" vertical="center"/>
    </xf>
    <xf numFmtId="49" fontId="1" fillId="9" borderId="42" xfId="0" applyNumberFormat="1" applyFont="1" applyFill="1" applyBorder="1" applyAlignment="1">
      <alignment vertical="center"/>
    </xf>
    <xf numFmtId="49" fontId="1" fillId="9" borderId="1" xfId="0" applyNumberFormat="1" applyFont="1" applyFill="1" applyBorder="1" applyAlignment="1">
      <alignment vertical="center"/>
    </xf>
    <xf numFmtId="0" fontId="1" fillId="0" borderId="0" xfId="0" applyFont="1" applyFill="1" applyAlignment="1">
      <alignment horizontal="right" vertical="center"/>
    </xf>
    <xf numFmtId="0" fontId="1" fillId="9" borderId="13" xfId="0" applyFont="1" applyFill="1" applyBorder="1" applyAlignment="1">
      <alignment horizontal="center" vertical="center"/>
    </xf>
    <xf numFmtId="0" fontId="1" fillId="9" borderId="7" xfId="0" applyFont="1" applyFill="1" applyBorder="1" applyAlignment="1">
      <alignment vertical="center"/>
    </xf>
    <xf numFmtId="0" fontId="4" fillId="26" borderId="0" xfId="1" applyFont="1" applyFill="1" applyBorder="1" applyAlignment="1" applyProtection="1">
      <alignment horizontal="left" vertical="center"/>
    </xf>
    <xf numFmtId="0" fontId="6" fillId="18" borderId="1" xfId="0" applyFont="1" applyFill="1" applyBorder="1" applyAlignment="1">
      <alignment vertical="center"/>
    </xf>
    <xf numFmtId="0" fontId="1" fillId="18" borderId="1" xfId="0" applyFont="1" applyFill="1" applyBorder="1" applyAlignment="1">
      <alignment vertical="center"/>
    </xf>
    <xf numFmtId="2" fontId="1" fillId="26" borderId="1" xfId="0" applyNumberFormat="1" applyFont="1" applyFill="1" applyBorder="1" applyAlignment="1">
      <alignment horizontal="center" vertical="center"/>
    </xf>
    <xf numFmtId="0" fontId="6" fillId="18" borderId="1" xfId="0" applyFont="1" applyFill="1" applyBorder="1" applyAlignment="1">
      <alignment horizontal="center" vertical="center"/>
    </xf>
    <xf numFmtId="0" fontId="6" fillId="41" borderId="0" xfId="0" applyFont="1" applyFill="1" applyAlignment="1">
      <alignment horizontal="center" vertical="center"/>
    </xf>
    <xf numFmtId="0" fontId="6" fillId="41" borderId="0" xfId="0" applyFont="1" applyFill="1" applyAlignment="1">
      <alignment vertical="center"/>
    </xf>
    <xf numFmtId="164" fontId="0" fillId="0" borderId="0" xfId="0" applyNumberFormat="1" applyBorder="1"/>
    <xf numFmtId="164" fontId="0" fillId="0" borderId="20" xfId="0" applyNumberFormat="1" applyBorder="1"/>
    <xf numFmtId="0" fontId="8" fillId="0" borderId="0" xfId="0" applyFont="1"/>
    <xf numFmtId="164" fontId="0" fillId="0" borderId="0" xfId="0" applyNumberFormat="1"/>
    <xf numFmtId="0" fontId="0" fillId="0" borderId="0" xfId="0" applyAlignment="1">
      <alignment horizontal="right"/>
    </xf>
    <xf numFmtId="165" fontId="1" fillId="0" borderId="0" xfId="15" applyFont="1" applyAlignment="1">
      <alignment vertical="center"/>
    </xf>
    <xf numFmtId="0" fontId="1" fillId="9" borderId="4" xfId="0" applyFont="1" applyFill="1" applyBorder="1" applyAlignment="1">
      <alignment horizontal="right" vertical="center"/>
    </xf>
    <xf numFmtId="0" fontId="1" fillId="35" borderId="4" xfId="0" applyFont="1" applyFill="1" applyBorder="1" applyAlignment="1">
      <alignment horizontal="right" vertical="center"/>
    </xf>
    <xf numFmtId="173" fontId="1" fillId="35" borderId="1" xfId="0" applyNumberFormat="1" applyFont="1" applyFill="1" applyBorder="1" applyAlignment="1">
      <alignment vertical="center"/>
    </xf>
    <xf numFmtId="173" fontId="1" fillId="35" borderId="1" xfId="0" applyNumberFormat="1" applyFont="1" applyFill="1" applyBorder="1" applyAlignment="1">
      <alignment horizontal="center" vertical="center"/>
    </xf>
    <xf numFmtId="0" fontId="1" fillId="17" borderId="25" xfId="0" applyFont="1" applyFill="1" applyBorder="1" applyAlignment="1">
      <alignment vertical="center"/>
    </xf>
    <xf numFmtId="0" fontId="1" fillId="17" borderId="1" xfId="0" applyNumberFormat="1" applyFont="1" applyFill="1" applyBorder="1" applyAlignment="1">
      <alignment horizontal="center" vertical="center"/>
    </xf>
    <xf numFmtId="0" fontId="1" fillId="40" borderId="0" xfId="0" applyFont="1" applyFill="1" applyBorder="1" applyAlignment="1">
      <alignment vertical="center"/>
    </xf>
    <xf numFmtId="0" fontId="6" fillId="0" borderId="13" xfId="0" applyFont="1" applyBorder="1" applyAlignment="1">
      <alignment vertical="center"/>
    </xf>
    <xf numFmtId="0" fontId="1" fillId="0" borderId="13" xfId="0" applyFont="1" applyBorder="1" applyAlignment="1">
      <alignment vertical="center"/>
    </xf>
    <xf numFmtId="0" fontId="1" fillId="0" borderId="49" xfId="0" applyFont="1" applyBorder="1" applyAlignment="1">
      <alignment horizontal="center" vertical="center"/>
    </xf>
    <xf numFmtId="0" fontId="1" fillId="0" borderId="50" xfId="0" applyFont="1" applyBorder="1" applyAlignment="1">
      <alignment horizontal="center" vertical="center"/>
    </xf>
    <xf numFmtId="0" fontId="1" fillId="2" borderId="22" xfId="0" applyFont="1" applyFill="1" applyBorder="1" applyAlignment="1">
      <alignment horizontal="right" vertical="center"/>
    </xf>
    <xf numFmtId="0" fontId="1" fillId="2" borderId="0" xfId="0" applyFont="1" applyFill="1" applyAlignment="1" applyProtection="1">
      <alignment vertical="center"/>
    </xf>
    <xf numFmtId="0" fontId="1" fillId="42" borderId="0" xfId="0" applyFont="1" applyFill="1" applyBorder="1" applyAlignment="1">
      <alignment vertical="center"/>
    </xf>
    <xf numFmtId="0" fontId="6" fillId="0" borderId="1" xfId="0" applyFont="1" applyBorder="1" applyAlignment="1">
      <alignment vertical="center"/>
    </xf>
    <xf numFmtId="175" fontId="1" fillId="26" borderId="142" xfId="0" applyNumberFormat="1" applyFont="1" applyFill="1" applyBorder="1" applyAlignment="1" applyProtection="1">
      <alignment vertical="center"/>
    </xf>
    <xf numFmtId="0" fontId="6" fillId="26" borderId="0" xfId="0" applyFont="1" applyFill="1" applyBorder="1" applyAlignment="1" applyProtection="1">
      <alignment horizontal="right" vertical="center"/>
    </xf>
    <xf numFmtId="175" fontId="1" fillId="0" borderId="0" xfId="0" applyNumberFormat="1" applyFont="1" applyAlignment="1">
      <alignment vertical="center"/>
    </xf>
    <xf numFmtId="0" fontId="36" fillId="26" borderId="0" xfId="0" applyFont="1" applyFill="1" applyAlignment="1" applyProtection="1">
      <alignment vertical="center"/>
    </xf>
    <xf numFmtId="0" fontId="1" fillId="10" borderId="20" xfId="0" applyFont="1" applyFill="1" applyBorder="1" applyAlignment="1">
      <alignment vertical="center"/>
    </xf>
    <xf numFmtId="0" fontId="1" fillId="43" borderId="0" xfId="0" applyFont="1" applyFill="1" applyAlignment="1">
      <alignment vertical="center"/>
    </xf>
    <xf numFmtId="2" fontId="1" fillId="43" borderId="0" xfId="0" applyNumberFormat="1" applyFont="1" applyFill="1" applyAlignment="1">
      <alignment vertical="center"/>
    </xf>
    <xf numFmtId="0" fontId="23" fillId="43" borderId="0" xfId="0" applyFont="1" applyFill="1" applyAlignment="1">
      <alignment vertical="center"/>
    </xf>
    <xf numFmtId="0" fontId="6" fillId="43" borderId="1" xfId="0" applyFont="1" applyFill="1" applyBorder="1" applyAlignment="1">
      <alignment vertical="center"/>
    </xf>
    <xf numFmtId="0" fontId="1" fillId="43" borderId="1" xfId="0" applyFont="1" applyFill="1" applyBorder="1" applyAlignment="1">
      <alignment vertical="center"/>
    </xf>
    <xf numFmtId="164" fontId="1" fillId="44" borderId="0" xfId="0" applyNumberFormat="1" applyFont="1" applyFill="1" applyBorder="1" applyAlignment="1">
      <alignment vertical="center"/>
    </xf>
    <xf numFmtId="0" fontId="1" fillId="30" borderId="0" xfId="0" applyFont="1" applyFill="1" applyBorder="1" applyAlignment="1">
      <alignment vertical="center"/>
    </xf>
    <xf numFmtId="168" fontId="1" fillId="30" borderId="0" xfId="0" applyNumberFormat="1" applyFont="1" applyFill="1" applyBorder="1" applyAlignment="1">
      <alignment vertical="center"/>
    </xf>
    <xf numFmtId="10" fontId="1" fillId="30" borderId="0" xfId="0" applyNumberFormat="1" applyFont="1" applyFill="1" applyBorder="1" applyAlignment="1">
      <alignment vertical="center"/>
    </xf>
    <xf numFmtId="164" fontId="1" fillId="30" borderId="0" xfId="0" applyNumberFormat="1" applyFont="1" applyFill="1" applyBorder="1" applyAlignment="1">
      <alignment vertical="center"/>
    </xf>
    <xf numFmtId="172" fontId="1" fillId="30" borderId="0" xfId="0" applyNumberFormat="1" applyFont="1" applyFill="1" applyBorder="1" applyAlignment="1">
      <alignment vertical="center"/>
    </xf>
    <xf numFmtId="0" fontId="1" fillId="30" borderId="0" xfId="0" applyFont="1" applyFill="1" applyBorder="1" applyAlignment="1">
      <alignment horizontal="center" vertical="center"/>
    </xf>
    <xf numFmtId="0" fontId="1" fillId="30" borderId="1" xfId="0" applyFont="1" applyFill="1" applyBorder="1" applyAlignment="1" applyProtection="1">
      <alignment vertical="center"/>
    </xf>
    <xf numFmtId="175" fontId="1" fillId="30" borderId="1" xfId="0" applyNumberFormat="1" applyFont="1" applyFill="1" applyBorder="1" applyAlignment="1" applyProtection="1">
      <alignment vertical="center"/>
    </xf>
    <xf numFmtId="1" fontId="1" fillId="30" borderId="0" xfId="0" applyNumberFormat="1" applyFont="1" applyFill="1" applyBorder="1" applyAlignment="1">
      <alignment horizontal="center" vertical="center"/>
    </xf>
    <xf numFmtId="2" fontId="1" fillId="30" borderId="0" xfId="0" applyNumberFormat="1" applyFont="1" applyFill="1" applyBorder="1" applyAlignment="1">
      <alignment horizontal="center" vertical="center"/>
    </xf>
    <xf numFmtId="172" fontId="1" fillId="39" borderId="0" xfId="0" applyNumberFormat="1" applyFont="1" applyFill="1" applyBorder="1" applyAlignment="1">
      <alignment vertical="center"/>
    </xf>
    <xf numFmtId="1" fontId="1" fillId="39" borderId="0" xfId="0" applyNumberFormat="1" applyFont="1" applyFill="1" applyBorder="1" applyAlignment="1">
      <alignment horizontal="center" vertical="center"/>
    </xf>
    <xf numFmtId="2" fontId="1" fillId="39" borderId="0" xfId="0" applyNumberFormat="1" applyFont="1" applyFill="1" applyBorder="1" applyAlignment="1">
      <alignment horizontal="center" vertical="center"/>
    </xf>
    <xf numFmtId="0" fontId="1" fillId="30" borderId="49" xfId="0" applyFont="1" applyFill="1" applyBorder="1" applyAlignment="1">
      <alignment vertical="center"/>
    </xf>
    <xf numFmtId="2" fontId="1" fillId="30" borderId="8" xfId="0" applyNumberFormat="1" applyFont="1" applyFill="1" applyBorder="1" applyAlignment="1">
      <alignment horizontal="center" vertical="center"/>
    </xf>
    <xf numFmtId="173" fontId="1" fillId="0" borderId="49" xfId="0" applyNumberFormat="1" applyFont="1" applyBorder="1" applyAlignment="1">
      <alignment vertical="center"/>
    </xf>
    <xf numFmtId="173" fontId="1" fillId="0" borderId="50" xfId="0" applyNumberFormat="1" applyFont="1" applyBorder="1" applyAlignment="1">
      <alignment vertical="center"/>
    </xf>
    <xf numFmtId="1" fontId="1" fillId="30" borderId="0" xfId="0" applyNumberFormat="1" applyFont="1" applyFill="1" applyBorder="1" applyAlignment="1">
      <alignment vertical="center"/>
    </xf>
    <xf numFmtId="10" fontId="1" fillId="30" borderId="0" xfId="7" applyNumberFormat="1" applyFont="1" applyFill="1" applyBorder="1" applyAlignment="1">
      <alignment vertical="center"/>
    </xf>
    <xf numFmtId="0" fontId="1" fillId="42" borderId="0" xfId="0" applyFont="1" applyFill="1"/>
    <xf numFmtId="0" fontId="1" fillId="11" borderId="0" xfId="0" applyFont="1" applyFill="1" applyAlignment="1">
      <alignment horizontal="center" vertical="center"/>
    </xf>
    <xf numFmtId="2" fontId="52" fillId="39" borderId="0" xfId="0" applyNumberFormat="1" applyFont="1" applyFill="1" applyBorder="1" applyAlignment="1">
      <alignment horizontal="left" vertical="center"/>
    </xf>
    <xf numFmtId="0" fontId="1" fillId="39" borderId="0" xfId="0" applyFont="1" applyFill="1" applyBorder="1" applyAlignment="1" applyProtection="1">
      <alignment horizontal="center" vertical="center"/>
    </xf>
    <xf numFmtId="0" fontId="1" fillId="9" borderId="0" xfId="0" applyFont="1" applyFill="1" applyBorder="1" applyAlignment="1">
      <alignment horizontal="center" vertical="center"/>
    </xf>
    <xf numFmtId="172" fontId="1" fillId="9" borderId="0" xfId="0" applyNumberFormat="1" applyFont="1" applyFill="1" applyBorder="1" applyAlignment="1">
      <alignment vertical="center"/>
    </xf>
    <xf numFmtId="2" fontId="52" fillId="17" borderId="0" xfId="0" applyNumberFormat="1" applyFont="1" applyFill="1" applyBorder="1" applyAlignment="1">
      <alignment horizontal="left" vertical="center"/>
    </xf>
    <xf numFmtId="0" fontId="1" fillId="17" borderId="0" xfId="0" applyFont="1" applyFill="1" applyAlignment="1">
      <alignment vertical="center"/>
    </xf>
    <xf numFmtId="2" fontId="1" fillId="17" borderId="0" xfId="0" applyNumberFormat="1" applyFont="1" applyFill="1" applyBorder="1" applyAlignment="1">
      <alignment horizontal="center" vertical="center"/>
    </xf>
    <xf numFmtId="1" fontId="1" fillId="17" borderId="0" xfId="0" applyNumberFormat="1" applyFont="1" applyFill="1" applyBorder="1" applyAlignment="1">
      <alignment horizontal="center" vertical="center"/>
    </xf>
    <xf numFmtId="2" fontId="1" fillId="17" borderId="0" xfId="0" applyNumberFormat="1" applyFont="1" applyFill="1" applyAlignment="1">
      <alignment vertical="center"/>
    </xf>
    <xf numFmtId="0" fontId="1" fillId="21" borderId="0" xfId="0" applyFont="1" applyFill="1" applyAlignment="1">
      <alignment vertical="center"/>
    </xf>
    <xf numFmtId="0" fontId="45" fillId="21" borderId="0" xfId="0" applyFont="1" applyFill="1" applyAlignment="1">
      <alignment vertical="center"/>
    </xf>
    <xf numFmtId="168" fontId="1" fillId="21" borderId="0" xfId="0" applyNumberFormat="1" applyFont="1" applyFill="1" applyBorder="1" applyAlignment="1">
      <alignment vertical="center"/>
    </xf>
    <xf numFmtId="10" fontId="1" fillId="21" borderId="0" xfId="0" applyNumberFormat="1" applyFont="1" applyFill="1" applyBorder="1" applyAlignment="1">
      <alignment vertical="center"/>
    </xf>
    <xf numFmtId="10" fontId="1" fillId="21" borderId="0" xfId="7" applyNumberFormat="1" applyFont="1" applyFill="1" applyBorder="1" applyAlignment="1">
      <alignment vertical="center"/>
    </xf>
    <xf numFmtId="0" fontId="1" fillId="21" borderId="13" xfId="0" applyFont="1" applyFill="1" applyBorder="1" applyAlignment="1">
      <alignment vertical="center"/>
    </xf>
    <xf numFmtId="164" fontId="1" fillId="44" borderId="0" xfId="0" applyNumberFormat="1" applyFont="1" applyFill="1" applyBorder="1" applyAlignment="1">
      <alignment horizontal="center" vertical="center"/>
    </xf>
    <xf numFmtId="164" fontId="1" fillId="0" borderId="0" xfId="0" applyNumberFormat="1" applyFont="1" applyAlignment="1" applyProtection="1">
      <alignment vertical="center"/>
    </xf>
    <xf numFmtId="174" fontId="1" fillId="0" borderId="0" xfId="0" applyNumberFormat="1" applyFont="1" applyAlignment="1">
      <alignment vertical="center"/>
    </xf>
    <xf numFmtId="164" fontId="1" fillId="22" borderId="0" xfId="0" applyNumberFormat="1" applyFont="1" applyFill="1" applyBorder="1" applyAlignment="1">
      <alignment vertical="center"/>
    </xf>
    <xf numFmtId="1" fontId="1" fillId="44" borderId="0" xfId="0" applyNumberFormat="1" applyFont="1" applyFill="1" applyBorder="1" applyAlignment="1">
      <alignment vertical="center"/>
    </xf>
    <xf numFmtId="0" fontId="1" fillId="45" borderId="0" xfId="0" applyFont="1" applyFill="1" applyBorder="1" applyAlignment="1">
      <alignment vertical="center"/>
    </xf>
    <xf numFmtId="0" fontId="26" fillId="26" borderId="0" xfId="0" applyFont="1" applyFill="1" applyBorder="1" applyAlignment="1" applyProtection="1">
      <alignment vertical="center" textRotation="90" wrapText="1"/>
    </xf>
    <xf numFmtId="0" fontId="1" fillId="17" borderId="0" xfId="0" applyFont="1" applyFill="1" applyBorder="1" applyAlignment="1">
      <alignment vertical="center"/>
    </xf>
    <xf numFmtId="0" fontId="36" fillId="26" borderId="0" xfId="0" applyFont="1" applyFill="1" applyAlignment="1" applyProtection="1">
      <alignment horizontal="left" vertical="center"/>
    </xf>
    <xf numFmtId="0" fontId="8" fillId="10" borderId="0" xfId="0" applyFont="1" applyFill="1" applyBorder="1"/>
    <xf numFmtId="0" fontId="0" fillId="10" borderId="0" xfId="0" applyFill="1" applyBorder="1"/>
    <xf numFmtId="4" fontId="8" fillId="10" borderId="0" xfId="0" applyNumberFormat="1" applyFont="1" applyFill="1" applyBorder="1"/>
    <xf numFmtId="0" fontId="0" fillId="0" borderId="26" xfId="0" applyBorder="1"/>
    <xf numFmtId="0" fontId="0" fillId="4" borderId="11" xfId="0" applyFill="1" applyBorder="1" applyAlignment="1">
      <alignment horizontal="center"/>
    </xf>
    <xf numFmtId="0" fontId="0" fillId="0" borderId="2" xfId="0" applyBorder="1"/>
    <xf numFmtId="3" fontId="0" fillId="0" borderId="2" xfId="0" applyNumberFormat="1" applyBorder="1"/>
    <xf numFmtId="3" fontId="0" fillId="4" borderId="2" xfId="0" applyNumberFormat="1" applyFill="1" applyBorder="1"/>
    <xf numFmtId="0" fontId="0" fillId="9" borderId="0" xfId="0" applyFill="1"/>
    <xf numFmtId="0" fontId="62" fillId="10" borderId="0" xfId="0" applyFont="1" applyFill="1" applyBorder="1"/>
    <xf numFmtId="0" fontId="63" fillId="10" borderId="0" xfId="0" applyFont="1" applyFill="1" applyBorder="1"/>
    <xf numFmtId="4" fontId="62" fillId="10" borderId="0" xfId="0" applyNumberFormat="1" applyFont="1" applyFill="1" applyBorder="1"/>
    <xf numFmtId="3" fontId="0" fillId="9" borderId="2" xfId="0" applyNumberFormat="1" applyFill="1" applyBorder="1"/>
    <xf numFmtId="3" fontId="0" fillId="0" borderId="2" xfId="0" applyNumberFormat="1" applyFill="1" applyBorder="1"/>
    <xf numFmtId="0" fontId="0" fillId="0" borderId="10" xfId="0" applyBorder="1"/>
    <xf numFmtId="0" fontId="0" fillId="0" borderId="10" xfId="0" applyBorder="1" applyAlignment="1">
      <alignment horizontal="center"/>
    </xf>
    <xf numFmtId="0" fontId="0" fillId="0" borderId="27" xfId="0" applyBorder="1"/>
    <xf numFmtId="0" fontId="0" fillId="0" borderId="3" xfId="0" applyBorder="1"/>
    <xf numFmtId="0" fontId="0" fillId="9" borderId="0" xfId="0" applyFill="1" applyBorder="1" applyAlignment="1">
      <alignment horizontal="center"/>
    </xf>
    <xf numFmtId="0" fontId="0" fillId="10" borderId="0" xfId="0" applyFill="1" applyBorder="1" applyAlignment="1">
      <alignment horizontal="right"/>
    </xf>
    <xf numFmtId="3" fontId="0" fillId="10" borderId="9" xfId="0" applyNumberFormat="1" applyFill="1" applyBorder="1"/>
    <xf numFmtId="3" fontId="0" fillId="10" borderId="0" xfId="0" applyNumberFormat="1" applyFill="1" applyBorder="1"/>
    <xf numFmtId="0" fontId="0" fillId="0" borderId="3" xfId="0" applyFill="1" applyBorder="1"/>
    <xf numFmtId="0" fontId="0" fillId="0" borderId="0" xfId="0" applyBorder="1" applyAlignment="1">
      <alignment horizontal="right"/>
    </xf>
    <xf numFmtId="0" fontId="0" fillId="9" borderId="0" xfId="0" applyFill="1" applyBorder="1"/>
    <xf numFmtId="4" fontId="0" fillId="0" borderId="15" xfId="0" applyNumberFormat="1" applyBorder="1" applyAlignment="1">
      <alignment horizontal="center" vertical="center" wrapText="1"/>
    </xf>
    <xf numFmtId="0" fontId="0" fillId="15" borderId="15" xfId="0" applyFill="1" applyBorder="1" applyAlignment="1">
      <alignment horizontal="center" vertical="center" wrapText="1"/>
    </xf>
    <xf numFmtId="0" fontId="0" fillId="0" borderId="15" xfId="0" applyBorder="1" applyAlignment="1">
      <alignment horizontal="center" vertical="center" wrapText="1"/>
    </xf>
    <xf numFmtId="0" fontId="0" fillId="2" borderId="15" xfId="0" applyFill="1" applyBorder="1" applyAlignment="1">
      <alignment horizontal="center" vertical="center" wrapText="1"/>
    </xf>
    <xf numFmtId="0" fontId="0" fillId="9" borderId="15" xfId="0" applyFill="1" applyBorder="1" applyAlignment="1">
      <alignment horizontal="center" vertical="center" wrapText="1"/>
    </xf>
    <xf numFmtId="0" fontId="0" fillId="0" borderId="16" xfId="0" applyFill="1" applyBorder="1" applyAlignment="1">
      <alignment horizontal="center" vertical="center" wrapText="1"/>
    </xf>
    <xf numFmtId="0" fontId="0" fillId="0" borderId="0" xfId="0" applyFill="1" applyBorder="1" applyAlignment="1">
      <alignment horizontal="center" vertical="center" wrapText="1"/>
    </xf>
    <xf numFmtId="0" fontId="0" fillId="0" borderId="14" xfId="0" applyFill="1" applyBorder="1" applyAlignment="1">
      <alignment horizontal="center" vertical="center" wrapText="1"/>
    </xf>
    <xf numFmtId="0" fontId="0" fillId="0" borderId="16" xfId="0" applyBorder="1" applyAlignment="1">
      <alignment horizontal="center"/>
    </xf>
    <xf numFmtId="4" fontId="0" fillId="0" borderId="0" xfId="0" applyNumberFormat="1" applyBorder="1"/>
    <xf numFmtId="4" fontId="0" fillId="15" borderId="0" xfId="0" applyNumberFormat="1" applyFill="1" applyBorder="1"/>
    <xf numFmtId="4" fontId="0" fillId="9" borderId="0" xfId="0" applyNumberFormat="1" applyFill="1" applyBorder="1"/>
    <xf numFmtId="4" fontId="0" fillId="10" borderId="0" xfId="0" applyNumberFormat="1" applyFill="1" applyBorder="1"/>
    <xf numFmtId="4" fontId="0" fillId="0" borderId="18" xfId="0" applyNumberFormat="1" applyBorder="1"/>
    <xf numFmtId="0" fontId="0" fillId="0" borderId="17" xfId="0" applyBorder="1" applyAlignment="1">
      <alignment horizontal="center" vertical="center" wrapText="1"/>
    </xf>
    <xf numFmtId="0" fontId="0" fillId="0" borderId="18" xfId="0" applyBorder="1" applyAlignment="1">
      <alignment horizontal="center"/>
    </xf>
    <xf numFmtId="4" fontId="0" fillId="0" borderId="0" xfId="0" applyNumberFormat="1" applyFill="1" applyBorder="1"/>
    <xf numFmtId="4" fontId="0" fillId="0" borderId="18" xfId="0" applyNumberFormat="1" applyFill="1" applyBorder="1"/>
    <xf numFmtId="4" fontId="0" fillId="0" borderId="17" xfId="0" applyNumberFormat="1" applyBorder="1"/>
    <xf numFmtId="4" fontId="0" fillId="0" borderId="20" xfId="0" applyNumberFormat="1" applyBorder="1"/>
    <xf numFmtId="4" fontId="0" fillId="15" borderId="20" xfId="0" applyNumberFormat="1" applyFill="1" applyBorder="1"/>
    <xf numFmtId="4" fontId="0" fillId="9" borderId="20" xfId="0" applyNumberFormat="1" applyFill="1" applyBorder="1"/>
    <xf numFmtId="4" fontId="0" fillId="0" borderId="21" xfId="0" applyNumberFormat="1" applyFill="1" applyBorder="1"/>
    <xf numFmtId="0" fontId="0" fillId="0" borderId="21" xfId="0" applyBorder="1" applyAlignment="1">
      <alignment horizontal="center"/>
    </xf>
    <xf numFmtId="0" fontId="0" fillId="12" borderId="17" xfId="0" applyFill="1" applyBorder="1" applyAlignment="1">
      <alignment horizontal="right"/>
    </xf>
    <xf numFmtId="3" fontId="0" fillId="12" borderId="18" xfId="0" applyNumberFormat="1" applyFill="1" applyBorder="1" applyAlignment="1"/>
    <xf numFmtId="0" fontId="0" fillId="10" borderId="17" xfId="0" applyFill="1" applyBorder="1" applyAlignment="1">
      <alignment horizontal="right"/>
    </xf>
    <xf numFmtId="164" fontId="0" fillId="10" borderId="0" xfId="0" applyNumberFormat="1" applyFill="1" applyBorder="1"/>
    <xf numFmtId="0" fontId="0" fillId="12" borderId="19" xfId="0" applyFill="1" applyBorder="1" applyAlignment="1">
      <alignment horizontal="right"/>
    </xf>
    <xf numFmtId="3" fontId="0" fillId="12" borderId="21" xfId="0" applyNumberFormat="1" applyFill="1" applyBorder="1" applyAlignment="1"/>
    <xf numFmtId="0" fontId="0" fillId="10" borderId="17" xfId="0" applyFont="1" applyFill="1" applyBorder="1" applyAlignment="1">
      <alignment horizontal="right"/>
    </xf>
    <xf numFmtId="164" fontId="0" fillId="10" borderId="18" xfId="0" applyNumberFormat="1" applyFill="1" applyBorder="1"/>
    <xf numFmtId="164" fontId="0" fillId="10" borderId="143" xfId="0" applyNumberFormat="1" applyFill="1" applyBorder="1"/>
    <xf numFmtId="0" fontId="0" fillId="10" borderId="19" xfId="0" applyFill="1" applyBorder="1" applyAlignment="1">
      <alignment horizontal="right"/>
    </xf>
    <xf numFmtId="0" fontId="0" fillId="9" borderId="17" xfId="0" applyFill="1" applyBorder="1" applyAlignment="1">
      <alignment horizontal="right"/>
    </xf>
    <xf numFmtId="3" fontId="0" fillId="9" borderId="0" xfId="0" applyNumberFormat="1" applyFill="1" applyBorder="1" applyAlignment="1"/>
    <xf numFmtId="3" fontId="0" fillId="9" borderId="18" xfId="0" applyNumberFormat="1" applyFill="1" applyBorder="1" applyAlignment="1"/>
    <xf numFmtId="4" fontId="0" fillId="9" borderId="0" xfId="0" applyNumberFormat="1" applyFill="1" applyBorder="1" applyAlignment="1"/>
    <xf numFmtId="167" fontId="0" fillId="9" borderId="0" xfId="7" applyNumberFormat="1" applyFont="1" applyFill="1" applyBorder="1" applyAlignment="1"/>
    <xf numFmtId="9" fontId="0" fillId="9" borderId="0" xfId="7" applyFont="1" applyFill="1" applyBorder="1" applyAlignment="1"/>
    <xf numFmtId="0" fontId="0" fillId="9" borderId="0" xfId="7" applyNumberFormat="1" applyFont="1" applyFill="1" applyBorder="1" applyAlignment="1"/>
    <xf numFmtId="0" fontId="1" fillId="26" borderId="144" xfId="0" applyFont="1" applyFill="1" applyBorder="1" applyAlignment="1" applyProtection="1">
      <alignment vertical="center"/>
    </xf>
    <xf numFmtId="0" fontId="6" fillId="26" borderId="0" xfId="0" applyFont="1" applyFill="1" applyBorder="1" applyAlignment="1" applyProtection="1">
      <alignment horizontal="left" vertical="center"/>
    </xf>
    <xf numFmtId="0" fontId="1" fillId="26" borderId="147" xfId="0" applyFont="1" applyFill="1" applyBorder="1" applyAlignment="1" applyProtection="1">
      <alignment vertical="center"/>
    </xf>
    <xf numFmtId="0" fontId="60" fillId="26" borderId="144" xfId="0" applyFont="1" applyFill="1" applyBorder="1" applyProtection="1"/>
    <xf numFmtId="0" fontId="49" fillId="26" borderId="0" xfId="0" applyFont="1" applyFill="1" applyBorder="1" applyAlignment="1" applyProtection="1">
      <alignment horizontal="center" vertical="center"/>
    </xf>
    <xf numFmtId="0" fontId="1" fillId="26" borderId="145" xfId="0" applyFont="1" applyFill="1" applyBorder="1" applyAlignment="1" applyProtection="1">
      <alignment vertical="center"/>
    </xf>
    <xf numFmtId="0" fontId="1" fillId="26" borderId="146" xfId="0" applyFont="1" applyFill="1" applyBorder="1" applyAlignment="1" applyProtection="1">
      <alignment vertical="center"/>
    </xf>
    <xf numFmtId="9" fontId="1" fillId="4" borderId="1" xfId="7" applyFont="1" applyFill="1" applyBorder="1" applyAlignment="1" applyProtection="1">
      <alignment horizontal="center" vertical="center"/>
      <protection locked="0"/>
    </xf>
    <xf numFmtId="1" fontId="1" fillId="4" borderId="1" xfId="7" applyNumberFormat="1" applyFont="1" applyFill="1" applyBorder="1" applyAlignment="1" applyProtection="1">
      <alignment horizontal="center" vertical="center"/>
      <protection locked="0"/>
    </xf>
    <xf numFmtId="0" fontId="60" fillId="26" borderId="0" xfId="0" applyFont="1" applyFill="1" applyBorder="1" applyProtection="1"/>
    <xf numFmtId="0" fontId="26" fillId="26" borderId="148" xfId="0" applyFont="1" applyFill="1" applyBorder="1" applyProtection="1"/>
    <xf numFmtId="0" fontId="4" fillId="26" borderId="144" xfId="0" applyFont="1" applyFill="1" applyBorder="1" applyAlignment="1" applyProtection="1">
      <alignment vertical="center"/>
    </xf>
    <xf numFmtId="0" fontId="4" fillId="26" borderId="0" xfId="0" applyFont="1" applyFill="1" applyAlignment="1" applyProtection="1">
      <alignment vertical="center"/>
    </xf>
    <xf numFmtId="0" fontId="65" fillId="26" borderId="0" xfId="0" applyFont="1" applyFill="1" applyProtection="1"/>
    <xf numFmtId="2" fontId="1" fillId="4" borderId="1" xfId="0" applyNumberFormat="1" applyFont="1" applyFill="1" applyBorder="1" applyAlignment="1" applyProtection="1">
      <alignment horizontal="center" vertical="center"/>
      <protection locked="0"/>
    </xf>
    <xf numFmtId="0" fontId="64" fillId="9" borderId="14" xfId="0" applyFont="1" applyFill="1" applyBorder="1" applyAlignment="1">
      <alignment horizontal="center"/>
    </xf>
    <xf numFmtId="0" fontId="64" fillId="9" borderId="15" xfId="0" applyFont="1" applyFill="1" applyBorder="1" applyAlignment="1">
      <alignment horizontal="center"/>
    </xf>
    <xf numFmtId="0" fontId="64" fillId="9" borderId="16" xfId="0" applyFont="1" applyFill="1" applyBorder="1" applyAlignment="1">
      <alignment horizontal="center"/>
    </xf>
    <xf numFmtId="0" fontId="0" fillId="0" borderId="15" xfId="0" applyBorder="1" applyAlignment="1">
      <alignment horizontal="center"/>
    </xf>
    <xf numFmtId="167" fontId="0" fillId="0" borderId="0" xfId="0" applyNumberFormat="1" applyBorder="1"/>
    <xf numFmtId="9" fontId="0" fillId="9" borderId="0" xfId="0" applyNumberFormat="1" applyFill="1" applyBorder="1" applyAlignment="1">
      <alignment horizontal="left" vertical="center"/>
    </xf>
    <xf numFmtId="3" fontId="0" fillId="0" borderId="0" xfId="0" applyNumberFormat="1" applyBorder="1"/>
    <xf numFmtId="3" fontId="0" fillId="9" borderId="0" xfId="0" applyNumberFormat="1" applyFill="1" applyBorder="1"/>
    <xf numFmtId="3" fontId="0" fillId="12" borderId="0" xfId="0" applyNumberFormat="1" applyFill="1" applyBorder="1"/>
    <xf numFmtId="3" fontId="0" fillId="0" borderId="0" xfId="0" applyNumberFormat="1" applyFill="1" applyBorder="1"/>
    <xf numFmtId="0" fontId="0" fillId="0" borderId="0" xfId="0" applyBorder="1" applyAlignment="1">
      <alignment horizontal="center" vertical="center"/>
    </xf>
    <xf numFmtId="0" fontId="0" fillId="4" borderId="0" xfId="0" applyFill="1" applyBorder="1"/>
    <xf numFmtId="9" fontId="0" fillId="9" borderId="0" xfId="0" applyNumberFormat="1" applyFill="1" applyBorder="1"/>
    <xf numFmtId="9" fontId="0" fillId="0" borderId="0" xfId="0" applyNumberFormat="1" applyBorder="1"/>
    <xf numFmtId="9" fontId="0" fillId="9" borderId="0" xfId="7" applyFont="1" applyFill="1" applyBorder="1"/>
    <xf numFmtId="1" fontId="0" fillId="0" borderId="0" xfId="0" applyNumberFormat="1" applyBorder="1"/>
    <xf numFmtId="164" fontId="0" fillId="0" borderId="0" xfId="0" applyNumberFormat="1" applyFill="1" applyBorder="1"/>
    <xf numFmtId="0" fontId="0" fillId="0" borderId="0" xfId="0" applyFill="1" applyBorder="1" applyAlignment="1">
      <alignment horizontal="center"/>
    </xf>
    <xf numFmtId="0" fontId="0" fillId="15" borderId="0" xfId="0" applyFill="1" applyBorder="1"/>
    <xf numFmtId="164" fontId="0" fillId="0" borderId="0" xfId="15" applyNumberFormat="1" applyFont="1" applyFill="1" applyBorder="1"/>
    <xf numFmtId="0" fontId="0" fillId="11" borderId="0" xfId="0" applyFill="1" applyBorder="1"/>
    <xf numFmtId="0" fontId="0" fillId="2" borderId="0" xfId="0" applyFill="1" applyBorder="1"/>
    <xf numFmtId="0" fontId="0" fillId="2" borderId="0" xfId="0" applyFill="1" applyBorder="1" applyAlignment="1">
      <alignment horizontal="center"/>
    </xf>
    <xf numFmtId="0" fontId="0" fillId="0" borderId="0" xfId="0" applyBorder="1" applyAlignment="1">
      <alignment vertical="center"/>
    </xf>
    <xf numFmtId="0" fontId="0" fillId="0" borderId="20" xfId="0" applyBorder="1" applyAlignment="1">
      <alignment horizontal="center"/>
    </xf>
    <xf numFmtId="0" fontId="0" fillId="2" borderId="15" xfId="0" applyFill="1" applyBorder="1"/>
    <xf numFmtId="0" fontId="66" fillId="2" borderId="14" xfId="0" applyFont="1" applyFill="1" applyBorder="1"/>
    <xf numFmtId="4" fontId="0" fillId="12" borderId="0" xfId="0" applyNumberFormat="1" applyFill="1" applyBorder="1"/>
    <xf numFmtId="0" fontId="0" fillId="9" borderId="19" xfId="0" applyFill="1" applyBorder="1" applyAlignment="1">
      <alignment horizontal="right"/>
    </xf>
    <xf numFmtId="3" fontId="0" fillId="9" borderId="20" xfId="0" applyNumberFormat="1" applyFill="1" applyBorder="1" applyAlignment="1"/>
    <xf numFmtId="3" fontId="0" fillId="9" borderId="21" xfId="0" applyNumberFormat="1" applyFill="1" applyBorder="1" applyAlignment="1"/>
    <xf numFmtId="0" fontId="0" fillId="2" borderId="17" xfId="0" applyFill="1" applyBorder="1" applyAlignment="1">
      <alignment horizontal="right"/>
    </xf>
    <xf numFmtId="9" fontId="0" fillId="0" borderId="0" xfId="7" applyFont="1"/>
    <xf numFmtId="0" fontId="0" fillId="9" borderId="0" xfId="0" applyFill="1" applyAlignment="1">
      <alignment horizontal="center"/>
    </xf>
    <xf numFmtId="0" fontId="0" fillId="9" borderId="15" xfId="0" applyFill="1" applyBorder="1"/>
    <xf numFmtId="0" fontId="0" fillId="9" borderId="16" xfId="0" applyFill="1" applyBorder="1"/>
    <xf numFmtId="0" fontId="0" fillId="9" borderId="18" xfId="0" applyFill="1" applyBorder="1" applyAlignment="1">
      <alignment horizontal="center"/>
    </xf>
    <xf numFmtId="9" fontId="0" fillId="9" borderId="18" xfId="7" applyFont="1" applyFill="1" applyBorder="1"/>
    <xf numFmtId="0" fontId="0" fillId="9" borderId="20" xfId="0" applyFill="1" applyBorder="1"/>
    <xf numFmtId="9" fontId="0" fillId="9" borderId="21" xfId="7" applyFont="1" applyFill="1" applyBorder="1"/>
    <xf numFmtId="0" fontId="0" fillId="9" borderId="17" xfId="0" applyFill="1" applyBorder="1"/>
    <xf numFmtId="1" fontId="0" fillId="9" borderId="0" xfId="7" applyNumberFormat="1" applyFont="1" applyFill="1" applyBorder="1" applyAlignment="1"/>
    <xf numFmtId="10" fontId="0" fillId="0" borderId="0" xfId="0" applyNumberFormat="1" applyFill="1" applyBorder="1"/>
    <xf numFmtId="0" fontId="0" fillId="0" borderId="152" xfId="0" applyBorder="1" applyAlignment="1">
      <alignment horizontal="center"/>
    </xf>
    <xf numFmtId="0" fontId="0" fillId="9" borderId="14" xfId="0" applyFill="1" applyBorder="1"/>
    <xf numFmtId="0" fontId="0" fillId="9" borderId="99" xfId="0" applyFill="1" applyBorder="1"/>
    <xf numFmtId="0" fontId="0" fillId="9" borderId="19" xfId="0" applyFill="1" applyBorder="1"/>
    <xf numFmtId="0" fontId="0" fillId="9" borderId="20" xfId="0" applyFill="1" applyBorder="1" applyAlignment="1">
      <alignment horizontal="center"/>
    </xf>
    <xf numFmtId="0" fontId="8" fillId="0" borderId="24" xfId="0" applyFont="1" applyBorder="1" applyAlignment="1">
      <alignment horizontal="center"/>
    </xf>
    <xf numFmtId="167" fontId="0" fillId="9" borderId="18" xfId="7" applyNumberFormat="1" applyFont="1" applyFill="1" applyBorder="1"/>
    <xf numFmtId="167" fontId="0" fillId="9" borderId="21" xfId="7" applyNumberFormat="1" applyFont="1" applyFill="1" applyBorder="1"/>
    <xf numFmtId="0" fontId="0" fillId="19" borderId="153" xfId="0" applyFill="1" applyBorder="1" applyAlignment="1">
      <alignment horizontal="right"/>
    </xf>
    <xf numFmtId="164" fontId="8" fillId="19" borderId="154" xfId="0" applyNumberFormat="1" applyFont="1" applyFill="1" applyBorder="1"/>
    <xf numFmtId="164" fontId="0" fillId="10" borderId="21" xfId="0" applyNumberFormat="1" applyFill="1" applyBorder="1"/>
    <xf numFmtId="3" fontId="0" fillId="2" borderId="18" xfId="0" applyNumberFormat="1" applyFill="1" applyBorder="1" applyAlignment="1"/>
    <xf numFmtId="0" fontId="67" fillId="9" borderId="0" xfId="0" applyFont="1" applyFill="1"/>
    <xf numFmtId="3" fontId="0" fillId="12" borderId="0" xfId="0" applyNumberFormat="1" applyFill="1" applyBorder="1" applyAlignment="1">
      <alignment horizontal="center"/>
    </xf>
    <xf numFmtId="3" fontId="0" fillId="12" borderId="20" xfId="0" applyNumberFormat="1" applyFill="1" applyBorder="1" applyAlignment="1">
      <alignment horizontal="center"/>
    </xf>
    <xf numFmtId="164" fontId="0" fillId="40" borderId="0" xfId="15" applyNumberFormat="1" applyFont="1" applyFill="1" applyBorder="1"/>
    <xf numFmtId="0" fontId="1" fillId="2" borderId="48" xfId="0" applyFont="1" applyFill="1" applyBorder="1" applyAlignment="1">
      <alignment vertical="center"/>
    </xf>
    <xf numFmtId="0" fontId="1" fillId="2" borderId="50" xfId="0" applyFont="1" applyFill="1" applyBorder="1" applyAlignment="1">
      <alignment vertical="center"/>
    </xf>
    <xf numFmtId="0" fontId="8" fillId="0" borderId="14" xfId="0" applyFont="1" applyBorder="1"/>
    <xf numFmtId="164" fontId="0" fillId="0" borderId="15" xfId="0" applyNumberFormat="1" applyBorder="1"/>
    <xf numFmtId="164" fontId="8" fillId="0" borderId="19" xfId="0" applyNumberFormat="1" applyFont="1" applyBorder="1"/>
    <xf numFmtId="164" fontId="8" fillId="0" borderId="20" xfId="0" applyNumberFormat="1" applyFont="1" applyBorder="1"/>
    <xf numFmtId="164" fontId="8" fillId="0" borderId="21" xfId="0" applyNumberFormat="1" applyFont="1" applyBorder="1"/>
    <xf numFmtId="0" fontId="6" fillId="0" borderId="14" xfId="0" applyFont="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1" fillId="0" borderId="17" xfId="0" applyFont="1" applyBorder="1" applyAlignment="1">
      <alignment vertical="center"/>
    </xf>
    <xf numFmtId="0" fontId="1" fillId="0" borderId="18" xfId="0" applyFont="1" applyBorder="1" applyAlignment="1">
      <alignment vertical="center"/>
    </xf>
    <xf numFmtId="0" fontId="1" fillId="0" borderId="20" xfId="0" applyFont="1" applyBorder="1" applyAlignment="1">
      <alignment vertical="center"/>
    </xf>
    <xf numFmtId="0" fontId="1" fillId="0" borderId="21" xfId="0" applyFont="1" applyBorder="1" applyAlignment="1">
      <alignment vertical="center"/>
    </xf>
    <xf numFmtId="164" fontId="1" fillId="0" borderId="19" xfId="0" applyNumberFormat="1" applyFont="1" applyBorder="1" applyAlignment="1">
      <alignment vertical="center"/>
    </xf>
    <xf numFmtId="0" fontId="60" fillId="26" borderId="0" xfId="0" applyFont="1" applyFill="1" applyBorder="1" applyAlignment="1" applyProtection="1">
      <alignment horizontal="left"/>
    </xf>
    <xf numFmtId="0" fontId="60" fillId="26" borderId="0" xfId="0" applyFont="1" applyFill="1" applyBorder="1" applyAlignment="1" applyProtection="1">
      <alignment horizontal="left" vertical="center"/>
    </xf>
    <xf numFmtId="0" fontId="26" fillId="46" borderId="0" xfId="0" applyFont="1" applyFill="1" applyProtection="1"/>
    <xf numFmtId="0" fontId="3" fillId="26" borderId="0" xfId="1" applyFont="1" applyFill="1" applyBorder="1" applyAlignment="1" applyProtection="1">
      <alignment horizontal="center" vertical="center"/>
    </xf>
    <xf numFmtId="49" fontId="6" fillId="26" borderId="0" xfId="0" applyNumberFormat="1" applyFont="1" applyFill="1" applyBorder="1" applyAlignment="1" applyProtection="1">
      <alignment vertical="top"/>
    </xf>
    <xf numFmtId="0" fontId="0" fillId="26" borderId="0" xfId="0" applyFill="1" applyAlignment="1" applyProtection="1"/>
    <xf numFmtId="49" fontId="1" fillId="26" borderId="0" xfId="0" applyNumberFormat="1" applyFont="1" applyFill="1" applyBorder="1" applyAlignment="1" applyProtection="1">
      <alignment vertical="top"/>
    </xf>
    <xf numFmtId="49" fontId="7" fillId="26" borderId="0" xfId="0" applyNumberFormat="1" applyFont="1" applyFill="1" applyBorder="1" applyAlignment="1" applyProtection="1">
      <alignment vertical="top"/>
    </xf>
    <xf numFmtId="0" fontId="0" fillId="26" borderId="0" xfId="0" applyFill="1" applyBorder="1" applyAlignment="1" applyProtection="1"/>
    <xf numFmtId="0" fontId="3" fillId="26" borderId="10" xfId="1" applyFont="1" applyFill="1" applyBorder="1" applyAlignment="1" applyProtection="1">
      <alignment horizontal="center" vertical="center"/>
    </xf>
    <xf numFmtId="49" fontId="7" fillId="26" borderId="0" xfId="0" applyNumberFormat="1" applyFont="1" applyFill="1" applyBorder="1" applyAlignment="1" applyProtection="1">
      <alignment horizontal="left" vertical="top"/>
    </xf>
    <xf numFmtId="49" fontId="1" fillId="26" borderId="0" xfId="0" applyNumberFormat="1" applyFont="1" applyFill="1" applyBorder="1" applyAlignment="1" applyProtection="1">
      <alignment horizontal="left" vertical="top"/>
    </xf>
    <xf numFmtId="49" fontId="6" fillId="26" borderId="0" xfId="0" applyNumberFormat="1" applyFont="1" applyFill="1" applyBorder="1" applyAlignment="1" applyProtection="1">
      <alignment vertical="center"/>
    </xf>
    <xf numFmtId="0" fontId="1" fillId="26" borderId="0" xfId="0" applyFont="1" applyFill="1" applyBorder="1" applyAlignment="1" applyProtection="1">
      <alignment vertical="center"/>
    </xf>
    <xf numFmtId="0" fontId="1" fillId="26" borderId="1" xfId="0" applyFont="1" applyFill="1" applyBorder="1" applyAlignment="1" applyProtection="1">
      <alignment horizontal="center" vertical="center"/>
    </xf>
    <xf numFmtId="0" fontId="6" fillId="26" borderId="2" xfId="0" applyFont="1" applyFill="1" applyBorder="1" applyAlignment="1" applyProtection="1">
      <alignment horizontal="center" vertical="center"/>
    </xf>
    <xf numFmtId="0" fontId="6" fillId="26" borderId="12" xfId="0" applyFont="1" applyFill="1" applyBorder="1" applyAlignment="1" applyProtection="1">
      <alignment horizontal="center" vertical="center" wrapText="1"/>
    </xf>
    <xf numFmtId="0" fontId="6" fillId="26" borderId="11" xfId="0" applyFont="1" applyFill="1" applyBorder="1" applyAlignment="1" applyProtection="1">
      <alignment horizontal="center" vertical="center" wrapText="1"/>
    </xf>
    <xf numFmtId="169" fontId="1" fillId="4" borderId="25" xfId="0" applyNumberFormat="1" applyFont="1" applyFill="1" applyBorder="1" applyAlignment="1" applyProtection="1">
      <alignment horizontal="center" vertical="center"/>
      <protection locked="0"/>
    </xf>
    <xf numFmtId="0" fontId="6" fillId="26" borderId="11" xfId="0" applyFont="1" applyFill="1" applyBorder="1" applyAlignment="1" applyProtection="1">
      <alignment horizontal="center" vertical="center"/>
    </xf>
    <xf numFmtId="0" fontId="1" fillId="4" borderId="25" xfId="0" applyFont="1" applyFill="1" applyBorder="1" applyAlignment="1" applyProtection="1">
      <alignment horizontal="center" vertical="center"/>
      <protection locked="0"/>
    </xf>
    <xf numFmtId="0" fontId="6" fillId="26" borderId="0" xfId="0" applyFont="1" applyFill="1" applyBorder="1" applyAlignment="1" applyProtection="1">
      <alignment horizontal="center" vertical="center"/>
    </xf>
    <xf numFmtId="0" fontId="1" fillId="26" borderId="0" xfId="0" applyFont="1" applyFill="1" applyAlignment="1" applyProtection="1">
      <alignment horizontal="right" vertical="center"/>
    </xf>
    <xf numFmtId="0" fontId="3" fillId="26" borderId="0" xfId="1" applyFont="1" applyFill="1" applyBorder="1" applyAlignment="1" applyProtection="1">
      <alignment horizontal="center" vertical="center"/>
    </xf>
    <xf numFmtId="0" fontId="3" fillId="26" borderId="10" xfId="1" applyFont="1" applyFill="1" applyBorder="1" applyAlignment="1" applyProtection="1">
      <alignment horizontal="center" vertical="center"/>
    </xf>
    <xf numFmtId="0" fontId="1" fillId="26" borderId="4" xfId="0" applyFont="1" applyFill="1" applyBorder="1" applyAlignment="1" applyProtection="1">
      <alignment horizontal="center" vertical="center"/>
    </xf>
    <xf numFmtId="0" fontId="1" fillId="26" borderId="0" xfId="0" applyFont="1" applyFill="1" applyAlignment="1" applyProtection="1">
      <alignment vertical="center"/>
    </xf>
    <xf numFmtId="0" fontId="1" fillId="26" borderId="0" xfId="0" applyFont="1" applyFill="1" applyAlignment="1" applyProtection="1">
      <alignment horizontal="left" vertical="center"/>
    </xf>
    <xf numFmtId="0" fontId="1" fillId="26" borderId="0" xfId="0" applyFont="1" applyFill="1" applyBorder="1" applyAlignment="1" applyProtection="1">
      <alignment vertical="center"/>
    </xf>
    <xf numFmtId="0" fontId="1" fillId="26" borderId="0" xfId="0" applyFont="1" applyFill="1" applyBorder="1" applyAlignment="1" applyProtection="1">
      <alignment horizontal="left" vertical="center"/>
    </xf>
    <xf numFmtId="49" fontId="20" fillId="10" borderId="49" xfId="0" applyNumberFormat="1" applyFont="1" applyFill="1" applyBorder="1" applyAlignment="1">
      <alignment horizontal="center" vertical="center" textRotation="90"/>
    </xf>
    <xf numFmtId="0" fontId="1" fillId="10" borderId="25" xfId="0" applyFont="1" applyFill="1" applyBorder="1" applyAlignment="1">
      <alignment horizontal="center" vertical="center"/>
    </xf>
    <xf numFmtId="0" fontId="1" fillId="18" borderId="1" xfId="0" applyFont="1" applyFill="1" applyBorder="1" applyAlignment="1">
      <alignment horizontal="center" vertical="center"/>
    </xf>
    <xf numFmtId="0" fontId="0" fillId="0" borderId="0" xfId="0" applyBorder="1" applyAlignment="1">
      <alignment horizontal="center"/>
    </xf>
    <xf numFmtId="2" fontId="1" fillId="0" borderId="0" xfId="0" applyNumberFormat="1" applyFont="1" applyBorder="1" applyProtection="1"/>
    <xf numFmtId="0" fontId="52" fillId="26" borderId="0" xfId="0" applyFont="1" applyFill="1" applyBorder="1" applyProtection="1"/>
    <xf numFmtId="0" fontId="1" fillId="0" borderId="17" xfId="0" applyFont="1" applyBorder="1" applyProtection="1"/>
    <xf numFmtId="0" fontId="1" fillId="0" borderId="18" xfId="0" applyFont="1" applyBorder="1" applyProtection="1"/>
    <xf numFmtId="0" fontId="69" fillId="0" borderId="0" xfId="0" applyFont="1" applyBorder="1" applyProtection="1"/>
    <xf numFmtId="0" fontId="1" fillId="0" borderId="19" xfId="0" applyFont="1" applyBorder="1" applyProtection="1"/>
    <xf numFmtId="2" fontId="1" fillId="0" borderId="20" xfId="0" applyNumberFormat="1" applyFont="1" applyBorder="1" applyProtection="1"/>
    <xf numFmtId="0" fontId="1" fillId="0" borderId="20" xfId="0" applyFont="1" applyBorder="1" applyProtection="1"/>
    <xf numFmtId="0" fontId="1" fillId="0" borderId="21" xfId="0" applyFont="1" applyBorder="1" applyProtection="1"/>
    <xf numFmtId="0" fontId="52" fillId="0" borderId="14" xfId="0" applyFont="1" applyBorder="1" applyAlignment="1" applyProtection="1">
      <alignment vertical="center"/>
    </xf>
    <xf numFmtId="0" fontId="1" fillId="0" borderId="15" xfId="0" applyFont="1" applyBorder="1" applyProtection="1"/>
    <xf numFmtId="0" fontId="1" fillId="0" borderId="16" xfId="0" applyFont="1" applyBorder="1" applyProtection="1"/>
    <xf numFmtId="0" fontId="1" fillId="0" borderId="0" xfId="0" applyFont="1" applyBorder="1" applyAlignment="1" applyProtection="1"/>
    <xf numFmtId="0" fontId="1" fillId="0" borderId="17" xfId="0" applyFont="1" applyBorder="1" applyAlignment="1" applyProtection="1">
      <alignment horizontal="left"/>
    </xf>
    <xf numFmtId="0" fontId="1" fillId="0" borderId="0" xfId="0" applyFont="1" applyBorder="1" applyAlignment="1" applyProtection="1">
      <alignment horizontal="left"/>
    </xf>
    <xf numFmtId="0" fontId="1" fillId="0" borderId="18" xfId="0" applyFont="1" applyBorder="1" applyAlignment="1" applyProtection="1">
      <alignment horizontal="left"/>
    </xf>
    <xf numFmtId="0" fontId="68" fillId="48" borderId="19" xfId="16" applyBorder="1" applyProtection="1"/>
    <xf numFmtId="9" fontId="1" fillId="0" borderId="0" xfId="7" applyFont="1" applyBorder="1" applyProtection="1"/>
    <xf numFmtId="0" fontId="1" fillId="0" borderId="0" xfId="0" applyFont="1" applyBorder="1" applyAlignment="1" applyProtection="1">
      <alignment horizontal="right"/>
    </xf>
    <xf numFmtId="3" fontId="7" fillId="26" borderId="1" xfId="0" applyNumberFormat="1" applyFont="1" applyFill="1" applyBorder="1" applyAlignment="1" applyProtection="1">
      <alignment horizontal="right" vertical="top"/>
    </xf>
    <xf numFmtId="49" fontId="70" fillId="26" borderId="1" xfId="0" applyNumberFormat="1" applyFont="1" applyFill="1" applyBorder="1" applyAlignment="1" applyProtection="1">
      <alignment vertical="top"/>
    </xf>
    <xf numFmtId="49" fontId="7" fillId="4" borderId="25" xfId="0" applyNumberFormat="1" applyFont="1" applyFill="1" applyBorder="1" applyAlignment="1" applyProtection="1">
      <alignment vertical="top"/>
      <protection locked="0"/>
    </xf>
    <xf numFmtId="1" fontId="1" fillId="26" borderId="1" xfId="0" applyNumberFormat="1" applyFont="1" applyFill="1" applyBorder="1" applyAlignment="1" applyProtection="1">
      <alignment horizontal="center" vertical="top"/>
    </xf>
    <xf numFmtId="3" fontId="7" fillId="26" borderId="1" xfId="0" applyNumberFormat="1" applyFont="1" applyFill="1" applyBorder="1" applyAlignment="1" applyProtection="1">
      <alignment horizontal="left" vertical="top"/>
    </xf>
    <xf numFmtId="0" fontId="7" fillId="4" borderId="25" xfId="0" applyFont="1" applyFill="1" applyBorder="1" applyAlignment="1" applyProtection="1">
      <protection locked="0"/>
    </xf>
    <xf numFmtId="0" fontId="71" fillId="0" borderId="0" xfId="0" applyFont="1" applyBorder="1" applyProtection="1"/>
    <xf numFmtId="2" fontId="72" fillId="26" borderId="9" xfId="0" applyNumberFormat="1" applyFont="1" applyFill="1" applyBorder="1" applyAlignment="1" applyProtection="1">
      <alignment horizontal="center" vertical="center"/>
    </xf>
    <xf numFmtId="1" fontId="61" fillId="26" borderId="0" xfId="0" applyNumberFormat="1" applyFont="1" applyFill="1" applyBorder="1" applyAlignment="1" applyProtection="1">
      <alignment horizontal="center" vertical="top"/>
    </xf>
    <xf numFmtId="2" fontId="61" fillId="26" borderId="0" xfId="0" applyNumberFormat="1" applyFont="1" applyFill="1" applyBorder="1" applyAlignment="1" applyProtection="1">
      <alignment horizontal="center" vertical="top"/>
    </xf>
    <xf numFmtId="2" fontId="61" fillId="26" borderId="0" xfId="0" applyNumberFormat="1" applyFont="1" applyFill="1" applyBorder="1" applyAlignment="1" applyProtection="1">
      <alignment vertical="top"/>
    </xf>
    <xf numFmtId="49" fontId="61" fillId="26" borderId="2" xfId="0" applyNumberFormat="1" applyFont="1" applyFill="1" applyBorder="1" applyAlignment="1" applyProtection="1">
      <alignment vertical="top"/>
    </xf>
    <xf numFmtId="0" fontId="73" fillId="26" borderId="0" xfId="1" applyFont="1" applyFill="1" applyBorder="1" applyAlignment="1" applyProtection="1">
      <alignment horizontal="center" vertical="center"/>
    </xf>
    <xf numFmtId="0" fontId="61" fillId="26" borderId="0" xfId="2" applyFont="1" applyFill="1" applyBorder="1" applyProtection="1">
      <alignment horizontal="center" vertical="center"/>
    </xf>
    <xf numFmtId="49" fontId="74" fillId="26" borderId="2" xfId="0" applyNumberFormat="1" applyFont="1" applyFill="1" applyBorder="1" applyAlignment="1" applyProtection="1">
      <alignment vertical="top"/>
    </xf>
    <xf numFmtId="0" fontId="61" fillId="26" borderId="2" xfId="0" applyFont="1" applyFill="1" applyBorder="1" applyProtection="1"/>
    <xf numFmtId="0" fontId="73" fillId="26" borderId="0" xfId="1" applyFont="1" applyFill="1" applyBorder="1" applyProtection="1">
      <alignment horizontal="center" vertical="center"/>
    </xf>
    <xf numFmtId="2" fontId="61" fillId="26" borderId="2" xfId="0" applyNumberFormat="1" applyFont="1" applyFill="1" applyBorder="1" applyAlignment="1" applyProtection="1">
      <alignment vertical="top"/>
    </xf>
    <xf numFmtId="0" fontId="61" fillId="26" borderId="0" xfId="0" applyFont="1" applyFill="1" applyBorder="1" applyProtection="1"/>
    <xf numFmtId="0" fontId="3" fillId="26" borderId="10" xfId="1" applyFont="1" applyFill="1" applyBorder="1" applyAlignment="1" applyProtection="1">
      <alignment vertical="center"/>
    </xf>
    <xf numFmtId="167" fontId="75" fillId="26" borderId="1" xfId="0" applyNumberFormat="1" applyFont="1" applyFill="1" applyBorder="1" applyAlignment="1" applyProtection="1">
      <alignment horizontal="right" vertical="top"/>
    </xf>
    <xf numFmtId="1" fontId="75" fillId="26" borderId="0" xfId="0" applyNumberFormat="1" applyFont="1" applyFill="1" applyBorder="1" applyAlignment="1" applyProtection="1">
      <alignment horizontal="center" vertical="top"/>
    </xf>
    <xf numFmtId="2" fontId="75" fillId="26" borderId="0" xfId="7" applyNumberFormat="1" applyFont="1" applyFill="1" applyBorder="1" applyAlignment="1" applyProtection="1">
      <alignment horizontal="center" vertical="top"/>
    </xf>
    <xf numFmtId="2" fontId="75" fillId="26" borderId="0" xfId="7" applyNumberFormat="1" applyFont="1" applyFill="1" applyBorder="1" applyAlignment="1" applyProtection="1">
      <alignment vertical="top"/>
    </xf>
    <xf numFmtId="2" fontId="75" fillId="26" borderId="2" xfId="7" applyNumberFormat="1" applyFont="1" applyFill="1" applyBorder="1" applyAlignment="1" applyProtection="1">
      <alignment horizontal="center" vertical="top"/>
    </xf>
    <xf numFmtId="2" fontId="75" fillId="26" borderId="2" xfId="0" applyNumberFormat="1" applyFont="1" applyFill="1" applyBorder="1" applyAlignment="1" applyProtection="1">
      <alignment vertical="top"/>
    </xf>
    <xf numFmtId="0" fontId="76" fillId="26" borderId="0" xfId="1" applyFont="1" applyFill="1" applyBorder="1" applyAlignment="1" applyProtection="1">
      <alignment vertical="center"/>
    </xf>
    <xf numFmtId="0" fontId="75" fillId="26" borderId="0" xfId="2" applyFont="1" applyFill="1" applyBorder="1" applyProtection="1">
      <alignment horizontal="center" vertical="center"/>
    </xf>
    <xf numFmtId="1" fontId="75" fillId="26" borderId="2" xfId="0" applyNumberFormat="1" applyFont="1" applyFill="1" applyBorder="1" applyAlignment="1" applyProtection="1">
      <alignment horizontal="center" vertical="top"/>
    </xf>
    <xf numFmtId="49" fontId="77" fillId="26" borderId="2" xfId="0" applyNumberFormat="1" applyFont="1" applyFill="1" applyBorder="1" applyAlignment="1" applyProtection="1">
      <alignment vertical="top"/>
    </xf>
    <xf numFmtId="0" fontId="76" fillId="26" borderId="10" xfId="1" applyFont="1" applyFill="1" applyBorder="1" applyAlignment="1" applyProtection="1">
      <alignment vertical="center"/>
    </xf>
    <xf numFmtId="9" fontId="75" fillId="26" borderId="0" xfId="7" applyFont="1" applyFill="1" applyBorder="1" applyAlignment="1" applyProtection="1">
      <alignment horizontal="center" vertical="top"/>
    </xf>
    <xf numFmtId="9" fontId="75" fillId="26" borderId="0" xfId="7" applyFont="1" applyFill="1" applyBorder="1" applyAlignment="1" applyProtection="1">
      <alignment vertical="top"/>
    </xf>
    <xf numFmtId="2" fontId="75" fillId="26" borderId="0" xfId="0" applyNumberFormat="1" applyFont="1" applyFill="1" applyBorder="1" applyAlignment="1" applyProtection="1">
      <alignment vertical="top"/>
    </xf>
    <xf numFmtId="0" fontId="75" fillId="26" borderId="2" xfId="0" applyFont="1" applyFill="1" applyBorder="1" applyProtection="1"/>
    <xf numFmtId="0" fontId="76" fillId="26" borderId="0" xfId="1" applyFont="1" applyFill="1" applyBorder="1" applyProtection="1">
      <alignment horizontal="center" vertical="center"/>
    </xf>
    <xf numFmtId="0" fontId="75" fillId="26" borderId="0" xfId="0" applyFont="1" applyFill="1" applyBorder="1" applyProtection="1"/>
    <xf numFmtId="4" fontId="75" fillId="26" borderId="1" xfId="0" applyNumberFormat="1" applyFont="1" applyFill="1" applyBorder="1" applyProtection="1"/>
    <xf numFmtId="3" fontId="75" fillId="26" borderId="0" xfId="0" applyNumberFormat="1" applyFont="1" applyFill="1" applyBorder="1" applyAlignment="1" applyProtection="1">
      <alignment horizontal="center" vertical="top"/>
    </xf>
    <xf numFmtId="3" fontId="75" fillId="26" borderId="0" xfId="0" applyNumberFormat="1" applyFont="1" applyFill="1" applyBorder="1" applyAlignment="1" applyProtection="1">
      <alignment vertical="top"/>
    </xf>
    <xf numFmtId="3" fontId="75" fillId="26" borderId="2" xfId="0" applyNumberFormat="1" applyFont="1" applyFill="1" applyBorder="1" applyAlignment="1" applyProtection="1">
      <alignment horizontal="center" vertical="top"/>
    </xf>
    <xf numFmtId="49" fontId="75" fillId="26" borderId="2" xfId="0" applyNumberFormat="1" applyFont="1" applyFill="1" applyBorder="1" applyAlignment="1" applyProtection="1">
      <alignment vertical="top"/>
    </xf>
    <xf numFmtId="1" fontId="75" fillId="26" borderId="0" xfId="0" applyNumberFormat="1" applyFont="1" applyFill="1" applyBorder="1" applyAlignment="1" applyProtection="1">
      <alignment vertical="top"/>
    </xf>
    <xf numFmtId="10" fontId="1" fillId="4" borderId="1" xfId="7" applyNumberFormat="1" applyFont="1" applyFill="1" applyBorder="1" applyAlignment="1" applyProtection="1">
      <alignment horizontal="center" vertical="center"/>
      <protection locked="0"/>
    </xf>
    <xf numFmtId="9" fontId="1" fillId="26" borderId="1" xfId="0" applyNumberFormat="1" applyFont="1" applyFill="1" applyBorder="1" applyAlignment="1" applyProtection="1">
      <alignment horizontal="center" vertical="center"/>
    </xf>
    <xf numFmtId="0" fontId="1" fillId="47" borderId="123" xfId="0" applyNumberFormat="1" applyFont="1" applyFill="1" applyBorder="1" applyAlignment="1" applyProtection="1">
      <alignment vertical="center"/>
    </xf>
    <xf numFmtId="0" fontId="1" fillId="47" borderId="29" xfId="0" applyNumberFormat="1" applyFont="1" applyFill="1" applyBorder="1" applyAlignment="1" applyProtection="1">
      <alignment vertical="center"/>
    </xf>
    <xf numFmtId="0" fontId="1" fillId="47" borderId="126" xfId="0" applyNumberFormat="1" applyFont="1" applyFill="1" applyBorder="1" applyAlignment="1" applyProtection="1">
      <alignment vertical="center"/>
    </xf>
    <xf numFmtId="3" fontId="6" fillId="26" borderId="1" xfId="0" applyNumberFormat="1" applyFont="1" applyFill="1" applyBorder="1" applyAlignment="1" applyProtection="1">
      <alignment horizontal="center" vertical="center"/>
    </xf>
    <xf numFmtId="3" fontId="4" fillId="4" borderId="1" xfId="1" applyNumberFormat="1" applyFont="1" applyFill="1" applyBorder="1" applyAlignment="1" applyProtection="1">
      <alignment horizontal="right" vertical="center"/>
      <protection locked="0"/>
    </xf>
    <xf numFmtId="3" fontId="1" fillId="26" borderId="1" xfId="0" applyNumberFormat="1" applyFont="1" applyFill="1" applyBorder="1" applyAlignment="1" applyProtection="1">
      <alignment horizontal="right" vertical="center"/>
    </xf>
    <xf numFmtId="167" fontId="18" fillId="2" borderId="0" xfId="7" applyNumberFormat="1" applyFont="1" applyFill="1" applyBorder="1" applyAlignment="1" applyProtection="1">
      <protection locked="0"/>
    </xf>
    <xf numFmtId="1" fontId="4" fillId="26" borderId="0" xfId="1" applyNumberFormat="1" applyFont="1" applyFill="1" applyBorder="1" applyAlignment="1" applyProtection="1">
      <alignment horizontal="center" vertical="center"/>
    </xf>
    <xf numFmtId="0" fontId="6" fillId="26" borderId="5" xfId="0" applyFont="1" applyFill="1" applyBorder="1" applyAlignment="1" applyProtection="1">
      <alignment horizontal="center" vertical="center" wrapText="1"/>
    </xf>
    <xf numFmtId="0" fontId="1" fillId="26" borderId="0" xfId="0" applyFont="1" applyFill="1" applyBorder="1" applyAlignment="1" applyProtection="1">
      <alignment vertical="center"/>
    </xf>
    <xf numFmtId="0" fontId="1" fillId="4" borderId="149" xfId="0" applyNumberFormat="1" applyFont="1" applyFill="1" applyBorder="1" applyAlignment="1" applyProtection="1">
      <alignment vertical="center"/>
      <protection locked="0"/>
    </xf>
    <xf numFmtId="0" fontId="1" fillId="4" borderId="150" xfId="0" applyNumberFormat="1" applyFont="1" applyFill="1" applyBorder="1" applyAlignment="1" applyProtection="1">
      <alignment vertical="center"/>
      <protection locked="0"/>
    </xf>
    <xf numFmtId="0" fontId="1" fillId="4" borderId="151" xfId="0" applyNumberFormat="1" applyFont="1" applyFill="1" applyBorder="1" applyAlignment="1" applyProtection="1">
      <alignment vertical="center"/>
      <protection locked="0"/>
    </xf>
    <xf numFmtId="0" fontId="1" fillId="26" borderId="10" xfId="0" applyFont="1" applyFill="1" applyBorder="1" applyAlignment="1" applyProtection="1">
      <alignment horizontal="right" vertical="center"/>
    </xf>
    <xf numFmtId="0" fontId="1" fillId="26" borderId="1" xfId="0" applyFont="1" applyFill="1" applyBorder="1" applyAlignment="1" applyProtection="1">
      <alignment horizontal="center" vertical="center"/>
    </xf>
    <xf numFmtId="0" fontId="6" fillId="26" borderId="0" xfId="0" applyFont="1" applyFill="1" applyBorder="1" applyAlignment="1" applyProtection="1">
      <alignment horizontal="center" vertical="center"/>
    </xf>
    <xf numFmtId="0" fontId="6" fillId="26" borderId="12" xfId="0" applyFont="1" applyFill="1" applyBorder="1" applyAlignment="1" applyProtection="1">
      <alignment horizontal="center" vertical="center"/>
    </xf>
    <xf numFmtId="0" fontId="1" fillId="4" borderId="25" xfId="0" applyFont="1" applyFill="1" applyBorder="1" applyAlignment="1" applyProtection="1">
      <alignment horizontal="center" vertical="center"/>
      <protection locked="0"/>
    </xf>
    <xf numFmtId="0" fontId="6" fillId="26" borderId="26" xfId="0" applyFont="1" applyFill="1" applyBorder="1" applyAlignment="1" applyProtection="1">
      <alignment horizontal="center" vertical="center"/>
    </xf>
    <xf numFmtId="0" fontId="6" fillId="26" borderId="10" xfId="0" applyFont="1" applyFill="1" applyBorder="1" applyAlignment="1" applyProtection="1">
      <alignment horizontal="center" vertical="center"/>
    </xf>
    <xf numFmtId="0" fontId="1" fillId="26" borderId="0" xfId="0" applyNumberFormat="1" applyFont="1" applyFill="1" applyAlignment="1" applyProtection="1">
      <alignment horizontal="right" vertical="center"/>
    </xf>
    <xf numFmtId="0" fontId="1" fillId="26" borderId="0" xfId="0" applyFont="1" applyFill="1" applyAlignment="1" applyProtection="1">
      <alignment horizontal="right" vertical="center"/>
    </xf>
    <xf numFmtId="0" fontId="1" fillId="26" borderId="0" xfId="0" applyFont="1" applyFill="1" applyBorder="1" applyAlignment="1" applyProtection="1">
      <alignment vertical="center"/>
    </xf>
    <xf numFmtId="0" fontId="1" fillId="26" borderId="0" xfId="0" applyFont="1" applyFill="1" applyAlignment="1" applyProtection="1">
      <alignment vertical="center"/>
    </xf>
    <xf numFmtId="0" fontId="1" fillId="26" borderId="156" xfId="0" applyFont="1" applyFill="1" applyBorder="1" applyAlignment="1" applyProtection="1">
      <alignment horizontal="left" vertical="center"/>
    </xf>
    <xf numFmtId="0" fontId="1" fillId="26" borderId="157" xfId="0" applyFont="1" applyFill="1" applyBorder="1" applyAlignment="1" applyProtection="1">
      <alignment horizontal="left" vertical="center"/>
    </xf>
    <xf numFmtId="0" fontId="1" fillId="26" borderId="158" xfId="0" applyFont="1" applyFill="1" applyBorder="1" applyAlignment="1" applyProtection="1">
      <alignment horizontal="left" vertical="center"/>
    </xf>
    <xf numFmtId="0" fontId="1" fillId="4" borderId="4" xfId="0" applyFont="1" applyFill="1" applyBorder="1" applyAlignment="1" applyProtection="1">
      <alignment horizontal="center" vertical="center"/>
      <protection locked="0"/>
    </xf>
    <xf numFmtId="0" fontId="6" fillId="26" borderId="11" xfId="0" applyFont="1" applyFill="1" applyBorder="1" applyAlignment="1" applyProtection="1">
      <alignment horizontal="center" vertical="center"/>
    </xf>
    <xf numFmtId="0" fontId="6" fillId="26" borderId="25" xfId="0" applyFont="1" applyFill="1" applyBorder="1" applyAlignment="1" applyProtection="1">
      <alignment horizontal="center" vertical="center" wrapText="1"/>
    </xf>
    <xf numFmtId="0" fontId="6" fillId="26" borderId="5" xfId="0" applyFont="1" applyFill="1" applyBorder="1" applyAlignment="1" applyProtection="1">
      <alignment horizontal="center" vertical="center" wrapText="1"/>
    </xf>
    <xf numFmtId="0" fontId="38" fillId="26" borderId="0" xfId="8" applyFill="1" applyAlignment="1" applyProtection="1">
      <alignment horizontal="center" vertical="center"/>
    </xf>
    <xf numFmtId="0" fontId="1" fillId="26" borderId="0" xfId="0" applyFont="1" applyFill="1" applyAlignment="1" applyProtection="1">
      <alignment vertical="center"/>
    </xf>
    <xf numFmtId="0" fontId="1" fillId="26" borderId="0" xfId="0" applyFont="1" applyFill="1" applyAlignment="1" applyProtection="1">
      <alignment horizontal="left" vertical="center"/>
    </xf>
    <xf numFmtId="49" fontId="1" fillId="26" borderId="25" xfId="0" applyNumberFormat="1" applyFont="1" applyFill="1" applyBorder="1" applyAlignment="1" applyProtection="1">
      <alignment horizontal="center" vertical="center"/>
    </xf>
    <xf numFmtId="0" fontId="1" fillId="26" borderId="0" xfId="0" applyFont="1" applyFill="1" applyBorder="1" applyAlignment="1" applyProtection="1">
      <alignment vertical="center"/>
    </xf>
    <xf numFmtId="0" fontId="5" fillId="49" borderId="0" xfId="0" applyFont="1" applyFill="1" applyBorder="1" applyAlignment="1" applyProtection="1">
      <alignment horizontal="left" vertical="center"/>
    </xf>
    <xf numFmtId="0" fontId="79" fillId="49" borderId="0" xfId="0" applyFont="1" applyFill="1" applyAlignment="1" applyProtection="1">
      <alignment vertical="center"/>
    </xf>
    <xf numFmtId="0" fontId="5" fillId="49" borderId="0" xfId="0" applyFont="1" applyFill="1" applyBorder="1" applyAlignment="1" applyProtection="1">
      <alignment vertical="top"/>
    </xf>
    <xf numFmtId="0" fontId="35" fillId="26" borderId="0" xfId="0" applyFont="1" applyFill="1" applyBorder="1" applyAlignment="1">
      <alignment vertical="center"/>
    </xf>
    <xf numFmtId="0" fontId="46" fillId="30" borderId="0" xfId="0" applyFont="1" applyFill="1" applyBorder="1" applyAlignment="1">
      <alignment horizontal="left" vertical="center"/>
    </xf>
    <xf numFmtId="0" fontId="46" fillId="6" borderId="0" xfId="0" applyFont="1" applyFill="1" applyBorder="1" applyAlignment="1">
      <alignment vertical="center"/>
    </xf>
    <xf numFmtId="0" fontId="46" fillId="17" borderId="0" xfId="0" applyFont="1" applyFill="1" applyBorder="1" applyAlignment="1">
      <alignment vertical="center"/>
    </xf>
    <xf numFmtId="0" fontId="5" fillId="49" borderId="0" xfId="0" applyFont="1" applyFill="1" applyBorder="1" applyAlignment="1" applyProtection="1">
      <alignment horizontal="left"/>
    </xf>
    <xf numFmtId="0" fontId="52" fillId="26" borderId="0" xfId="0" applyFont="1" applyFill="1" applyAlignment="1" applyProtection="1">
      <alignment vertical="center"/>
    </xf>
    <xf numFmtId="0" fontId="79" fillId="49" borderId="0" xfId="0" applyFont="1" applyFill="1" applyAlignment="1" applyProtection="1"/>
    <xf numFmtId="0" fontId="80" fillId="49" borderId="0" xfId="0" applyFont="1" applyFill="1" applyAlignment="1" applyProtection="1">
      <alignment vertical="center"/>
    </xf>
    <xf numFmtId="0" fontId="6" fillId="26" borderId="24" xfId="0" applyFont="1" applyFill="1" applyBorder="1" applyAlignment="1" applyProtection="1">
      <alignment horizontal="left" vertical="center"/>
    </xf>
    <xf numFmtId="0" fontId="6" fillId="26" borderId="22" xfId="0" applyFont="1" applyFill="1" applyBorder="1" applyAlignment="1" applyProtection="1">
      <alignment horizontal="left" vertical="center"/>
    </xf>
    <xf numFmtId="0" fontId="6" fillId="26" borderId="23" xfId="0" applyFont="1" applyFill="1" applyBorder="1" applyAlignment="1" applyProtection="1">
      <alignment horizontal="left" vertical="center"/>
    </xf>
    <xf numFmtId="0" fontId="1" fillId="26" borderId="11" xfId="0" applyFont="1" applyFill="1" applyBorder="1" applyProtection="1"/>
    <xf numFmtId="0" fontId="1" fillId="26" borderId="6" xfId="0" applyFont="1" applyFill="1" applyBorder="1" applyAlignment="1" applyProtection="1">
      <alignment horizontal="center" vertical="center"/>
    </xf>
    <xf numFmtId="0" fontId="1" fillId="26" borderId="1" xfId="0" applyFont="1" applyFill="1" applyBorder="1" applyAlignment="1" applyProtection="1">
      <alignment horizontal="left" vertical="center"/>
    </xf>
    <xf numFmtId="0" fontId="81" fillId="26" borderId="0" xfId="0" applyFont="1" applyFill="1" applyBorder="1" applyAlignment="1" applyProtection="1">
      <alignment vertical="center"/>
    </xf>
    <xf numFmtId="0" fontId="1" fillId="26" borderId="27" xfId="0" applyFont="1" applyFill="1" applyBorder="1" applyAlignment="1" applyProtection="1">
      <alignment horizontal="center" vertical="center"/>
    </xf>
    <xf numFmtId="0" fontId="1" fillId="26" borderId="9" xfId="0" applyFont="1" applyFill="1" applyBorder="1" applyAlignment="1" applyProtection="1">
      <alignment horizontal="center" vertical="center"/>
    </xf>
    <xf numFmtId="0" fontId="1" fillId="26" borderId="11" xfId="0" applyFont="1" applyFill="1" applyBorder="1" applyAlignment="1" applyProtection="1">
      <alignment horizontal="center" vertical="center"/>
    </xf>
    <xf numFmtId="2" fontId="1" fillId="4" borderId="8" xfId="0" applyNumberFormat="1" applyFont="1" applyFill="1" applyBorder="1" applyAlignment="1" applyProtection="1">
      <alignment horizontal="center" vertical="center"/>
      <protection locked="0"/>
    </xf>
    <xf numFmtId="2" fontId="1" fillId="4" borderId="7" xfId="0" applyNumberFormat="1" applyFont="1" applyFill="1" applyBorder="1" applyAlignment="1" applyProtection="1">
      <alignment horizontal="center" vertical="center"/>
      <protection locked="0"/>
    </xf>
    <xf numFmtId="2" fontId="1" fillId="4" borderId="6" xfId="0" applyNumberFormat="1" applyFont="1" applyFill="1" applyBorder="1" applyAlignment="1" applyProtection="1">
      <alignment horizontal="center" vertical="center"/>
      <protection locked="0"/>
    </xf>
    <xf numFmtId="2" fontId="1" fillId="26" borderId="53" xfId="0" applyNumberFormat="1" applyFont="1" applyFill="1" applyBorder="1" applyAlignment="1" applyProtection="1">
      <alignment horizontal="center" vertical="center"/>
    </xf>
    <xf numFmtId="2" fontId="6" fillId="26" borderId="48" xfId="0" applyNumberFormat="1" applyFont="1" applyFill="1" applyBorder="1" applyAlignment="1" applyProtection="1">
      <alignment horizontal="center" vertical="center"/>
    </xf>
    <xf numFmtId="2" fontId="1" fillId="26" borderId="50" xfId="0" applyNumberFormat="1" applyFont="1" applyFill="1" applyBorder="1" applyAlignment="1" applyProtection="1">
      <alignment horizontal="center" vertical="center"/>
    </xf>
    <xf numFmtId="2" fontId="1" fillId="4" borderId="122" xfId="0" applyNumberFormat="1" applyFont="1" applyFill="1" applyBorder="1" applyAlignment="1" applyProtection="1">
      <alignment horizontal="right" vertical="center" wrapText="1"/>
      <protection locked="0"/>
    </xf>
    <xf numFmtId="2" fontId="1" fillId="4" borderId="124" xfId="0" applyNumberFormat="1" applyFont="1" applyFill="1" applyBorder="1" applyAlignment="1" applyProtection="1">
      <alignment horizontal="right" vertical="center" wrapText="1"/>
      <protection locked="0"/>
    </xf>
    <xf numFmtId="2" fontId="1" fillId="4" borderId="125" xfId="0" applyNumberFormat="1" applyFont="1" applyFill="1" applyBorder="1" applyAlignment="1" applyProtection="1">
      <alignment horizontal="right" vertical="center" wrapText="1"/>
      <protection locked="0"/>
    </xf>
    <xf numFmtId="0" fontId="40" fillId="26" borderId="0" xfId="0" applyFont="1" applyFill="1" applyProtection="1"/>
    <xf numFmtId="0" fontId="1" fillId="26" borderId="25" xfId="0" applyFont="1" applyFill="1" applyBorder="1" applyAlignment="1" applyProtection="1">
      <alignment horizontal="right" vertical="center"/>
    </xf>
    <xf numFmtId="0" fontId="1" fillId="26" borderId="26" xfId="0" applyFont="1" applyFill="1" applyBorder="1" applyAlignment="1" applyProtection="1">
      <alignment horizontal="right" vertical="center"/>
    </xf>
    <xf numFmtId="0" fontId="1" fillId="26" borderId="1" xfId="0" applyFont="1" applyFill="1" applyBorder="1" applyAlignment="1" applyProtection="1">
      <alignment horizontal="center" vertical="center"/>
    </xf>
    <xf numFmtId="0" fontId="6" fillId="26" borderId="9" xfId="0" applyFont="1" applyFill="1" applyBorder="1" applyAlignment="1" applyProtection="1">
      <alignment horizontal="center" vertical="center"/>
    </xf>
    <xf numFmtId="0" fontId="1" fillId="26" borderId="0" xfId="0" applyFont="1" applyFill="1" applyAlignment="1" applyProtection="1">
      <alignment horizontal="right" vertical="center"/>
    </xf>
    <xf numFmtId="0" fontId="1" fillId="26" borderId="0" xfId="0" applyFont="1" applyFill="1" applyBorder="1" applyAlignment="1" applyProtection="1">
      <alignment horizontal="left" vertical="center"/>
    </xf>
    <xf numFmtId="0" fontId="1" fillId="26" borderId="0" xfId="0" applyFont="1" applyFill="1" applyBorder="1" applyAlignment="1" applyProtection="1">
      <alignment vertical="center"/>
    </xf>
    <xf numFmtId="0" fontId="1" fillId="26" borderId="0" xfId="0" applyFont="1" applyFill="1" applyAlignment="1" applyProtection="1">
      <alignment horizontal="left" vertical="center"/>
    </xf>
    <xf numFmtId="0" fontId="1" fillId="26" borderId="25" xfId="0" applyFont="1" applyFill="1" applyBorder="1" applyAlignment="1" applyProtection="1">
      <alignment horizontal="center" vertical="center"/>
    </xf>
    <xf numFmtId="0" fontId="1" fillId="26" borderId="0" xfId="0" applyFont="1" applyFill="1" applyAlignment="1" applyProtection="1">
      <alignment vertical="center"/>
    </xf>
    <xf numFmtId="0" fontId="1" fillId="0" borderId="0" xfId="0" applyFont="1" applyBorder="1" applyAlignment="1" applyProtection="1">
      <alignment horizontal="center"/>
    </xf>
    <xf numFmtId="0" fontId="52" fillId="0" borderId="25" xfId="0" applyFont="1" applyFill="1" applyBorder="1" applyAlignment="1" applyProtection="1">
      <alignment vertical="center"/>
      <protection locked="0"/>
    </xf>
    <xf numFmtId="0" fontId="52" fillId="0" borderId="5" xfId="0" applyFont="1" applyFill="1" applyBorder="1" applyAlignment="1" applyProtection="1">
      <alignment vertical="center"/>
      <protection locked="0"/>
    </xf>
    <xf numFmtId="0" fontId="61" fillId="26" borderId="0" xfId="0" applyFont="1" applyFill="1" applyAlignment="1" applyProtection="1">
      <alignment vertical="center"/>
    </xf>
    <xf numFmtId="175" fontId="1" fillId="26" borderId="4" xfId="0" applyNumberFormat="1" applyFont="1" applyFill="1" applyBorder="1" applyAlignment="1" applyProtection="1">
      <alignment vertical="center"/>
    </xf>
    <xf numFmtId="175" fontId="1" fillId="26" borderId="27" xfId="0" applyNumberFormat="1" applyFont="1" applyFill="1" applyBorder="1" applyAlignment="1" applyProtection="1">
      <alignment vertical="center"/>
    </xf>
    <xf numFmtId="0" fontId="1" fillId="26" borderId="173" xfId="0" applyFont="1" applyFill="1" applyBorder="1" applyAlignment="1" applyProtection="1">
      <alignment vertical="center"/>
    </xf>
    <xf numFmtId="0" fontId="6" fillId="26" borderId="180" xfId="0" applyFont="1" applyFill="1" applyBorder="1" applyAlignment="1">
      <alignment horizontal="center" vertical="center"/>
    </xf>
    <xf numFmtId="0" fontId="6" fillId="26" borderId="181" xfId="0" applyFont="1" applyFill="1" applyBorder="1" applyAlignment="1" applyProtection="1">
      <alignment horizontal="center" vertical="center"/>
    </xf>
    <xf numFmtId="175" fontId="1" fillId="26" borderId="177" xfId="0" applyNumberFormat="1" applyFont="1" applyFill="1" applyBorder="1" applyAlignment="1" applyProtection="1">
      <alignment vertical="center"/>
    </xf>
    <xf numFmtId="175" fontId="1" fillId="26" borderId="178" xfId="0" applyNumberFormat="1" applyFont="1" applyFill="1" applyBorder="1" applyAlignment="1" applyProtection="1">
      <alignment vertical="center"/>
    </xf>
    <xf numFmtId="0" fontId="1" fillId="26" borderId="7" xfId="0" applyFont="1" applyFill="1" applyBorder="1" applyAlignment="1" applyProtection="1">
      <alignment vertical="center"/>
    </xf>
    <xf numFmtId="177" fontId="1" fillId="26" borderId="1" xfId="0" applyNumberFormat="1" applyFont="1" applyFill="1" applyBorder="1" applyAlignment="1" applyProtection="1">
      <alignment vertical="center"/>
    </xf>
    <xf numFmtId="167" fontId="1" fillId="26" borderId="4" xfId="7" applyNumberFormat="1" applyFont="1" applyFill="1" applyBorder="1" applyAlignment="1" applyProtection="1">
      <alignment vertical="center"/>
    </xf>
    <xf numFmtId="175" fontId="6" fillId="26" borderId="9" xfId="0" applyNumberFormat="1" applyFont="1" applyFill="1" applyBorder="1" applyAlignment="1" applyProtection="1">
      <alignment vertical="center"/>
    </xf>
    <xf numFmtId="175" fontId="6" fillId="26" borderId="8" xfId="0" applyNumberFormat="1" applyFont="1" applyFill="1" applyBorder="1" applyAlignment="1" applyProtection="1">
      <alignment vertical="center"/>
    </xf>
    <xf numFmtId="175" fontId="1" fillId="26" borderId="182" xfId="0" applyNumberFormat="1" applyFont="1" applyFill="1" applyBorder="1" applyAlignment="1" applyProtection="1">
      <alignment vertical="center"/>
    </xf>
    <xf numFmtId="175" fontId="1" fillId="26" borderId="52" xfId="0" applyNumberFormat="1" applyFont="1" applyFill="1" applyBorder="1" applyAlignment="1" applyProtection="1">
      <alignment vertical="center"/>
    </xf>
    <xf numFmtId="175" fontId="1" fillId="26" borderId="44" xfId="0" applyNumberFormat="1" applyFont="1" applyFill="1" applyBorder="1" applyAlignment="1" applyProtection="1">
      <alignment vertical="center"/>
    </xf>
    <xf numFmtId="0" fontId="6" fillId="26" borderId="173" xfId="0" applyFont="1" applyFill="1" applyBorder="1" applyAlignment="1" applyProtection="1">
      <alignment horizontal="right" vertical="center"/>
    </xf>
    <xf numFmtId="0" fontId="1" fillId="26" borderId="181" xfId="0" applyFont="1" applyFill="1" applyBorder="1" applyAlignment="1" applyProtection="1">
      <alignment vertical="center"/>
    </xf>
    <xf numFmtId="175" fontId="6" fillId="26" borderId="183" xfId="0" applyNumberFormat="1" applyFont="1" applyFill="1" applyBorder="1" applyAlignment="1" applyProtection="1">
      <alignment vertical="center"/>
    </xf>
    <xf numFmtId="0" fontId="1" fillId="26" borderId="127" xfId="0" applyFont="1" applyFill="1" applyBorder="1" applyAlignment="1" applyProtection="1">
      <alignment vertical="center"/>
    </xf>
    <xf numFmtId="0" fontId="1" fillId="26" borderId="117" xfId="0" applyFont="1" applyFill="1" applyBorder="1" applyAlignment="1" applyProtection="1">
      <alignment vertical="center"/>
    </xf>
    <xf numFmtId="0" fontId="1" fillId="26" borderId="184" xfId="0" applyFont="1" applyFill="1" applyBorder="1" applyAlignment="1" applyProtection="1">
      <alignment vertical="center"/>
    </xf>
    <xf numFmtId="0" fontId="79" fillId="49" borderId="0" xfId="0" applyFont="1" applyFill="1" applyBorder="1" applyAlignment="1" applyProtection="1">
      <alignment vertical="center"/>
    </xf>
    <xf numFmtId="175" fontId="1" fillId="0" borderId="0" xfId="0" applyNumberFormat="1" applyFont="1" applyAlignment="1" applyProtection="1">
      <alignment vertical="center"/>
    </xf>
    <xf numFmtId="0" fontId="1" fillId="0" borderId="0" xfId="7" applyNumberFormat="1" applyFont="1" applyAlignment="1" applyProtection="1">
      <alignment vertical="center"/>
    </xf>
    <xf numFmtId="167" fontId="1" fillId="26" borderId="7" xfId="7" applyNumberFormat="1" applyFont="1" applyFill="1" applyBorder="1" applyAlignment="1" applyProtection="1">
      <alignment horizontal="center" vertical="center"/>
    </xf>
    <xf numFmtId="0" fontId="6" fillId="26" borderId="1" xfId="0" applyFont="1" applyFill="1" applyBorder="1" applyAlignment="1" applyProtection="1">
      <alignment horizontal="center" vertical="center"/>
    </xf>
    <xf numFmtId="2" fontId="1" fillId="26" borderId="0" xfId="0" applyNumberFormat="1" applyFont="1" applyFill="1" applyAlignment="1" applyProtection="1">
      <alignment horizontal="right" vertical="center"/>
    </xf>
    <xf numFmtId="2" fontId="6" fillId="26" borderId="0" xfId="0" applyNumberFormat="1" applyFont="1" applyFill="1" applyAlignment="1" applyProtection="1">
      <alignment vertical="center"/>
    </xf>
    <xf numFmtId="0" fontId="1" fillId="4" borderId="25" xfId="0" applyFont="1" applyFill="1" applyBorder="1" applyAlignment="1" applyProtection="1">
      <alignment vertical="center"/>
      <protection locked="0"/>
    </xf>
    <xf numFmtId="0" fontId="1" fillId="4" borderId="4" xfId="0" applyFont="1" applyFill="1" applyBorder="1" applyAlignment="1" applyProtection="1">
      <alignment vertical="center"/>
      <protection locked="0"/>
    </xf>
    <xf numFmtId="0" fontId="84" fillId="26" borderId="0" xfId="0" applyFont="1" applyFill="1" applyProtection="1"/>
    <xf numFmtId="0" fontId="84" fillId="26" borderId="0" xfId="0" applyFont="1" applyFill="1" applyAlignment="1" applyProtection="1">
      <alignment horizontal="right"/>
    </xf>
    <xf numFmtId="0" fontId="7" fillId="26" borderId="0" xfId="0" applyFont="1" applyFill="1" applyBorder="1" applyAlignment="1" applyProtection="1">
      <alignment horizontal="right" vertical="center"/>
    </xf>
    <xf numFmtId="0" fontId="1" fillId="4" borderId="26" xfId="0" applyFont="1" applyFill="1" applyBorder="1" applyAlignment="1" applyProtection="1">
      <alignment horizontal="center" vertical="center"/>
      <protection locked="0"/>
    </xf>
    <xf numFmtId="0" fontId="1" fillId="26" borderId="26" xfId="0" applyFont="1" applyFill="1" applyBorder="1" applyAlignment="1" applyProtection="1">
      <alignment vertical="center"/>
    </xf>
    <xf numFmtId="2" fontId="1" fillId="26" borderId="40" xfId="0" applyNumberFormat="1" applyFont="1" applyFill="1" applyBorder="1" applyAlignment="1" applyProtection="1">
      <alignment horizontal="center" vertical="center"/>
    </xf>
    <xf numFmtId="2" fontId="1" fillId="26" borderId="8" xfId="0" applyNumberFormat="1" applyFont="1" applyFill="1" applyBorder="1" applyAlignment="1" applyProtection="1">
      <alignment horizontal="left" vertical="center"/>
    </xf>
    <xf numFmtId="2" fontId="1" fillId="26" borderId="42" xfId="0" applyNumberFormat="1" applyFont="1" applyFill="1" applyBorder="1" applyAlignment="1" applyProtection="1">
      <alignment horizontal="center" vertical="center"/>
    </xf>
    <xf numFmtId="2" fontId="4" fillId="50" borderId="0" xfId="0" applyNumberFormat="1" applyFont="1" applyFill="1" applyBorder="1" applyAlignment="1" applyProtection="1">
      <alignment horizontal="center" vertical="center"/>
    </xf>
    <xf numFmtId="2" fontId="6" fillId="26" borderId="1" xfId="0" applyNumberFormat="1" applyFont="1" applyFill="1" applyBorder="1" applyAlignment="1" applyProtection="1">
      <alignment horizontal="center" vertical="center"/>
    </xf>
    <xf numFmtId="2" fontId="4" fillId="50" borderId="1" xfId="0" applyNumberFormat="1" applyFont="1" applyFill="1" applyBorder="1" applyAlignment="1" applyProtection="1">
      <alignment horizontal="center" vertical="center"/>
    </xf>
    <xf numFmtId="1" fontId="4" fillId="50" borderId="1" xfId="0" applyNumberFormat="1" applyFont="1" applyFill="1" applyBorder="1" applyAlignment="1" applyProtection="1">
      <alignment horizontal="center" vertical="center"/>
    </xf>
    <xf numFmtId="0" fontId="4" fillId="26" borderId="0" xfId="0" applyFont="1" applyFill="1" applyBorder="1" applyAlignment="1" applyProtection="1">
      <alignment horizontal="left" vertical="center"/>
    </xf>
    <xf numFmtId="2" fontId="80" fillId="4" borderId="5" xfId="0" applyNumberFormat="1" applyFont="1" applyFill="1" applyBorder="1" applyAlignment="1" applyProtection="1">
      <alignment horizontal="center" vertical="center"/>
      <protection locked="0"/>
    </xf>
    <xf numFmtId="2" fontId="80" fillId="4" borderId="0" xfId="0" applyNumberFormat="1" applyFont="1" applyFill="1" applyBorder="1" applyAlignment="1" applyProtection="1">
      <alignment horizontal="center" vertical="center"/>
      <protection locked="0"/>
    </xf>
    <xf numFmtId="2" fontId="80" fillId="4" borderId="2" xfId="0" applyNumberFormat="1" applyFont="1" applyFill="1" applyBorder="1" applyAlignment="1" applyProtection="1">
      <alignment horizontal="center" vertical="center"/>
      <protection locked="0"/>
    </xf>
    <xf numFmtId="2" fontId="80" fillId="4" borderId="10" xfId="0" applyNumberFormat="1" applyFont="1" applyFill="1" applyBorder="1" applyAlignment="1" applyProtection="1">
      <alignment horizontal="center" vertical="center"/>
      <protection locked="0"/>
    </xf>
    <xf numFmtId="2" fontId="80" fillId="4" borderId="209" xfId="0" applyNumberFormat="1" applyFont="1" applyFill="1" applyBorder="1" applyAlignment="1" applyProtection="1">
      <alignment horizontal="center" vertical="center"/>
      <protection locked="0"/>
    </xf>
    <xf numFmtId="2" fontId="80" fillId="4" borderId="63" xfId="0" applyNumberFormat="1" applyFont="1" applyFill="1" applyBorder="1" applyAlignment="1" applyProtection="1">
      <alignment horizontal="center" vertical="center"/>
      <protection locked="0"/>
    </xf>
    <xf numFmtId="0" fontId="38" fillId="26" borderId="0" xfId="8" applyFill="1" applyProtection="1"/>
    <xf numFmtId="0" fontId="51" fillId="26" borderId="0" xfId="0" applyFont="1" applyFill="1" applyAlignment="1" applyProtection="1">
      <alignment horizontal="right"/>
    </xf>
    <xf numFmtId="0" fontId="46" fillId="19" borderId="0" xfId="0" applyFont="1" applyFill="1" applyBorder="1" applyAlignment="1">
      <alignment horizontal="right" vertical="center"/>
    </xf>
    <xf numFmtId="0" fontId="46" fillId="21" borderId="0" xfId="0" applyFont="1" applyFill="1" applyBorder="1" applyAlignment="1">
      <alignment horizontal="left" vertical="center"/>
    </xf>
    <xf numFmtId="0" fontId="1" fillId="51" borderId="0" xfId="0" applyFont="1" applyFill="1" applyBorder="1" applyAlignment="1">
      <alignment vertical="center"/>
    </xf>
    <xf numFmtId="0" fontId="0" fillId="4" borderId="20" xfId="0" applyFill="1" applyBorder="1"/>
    <xf numFmtId="49" fontId="7" fillId="50" borderId="5" xfId="0" applyNumberFormat="1" applyFont="1" applyFill="1" applyBorder="1" applyAlignment="1" applyProtection="1">
      <alignment vertical="top"/>
    </xf>
    <xf numFmtId="49" fontId="7" fillId="50" borderId="4" xfId="0" applyNumberFormat="1" applyFont="1" applyFill="1" applyBorder="1" applyAlignment="1" applyProtection="1">
      <alignment vertical="top"/>
    </xf>
    <xf numFmtId="1" fontId="1" fillId="26" borderId="1" xfId="0" applyNumberFormat="1" applyFont="1" applyFill="1" applyBorder="1" applyAlignment="1" applyProtection="1">
      <alignment horizontal="center"/>
    </xf>
    <xf numFmtId="0" fontId="1" fillId="0" borderId="0" xfId="0" applyFont="1" applyAlignment="1" applyProtection="1">
      <alignment vertical="center"/>
      <protection locked="0"/>
    </xf>
    <xf numFmtId="0" fontId="1" fillId="26" borderId="25" xfId="0" applyFont="1" applyFill="1" applyBorder="1" applyAlignment="1" applyProtection="1">
      <alignment vertical="center"/>
    </xf>
    <xf numFmtId="167" fontId="1" fillId="26" borderId="5" xfId="0" applyNumberFormat="1" applyFont="1" applyFill="1" applyBorder="1" applyAlignment="1" applyProtection="1">
      <alignment horizontal="center" vertical="center"/>
    </xf>
    <xf numFmtId="167" fontId="1" fillId="26" borderId="25" xfId="0" applyNumberFormat="1" applyFont="1" applyFill="1" applyBorder="1" applyAlignment="1" applyProtection="1">
      <alignment horizontal="center" vertical="center"/>
    </xf>
    <xf numFmtId="0" fontId="1" fillId="26" borderId="167" xfId="0" applyFont="1" applyFill="1" applyBorder="1" applyAlignment="1" applyProtection="1">
      <alignment vertical="center"/>
    </xf>
    <xf numFmtId="0" fontId="36" fillId="26" borderId="0" xfId="0" applyFont="1" applyFill="1" applyBorder="1" applyAlignment="1" applyProtection="1">
      <alignment vertical="center"/>
    </xf>
    <xf numFmtId="0" fontId="1" fillId="26" borderId="169" xfId="0" applyFont="1" applyFill="1" applyBorder="1" applyAlignment="1" applyProtection="1">
      <alignment vertical="center"/>
    </xf>
    <xf numFmtId="0" fontId="6" fillId="26" borderId="168" xfId="0" applyFont="1" applyFill="1" applyBorder="1" applyAlignment="1" applyProtection="1">
      <alignment horizontal="center" vertical="center"/>
    </xf>
    <xf numFmtId="0" fontId="6" fillId="26" borderId="169" xfId="0" applyFont="1" applyFill="1" applyBorder="1" applyAlignment="1" applyProtection="1">
      <alignment horizontal="center" vertical="center"/>
    </xf>
    <xf numFmtId="0" fontId="6" fillId="26" borderId="8" xfId="0" applyFont="1" applyFill="1" applyBorder="1" applyAlignment="1" applyProtection="1">
      <alignment horizontal="center" vertical="center"/>
    </xf>
    <xf numFmtId="0" fontId="1" fillId="26" borderId="185" xfId="0" applyFont="1" applyFill="1" applyBorder="1" applyAlignment="1" applyProtection="1">
      <alignment horizontal="center" vertical="center"/>
    </xf>
    <xf numFmtId="0" fontId="1" fillId="26" borderId="186" xfId="0" applyFont="1" applyFill="1" applyBorder="1" applyAlignment="1" applyProtection="1">
      <alignment horizontal="center" vertical="center"/>
    </xf>
    <xf numFmtId="1" fontId="1" fillId="26" borderId="187" xfId="0" applyNumberFormat="1" applyFont="1" applyFill="1" applyBorder="1" applyAlignment="1" applyProtection="1">
      <alignment horizontal="center" vertical="center"/>
    </xf>
    <xf numFmtId="1" fontId="1" fillId="26" borderId="188" xfId="0" applyNumberFormat="1" applyFont="1" applyFill="1" applyBorder="1" applyAlignment="1" applyProtection="1">
      <alignment horizontal="center" vertical="center"/>
    </xf>
    <xf numFmtId="1" fontId="1" fillId="26" borderId="189" xfId="0" applyNumberFormat="1" applyFont="1" applyFill="1" applyBorder="1" applyAlignment="1" applyProtection="1">
      <alignment horizontal="center" vertical="center"/>
    </xf>
    <xf numFmtId="1" fontId="1" fillId="26" borderId="106" xfId="0" applyNumberFormat="1" applyFont="1" applyFill="1" applyBorder="1" applyAlignment="1" applyProtection="1">
      <alignment horizontal="center" vertical="center"/>
    </xf>
    <xf numFmtId="0" fontId="1" fillId="26" borderId="112" xfId="0" applyFont="1" applyFill="1" applyBorder="1" applyAlignment="1" applyProtection="1">
      <alignment horizontal="center" vertical="center"/>
    </xf>
    <xf numFmtId="0" fontId="1" fillId="26" borderId="171" xfId="0" applyFont="1" applyFill="1" applyBorder="1" applyAlignment="1" applyProtection="1">
      <alignment horizontal="center" vertical="center"/>
    </xf>
    <xf numFmtId="2" fontId="1" fillId="26" borderId="169" xfId="0" applyNumberFormat="1" applyFont="1" applyFill="1" applyBorder="1" applyAlignment="1" applyProtection="1">
      <alignment horizontal="center" vertical="center"/>
    </xf>
    <xf numFmtId="2" fontId="1" fillId="26" borderId="109" xfId="0" applyNumberFormat="1" applyFont="1" applyFill="1" applyBorder="1" applyAlignment="1" applyProtection="1">
      <alignment horizontal="center" vertical="center"/>
    </xf>
    <xf numFmtId="2" fontId="1" fillId="26" borderId="68" xfId="0" applyNumberFormat="1" applyFont="1" applyFill="1" applyBorder="1" applyAlignment="1" applyProtection="1">
      <alignment horizontal="center" vertical="center"/>
    </xf>
    <xf numFmtId="2" fontId="1" fillId="26" borderId="190" xfId="0" applyNumberFormat="1" applyFont="1" applyFill="1" applyBorder="1" applyAlignment="1" applyProtection="1">
      <alignment horizontal="center" vertical="center"/>
    </xf>
    <xf numFmtId="0" fontId="1" fillId="26" borderId="113" xfId="0" applyFont="1" applyFill="1" applyBorder="1" applyAlignment="1" applyProtection="1">
      <alignment horizontal="center" vertical="center"/>
    </xf>
    <xf numFmtId="0" fontId="1" fillId="26" borderId="172" xfId="0" applyFont="1" applyFill="1" applyBorder="1" applyAlignment="1" applyProtection="1">
      <alignment horizontal="center" vertical="center"/>
    </xf>
    <xf numFmtId="0" fontId="1" fillId="26" borderId="170" xfId="0" applyFont="1" applyFill="1" applyBorder="1" applyAlignment="1" applyProtection="1">
      <alignment horizontal="center" vertical="center"/>
    </xf>
    <xf numFmtId="0" fontId="1" fillId="26" borderId="100" xfId="0" applyFont="1" applyFill="1" applyBorder="1" applyAlignment="1" applyProtection="1">
      <alignment horizontal="center" vertical="center"/>
    </xf>
    <xf numFmtId="0" fontId="1" fillId="26" borderId="111" xfId="0" applyFont="1" applyFill="1" applyBorder="1" applyAlignment="1" applyProtection="1">
      <alignment horizontal="center" vertical="center"/>
    </xf>
    <xf numFmtId="0" fontId="1" fillId="26" borderId="191" xfId="0" applyFont="1" applyFill="1" applyBorder="1" applyAlignment="1" applyProtection="1">
      <alignment horizontal="center" vertical="center"/>
    </xf>
    <xf numFmtId="169" fontId="1" fillId="26" borderId="192" xfId="0" applyNumberFormat="1" applyFont="1" applyFill="1" applyBorder="1" applyAlignment="1" applyProtection="1">
      <alignment horizontal="center" vertical="center"/>
    </xf>
    <xf numFmtId="169" fontId="1" fillId="26" borderId="88" xfId="0" applyNumberFormat="1" applyFont="1" applyFill="1" applyBorder="1" applyAlignment="1" applyProtection="1">
      <alignment horizontal="center" vertical="center"/>
    </xf>
    <xf numFmtId="169" fontId="1" fillId="26" borderId="193" xfId="0" applyNumberFormat="1" applyFont="1" applyFill="1" applyBorder="1" applyAlignment="1" applyProtection="1">
      <alignment horizontal="center" vertical="center"/>
    </xf>
    <xf numFmtId="169" fontId="1" fillId="26" borderId="194" xfId="0" applyNumberFormat="1" applyFont="1" applyFill="1" applyBorder="1" applyAlignment="1" applyProtection="1">
      <alignment horizontal="center" vertical="center"/>
    </xf>
    <xf numFmtId="0" fontId="26" fillId="26" borderId="0" xfId="0" applyFont="1" applyFill="1" applyBorder="1" applyAlignment="1" applyProtection="1">
      <alignment horizontal="right"/>
    </xf>
    <xf numFmtId="0" fontId="26" fillId="26" borderId="0" xfId="0" applyNumberFormat="1" applyFont="1" applyFill="1" applyBorder="1" applyAlignment="1" applyProtection="1">
      <alignment horizontal="center"/>
    </xf>
    <xf numFmtId="0" fontId="0" fillId="26" borderId="0" xfId="0" applyFill="1" applyProtection="1"/>
    <xf numFmtId="0" fontId="6" fillId="26" borderId="114" xfId="0" applyFont="1" applyFill="1" applyBorder="1" applyAlignment="1" applyProtection="1">
      <alignment horizontal="center" vertical="center"/>
    </xf>
    <xf numFmtId="0" fontId="1" fillId="26" borderId="195" xfId="0" applyFont="1" applyFill="1" applyBorder="1" applyAlignment="1" applyProtection="1">
      <alignment horizontal="left" vertical="center"/>
    </xf>
    <xf numFmtId="0" fontId="1" fillId="26" borderId="196" xfId="0" applyFont="1" applyFill="1" applyBorder="1" applyAlignment="1" applyProtection="1">
      <alignment horizontal="left" vertical="center"/>
    </xf>
    <xf numFmtId="175" fontId="1" fillId="26" borderId="187" xfId="0" applyNumberFormat="1" applyFont="1" applyFill="1" applyBorder="1" applyAlignment="1" applyProtection="1">
      <alignment horizontal="left" vertical="center"/>
    </xf>
    <xf numFmtId="175" fontId="1" fillId="26" borderId="188" xfId="0" applyNumberFormat="1" applyFont="1" applyFill="1" applyBorder="1" applyAlignment="1" applyProtection="1">
      <alignment horizontal="left" vertical="center"/>
    </xf>
    <xf numFmtId="175" fontId="1" fillId="26" borderId="189" xfId="0" applyNumberFormat="1" applyFont="1" applyFill="1" applyBorder="1" applyAlignment="1" applyProtection="1">
      <alignment horizontal="left" vertical="center"/>
    </xf>
    <xf numFmtId="175" fontId="1" fillId="26" borderId="106" xfId="0" applyNumberFormat="1" applyFont="1" applyFill="1" applyBorder="1" applyAlignment="1" applyProtection="1">
      <alignment horizontal="left" vertical="center"/>
    </xf>
    <xf numFmtId="0" fontId="1" fillId="26" borderId="197" xfId="0" applyFont="1" applyFill="1" applyBorder="1" applyAlignment="1" applyProtection="1">
      <alignment horizontal="left" vertical="center"/>
    </xf>
    <xf numFmtId="0" fontId="1" fillId="26" borderId="67" xfId="0" applyFont="1" applyFill="1" applyBorder="1" applyAlignment="1" applyProtection="1">
      <alignment horizontal="right" vertical="center"/>
    </xf>
    <xf numFmtId="175" fontId="6" fillId="26" borderId="118" xfId="0" applyNumberFormat="1" applyFont="1" applyFill="1" applyBorder="1" applyAlignment="1" applyProtection="1">
      <alignment vertical="center"/>
    </xf>
    <xf numFmtId="175" fontId="6" fillId="26" borderId="73" xfId="0" applyNumberFormat="1" applyFont="1" applyFill="1" applyBorder="1" applyAlignment="1" applyProtection="1">
      <alignment vertical="center"/>
    </xf>
    <xf numFmtId="175" fontId="6" fillId="26" borderId="66" xfId="0" applyNumberFormat="1" applyFont="1" applyFill="1" applyBorder="1" applyAlignment="1" applyProtection="1">
      <alignment vertical="center"/>
    </xf>
    <xf numFmtId="175" fontId="6" fillId="26" borderId="101" xfId="0" applyNumberFormat="1" applyFont="1" applyFill="1" applyBorder="1" applyAlignment="1" applyProtection="1">
      <alignment vertical="center"/>
    </xf>
    <xf numFmtId="0" fontId="1" fillId="26" borderId="159" xfId="0" applyFont="1" applyFill="1" applyBorder="1" applyAlignment="1" applyProtection="1">
      <alignment horizontal="left" vertical="center"/>
    </xf>
    <xf numFmtId="175" fontId="1" fillId="26" borderId="118" xfId="0" applyNumberFormat="1" applyFont="1" applyFill="1" applyBorder="1" applyAlignment="1" applyProtection="1">
      <alignment horizontal="left" vertical="center"/>
    </xf>
    <xf numFmtId="175" fontId="1" fillId="26" borderId="73" xfId="0" applyNumberFormat="1" applyFont="1" applyFill="1" applyBorder="1" applyAlignment="1" applyProtection="1">
      <alignment horizontal="left" vertical="center"/>
    </xf>
    <xf numFmtId="175" fontId="1" fillId="26" borderId="66" xfId="0" applyNumberFormat="1" applyFont="1" applyFill="1" applyBorder="1" applyAlignment="1" applyProtection="1">
      <alignment horizontal="left" vertical="center"/>
    </xf>
    <xf numFmtId="175" fontId="1" fillId="26" borderId="101" xfId="0" applyNumberFormat="1" applyFont="1" applyFill="1" applyBorder="1" applyAlignment="1" applyProtection="1">
      <alignment horizontal="left" vertical="center"/>
    </xf>
    <xf numFmtId="0" fontId="1" fillId="26" borderId="197" xfId="0" applyFont="1" applyFill="1" applyBorder="1" applyAlignment="1" applyProtection="1">
      <alignment horizontal="right" vertical="center"/>
    </xf>
    <xf numFmtId="0" fontId="1" fillId="26" borderId="199" xfId="0" applyFont="1" applyFill="1" applyBorder="1" applyAlignment="1" applyProtection="1">
      <alignment horizontal="right" vertical="center"/>
    </xf>
    <xf numFmtId="0" fontId="1" fillId="26" borderId="69" xfId="0" applyFont="1" applyFill="1" applyBorder="1" applyAlignment="1" applyProtection="1">
      <alignment horizontal="right" vertical="center"/>
    </xf>
    <xf numFmtId="175" fontId="6" fillId="26" borderId="116" xfId="0" applyNumberFormat="1" applyFont="1" applyFill="1" applyBorder="1" applyAlignment="1" applyProtection="1">
      <alignment vertical="center"/>
    </xf>
    <xf numFmtId="175" fontId="6" fillId="26" borderId="109" xfId="0" applyNumberFormat="1" applyFont="1" applyFill="1" applyBorder="1" applyAlignment="1" applyProtection="1">
      <alignment vertical="center"/>
    </xf>
    <xf numFmtId="175" fontId="6" fillId="26" borderId="68" xfId="0" applyNumberFormat="1" applyFont="1" applyFill="1" applyBorder="1" applyAlignment="1" applyProtection="1">
      <alignment vertical="center"/>
    </xf>
    <xf numFmtId="175" fontId="6" fillId="26" borderId="190" xfId="0" applyNumberFormat="1" applyFont="1" applyFill="1" applyBorder="1" applyAlignment="1" applyProtection="1">
      <alignment vertical="center"/>
    </xf>
    <xf numFmtId="0" fontId="1" fillId="26" borderId="211" xfId="0" applyFont="1" applyFill="1" applyBorder="1" applyAlignment="1" applyProtection="1">
      <alignment horizontal="left" vertical="center"/>
    </xf>
    <xf numFmtId="0" fontId="1" fillId="26" borderId="166" xfId="0" applyFont="1" applyFill="1" applyBorder="1" applyAlignment="1" applyProtection="1">
      <alignment horizontal="left" vertical="center"/>
    </xf>
    <xf numFmtId="175" fontId="1" fillId="26" borderId="115" xfId="0" applyNumberFormat="1" applyFont="1" applyFill="1" applyBorder="1" applyAlignment="1" applyProtection="1">
      <alignment horizontal="left" vertical="center"/>
    </xf>
    <xf numFmtId="175" fontId="1" fillId="26" borderId="94" xfId="0" applyNumberFormat="1" applyFont="1" applyFill="1" applyBorder="1" applyAlignment="1" applyProtection="1">
      <alignment horizontal="left" vertical="center"/>
    </xf>
    <xf numFmtId="175" fontId="1" fillId="26" borderId="75" xfId="0" applyNumberFormat="1" applyFont="1" applyFill="1" applyBorder="1" applyAlignment="1" applyProtection="1">
      <alignment horizontal="left" vertical="center"/>
    </xf>
    <xf numFmtId="175" fontId="1" fillId="26" borderId="161" xfId="0" applyNumberFormat="1" applyFont="1" applyFill="1" applyBorder="1" applyAlignment="1" applyProtection="1">
      <alignment horizontal="left" vertical="center"/>
    </xf>
    <xf numFmtId="0" fontId="1" fillId="26" borderId="210" xfId="0" applyFont="1" applyFill="1" applyBorder="1" applyAlignment="1" applyProtection="1">
      <alignment horizontal="right" vertical="center"/>
    </xf>
    <xf numFmtId="175" fontId="6" fillId="26" borderId="77" xfId="0" applyNumberFormat="1" applyFont="1" applyFill="1" applyBorder="1" applyAlignment="1" applyProtection="1">
      <alignment vertical="center"/>
    </xf>
    <xf numFmtId="0" fontId="1" fillId="26" borderId="212" xfId="0" applyFont="1" applyFill="1" applyBorder="1" applyAlignment="1" applyProtection="1">
      <alignment horizontal="right" vertical="center"/>
    </xf>
    <xf numFmtId="0" fontId="1" fillId="26" borderId="200" xfId="0" applyFont="1" applyFill="1" applyBorder="1" applyAlignment="1" applyProtection="1">
      <alignment horizontal="right" vertical="center"/>
    </xf>
    <xf numFmtId="176" fontId="6" fillId="26" borderId="119" xfId="0" applyNumberFormat="1" applyFont="1" applyFill="1" applyBorder="1" applyAlignment="1" applyProtection="1">
      <alignment vertical="center"/>
    </xf>
    <xf numFmtId="167" fontId="1" fillId="26" borderId="79" xfId="7" applyNumberFormat="1" applyFont="1" applyFill="1" applyBorder="1" applyAlignment="1" applyProtection="1">
      <alignment vertical="center"/>
    </xf>
    <xf numFmtId="167" fontId="1" fillId="26" borderId="213" xfId="7" applyNumberFormat="1" applyFont="1" applyFill="1" applyBorder="1" applyAlignment="1" applyProtection="1">
      <alignment vertical="center"/>
    </xf>
    <xf numFmtId="0" fontId="1" fillId="26" borderId="76" xfId="0" applyFont="1" applyFill="1" applyBorder="1" applyAlignment="1" applyProtection="1">
      <alignment horizontal="left" vertical="center"/>
    </xf>
    <xf numFmtId="0" fontId="1" fillId="26" borderId="95" xfId="0" applyFont="1" applyFill="1" applyBorder="1" applyAlignment="1" applyProtection="1">
      <alignment horizontal="left" vertical="center"/>
    </xf>
    <xf numFmtId="0" fontId="1" fillId="26" borderId="68" xfId="0" applyFont="1" applyFill="1" applyBorder="1" applyAlignment="1" applyProtection="1">
      <alignment horizontal="right" vertical="center"/>
    </xf>
    <xf numFmtId="175" fontId="6" fillId="26" borderId="162" xfId="0" applyNumberFormat="1" applyFont="1" applyFill="1" applyBorder="1" applyAlignment="1" applyProtection="1">
      <alignment vertical="center"/>
    </xf>
    <xf numFmtId="176" fontId="6" fillId="26" borderId="182" xfId="0" applyNumberFormat="1" applyFont="1" applyFill="1" applyBorder="1" applyAlignment="1" applyProtection="1">
      <alignment vertical="center"/>
    </xf>
    <xf numFmtId="2" fontId="6" fillId="26" borderId="89" xfId="0" applyNumberFormat="1" applyFont="1" applyFill="1" applyBorder="1" applyAlignment="1" applyProtection="1">
      <alignment vertical="center"/>
    </xf>
    <xf numFmtId="2" fontId="6" fillId="26" borderId="110" xfId="0" applyNumberFormat="1" applyFont="1" applyFill="1" applyBorder="1" applyAlignment="1" applyProtection="1">
      <alignment vertical="center"/>
    </xf>
    <xf numFmtId="2" fontId="6" fillId="26" borderId="163" xfId="0" applyNumberFormat="1" applyFont="1" applyFill="1" applyBorder="1" applyAlignment="1" applyProtection="1">
      <alignment vertical="center"/>
    </xf>
    <xf numFmtId="0" fontId="1" fillId="26" borderId="185" xfId="0" applyFont="1" applyFill="1" applyBorder="1" applyAlignment="1" applyProtection="1">
      <alignment horizontal="left" vertical="center"/>
    </xf>
    <xf numFmtId="0" fontId="1" fillId="26" borderId="202" xfId="0" applyFont="1" applyFill="1" applyBorder="1" applyAlignment="1" applyProtection="1">
      <alignment horizontal="left" vertical="center"/>
    </xf>
    <xf numFmtId="0" fontId="1" fillId="26" borderId="67" xfId="0" applyFont="1" applyFill="1" applyBorder="1" applyAlignment="1" applyProtection="1">
      <alignment horizontal="left" vertical="center"/>
    </xf>
    <xf numFmtId="1" fontId="1" fillId="26" borderId="0" xfId="0" applyNumberFormat="1" applyFont="1" applyFill="1" applyAlignment="1" applyProtection="1">
      <alignment vertical="center"/>
    </xf>
    <xf numFmtId="2" fontId="6" fillId="26" borderId="79" xfId="0" applyNumberFormat="1" applyFont="1" applyFill="1" applyBorder="1" applyAlignment="1" applyProtection="1">
      <alignment vertical="center"/>
    </xf>
    <xf numFmtId="2" fontId="6" fillId="26" borderId="78" xfId="0" applyNumberFormat="1" applyFont="1" applyFill="1" applyBorder="1" applyAlignment="1" applyProtection="1">
      <alignment vertical="center"/>
    </xf>
    <xf numFmtId="2" fontId="6" fillId="26" borderId="201" xfId="0" applyNumberFormat="1" applyFont="1" applyFill="1" applyBorder="1" applyAlignment="1" applyProtection="1">
      <alignment vertical="center"/>
    </xf>
    <xf numFmtId="0" fontId="6" fillId="26" borderId="0" xfId="0" applyFont="1" applyFill="1" applyAlignment="1" applyProtection="1">
      <alignment horizontal="center" vertical="center"/>
    </xf>
    <xf numFmtId="1" fontId="1" fillId="26" borderId="120" xfId="0" applyNumberFormat="1" applyFont="1" applyFill="1" applyBorder="1" applyAlignment="1" applyProtection="1">
      <alignment horizontal="left" vertical="center"/>
    </xf>
    <xf numFmtId="1" fontId="1" fillId="26" borderId="107" xfId="0" applyNumberFormat="1" applyFont="1" applyFill="1" applyBorder="1" applyAlignment="1" applyProtection="1">
      <alignment horizontal="right" vertical="center"/>
    </xf>
    <xf numFmtId="1" fontId="1" fillId="26" borderId="120" xfId="0" applyNumberFormat="1" applyFont="1" applyFill="1" applyBorder="1" applyAlignment="1" applyProtection="1">
      <alignment horizontal="right" vertical="center"/>
    </xf>
    <xf numFmtId="1" fontId="1" fillId="26" borderId="121" xfId="0" applyNumberFormat="1" applyFont="1" applyFill="1" applyBorder="1" applyAlignment="1" applyProtection="1">
      <alignment horizontal="right" vertical="center"/>
    </xf>
    <xf numFmtId="1" fontId="1" fillId="26" borderId="96" xfId="0" applyNumberFormat="1" applyFont="1" applyFill="1" applyBorder="1" applyAlignment="1" applyProtection="1">
      <alignment horizontal="right" vertical="center"/>
    </xf>
    <xf numFmtId="175" fontId="6" fillId="26" borderId="120" xfId="0" applyNumberFormat="1" applyFont="1" applyFill="1" applyBorder="1" applyAlignment="1" applyProtection="1">
      <alignment horizontal="right" vertical="center"/>
    </xf>
    <xf numFmtId="175" fontId="6" fillId="26" borderId="73" xfId="0" applyNumberFormat="1" applyFont="1" applyFill="1" applyBorder="1" applyAlignment="1" applyProtection="1">
      <alignment horizontal="right" vertical="center"/>
    </xf>
    <xf numFmtId="175" fontId="6" fillId="26" borderId="66" xfId="0" applyNumberFormat="1" applyFont="1" applyFill="1" applyBorder="1" applyAlignment="1" applyProtection="1">
      <alignment horizontal="right" vertical="center"/>
    </xf>
    <xf numFmtId="175" fontId="6" fillId="26" borderId="101" xfId="0" applyNumberFormat="1" applyFont="1" applyFill="1" applyBorder="1" applyAlignment="1" applyProtection="1">
      <alignment horizontal="right" vertical="center"/>
    </xf>
    <xf numFmtId="1" fontId="1" fillId="26" borderId="114" xfId="0" applyNumberFormat="1" applyFont="1" applyFill="1" applyBorder="1" applyAlignment="1" applyProtection="1">
      <alignment horizontal="left" vertical="center"/>
    </xf>
    <xf numFmtId="1" fontId="1" fillId="26" borderId="73" xfId="0" applyNumberFormat="1" applyFont="1" applyFill="1" applyBorder="1" applyAlignment="1" applyProtection="1">
      <alignment horizontal="left" vertical="center"/>
    </xf>
    <xf numFmtId="1" fontId="1" fillId="26" borderId="66" xfId="0" applyNumberFormat="1" applyFont="1" applyFill="1" applyBorder="1" applyAlignment="1" applyProtection="1">
      <alignment horizontal="left" vertical="center"/>
    </xf>
    <xf numFmtId="1" fontId="1" fillId="26" borderId="101" xfId="0" applyNumberFormat="1" applyFont="1" applyFill="1" applyBorder="1" applyAlignment="1" applyProtection="1">
      <alignment horizontal="left" vertical="center"/>
    </xf>
    <xf numFmtId="1" fontId="1" fillId="26" borderId="74" xfId="0" applyNumberFormat="1" applyFont="1" applyFill="1" applyBorder="1" applyAlignment="1" applyProtection="1">
      <alignment horizontal="right" vertical="center"/>
    </xf>
    <xf numFmtId="1" fontId="1" fillId="26" borderId="70" xfId="0" applyNumberFormat="1" applyFont="1" applyFill="1" applyBorder="1" applyAlignment="1" applyProtection="1">
      <alignment horizontal="right" vertical="center"/>
    </xf>
    <xf numFmtId="1" fontId="1" fillId="26" borderId="198" xfId="0" applyNumberFormat="1" applyFont="1" applyFill="1" applyBorder="1" applyAlignment="1" applyProtection="1">
      <alignment horizontal="right" vertical="center"/>
    </xf>
    <xf numFmtId="175" fontId="6" fillId="26" borderId="117" xfId="0" applyNumberFormat="1" applyFont="1" applyFill="1" applyBorder="1" applyAlignment="1" applyProtection="1">
      <alignment horizontal="right" vertical="center"/>
    </xf>
    <xf numFmtId="175" fontId="6" fillId="26" borderId="27" xfId="0" applyNumberFormat="1" applyFont="1" applyFill="1" applyBorder="1" applyAlignment="1" applyProtection="1">
      <alignment horizontal="right" vertical="center"/>
    </xf>
    <xf numFmtId="175" fontId="6" fillId="26" borderId="6" xfId="0" applyNumberFormat="1" applyFont="1" applyFill="1" applyBorder="1" applyAlignment="1" applyProtection="1">
      <alignment horizontal="right" vertical="center"/>
    </xf>
    <xf numFmtId="175" fontId="6" fillId="26" borderId="115" xfId="0" applyNumberFormat="1" applyFont="1" applyFill="1" applyBorder="1" applyAlignment="1" applyProtection="1">
      <alignment horizontal="right" vertical="center"/>
    </xf>
    <xf numFmtId="175" fontId="6" fillId="26" borderId="207" xfId="0" applyNumberFormat="1" applyFont="1" applyFill="1" applyBorder="1" applyAlignment="1" applyProtection="1">
      <alignment horizontal="right" vertical="center"/>
    </xf>
    <xf numFmtId="175" fontId="6" fillId="26" borderId="98" xfId="0" applyNumberFormat="1" applyFont="1" applyFill="1" applyBorder="1" applyAlignment="1" applyProtection="1">
      <alignment horizontal="right" vertical="center"/>
    </xf>
    <xf numFmtId="175" fontId="6" fillId="26" borderId="105" xfId="0" applyNumberFormat="1" applyFont="1" applyFill="1" applyBorder="1" applyAlignment="1" applyProtection="1">
      <alignment horizontal="right" vertical="center"/>
    </xf>
    <xf numFmtId="176" fontId="6" fillId="26" borderId="119" xfId="0" applyNumberFormat="1" applyFont="1" applyFill="1" applyBorder="1" applyAlignment="1" applyProtection="1">
      <alignment horizontal="right" vertical="center"/>
    </xf>
    <xf numFmtId="2" fontId="6" fillId="26" borderId="79" xfId="0" applyNumberFormat="1" applyFont="1" applyFill="1" applyBorder="1" applyAlignment="1" applyProtection="1">
      <alignment horizontal="right" vertical="center"/>
    </xf>
    <xf numFmtId="2" fontId="6" fillId="26" borderId="201" xfId="0" applyNumberFormat="1" applyFont="1" applyFill="1" applyBorder="1" applyAlignment="1" applyProtection="1">
      <alignment horizontal="right" vertical="center"/>
    </xf>
    <xf numFmtId="0" fontId="1" fillId="0" borderId="0" xfId="0" applyFont="1" applyBorder="1" applyProtection="1">
      <protection locked="0"/>
    </xf>
    <xf numFmtId="0" fontId="52" fillId="0" borderId="1" xfId="0" applyFont="1" applyFill="1" applyBorder="1" applyAlignment="1" applyProtection="1">
      <alignment vertical="center"/>
      <protection locked="0"/>
    </xf>
    <xf numFmtId="0" fontId="28" fillId="49" borderId="0" xfId="0" applyFont="1" applyFill="1" applyAlignment="1" applyProtection="1">
      <alignment vertical="center"/>
    </xf>
    <xf numFmtId="0" fontId="1" fillId="50" borderId="1" xfId="0" applyFont="1" applyFill="1" applyBorder="1" applyAlignment="1" applyProtection="1">
      <alignment vertical="center"/>
    </xf>
    <xf numFmtId="0" fontId="4" fillId="50" borderId="0" xfId="0" applyFont="1" applyFill="1" applyAlignment="1" applyProtection="1">
      <alignment vertical="center"/>
      <protection locked="0"/>
    </xf>
    <xf numFmtId="0" fontId="1" fillId="50" borderId="1" xfId="0" applyFont="1" applyFill="1" applyBorder="1" applyAlignment="1" applyProtection="1">
      <alignment vertical="center"/>
      <protection locked="0"/>
    </xf>
    <xf numFmtId="0" fontId="41" fillId="0" borderId="0" xfId="0" applyFont="1" applyProtection="1"/>
    <xf numFmtId="0" fontId="6" fillId="26" borderId="25" xfId="0" applyFont="1" applyFill="1" applyBorder="1" applyAlignment="1" applyProtection="1">
      <alignment vertical="center" wrapText="1"/>
    </xf>
    <xf numFmtId="0" fontId="1" fillId="26" borderId="156" xfId="0" applyFont="1" applyFill="1" applyBorder="1" applyAlignment="1" applyProtection="1">
      <alignment horizontal="center" vertical="center"/>
      <protection locked="0"/>
    </xf>
    <xf numFmtId="0" fontId="1" fillId="26" borderId="157" xfId="0" applyFont="1" applyFill="1" applyBorder="1" applyAlignment="1" applyProtection="1">
      <alignment horizontal="center" vertical="center"/>
      <protection locked="0"/>
    </xf>
    <xf numFmtId="0" fontId="1" fillId="26" borderId="158" xfId="0" applyFont="1" applyFill="1" applyBorder="1" applyAlignment="1" applyProtection="1">
      <alignment horizontal="center" vertical="center"/>
      <protection locked="0"/>
    </xf>
    <xf numFmtId="0" fontId="4" fillId="50" borderId="0" xfId="0" applyFont="1" applyFill="1" applyProtection="1">
      <protection locked="0"/>
    </xf>
    <xf numFmtId="0" fontId="80" fillId="26" borderId="0" xfId="0" applyFont="1" applyFill="1" applyAlignment="1" applyProtection="1">
      <alignment vertical="center"/>
      <protection locked="0"/>
    </xf>
    <xf numFmtId="0" fontId="4" fillId="23" borderId="0" xfId="0" applyFont="1" applyFill="1" applyBorder="1" applyAlignment="1">
      <alignment horizontal="left" vertical="center"/>
    </xf>
    <xf numFmtId="0" fontId="1" fillId="4" borderId="122" xfId="0" applyFont="1" applyFill="1" applyBorder="1" applyAlignment="1" applyProtection="1">
      <alignment vertical="center" wrapText="1"/>
      <protection locked="0"/>
    </xf>
    <xf numFmtId="0" fontId="1" fillId="4" borderId="124" xfId="0" applyFont="1" applyFill="1" applyBorder="1" applyAlignment="1" applyProtection="1">
      <alignment vertical="center" wrapText="1"/>
      <protection locked="0"/>
    </xf>
    <xf numFmtId="0" fontId="1" fillId="4" borderId="125" xfId="0" applyFont="1" applyFill="1" applyBorder="1" applyAlignment="1" applyProtection="1">
      <alignment vertical="center" wrapText="1"/>
      <protection locked="0"/>
    </xf>
    <xf numFmtId="2" fontId="1" fillId="4" borderId="123" xfId="0" applyNumberFormat="1" applyFont="1" applyFill="1" applyBorder="1" applyAlignment="1" applyProtection="1">
      <alignment vertical="center" wrapText="1"/>
      <protection locked="0"/>
    </xf>
    <xf numFmtId="2" fontId="1" fillId="4" borderId="29" xfId="0" applyNumberFormat="1" applyFont="1" applyFill="1" applyBorder="1" applyAlignment="1" applyProtection="1">
      <alignment vertical="center" wrapText="1"/>
      <protection locked="0"/>
    </xf>
    <xf numFmtId="2" fontId="1" fillId="4" borderId="126" xfId="0" applyNumberFormat="1" applyFont="1" applyFill="1" applyBorder="1" applyAlignment="1" applyProtection="1">
      <alignment vertical="center" wrapText="1"/>
      <protection locked="0"/>
    </xf>
    <xf numFmtId="0" fontId="1" fillId="26" borderId="1" xfId="0" applyFont="1" applyFill="1" applyBorder="1" applyAlignment="1" applyProtection="1">
      <alignment horizontal="center" vertical="center"/>
    </xf>
    <xf numFmtId="0" fontId="1" fillId="26" borderId="0" xfId="0" applyFont="1" applyFill="1" applyAlignment="1" applyProtection="1">
      <alignment horizontal="right" vertical="center"/>
    </xf>
    <xf numFmtId="0" fontId="1" fillId="26" borderId="0" xfId="0" applyFont="1" applyFill="1" applyAlignment="1" applyProtection="1">
      <alignment vertical="center"/>
    </xf>
    <xf numFmtId="0" fontId="1" fillId="26" borderId="0" xfId="0" applyFont="1" applyFill="1" applyAlignment="1" applyProtection="1">
      <alignment horizontal="left" vertical="center"/>
    </xf>
    <xf numFmtId="0" fontId="6" fillId="26" borderId="14" xfId="0" applyFont="1" applyFill="1" applyBorder="1" applyAlignment="1" applyProtection="1">
      <alignment horizontal="left" vertical="center"/>
    </xf>
    <xf numFmtId="0" fontId="6" fillId="26" borderId="15" xfId="0" applyFont="1" applyFill="1" applyBorder="1" applyAlignment="1" applyProtection="1">
      <alignment horizontal="left" vertical="center"/>
    </xf>
    <xf numFmtId="0" fontId="6" fillId="26" borderId="16" xfId="0" applyFont="1" applyFill="1" applyBorder="1" applyAlignment="1" applyProtection="1">
      <alignment horizontal="left" vertical="center"/>
    </xf>
    <xf numFmtId="0" fontId="1" fillId="26" borderId="7" xfId="0" applyFont="1" applyFill="1" applyBorder="1" applyAlignment="1" applyProtection="1">
      <alignment horizontal="left" vertical="center"/>
    </xf>
    <xf numFmtId="0" fontId="1" fillId="4" borderId="214" xfId="0" applyFont="1" applyFill="1" applyBorder="1" applyAlignment="1" applyProtection="1">
      <alignment vertical="center"/>
      <protection locked="0"/>
    </xf>
    <xf numFmtId="0" fontId="1" fillId="4" borderId="215" xfId="0" applyFont="1" applyFill="1" applyBorder="1" applyAlignment="1" applyProtection="1">
      <alignment vertical="center"/>
      <protection locked="0"/>
    </xf>
    <xf numFmtId="0" fontId="1" fillId="4" borderId="216" xfId="0" applyFont="1" applyFill="1" applyBorder="1" applyAlignment="1" applyProtection="1">
      <alignment vertical="center"/>
      <protection locked="0"/>
    </xf>
    <xf numFmtId="0" fontId="1" fillId="4" borderId="217" xfId="0" applyFont="1" applyFill="1" applyBorder="1" applyAlignment="1" applyProtection="1">
      <alignment vertical="center"/>
      <protection locked="0"/>
    </xf>
    <xf numFmtId="0" fontId="1" fillId="4" borderId="29" xfId="0" applyFont="1" applyFill="1" applyBorder="1" applyAlignment="1" applyProtection="1">
      <alignment vertical="center"/>
      <protection locked="0"/>
    </xf>
    <xf numFmtId="0" fontId="3" fillId="4" borderId="218" xfId="0" applyFont="1" applyFill="1" applyBorder="1" applyAlignment="1" applyProtection="1">
      <alignment horizontal="center" vertical="center"/>
      <protection locked="0"/>
    </xf>
    <xf numFmtId="0" fontId="3" fillId="4" borderId="29" xfId="0" applyFont="1" applyFill="1" applyBorder="1" applyAlignment="1" applyProtection="1">
      <alignment horizontal="center" vertical="center"/>
      <protection locked="0"/>
    </xf>
    <xf numFmtId="0" fontId="1" fillId="4" borderId="150" xfId="0" applyFont="1" applyFill="1" applyBorder="1" applyAlignment="1" applyProtection="1">
      <alignment vertical="center"/>
      <protection locked="0"/>
    </xf>
    <xf numFmtId="0" fontId="1" fillId="4" borderId="218" xfId="0" applyFont="1" applyFill="1" applyBorder="1" applyAlignment="1" applyProtection="1">
      <alignment vertical="center"/>
      <protection locked="0"/>
    </xf>
    <xf numFmtId="0" fontId="4" fillId="4" borderId="218" xfId="0" applyFont="1" applyFill="1" applyBorder="1" applyAlignment="1" applyProtection="1">
      <alignment vertical="center"/>
      <protection locked="0"/>
    </xf>
    <xf numFmtId="0" fontId="3" fillId="4" borderId="218" xfId="0" applyFont="1" applyFill="1" applyBorder="1" applyAlignment="1" applyProtection="1">
      <alignment vertical="center"/>
      <protection locked="0"/>
    </xf>
    <xf numFmtId="0" fontId="4" fillId="4" borderId="29" xfId="0" applyFont="1" applyFill="1" applyBorder="1" applyAlignment="1" applyProtection="1">
      <alignment vertical="center"/>
      <protection locked="0"/>
    </xf>
    <xf numFmtId="0" fontId="1" fillId="4" borderId="219" xfId="0" applyFont="1" applyFill="1" applyBorder="1" applyAlignment="1" applyProtection="1">
      <alignment vertical="center"/>
      <protection locked="0"/>
    </xf>
    <xf numFmtId="0" fontId="1" fillId="4" borderId="220" xfId="0" applyFont="1" applyFill="1" applyBorder="1" applyAlignment="1" applyProtection="1">
      <alignment vertical="center"/>
      <protection locked="0"/>
    </xf>
    <xf numFmtId="0" fontId="1" fillId="4" borderId="221" xfId="0" applyFont="1" applyFill="1" applyBorder="1" applyAlignment="1" applyProtection="1">
      <alignment vertical="center"/>
      <protection locked="0"/>
    </xf>
    <xf numFmtId="0" fontId="1" fillId="4" borderId="222" xfId="0" applyFont="1" applyFill="1" applyBorder="1" applyAlignment="1" applyProtection="1">
      <alignment vertical="center"/>
      <protection locked="0"/>
    </xf>
    <xf numFmtId="0" fontId="1" fillId="0" borderId="1" xfId="0" applyFont="1" applyBorder="1" applyAlignment="1" applyProtection="1">
      <alignment vertical="center"/>
    </xf>
    <xf numFmtId="3" fontId="1" fillId="26" borderId="36" xfId="0" applyNumberFormat="1" applyFont="1" applyFill="1" applyBorder="1" applyAlignment="1" applyProtection="1">
      <alignment horizontal="center" vertical="center"/>
    </xf>
    <xf numFmtId="3" fontId="48" fillId="26" borderId="5" xfId="0" applyNumberFormat="1" applyFont="1" applyFill="1" applyBorder="1" applyAlignment="1" applyProtection="1">
      <alignment horizontal="center" vertical="center"/>
    </xf>
    <xf numFmtId="3" fontId="36" fillId="4" borderId="2" xfId="0" applyNumberFormat="1" applyFont="1" applyFill="1" applyBorder="1" applyAlignment="1" applyProtection="1">
      <alignment horizontal="center" vertical="center"/>
      <protection locked="0"/>
    </xf>
    <xf numFmtId="3" fontId="36" fillId="26" borderId="1" xfId="0" applyNumberFormat="1" applyFont="1" applyFill="1" applyBorder="1" applyAlignment="1" applyProtection="1">
      <alignment horizontal="center" vertical="center"/>
    </xf>
    <xf numFmtId="0" fontId="3" fillId="26" borderId="0" xfId="0" applyFont="1" applyFill="1" applyBorder="1" applyAlignment="1" applyProtection="1">
      <alignment horizontal="left" vertical="center"/>
    </xf>
    <xf numFmtId="0" fontId="40" fillId="26" borderId="10" xfId="0" applyFont="1" applyFill="1" applyBorder="1" applyAlignment="1" applyProtection="1">
      <alignment horizontal="left" vertical="center"/>
    </xf>
    <xf numFmtId="0" fontId="40" fillId="26" borderId="0" xfId="0" applyFont="1" applyFill="1" applyAlignment="1" applyProtection="1">
      <alignment horizontal="left" vertical="center"/>
    </xf>
    <xf numFmtId="3" fontId="41" fillId="4" borderId="20" xfId="0" applyNumberFormat="1" applyFont="1" applyFill="1" applyBorder="1" applyAlignment="1" applyProtection="1">
      <alignment horizontal="center" vertical="center"/>
      <protection locked="0"/>
    </xf>
    <xf numFmtId="0" fontId="1" fillId="25" borderId="20" xfId="0" applyFont="1" applyFill="1" applyBorder="1" applyProtection="1"/>
    <xf numFmtId="0" fontId="1" fillId="26" borderId="0" xfId="0" applyFont="1" applyFill="1" applyBorder="1" applyAlignment="1" applyProtection="1">
      <alignment vertical="center"/>
    </xf>
    <xf numFmtId="0" fontId="6" fillId="2" borderId="1" xfId="0" applyFont="1" applyFill="1" applyBorder="1" applyAlignment="1">
      <alignment horizontal="center" vertical="center"/>
    </xf>
    <xf numFmtId="0" fontId="1" fillId="2" borderId="1" xfId="0" applyFont="1" applyFill="1" applyBorder="1" applyAlignment="1">
      <alignment horizontal="center" vertical="center"/>
    </xf>
    <xf numFmtId="2" fontId="1" fillId="0" borderId="0" xfId="0" applyNumberFormat="1" applyFont="1" applyAlignment="1">
      <alignment vertical="center"/>
    </xf>
    <xf numFmtId="169" fontId="1" fillId="10" borderId="25" xfId="0" applyNumberFormat="1" applyFont="1" applyFill="1" applyBorder="1" applyAlignment="1">
      <alignment horizontal="center" vertical="center"/>
    </xf>
    <xf numFmtId="0" fontId="1" fillId="0" borderId="0" xfId="0" applyFont="1" applyFill="1" applyBorder="1" applyAlignment="1">
      <alignment horizontal="right" vertical="center"/>
    </xf>
    <xf numFmtId="9" fontId="1" fillId="0" borderId="0" xfId="7" applyFont="1" applyFill="1" applyBorder="1" applyAlignment="1">
      <alignment horizontal="center" vertical="center"/>
    </xf>
    <xf numFmtId="0" fontId="1" fillId="0" borderId="0" xfId="0" applyFont="1" applyFill="1" applyBorder="1" applyAlignment="1">
      <alignment horizontal="center" vertical="center"/>
    </xf>
    <xf numFmtId="2" fontId="1" fillId="0" borderId="0" xfId="0" applyNumberFormat="1" applyFont="1" applyFill="1" applyBorder="1" applyAlignment="1">
      <alignment horizontal="center" vertical="center"/>
    </xf>
    <xf numFmtId="169" fontId="1" fillId="0" borderId="0" xfId="0" applyNumberFormat="1" applyFont="1" applyFill="1" applyBorder="1" applyAlignment="1">
      <alignment horizontal="center" vertical="center"/>
    </xf>
    <xf numFmtId="10" fontId="1" fillId="0" borderId="0" xfId="7" applyNumberFormat="1" applyFont="1" applyFill="1" applyBorder="1" applyAlignment="1">
      <alignment vertical="center"/>
    </xf>
    <xf numFmtId="0" fontId="1" fillId="0" borderId="54" xfId="0" applyFont="1" applyBorder="1" applyAlignment="1">
      <alignment horizontal="right" vertical="center"/>
    </xf>
    <xf numFmtId="0" fontId="1" fillId="0" borderId="55" xfId="0" applyFont="1" applyBorder="1" applyAlignment="1">
      <alignment horizontal="right" vertical="center"/>
    </xf>
    <xf numFmtId="0" fontId="1" fillId="0" borderId="223" xfId="0" applyFont="1" applyBorder="1" applyAlignment="1">
      <alignment horizontal="right" vertical="center"/>
    </xf>
    <xf numFmtId="0" fontId="1" fillId="9" borderId="13" xfId="0" applyFont="1" applyFill="1" applyBorder="1" applyAlignment="1">
      <alignment vertical="center"/>
    </xf>
    <xf numFmtId="0" fontId="1" fillId="52" borderId="0" xfId="0" applyFont="1" applyFill="1" applyBorder="1" applyAlignment="1">
      <alignment vertical="center"/>
    </xf>
    <xf numFmtId="0" fontId="0" fillId="9" borderId="50" xfId="0" applyFill="1" applyBorder="1"/>
    <xf numFmtId="0" fontId="8" fillId="9" borderId="48" xfId="0" applyFont="1" applyFill="1" applyBorder="1"/>
    <xf numFmtId="0" fontId="0" fillId="9" borderId="0" xfId="7" applyNumberFormat="1" applyFont="1" applyFill="1" applyBorder="1"/>
    <xf numFmtId="1" fontId="1" fillId="4" borderId="1" xfId="15" applyNumberFormat="1" applyFont="1" applyFill="1" applyBorder="1" applyAlignment="1" applyProtection="1">
      <alignment horizontal="center" vertical="center"/>
      <protection locked="0"/>
    </xf>
    <xf numFmtId="0" fontId="1" fillId="0" borderId="22" xfId="0" applyFont="1" applyBorder="1" applyAlignment="1">
      <alignment vertical="center"/>
    </xf>
    <xf numFmtId="0" fontId="26" fillId="0" borderId="0" xfId="0" applyFont="1" applyProtection="1">
      <protection locked="0"/>
    </xf>
    <xf numFmtId="0" fontId="35" fillId="26" borderId="0" xfId="0" applyFont="1" applyFill="1" applyBorder="1" applyAlignment="1">
      <alignment horizontal="left" vertical="center"/>
    </xf>
    <xf numFmtId="0" fontId="5" fillId="49" borderId="0" xfId="0" applyFont="1" applyFill="1" applyBorder="1" applyAlignment="1" applyProtection="1">
      <alignment horizontal="left" vertical="top"/>
    </xf>
    <xf numFmtId="0" fontId="33" fillId="25" borderId="0" xfId="0" applyFont="1" applyFill="1" applyBorder="1" applyAlignment="1">
      <alignment horizontal="left" vertical="center"/>
    </xf>
    <xf numFmtId="0" fontId="35" fillId="26" borderId="1" xfId="0" applyFont="1" applyFill="1" applyBorder="1" applyAlignment="1">
      <alignment horizontal="center" vertical="center"/>
    </xf>
    <xf numFmtId="0" fontId="35" fillId="26" borderId="1" xfId="0" applyFont="1" applyFill="1" applyBorder="1" applyAlignment="1">
      <alignment horizontal="center"/>
    </xf>
    <xf numFmtId="0" fontId="37" fillId="9" borderId="0" xfId="0" applyFont="1" applyFill="1" applyBorder="1" applyAlignment="1">
      <alignment horizontal="center" vertical="center"/>
    </xf>
    <xf numFmtId="0" fontId="46" fillId="32" borderId="0" xfId="0" applyFont="1" applyFill="1" applyBorder="1" applyAlignment="1">
      <alignment horizontal="center" vertical="center"/>
    </xf>
    <xf numFmtId="0" fontId="37" fillId="10" borderId="0" xfId="0" applyFont="1" applyFill="1" applyBorder="1" applyAlignment="1">
      <alignment horizontal="center" vertical="center"/>
    </xf>
    <xf numFmtId="174" fontId="35" fillId="4" borderId="1" xfId="0" applyNumberFormat="1" applyFont="1" applyFill="1" applyBorder="1" applyAlignment="1" applyProtection="1">
      <alignment horizontal="center" vertical="center"/>
    </xf>
    <xf numFmtId="0" fontId="46" fillId="29" borderId="0" xfId="0" applyFont="1" applyFill="1" applyBorder="1" applyAlignment="1">
      <alignment horizontal="center" vertical="center"/>
    </xf>
    <xf numFmtId="0" fontId="6" fillId="26" borderId="14" xfId="0" applyFont="1" applyFill="1" applyBorder="1" applyAlignment="1" applyProtection="1">
      <alignment horizontal="center" vertical="center"/>
    </xf>
    <xf numFmtId="0" fontId="6" fillId="26" borderId="15" xfId="0" applyFont="1" applyFill="1" applyBorder="1" applyAlignment="1" applyProtection="1">
      <alignment horizontal="center" vertical="center"/>
    </xf>
    <xf numFmtId="0" fontId="6" fillId="26" borderId="85" xfId="0" applyFont="1" applyFill="1" applyBorder="1" applyAlignment="1" applyProtection="1">
      <alignment horizontal="center" vertical="center"/>
    </xf>
    <xf numFmtId="0" fontId="6" fillId="26" borderId="17" xfId="0" applyFont="1" applyFill="1" applyBorder="1" applyAlignment="1" applyProtection="1">
      <alignment horizontal="center" vertical="center"/>
    </xf>
    <xf numFmtId="0" fontId="6" fillId="26" borderId="0" xfId="0" applyFont="1" applyFill="1" applyBorder="1" applyAlignment="1" applyProtection="1">
      <alignment horizontal="center" vertical="center"/>
    </xf>
    <xf numFmtId="0" fontId="6" fillId="26" borderId="87" xfId="0" applyFont="1" applyFill="1" applyBorder="1" applyAlignment="1" applyProtection="1">
      <alignment horizontal="center" vertical="center"/>
    </xf>
    <xf numFmtId="0" fontId="6" fillId="26" borderId="19" xfId="0" applyFont="1" applyFill="1" applyBorder="1" applyAlignment="1" applyProtection="1">
      <alignment horizontal="center" vertical="center"/>
    </xf>
    <xf numFmtId="0" fontId="6" fillId="26" borderId="20" xfId="0" applyFont="1" applyFill="1" applyBorder="1" applyAlignment="1" applyProtection="1">
      <alignment horizontal="center" vertical="center"/>
    </xf>
    <xf numFmtId="0" fontId="6" fillId="26" borderId="90" xfId="0" applyFont="1" applyFill="1" applyBorder="1" applyAlignment="1" applyProtection="1">
      <alignment horizontal="center" vertical="center"/>
    </xf>
    <xf numFmtId="0" fontId="1" fillId="26" borderId="203" xfId="0" applyFont="1" applyFill="1" applyBorder="1" applyAlignment="1" applyProtection="1">
      <alignment horizontal="right" vertical="center"/>
    </xf>
    <xf numFmtId="0" fontId="1" fillId="26" borderId="200" xfId="0" applyFont="1" applyFill="1" applyBorder="1" applyAlignment="1" applyProtection="1">
      <alignment horizontal="right" vertical="center"/>
    </xf>
    <xf numFmtId="0" fontId="1" fillId="26" borderId="210" xfId="0" applyFont="1" applyFill="1" applyBorder="1" applyAlignment="1" applyProtection="1">
      <alignment horizontal="right" vertical="center"/>
    </xf>
    <xf numFmtId="0" fontId="1" fillId="26" borderId="159" xfId="0" applyFont="1" applyFill="1" applyBorder="1" applyAlignment="1" applyProtection="1">
      <alignment horizontal="right" vertical="center"/>
    </xf>
    <xf numFmtId="0" fontId="6" fillId="26" borderId="25" xfId="0" applyFont="1" applyFill="1" applyBorder="1" applyAlignment="1" applyProtection="1">
      <alignment horizontal="center" vertical="center"/>
    </xf>
    <xf numFmtId="0" fontId="6" fillId="26" borderId="5" xfId="0" applyFont="1" applyFill="1" applyBorder="1" applyAlignment="1" applyProtection="1">
      <alignment horizontal="center" vertical="center"/>
    </xf>
    <xf numFmtId="0" fontId="6" fillId="26" borderId="88" xfId="0" applyFont="1" applyFill="1" applyBorder="1" applyAlignment="1" applyProtection="1">
      <alignment horizontal="center" vertical="center"/>
    </xf>
    <xf numFmtId="0" fontId="6" fillId="26" borderId="26" xfId="0" applyFont="1" applyFill="1" applyBorder="1" applyAlignment="1" applyProtection="1">
      <alignment horizontal="center" vertical="center"/>
    </xf>
    <xf numFmtId="0" fontId="6" fillId="26" borderId="10" xfId="0" applyFont="1" applyFill="1" applyBorder="1" applyAlignment="1" applyProtection="1">
      <alignment horizontal="center" vertical="center"/>
    </xf>
    <xf numFmtId="0" fontId="6" fillId="26" borderId="100" xfId="0" applyFont="1" applyFill="1" applyBorder="1" applyAlignment="1" applyProtection="1">
      <alignment horizontal="center" vertical="center"/>
    </xf>
    <xf numFmtId="0" fontId="6" fillId="26" borderId="12" xfId="0" applyFont="1" applyFill="1" applyBorder="1" applyAlignment="1" applyProtection="1">
      <alignment horizontal="center" vertical="center"/>
    </xf>
    <xf numFmtId="0" fontId="6" fillId="26" borderId="2" xfId="0" applyFont="1" applyFill="1" applyBorder="1" applyAlignment="1" applyProtection="1">
      <alignment horizontal="center" vertical="center"/>
    </xf>
    <xf numFmtId="0" fontId="6" fillId="26" borderId="160" xfId="0" applyFont="1" applyFill="1" applyBorder="1" applyAlignment="1" applyProtection="1">
      <alignment horizontal="center" vertical="center"/>
    </xf>
    <xf numFmtId="0" fontId="6" fillId="26" borderId="3" xfId="0" applyFont="1" applyFill="1" applyBorder="1" applyAlignment="1" applyProtection="1">
      <alignment horizontal="center" vertical="center"/>
    </xf>
    <xf numFmtId="0" fontId="1" fillId="26" borderId="67" xfId="0" applyFont="1" applyFill="1" applyBorder="1" applyAlignment="1" applyProtection="1">
      <alignment horizontal="right" vertical="center"/>
    </xf>
    <xf numFmtId="0" fontId="1" fillId="26" borderId="185" xfId="0" applyFont="1" applyFill="1" applyBorder="1" applyAlignment="1" applyProtection="1">
      <alignment horizontal="left" vertical="center"/>
    </xf>
    <xf numFmtId="0" fontId="1" fillId="26" borderId="196" xfId="0" applyFont="1" applyFill="1" applyBorder="1" applyAlignment="1" applyProtection="1">
      <alignment horizontal="left" vertical="center"/>
    </xf>
    <xf numFmtId="0" fontId="1" fillId="26" borderId="76" xfId="0" applyFont="1" applyFill="1" applyBorder="1" applyAlignment="1" applyProtection="1">
      <alignment horizontal="left" vertical="center"/>
    </xf>
    <xf numFmtId="0" fontId="1" fillId="26" borderId="166" xfId="0" applyFont="1" applyFill="1" applyBorder="1" applyAlignment="1" applyProtection="1">
      <alignment horizontal="left" vertical="center"/>
    </xf>
    <xf numFmtId="0" fontId="6" fillId="26" borderId="199" xfId="0" applyFont="1" applyFill="1" applyBorder="1" applyAlignment="1" applyProtection="1">
      <alignment horizontal="center" vertical="center"/>
    </xf>
    <xf numFmtId="0" fontId="6" fillId="26" borderId="109" xfId="0" applyFont="1" applyFill="1" applyBorder="1" applyAlignment="1" applyProtection="1">
      <alignment horizontal="center" vertical="center"/>
    </xf>
    <xf numFmtId="0" fontId="1" fillId="26" borderId="111" xfId="0" applyFont="1" applyFill="1" applyBorder="1" applyAlignment="1" applyProtection="1">
      <alignment horizontal="center" vertical="center"/>
    </xf>
    <xf numFmtId="0" fontId="1" fillId="26" borderId="165" xfId="0" applyFont="1" applyFill="1" applyBorder="1" applyAlignment="1" applyProtection="1">
      <alignment horizontal="center" vertical="center"/>
    </xf>
    <xf numFmtId="0" fontId="1" fillId="26" borderId="93" xfId="0" applyFont="1" applyFill="1" applyBorder="1" applyAlignment="1" applyProtection="1">
      <alignment horizontal="center" vertical="center"/>
    </xf>
    <xf numFmtId="0" fontId="1" fillId="26" borderId="68" xfId="0" applyFont="1" applyFill="1" applyBorder="1" applyAlignment="1" applyProtection="1">
      <alignment horizontal="center" vertical="center"/>
    </xf>
    <xf numFmtId="0" fontId="1" fillId="26" borderId="69" xfId="0" applyFont="1" applyFill="1" applyBorder="1" applyAlignment="1" applyProtection="1">
      <alignment horizontal="right" vertical="center"/>
    </xf>
    <xf numFmtId="0" fontId="1" fillId="26" borderId="205" xfId="0" applyFont="1" applyFill="1" applyBorder="1" applyAlignment="1" applyProtection="1">
      <alignment horizontal="right" vertical="center"/>
    </xf>
    <xf numFmtId="0" fontId="6" fillId="26" borderId="204" xfId="0" applyFont="1" applyFill="1" applyBorder="1" applyAlignment="1" applyProtection="1">
      <alignment horizontal="center" vertical="center"/>
    </xf>
    <xf numFmtId="0" fontId="6" fillId="26" borderId="86" xfId="0" applyFont="1" applyFill="1" applyBorder="1" applyAlignment="1" applyProtection="1">
      <alignment horizontal="center" vertical="center"/>
    </xf>
    <xf numFmtId="0" fontId="1" fillId="26" borderId="76" xfId="0" applyFont="1" applyFill="1" applyBorder="1" applyAlignment="1" applyProtection="1">
      <alignment horizontal="right" vertical="center"/>
    </xf>
    <xf numFmtId="0" fontId="1" fillId="26" borderId="166" xfId="0" applyFont="1" applyFill="1" applyBorder="1" applyAlignment="1" applyProtection="1">
      <alignment horizontal="right" vertical="center"/>
    </xf>
    <xf numFmtId="0" fontId="6" fillId="26" borderId="152" xfId="0" applyFont="1" applyFill="1" applyBorder="1" applyAlignment="1" applyProtection="1">
      <alignment horizontal="center" vertical="center"/>
    </xf>
    <xf numFmtId="0" fontId="6" fillId="26" borderId="164" xfId="0" applyFont="1" applyFill="1" applyBorder="1" applyAlignment="1" applyProtection="1">
      <alignment horizontal="center" vertical="center"/>
    </xf>
    <xf numFmtId="0" fontId="1" fillId="26" borderId="206" xfId="0" applyFont="1" applyFill="1" applyBorder="1" applyAlignment="1" applyProtection="1">
      <alignment horizontal="center" vertical="center"/>
    </xf>
    <xf numFmtId="0" fontId="1" fillId="26" borderId="208" xfId="0" applyFont="1" applyFill="1" applyBorder="1" applyAlignment="1" applyProtection="1">
      <alignment horizontal="center" vertical="center"/>
    </xf>
    <xf numFmtId="0" fontId="26" fillId="26" borderId="0" xfId="0" applyFont="1" applyFill="1" applyBorder="1" applyAlignment="1" applyProtection="1">
      <alignment horizontal="right"/>
    </xf>
    <xf numFmtId="0" fontId="1" fillId="26" borderId="1" xfId="0" applyFont="1" applyFill="1" applyBorder="1" applyAlignment="1" applyProtection="1">
      <alignment horizontal="right" vertical="center"/>
    </xf>
    <xf numFmtId="0" fontId="6" fillId="26" borderId="16" xfId="0" applyFont="1" applyFill="1" applyBorder="1" applyAlignment="1" applyProtection="1">
      <alignment horizontal="center" vertical="center"/>
    </xf>
    <xf numFmtId="0" fontId="6" fillId="26" borderId="18" xfId="0" applyFont="1" applyFill="1" applyBorder="1" applyAlignment="1" applyProtection="1">
      <alignment horizontal="center" vertical="center"/>
    </xf>
    <xf numFmtId="0" fontId="6" fillId="26" borderId="21" xfId="0" applyFont="1" applyFill="1" applyBorder="1" applyAlignment="1" applyProtection="1">
      <alignment horizontal="center" vertical="center"/>
    </xf>
    <xf numFmtId="0" fontId="1" fillId="26" borderId="12" xfId="0" applyFont="1" applyFill="1" applyBorder="1" applyAlignment="1" applyProtection="1">
      <alignment horizontal="right" vertical="center"/>
    </xf>
    <xf numFmtId="0" fontId="1" fillId="26" borderId="11" xfId="0" applyFont="1" applyFill="1" applyBorder="1" applyAlignment="1" applyProtection="1">
      <alignment horizontal="right" vertical="center"/>
    </xf>
    <xf numFmtId="0" fontId="82" fillId="26" borderId="0" xfId="0" applyNumberFormat="1" applyFont="1" applyFill="1" applyBorder="1" applyAlignment="1" applyProtection="1">
      <alignment horizontal="center" vertical="center"/>
    </xf>
    <xf numFmtId="0" fontId="1" fillId="26" borderId="1" xfId="0" applyFont="1" applyFill="1" applyBorder="1" applyAlignment="1" applyProtection="1">
      <alignment horizontal="center" vertical="center"/>
    </xf>
    <xf numFmtId="0" fontId="6" fillId="26" borderId="25" xfId="0" applyFont="1" applyFill="1" applyBorder="1" applyAlignment="1" applyProtection="1">
      <alignment horizontal="right" vertical="center"/>
    </xf>
    <xf numFmtId="0" fontId="6" fillId="26" borderId="5" xfId="0" applyFont="1" applyFill="1" applyBorder="1" applyAlignment="1" applyProtection="1">
      <alignment horizontal="right" vertical="center"/>
    </xf>
    <xf numFmtId="0" fontId="6" fillId="26" borderId="4" xfId="0" applyFont="1" applyFill="1" applyBorder="1" applyAlignment="1" applyProtection="1">
      <alignment horizontal="right" vertical="center"/>
    </xf>
    <xf numFmtId="0" fontId="6" fillId="26" borderId="1" xfId="0" applyFont="1" applyFill="1" applyBorder="1" applyAlignment="1" applyProtection="1">
      <alignment horizontal="right" vertical="center"/>
    </xf>
    <xf numFmtId="0" fontId="6" fillId="26" borderId="4" xfId="0" applyFont="1" applyFill="1" applyBorder="1" applyAlignment="1" applyProtection="1">
      <alignment horizontal="center" vertical="center"/>
    </xf>
    <xf numFmtId="0" fontId="1" fillId="26" borderId="10" xfId="0" applyFont="1" applyFill="1" applyBorder="1" applyAlignment="1" applyProtection="1">
      <alignment horizontal="center" vertical="center"/>
    </xf>
    <xf numFmtId="0" fontId="1" fillId="26" borderId="178" xfId="0" applyFont="1" applyFill="1" applyBorder="1" applyAlignment="1" applyProtection="1">
      <alignment horizontal="center" vertical="center"/>
    </xf>
    <xf numFmtId="0" fontId="1" fillId="26" borderId="2" xfId="0" applyFont="1" applyFill="1" applyBorder="1" applyAlignment="1" applyProtection="1">
      <alignment horizontal="center" vertical="center"/>
    </xf>
    <xf numFmtId="0" fontId="1" fillId="26" borderId="181" xfId="0" applyFont="1" applyFill="1" applyBorder="1" applyAlignment="1" applyProtection="1">
      <alignment horizontal="center" vertical="center"/>
    </xf>
    <xf numFmtId="0" fontId="1" fillId="26" borderId="10" xfId="0" applyFont="1" applyFill="1" applyBorder="1" applyAlignment="1" applyProtection="1">
      <alignment horizontal="right" vertical="center"/>
    </xf>
    <xf numFmtId="0" fontId="1" fillId="26" borderId="178" xfId="0" applyFont="1" applyFill="1" applyBorder="1" applyAlignment="1" applyProtection="1">
      <alignment horizontal="right" vertical="center"/>
    </xf>
    <xf numFmtId="0" fontId="1" fillId="26" borderId="4" xfId="0" applyFont="1" applyFill="1" applyBorder="1" applyAlignment="1" applyProtection="1">
      <alignment horizontal="right" vertical="center"/>
    </xf>
    <xf numFmtId="0" fontId="1" fillId="26" borderId="175" xfId="0" applyFont="1" applyFill="1" applyBorder="1" applyAlignment="1" applyProtection="1">
      <alignment horizontal="right" vertical="center"/>
    </xf>
    <xf numFmtId="0" fontId="1" fillId="26" borderId="27" xfId="0" applyFont="1" applyFill="1" applyBorder="1" applyAlignment="1" applyProtection="1">
      <alignment horizontal="right" vertical="center"/>
    </xf>
    <xf numFmtId="0" fontId="1" fillId="26" borderId="6" xfId="0" applyFont="1" applyFill="1" applyBorder="1" applyAlignment="1" applyProtection="1">
      <alignment horizontal="right" vertical="center"/>
    </xf>
    <xf numFmtId="0" fontId="1" fillId="26" borderId="176" xfId="0" applyFont="1" applyFill="1" applyBorder="1" applyAlignment="1" applyProtection="1">
      <alignment horizontal="right" vertical="center"/>
    </xf>
    <xf numFmtId="0" fontId="1" fillId="26" borderId="36" xfId="0" applyFont="1" applyFill="1" applyBorder="1" applyAlignment="1" applyProtection="1">
      <alignment horizontal="right" vertical="center"/>
    </xf>
    <xf numFmtId="0" fontId="1" fillId="26" borderId="179" xfId="0" applyFont="1" applyFill="1" applyBorder="1" applyAlignment="1" applyProtection="1">
      <alignment horizontal="right" vertical="center"/>
    </xf>
    <xf numFmtId="175" fontId="1" fillId="26" borderId="5" xfId="0" applyNumberFormat="1" applyFont="1" applyFill="1" applyBorder="1" applyAlignment="1" applyProtection="1">
      <alignment horizontal="right" vertical="center"/>
    </xf>
    <xf numFmtId="175" fontId="1" fillId="26" borderId="177" xfId="0" applyNumberFormat="1" applyFont="1" applyFill="1" applyBorder="1" applyAlignment="1" applyProtection="1">
      <alignment horizontal="right" vertical="center"/>
    </xf>
    <xf numFmtId="0" fontId="1" fillId="26" borderId="7" xfId="0" applyFont="1" applyFill="1" applyBorder="1" applyAlignment="1" applyProtection="1">
      <alignment horizontal="right" vertical="center"/>
    </xf>
    <xf numFmtId="0" fontId="1" fillId="26" borderId="174" xfId="0" applyFont="1" applyFill="1" applyBorder="1" applyAlignment="1" applyProtection="1">
      <alignment horizontal="right" vertical="center"/>
    </xf>
    <xf numFmtId="0" fontId="6" fillId="26" borderId="12" xfId="0" applyFont="1" applyFill="1" applyBorder="1" applyAlignment="1" applyProtection="1">
      <alignment horizontal="center" vertical="center" wrapText="1"/>
    </xf>
    <xf numFmtId="0" fontId="6" fillId="26" borderId="2" xfId="0" applyFont="1" applyFill="1" applyBorder="1" applyAlignment="1" applyProtection="1">
      <alignment horizontal="center" vertical="center" wrapText="1"/>
    </xf>
    <xf numFmtId="169" fontId="1" fillId="4" borderId="25" xfId="0" applyNumberFormat="1" applyFont="1" applyFill="1" applyBorder="1" applyAlignment="1" applyProtection="1">
      <alignment horizontal="center" vertical="center"/>
      <protection locked="0"/>
    </xf>
    <xf numFmtId="169" fontId="1" fillId="4" borderId="4" xfId="0" applyNumberFormat="1" applyFont="1" applyFill="1" applyBorder="1" applyAlignment="1" applyProtection="1">
      <alignment horizontal="center" vertical="center"/>
      <protection locked="0"/>
    </xf>
    <xf numFmtId="0" fontId="6" fillId="26" borderId="11" xfId="0" applyFont="1" applyFill="1" applyBorder="1" applyAlignment="1" applyProtection="1">
      <alignment horizontal="center" vertical="center" wrapText="1"/>
    </xf>
    <xf numFmtId="0" fontId="6" fillId="26" borderId="25" xfId="0" applyFont="1" applyFill="1" applyBorder="1" applyAlignment="1" applyProtection="1">
      <alignment horizontal="center" vertical="center" wrapText="1"/>
    </xf>
    <xf numFmtId="0" fontId="6" fillId="26" borderId="4" xfId="0" applyFont="1" applyFill="1" applyBorder="1" applyAlignment="1" applyProtection="1">
      <alignment horizontal="center" vertical="center" wrapText="1"/>
    </xf>
    <xf numFmtId="0" fontId="52" fillId="26" borderId="0" xfId="0" applyFont="1" applyFill="1" applyAlignment="1" applyProtection="1">
      <alignment horizontal="left" vertical="center" wrapText="1"/>
    </xf>
    <xf numFmtId="0" fontId="1" fillId="4" borderId="5" xfId="0" applyFont="1" applyFill="1" applyBorder="1" applyAlignment="1" applyProtection="1">
      <alignment horizontal="center" vertical="center"/>
      <protection locked="0"/>
    </xf>
    <xf numFmtId="0" fontId="1" fillId="4" borderId="4" xfId="0" applyFont="1" applyFill="1" applyBorder="1" applyAlignment="1" applyProtection="1">
      <alignment horizontal="center" vertical="center"/>
      <protection locked="0"/>
    </xf>
    <xf numFmtId="0" fontId="48" fillId="26" borderId="0" xfId="0" applyFont="1" applyFill="1" applyAlignment="1" applyProtection="1">
      <alignment horizontal="right" vertical="center"/>
    </xf>
    <xf numFmtId="0" fontId="40" fillId="26" borderId="3" xfId="0" applyFont="1" applyFill="1" applyBorder="1" applyAlignment="1" applyProtection="1">
      <alignment horizontal="center"/>
    </xf>
    <xf numFmtId="0" fontId="40" fillId="26" borderId="0" xfId="0" applyFont="1" applyFill="1" applyBorder="1" applyAlignment="1" applyProtection="1">
      <alignment horizontal="center"/>
    </xf>
    <xf numFmtId="0" fontId="40" fillId="26" borderId="9" xfId="0" applyFont="1" applyFill="1" applyBorder="1" applyAlignment="1" applyProtection="1">
      <alignment horizontal="center"/>
    </xf>
    <xf numFmtId="0" fontId="1" fillId="47" borderId="137" xfId="0" applyNumberFormat="1" applyFont="1" applyFill="1" applyBorder="1" applyAlignment="1" applyProtection="1">
      <alignment horizontal="left" vertical="center"/>
    </xf>
    <xf numFmtId="0" fontId="1" fillId="47" borderId="132" xfId="0" applyNumberFormat="1" applyFont="1" applyFill="1" applyBorder="1" applyAlignment="1" applyProtection="1">
      <alignment horizontal="left" vertical="center"/>
    </xf>
    <xf numFmtId="0" fontId="1" fillId="47" borderId="155" xfId="0" applyNumberFormat="1" applyFont="1" applyFill="1" applyBorder="1" applyAlignment="1" applyProtection="1">
      <alignment horizontal="left" vertical="center"/>
    </xf>
    <xf numFmtId="0" fontId="1" fillId="47" borderId="133" xfId="0" applyNumberFormat="1" applyFont="1" applyFill="1" applyBorder="1" applyAlignment="1" applyProtection="1">
      <alignment horizontal="left" vertical="center"/>
    </xf>
    <xf numFmtId="0" fontId="1" fillId="47" borderId="138" xfId="0" applyNumberFormat="1" applyFont="1" applyFill="1" applyBorder="1" applyAlignment="1" applyProtection="1">
      <alignment horizontal="left" vertical="center"/>
    </xf>
    <xf numFmtId="0" fontId="1" fillId="47" borderId="131" xfId="0" applyNumberFormat="1" applyFont="1" applyFill="1" applyBorder="1" applyAlignment="1" applyProtection="1">
      <alignment horizontal="left" vertical="center"/>
    </xf>
    <xf numFmtId="49" fontId="1" fillId="4" borderId="137" xfId="0" applyNumberFormat="1" applyFont="1" applyFill="1" applyBorder="1" applyAlignment="1" applyProtection="1">
      <alignment horizontal="left" vertical="center"/>
      <protection locked="0"/>
    </xf>
    <xf numFmtId="49" fontId="1" fillId="4" borderId="132" xfId="0" applyNumberFormat="1" applyFont="1" applyFill="1" applyBorder="1" applyAlignment="1" applyProtection="1">
      <alignment horizontal="left" vertical="center"/>
      <protection locked="0"/>
    </xf>
    <xf numFmtId="49" fontId="1" fillId="4" borderId="138" xfId="0" applyNumberFormat="1" applyFont="1" applyFill="1" applyBorder="1" applyAlignment="1" applyProtection="1">
      <alignment horizontal="left" vertical="center"/>
      <protection locked="0"/>
    </xf>
    <xf numFmtId="49" fontId="1" fillId="4" borderId="131" xfId="0" applyNumberFormat="1" applyFont="1" applyFill="1" applyBorder="1" applyAlignment="1" applyProtection="1">
      <alignment horizontal="left" vertical="center"/>
      <protection locked="0"/>
    </xf>
    <xf numFmtId="49" fontId="1" fillId="4" borderId="125" xfId="0" applyNumberFormat="1" applyFont="1" applyFill="1" applyBorder="1" applyAlignment="1" applyProtection="1">
      <alignment horizontal="left" vertical="center"/>
      <protection locked="0"/>
    </xf>
    <xf numFmtId="49" fontId="1" fillId="4" borderId="126" xfId="0" applyNumberFormat="1" applyFont="1" applyFill="1" applyBorder="1" applyAlignment="1" applyProtection="1">
      <alignment horizontal="left" vertical="center"/>
      <protection locked="0"/>
    </xf>
    <xf numFmtId="0" fontId="6" fillId="26" borderId="11" xfId="0" applyFont="1" applyFill="1" applyBorder="1" applyAlignment="1" applyProtection="1">
      <alignment horizontal="center" vertical="center"/>
    </xf>
    <xf numFmtId="0" fontId="1" fillId="4" borderId="128" xfId="0" applyFont="1" applyFill="1" applyBorder="1" applyAlignment="1" applyProtection="1">
      <alignment horizontal="center" vertical="center"/>
      <protection locked="0"/>
    </xf>
    <xf numFmtId="0" fontId="1" fillId="4" borderId="129" xfId="0" applyFont="1" applyFill="1" applyBorder="1" applyAlignment="1" applyProtection="1">
      <alignment horizontal="center" vertical="center"/>
      <protection locked="0"/>
    </xf>
    <xf numFmtId="0" fontId="1" fillId="4" borderId="130" xfId="0" applyFont="1" applyFill="1" applyBorder="1" applyAlignment="1" applyProtection="1">
      <alignment horizontal="center" vertical="center"/>
      <protection locked="0"/>
    </xf>
    <xf numFmtId="49" fontId="1" fillId="4" borderId="25" xfId="0" applyNumberFormat="1" applyFont="1" applyFill="1" applyBorder="1" applyAlignment="1" applyProtection="1">
      <alignment horizontal="left" vertical="center"/>
      <protection locked="0"/>
    </xf>
    <xf numFmtId="49" fontId="1" fillId="4" borderId="5" xfId="0" applyNumberFormat="1" applyFont="1" applyFill="1" applyBorder="1" applyAlignment="1" applyProtection="1">
      <alignment horizontal="left" vertical="center"/>
      <protection locked="0"/>
    </xf>
    <xf numFmtId="49" fontId="1" fillId="4" borderId="4" xfId="0" applyNumberFormat="1" applyFont="1" applyFill="1" applyBorder="1" applyAlignment="1" applyProtection="1">
      <alignment horizontal="left" vertical="center"/>
      <protection locked="0"/>
    </xf>
    <xf numFmtId="0" fontId="6" fillId="26" borderId="5" xfId="0" applyFont="1" applyFill="1" applyBorder="1" applyAlignment="1" applyProtection="1">
      <alignment horizontal="center" vertical="center" wrapText="1"/>
    </xf>
    <xf numFmtId="0" fontId="1" fillId="26" borderId="128" xfId="0" applyFont="1" applyFill="1" applyBorder="1" applyAlignment="1" applyProtection="1">
      <alignment horizontal="center" vertical="center"/>
    </xf>
    <xf numFmtId="0" fontId="1" fillId="26" borderId="129" xfId="0" applyFont="1" applyFill="1" applyBorder="1" applyAlignment="1" applyProtection="1">
      <alignment horizontal="center" vertical="center"/>
    </xf>
    <xf numFmtId="0" fontId="1" fillId="26" borderId="130" xfId="0" applyFont="1" applyFill="1" applyBorder="1" applyAlignment="1" applyProtection="1">
      <alignment horizontal="center" vertical="center"/>
    </xf>
    <xf numFmtId="0" fontId="1" fillId="26" borderId="134" xfId="0" applyFont="1" applyFill="1" applyBorder="1" applyAlignment="1" applyProtection="1">
      <alignment horizontal="center" vertical="center"/>
    </xf>
    <xf numFmtId="0" fontId="1" fillId="26" borderId="135" xfId="0" applyFont="1" applyFill="1" applyBorder="1" applyAlignment="1" applyProtection="1">
      <alignment horizontal="center" vertical="center"/>
    </xf>
    <xf numFmtId="0" fontId="1" fillId="26" borderId="136" xfId="0" applyFont="1" applyFill="1" applyBorder="1" applyAlignment="1" applyProtection="1">
      <alignment horizontal="center" vertical="center"/>
    </xf>
    <xf numFmtId="174" fontId="1" fillId="4" borderId="25" xfId="8" applyNumberFormat="1" applyFont="1" applyFill="1" applyBorder="1" applyAlignment="1" applyProtection="1">
      <alignment horizontal="center" vertical="center"/>
      <protection locked="0"/>
    </xf>
    <xf numFmtId="174" fontId="1" fillId="4" borderId="4" xfId="8" applyNumberFormat="1" applyFont="1" applyFill="1" applyBorder="1" applyAlignment="1" applyProtection="1">
      <alignment horizontal="center" vertical="center"/>
      <protection locked="0"/>
    </xf>
    <xf numFmtId="178" fontId="1" fillId="4" borderId="25" xfId="7" applyNumberFormat="1" applyFont="1" applyFill="1" applyBorder="1" applyAlignment="1" applyProtection="1">
      <alignment horizontal="center" vertical="center"/>
      <protection locked="0"/>
    </xf>
    <xf numFmtId="178" fontId="1" fillId="4" borderId="4" xfId="7" applyNumberFormat="1" applyFont="1" applyFill="1" applyBorder="1" applyAlignment="1" applyProtection="1">
      <alignment horizontal="center" vertical="center"/>
      <protection locked="0"/>
    </xf>
    <xf numFmtId="49" fontId="1" fillId="4" borderId="25" xfId="0" applyNumberFormat="1" applyFont="1" applyFill="1" applyBorder="1" applyAlignment="1" applyProtection="1">
      <alignment horizontal="center" vertical="center"/>
      <protection locked="0"/>
    </xf>
    <xf numFmtId="49" fontId="1" fillId="4" borderId="4" xfId="0" applyNumberFormat="1" applyFont="1" applyFill="1" applyBorder="1" applyAlignment="1" applyProtection="1">
      <alignment horizontal="center" vertical="center"/>
      <protection locked="0"/>
    </xf>
    <xf numFmtId="0" fontId="38" fillId="26" borderId="0" xfId="8" applyFill="1" applyAlignment="1" applyProtection="1">
      <alignment horizontal="center" vertical="center"/>
    </xf>
    <xf numFmtId="0" fontId="6" fillId="26" borderId="27" xfId="0" applyFont="1" applyFill="1" applyBorder="1" applyAlignment="1" applyProtection="1">
      <alignment horizontal="center" vertical="center"/>
    </xf>
    <xf numFmtId="0" fontId="6" fillId="26" borderId="9" xfId="0" applyFont="1" applyFill="1" applyBorder="1" applyAlignment="1" applyProtection="1">
      <alignment horizontal="center" vertical="center"/>
    </xf>
    <xf numFmtId="0" fontId="83" fillId="26" borderId="0" xfId="0" applyFont="1" applyFill="1" applyAlignment="1" applyProtection="1">
      <alignment horizontal="left" textRotation="90"/>
    </xf>
    <xf numFmtId="0" fontId="1" fillId="26" borderId="0" xfId="0" applyNumberFormat="1" applyFont="1" applyFill="1" applyAlignment="1" applyProtection="1">
      <alignment horizontal="right" vertical="center"/>
    </xf>
    <xf numFmtId="0" fontId="1" fillId="26" borderId="9" xfId="0" applyNumberFormat="1" applyFont="1" applyFill="1" applyBorder="1" applyAlignment="1" applyProtection="1">
      <alignment horizontal="right" vertical="center"/>
    </xf>
    <xf numFmtId="0" fontId="1" fillId="26" borderId="0" xfId="0" applyFont="1" applyFill="1" applyAlignment="1" applyProtection="1">
      <alignment horizontal="right" vertical="center"/>
    </xf>
    <xf numFmtId="49" fontId="1" fillId="26" borderId="0" xfId="0" applyNumberFormat="1" applyFont="1" applyFill="1" applyBorder="1" applyAlignment="1" applyProtection="1">
      <alignment vertical="top"/>
    </xf>
    <xf numFmtId="0" fontId="0" fillId="26" borderId="0" xfId="0" applyFill="1" applyAlignment="1" applyProtection="1"/>
    <xf numFmtId="0" fontId="3" fillId="26" borderId="0" xfId="1" applyFont="1" applyFill="1" applyBorder="1" applyAlignment="1" applyProtection="1">
      <alignment horizontal="center" vertical="center"/>
    </xf>
    <xf numFmtId="49" fontId="7" fillId="26" borderId="0" xfId="0" applyNumberFormat="1" applyFont="1" applyFill="1" applyBorder="1" applyAlignment="1" applyProtection="1">
      <alignment vertical="top"/>
    </xf>
    <xf numFmtId="0" fontId="1" fillId="26" borderId="25" xfId="0" applyFont="1" applyFill="1" applyBorder="1" applyAlignment="1" applyProtection="1">
      <alignment horizontal="center"/>
    </xf>
    <xf numFmtId="0" fontId="1" fillId="26" borderId="5" xfId="0" applyFont="1" applyFill="1" applyBorder="1" applyAlignment="1" applyProtection="1">
      <alignment horizontal="center"/>
    </xf>
    <xf numFmtId="0" fontId="1" fillId="26" borderId="4" xfId="0" applyFont="1" applyFill="1" applyBorder="1" applyAlignment="1" applyProtection="1">
      <alignment horizontal="center"/>
    </xf>
    <xf numFmtId="49" fontId="1" fillId="26" borderId="2" xfId="0" applyNumberFormat="1" applyFont="1" applyFill="1" applyBorder="1" applyAlignment="1" applyProtection="1">
      <alignment horizontal="center" vertical="top"/>
    </xf>
    <xf numFmtId="0" fontId="3" fillId="26" borderId="10" xfId="1" applyFont="1" applyFill="1" applyBorder="1" applyAlignment="1" applyProtection="1">
      <alignment horizontal="center" vertical="center"/>
    </xf>
    <xf numFmtId="0" fontId="0" fillId="26" borderId="0" xfId="0" applyFill="1" applyBorder="1" applyAlignment="1" applyProtection="1"/>
    <xf numFmtId="49" fontId="6" fillId="26" borderId="0" xfId="0" applyNumberFormat="1" applyFont="1" applyFill="1" applyBorder="1" applyAlignment="1" applyProtection="1">
      <alignment vertical="top"/>
    </xf>
    <xf numFmtId="49" fontId="7" fillId="26" borderId="0" xfId="0" applyNumberFormat="1" applyFont="1" applyFill="1" applyBorder="1" applyAlignment="1" applyProtection="1">
      <alignment horizontal="left" vertical="top"/>
    </xf>
    <xf numFmtId="49" fontId="1" fillId="26" borderId="0" xfId="0" applyNumberFormat="1" applyFont="1" applyFill="1" applyBorder="1" applyAlignment="1" applyProtection="1">
      <alignment horizontal="left" vertical="top"/>
    </xf>
    <xf numFmtId="0" fontId="32" fillId="25" borderId="0" xfId="0" applyFont="1" applyFill="1" applyBorder="1" applyAlignment="1" applyProtection="1">
      <alignment horizontal="left" vertical="center"/>
    </xf>
    <xf numFmtId="49" fontId="52" fillId="26" borderId="0" xfId="0" applyNumberFormat="1" applyFont="1" applyFill="1" applyBorder="1" applyAlignment="1" applyProtection="1">
      <alignment vertical="center"/>
    </xf>
    <xf numFmtId="0" fontId="31" fillId="26" borderId="0" xfId="0" applyFont="1" applyFill="1" applyAlignment="1" applyProtection="1">
      <alignment vertical="center"/>
    </xf>
    <xf numFmtId="0" fontId="7" fillId="4" borderId="1" xfId="0" applyFont="1" applyFill="1" applyBorder="1" applyAlignment="1" applyProtection="1">
      <alignment horizontal="right" vertical="center"/>
      <protection locked="0"/>
    </xf>
    <xf numFmtId="0" fontId="0" fillId="4" borderId="1" xfId="0" applyFill="1" applyBorder="1" applyAlignment="1" applyProtection="1">
      <alignment vertical="center"/>
      <protection locked="0"/>
    </xf>
    <xf numFmtId="49" fontId="6" fillId="26" borderId="0" xfId="0" applyNumberFormat="1" applyFont="1" applyFill="1" applyBorder="1" applyAlignment="1" applyProtection="1">
      <alignment horizontal="left" vertical="center"/>
    </xf>
    <xf numFmtId="0" fontId="1" fillId="26" borderId="0" xfId="0" applyFont="1" applyFill="1" applyBorder="1" applyAlignment="1" applyProtection="1">
      <alignment horizontal="left" vertical="center"/>
    </xf>
    <xf numFmtId="0" fontId="0" fillId="26" borderId="0" xfId="0" applyFill="1" applyBorder="1" applyAlignment="1" applyProtection="1">
      <alignment horizontal="left" vertical="center"/>
    </xf>
    <xf numFmtId="0" fontId="0" fillId="26" borderId="0" xfId="0" applyFill="1" applyAlignment="1" applyProtection="1">
      <alignment horizontal="left" vertical="center"/>
    </xf>
    <xf numFmtId="49" fontId="6" fillId="26" borderId="0" xfId="0" applyNumberFormat="1" applyFont="1" applyFill="1" applyBorder="1" applyAlignment="1" applyProtection="1">
      <alignment vertical="center"/>
    </xf>
    <xf numFmtId="0" fontId="1" fillId="26" borderId="0" xfId="0" applyFont="1" applyFill="1" applyBorder="1" applyAlignment="1" applyProtection="1">
      <alignment vertical="center"/>
    </xf>
    <xf numFmtId="0" fontId="0" fillId="26" borderId="0" xfId="0" applyFill="1" applyBorder="1" applyAlignment="1" applyProtection="1">
      <alignment vertical="center"/>
    </xf>
    <xf numFmtId="49" fontId="1" fillId="26" borderId="0" xfId="0" applyNumberFormat="1" applyFont="1" applyFill="1" applyBorder="1" applyAlignment="1" applyProtection="1">
      <alignment horizontal="left" vertical="center"/>
    </xf>
    <xf numFmtId="0" fontId="1" fillId="26" borderId="0" xfId="0" applyFont="1" applyFill="1" applyAlignment="1" applyProtection="1">
      <alignment horizontal="left" vertical="center"/>
    </xf>
    <xf numFmtId="49" fontId="1" fillId="26" borderId="25" xfId="0" applyNumberFormat="1" applyFont="1" applyFill="1" applyBorder="1" applyAlignment="1" applyProtection="1">
      <alignment horizontal="center" vertical="center"/>
    </xf>
    <xf numFmtId="49" fontId="1" fillId="26" borderId="4" xfId="0" applyNumberFormat="1" applyFont="1" applyFill="1" applyBorder="1" applyAlignment="1" applyProtection="1">
      <alignment horizontal="center" vertical="center"/>
    </xf>
    <xf numFmtId="0" fontId="1" fillId="26" borderId="0" xfId="0" applyFont="1" applyFill="1" applyAlignment="1" applyProtection="1">
      <alignment vertical="center"/>
    </xf>
    <xf numFmtId="0" fontId="0" fillId="26" borderId="0" xfId="0" applyFill="1" applyAlignment="1" applyProtection="1">
      <alignment vertical="center"/>
    </xf>
    <xf numFmtId="0" fontId="1" fillId="4" borderId="25" xfId="0" applyFont="1" applyFill="1" applyBorder="1" applyAlignment="1" applyProtection="1">
      <alignment horizontal="center"/>
      <protection locked="0"/>
    </xf>
    <xf numFmtId="0" fontId="1" fillId="4" borderId="5" xfId="0" applyFont="1" applyFill="1" applyBorder="1" applyAlignment="1" applyProtection="1">
      <alignment horizontal="center"/>
      <protection locked="0"/>
    </xf>
    <xf numFmtId="0" fontId="1" fillId="4" borderId="4" xfId="0" applyFont="1" applyFill="1" applyBorder="1" applyAlignment="1" applyProtection="1">
      <alignment horizontal="center"/>
      <protection locked="0"/>
    </xf>
    <xf numFmtId="0" fontId="1" fillId="0" borderId="0" xfId="0" applyFont="1" applyBorder="1" applyAlignment="1" applyProtection="1">
      <alignment horizontal="center"/>
    </xf>
    <xf numFmtId="0" fontId="0" fillId="26" borderId="0" xfId="0" applyFont="1" applyFill="1" applyBorder="1" applyAlignment="1" applyProtection="1"/>
    <xf numFmtId="0" fontId="0" fillId="26" borderId="0" xfId="0" applyFont="1" applyFill="1" applyAlignment="1" applyProtection="1"/>
    <xf numFmtId="0" fontId="1" fillId="26" borderId="26" xfId="0" applyFont="1" applyFill="1" applyBorder="1" applyAlignment="1" applyProtection="1">
      <alignment horizontal="right" vertical="center"/>
    </xf>
    <xf numFmtId="0" fontId="1" fillId="26" borderId="25" xfId="0" applyFont="1" applyFill="1" applyBorder="1" applyAlignment="1" applyProtection="1">
      <alignment horizontal="right" vertical="center"/>
    </xf>
    <xf numFmtId="0" fontId="1" fillId="18" borderId="1" xfId="0" applyFont="1" applyFill="1" applyBorder="1" applyAlignment="1">
      <alignment horizontal="center" vertical="center"/>
    </xf>
    <xf numFmtId="0" fontId="1" fillId="17" borderId="25" xfId="0" applyFont="1" applyFill="1" applyBorder="1" applyAlignment="1">
      <alignment horizontal="center" vertical="center"/>
    </xf>
    <xf numFmtId="0" fontId="1" fillId="17" borderId="5" xfId="0" applyFont="1" applyFill="1" applyBorder="1" applyAlignment="1">
      <alignment horizontal="center" vertical="center"/>
    </xf>
    <xf numFmtId="0" fontId="1" fillId="17" borderId="4" xfId="0" applyFont="1" applyFill="1" applyBorder="1" applyAlignment="1">
      <alignment horizontal="center" vertical="center"/>
    </xf>
    <xf numFmtId="0" fontId="42" fillId="0" borderId="14" xfId="0" applyFont="1" applyBorder="1" applyAlignment="1">
      <alignment horizontal="center" vertical="center"/>
    </xf>
    <xf numFmtId="0" fontId="42" fillId="0" borderId="15" xfId="0" applyFont="1" applyBorder="1" applyAlignment="1">
      <alignment horizontal="center" vertical="center"/>
    </xf>
    <xf numFmtId="0" fontId="42" fillId="0" borderId="16" xfId="0" applyFont="1" applyBorder="1" applyAlignment="1">
      <alignment horizontal="center" vertical="center"/>
    </xf>
    <xf numFmtId="0" fontId="23" fillId="22" borderId="48" xfId="0" applyFont="1" applyFill="1" applyBorder="1" applyAlignment="1">
      <alignment horizontal="center" vertical="center" textRotation="90"/>
    </xf>
    <xf numFmtId="0" fontId="23" fillId="22" borderId="49" xfId="0" applyFont="1" applyFill="1" applyBorder="1" applyAlignment="1">
      <alignment horizontal="center" vertical="center" textRotation="90"/>
    </xf>
    <xf numFmtId="0" fontId="23" fillId="22" borderId="50" xfId="0" applyFont="1" applyFill="1" applyBorder="1" applyAlignment="1">
      <alignment horizontal="center" vertical="center" textRotation="90"/>
    </xf>
    <xf numFmtId="0" fontId="25" fillId="4" borderId="48" xfId="0" applyFont="1" applyFill="1" applyBorder="1" applyAlignment="1">
      <alignment horizontal="center" vertical="center" textRotation="90" wrapText="1"/>
    </xf>
    <xf numFmtId="0" fontId="25" fillId="4" borderId="49" xfId="0" applyFont="1" applyFill="1" applyBorder="1" applyAlignment="1">
      <alignment horizontal="center" vertical="center" textRotation="90" wrapText="1"/>
    </xf>
    <xf numFmtId="0" fontId="25" fillId="4" borderId="50" xfId="0" applyFont="1" applyFill="1" applyBorder="1" applyAlignment="1">
      <alignment horizontal="center" vertical="center" textRotation="90" wrapText="1"/>
    </xf>
    <xf numFmtId="0" fontId="1" fillId="17" borderId="3" xfId="0" applyFont="1" applyFill="1" applyBorder="1" applyAlignment="1">
      <alignment horizontal="center" vertical="center"/>
    </xf>
    <xf numFmtId="0" fontId="1" fillId="17" borderId="0" xfId="0" applyFont="1" applyFill="1" applyBorder="1" applyAlignment="1">
      <alignment horizontal="center" vertical="center"/>
    </xf>
    <xf numFmtId="0" fontId="1" fillId="17" borderId="9" xfId="0" applyFont="1" applyFill="1" applyBorder="1" applyAlignment="1">
      <alignment horizontal="center" vertical="center"/>
    </xf>
    <xf numFmtId="0" fontId="23" fillId="21" borderId="48" xfId="0" applyFont="1" applyFill="1" applyBorder="1" applyAlignment="1">
      <alignment horizontal="center" vertical="center" textRotation="90"/>
    </xf>
    <xf numFmtId="0" fontId="23" fillId="21" borderId="49" xfId="0" applyFont="1" applyFill="1" applyBorder="1" applyAlignment="1">
      <alignment horizontal="center" vertical="center" textRotation="90"/>
    </xf>
    <xf numFmtId="0" fontId="23" fillId="21" borderId="50" xfId="0" applyFont="1" applyFill="1" applyBorder="1" applyAlignment="1">
      <alignment horizontal="center" vertical="center" textRotation="90"/>
    </xf>
    <xf numFmtId="0" fontId="23" fillId="21" borderId="17" xfId="0" applyFont="1" applyFill="1" applyBorder="1" applyAlignment="1">
      <alignment horizontal="center" vertical="center"/>
    </xf>
    <xf numFmtId="0" fontId="23" fillId="21" borderId="0" xfId="0" applyFont="1" applyFill="1" applyBorder="1" applyAlignment="1">
      <alignment horizontal="center" vertical="center"/>
    </xf>
    <xf numFmtId="0" fontId="23" fillId="21" borderId="18" xfId="0" applyFont="1" applyFill="1" applyBorder="1" applyAlignment="1">
      <alignment horizontal="center" vertical="center"/>
    </xf>
    <xf numFmtId="0" fontId="23" fillId="21" borderId="16" xfId="0" applyFont="1" applyFill="1" applyBorder="1" applyAlignment="1">
      <alignment horizontal="center" vertical="center" textRotation="90"/>
    </xf>
    <xf numFmtId="0" fontId="23" fillId="21" borderId="21" xfId="0" applyFont="1" applyFill="1" applyBorder="1" applyAlignment="1">
      <alignment horizontal="center" vertical="center" textRotation="90"/>
    </xf>
    <xf numFmtId="0" fontId="6" fillId="26" borderId="1" xfId="0" applyFont="1" applyFill="1" applyBorder="1" applyAlignment="1">
      <alignment horizontal="center" vertical="center"/>
    </xf>
    <xf numFmtId="0" fontId="1" fillId="16" borderId="14" xfId="0" applyFont="1" applyFill="1" applyBorder="1" applyAlignment="1">
      <alignment horizontal="center" vertical="center"/>
    </xf>
    <xf numFmtId="0" fontId="1" fillId="16" borderId="15" xfId="0" applyFont="1" applyFill="1" applyBorder="1" applyAlignment="1">
      <alignment horizontal="center" vertical="center"/>
    </xf>
    <xf numFmtId="0" fontId="1" fillId="16" borderId="16" xfId="0" applyFont="1" applyFill="1" applyBorder="1" applyAlignment="1">
      <alignment horizontal="center" vertical="center"/>
    </xf>
    <xf numFmtId="0" fontId="1" fillId="17" borderId="12" xfId="0" applyFont="1" applyFill="1" applyBorder="1" applyAlignment="1">
      <alignment horizontal="center" vertical="center"/>
    </xf>
    <xf numFmtId="0" fontId="1" fillId="17" borderId="2" xfId="0" applyFont="1" applyFill="1" applyBorder="1" applyAlignment="1">
      <alignment horizontal="center" vertical="center"/>
    </xf>
    <xf numFmtId="0" fontId="6" fillId="15" borderId="1" xfId="0" applyFont="1" applyFill="1" applyBorder="1" applyAlignment="1">
      <alignment horizontal="center" vertical="center"/>
    </xf>
    <xf numFmtId="0" fontId="1" fillId="9" borderId="24" xfId="0" applyFont="1" applyFill="1" applyBorder="1" applyAlignment="1">
      <alignment horizontal="center" vertical="center"/>
    </xf>
    <xf numFmtId="0" fontId="1" fillId="9" borderId="22" xfId="0" applyFont="1" applyFill="1" applyBorder="1" applyAlignment="1">
      <alignment horizontal="center" vertical="center"/>
    </xf>
    <xf numFmtId="0" fontId="1" fillId="9" borderId="23" xfId="0" applyFont="1" applyFill="1" applyBorder="1" applyAlignment="1">
      <alignment horizontal="center" vertical="center"/>
    </xf>
    <xf numFmtId="0" fontId="1" fillId="10" borderId="25" xfId="0" applyFont="1" applyFill="1" applyBorder="1" applyAlignment="1">
      <alignment horizontal="center" vertical="center"/>
    </xf>
    <xf numFmtId="0" fontId="1" fillId="10" borderId="5" xfId="0" applyFont="1" applyFill="1" applyBorder="1" applyAlignment="1">
      <alignment horizontal="center" vertical="center"/>
    </xf>
    <xf numFmtId="0" fontId="1" fillId="10" borderId="4" xfId="0" applyFont="1" applyFill="1" applyBorder="1" applyAlignment="1">
      <alignment horizontal="center" vertical="center"/>
    </xf>
    <xf numFmtId="0" fontId="22" fillId="0" borderId="48" xfId="0" applyFont="1" applyBorder="1" applyAlignment="1">
      <alignment horizontal="center" vertical="center" textRotation="90"/>
    </xf>
    <xf numFmtId="0" fontId="22" fillId="0" borderId="49" xfId="0" applyFont="1" applyBorder="1" applyAlignment="1">
      <alignment horizontal="center" vertical="center" textRotation="90"/>
    </xf>
    <xf numFmtId="0" fontId="22" fillId="0" borderId="50" xfId="0" applyFont="1" applyBorder="1" applyAlignment="1">
      <alignment horizontal="center" vertical="center" textRotation="90"/>
    </xf>
    <xf numFmtId="0" fontId="1" fillId="10" borderId="17" xfId="0" applyFont="1" applyFill="1" applyBorder="1" applyAlignment="1">
      <alignment horizontal="center" vertical="center"/>
    </xf>
    <xf numFmtId="0" fontId="1" fillId="10" borderId="0" xfId="0" applyFont="1" applyFill="1" applyBorder="1" applyAlignment="1">
      <alignment horizontal="center" vertical="center"/>
    </xf>
    <xf numFmtId="0" fontId="1" fillId="15" borderId="24" xfId="0" applyFont="1" applyFill="1" applyBorder="1" applyAlignment="1">
      <alignment horizontal="center" vertical="center"/>
    </xf>
    <xf numFmtId="0" fontId="1" fillId="15" borderId="23" xfId="0" applyFont="1" applyFill="1" applyBorder="1" applyAlignment="1">
      <alignment horizontal="center" vertical="center"/>
    </xf>
    <xf numFmtId="49" fontId="20" fillId="10" borderId="48" xfId="0" applyNumberFormat="1" applyFont="1" applyFill="1" applyBorder="1" applyAlignment="1">
      <alignment horizontal="center" vertical="center" textRotation="90"/>
    </xf>
    <xf numFmtId="49" fontId="20" fillId="10" borderId="49" xfId="0" applyNumberFormat="1" applyFont="1" applyFill="1" applyBorder="1" applyAlignment="1">
      <alignment horizontal="center" vertical="center" textRotation="90"/>
    </xf>
    <xf numFmtId="49" fontId="20" fillId="10" borderId="50" xfId="0" applyNumberFormat="1" applyFont="1" applyFill="1" applyBorder="1" applyAlignment="1">
      <alignment horizontal="center" vertical="center" textRotation="90"/>
    </xf>
    <xf numFmtId="0" fontId="23" fillId="4" borderId="48" xfId="0" applyFont="1" applyFill="1" applyBorder="1" applyAlignment="1">
      <alignment horizontal="center" vertical="center" textRotation="90"/>
    </xf>
    <xf numFmtId="0" fontId="23" fillId="4" borderId="49" xfId="0" applyFont="1" applyFill="1" applyBorder="1" applyAlignment="1">
      <alignment horizontal="center" vertical="center" textRotation="90"/>
    </xf>
    <xf numFmtId="0" fontId="23" fillId="4" borderId="50" xfId="0" applyFont="1" applyFill="1" applyBorder="1" applyAlignment="1">
      <alignment horizontal="center" vertical="center" textRotation="90"/>
    </xf>
    <xf numFmtId="0" fontId="22" fillId="0" borderId="17" xfId="0" applyFont="1" applyBorder="1" applyAlignment="1">
      <alignment horizontal="center" vertical="center" textRotation="90"/>
    </xf>
    <xf numFmtId="0" fontId="0" fillId="37" borderId="17" xfId="0" applyFill="1" applyBorder="1" applyAlignment="1">
      <alignment horizontal="center" vertical="center"/>
    </xf>
    <xf numFmtId="0" fontId="0" fillId="37" borderId="17" xfId="0" applyFill="1" applyBorder="1" applyAlignment="1">
      <alignment horizontal="center" vertical="center" wrapText="1"/>
    </xf>
    <xf numFmtId="0" fontId="0" fillId="37" borderId="19" xfId="0" applyFill="1" applyBorder="1" applyAlignment="1">
      <alignment horizontal="center" vertical="center" wrapText="1"/>
    </xf>
    <xf numFmtId="0" fontId="8" fillId="35" borderId="24" xfId="0" applyFont="1" applyFill="1" applyBorder="1" applyAlignment="1">
      <alignment horizontal="center"/>
    </xf>
    <xf numFmtId="0" fontId="8" fillId="35" borderId="22" xfId="0" applyFont="1" applyFill="1" applyBorder="1" applyAlignment="1">
      <alignment horizontal="center"/>
    </xf>
    <xf numFmtId="0" fontId="8" fillId="35" borderId="23" xfId="0" applyFont="1" applyFill="1" applyBorder="1" applyAlignment="1">
      <alignment horizontal="center"/>
    </xf>
    <xf numFmtId="0" fontId="0" fillId="36" borderId="24" xfId="0" applyFill="1" applyBorder="1" applyAlignment="1">
      <alignment horizontal="center"/>
    </xf>
    <xf numFmtId="0" fontId="0" fillId="36" borderId="22" xfId="0" applyFill="1" applyBorder="1" applyAlignment="1">
      <alignment horizontal="center"/>
    </xf>
    <xf numFmtId="0" fontId="0" fillId="36" borderId="23" xfId="0" applyFill="1" applyBorder="1" applyAlignment="1">
      <alignment horizontal="center"/>
    </xf>
    <xf numFmtId="0" fontId="8" fillId="35" borderId="14" xfId="0" applyFont="1" applyFill="1" applyBorder="1" applyAlignment="1">
      <alignment horizontal="center" wrapText="1"/>
    </xf>
    <xf numFmtId="0" fontId="8" fillId="35" borderId="15" xfId="0" applyFont="1" applyFill="1" applyBorder="1" applyAlignment="1">
      <alignment horizontal="center" wrapText="1"/>
    </xf>
    <xf numFmtId="0" fontId="8" fillId="35" borderId="16" xfId="0" applyFont="1" applyFill="1" applyBorder="1" applyAlignment="1">
      <alignment horizontal="center" wrapText="1"/>
    </xf>
    <xf numFmtId="0" fontId="64" fillId="10" borderId="24" xfId="0" applyFont="1" applyFill="1" applyBorder="1" applyAlignment="1">
      <alignment horizontal="center"/>
    </xf>
    <xf numFmtId="0" fontId="64" fillId="10" borderId="22" xfId="0" applyFont="1" applyFill="1" applyBorder="1" applyAlignment="1">
      <alignment horizontal="center"/>
    </xf>
    <xf numFmtId="0" fontId="64" fillId="10" borderId="23" xfId="0" applyFont="1" applyFill="1" applyBorder="1" applyAlignment="1">
      <alignment horizontal="center"/>
    </xf>
    <xf numFmtId="0" fontId="63" fillId="10" borderId="17" xfId="0" applyFont="1" applyFill="1" applyBorder="1" applyAlignment="1">
      <alignment horizontal="left"/>
    </xf>
    <xf numFmtId="0" fontId="63" fillId="10" borderId="0" xfId="0" applyFont="1" applyFill="1" applyBorder="1" applyAlignment="1">
      <alignment horizontal="left"/>
    </xf>
    <xf numFmtId="0" fontId="8" fillId="10" borderId="17" xfId="0" applyFont="1" applyFill="1" applyBorder="1" applyAlignment="1">
      <alignment horizontal="left"/>
    </xf>
    <xf numFmtId="0" fontId="8" fillId="10" borderId="18" xfId="0" applyFont="1" applyFill="1" applyBorder="1" applyAlignment="1">
      <alignment horizontal="left"/>
    </xf>
    <xf numFmtId="0" fontId="63" fillId="40" borderId="0" xfId="0" applyFont="1" applyFill="1" applyBorder="1" applyAlignment="1">
      <alignment horizontal="center" vertical="center"/>
    </xf>
    <xf numFmtId="0" fontId="8" fillId="40" borderId="0" xfId="0" applyFont="1" applyFill="1" applyBorder="1" applyAlignment="1">
      <alignment horizontal="center" vertical="center"/>
    </xf>
    <xf numFmtId="0" fontId="64" fillId="12" borderId="14" xfId="0" applyFont="1" applyFill="1" applyBorder="1" applyAlignment="1">
      <alignment horizontal="center"/>
    </xf>
    <xf numFmtId="0" fontId="64" fillId="12" borderId="15" xfId="0" applyFont="1" applyFill="1" applyBorder="1" applyAlignment="1">
      <alignment horizontal="center"/>
    </xf>
    <xf numFmtId="0" fontId="64" fillId="12" borderId="16" xfId="0" applyFont="1" applyFill="1" applyBorder="1" applyAlignment="1">
      <alignment horizontal="center"/>
    </xf>
    <xf numFmtId="0" fontId="0" fillId="0" borderId="0" xfId="0" applyBorder="1" applyAlignment="1">
      <alignment horizontal="center"/>
    </xf>
    <xf numFmtId="0" fontId="0" fillId="17" borderId="24" xfId="0" applyFill="1" applyBorder="1" applyAlignment="1">
      <alignment horizontal="center"/>
    </xf>
    <xf numFmtId="0" fontId="0" fillId="17" borderId="22" xfId="0" applyFill="1" applyBorder="1" applyAlignment="1">
      <alignment horizontal="center"/>
    </xf>
    <xf numFmtId="0" fontId="0" fillId="17" borderId="23" xfId="0" applyFill="1" applyBorder="1" applyAlignment="1">
      <alignment horizontal="center"/>
    </xf>
    <xf numFmtId="0" fontId="0" fillId="38" borderId="24" xfId="0" applyFill="1" applyBorder="1" applyAlignment="1">
      <alignment horizontal="center"/>
    </xf>
    <xf numFmtId="0" fontId="0" fillId="38" borderId="22" xfId="0" applyFill="1" applyBorder="1" applyAlignment="1">
      <alignment horizontal="center"/>
    </xf>
    <xf numFmtId="0" fontId="0" fillId="38" borderId="23" xfId="0" applyFill="1" applyBorder="1" applyAlignment="1">
      <alignment horizontal="center"/>
    </xf>
    <xf numFmtId="2" fontId="0" fillId="0" borderId="24" xfId="7" applyNumberFormat="1" applyFont="1" applyFill="1" applyBorder="1" applyAlignment="1">
      <alignment horizontal="center"/>
    </xf>
    <xf numFmtId="2" fontId="0" fillId="0" borderId="23" xfId="7" applyNumberFormat="1" applyFont="1" applyFill="1" applyBorder="1" applyAlignment="1">
      <alignment horizontal="center"/>
    </xf>
    <xf numFmtId="0" fontId="0" fillId="0" borderId="24" xfId="0" applyFill="1" applyBorder="1" applyAlignment="1">
      <alignment horizontal="center"/>
    </xf>
    <xf numFmtId="0" fontId="0" fillId="0" borderId="23" xfId="0" applyFill="1" applyBorder="1" applyAlignment="1">
      <alignment horizontal="center"/>
    </xf>
    <xf numFmtId="0" fontId="0" fillId="0" borderId="20" xfId="0" applyFill="1" applyBorder="1" applyAlignment="1">
      <alignment horizontal="center"/>
    </xf>
  </cellXfs>
  <cellStyles count="17">
    <cellStyle name="Ausfeld_0,0" xfId="5"/>
    <cellStyle name="Berechnung" xfId="14" builtinId="22"/>
    <cellStyle name="Einfeld_0" xfId="4"/>
    <cellStyle name="Eingabe" xfId="13" builtinId="20"/>
    <cellStyle name="Gut" xfId="16" builtinId="26"/>
    <cellStyle name="Hyperlink 2" xfId="10"/>
    <cellStyle name="Komma 2" xfId="12"/>
    <cellStyle name="Komma 3" xfId="11"/>
    <cellStyle name="Link" xfId="8" builtinId="8"/>
    <cellStyle name="Prozent" xfId="7" builtinId="5"/>
    <cellStyle name="Spalte_fett" xfId="1"/>
    <cellStyle name="Spalte_normal" xfId="2"/>
    <cellStyle name="Standard" xfId="0" builtinId="0"/>
    <cellStyle name="Standard 2" xfId="9"/>
    <cellStyle name="Über_Teil" xfId="3"/>
    <cellStyle name="Währung" xfId="15" builtinId="4"/>
    <cellStyle name="Zeile_fett" xfId="6"/>
  </cellStyles>
  <dxfs count="327">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rgb="FFDA0000"/>
      </font>
    </dxf>
    <dxf>
      <font>
        <color theme="0" tint="-0.14996795556505021"/>
      </font>
    </dxf>
    <dxf>
      <font>
        <color theme="0" tint="-0.14996795556505021"/>
      </font>
      <fill>
        <patternFill>
          <bgColor theme="0" tint="-0.14996795556505021"/>
        </patternFill>
      </fill>
      <border>
        <left/>
        <right/>
        <top/>
        <bottom/>
        <vertical/>
        <horizontal/>
      </border>
    </dxf>
    <dxf>
      <font>
        <color theme="1"/>
      </font>
    </dxf>
    <dxf>
      <font>
        <color theme="1"/>
      </font>
    </dxf>
    <dxf>
      <font>
        <color theme="1"/>
      </font>
    </dxf>
    <dxf>
      <font>
        <color theme="1"/>
      </font>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rgb="FFDA0000"/>
      </font>
    </dxf>
    <dxf>
      <font>
        <color theme="0" tint="-0.14996795556505021"/>
      </font>
    </dxf>
    <dxf>
      <font>
        <color theme="0" tint="-0.14996795556505021"/>
      </font>
      <fill>
        <patternFill>
          <bgColor theme="0" tint="-0.14996795556505021"/>
        </patternFill>
      </fill>
      <border>
        <left/>
        <right/>
        <top/>
        <bottom/>
        <vertical/>
        <horizontal/>
      </border>
    </dxf>
    <dxf>
      <font>
        <color theme="1"/>
      </font>
    </dxf>
    <dxf>
      <font>
        <color theme="1"/>
      </font>
    </dxf>
    <dxf>
      <font>
        <color theme="1"/>
      </font>
    </dxf>
    <dxf>
      <font>
        <color theme="1"/>
      </font>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rgb="FFDA0000"/>
      </font>
    </dxf>
    <dxf>
      <font>
        <color theme="0" tint="-0.14996795556505021"/>
      </font>
    </dxf>
    <dxf>
      <font>
        <color theme="0" tint="-0.14996795556505021"/>
      </font>
      <fill>
        <patternFill>
          <bgColor theme="0" tint="-0.14996795556505021"/>
        </patternFill>
      </fill>
      <border>
        <left/>
        <right/>
        <top/>
        <bottom/>
        <vertical/>
        <horizontal/>
      </border>
    </dxf>
    <dxf>
      <font>
        <color theme="1"/>
      </font>
    </dxf>
    <dxf>
      <font>
        <color theme="1"/>
      </font>
    </dxf>
    <dxf>
      <font>
        <color theme="1"/>
      </font>
    </dxf>
    <dxf>
      <font>
        <color theme="1"/>
      </font>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rgb="FFDA0000"/>
      </font>
    </dxf>
    <dxf>
      <font>
        <color theme="0" tint="-0.14996795556505021"/>
      </font>
    </dxf>
    <dxf>
      <font>
        <color theme="0" tint="-0.14996795556505021"/>
      </font>
      <fill>
        <patternFill>
          <bgColor theme="0" tint="-0.14996795556505021"/>
        </patternFill>
      </fill>
      <border>
        <left/>
        <right/>
        <top/>
        <bottom/>
        <vertical/>
        <horizontal/>
      </border>
    </dxf>
    <dxf>
      <font>
        <b/>
        <i val="0"/>
        <strike val="0"/>
        <color auto="1"/>
      </font>
      <fill>
        <patternFill>
          <bgColor rgb="FFC00000"/>
        </patternFill>
      </fill>
    </dxf>
    <dxf>
      <font>
        <b/>
        <i val="0"/>
        <strike val="0"/>
        <color auto="1"/>
      </font>
      <fill>
        <patternFill>
          <bgColor rgb="FFC00000"/>
        </patternFill>
      </fill>
    </dxf>
    <dxf>
      <font>
        <color theme="1"/>
      </font>
    </dxf>
    <dxf>
      <font>
        <color theme="1"/>
      </font>
    </dxf>
    <dxf>
      <font>
        <color theme="1"/>
      </font>
    </dxf>
    <dxf>
      <font>
        <color theme="1"/>
      </font>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b/>
        <i val="0"/>
        <strike val="0"/>
        <color auto="1"/>
      </font>
      <fill>
        <patternFill>
          <bgColor rgb="FFC00000"/>
        </patternFill>
      </fill>
    </dxf>
    <dxf>
      <font>
        <color theme="0" tint="-0.14996795556505021"/>
      </font>
      <fill>
        <patternFill>
          <bgColor theme="0" tint="-0.14996795556505021"/>
        </patternFill>
      </fill>
      <border>
        <left/>
        <right/>
        <top/>
        <bottom/>
        <vertical/>
        <horizontal/>
      </border>
    </dxf>
    <dxf>
      <font>
        <color rgb="FFDA0000"/>
      </font>
    </dxf>
    <dxf>
      <font>
        <color theme="0" tint="-0.14996795556505021"/>
      </font>
    </dxf>
    <dxf>
      <font>
        <color theme="0" tint="-0.14996795556505021"/>
      </font>
      <fill>
        <patternFill>
          <bgColor theme="0" tint="-0.14996795556505021"/>
        </patternFill>
      </fill>
      <border>
        <left/>
        <right/>
        <top/>
        <bottom/>
        <vertical/>
        <horizontal/>
      </border>
    </dxf>
    <dxf>
      <font>
        <color theme="1"/>
      </font>
    </dxf>
    <dxf>
      <font>
        <color theme="1"/>
      </font>
    </dxf>
    <dxf>
      <font>
        <color theme="1"/>
      </font>
    </dxf>
    <dxf>
      <font>
        <color theme="1"/>
      </font>
    </dxf>
    <dxf>
      <font>
        <b/>
        <i val="0"/>
        <strike val="0"/>
        <color auto="1"/>
      </font>
      <fill>
        <patternFill>
          <bgColor rgb="FFC00000"/>
        </patternFill>
      </fill>
    </dxf>
    <dxf>
      <font>
        <b/>
        <i val="0"/>
        <strike val="0"/>
        <color auto="1"/>
      </font>
      <fill>
        <patternFill>
          <bgColor rgb="FFC00000"/>
        </patternFill>
      </fill>
    </dxf>
    <dxf>
      <font>
        <color theme="0" tint="-0.14996795556505021"/>
      </font>
      <fill>
        <patternFill>
          <bgColor theme="0" tint="-0.14996795556505021"/>
        </patternFill>
      </fill>
      <border>
        <vertical/>
        <horizontal/>
      </border>
    </dxf>
    <dxf>
      <font>
        <color theme="0"/>
      </font>
      <fill>
        <patternFill>
          <bgColor theme="0"/>
        </patternFill>
      </fill>
      <border>
        <left/>
        <right/>
        <top/>
        <bottom/>
      </border>
    </dxf>
    <dxf>
      <numFmt numFmtId="3" formatCode="#,##0"/>
    </dxf>
    <dxf>
      <numFmt numFmtId="13" formatCode="0%"/>
    </dxf>
    <dxf>
      <font>
        <color theme="0" tint="-0.14996795556505021"/>
      </font>
      <fill>
        <patternFill>
          <bgColor theme="0" tint="-0.14996795556505021"/>
        </patternFill>
      </fill>
      <border>
        <left/>
        <right/>
        <top/>
        <bottom/>
        <vertical/>
        <horizontal/>
      </border>
    </dxf>
    <dxf>
      <font>
        <b/>
        <i val="0"/>
        <color rgb="FFFF0000"/>
      </font>
    </dxf>
    <dxf>
      <font>
        <color theme="0" tint="-0.14996795556505021"/>
      </font>
      <fill>
        <patternFill>
          <bgColor theme="0" tint="-0.14996795556505021"/>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tint="-0.14996795556505021"/>
      </font>
      <fill>
        <patternFill>
          <bgColor theme="0" tint="-0.14996795556505021"/>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tint="-0.14996795556505021"/>
      </font>
      <fill>
        <patternFill>
          <bgColor theme="0" tint="-0.14996795556505021"/>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tint="-0.499984740745262"/>
      </font>
      <fill>
        <patternFill>
          <bgColor theme="0" tint="-0.499984740745262"/>
        </patternFill>
      </fill>
    </dxf>
    <dxf>
      <font>
        <b/>
        <i val="0"/>
        <color rgb="FFC00000"/>
      </font>
      <fill>
        <patternFill patternType="solid">
          <bgColor theme="0" tint="-0.14996795556505021"/>
        </patternFill>
      </fill>
      <border>
        <left style="thin">
          <color auto="1"/>
        </left>
        <right style="thin">
          <color auto="1"/>
        </right>
        <top style="thin">
          <color auto="1"/>
        </top>
        <bottom style="thin">
          <color auto="1"/>
        </bottom>
        <vertical/>
        <horizontal/>
      </border>
    </dxf>
    <dxf>
      <font>
        <b/>
        <i val="0"/>
        <color rgb="FFDA0000"/>
      </font>
      <border>
        <vertical/>
        <horizontal/>
      </border>
    </dxf>
    <dxf>
      <font>
        <b/>
        <i val="0"/>
        <color rgb="FFDA0000"/>
      </font>
    </dxf>
  </dxfs>
  <tableStyles count="0" defaultTableStyle="TableStyleMedium2" defaultPivotStyle="PivotStyleLight16"/>
  <colors>
    <mruColors>
      <color rgb="FFDA0000"/>
      <color rgb="FF48BA20"/>
      <color rgb="FFFF00FF"/>
      <color rgb="FFF7B5A3"/>
      <color rgb="FFFEA39C"/>
      <color rgb="FFEBE9EA"/>
      <color rgb="FFC0C0C0"/>
      <color rgb="FFABA3A9"/>
      <color rgb="FFDDDDDD"/>
      <color rgb="FFCBCC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de-AT" sz="1600"/>
              <a:t>Annuitätenvergleich</a:t>
            </a:r>
          </a:p>
        </c:rich>
      </c:tx>
      <c:overlay val="0"/>
    </c:title>
    <c:autoTitleDeleted val="0"/>
    <c:plotArea>
      <c:layout>
        <c:manualLayout>
          <c:layoutTarget val="inner"/>
          <c:xMode val="edge"/>
          <c:yMode val="edge"/>
          <c:x val="0.10245555603898564"/>
          <c:y val="0.19234925491399621"/>
          <c:w val="0.87632074913716163"/>
          <c:h val="0.69986465417051436"/>
        </c:manualLayout>
      </c:layout>
      <c:barChart>
        <c:barDir val="col"/>
        <c:grouping val="stacked"/>
        <c:varyColors val="0"/>
        <c:ser>
          <c:idx val="0"/>
          <c:order val="0"/>
          <c:tx>
            <c:strRef>
              <c:f>BERECHNUNG!$W$53</c:f>
              <c:strCache>
                <c:ptCount val="1"/>
                <c:pt idx="0">
                  <c:v>Finanzierungskosten</c:v>
                </c:pt>
              </c:strCache>
            </c:strRef>
          </c:tx>
          <c:invertIfNegative val="0"/>
          <c:cat>
            <c:multiLvlStrRef>
              <c:f>BERECHNUNG!$U$54:$V$68</c:f>
              <c:multiLvlStrCache>
                <c:ptCount val="14"/>
                <c:lvl>
                  <c:pt idx="0">
                    <c:v>Annuität</c:v>
                  </c:pt>
                  <c:pt idx="1">
                    <c:v>Teilergebnisse</c:v>
                  </c:pt>
                  <c:pt idx="3">
                    <c:v>Annuität</c:v>
                  </c:pt>
                  <c:pt idx="4">
                    <c:v>Teilergebnisse</c:v>
                  </c:pt>
                  <c:pt idx="6">
                    <c:v>Annuität</c:v>
                  </c:pt>
                  <c:pt idx="7">
                    <c:v>Teilergebnisse</c:v>
                  </c:pt>
                  <c:pt idx="9">
                    <c:v>Annuität</c:v>
                  </c:pt>
                  <c:pt idx="10">
                    <c:v>Teilergebnisse</c:v>
                  </c:pt>
                  <c:pt idx="12">
                    <c:v>Annuität</c:v>
                  </c:pt>
                  <c:pt idx="13">
                    <c:v>Teilergebnisse</c:v>
                  </c:pt>
                </c:lvl>
                <c:lvl>
                  <c:pt idx="0">
                    <c:v>BTV</c:v>
                  </c:pt>
                  <c:pt idx="3">
                    <c:v>PH</c:v>
                  </c:pt>
                  <c:pt idx="6">
                    <c:v>PHSol</c:v>
                  </c:pt>
                  <c:pt idx="9">
                    <c:v>PHWRGSo</c:v>
                  </c:pt>
                  <c:pt idx="12">
                    <c:v>PHWRGSoPV</c:v>
                  </c:pt>
                </c:lvl>
              </c:multiLvlStrCache>
            </c:multiLvlStrRef>
          </c:cat>
          <c:val>
            <c:numRef>
              <c:f>BERECHNUNG!$W$54:$W$68</c:f>
              <c:numCache>
                <c:formatCode>"€"\ #,##0.00</c:formatCode>
                <c:ptCount val="15"/>
                <c:pt idx="0">
                  <c:v>145986.55841505082</c:v>
                </c:pt>
                <c:pt idx="1">
                  <c:v>0</c:v>
                </c:pt>
                <c:pt idx="3">
                  <c:v>145735.46458723184</c:v>
                </c:pt>
                <c:pt idx="4">
                  <c:v>0</c:v>
                </c:pt>
                <c:pt idx="6">
                  <c:v>147158.18302426569</c:v>
                </c:pt>
                <c:pt idx="7">
                  <c:v>0</c:v>
                </c:pt>
                <c:pt idx="9" formatCode="General">
                  <c:v>150158.70040090158</c:v>
                </c:pt>
                <c:pt idx="10">
                  <c:v>0</c:v>
                </c:pt>
                <c:pt idx="12">
                  <c:v>151645.87810827189</c:v>
                </c:pt>
                <c:pt idx="13">
                  <c:v>0</c:v>
                </c:pt>
              </c:numCache>
            </c:numRef>
          </c:val>
          <c:extLst>
            <c:ext xmlns:c16="http://schemas.microsoft.com/office/drawing/2014/chart" uri="{C3380CC4-5D6E-409C-BE32-E72D297353CC}">
              <c16:uniqueId val="{00000000-C6E2-4DD8-81F1-53F0C64F1CFE}"/>
            </c:ext>
          </c:extLst>
        </c:ser>
        <c:ser>
          <c:idx val="1"/>
          <c:order val="1"/>
          <c:tx>
            <c:strRef>
              <c:f>BERECHNUNG!$X$53</c:f>
              <c:strCache>
                <c:ptCount val="1"/>
                <c:pt idx="0">
                  <c:v>Ersatzinvestition</c:v>
                </c:pt>
              </c:strCache>
            </c:strRef>
          </c:tx>
          <c:invertIfNegative val="0"/>
          <c:cat>
            <c:multiLvlStrRef>
              <c:f>BERECHNUNG!$U$54:$V$68</c:f>
              <c:multiLvlStrCache>
                <c:ptCount val="14"/>
                <c:lvl>
                  <c:pt idx="0">
                    <c:v>Annuität</c:v>
                  </c:pt>
                  <c:pt idx="1">
                    <c:v>Teilergebnisse</c:v>
                  </c:pt>
                  <c:pt idx="3">
                    <c:v>Annuität</c:v>
                  </c:pt>
                  <c:pt idx="4">
                    <c:v>Teilergebnisse</c:v>
                  </c:pt>
                  <c:pt idx="6">
                    <c:v>Annuität</c:v>
                  </c:pt>
                  <c:pt idx="7">
                    <c:v>Teilergebnisse</c:v>
                  </c:pt>
                  <c:pt idx="9">
                    <c:v>Annuität</c:v>
                  </c:pt>
                  <c:pt idx="10">
                    <c:v>Teilergebnisse</c:v>
                  </c:pt>
                  <c:pt idx="12">
                    <c:v>Annuität</c:v>
                  </c:pt>
                  <c:pt idx="13">
                    <c:v>Teilergebnisse</c:v>
                  </c:pt>
                </c:lvl>
                <c:lvl>
                  <c:pt idx="0">
                    <c:v>BTV</c:v>
                  </c:pt>
                  <c:pt idx="3">
                    <c:v>PH</c:v>
                  </c:pt>
                  <c:pt idx="6">
                    <c:v>PHSol</c:v>
                  </c:pt>
                  <c:pt idx="9">
                    <c:v>PHWRGSo</c:v>
                  </c:pt>
                  <c:pt idx="12">
                    <c:v>PHWRGSoPV</c:v>
                  </c:pt>
                </c:lvl>
              </c:multiLvlStrCache>
            </c:multiLvlStrRef>
          </c:cat>
          <c:val>
            <c:numRef>
              <c:f>BERECHNUNG!$X$54:$X$68</c:f>
              <c:numCache>
                <c:formatCode>"€"\ #,##0.00</c:formatCode>
                <c:ptCount val="15"/>
                <c:pt idx="0">
                  <c:v>6502.9185646017359</c:v>
                </c:pt>
                <c:pt idx="1">
                  <c:v>0</c:v>
                </c:pt>
                <c:pt idx="3">
                  <c:v>6419.6821189600869</c:v>
                </c:pt>
                <c:pt idx="4">
                  <c:v>0</c:v>
                </c:pt>
                <c:pt idx="6">
                  <c:v>7604.5861194529616</c:v>
                </c:pt>
                <c:pt idx="7">
                  <c:v>0</c:v>
                </c:pt>
                <c:pt idx="9">
                  <c:v>7762.8423595089353</c:v>
                </c:pt>
                <c:pt idx="10">
                  <c:v>0</c:v>
                </c:pt>
                <c:pt idx="12">
                  <c:v>8785.5201638207709</c:v>
                </c:pt>
                <c:pt idx="13">
                  <c:v>0</c:v>
                </c:pt>
              </c:numCache>
            </c:numRef>
          </c:val>
          <c:extLst>
            <c:ext xmlns:c16="http://schemas.microsoft.com/office/drawing/2014/chart" uri="{C3380CC4-5D6E-409C-BE32-E72D297353CC}">
              <c16:uniqueId val="{00000001-C6E2-4DD8-81F1-53F0C64F1CFE}"/>
            </c:ext>
          </c:extLst>
        </c:ser>
        <c:ser>
          <c:idx val="2"/>
          <c:order val="2"/>
          <c:tx>
            <c:strRef>
              <c:f>BERECHNUNG!$Y$53</c:f>
              <c:strCache>
                <c:ptCount val="1"/>
                <c:pt idx="0">
                  <c:v>Instandsetzungskosten</c:v>
                </c:pt>
              </c:strCache>
            </c:strRef>
          </c:tx>
          <c:invertIfNegative val="0"/>
          <c:cat>
            <c:multiLvlStrRef>
              <c:f>BERECHNUNG!$U$54:$V$68</c:f>
              <c:multiLvlStrCache>
                <c:ptCount val="14"/>
                <c:lvl>
                  <c:pt idx="0">
                    <c:v>Annuität</c:v>
                  </c:pt>
                  <c:pt idx="1">
                    <c:v>Teilergebnisse</c:v>
                  </c:pt>
                  <c:pt idx="3">
                    <c:v>Annuität</c:v>
                  </c:pt>
                  <c:pt idx="4">
                    <c:v>Teilergebnisse</c:v>
                  </c:pt>
                  <c:pt idx="6">
                    <c:v>Annuität</c:v>
                  </c:pt>
                  <c:pt idx="7">
                    <c:v>Teilergebnisse</c:v>
                  </c:pt>
                  <c:pt idx="9">
                    <c:v>Annuität</c:v>
                  </c:pt>
                  <c:pt idx="10">
                    <c:v>Teilergebnisse</c:v>
                  </c:pt>
                  <c:pt idx="12">
                    <c:v>Annuität</c:v>
                  </c:pt>
                  <c:pt idx="13">
                    <c:v>Teilergebnisse</c:v>
                  </c:pt>
                </c:lvl>
                <c:lvl>
                  <c:pt idx="0">
                    <c:v>BTV</c:v>
                  </c:pt>
                  <c:pt idx="3">
                    <c:v>PH</c:v>
                  </c:pt>
                  <c:pt idx="6">
                    <c:v>PHSol</c:v>
                  </c:pt>
                  <c:pt idx="9">
                    <c:v>PHWRGSo</c:v>
                  </c:pt>
                  <c:pt idx="12">
                    <c:v>PHWRGSoPV</c:v>
                  </c:pt>
                </c:lvl>
              </c:multiLvlStrCache>
            </c:multiLvlStrRef>
          </c:cat>
          <c:val>
            <c:numRef>
              <c:f>BERECHNUNG!$Y$54:$Y$68</c:f>
              <c:numCache>
                <c:formatCode>"€"\ #,##0.00</c:formatCode>
                <c:ptCount val="15"/>
                <c:pt idx="0">
                  <c:v>0</c:v>
                </c:pt>
                <c:pt idx="1">
                  <c:v>0</c:v>
                </c:pt>
                <c:pt idx="3">
                  <c:v>0</c:v>
                </c:pt>
                <c:pt idx="4">
                  <c:v>0</c:v>
                </c:pt>
                <c:pt idx="6">
                  <c:v>0</c:v>
                </c:pt>
                <c:pt idx="7">
                  <c:v>0</c:v>
                </c:pt>
                <c:pt idx="9">
                  <c:v>0</c:v>
                </c:pt>
                <c:pt idx="10">
                  <c:v>0</c:v>
                </c:pt>
                <c:pt idx="12">
                  <c:v>0</c:v>
                </c:pt>
                <c:pt idx="13">
                  <c:v>0</c:v>
                </c:pt>
              </c:numCache>
            </c:numRef>
          </c:val>
          <c:extLst>
            <c:ext xmlns:c16="http://schemas.microsoft.com/office/drawing/2014/chart" uri="{C3380CC4-5D6E-409C-BE32-E72D297353CC}">
              <c16:uniqueId val="{00000002-C6E2-4DD8-81F1-53F0C64F1CFE}"/>
            </c:ext>
          </c:extLst>
        </c:ser>
        <c:ser>
          <c:idx val="3"/>
          <c:order val="3"/>
          <c:tx>
            <c:strRef>
              <c:f>BERECHNUNG!$Z$53</c:f>
              <c:strCache>
                <c:ptCount val="1"/>
                <c:pt idx="0">
                  <c:v>Betriebsgebundenen Zahlungen</c:v>
                </c:pt>
              </c:strCache>
            </c:strRef>
          </c:tx>
          <c:invertIfNegative val="0"/>
          <c:cat>
            <c:multiLvlStrRef>
              <c:f>BERECHNUNG!$U$54:$V$68</c:f>
              <c:multiLvlStrCache>
                <c:ptCount val="14"/>
                <c:lvl>
                  <c:pt idx="0">
                    <c:v>Annuität</c:v>
                  </c:pt>
                  <c:pt idx="1">
                    <c:v>Teilergebnisse</c:v>
                  </c:pt>
                  <c:pt idx="3">
                    <c:v>Annuität</c:v>
                  </c:pt>
                  <c:pt idx="4">
                    <c:v>Teilergebnisse</c:v>
                  </c:pt>
                  <c:pt idx="6">
                    <c:v>Annuität</c:v>
                  </c:pt>
                  <c:pt idx="7">
                    <c:v>Teilergebnisse</c:v>
                  </c:pt>
                  <c:pt idx="9">
                    <c:v>Annuität</c:v>
                  </c:pt>
                  <c:pt idx="10">
                    <c:v>Teilergebnisse</c:v>
                  </c:pt>
                  <c:pt idx="12">
                    <c:v>Annuität</c:v>
                  </c:pt>
                  <c:pt idx="13">
                    <c:v>Teilergebnisse</c:v>
                  </c:pt>
                </c:lvl>
                <c:lvl>
                  <c:pt idx="0">
                    <c:v>BTV</c:v>
                  </c:pt>
                  <c:pt idx="3">
                    <c:v>PH</c:v>
                  </c:pt>
                  <c:pt idx="6">
                    <c:v>PHSol</c:v>
                  </c:pt>
                  <c:pt idx="9">
                    <c:v>PHWRGSo</c:v>
                  </c:pt>
                  <c:pt idx="12">
                    <c:v>PHWRGSoPV</c:v>
                  </c:pt>
                </c:lvl>
              </c:multiLvlStrCache>
            </c:multiLvlStrRef>
          </c:cat>
          <c:val>
            <c:numRef>
              <c:f>BERECHNUNG!$Z$54:$Z$68</c:f>
              <c:numCache>
                <c:formatCode>"€"\ #,##0.00</c:formatCode>
                <c:ptCount val="15"/>
                <c:pt idx="0">
                  <c:v>8175.1930630927191</c:v>
                </c:pt>
                <c:pt idx="1">
                  <c:v>0</c:v>
                </c:pt>
                <c:pt idx="3">
                  <c:v>8175.1930630927191</c:v>
                </c:pt>
                <c:pt idx="4">
                  <c:v>0</c:v>
                </c:pt>
                <c:pt idx="6">
                  <c:v>8572.2404604954882</c:v>
                </c:pt>
                <c:pt idx="7">
                  <c:v>0</c:v>
                </c:pt>
                <c:pt idx="9">
                  <c:v>9624.6088050678827</c:v>
                </c:pt>
                <c:pt idx="10">
                  <c:v>0</c:v>
                </c:pt>
                <c:pt idx="12">
                  <c:v>10175.849366510565</c:v>
                </c:pt>
                <c:pt idx="13">
                  <c:v>0</c:v>
                </c:pt>
              </c:numCache>
            </c:numRef>
          </c:val>
          <c:extLst>
            <c:ext xmlns:c16="http://schemas.microsoft.com/office/drawing/2014/chart" uri="{C3380CC4-5D6E-409C-BE32-E72D297353CC}">
              <c16:uniqueId val="{00000003-C6E2-4DD8-81F1-53F0C64F1CFE}"/>
            </c:ext>
          </c:extLst>
        </c:ser>
        <c:ser>
          <c:idx val="4"/>
          <c:order val="4"/>
          <c:tx>
            <c:strRef>
              <c:f>BERECHNUNG!$AA$53</c:f>
              <c:strCache>
                <c:ptCount val="1"/>
                <c:pt idx="0">
                  <c:v>Verbrauchsgebundene Zahlungen</c:v>
                </c:pt>
              </c:strCache>
            </c:strRef>
          </c:tx>
          <c:invertIfNegative val="0"/>
          <c:cat>
            <c:multiLvlStrRef>
              <c:f>BERECHNUNG!$U$54:$V$68</c:f>
              <c:multiLvlStrCache>
                <c:ptCount val="14"/>
                <c:lvl>
                  <c:pt idx="0">
                    <c:v>Annuität</c:v>
                  </c:pt>
                  <c:pt idx="1">
                    <c:v>Teilergebnisse</c:v>
                  </c:pt>
                  <c:pt idx="3">
                    <c:v>Annuität</c:v>
                  </c:pt>
                  <c:pt idx="4">
                    <c:v>Teilergebnisse</c:v>
                  </c:pt>
                  <c:pt idx="6">
                    <c:v>Annuität</c:v>
                  </c:pt>
                  <c:pt idx="7">
                    <c:v>Teilergebnisse</c:v>
                  </c:pt>
                  <c:pt idx="9">
                    <c:v>Annuität</c:v>
                  </c:pt>
                  <c:pt idx="10">
                    <c:v>Teilergebnisse</c:v>
                  </c:pt>
                  <c:pt idx="12">
                    <c:v>Annuität</c:v>
                  </c:pt>
                  <c:pt idx="13">
                    <c:v>Teilergebnisse</c:v>
                  </c:pt>
                </c:lvl>
                <c:lvl>
                  <c:pt idx="0">
                    <c:v>BTV</c:v>
                  </c:pt>
                  <c:pt idx="3">
                    <c:v>PH</c:v>
                  </c:pt>
                  <c:pt idx="6">
                    <c:v>PHSol</c:v>
                  </c:pt>
                  <c:pt idx="9">
                    <c:v>PHWRGSo</c:v>
                  </c:pt>
                  <c:pt idx="12">
                    <c:v>PHWRGSoPV</c:v>
                  </c:pt>
                </c:lvl>
              </c:multiLvlStrCache>
            </c:multiLvlStrRef>
          </c:cat>
          <c:val>
            <c:numRef>
              <c:f>BERECHNUNG!$AA$54:$AA$68</c:f>
              <c:numCache>
                <c:formatCode>"€"\ #,##0.00</c:formatCode>
                <c:ptCount val="15"/>
                <c:pt idx="0">
                  <c:v>21777.145180363805</c:v>
                </c:pt>
                <c:pt idx="1">
                  <c:v>0</c:v>
                </c:pt>
                <c:pt idx="3">
                  <c:v>18646.673134183242</c:v>
                </c:pt>
                <c:pt idx="4">
                  <c:v>0</c:v>
                </c:pt>
                <c:pt idx="6">
                  <c:v>13145.208683577233</c:v>
                </c:pt>
                <c:pt idx="7">
                  <c:v>0</c:v>
                </c:pt>
                <c:pt idx="9">
                  <c:v>13221.672557647986</c:v>
                </c:pt>
                <c:pt idx="10">
                  <c:v>0</c:v>
                </c:pt>
                <c:pt idx="12">
                  <c:v>13221.672557647986</c:v>
                </c:pt>
                <c:pt idx="13">
                  <c:v>0</c:v>
                </c:pt>
              </c:numCache>
            </c:numRef>
          </c:val>
          <c:extLst>
            <c:ext xmlns:c16="http://schemas.microsoft.com/office/drawing/2014/chart" uri="{C3380CC4-5D6E-409C-BE32-E72D297353CC}">
              <c16:uniqueId val="{00000004-C6E2-4DD8-81F1-53F0C64F1CFE}"/>
            </c:ext>
          </c:extLst>
        </c:ser>
        <c:ser>
          <c:idx val="5"/>
          <c:order val="5"/>
          <c:tx>
            <c:strRef>
              <c:f>BERECHNUNG!$AB$53</c:f>
              <c:strCache>
                <c:ptCount val="1"/>
                <c:pt idx="0">
                  <c:v>Verkaufserlösschmälerung</c:v>
                </c:pt>
              </c:strCache>
            </c:strRef>
          </c:tx>
          <c:spPr>
            <a:ln>
              <a:noFill/>
            </a:ln>
          </c:spPr>
          <c:invertIfNegative val="0"/>
          <c:cat>
            <c:multiLvlStrRef>
              <c:f>BERECHNUNG!$U$54:$V$68</c:f>
              <c:multiLvlStrCache>
                <c:ptCount val="14"/>
                <c:lvl>
                  <c:pt idx="0">
                    <c:v>Annuität</c:v>
                  </c:pt>
                  <c:pt idx="1">
                    <c:v>Teilergebnisse</c:v>
                  </c:pt>
                  <c:pt idx="3">
                    <c:v>Annuität</c:v>
                  </c:pt>
                  <c:pt idx="4">
                    <c:v>Teilergebnisse</c:v>
                  </c:pt>
                  <c:pt idx="6">
                    <c:v>Annuität</c:v>
                  </c:pt>
                  <c:pt idx="7">
                    <c:v>Teilergebnisse</c:v>
                  </c:pt>
                  <c:pt idx="9">
                    <c:v>Annuität</c:v>
                  </c:pt>
                  <c:pt idx="10">
                    <c:v>Teilergebnisse</c:v>
                  </c:pt>
                  <c:pt idx="12">
                    <c:v>Annuität</c:v>
                  </c:pt>
                  <c:pt idx="13">
                    <c:v>Teilergebnisse</c:v>
                  </c:pt>
                </c:lvl>
                <c:lvl>
                  <c:pt idx="0">
                    <c:v>BTV</c:v>
                  </c:pt>
                  <c:pt idx="3">
                    <c:v>PH</c:v>
                  </c:pt>
                  <c:pt idx="6">
                    <c:v>PHSol</c:v>
                  </c:pt>
                  <c:pt idx="9">
                    <c:v>PHWRGSo</c:v>
                  </c:pt>
                  <c:pt idx="12">
                    <c:v>PHWRGSoPV</c:v>
                  </c:pt>
                </c:lvl>
              </c:multiLvlStrCache>
            </c:multiLvlStrRef>
          </c:cat>
          <c:val>
            <c:numRef>
              <c:f>BERECHNUNG!$AB$54:$AB$68</c:f>
              <c:numCache>
                <c:formatCode>"€"\ #,##0.00</c:formatCode>
                <c:ptCount val="15"/>
                <c:pt idx="0">
                  <c:v>0</c:v>
                </c:pt>
                <c:pt idx="1">
                  <c:v>0</c:v>
                </c:pt>
                <c:pt idx="3">
                  <c:v>0</c:v>
                </c:pt>
                <c:pt idx="4">
                  <c:v>0</c:v>
                </c:pt>
                <c:pt idx="6">
                  <c:v>0</c:v>
                </c:pt>
                <c:pt idx="7">
                  <c:v>0</c:v>
                </c:pt>
                <c:pt idx="9">
                  <c:v>0</c:v>
                </c:pt>
                <c:pt idx="10">
                  <c:v>0</c:v>
                </c:pt>
                <c:pt idx="12">
                  <c:v>0</c:v>
                </c:pt>
                <c:pt idx="13">
                  <c:v>0</c:v>
                </c:pt>
              </c:numCache>
            </c:numRef>
          </c:val>
          <c:extLst>
            <c:ext xmlns:c16="http://schemas.microsoft.com/office/drawing/2014/chart" uri="{C3380CC4-5D6E-409C-BE32-E72D297353CC}">
              <c16:uniqueId val="{00000005-C6E2-4DD8-81F1-53F0C64F1CFE}"/>
            </c:ext>
          </c:extLst>
        </c:ser>
        <c:ser>
          <c:idx val="6"/>
          <c:order val="6"/>
          <c:tx>
            <c:strRef>
              <c:f>BERECHNUNG!$AC$53</c:f>
              <c:strCache>
                <c:ptCount val="1"/>
                <c:pt idx="0">
                  <c:v>CO2-Folgekosten</c:v>
                </c:pt>
              </c:strCache>
            </c:strRef>
          </c:tx>
          <c:invertIfNegative val="0"/>
          <c:cat>
            <c:multiLvlStrRef>
              <c:f>BERECHNUNG!$U$54:$V$68</c:f>
              <c:multiLvlStrCache>
                <c:ptCount val="14"/>
                <c:lvl>
                  <c:pt idx="0">
                    <c:v>Annuität</c:v>
                  </c:pt>
                  <c:pt idx="1">
                    <c:v>Teilergebnisse</c:v>
                  </c:pt>
                  <c:pt idx="3">
                    <c:v>Annuität</c:v>
                  </c:pt>
                  <c:pt idx="4">
                    <c:v>Teilergebnisse</c:v>
                  </c:pt>
                  <c:pt idx="6">
                    <c:v>Annuität</c:v>
                  </c:pt>
                  <c:pt idx="7">
                    <c:v>Teilergebnisse</c:v>
                  </c:pt>
                  <c:pt idx="9">
                    <c:v>Annuität</c:v>
                  </c:pt>
                  <c:pt idx="10">
                    <c:v>Teilergebnisse</c:v>
                  </c:pt>
                  <c:pt idx="12">
                    <c:v>Annuität</c:v>
                  </c:pt>
                  <c:pt idx="13">
                    <c:v>Teilergebnisse</c:v>
                  </c:pt>
                </c:lvl>
                <c:lvl>
                  <c:pt idx="0">
                    <c:v>BTV</c:v>
                  </c:pt>
                  <c:pt idx="3">
                    <c:v>PH</c:v>
                  </c:pt>
                  <c:pt idx="6">
                    <c:v>PHSol</c:v>
                  </c:pt>
                  <c:pt idx="9">
                    <c:v>PHWRGSo</c:v>
                  </c:pt>
                  <c:pt idx="12">
                    <c:v>PHWRGSoPV</c:v>
                  </c:pt>
                </c:lvl>
              </c:multiLvlStrCache>
            </c:multiLvlStrRef>
          </c:cat>
          <c:val>
            <c:numRef>
              <c:f>BERECHNUNG!$AC$54:$AC$68</c:f>
              <c:numCache>
                <c:formatCode>"€"\ #,##0.00</c:formatCode>
                <c:ptCount val="15"/>
                <c:pt idx="0">
                  <c:v>0</c:v>
                </c:pt>
                <c:pt idx="1">
                  <c:v>0</c:v>
                </c:pt>
                <c:pt idx="3">
                  <c:v>0</c:v>
                </c:pt>
                <c:pt idx="4">
                  <c:v>0</c:v>
                </c:pt>
                <c:pt idx="6">
                  <c:v>0</c:v>
                </c:pt>
                <c:pt idx="7">
                  <c:v>0</c:v>
                </c:pt>
                <c:pt idx="9">
                  <c:v>0</c:v>
                </c:pt>
                <c:pt idx="10">
                  <c:v>0</c:v>
                </c:pt>
                <c:pt idx="12">
                  <c:v>0</c:v>
                </c:pt>
                <c:pt idx="13">
                  <c:v>0</c:v>
                </c:pt>
              </c:numCache>
            </c:numRef>
          </c:val>
          <c:extLst>
            <c:ext xmlns:c16="http://schemas.microsoft.com/office/drawing/2014/chart" uri="{C3380CC4-5D6E-409C-BE32-E72D297353CC}">
              <c16:uniqueId val="{00000006-C6E2-4DD8-81F1-53F0C64F1CFE}"/>
            </c:ext>
          </c:extLst>
        </c:ser>
        <c:ser>
          <c:idx val="7"/>
          <c:order val="7"/>
          <c:tx>
            <c:strRef>
              <c:f>BERECHNUNG!$AD$53</c:f>
              <c:strCache>
                <c:ptCount val="1"/>
                <c:pt idx="0">
                  <c:v>Annuität (gesamt)</c:v>
                </c:pt>
              </c:strCache>
            </c:strRef>
          </c:tx>
          <c:invertIfNegative val="0"/>
          <c:cat>
            <c:multiLvlStrRef>
              <c:f>BERECHNUNG!$U$54:$V$68</c:f>
              <c:multiLvlStrCache>
                <c:ptCount val="14"/>
                <c:lvl>
                  <c:pt idx="0">
                    <c:v>Annuität</c:v>
                  </c:pt>
                  <c:pt idx="1">
                    <c:v>Teilergebnisse</c:v>
                  </c:pt>
                  <c:pt idx="3">
                    <c:v>Annuität</c:v>
                  </c:pt>
                  <c:pt idx="4">
                    <c:v>Teilergebnisse</c:v>
                  </c:pt>
                  <c:pt idx="6">
                    <c:v>Annuität</c:v>
                  </c:pt>
                  <c:pt idx="7">
                    <c:v>Teilergebnisse</c:v>
                  </c:pt>
                  <c:pt idx="9">
                    <c:v>Annuität</c:v>
                  </c:pt>
                  <c:pt idx="10">
                    <c:v>Teilergebnisse</c:v>
                  </c:pt>
                  <c:pt idx="12">
                    <c:v>Annuität</c:v>
                  </c:pt>
                  <c:pt idx="13">
                    <c:v>Teilergebnisse</c:v>
                  </c:pt>
                </c:lvl>
                <c:lvl>
                  <c:pt idx="0">
                    <c:v>BTV</c:v>
                  </c:pt>
                  <c:pt idx="3">
                    <c:v>PH</c:v>
                  </c:pt>
                  <c:pt idx="6">
                    <c:v>PHSol</c:v>
                  </c:pt>
                  <c:pt idx="9">
                    <c:v>PHWRGSo</c:v>
                  </c:pt>
                  <c:pt idx="12">
                    <c:v>PHWRGSoPV</c:v>
                  </c:pt>
                </c:lvl>
              </c:multiLvlStrCache>
            </c:multiLvlStrRef>
          </c:cat>
          <c:val>
            <c:numRef>
              <c:f>BERECHNUNG!$AD$54:$AD$68</c:f>
              <c:numCache>
                <c:formatCode>"€"\ #,##0.00</c:formatCode>
                <c:ptCount val="15"/>
                <c:pt idx="0">
                  <c:v>0</c:v>
                </c:pt>
                <c:pt idx="1">
                  <c:v>148714.60026305844</c:v>
                </c:pt>
                <c:pt idx="3">
                  <c:v>0</c:v>
                </c:pt>
                <c:pt idx="4">
                  <c:v>145102.04755473419</c:v>
                </c:pt>
                <c:pt idx="6">
                  <c:v>0</c:v>
                </c:pt>
                <c:pt idx="7">
                  <c:v>141931.21611923297</c:v>
                </c:pt>
                <c:pt idx="9">
                  <c:v>0</c:v>
                </c:pt>
                <c:pt idx="10">
                  <c:v>145589.69600805722</c:v>
                </c:pt>
                <c:pt idx="12">
                  <c:v>0</c:v>
                </c:pt>
                <c:pt idx="13">
                  <c:v>145102.10822922768</c:v>
                </c:pt>
              </c:numCache>
            </c:numRef>
          </c:val>
          <c:extLst>
            <c:ext xmlns:c16="http://schemas.microsoft.com/office/drawing/2014/chart" uri="{C3380CC4-5D6E-409C-BE32-E72D297353CC}">
              <c16:uniqueId val="{00000007-C6E2-4DD8-81F1-53F0C64F1CFE}"/>
            </c:ext>
          </c:extLst>
        </c:ser>
        <c:ser>
          <c:idx val="8"/>
          <c:order val="8"/>
          <c:tx>
            <c:strRef>
              <c:f>BERECHNUNG!$AE$53</c:f>
              <c:strCache>
                <c:ptCount val="1"/>
                <c:pt idx="0">
                  <c:v>Restwert</c:v>
                </c:pt>
              </c:strCache>
            </c:strRef>
          </c:tx>
          <c:invertIfNegative val="0"/>
          <c:cat>
            <c:multiLvlStrRef>
              <c:f>BERECHNUNG!$U$54:$V$68</c:f>
              <c:multiLvlStrCache>
                <c:ptCount val="14"/>
                <c:lvl>
                  <c:pt idx="0">
                    <c:v>Annuität</c:v>
                  </c:pt>
                  <c:pt idx="1">
                    <c:v>Teilergebnisse</c:v>
                  </c:pt>
                  <c:pt idx="3">
                    <c:v>Annuität</c:v>
                  </c:pt>
                  <c:pt idx="4">
                    <c:v>Teilergebnisse</c:v>
                  </c:pt>
                  <c:pt idx="6">
                    <c:v>Annuität</c:v>
                  </c:pt>
                  <c:pt idx="7">
                    <c:v>Teilergebnisse</c:v>
                  </c:pt>
                  <c:pt idx="9">
                    <c:v>Annuität</c:v>
                  </c:pt>
                  <c:pt idx="10">
                    <c:v>Teilergebnisse</c:v>
                  </c:pt>
                  <c:pt idx="12">
                    <c:v>Annuität</c:v>
                  </c:pt>
                  <c:pt idx="13">
                    <c:v>Teilergebnisse</c:v>
                  </c:pt>
                </c:lvl>
                <c:lvl>
                  <c:pt idx="0">
                    <c:v>BTV</c:v>
                  </c:pt>
                  <c:pt idx="3">
                    <c:v>PH</c:v>
                  </c:pt>
                  <c:pt idx="6">
                    <c:v>PHSol</c:v>
                  </c:pt>
                  <c:pt idx="9">
                    <c:v>PHWRGSo</c:v>
                  </c:pt>
                  <c:pt idx="12">
                    <c:v>PHWRGSoPV</c:v>
                  </c:pt>
                </c:lvl>
              </c:multiLvlStrCache>
            </c:multiLvlStrRef>
          </c:cat>
          <c:val>
            <c:numRef>
              <c:f>BERECHNUNG!$AE$54:$AE$68</c:f>
              <c:numCache>
                <c:formatCode>"€"\ #,##0.00</c:formatCode>
                <c:ptCount val="15"/>
                <c:pt idx="0">
                  <c:v>0</c:v>
                </c:pt>
                <c:pt idx="1">
                  <c:v>33727.214960050645</c:v>
                </c:pt>
                <c:pt idx="3">
                  <c:v>0</c:v>
                </c:pt>
                <c:pt idx="4">
                  <c:v>33874.965348733705</c:v>
                </c:pt>
                <c:pt idx="6">
                  <c:v>0</c:v>
                </c:pt>
                <c:pt idx="7">
                  <c:v>34549.002168558414</c:v>
                </c:pt>
                <c:pt idx="9">
                  <c:v>0</c:v>
                </c:pt>
                <c:pt idx="10">
                  <c:v>35178.128115069179</c:v>
                </c:pt>
                <c:pt idx="12">
                  <c:v>0</c:v>
                </c:pt>
                <c:pt idx="13">
                  <c:v>35918.036410610272</c:v>
                </c:pt>
              </c:numCache>
            </c:numRef>
          </c:val>
          <c:extLst>
            <c:ext xmlns:c16="http://schemas.microsoft.com/office/drawing/2014/chart" uri="{C3380CC4-5D6E-409C-BE32-E72D297353CC}">
              <c16:uniqueId val="{00000008-C6E2-4DD8-81F1-53F0C64F1CFE}"/>
            </c:ext>
          </c:extLst>
        </c:ser>
        <c:dLbls>
          <c:showLegendKey val="0"/>
          <c:showVal val="0"/>
          <c:showCatName val="0"/>
          <c:showSerName val="0"/>
          <c:showPercent val="0"/>
          <c:showBubbleSize val="0"/>
        </c:dLbls>
        <c:gapWidth val="0"/>
        <c:overlap val="100"/>
        <c:axId val="640992384"/>
        <c:axId val="640993920"/>
      </c:barChart>
      <c:catAx>
        <c:axId val="640992384"/>
        <c:scaling>
          <c:orientation val="minMax"/>
        </c:scaling>
        <c:delete val="0"/>
        <c:axPos val="b"/>
        <c:numFmt formatCode="General" sourceLinked="0"/>
        <c:majorTickMark val="out"/>
        <c:minorTickMark val="none"/>
        <c:tickLblPos val="high"/>
        <c:txPr>
          <a:bodyPr rot="-5400000" vert="horz"/>
          <a:lstStyle/>
          <a:p>
            <a:pPr>
              <a:defRPr sz="1200"/>
            </a:pPr>
            <a:endParaRPr lang="de-DE"/>
          </a:p>
        </c:txPr>
        <c:crossAx val="640993920"/>
        <c:crosses val="autoZero"/>
        <c:auto val="1"/>
        <c:lblAlgn val="ctr"/>
        <c:lblOffset val="100"/>
        <c:noMultiLvlLbl val="0"/>
      </c:catAx>
      <c:valAx>
        <c:axId val="640993920"/>
        <c:scaling>
          <c:orientation val="minMax"/>
        </c:scaling>
        <c:delete val="0"/>
        <c:axPos val="l"/>
        <c:majorGridlines/>
        <c:title>
          <c:tx>
            <c:rich>
              <a:bodyPr rot="-5400000" vert="horz"/>
              <a:lstStyle/>
              <a:p>
                <a:pPr>
                  <a:defRPr sz="1600"/>
                </a:pPr>
                <a:r>
                  <a:rPr lang="de-AT" sz="1600"/>
                  <a:t>Annuitäten [€/Jahr]</a:t>
                </a:r>
              </a:p>
            </c:rich>
          </c:tx>
          <c:layout>
            <c:manualLayout>
              <c:xMode val="edge"/>
              <c:yMode val="edge"/>
              <c:x val="9.3747927472363924E-3"/>
              <c:y val="0.42153349162644055"/>
            </c:manualLayout>
          </c:layout>
          <c:overlay val="0"/>
        </c:title>
        <c:numFmt formatCode="#,##0" sourceLinked="0"/>
        <c:majorTickMark val="out"/>
        <c:minorTickMark val="none"/>
        <c:tickLblPos val="nextTo"/>
        <c:txPr>
          <a:bodyPr/>
          <a:lstStyle/>
          <a:p>
            <a:pPr>
              <a:defRPr sz="1200"/>
            </a:pPr>
            <a:endParaRPr lang="de-DE"/>
          </a:p>
        </c:txPr>
        <c:crossAx val="640992384"/>
        <c:crosses val="autoZero"/>
        <c:crossBetween val="between"/>
      </c:valAx>
    </c:plotArea>
    <c:legend>
      <c:legendPos val="b"/>
      <c:overlay val="0"/>
      <c:txPr>
        <a:bodyPr/>
        <a:lstStyle/>
        <a:p>
          <a:pPr>
            <a:defRPr sz="1000"/>
          </a:pPr>
          <a:endParaRPr lang="de-DE"/>
        </a:p>
      </c:txPr>
    </c:legend>
    <c:plotVisOnly val="1"/>
    <c:dispBlanksAs val="gap"/>
    <c:showDLblsOverMax val="0"/>
  </c:chart>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Annuitätenzuschuss!$R$56</c:f>
              <c:strCache>
                <c:ptCount val="1"/>
                <c:pt idx="0">
                  <c:v>Annuität</c:v>
                </c:pt>
              </c:strCache>
            </c:strRef>
          </c:tx>
          <c:marker>
            <c:symbol val="none"/>
          </c:marker>
          <c:xVal>
            <c:numRef>
              <c:f>Annuitätenzuschuss!$M$57:$M$107</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Annuitätenzuschuss!$R$57:$R$107</c:f>
              <c:numCache>
                <c:formatCode>#,##0.00</c:formatCode>
                <c:ptCount val="51"/>
                <c:pt idx="0">
                  <c:v>0</c:v>
                </c:pt>
                <c:pt idx="1">
                  <c:v>191994.74294211459</c:v>
                </c:pt>
                <c:pt idx="2">
                  <c:v>191994.74294211459</c:v>
                </c:pt>
                <c:pt idx="3">
                  <c:v>191994.74294211459</c:v>
                </c:pt>
                <c:pt idx="4">
                  <c:v>191994.74294211459</c:v>
                </c:pt>
                <c:pt idx="5">
                  <c:v>191994.74294211459</c:v>
                </c:pt>
                <c:pt idx="6">
                  <c:v>191994.74294211459</c:v>
                </c:pt>
                <c:pt idx="7">
                  <c:v>191994.74294211459</c:v>
                </c:pt>
                <c:pt idx="8">
                  <c:v>191994.74294211459</c:v>
                </c:pt>
                <c:pt idx="9">
                  <c:v>191994.74294211459</c:v>
                </c:pt>
                <c:pt idx="10">
                  <c:v>191994.74294211459</c:v>
                </c:pt>
                <c:pt idx="11">
                  <c:v>191994.74294211459</c:v>
                </c:pt>
                <c:pt idx="12">
                  <c:v>191994.74294211459</c:v>
                </c:pt>
                <c:pt idx="13">
                  <c:v>191994.74294211459</c:v>
                </c:pt>
                <c:pt idx="14">
                  <c:v>191994.74294211459</c:v>
                </c:pt>
                <c:pt idx="15">
                  <c:v>191994.74294211459</c:v>
                </c:pt>
                <c:pt idx="16">
                  <c:v>191994.74294211459</c:v>
                </c:pt>
                <c:pt idx="17">
                  <c:v>191994.74294211459</c:v>
                </c:pt>
                <c:pt idx="18">
                  <c:v>191994.74294211459</c:v>
                </c:pt>
                <c:pt idx="19">
                  <c:v>191994.74294211459</c:v>
                </c:pt>
                <c:pt idx="20">
                  <c:v>191994.74294211459</c:v>
                </c:pt>
                <c:pt idx="21">
                  <c:v>191994.74294211459</c:v>
                </c:pt>
                <c:pt idx="22">
                  <c:v>191994.74294211459</c:v>
                </c:pt>
                <c:pt idx="23">
                  <c:v>191994.74294211459</c:v>
                </c:pt>
                <c:pt idx="24">
                  <c:v>191994.74294211459</c:v>
                </c:pt>
                <c:pt idx="25">
                  <c:v>191994.74294211459</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2EA9-4453-B046-EA6CD4472F9C}"/>
            </c:ext>
          </c:extLst>
        </c:ser>
        <c:ser>
          <c:idx val="1"/>
          <c:order val="1"/>
          <c:tx>
            <c:strRef>
              <c:f>Annuitätenzuschuss!$S$56</c:f>
              <c:strCache>
                <c:ptCount val="1"/>
                <c:pt idx="0">
                  <c:v>Zinsen</c:v>
                </c:pt>
              </c:strCache>
            </c:strRef>
          </c:tx>
          <c:marker>
            <c:symbol val="none"/>
          </c:marker>
          <c:xVal>
            <c:numRef>
              <c:f>Annuitätenzuschuss!$M$57:$M$107</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Annuitätenzuschuss!$S$57:$S$107</c:f>
              <c:numCache>
                <c:formatCode>#,##0.00</c:formatCode>
                <c:ptCount val="51"/>
                <c:pt idx="1">
                  <c:v>100296.98444399999</c:v>
                </c:pt>
                <c:pt idx="2">
                  <c:v>97546.051689056549</c:v>
                </c:pt>
                <c:pt idx="3">
                  <c:v>94712.590951464808</c:v>
                </c:pt>
                <c:pt idx="4">
                  <c:v>91794.126391745318</c:v>
                </c:pt>
                <c:pt idx="5">
                  <c:v>88788.107895234236</c:v>
                </c:pt>
                <c:pt idx="6">
                  <c:v>85691.908843827841</c:v>
                </c:pt>
                <c:pt idx="7">
                  <c:v>82502.823820879232</c:v>
                </c:pt>
                <c:pt idx="8">
                  <c:v>79218.066247242168</c:v>
                </c:pt>
                <c:pt idx="9">
                  <c:v>75834.765946396001</c:v>
                </c:pt>
                <c:pt idx="10">
                  <c:v>72349.966636524448</c:v>
                </c:pt>
                <c:pt idx="11">
                  <c:v>68760.623347356741</c:v>
                </c:pt>
                <c:pt idx="12">
                  <c:v>65063.599759514</c:v>
                </c:pt>
                <c:pt idx="13">
                  <c:v>61255.665464035977</c:v>
                </c:pt>
                <c:pt idx="14">
                  <c:v>57333.493139693623</c:v>
                </c:pt>
                <c:pt idx="15">
                  <c:v>53293.655645620987</c:v>
                </c:pt>
                <c:pt idx="16">
                  <c:v>49132.623026726178</c:v>
                </c:pt>
                <c:pt idx="17">
                  <c:v>44846.75942926453</c:v>
                </c:pt>
                <c:pt idx="18">
                  <c:v>40432.319923879033</c:v>
                </c:pt>
                <c:pt idx="19">
                  <c:v>35885.447233331965</c:v>
                </c:pt>
                <c:pt idx="20">
                  <c:v>31202.168362068489</c:v>
                </c:pt>
                <c:pt idx="21">
                  <c:v>26378.391124667105</c:v>
                </c:pt>
                <c:pt idx="22">
                  <c:v>21409.900570143684</c:v>
                </c:pt>
                <c:pt idx="23">
                  <c:v>16292.355298984556</c:v>
                </c:pt>
                <c:pt idx="24">
                  <c:v>11021.283669690656</c:v>
                </c:pt>
                <c:pt idx="25">
                  <c:v>5592.0798915179384</c:v>
                </c:pt>
                <c:pt idx="26">
                  <c:v>3.8417056202888484E-11</c:v>
                </c:pt>
                <c:pt idx="27">
                  <c:v>3.9569567888975141E-11</c:v>
                </c:pt>
                <c:pt idx="28">
                  <c:v>4.0756654925644397E-11</c:v>
                </c:pt>
                <c:pt idx="29">
                  <c:v>4.1979354573413726E-11</c:v>
                </c:pt>
                <c:pt idx="30">
                  <c:v>4.3238735210616137E-11</c:v>
                </c:pt>
                <c:pt idx="31">
                  <c:v>4.453589726693462E-11</c:v>
                </c:pt>
                <c:pt idx="32">
                  <c:v>4.5871974184942658E-11</c:v>
                </c:pt>
                <c:pt idx="33">
                  <c:v>4.7248133410490938E-11</c:v>
                </c:pt>
                <c:pt idx="34">
                  <c:v>4.8665577412805665E-11</c:v>
                </c:pt>
                <c:pt idx="35">
                  <c:v>5.0125544735189836E-11</c:v>
                </c:pt>
                <c:pt idx="36">
                  <c:v>5.1629311077245535E-11</c:v>
                </c:pt>
                <c:pt idx="37">
                  <c:v>5.3178190409562899E-11</c:v>
                </c:pt>
                <c:pt idx="38">
                  <c:v>5.4773536121849786E-11</c:v>
                </c:pt>
                <c:pt idx="39">
                  <c:v>5.6416742205505279E-11</c:v>
                </c:pt>
                <c:pt idx="40">
                  <c:v>5.8109244471670428E-11</c:v>
                </c:pt>
                <c:pt idx="41">
                  <c:v>5.9852521805820541E-11</c:v>
                </c:pt>
                <c:pt idx="42">
                  <c:v>6.164809745999516E-11</c:v>
                </c:pt>
                <c:pt idx="43">
                  <c:v>6.3497540383795004E-11</c:v>
                </c:pt>
                <c:pt idx="44">
                  <c:v>6.5402466595308862E-11</c:v>
                </c:pt>
                <c:pt idx="45">
                  <c:v>6.7364540593168126E-11</c:v>
                </c:pt>
                <c:pt idx="46">
                  <c:v>6.938547681096316E-11</c:v>
                </c:pt>
                <c:pt idx="47">
                  <c:v>7.146704111529205E-11</c:v>
                </c:pt>
                <c:pt idx="48">
                  <c:v>7.3611052348750815E-11</c:v>
                </c:pt>
                <c:pt idx="49">
                  <c:v>7.581938391921335E-11</c:v>
                </c:pt>
                <c:pt idx="50">
                  <c:v>7.8093965436789743E-11</c:v>
                </c:pt>
              </c:numCache>
            </c:numRef>
          </c:yVal>
          <c:smooth val="0"/>
          <c:extLst>
            <c:ext xmlns:c16="http://schemas.microsoft.com/office/drawing/2014/chart" uri="{C3380CC4-5D6E-409C-BE32-E72D297353CC}">
              <c16:uniqueId val="{00000001-2EA9-4453-B046-EA6CD4472F9C}"/>
            </c:ext>
          </c:extLst>
        </c:ser>
        <c:ser>
          <c:idx val="2"/>
          <c:order val="2"/>
          <c:tx>
            <c:strRef>
              <c:f>Annuitätenzuschuss!$T$56</c:f>
              <c:strCache>
                <c:ptCount val="1"/>
                <c:pt idx="0">
                  <c:v>Tilgung</c:v>
                </c:pt>
              </c:strCache>
            </c:strRef>
          </c:tx>
          <c:marker>
            <c:symbol val="none"/>
          </c:marker>
          <c:xVal>
            <c:numRef>
              <c:f>Annuitätenzuschuss!$M$57:$M$107</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Annuitätenzuschuss!$T$57:$T$107</c:f>
              <c:numCache>
                <c:formatCode>#,##0.00</c:formatCode>
                <c:ptCount val="51"/>
                <c:pt idx="1">
                  <c:v>91697.758498114606</c:v>
                </c:pt>
                <c:pt idx="2">
                  <c:v>94448.691253058045</c:v>
                </c:pt>
                <c:pt idx="3">
                  <c:v>97282.151990649785</c:v>
                </c:pt>
                <c:pt idx="4">
                  <c:v>100200.61655036928</c:v>
                </c:pt>
                <c:pt idx="5">
                  <c:v>103206.63504688036</c:v>
                </c:pt>
                <c:pt idx="6">
                  <c:v>106302.83409828675</c:v>
                </c:pt>
                <c:pt idx="7">
                  <c:v>109491.91912123536</c:v>
                </c:pt>
                <c:pt idx="8">
                  <c:v>112776.67669487243</c:v>
                </c:pt>
                <c:pt idx="9">
                  <c:v>116159.97699571859</c:v>
                </c:pt>
                <c:pt idx="10">
                  <c:v>119644.77630559015</c:v>
                </c:pt>
                <c:pt idx="11">
                  <c:v>123234.11959475785</c:v>
                </c:pt>
                <c:pt idx="12">
                  <c:v>126931.14318260059</c:v>
                </c:pt>
                <c:pt idx="13">
                  <c:v>130739.07747807862</c:v>
                </c:pt>
                <c:pt idx="14">
                  <c:v>134661.24980242096</c:v>
                </c:pt>
                <c:pt idx="15">
                  <c:v>138701.08729649361</c:v>
                </c:pt>
                <c:pt idx="16">
                  <c:v>142862.11991538841</c:v>
                </c:pt>
                <c:pt idx="17">
                  <c:v>147147.98351285007</c:v>
                </c:pt>
                <c:pt idx="18">
                  <c:v>151562.42301823557</c:v>
                </c:pt>
                <c:pt idx="19">
                  <c:v>156109.29570878262</c:v>
                </c:pt>
                <c:pt idx="20">
                  <c:v>160792.57458004612</c:v>
                </c:pt>
                <c:pt idx="21">
                  <c:v>165616.35181744749</c:v>
                </c:pt>
                <c:pt idx="22">
                  <c:v>170584.84237197091</c:v>
                </c:pt>
                <c:pt idx="23">
                  <c:v>175702.38764313003</c:v>
                </c:pt>
                <c:pt idx="24">
                  <c:v>180973.45927242393</c:v>
                </c:pt>
                <c:pt idx="25">
                  <c:v>186402.66305059666</c:v>
                </c:pt>
                <c:pt idx="26">
                  <c:v>-3.8417056202888484E-11</c:v>
                </c:pt>
                <c:pt idx="27">
                  <c:v>-3.9569567888975141E-11</c:v>
                </c:pt>
                <c:pt idx="28">
                  <c:v>-4.0756654925644397E-11</c:v>
                </c:pt>
                <c:pt idx="29">
                  <c:v>-4.1979354573413726E-11</c:v>
                </c:pt>
                <c:pt idx="30">
                  <c:v>-4.3238735210616137E-11</c:v>
                </c:pt>
                <c:pt idx="31">
                  <c:v>-4.453589726693462E-11</c:v>
                </c:pt>
                <c:pt idx="32">
                  <c:v>-4.5871974184942658E-11</c:v>
                </c:pt>
                <c:pt idx="33">
                  <c:v>-4.7248133410490938E-11</c:v>
                </c:pt>
                <c:pt idx="34">
                  <c:v>-4.8665577412805665E-11</c:v>
                </c:pt>
                <c:pt idx="35">
                  <c:v>-5.0125544735189836E-11</c:v>
                </c:pt>
                <c:pt idx="36">
                  <c:v>-5.1629311077245535E-11</c:v>
                </c:pt>
                <c:pt idx="37">
                  <c:v>-5.3178190409562899E-11</c:v>
                </c:pt>
                <c:pt idx="38">
                  <c:v>-5.4773536121849786E-11</c:v>
                </c:pt>
                <c:pt idx="39">
                  <c:v>-5.6416742205505279E-11</c:v>
                </c:pt>
                <c:pt idx="40">
                  <c:v>-5.8109244471670428E-11</c:v>
                </c:pt>
                <c:pt idx="41">
                  <c:v>-5.9852521805820541E-11</c:v>
                </c:pt>
                <c:pt idx="42">
                  <c:v>-6.164809745999516E-11</c:v>
                </c:pt>
                <c:pt idx="43">
                  <c:v>-6.3497540383795004E-11</c:v>
                </c:pt>
                <c:pt idx="44">
                  <c:v>-6.5402466595308862E-11</c:v>
                </c:pt>
                <c:pt idx="45">
                  <c:v>-6.7364540593168126E-11</c:v>
                </c:pt>
                <c:pt idx="46">
                  <c:v>-6.938547681096316E-11</c:v>
                </c:pt>
                <c:pt idx="47">
                  <c:v>-7.146704111529205E-11</c:v>
                </c:pt>
                <c:pt idx="48">
                  <c:v>-7.3611052348750815E-11</c:v>
                </c:pt>
                <c:pt idx="49">
                  <c:v>-7.581938391921335E-11</c:v>
                </c:pt>
                <c:pt idx="50">
                  <c:v>-7.8093965436789743E-11</c:v>
                </c:pt>
              </c:numCache>
            </c:numRef>
          </c:yVal>
          <c:smooth val="0"/>
          <c:extLst>
            <c:ext xmlns:c16="http://schemas.microsoft.com/office/drawing/2014/chart" uri="{C3380CC4-5D6E-409C-BE32-E72D297353CC}">
              <c16:uniqueId val="{00000002-2EA9-4453-B046-EA6CD4472F9C}"/>
            </c:ext>
          </c:extLst>
        </c:ser>
        <c:dLbls>
          <c:showLegendKey val="0"/>
          <c:showVal val="0"/>
          <c:showCatName val="0"/>
          <c:showSerName val="0"/>
          <c:showPercent val="0"/>
          <c:showBubbleSize val="0"/>
        </c:dLbls>
        <c:axId val="659955712"/>
        <c:axId val="659957248"/>
      </c:scatterChart>
      <c:valAx>
        <c:axId val="659955712"/>
        <c:scaling>
          <c:orientation val="minMax"/>
          <c:max val="50"/>
          <c:min val="0"/>
        </c:scaling>
        <c:delete val="0"/>
        <c:axPos val="b"/>
        <c:numFmt formatCode="General" sourceLinked="1"/>
        <c:majorTickMark val="out"/>
        <c:minorTickMark val="none"/>
        <c:tickLblPos val="nextTo"/>
        <c:crossAx val="659957248"/>
        <c:crosses val="autoZero"/>
        <c:crossBetween val="midCat"/>
        <c:majorUnit val="10"/>
        <c:minorUnit val="2"/>
      </c:valAx>
      <c:valAx>
        <c:axId val="659957248"/>
        <c:scaling>
          <c:orientation val="minMax"/>
        </c:scaling>
        <c:delete val="0"/>
        <c:axPos val="l"/>
        <c:majorGridlines/>
        <c:numFmt formatCode="#,##0.00" sourceLinked="1"/>
        <c:majorTickMark val="out"/>
        <c:minorTickMark val="none"/>
        <c:tickLblPos val="nextTo"/>
        <c:crossAx val="65995571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Annuitätenzuschuss!$V$56</c:f>
              <c:strCache>
                <c:ptCount val="1"/>
                <c:pt idx="0">
                  <c:v>Eigenmittel f. Grundkosten</c:v>
                </c:pt>
              </c:strCache>
            </c:strRef>
          </c:tx>
          <c:marker>
            <c:symbol val="none"/>
          </c:marker>
          <c:xVal>
            <c:numRef>
              <c:f>Annuitätenzuschuss!$M$57:$M$107</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Annuitätenzuschuss!$V$57:$V$107</c:f>
              <c:numCache>
                <c:formatCode>#,##0.00</c:formatCode>
                <c:ptCount val="51"/>
                <c:pt idx="0">
                  <c:v>0</c:v>
                </c:pt>
                <c:pt idx="1">
                  <c:v>8640</c:v>
                </c:pt>
                <c:pt idx="2">
                  <c:v>8640</c:v>
                </c:pt>
                <c:pt idx="3">
                  <c:v>8640</c:v>
                </c:pt>
                <c:pt idx="4">
                  <c:v>8640</c:v>
                </c:pt>
                <c:pt idx="5">
                  <c:v>8640</c:v>
                </c:pt>
                <c:pt idx="6">
                  <c:v>8640</c:v>
                </c:pt>
                <c:pt idx="7">
                  <c:v>8640</c:v>
                </c:pt>
                <c:pt idx="8">
                  <c:v>8640</c:v>
                </c:pt>
                <c:pt idx="9">
                  <c:v>8640</c:v>
                </c:pt>
                <c:pt idx="10">
                  <c:v>8640</c:v>
                </c:pt>
                <c:pt idx="11">
                  <c:v>8640</c:v>
                </c:pt>
                <c:pt idx="12">
                  <c:v>8640</c:v>
                </c:pt>
                <c:pt idx="13">
                  <c:v>8640</c:v>
                </c:pt>
                <c:pt idx="14">
                  <c:v>8640</c:v>
                </c:pt>
                <c:pt idx="15">
                  <c:v>8640</c:v>
                </c:pt>
                <c:pt idx="16">
                  <c:v>8640</c:v>
                </c:pt>
                <c:pt idx="17">
                  <c:v>8640</c:v>
                </c:pt>
                <c:pt idx="18">
                  <c:v>8640</c:v>
                </c:pt>
                <c:pt idx="19">
                  <c:v>8640</c:v>
                </c:pt>
                <c:pt idx="20">
                  <c:v>8640</c:v>
                </c:pt>
                <c:pt idx="21">
                  <c:v>8640</c:v>
                </c:pt>
                <c:pt idx="22">
                  <c:v>8640</c:v>
                </c:pt>
                <c:pt idx="23">
                  <c:v>8640</c:v>
                </c:pt>
                <c:pt idx="24">
                  <c:v>8640</c:v>
                </c:pt>
                <c:pt idx="25">
                  <c:v>8640</c:v>
                </c:pt>
                <c:pt idx="26">
                  <c:v>8640</c:v>
                </c:pt>
                <c:pt idx="27">
                  <c:v>8640</c:v>
                </c:pt>
                <c:pt idx="28">
                  <c:v>8640</c:v>
                </c:pt>
                <c:pt idx="29">
                  <c:v>8640</c:v>
                </c:pt>
                <c:pt idx="30">
                  <c:v>8640</c:v>
                </c:pt>
                <c:pt idx="31">
                  <c:v>8640</c:v>
                </c:pt>
                <c:pt idx="32">
                  <c:v>8640</c:v>
                </c:pt>
                <c:pt idx="33">
                  <c:v>8640</c:v>
                </c:pt>
                <c:pt idx="34">
                  <c:v>8640</c:v>
                </c:pt>
                <c:pt idx="35">
                  <c:v>8640</c:v>
                </c:pt>
                <c:pt idx="36">
                  <c:v>8640</c:v>
                </c:pt>
                <c:pt idx="37">
                  <c:v>8640</c:v>
                </c:pt>
                <c:pt idx="38">
                  <c:v>8640</c:v>
                </c:pt>
                <c:pt idx="39">
                  <c:v>8640</c:v>
                </c:pt>
                <c:pt idx="40">
                  <c:v>8640</c:v>
                </c:pt>
                <c:pt idx="41">
                  <c:v>8640</c:v>
                </c:pt>
                <c:pt idx="42">
                  <c:v>8640</c:v>
                </c:pt>
                <c:pt idx="43">
                  <c:v>8640</c:v>
                </c:pt>
                <c:pt idx="44">
                  <c:v>8640</c:v>
                </c:pt>
                <c:pt idx="45">
                  <c:v>8640</c:v>
                </c:pt>
                <c:pt idx="46">
                  <c:v>8640</c:v>
                </c:pt>
                <c:pt idx="47">
                  <c:v>8640</c:v>
                </c:pt>
                <c:pt idx="48">
                  <c:v>8640</c:v>
                </c:pt>
                <c:pt idx="49">
                  <c:v>8640</c:v>
                </c:pt>
                <c:pt idx="50">
                  <c:v>8640</c:v>
                </c:pt>
              </c:numCache>
            </c:numRef>
          </c:yVal>
          <c:smooth val="0"/>
          <c:extLst>
            <c:ext xmlns:c16="http://schemas.microsoft.com/office/drawing/2014/chart" uri="{C3380CC4-5D6E-409C-BE32-E72D297353CC}">
              <c16:uniqueId val="{00000000-1DD4-44CF-A85F-3E4E2DFA5E49}"/>
            </c:ext>
          </c:extLst>
        </c:ser>
        <c:ser>
          <c:idx val="1"/>
          <c:order val="1"/>
          <c:tx>
            <c:strRef>
              <c:f>Annuitätenzuschuss!$W$56</c:f>
              <c:strCache>
                <c:ptCount val="1"/>
                <c:pt idx="0">
                  <c:v>Eigenmittel f. Baukosten</c:v>
                </c:pt>
              </c:strCache>
            </c:strRef>
          </c:tx>
          <c:marker>
            <c:symbol val="none"/>
          </c:marker>
          <c:xVal>
            <c:numRef>
              <c:f>Annuitätenzuschuss!$M$57:$M$107</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Annuitätenzuschuss!$W$57:$W$107</c:f>
              <c:numCache>
                <c:formatCode>#,##0.00</c:formatCode>
                <c:ptCount val="51"/>
                <c:pt idx="0">
                  <c:v>0</c:v>
                </c:pt>
                <c:pt idx="1">
                  <c:v>7154.8027680000014</c:v>
                </c:pt>
                <c:pt idx="2">
                  <c:v>7154.8027680000014</c:v>
                </c:pt>
                <c:pt idx="3">
                  <c:v>7154.8027680000014</c:v>
                </c:pt>
                <c:pt idx="4">
                  <c:v>7154.8027680000014</c:v>
                </c:pt>
                <c:pt idx="5">
                  <c:v>7154.8027680000014</c:v>
                </c:pt>
                <c:pt idx="6">
                  <c:v>7154.8027680000014</c:v>
                </c:pt>
                <c:pt idx="7">
                  <c:v>7154.8027680000014</c:v>
                </c:pt>
                <c:pt idx="8">
                  <c:v>7154.8027680000014</c:v>
                </c:pt>
                <c:pt idx="9">
                  <c:v>7154.8027680000014</c:v>
                </c:pt>
                <c:pt idx="10">
                  <c:v>7154.8027680000014</c:v>
                </c:pt>
                <c:pt idx="11">
                  <c:v>7154.8027680000014</c:v>
                </c:pt>
                <c:pt idx="12">
                  <c:v>7154.8027680000014</c:v>
                </c:pt>
                <c:pt idx="13">
                  <c:v>7154.8027680000014</c:v>
                </c:pt>
                <c:pt idx="14">
                  <c:v>7154.8027680000014</c:v>
                </c:pt>
                <c:pt idx="15">
                  <c:v>7154.8027680000014</c:v>
                </c:pt>
                <c:pt idx="16">
                  <c:v>7154.8027680000014</c:v>
                </c:pt>
                <c:pt idx="17">
                  <c:v>7154.8027680000014</c:v>
                </c:pt>
                <c:pt idx="18">
                  <c:v>7154.8027680000014</c:v>
                </c:pt>
                <c:pt idx="19">
                  <c:v>7154.8027680000014</c:v>
                </c:pt>
                <c:pt idx="20">
                  <c:v>7154.8027680000014</c:v>
                </c:pt>
                <c:pt idx="21">
                  <c:v>7154.8027680000014</c:v>
                </c:pt>
                <c:pt idx="22">
                  <c:v>7154.8027680000014</c:v>
                </c:pt>
                <c:pt idx="23">
                  <c:v>7154.8027680000014</c:v>
                </c:pt>
                <c:pt idx="24">
                  <c:v>7154.8027680000014</c:v>
                </c:pt>
                <c:pt idx="25">
                  <c:v>7154.8027680000014</c:v>
                </c:pt>
                <c:pt idx="26">
                  <c:v>7154.8027680000014</c:v>
                </c:pt>
                <c:pt idx="27">
                  <c:v>7154.8027680000014</c:v>
                </c:pt>
                <c:pt idx="28">
                  <c:v>7154.8027680000014</c:v>
                </c:pt>
                <c:pt idx="29">
                  <c:v>7154.8027680000014</c:v>
                </c:pt>
                <c:pt idx="30">
                  <c:v>7154.8027680000014</c:v>
                </c:pt>
                <c:pt idx="31">
                  <c:v>7154.8027680000014</c:v>
                </c:pt>
                <c:pt idx="32">
                  <c:v>7154.8027680000014</c:v>
                </c:pt>
                <c:pt idx="33">
                  <c:v>7154.8027680000014</c:v>
                </c:pt>
                <c:pt idx="34">
                  <c:v>7154.8027680000014</c:v>
                </c:pt>
                <c:pt idx="35">
                  <c:v>7154.8027680000014</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1DD4-44CF-A85F-3E4E2DFA5E49}"/>
            </c:ext>
          </c:extLst>
        </c:ser>
        <c:dLbls>
          <c:showLegendKey val="0"/>
          <c:showVal val="0"/>
          <c:showCatName val="0"/>
          <c:showSerName val="0"/>
          <c:showPercent val="0"/>
          <c:showBubbleSize val="0"/>
        </c:dLbls>
        <c:axId val="659978112"/>
        <c:axId val="659979648"/>
      </c:scatterChart>
      <c:valAx>
        <c:axId val="659978112"/>
        <c:scaling>
          <c:orientation val="minMax"/>
        </c:scaling>
        <c:delete val="0"/>
        <c:axPos val="b"/>
        <c:numFmt formatCode="General" sourceLinked="1"/>
        <c:majorTickMark val="out"/>
        <c:minorTickMark val="none"/>
        <c:tickLblPos val="nextTo"/>
        <c:crossAx val="659979648"/>
        <c:crosses val="autoZero"/>
        <c:crossBetween val="midCat"/>
      </c:valAx>
      <c:valAx>
        <c:axId val="659979648"/>
        <c:scaling>
          <c:orientation val="minMax"/>
        </c:scaling>
        <c:delete val="0"/>
        <c:axPos val="l"/>
        <c:majorGridlines/>
        <c:numFmt formatCode="#,##0.00" sourceLinked="1"/>
        <c:majorTickMark val="out"/>
        <c:minorTickMark val="none"/>
        <c:tickLblPos val="nextTo"/>
        <c:crossAx val="65997811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Annuitätenzuschuss!$BL$56</c:f>
              <c:strCache>
                <c:ptCount val="1"/>
                <c:pt idx="0">
                  <c:v>WBF Darlehen</c:v>
                </c:pt>
              </c:strCache>
            </c:strRef>
          </c:tx>
          <c:marker>
            <c:symbol val="none"/>
          </c:marker>
          <c:xVal>
            <c:numRef>
              <c:f>Annuitätenzuschuss!$BK$57:$BK$107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Annuitätenzuschuss!$BL$57:$BL$107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B001-43C0-819C-B3C888A90739}"/>
            </c:ext>
          </c:extLst>
        </c:ser>
        <c:ser>
          <c:idx val="1"/>
          <c:order val="1"/>
          <c:tx>
            <c:strRef>
              <c:f>Annuitätenzuschuss!$BM$56</c:f>
              <c:strCache>
                <c:ptCount val="1"/>
                <c:pt idx="0">
                  <c:v>Bankdarlehen</c:v>
                </c:pt>
              </c:strCache>
            </c:strRef>
          </c:tx>
          <c:marker>
            <c:symbol val="none"/>
          </c:marker>
          <c:xVal>
            <c:numRef>
              <c:f>Annuitätenzuschuss!$BK$57:$BK$107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Annuitätenzuschuss!$BM$57:$BM$107</c:f>
              <c:numCache>
                <c:formatCode>#,##0.00</c:formatCode>
                <c:ptCount val="51"/>
                <c:pt idx="0">
                  <c:v>0</c:v>
                </c:pt>
                <c:pt idx="1">
                  <c:v>-191994.74294211459</c:v>
                </c:pt>
                <c:pt idx="2">
                  <c:v>-191994.74294211459</c:v>
                </c:pt>
                <c:pt idx="3">
                  <c:v>-191994.74294211459</c:v>
                </c:pt>
                <c:pt idx="4">
                  <c:v>-191994.74294211459</c:v>
                </c:pt>
                <c:pt idx="5">
                  <c:v>-191994.74294211459</c:v>
                </c:pt>
                <c:pt idx="6">
                  <c:v>-191994.74294211459</c:v>
                </c:pt>
                <c:pt idx="7">
                  <c:v>-191994.74294211459</c:v>
                </c:pt>
                <c:pt idx="8">
                  <c:v>-191994.74294211459</c:v>
                </c:pt>
                <c:pt idx="9">
                  <c:v>-191994.74294211459</c:v>
                </c:pt>
                <c:pt idx="10">
                  <c:v>-191994.74294211459</c:v>
                </c:pt>
                <c:pt idx="11">
                  <c:v>-191994.74294211459</c:v>
                </c:pt>
                <c:pt idx="12">
                  <c:v>-191994.74294211459</c:v>
                </c:pt>
                <c:pt idx="13">
                  <c:v>-191994.74294211459</c:v>
                </c:pt>
                <c:pt idx="14">
                  <c:v>-191994.74294211459</c:v>
                </c:pt>
                <c:pt idx="15">
                  <c:v>-191994.74294211459</c:v>
                </c:pt>
                <c:pt idx="16">
                  <c:v>-191994.74294211459</c:v>
                </c:pt>
                <c:pt idx="17">
                  <c:v>-191994.74294211459</c:v>
                </c:pt>
                <c:pt idx="18">
                  <c:v>-191994.74294211459</c:v>
                </c:pt>
                <c:pt idx="19">
                  <c:v>-191994.74294211459</c:v>
                </c:pt>
                <c:pt idx="20">
                  <c:v>-191994.74294211459</c:v>
                </c:pt>
                <c:pt idx="21">
                  <c:v>-191994.74294211459</c:v>
                </c:pt>
                <c:pt idx="22">
                  <c:v>-191994.74294211459</c:v>
                </c:pt>
                <c:pt idx="23">
                  <c:v>-191994.74294211459</c:v>
                </c:pt>
                <c:pt idx="24">
                  <c:v>-191994.74294211459</c:v>
                </c:pt>
                <c:pt idx="25">
                  <c:v>-191994.74294211459</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B001-43C0-819C-B3C888A90739}"/>
            </c:ext>
          </c:extLst>
        </c:ser>
        <c:ser>
          <c:idx val="2"/>
          <c:order val="2"/>
          <c:tx>
            <c:strRef>
              <c:f>Annuitätenzuschuss!$BN$56</c:f>
              <c:strCache>
                <c:ptCount val="1"/>
                <c:pt idx="0">
                  <c:v>Eigenkapital</c:v>
                </c:pt>
              </c:strCache>
            </c:strRef>
          </c:tx>
          <c:marker>
            <c:symbol val="none"/>
          </c:marker>
          <c:xVal>
            <c:numRef>
              <c:f>Annuitätenzuschuss!$BK$57:$BK$107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Annuitätenzuschuss!$BN$57:$BN$107</c:f>
              <c:numCache>
                <c:formatCode>#,##0.00</c:formatCode>
                <c:ptCount val="51"/>
                <c:pt idx="0">
                  <c:v>0</c:v>
                </c:pt>
                <c:pt idx="1">
                  <c:v>-15794.802768000001</c:v>
                </c:pt>
                <c:pt idx="2">
                  <c:v>-15794.802768000001</c:v>
                </c:pt>
                <c:pt idx="3">
                  <c:v>-15794.802768000001</c:v>
                </c:pt>
                <c:pt idx="4">
                  <c:v>-15794.802768000001</c:v>
                </c:pt>
                <c:pt idx="5">
                  <c:v>-15794.802768000001</c:v>
                </c:pt>
                <c:pt idx="6">
                  <c:v>-15794.802768000001</c:v>
                </c:pt>
                <c:pt idx="7">
                  <c:v>-15794.802768000001</c:v>
                </c:pt>
                <c:pt idx="8">
                  <c:v>-15794.802768000001</c:v>
                </c:pt>
                <c:pt idx="9">
                  <c:v>-15794.802768000001</c:v>
                </c:pt>
                <c:pt idx="10">
                  <c:v>-15794.802768000001</c:v>
                </c:pt>
                <c:pt idx="11">
                  <c:v>-15794.802768000001</c:v>
                </c:pt>
                <c:pt idx="12">
                  <c:v>-15794.802768000001</c:v>
                </c:pt>
                <c:pt idx="13">
                  <c:v>-15794.802768000001</c:v>
                </c:pt>
                <c:pt idx="14">
                  <c:v>-15794.802768000001</c:v>
                </c:pt>
                <c:pt idx="15">
                  <c:v>-15794.802768000001</c:v>
                </c:pt>
                <c:pt idx="16">
                  <c:v>-15794.802768000001</c:v>
                </c:pt>
                <c:pt idx="17">
                  <c:v>-15794.802768000001</c:v>
                </c:pt>
                <c:pt idx="18">
                  <c:v>-15794.802768000001</c:v>
                </c:pt>
                <c:pt idx="19">
                  <c:v>-15794.802768000001</c:v>
                </c:pt>
                <c:pt idx="20">
                  <c:v>-15794.802768000001</c:v>
                </c:pt>
                <c:pt idx="21">
                  <c:v>-15794.802768000001</c:v>
                </c:pt>
                <c:pt idx="22">
                  <c:v>-15794.802768000001</c:v>
                </c:pt>
                <c:pt idx="23">
                  <c:v>-15794.802768000001</c:v>
                </c:pt>
                <c:pt idx="24">
                  <c:v>-15794.802768000001</c:v>
                </c:pt>
                <c:pt idx="25">
                  <c:v>-15794.802768000001</c:v>
                </c:pt>
                <c:pt idx="26">
                  <c:v>-15794.802768000001</c:v>
                </c:pt>
                <c:pt idx="27">
                  <c:v>-15794.802768000001</c:v>
                </c:pt>
                <c:pt idx="28">
                  <c:v>-15794.802768000001</c:v>
                </c:pt>
                <c:pt idx="29">
                  <c:v>-15794.802768000001</c:v>
                </c:pt>
                <c:pt idx="30">
                  <c:v>-15794.802768000001</c:v>
                </c:pt>
                <c:pt idx="31">
                  <c:v>-15794.802768000001</c:v>
                </c:pt>
                <c:pt idx="32">
                  <c:v>-15794.802768000001</c:v>
                </c:pt>
                <c:pt idx="33">
                  <c:v>-15794.802768000001</c:v>
                </c:pt>
                <c:pt idx="34">
                  <c:v>-15794.802768000001</c:v>
                </c:pt>
                <c:pt idx="35">
                  <c:v>-15794.802768000001</c:v>
                </c:pt>
                <c:pt idx="36">
                  <c:v>-8640</c:v>
                </c:pt>
                <c:pt idx="37">
                  <c:v>-8640</c:v>
                </c:pt>
                <c:pt idx="38">
                  <c:v>-8640</c:v>
                </c:pt>
                <c:pt idx="39">
                  <c:v>-8640</c:v>
                </c:pt>
                <c:pt idx="40">
                  <c:v>-8640</c:v>
                </c:pt>
                <c:pt idx="41">
                  <c:v>-8640</c:v>
                </c:pt>
                <c:pt idx="42">
                  <c:v>-8640</c:v>
                </c:pt>
                <c:pt idx="43">
                  <c:v>-8640</c:v>
                </c:pt>
                <c:pt idx="44">
                  <c:v>-8640</c:v>
                </c:pt>
                <c:pt idx="45">
                  <c:v>-8640</c:v>
                </c:pt>
                <c:pt idx="46">
                  <c:v>-8640</c:v>
                </c:pt>
                <c:pt idx="47">
                  <c:v>-8640</c:v>
                </c:pt>
                <c:pt idx="48">
                  <c:v>-8640</c:v>
                </c:pt>
                <c:pt idx="49">
                  <c:v>-8640</c:v>
                </c:pt>
                <c:pt idx="50">
                  <c:v>-8640</c:v>
                </c:pt>
              </c:numCache>
            </c:numRef>
          </c:yVal>
          <c:smooth val="0"/>
          <c:extLst>
            <c:ext xmlns:c16="http://schemas.microsoft.com/office/drawing/2014/chart" uri="{C3380CC4-5D6E-409C-BE32-E72D297353CC}">
              <c16:uniqueId val="{00000002-B001-43C0-819C-B3C888A90739}"/>
            </c:ext>
          </c:extLst>
        </c:ser>
        <c:ser>
          <c:idx val="3"/>
          <c:order val="3"/>
          <c:tx>
            <c:strRef>
              <c:f>Annuitätenzuschuss!$BO$56</c:f>
              <c:strCache>
                <c:ptCount val="1"/>
                <c:pt idx="0">
                  <c:v>Annuitätenzuschuss</c:v>
                </c:pt>
              </c:strCache>
            </c:strRef>
          </c:tx>
          <c:marker>
            <c:symbol val="none"/>
          </c:marker>
          <c:xVal>
            <c:numRef>
              <c:f>Annuitätenzuschuss!$BK$57:$BK$107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Annuitätenzuschuss!$BO$57:$BO$107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B001-43C0-819C-B3C888A90739}"/>
            </c:ext>
          </c:extLst>
        </c:ser>
        <c:ser>
          <c:idx val="4"/>
          <c:order val="4"/>
          <c:tx>
            <c:strRef>
              <c:f>Annuitätenzuschuss!$BP$56</c:f>
              <c:strCache>
                <c:ptCount val="1"/>
                <c:pt idx="0">
                  <c:v>Entgeltstundung</c:v>
                </c:pt>
              </c:strCache>
            </c:strRef>
          </c:tx>
          <c:marker>
            <c:symbol val="none"/>
          </c:marker>
          <c:xVal>
            <c:numRef>
              <c:f>Annuitätenzuschuss!$BK$57:$BK$107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Annuitätenzuschuss!$BP$57:$BP$107</c:f>
              <c:numCache>
                <c:formatCode>#,##0.00</c:formatCode>
                <c:ptCount val="51"/>
                <c:pt idx="0">
                  <c:v>0</c:v>
                </c:pt>
                <c:pt idx="1">
                  <c:v>130254.64171011459</c:v>
                </c:pt>
                <c:pt idx="2">
                  <c:v>130254.64171011459</c:v>
                </c:pt>
                <c:pt idx="3">
                  <c:v>130254.64171011459</c:v>
                </c:pt>
                <c:pt idx="4">
                  <c:v>130254.64171011459</c:v>
                </c:pt>
                <c:pt idx="5">
                  <c:v>130254.64171011459</c:v>
                </c:pt>
                <c:pt idx="6">
                  <c:v>130254.64171011459</c:v>
                </c:pt>
                <c:pt idx="7">
                  <c:v>130254.64171011459</c:v>
                </c:pt>
                <c:pt idx="8">
                  <c:v>130254.64171011459</c:v>
                </c:pt>
                <c:pt idx="9">
                  <c:v>130254.64171011459</c:v>
                </c:pt>
                <c:pt idx="10">
                  <c:v>130254.64171011459</c:v>
                </c:pt>
                <c:pt idx="11">
                  <c:v>130254.64171011459</c:v>
                </c:pt>
                <c:pt idx="12">
                  <c:v>130254.64171011459</c:v>
                </c:pt>
                <c:pt idx="13">
                  <c:v>130254.64171011459</c:v>
                </c:pt>
                <c:pt idx="14">
                  <c:v>130254.64171011459</c:v>
                </c:pt>
                <c:pt idx="15">
                  <c:v>130254.64171011459</c:v>
                </c:pt>
                <c:pt idx="16">
                  <c:v>130254.64171011459</c:v>
                </c:pt>
                <c:pt idx="17">
                  <c:v>130254.64171011459</c:v>
                </c:pt>
                <c:pt idx="18">
                  <c:v>130254.64171011459</c:v>
                </c:pt>
                <c:pt idx="19">
                  <c:v>130254.64171011459</c:v>
                </c:pt>
                <c:pt idx="20">
                  <c:v>130254.64171011459</c:v>
                </c:pt>
                <c:pt idx="21">
                  <c:v>130254.64171011459</c:v>
                </c:pt>
                <c:pt idx="22">
                  <c:v>130254.64171011459</c:v>
                </c:pt>
                <c:pt idx="23">
                  <c:v>130254.64171011459</c:v>
                </c:pt>
                <c:pt idx="24">
                  <c:v>130254.64171011459</c:v>
                </c:pt>
                <c:pt idx="25">
                  <c:v>130254.64171011459</c:v>
                </c:pt>
                <c:pt idx="26">
                  <c:v>-61740.101231999994</c:v>
                </c:pt>
                <c:pt idx="27">
                  <c:v>-61740.101231999994</c:v>
                </c:pt>
                <c:pt idx="28">
                  <c:v>-61740.101231999994</c:v>
                </c:pt>
                <c:pt idx="29">
                  <c:v>-61740.101231999994</c:v>
                </c:pt>
                <c:pt idx="30">
                  <c:v>-61740.101231999994</c:v>
                </c:pt>
                <c:pt idx="31">
                  <c:v>-61740.101231999994</c:v>
                </c:pt>
                <c:pt idx="32">
                  <c:v>-61740.101231999994</c:v>
                </c:pt>
                <c:pt idx="33">
                  <c:v>-61740.101231999994</c:v>
                </c:pt>
                <c:pt idx="34">
                  <c:v>-61740.101231999994</c:v>
                </c:pt>
                <c:pt idx="35">
                  <c:v>-4471464.0041862056</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B001-43C0-819C-B3C888A90739}"/>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B001-43C0-819C-B3C888A90739}"/>
            </c:ext>
          </c:extLst>
        </c:ser>
        <c:ser>
          <c:idx val="6"/>
          <c:order val="6"/>
          <c:tx>
            <c:strRef>
              <c:f>Annuitätenzuschuss!$BR$56</c:f>
              <c:strCache>
                <c:ptCount val="1"/>
                <c:pt idx="0">
                  <c:v>Zeitwert gesamt</c:v>
                </c:pt>
              </c:strCache>
            </c:strRef>
          </c:tx>
          <c:marker>
            <c:symbol val="none"/>
          </c:marker>
          <c:xVal>
            <c:numRef>
              <c:f>Annuitätenzuschuss!$BK$57:$BK$107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Annuitätenzuschuss!$BR$57:$BR$107</c:f>
              <c:numCache>
                <c:formatCode>#,##0.00</c:formatCode>
                <c:ptCount val="51"/>
                <c:pt idx="0">
                  <c:v>0</c:v>
                </c:pt>
                <c:pt idx="1">
                  <c:v>-77534.903999999995</c:v>
                </c:pt>
                <c:pt idx="2">
                  <c:v>-77534.903999999995</c:v>
                </c:pt>
                <c:pt idx="3">
                  <c:v>-77534.903999999995</c:v>
                </c:pt>
                <c:pt idx="4">
                  <c:v>-77534.903999999995</c:v>
                </c:pt>
                <c:pt idx="5">
                  <c:v>-77534.903999999995</c:v>
                </c:pt>
                <c:pt idx="6">
                  <c:v>-77534.903999999995</c:v>
                </c:pt>
                <c:pt idx="7">
                  <c:v>-77534.903999999995</c:v>
                </c:pt>
                <c:pt idx="8">
                  <c:v>-77534.903999999995</c:v>
                </c:pt>
                <c:pt idx="9">
                  <c:v>-77534.903999999995</c:v>
                </c:pt>
                <c:pt idx="10">
                  <c:v>-77534.903999999995</c:v>
                </c:pt>
                <c:pt idx="11">
                  <c:v>-77534.903999999995</c:v>
                </c:pt>
                <c:pt idx="12">
                  <c:v>-77534.903999999995</c:v>
                </c:pt>
                <c:pt idx="13">
                  <c:v>-77534.903999999995</c:v>
                </c:pt>
                <c:pt idx="14">
                  <c:v>-77534.903999999995</c:v>
                </c:pt>
                <c:pt idx="15">
                  <c:v>-77534.903999999995</c:v>
                </c:pt>
                <c:pt idx="16">
                  <c:v>-77534.903999999995</c:v>
                </c:pt>
                <c:pt idx="17">
                  <c:v>-77534.903999999995</c:v>
                </c:pt>
                <c:pt idx="18">
                  <c:v>-77534.903999999995</c:v>
                </c:pt>
                <c:pt idx="19">
                  <c:v>-77534.903999999995</c:v>
                </c:pt>
                <c:pt idx="20">
                  <c:v>-77534.903999999995</c:v>
                </c:pt>
                <c:pt idx="21">
                  <c:v>-77534.903999999995</c:v>
                </c:pt>
                <c:pt idx="22">
                  <c:v>-77534.903999999995</c:v>
                </c:pt>
                <c:pt idx="23">
                  <c:v>-77534.903999999995</c:v>
                </c:pt>
                <c:pt idx="24">
                  <c:v>-77534.903999999995</c:v>
                </c:pt>
                <c:pt idx="25">
                  <c:v>-77534.903999999995</c:v>
                </c:pt>
                <c:pt idx="26">
                  <c:v>-77534.903999999995</c:v>
                </c:pt>
                <c:pt idx="27">
                  <c:v>-77534.903999999995</c:v>
                </c:pt>
                <c:pt idx="28">
                  <c:v>-77534.903999999995</c:v>
                </c:pt>
                <c:pt idx="29">
                  <c:v>-77534.903999999995</c:v>
                </c:pt>
                <c:pt idx="30">
                  <c:v>-77534.903999999995</c:v>
                </c:pt>
                <c:pt idx="31">
                  <c:v>-77534.903999999995</c:v>
                </c:pt>
                <c:pt idx="32">
                  <c:v>-77534.903999999995</c:v>
                </c:pt>
                <c:pt idx="33">
                  <c:v>-77534.903999999995</c:v>
                </c:pt>
                <c:pt idx="34">
                  <c:v>-77534.903999999995</c:v>
                </c:pt>
                <c:pt idx="35">
                  <c:v>-4487258.806954206</c:v>
                </c:pt>
                <c:pt idx="36">
                  <c:v>-8640</c:v>
                </c:pt>
                <c:pt idx="37">
                  <c:v>-8640</c:v>
                </c:pt>
                <c:pt idx="38">
                  <c:v>-8640</c:v>
                </c:pt>
                <c:pt idx="39">
                  <c:v>-8640</c:v>
                </c:pt>
                <c:pt idx="40">
                  <c:v>-8640</c:v>
                </c:pt>
                <c:pt idx="41">
                  <c:v>-8640</c:v>
                </c:pt>
                <c:pt idx="42">
                  <c:v>-8640</c:v>
                </c:pt>
                <c:pt idx="43">
                  <c:v>-8640</c:v>
                </c:pt>
                <c:pt idx="44">
                  <c:v>-8640</c:v>
                </c:pt>
                <c:pt idx="45">
                  <c:v>-8640</c:v>
                </c:pt>
                <c:pt idx="46">
                  <c:v>-8640</c:v>
                </c:pt>
                <c:pt idx="47">
                  <c:v>-8640</c:v>
                </c:pt>
                <c:pt idx="48">
                  <c:v>-8640</c:v>
                </c:pt>
                <c:pt idx="49">
                  <c:v>-8640</c:v>
                </c:pt>
                <c:pt idx="50">
                  <c:v>-8640</c:v>
                </c:pt>
              </c:numCache>
            </c:numRef>
          </c:yVal>
          <c:smooth val="0"/>
          <c:extLst>
            <c:ext xmlns:c16="http://schemas.microsoft.com/office/drawing/2014/chart" uri="{C3380CC4-5D6E-409C-BE32-E72D297353CC}">
              <c16:uniqueId val="{00000006-B001-43C0-819C-B3C888A90739}"/>
            </c:ext>
          </c:extLst>
        </c:ser>
        <c:dLbls>
          <c:showLegendKey val="0"/>
          <c:showVal val="0"/>
          <c:showCatName val="0"/>
          <c:showSerName val="0"/>
          <c:showPercent val="0"/>
          <c:showBubbleSize val="0"/>
        </c:dLbls>
        <c:axId val="662364160"/>
        <c:axId val="662365696"/>
      </c:scatterChart>
      <c:valAx>
        <c:axId val="662364160"/>
        <c:scaling>
          <c:orientation val="minMax"/>
        </c:scaling>
        <c:delete val="0"/>
        <c:axPos val="b"/>
        <c:numFmt formatCode="General" sourceLinked="1"/>
        <c:majorTickMark val="out"/>
        <c:minorTickMark val="none"/>
        <c:tickLblPos val="nextTo"/>
        <c:crossAx val="662365696"/>
        <c:crosses val="autoZero"/>
        <c:crossBetween val="midCat"/>
      </c:valAx>
      <c:valAx>
        <c:axId val="662365696"/>
        <c:scaling>
          <c:orientation val="minMax"/>
        </c:scaling>
        <c:delete val="0"/>
        <c:axPos val="l"/>
        <c:majorGridlines/>
        <c:numFmt formatCode="#,##0.00" sourceLinked="1"/>
        <c:majorTickMark val="out"/>
        <c:minorTickMark val="none"/>
        <c:tickLblPos val="nextTo"/>
        <c:crossAx val="66236416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strRef>
              <c:f>Annuitätenzuschuss!$AT$190</c:f>
              <c:strCache>
                <c:ptCount val="1"/>
                <c:pt idx="0">
                  <c:v>WBF Darlehen</c:v>
                </c:pt>
              </c:strCache>
            </c:strRef>
          </c:tx>
          <c:xVal>
            <c:numRef>
              <c:f>Annuitätenzuschuss!$AS$191:$AS$241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Annuitätenzuschuss!$AT$191:$AT$241</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c:ext xmlns:c16="http://schemas.microsoft.com/office/drawing/2014/chart" uri="{C3380CC4-5D6E-409C-BE32-E72D297353CC}">
              <c16:uniqueId val="{00000000-DD8F-4EE2-A4FC-236DFE54ADC9}"/>
            </c:ext>
          </c:extLst>
        </c:ser>
        <c:dLbls>
          <c:showLegendKey val="0"/>
          <c:showVal val="0"/>
          <c:showCatName val="0"/>
          <c:showSerName val="0"/>
          <c:showPercent val="0"/>
          <c:showBubbleSize val="0"/>
        </c:dLbls>
        <c:axId val="662471808"/>
        <c:axId val="662473344"/>
      </c:scatterChart>
      <c:valAx>
        <c:axId val="662471808"/>
        <c:scaling>
          <c:orientation val="minMax"/>
        </c:scaling>
        <c:delete val="0"/>
        <c:axPos val="b"/>
        <c:numFmt formatCode="General" sourceLinked="1"/>
        <c:majorTickMark val="out"/>
        <c:minorTickMark val="none"/>
        <c:tickLblPos val="nextTo"/>
        <c:crossAx val="662473344"/>
        <c:crosses val="autoZero"/>
        <c:crossBetween val="midCat"/>
      </c:valAx>
      <c:valAx>
        <c:axId val="662473344"/>
        <c:scaling>
          <c:orientation val="minMax"/>
        </c:scaling>
        <c:delete val="0"/>
        <c:axPos val="l"/>
        <c:majorGridlines/>
        <c:numFmt formatCode="#,##0.00" sourceLinked="1"/>
        <c:majorTickMark val="out"/>
        <c:minorTickMark val="none"/>
        <c:tickLblPos val="nextTo"/>
        <c:crossAx val="66247180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262016733998"/>
          <c:y val="3.2027425858017308E-2"/>
          <c:w val="0.75082670437157584"/>
          <c:h val="0.95583484659482887"/>
        </c:manualLayout>
      </c:layout>
      <c:scatterChart>
        <c:scatterStyle val="lineMarker"/>
        <c:varyColors val="0"/>
        <c:ser>
          <c:idx val="0"/>
          <c:order val="0"/>
          <c:tx>
            <c:strRef>
              <c:f>Annuitätenzuschuss!$AT$190</c:f>
              <c:strCache>
                <c:ptCount val="1"/>
                <c:pt idx="0">
                  <c:v>WBF Darlehen</c:v>
                </c:pt>
              </c:strCache>
            </c:strRef>
          </c:tx>
          <c:marker>
            <c:symbol val="none"/>
          </c:marker>
          <c:xVal>
            <c:numRef>
              <c:f>Annuitätenzuschuss!$AS$191:$AS$241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Annuitätenzuschuss!$AT$191:$AT$241</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A486-460F-977C-AAD751771D42}"/>
            </c:ext>
          </c:extLst>
        </c:ser>
        <c:ser>
          <c:idx val="1"/>
          <c:order val="1"/>
          <c:tx>
            <c:strRef>
              <c:f>Annuitätenzuschuss!$AU$190</c:f>
              <c:strCache>
                <c:ptCount val="1"/>
                <c:pt idx="0">
                  <c:v>Bankdarlehen</c:v>
                </c:pt>
              </c:strCache>
            </c:strRef>
          </c:tx>
          <c:marker>
            <c:symbol val="none"/>
          </c:marker>
          <c:xVal>
            <c:numRef>
              <c:f>Annuitätenzuschuss!$AS$191:$AS$241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Annuitätenzuschuss!$AU$191:$AU$241</c:f>
              <c:numCache>
                <c:formatCode>#,##0.00</c:formatCode>
                <c:ptCount val="51"/>
                <c:pt idx="0">
                  <c:v>0</c:v>
                </c:pt>
                <c:pt idx="1">
                  <c:v>-187193.36692246865</c:v>
                </c:pt>
                <c:pt idx="2">
                  <c:v>-181741.13293443556</c:v>
                </c:pt>
                <c:pt idx="3">
                  <c:v>-176447.70187809278</c:v>
                </c:pt>
                <c:pt idx="4">
                  <c:v>-171308.44842533281</c:v>
                </c:pt>
                <c:pt idx="5">
                  <c:v>-166318.88196634254</c:v>
                </c:pt>
                <c:pt idx="6">
                  <c:v>-161474.64268576945</c:v>
                </c:pt>
                <c:pt idx="7">
                  <c:v>-156771.49775317422</c:v>
                </c:pt>
                <c:pt idx="8">
                  <c:v>-152205.33762444099</c:v>
                </c:pt>
                <c:pt idx="9">
                  <c:v>-147772.17245091358</c:v>
                </c:pt>
                <c:pt idx="10">
                  <c:v>-143468.12859312</c:v>
                </c:pt>
                <c:pt idx="11">
                  <c:v>-139289.44523603882</c:v>
                </c:pt>
                <c:pt idx="12">
                  <c:v>-135232.47110295034</c:v>
                </c:pt>
                <c:pt idx="13">
                  <c:v>-131293.66126500032</c:v>
                </c:pt>
                <c:pt idx="14">
                  <c:v>-127469.57404368962</c:v>
                </c:pt>
                <c:pt idx="15">
                  <c:v>-123756.86800358215</c:v>
                </c:pt>
                <c:pt idx="16">
                  <c:v>-120152.29903260405</c:v>
                </c:pt>
                <c:pt idx="17">
                  <c:v>-116652.71750738258</c:v>
                </c:pt>
                <c:pt idx="18">
                  <c:v>-113255.06554114813</c:v>
                </c:pt>
                <c:pt idx="19">
                  <c:v>-109956.37431179429</c:v>
                </c:pt>
                <c:pt idx="20">
                  <c:v>-106753.76146776146</c:v>
                </c:pt>
                <c:pt idx="21">
                  <c:v>-103644.42860947715</c:v>
                </c:pt>
                <c:pt idx="22">
                  <c:v>-100625.65884415258</c:v>
                </c:pt>
                <c:pt idx="23">
                  <c:v>-97694.814411798608</c:v>
                </c:pt>
                <c:pt idx="24">
                  <c:v>-94849.334380387008</c:v>
                </c:pt>
                <c:pt idx="25">
                  <c:v>-92086.732408142736</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A486-460F-977C-AAD751771D42}"/>
            </c:ext>
          </c:extLst>
        </c:ser>
        <c:ser>
          <c:idx val="2"/>
          <c:order val="2"/>
          <c:tx>
            <c:strRef>
              <c:f>Annuitätenzuschuss!$AV$190</c:f>
              <c:strCache>
                <c:ptCount val="1"/>
                <c:pt idx="0">
                  <c:v>Eigenkapital</c:v>
                </c:pt>
              </c:strCache>
            </c:strRef>
          </c:tx>
          <c:marker>
            <c:symbol val="none"/>
          </c:marker>
          <c:xVal>
            <c:numRef>
              <c:f>Annuitätenzuschuss!$AS$191:$AS$241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Annuitätenzuschuss!$AV$191:$AV$241</c:f>
              <c:numCache>
                <c:formatCode>#,##0.00</c:formatCode>
                <c:ptCount val="51"/>
                <c:pt idx="0">
                  <c:v>0</c:v>
                </c:pt>
                <c:pt idx="1">
                  <c:v>-15363.746586407769</c:v>
                </c:pt>
                <c:pt idx="2">
                  <c:v>-14916.258821755115</c:v>
                </c:pt>
                <c:pt idx="3">
                  <c:v>-14481.804681315647</c:v>
                </c:pt>
                <c:pt idx="4">
                  <c:v>-14060.004544966649</c:v>
                </c:pt>
                <c:pt idx="5">
                  <c:v>-13650.489849482183</c:v>
                </c:pt>
                <c:pt idx="6">
                  <c:v>-13252.902766487556</c:v>
                </c:pt>
                <c:pt idx="7">
                  <c:v>-12866.895889793743</c:v>
                </c:pt>
                <c:pt idx="8">
                  <c:v>-12492.131931838585</c:v>
                </c:pt>
                <c:pt idx="9">
                  <c:v>-12128.2834289695</c:v>
                </c:pt>
                <c:pt idx="10">
                  <c:v>-11775.032455310195</c:v>
                </c:pt>
                <c:pt idx="11">
                  <c:v>-11432.070344961354</c:v>
                </c:pt>
                <c:pt idx="12">
                  <c:v>-11099.09742229258</c:v>
                </c:pt>
                <c:pt idx="13">
                  <c:v>-10775.822740089883</c:v>
                </c:pt>
                <c:pt idx="14">
                  <c:v>-10461.963825329982</c:v>
                </c:pt>
                <c:pt idx="15">
                  <c:v>-10157.246432359205</c:v>
                </c:pt>
                <c:pt idx="16">
                  <c:v>-9861.4043032613663</c:v>
                </c:pt>
                <c:pt idx="17">
                  <c:v>-9574.1789352052092</c:v>
                </c:pt>
                <c:pt idx="18">
                  <c:v>-9295.3193545681643</c:v>
                </c:pt>
                <c:pt idx="19">
                  <c:v>-9024.5818976389946</c:v>
                </c:pt>
                <c:pt idx="20">
                  <c:v>-8761.7299977077619</c:v>
                </c:pt>
                <c:pt idx="21">
                  <c:v>-8506.5339783570507</c:v>
                </c:pt>
                <c:pt idx="22">
                  <c:v>-8258.7708527738359</c:v>
                </c:pt>
                <c:pt idx="23">
                  <c:v>-8018.224128906636</c:v>
                </c:pt>
                <c:pt idx="24">
                  <c:v>-7784.6836202977056</c:v>
                </c:pt>
                <c:pt idx="25">
                  <c:v>-7557.945262424957</c:v>
                </c:pt>
                <c:pt idx="26">
                  <c:v>-7337.8109343931619</c:v>
                </c:pt>
                <c:pt idx="27">
                  <c:v>-7124.0882858186042</c:v>
                </c:pt>
                <c:pt idx="28">
                  <c:v>-6916.5905687559271</c:v>
                </c:pt>
                <c:pt idx="29">
                  <c:v>-6715.1364745203173</c:v>
                </c:pt>
                <c:pt idx="30">
                  <c:v>-6519.5499752624446</c:v>
                </c:pt>
                <c:pt idx="31">
                  <c:v>-6329.6601701577119</c:v>
                </c:pt>
                <c:pt idx="32">
                  <c:v>-6145.301136075449</c:v>
                </c:pt>
                <c:pt idx="33">
                  <c:v>-5966.3117825975232</c:v>
                </c:pt>
                <c:pt idx="34">
                  <c:v>-5792.535711259733</c:v>
                </c:pt>
                <c:pt idx="35">
                  <c:v>-5623.8210788929437</c:v>
                </c:pt>
                <c:pt idx="36">
                  <c:v>-2981.0801524897734</c:v>
                </c:pt>
                <c:pt idx="37">
                  <c:v>-2894.2525752327902</c:v>
                </c:pt>
                <c:pt idx="38">
                  <c:v>-2809.9539565366899</c:v>
                </c:pt>
                <c:pt idx="39">
                  <c:v>-2728.1106374142614</c:v>
                </c:pt>
                <c:pt idx="40">
                  <c:v>-2648.651104285691</c:v>
                </c:pt>
                <c:pt idx="41">
                  <c:v>-2571.5059264909623</c:v>
                </c:pt>
                <c:pt idx="42">
                  <c:v>-2496.6076956222932</c:v>
                </c:pt>
                <c:pt idx="43">
                  <c:v>-2423.8909666235859</c:v>
                </c:pt>
                <c:pt idx="44">
                  <c:v>-2353.2922006054232</c:v>
                </c:pt>
                <c:pt idx="45">
                  <c:v>-2284.7497093256538</c:v>
                </c:pt>
                <c:pt idx="46">
                  <c:v>-2218.2036012870421</c:v>
                </c:pt>
                <c:pt idx="47">
                  <c:v>-2153.5957294048953</c:v>
                </c:pt>
                <c:pt idx="48">
                  <c:v>-2090.8696401989278</c:v>
                </c:pt>
                <c:pt idx="49">
                  <c:v>-2029.9705244649786</c:v>
                </c:pt>
                <c:pt idx="50">
                  <c:v>-1970.8451693834743</c:v>
                </c:pt>
              </c:numCache>
            </c:numRef>
          </c:yVal>
          <c:smooth val="0"/>
          <c:extLst>
            <c:ext xmlns:c16="http://schemas.microsoft.com/office/drawing/2014/chart" uri="{C3380CC4-5D6E-409C-BE32-E72D297353CC}">
              <c16:uniqueId val="{00000002-A486-460F-977C-AAD751771D42}"/>
            </c:ext>
          </c:extLst>
        </c:ser>
        <c:ser>
          <c:idx val="3"/>
          <c:order val="3"/>
          <c:tx>
            <c:strRef>
              <c:f>Annuitätenzuschuss!$AW$190</c:f>
              <c:strCache>
                <c:ptCount val="1"/>
                <c:pt idx="0">
                  <c:v>Annuitätenzuschuss</c:v>
                </c:pt>
              </c:strCache>
            </c:strRef>
          </c:tx>
          <c:marker>
            <c:symbol val="none"/>
          </c:marker>
          <c:xVal>
            <c:numRef>
              <c:f>Annuitätenzuschuss!$AS$191:$AS$241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Annuitätenzuschuss!$AW$191:$AW$241</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A486-460F-977C-AAD751771D42}"/>
            </c:ext>
          </c:extLst>
        </c:ser>
        <c:ser>
          <c:idx val="4"/>
          <c:order val="4"/>
          <c:tx>
            <c:strRef>
              <c:f>Annuitätenzuschuss!$AX$56</c:f>
              <c:strCache>
                <c:ptCount val="1"/>
                <c:pt idx="0">
                  <c:v>Entgeltstundung</c:v>
                </c:pt>
              </c:strCache>
            </c:strRef>
          </c:tx>
          <c:marker>
            <c:symbol val="none"/>
          </c:marker>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Annuitätenzuschuss!$AX$57:$AX$107</c:f>
              <c:numCache>
                <c:formatCode>#,##0.00</c:formatCode>
                <c:ptCount val="51"/>
                <c:pt idx="0">
                  <c:v>0</c:v>
                </c:pt>
                <c:pt idx="1">
                  <c:v>126460.81719428602</c:v>
                </c:pt>
                <c:pt idx="2">
                  <c:v>122777.49242163691</c:v>
                </c:pt>
                <c:pt idx="3">
                  <c:v>119201.44895304555</c:v>
                </c:pt>
                <c:pt idx="4">
                  <c:v>115729.56209033549</c:v>
                </c:pt>
                <c:pt idx="5">
                  <c:v>112358.79814595678</c:v>
                </c:pt>
                <c:pt idx="6">
                  <c:v>109086.21179219105</c:v>
                </c:pt>
                <c:pt idx="7">
                  <c:v>105908.94348756412</c:v>
                </c:pt>
                <c:pt idx="8">
                  <c:v>102824.21697821759</c:v>
                </c:pt>
                <c:pt idx="9">
                  <c:v>99829.336872055923</c:v>
                </c:pt>
                <c:pt idx="10">
                  <c:v>96921.686283549439</c:v>
                </c:pt>
                <c:pt idx="11">
                  <c:v>94098.724547135382</c:v>
                </c:pt>
                <c:pt idx="12">
                  <c:v>91357.984997218824</c:v>
                </c:pt>
                <c:pt idx="13">
                  <c:v>88697.072812833809</c:v>
                </c:pt>
                <c:pt idx="14">
                  <c:v>86113.662925081357</c:v>
                </c:pt>
                <c:pt idx="15">
                  <c:v>83605.497985515874</c:v>
                </c:pt>
                <c:pt idx="16">
                  <c:v>81170.386393704757</c:v>
                </c:pt>
                <c:pt idx="17">
                  <c:v>78806.200382237628</c:v>
                </c:pt>
                <c:pt idx="18">
                  <c:v>76510.874157512255</c:v>
                </c:pt>
                <c:pt idx="19">
                  <c:v>74282.402094672085</c:v>
                </c:pt>
                <c:pt idx="20">
                  <c:v>72118.836985118542</c:v>
                </c:pt>
                <c:pt idx="21">
                  <c:v>70018.288335066551</c:v>
                </c:pt>
                <c:pt idx="22">
                  <c:v>67978.920713656844</c:v>
                </c:pt>
                <c:pt idx="23">
                  <c:v>65998.952149181394</c:v>
                </c:pt>
                <c:pt idx="24">
                  <c:v>64076.652572020779</c:v>
                </c:pt>
                <c:pt idx="25">
                  <c:v>62210.342302932797</c:v>
                </c:pt>
                <c:pt idx="26">
                  <c:v>-28628.559412797913</c:v>
                </c:pt>
                <c:pt idx="27">
                  <c:v>-27794.717876502829</c:v>
                </c:pt>
                <c:pt idx="28">
                  <c:v>-26985.16298689595</c:v>
                </c:pt>
                <c:pt idx="29">
                  <c:v>-26199.187365918402</c:v>
                </c:pt>
                <c:pt idx="30">
                  <c:v>-25436.104238755728</c:v>
                </c:pt>
                <c:pt idx="31">
                  <c:v>-24695.246833743422</c:v>
                </c:pt>
                <c:pt idx="32">
                  <c:v>-23975.967799750899</c:v>
                </c:pt>
                <c:pt idx="33">
                  <c:v>-23277.638640534853</c:v>
                </c:pt>
                <c:pt idx="34">
                  <c:v>-22599.649165567822</c:v>
                </c:pt>
                <c:pt idx="35">
                  <c:v>-1589084.0709855908</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A486-460F-977C-AAD751771D42}"/>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A486-460F-977C-AAD751771D42}"/>
            </c:ext>
          </c:extLst>
        </c:ser>
        <c:ser>
          <c:idx val="6"/>
          <c:order val="6"/>
          <c:tx>
            <c:strRef>
              <c:f>Annuitätenzuschuss!$AZ$190</c:f>
              <c:strCache>
                <c:ptCount val="1"/>
                <c:pt idx="0">
                  <c:v>Barwert Gesamt</c:v>
                </c:pt>
              </c:strCache>
            </c:strRef>
          </c:tx>
          <c:marker>
            <c:symbol val="none"/>
          </c:marker>
          <c:xVal>
            <c:numRef>
              <c:f>Annuitätenzuschuss!$AS$191:$AS$241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Annuitätenzuschuss!$AZ$191:$AZ$241</c:f>
              <c:numCache>
                <c:formatCode>#,##0.00</c:formatCode>
                <c:ptCount val="51"/>
                <c:pt idx="0">
                  <c:v>0</c:v>
                </c:pt>
                <c:pt idx="1">
                  <c:v>-75276.605825242703</c:v>
                </c:pt>
                <c:pt idx="2">
                  <c:v>-73084.08332547835</c:v>
                </c:pt>
                <c:pt idx="3">
                  <c:v>-70955.420704347882</c:v>
                </c:pt>
                <c:pt idx="4">
                  <c:v>-68888.757965386321</c:v>
                </c:pt>
                <c:pt idx="5">
                  <c:v>-66882.28928678282</c:v>
                </c:pt>
                <c:pt idx="6">
                  <c:v>-64934.261443478477</c:v>
                </c:pt>
                <c:pt idx="7">
                  <c:v>-63042.972275221837</c:v>
                </c:pt>
                <c:pt idx="8">
                  <c:v>-61206.769199244474</c:v>
                </c:pt>
                <c:pt idx="9">
                  <c:v>-59424.047766256786</c:v>
                </c:pt>
                <c:pt idx="10">
                  <c:v>-57693.25025850175</c:v>
                </c:pt>
                <c:pt idx="11">
                  <c:v>-56012.864328642478</c:v>
                </c:pt>
                <c:pt idx="12">
                  <c:v>-54381.421678293656</c:v>
                </c:pt>
                <c:pt idx="13">
                  <c:v>-52797.496775042382</c:v>
                </c:pt>
                <c:pt idx="14">
                  <c:v>-51259.705606837277</c:v>
                </c:pt>
                <c:pt idx="15">
                  <c:v>-49766.70447265754</c:v>
                </c:pt>
                <c:pt idx="16">
                  <c:v>-48317.188808405379</c:v>
                </c:pt>
                <c:pt idx="17">
                  <c:v>-46909.892046995534</c:v>
                </c:pt>
                <c:pt idx="18">
                  <c:v>-45543.584511646142</c:v>
                </c:pt>
                <c:pt idx="19">
                  <c:v>-44217.072341404011</c:v>
                </c:pt>
                <c:pt idx="20">
                  <c:v>-42929.196447965063</c:v>
                </c:pt>
                <c:pt idx="21">
                  <c:v>-41678.831502878704</c:v>
                </c:pt>
                <c:pt idx="22">
                  <c:v>-40464.88495425116</c:v>
                </c:pt>
                <c:pt idx="23">
                  <c:v>-39286.296072088502</c:v>
                </c:pt>
                <c:pt idx="24">
                  <c:v>-38142.035021445154</c:v>
                </c:pt>
                <c:pt idx="25">
                  <c:v>-37031.101962568122</c:v>
                </c:pt>
                <c:pt idx="26">
                  <c:v>-35952.526177250613</c:v>
                </c:pt>
                <c:pt idx="27">
                  <c:v>-34905.365220631662</c:v>
                </c:pt>
                <c:pt idx="28">
                  <c:v>-33888.70409770064</c:v>
                </c:pt>
                <c:pt idx="29">
                  <c:v>-32901.654463787039</c:v>
                </c:pt>
                <c:pt idx="30">
                  <c:v>-31943.353848336927</c:v>
                </c:pt>
                <c:pt idx="31">
                  <c:v>-31012.964901297983</c:v>
                </c:pt>
                <c:pt idx="32">
                  <c:v>-30109.674661454355</c:v>
                </c:pt>
                <c:pt idx="33">
                  <c:v>-29232.69384607219</c:v>
                </c:pt>
                <c:pt idx="34">
                  <c:v>-28381.256161235142</c:v>
                </c:pt>
                <c:pt idx="35">
                  <c:v>-1606528.5889535749</c:v>
                </c:pt>
                <c:pt idx="36">
                  <c:v>-2981.0801524897734</c:v>
                </c:pt>
                <c:pt idx="37">
                  <c:v>-2894.2525752327902</c:v>
                </c:pt>
                <c:pt idx="38">
                  <c:v>-2809.9539565366899</c:v>
                </c:pt>
                <c:pt idx="39">
                  <c:v>-2728.1106374142614</c:v>
                </c:pt>
                <c:pt idx="40">
                  <c:v>-2648.651104285691</c:v>
                </c:pt>
                <c:pt idx="41">
                  <c:v>-2571.5059264909623</c:v>
                </c:pt>
                <c:pt idx="42">
                  <c:v>-2496.6076956222932</c:v>
                </c:pt>
                <c:pt idx="43">
                  <c:v>-2423.8909666235859</c:v>
                </c:pt>
                <c:pt idx="44">
                  <c:v>-2353.2922006054232</c:v>
                </c:pt>
                <c:pt idx="45">
                  <c:v>-2284.7497093256538</c:v>
                </c:pt>
                <c:pt idx="46">
                  <c:v>-2218.2036012870421</c:v>
                </c:pt>
                <c:pt idx="47">
                  <c:v>-2153.5957294048953</c:v>
                </c:pt>
                <c:pt idx="48">
                  <c:v>-2090.8696401989278</c:v>
                </c:pt>
                <c:pt idx="49">
                  <c:v>-2029.9705244649786</c:v>
                </c:pt>
                <c:pt idx="50">
                  <c:v>-1970.8451693834743</c:v>
                </c:pt>
              </c:numCache>
            </c:numRef>
          </c:yVal>
          <c:smooth val="0"/>
          <c:extLst>
            <c:ext xmlns:c16="http://schemas.microsoft.com/office/drawing/2014/chart" uri="{C3380CC4-5D6E-409C-BE32-E72D297353CC}">
              <c16:uniqueId val="{00000006-A486-460F-977C-AAD751771D42}"/>
            </c:ext>
          </c:extLst>
        </c:ser>
        <c:dLbls>
          <c:showLegendKey val="0"/>
          <c:showVal val="0"/>
          <c:showCatName val="0"/>
          <c:showSerName val="0"/>
          <c:showPercent val="0"/>
          <c:showBubbleSize val="0"/>
        </c:dLbls>
        <c:axId val="662642048"/>
        <c:axId val="662652032"/>
      </c:scatterChart>
      <c:valAx>
        <c:axId val="662642048"/>
        <c:scaling>
          <c:orientation val="minMax"/>
        </c:scaling>
        <c:delete val="0"/>
        <c:axPos val="b"/>
        <c:numFmt formatCode="General" sourceLinked="1"/>
        <c:majorTickMark val="out"/>
        <c:minorTickMark val="none"/>
        <c:tickLblPos val="nextTo"/>
        <c:crossAx val="662652032"/>
        <c:crosses val="autoZero"/>
        <c:crossBetween val="midCat"/>
      </c:valAx>
      <c:valAx>
        <c:axId val="662652032"/>
        <c:scaling>
          <c:orientation val="minMax"/>
        </c:scaling>
        <c:delete val="0"/>
        <c:axPos val="l"/>
        <c:majorGridlines/>
        <c:numFmt formatCode="#,##0.00" sourceLinked="1"/>
        <c:majorTickMark val="out"/>
        <c:minorTickMark val="none"/>
        <c:tickLblPos val="nextTo"/>
        <c:crossAx val="66264204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Annuitätenzuschuss!$BC$190</c:f>
              <c:strCache>
                <c:ptCount val="1"/>
                <c:pt idx="0">
                  <c:v>WBF Darlehen</c:v>
                </c:pt>
              </c:strCache>
            </c:strRef>
          </c:tx>
          <c:marker>
            <c:symbol val="none"/>
          </c:marker>
          <c:xVal>
            <c:numRef>
              <c:f>Annuitätenzuschuss!$BB$191:$BB$241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Annuitätenzuschuss!$BC$191:$BC$241</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EE04-4FE1-A76A-8EE8483EA076}"/>
            </c:ext>
          </c:extLst>
        </c:ser>
        <c:ser>
          <c:idx val="1"/>
          <c:order val="1"/>
          <c:tx>
            <c:strRef>
              <c:f>Annuitätenzuschuss!$BD$190</c:f>
              <c:strCache>
                <c:ptCount val="1"/>
                <c:pt idx="0">
                  <c:v>Bankdarlehen</c:v>
                </c:pt>
              </c:strCache>
            </c:strRef>
          </c:tx>
          <c:marker>
            <c:symbol val="none"/>
          </c:marker>
          <c:xVal>
            <c:numRef>
              <c:f>Annuitätenzuschuss!$BB$191:$BB$241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Annuitätenzuschuss!$BD$191:$BD$241</c:f>
              <c:numCache>
                <c:formatCode>#,##0.00</c:formatCode>
                <c:ptCount val="51"/>
                <c:pt idx="0" formatCode="General">
                  <c:v>0</c:v>
                </c:pt>
                <c:pt idx="1">
                  <c:v>-187193.36692246865</c:v>
                </c:pt>
                <c:pt idx="2">
                  <c:v>-368934.49985690421</c:v>
                </c:pt>
                <c:pt idx="3">
                  <c:v>-545382.20173499698</c:v>
                </c:pt>
                <c:pt idx="4">
                  <c:v>-716690.65016032977</c:v>
                </c:pt>
                <c:pt idx="5">
                  <c:v>-883009.53212667233</c:v>
                </c:pt>
                <c:pt idx="6">
                  <c:v>-1044484.1748124418</c:v>
                </c:pt>
                <c:pt idx="7">
                  <c:v>-1201255.672565616</c:v>
                </c:pt>
                <c:pt idx="8">
                  <c:v>-1353461.0101900569</c:v>
                </c:pt>
                <c:pt idx="9">
                  <c:v>-1501233.1826409705</c:v>
                </c:pt>
                <c:pt idx="10">
                  <c:v>-1644701.3112340905</c:v>
                </c:pt>
                <c:pt idx="11">
                  <c:v>-1783990.7564701294</c:v>
                </c:pt>
                <c:pt idx="12">
                  <c:v>-1919223.2275730798</c:v>
                </c:pt>
                <c:pt idx="13">
                  <c:v>-2050516.88883808</c:v>
                </c:pt>
                <c:pt idx="14">
                  <c:v>-2177986.4628817695</c:v>
                </c:pt>
                <c:pt idx="15">
                  <c:v>-2301743.3308853516</c:v>
                </c:pt>
                <c:pt idx="16">
                  <c:v>-2421895.6299179555</c:v>
                </c:pt>
                <c:pt idx="17">
                  <c:v>-2538548.3474253379</c:v>
                </c:pt>
                <c:pt idx="18">
                  <c:v>-2651803.4129664861</c:v>
                </c:pt>
                <c:pt idx="19">
                  <c:v>-2761759.7872782806</c:v>
                </c:pt>
                <c:pt idx="20">
                  <c:v>-2868513.548746042</c:v>
                </c:pt>
                <c:pt idx="21">
                  <c:v>-2972157.9773555193</c:v>
                </c:pt>
                <c:pt idx="22">
                  <c:v>-3072783.6361996718</c:v>
                </c:pt>
                <c:pt idx="23">
                  <c:v>-3170478.4506114703</c:v>
                </c:pt>
                <c:pt idx="24">
                  <c:v>-3265327.7849918571</c:v>
                </c:pt>
                <c:pt idx="25">
                  <c:v>-3357414.5173999998</c:v>
                </c:pt>
                <c:pt idx="26">
                  <c:v>-3357414.5173999998</c:v>
                </c:pt>
                <c:pt idx="27">
                  <c:v>-3357414.5173999998</c:v>
                </c:pt>
                <c:pt idx="28">
                  <c:v>-3357414.5173999998</c:v>
                </c:pt>
                <c:pt idx="29">
                  <c:v>-3357414.5173999998</c:v>
                </c:pt>
                <c:pt idx="30">
                  <c:v>-3357414.5173999998</c:v>
                </c:pt>
                <c:pt idx="31">
                  <c:v>-3357414.5173999998</c:v>
                </c:pt>
                <c:pt idx="32">
                  <c:v>-3357414.5173999998</c:v>
                </c:pt>
                <c:pt idx="33">
                  <c:v>-3357414.5173999998</c:v>
                </c:pt>
                <c:pt idx="34">
                  <c:v>-3357414.5173999998</c:v>
                </c:pt>
                <c:pt idx="35">
                  <c:v>-3357414.5173999998</c:v>
                </c:pt>
                <c:pt idx="36">
                  <c:v>-3357414.5173999998</c:v>
                </c:pt>
                <c:pt idx="37">
                  <c:v>-3357414.5173999998</c:v>
                </c:pt>
                <c:pt idx="38">
                  <c:v>-3357414.5173999998</c:v>
                </c:pt>
                <c:pt idx="39">
                  <c:v>-3357414.5173999998</c:v>
                </c:pt>
                <c:pt idx="40">
                  <c:v>-3357414.5173999998</c:v>
                </c:pt>
                <c:pt idx="41">
                  <c:v>-3357414.5173999998</c:v>
                </c:pt>
                <c:pt idx="42">
                  <c:v>-3357414.5173999998</c:v>
                </c:pt>
                <c:pt idx="43">
                  <c:v>-3357414.5173999998</c:v>
                </c:pt>
                <c:pt idx="44">
                  <c:v>-3357414.5173999998</c:v>
                </c:pt>
                <c:pt idx="45">
                  <c:v>-3357414.5173999998</c:v>
                </c:pt>
                <c:pt idx="46">
                  <c:v>-3357414.5173999998</c:v>
                </c:pt>
                <c:pt idx="47">
                  <c:v>-3357414.5173999998</c:v>
                </c:pt>
                <c:pt idx="48">
                  <c:v>-3357414.5173999998</c:v>
                </c:pt>
                <c:pt idx="49">
                  <c:v>-3357414.5173999998</c:v>
                </c:pt>
                <c:pt idx="50">
                  <c:v>-3357414.5173999998</c:v>
                </c:pt>
              </c:numCache>
            </c:numRef>
          </c:yVal>
          <c:smooth val="0"/>
          <c:extLst>
            <c:ext xmlns:c16="http://schemas.microsoft.com/office/drawing/2014/chart" uri="{C3380CC4-5D6E-409C-BE32-E72D297353CC}">
              <c16:uniqueId val="{00000001-EE04-4FE1-A76A-8EE8483EA076}"/>
            </c:ext>
          </c:extLst>
        </c:ser>
        <c:ser>
          <c:idx val="2"/>
          <c:order val="2"/>
          <c:tx>
            <c:strRef>
              <c:f>Annuitätenzuschuss!$BE$190</c:f>
              <c:strCache>
                <c:ptCount val="1"/>
                <c:pt idx="0">
                  <c:v>Eigenkapital</c:v>
                </c:pt>
              </c:strCache>
            </c:strRef>
          </c:tx>
          <c:marker>
            <c:symbol val="none"/>
          </c:marker>
          <c:xVal>
            <c:numRef>
              <c:f>Annuitätenzuschuss!$BB$191:$BB$241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Annuitätenzuschuss!$BE$191:$BE$241</c:f>
              <c:numCache>
                <c:formatCode>#,##0.00</c:formatCode>
                <c:ptCount val="51"/>
                <c:pt idx="0" formatCode="General">
                  <c:v>0</c:v>
                </c:pt>
                <c:pt idx="1">
                  <c:v>-15363.746586407769</c:v>
                </c:pt>
                <c:pt idx="2">
                  <c:v>-30280.005408162884</c:v>
                </c:pt>
                <c:pt idx="3">
                  <c:v>-44761.810089478531</c:v>
                </c:pt>
                <c:pt idx="4">
                  <c:v>-58821.814634445182</c:v>
                </c:pt>
                <c:pt idx="5">
                  <c:v>-72472.304483927364</c:v>
                </c:pt>
                <c:pt idx="6">
                  <c:v>-85725.207250414926</c:v>
                </c:pt>
                <c:pt idx="7">
                  <c:v>-98592.103140208666</c:v>
                </c:pt>
                <c:pt idx="8">
                  <c:v>-111084.23507204725</c:v>
                </c:pt>
                <c:pt idx="9">
                  <c:v>-123212.51850101675</c:v>
                </c:pt>
                <c:pt idx="10">
                  <c:v>-134987.55095632694</c:v>
                </c:pt>
                <c:pt idx="11">
                  <c:v>-146419.62130128831</c:v>
                </c:pt>
                <c:pt idx="12">
                  <c:v>-157518.71872358088</c:v>
                </c:pt>
                <c:pt idx="13">
                  <c:v>-168294.54146367076</c:v>
                </c:pt>
                <c:pt idx="14">
                  <c:v>-178756.50528900075</c:v>
                </c:pt>
                <c:pt idx="15">
                  <c:v>-188913.75172135996</c:v>
                </c:pt>
                <c:pt idx="16">
                  <c:v>-198775.15602462133</c:v>
                </c:pt>
                <c:pt idx="17">
                  <c:v>-208349.33495982655</c:v>
                </c:pt>
                <c:pt idx="18">
                  <c:v>-217644.65431439472</c:v>
                </c:pt>
                <c:pt idx="19">
                  <c:v>-226669.23621203372</c:v>
                </c:pt>
                <c:pt idx="20">
                  <c:v>-235430.96620974148</c:v>
                </c:pt>
                <c:pt idx="21">
                  <c:v>-243937.50018809852</c:v>
                </c:pt>
                <c:pt idx="22">
                  <c:v>-252196.27104087235</c:v>
                </c:pt>
                <c:pt idx="23">
                  <c:v>-260214.49516977899</c:v>
                </c:pt>
                <c:pt idx="24">
                  <c:v>-267999.17879007669</c:v>
                </c:pt>
                <c:pt idx="25">
                  <c:v>-275557.12405250163</c:v>
                </c:pt>
                <c:pt idx="26">
                  <c:v>-282894.93498689478</c:v>
                </c:pt>
                <c:pt idx="27">
                  <c:v>-290019.02327271336</c:v>
                </c:pt>
                <c:pt idx="28">
                  <c:v>-296935.61384146928</c:v>
                </c:pt>
                <c:pt idx="29">
                  <c:v>-303650.7503159896</c:v>
                </c:pt>
                <c:pt idx="30">
                  <c:v>-310170.30029125203</c:v>
                </c:pt>
                <c:pt idx="31">
                  <c:v>-316499.96046140976</c:v>
                </c:pt>
                <c:pt idx="32">
                  <c:v>-322645.26159748522</c:v>
                </c:pt>
                <c:pt idx="33">
                  <c:v>-328611.57338008273</c:v>
                </c:pt>
                <c:pt idx="34">
                  <c:v>-334404.10909134249</c:v>
                </c:pt>
                <c:pt idx="35">
                  <c:v>-340027.93017023546</c:v>
                </c:pt>
                <c:pt idx="36">
                  <c:v>-343009.01032272523</c:v>
                </c:pt>
                <c:pt idx="37">
                  <c:v>-345903.26289795799</c:v>
                </c:pt>
                <c:pt idx="38">
                  <c:v>-348713.21685449471</c:v>
                </c:pt>
                <c:pt idx="39">
                  <c:v>-351441.32749190897</c:v>
                </c:pt>
                <c:pt idx="40">
                  <c:v>-354089.97859619465</c:v>
                </c:pt>
                <c:pt idx="41">
                  <c:v>-356661.48452268558</c:v>
                </c:pt>
                <c:pt idx="42">
                  <c:v>-359158.09221830789</c:v>
                </c:pt>
                <c:pt idx="43">
                  <c:v>-361581.98318493151</c:v>
                </c:pt>
                <c:pt idx="44">
                  <c:v>-363935.27538553695</c:v>
                </c:pt>
                <c:pt idx="45">
                  <c:v>-366220.02509486262</c:v>
                </c:pt>
                <c:pt idx="46">
                  <c:v>-368438.22869614966</c:v>
                </c:pt>
                <c:pt idx="47">
                  <c:v>-370591.82442555454</c:v>
                </c:pt>
                <c:pt idx="48">
                  <c:v>-372682.69406575349</c:v>
                </c:pt>
                <c:pt idx="49">
                  <c:v>-374712.66459021845</c:v>
                </c:pt>
                <c:pt idx="50">
                  <c:v>-376683.5097596019</c:v>
                </c:pt>
              </c:numCache>
            </c:numRef>
          </c:yVal>
          <c:smooth val="0"/>
          <c:extLst>
            <c:ext xmlns:c16="http://schemas.microsoft.com/office/drawing/2014/chart" uri="{C3380CC4-5D6E-409C-BE32-E72D297353CC}">
              <c16:uniqueId val="{00000002-EE04-4FE1-A76A-8EE8483EA076}"/>
            </c:ext>
          </c:extLst>
        </c:ser>
        <c:ser>
          <c:idx val="3"/>
          <c:order val="3"/>
          <c:tx>
            <c:strRef>
              <c:f>Annuitätenzuschuss!$BF$190</c:f>
              <c:strCache>
                <c:ptCount val="1"/>
                <c:pt idx="0">
                  <c:v>Annuitätenzuschuss</c:v>
                </c:pt>
              </c:strCache>
            </c:strRef>
          </c:tx>
          <c:marker>
            <c:symbol val="none"/>
          </c:marker>
          <c:xVal>
            <c:numRef>
              <c:f>Annuitätenzuschuss!$BB$191:$BB$241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Annuitätenzuschuss!$BF$191:$BF$241</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EE04-4FE1-A76A-8EE8483EA076}"/>
            </c:ext>
          </c:extLst>
        </c:ser>
        <c:ser>
          <c:idx val="4"/>
          <c:order val="4"/>
          <c:tx>
            <c:strRef>
              <c:f>Annuitätenzuschuss!$BG$56</c:f>
              <c:strCache>
                <c:ptCount val="1"/>
                <c:pt idx="0">
                  <c:v>Entgeltstundung</c:v>
                </c:pt>
              </c:strCache>
            </c:strRef>
          </c:tx>
          <c:marker>
            <c:symbol val="none"/>
          </c:marker>
          <c:xVal>
            <c:numRef>
              <c:f>Annuitätenzuschuss!$BB$57:$BB$107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Annuitätenzuschuss!$BG$57:$BG$107</c:f>
              <c:numCache>
                <c:formatCode>#,##0.00</c:formatCode>
                <c:ptCount val="51"/>
                <c:pt idx="0" formatCode="General">
                  <c:v>0</c:v>
                </c:pt>
                <c:pt idx="1">
                  <c:v>126460.81719428602</c:v>
                </c:pt>
                <c:pt idx="2">
                  <c:v>249238.30961592292</c:v>
                </c:pt>
                <c:pt idx="3">
                  <c:v>368439.75856896845</c:v>
                </c:pt>
                <c:pt idx="4">
                  <c:v>484169.32065930392</c:v>
                </c:pt>
                <c:pt idx="5">
                  <c:v>596528.11880526075</c:v>
                </c:pt>
                <c:pt idx="6">
                  <c:v>705614.33059745177</c:v>
                </c:pt>
                <c:pt idx="7">
                  <c:v>811523.27408501587</c:v>
                </c:pt>
                <c:pt idx="8">
                  <c:v>914347.49106323346</c:v>
                </c:pt>
                <c:pt idx="9">
                  <c:v>1014176.8279352894</c:v>
                </c:pt>
                <c:pt idx="10">
                  <c:v>1111098.5142188389</c:v>
                </c:pt>
                <c:pt idx="11">
                  <c:v>1205197.2387659743</c:v>
                </c:pt>
                <c:pt idx="12">
                  <c:v>1296555.223763193</c:v>
                </c:pt>
                <c:pt idx="13">
                  <c:v>1385252.2965760268</c:v>
                </c:pt>
                <c:pt idx="14">
                  <c:v>1471365.9595011082</c:v>
                </c:pt>
                <c:pt idx="15">
                  <c:v>1554971.4574866241</c:v>
                </c:pt>
                <c:pt idx="16">
                  <c:v>1636141.8438803288</c:v>
                </c:pt>
                <c:pt idx="17">
                  <c:v>1714948.0442625664</c:v>
                </c:pt>
                <c:pt idx="18">
                  <c:v>1791458.9184200787</c:v>
                </c:pt>
                <c:pt idx="19">
                  <c:v>1865741.3205147507</c:v>
                </c:pt>
                <c:pt idx="20">
                  <c:v>1937860.1574998691</c:v>
                </c:pt>
                <c:pt idx="21">
                  <c:v>2007878.4458349356</c:v>
                </c:pt>
                <c:pt idx="22">
                  <c:v>2075857.3665485925</c:v>
                </c:pt>
                <c:pt idx="23">
                  <c:v>2141856.3186977739</c:v>
                </c:pt>
                <c:pt idx="24">
                  <c:v>2205932.9712697947</c:v>
                </c:pt>
                <c:pt idx="25">
                  <c:v>2268143.3135727276</c:v>
                </c:pt>
                <c:pt idx="26">
                  <c:v>2239514.7541599297</c:v>
                </c:pt>
                <c:pt idx="27">
                  <c:v>2211720.0362834269</c:v>
                </c:pt>
                <c:pt idx="28">
                  <c:v>2184734.8732965309</c:v>
                </c:pt>
                <c:pt idx="29">
                  <c:v>2158535.6859306125</c:v>
                </c:pt>
                <c:pt idx="30">
                  <c:v>2133099.581691857</c:v>
                </c:pt>
                <c:pt idx="31">
                  <c:v>2108404.3348581134</c:v>
                </c:pt>
                <c:pt idx="32">
                  <c:v>2084428.3670583626</c:v>
                </c:pt>
                <c:pt idx="33">
                  <c:v>2061150.7284178277</c:v>
                </c:pt>
                <c:pt idx="34">
                  <c:v>2038551.07925226</c:v>
                </c:pt>
                <c:pt idx="35">
                  <c:v>449467.00826666923</c:v>
                </c:pt>
                <c:pt idx="36">
                  <c:v>449467.00826666923</c:v>
                </c:pt>
                <c:pt idx="37">
                  <c:v>449467.00826666923</c:v>
                </c:pt>
                <c:pt idx="38">
                  <c:v>449467.00826666923</c:v>
                </c:pt>
                <c:pt idx="39">
                  <c:v>449467.00826666923</c:v>
                </c:pt>
                <c:pt idx="40">
                  <c:v>449467.00826666923</c:v>
                </c:pt>
                <c:pt idx="41">
                  <c:v>449467.00826666923</c:v>
                </c:pt>
                <c:pt idx="42">
                  <c:v>449467.00826666923</c:v>
                </c:pt>
                <c:pt idx="43">
                  <c:v>449467.00826666923</c:v>
                </c:pt>
                <c:pt idx="44">
                  <c:v>449467.00826666923</c:v>
                </c:pt>
                <c:pt idx="45">
                  <c:v>449467.00826666923</c:v>
                </c:pt>
                <c:pt idx="46">
                  <c:v>449467.00826666923</c:v>
                </c:pt>
                <c:pt idx="47">
                  <c:v>449467.00826666923</c:v>
                </c:pt>
                <c:pt idx="48">
                  <c:v>449467.00826666923</c:v>
                </c:pt>
                <c:pt idx="49">
                  <c:v>449467.00826666923</c:v>
                </c:pt>
                <c:pt idx="50">
                  <c:v>449467.00826666923</c:v>
                </c:pt>
              </c:numCache>
            </c:numRef>
          </c:yVal>
          <c:smooth val="0"/>
          <c:extLst>
            <c:ext xmlns:c16="http://schemas.microsoft.com/office/drawing/2014/chart" uri="{C3380CC4-5D6E-409C-BE32-E72D297353CC}">
              <c16:uniqueId val="{00000004-EE04-4FE1-A76A-8EE8483EA076}"/>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EE04-4FE1-A76A-8EE8483EA076}"/>
            </c:ext>
          </c:extLst>
        </c:ser>
        <c:ser>
          <c:idx val="6"/>
          <c:order val="6"/>
          <c:tx>
            <c:strRef>
              <c:f>Annuitätenzuschuss!$BI$190</c:f>
              <c:strCache>
                <c:ptCount val="1"/>
                <c:pt idx="0">
                  <c:v>Barwert Gesamt</c:v>
                </c:pt>
              </c:strCache>
            </c:strRef>
          </c:tx>
          <c:marker>
            <c:symbol val="none"/>
          </c:marker>
          <c:xVal>
            <c:numRef>
              <c:f>Annuitätenzuschuss!$BB$191:$BB$241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Annuitätenzuschuss!$BI$191:$BI$241</c:f>
              <c:numCache>
                <c:formatCode>#,##0.00</c:formatCode>
                <c:ptCount val="51"/>
                <c:pt idx="0" formatCode="General">
                  <c:v>0</c:v>
                </c:pt>
                <c:pt idx="1">
                  <c:v>-75276.605825242703</c:v>
                </c:pt>
                <c:pt idx="2">
                  <c:v>-148360.68915072107</c:v>
                </c:pt>
                <c:pt idx="3">
                  <c:v>-219316.10985506896</c:v>
                </c:pt>
                <c:pt idx="4">
                  <c:v>-288204.86782045529</c:v>
                </c:pt>
                <c:pt idx="5">
                  <c:v>-355087.15710723808</c:v>
                </c:pt>
                <c:pt idx="6">
                  <c:v>-420021.41855071654</c:v>
                </c:pt>
                <c:pt idx="7">
                  <c:v>-483064.39082593838</c:v>
                </c:pt>
                <c:pt idx="8">
                  <c:v>-544271.16002518288</c:v>
                </c:pt>
                <c:pt idx="9">
                  <c:v>-603695.20779143972</c:v>
                </c:pt>
                <c:pt idx="10">
                  <c:v>-661388.45804994146</c:v>
                </c:pt>
                <c:pt idx="11">
                  <c:v>-717401.32237858395</c:v>
                </c:pt>
                <c:pt idx="12">
                  <c:v>-771782.74405687756</c:v>
                </c:pt>
                <c:pt idx="13">
                  <c:v>-824580.24083191995</c:v>
                </c:pt>
                <c:pt idx="14">
                  <c:v>-875839.94643875724</c:v>
                </c:pt>
                <c:pt idx="15">
                  <c:v>-925606.65091141476</c:v>
                </c:pt>
                <c:pt idx="16">
                  <c:v>-973923.83971982019</c:v>
                </c:pt>
                <c:pt idx="17">
                  <c:v>-1020833.7317668158</c:v>
                </c:pt>
                <c:pt idx="18">
                  <c:v>-1066377.3162784618</c:v>
                </c:pt>
                <c:pt idx="19">
                  <c:v>-1110594.3886198658</c:v>
                </c:pt>
                <c:pt idx="20">
                  <c:v>-1153523.5850678307</c:v>
                </c:pt>
                <c:pt idx="21">
                  <c:v>-1195202.4165707096</c:v>
                </c:pt>
                <c:pt idx="22">
                  <c:v>-1235667.3015249607</c:v>
                </c:pt>
                <c:pt idx="23">
                  <c:v>-1274953.5975970491</c:v>
                </c:pt>
                <c:pt idx="24">
                  <c:v>-1313095.6326184943</c:v>
                </c:pt>
                <c:pt idx="25">
                  <c:v>-1350126.7345810626</c:v>
                </c:pt>
                <c:pt idx="26">
                  <c:v>-1386079.2607583131</c:v>
                </c:pt>
                <c:pt idx="27">
                  <c:v>-1420984.6259789448</c:v>
                </c:pt>
                <c:pt idx="28">
                  <c:v>-1454873.3300766454</c:v>
                </c:pt>
                <c:pt idx="29">
                  <c:v>-1487774.9845404325</c:v>
                </c:pt>
                <c:pt idx="30">
                  <c:v>-1519718.3383887694</c:v>
                </c:pt>
                <c:pt idx="31">
                  <c:v>-1550731.3032900675</c:v>
                </c:pt>
                <c:pt idx="32">
                  <c:v>-1580840.9779515218</c:v>
                </c:pt>
                <c:pt idx="33">
                  <c:v>-1610073.6717975941</c:v>
                </c:pt>
                <c:pt idx="34">
                  <c:v>-1638454.9279588291</c:v>
                </c:pt>
                <c:pt idx="35">
                  <c:v>-3244983.516912404</c:v>
                </c:pt>
                <c:pt idx="36">
                  <c:v>-3247964.5970648937</c:v>
                </c:pt>
                <c:pt idx="37">
                  <c:v>-3250858.8496401263</c:v>
                </c:pt>
                <c:pt idx="38">
                  <c:v>-3253668.8035966628</c:v>
                </c:pt>
                <c:pt idx="39">
                  <c:v>-3256396.9142340771</c:v>
                </c:pt>
                <c:pt idx="40">
                  <c:v>-3259045.5653383629</c:v>
                </c:pt>
                <c:pt idx="41">
                  <c:v>-3261617.0712648537</c:v>
                </c:pt>
                <c:pt idx="42">
                  <c:v>-3264113.6789604761</c:v>
                </c:pt>
                <c:pt idx="43">
                  <c:v>-3266537.5699270996</c:v>
                </c:pt>
                <c:pt idx="44">
                  <c:v>-3268890.862127705</c:v>
                </c:pt>
                <c:pt idx="45">
                  <c:v>-3271175.6118370309</c:v>
                </c:pt>
                <c:pt idx="46">
                  <c:v>-3273393.8154383181</c:v>
                </c:pt>
                <c:pt idx="47">
                  <c:v>-3275547.4111677231</c:v>
                </c:pt>
                <c:pt idx="48">
                  <c:v>-3277638.2808079221</c:v>
                </c:pt>
                <c:pt idx="49">
                  <c:v>-3279668.2513323873</c:v>
                </c:pt>
                <c:pt idx="50">
                  <c:v>-3281639.0965017709</c:v>
                </c:pt>
              </c:numCache>
            </c:numRef>
          </c:yVal>
          <c:smooth val="0"/>
          <c:extLst>
            <c:ext xmlns:c16="http://schemas.microsoft.com/office/drawing/2014/chart" uri="{C3380CC4-5D6E-409C-BE32-E72D297353CC}">
              <c16:uniqueId val="{00000006-EE04-4FE1-A76A-8EE8483EA076}"/>
            </c:ext>
          </c:extLst>
        </c:ser>
        <c:dLbls>
          <c:showLegendKey val="0"/>
          <c:showVal val="0"/>
          <c:showCatName val="0"/>
          <c:showSerName val="0"/>
          <c:showPercent val="0"/>
          <c:showBubbleSize val="0"/>
        </c:dLbls>
        <c:axId val="662693376"/>
        <c:axId val="662694912"/>
      </c:scatterChart>
      <c:valAx>
        <c:axId val="662693376"/>
        <c:scaling>
          <c:orientation val="minMax"/>
          <c:max val="50"/>
        </c:scaling>
        <c:delete val="0"/>
        <c:axPos val="b"/>
        <c:numFmt formatCode="General" sourceLinked="1"/>
        <c:majorTickMark val="out"/>
        <c:minorTickMark val="none"/>
        <c:tickLblPos val="nextTo"/>
        <c:crossAx val="662694912"/>
        <c:crosses val="autoZero"/>
        <c:crossBetween val="midCat"/>
      </c:valAx>
      <c:valAx>
        <c:axId val="662694912"/>
        <c:scaling>
          <c:orientation val="minMax"/>
        </c:scaling>
        <c:delete val="0"/>
        <c:axPos val="l"/>
        <c:majorGridlines/>
        <c:numFmt formatCode="General" sourceLinked="1"/>
        <c:majorTickMark val="out"/>
        <c:minorTickMark val="none"/>
        <c:tickLblPos val="nextTo"/>
        <c:crossAx val="662693376"/>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Annuitätenzuschuss!$R$190</c:f>
              <c:strCache>
                <c:ptCount val="1"/>
                <c:pt idx="0">
                  <c:v>Annuität</c:v>
                </c:pt>
              </c:strCache>
            </c:strRef>
          </c:tx>
          <c:marker>
            <c:symbol val="none"/>
          </c:marker>
          <c:xVal>
            <c:numRef>
              <c:f>Annuitätenzuschuss!$M$191:$M$241</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Annuitätenzuschuss!$R$191:$R$241</c:f>
              <c:numCache>
                <c:formatCode>#,##0.00</c:formatCode>
                <c:ptCount val="51"/>
                <c:pt idx="0">
                  <c:v>0</c:v>
                </c:pt>
                <c:pt idx="1">
                  <c:v>192809.16793014269</c:v>
                </c:pt>
                <c:pt idx="2">
                  <c:v>192809.16793014269</c:v>
                </c:pt>
                <c:pt idx="3">
                  <c:v>192809.16793014269</c:v>
                </c:pt>
                <c:pt idx="4">
                  <c:v>192809.16793014269</c:v>
                </c:pt>
                <c:pt idx="5">
                  <c:v>192809.16793014269</c:v>
                </c:pt>
                <c:pt idx="6">
                  <c:v>192809.16793014269</c:v>
                </c:pt>
                <c:pt idx="7">
                  <c:v>192809.16793014269</c:v>
                </c:pt>
                <c:pt idx="8">
                  <c:v>192809.16793014269</c:v>
                </c:pt>
                <c:pt idx="9">
                  <c:v>192809.16793014269</c:v>
                </c:pt>
                <c:pt idx="10">
                  <c:v>192809.16793014269</c:v>
                </c:pt>
                <c:pt idx="11">
                  <c:v>192809.16793014269</c:v>
                </c:pt>
                <c:pt idx="12">
                  <c:v>192809.16793014269</c:v>
                </c:pt>
                <c:pt idx="13">
                  <c:v>192809.16793014269</c:v>
                </c:pt>
                <c:pt idx="14">
                  <c:v>192809.16793014269</c:v>
                </c:pt>
                <c:pt idx="15">
                  <c:v>192809.16793014269</c:v>
                </c:pt>
                <c:pt idx="16">
                  <c:v>192809.16793014269</c:v>
                </c:pt>
                <c:pt idx="17">
                  <c:v>192809.16793014269</c:v>
                </c:pt>
                <c:pt idx="18">
                  <c:v>192809.16793014269</c:v>
                </c:pt>
                <c:pt idx="19">
                  <c:v>192809.16793014269</c:v>
                </c:pt>
                <c:pt idx="20">
                  <c:v>192809.16793014269</c:v>
                </c:pt>
                <c:pt idx="21">
                  <c:v>192809.16793014269</c:v>
                </c:pt>
                <c:pt idx="22">
                  <c:v>192809.16793014269</c:v>
                </c:pt>
                <c:pt idx="23">
                  <c:v>192809.16793014269</c:v>
                </c:pt>
                <c:pt idx="24">
                  <c:v>192809.16793014269</c:v>
                </c:pt>
                <c:pt idx="25">
                  <c:v>192809.16793014269</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E322-46DC-B4D4-D3EB02BF0E9F}"/>
            </c:ext>
          </c:extLst>
        </c:ser>
        <c:ser>
          <c:idx val="1"/>
          <c:order val="1"/>
          <c:tx>
            <c:strRef>
              <c:f>Annuitätenzuschuss!$S$190</c:f>
              <c:strCache>
                <c:ptCount val="1"/>
                <c:pt idx="0">
                  <c:v>Zinsen</c:v>
                </c:pt>
              </c:strCache>
            </c:strRef>
          </c:tx>
          <c:marker>
            <c:symbol val="none"/>
          </c:marker>
          <c:xVal>
            <c:numRef>
              <c:f>Annuitätenzuschuss!$M$191:$M$241</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Annuitätenzuschuss!$S$191:$S$241</c:f>
              <c:numCache>
                <c:formatCode>#,##0.00</c:formatCode>
                <c:ptCount val="51"/>
                <c:pt idx="1">
                  <c:v>100722.435522</c:v>
                </c:pt>
                <c:pt idx="2">
                  <c:v>97959.833549755727</c:v>
                </c:pt>
                <c:pt idx="3">
                  <c:v>95114.353518344113</c:v>
                </c:pt>
                <c:pt idx="4">
                  <c:v>92183.509085990168</c:v>
                </c:pt>
                <c:pt idx="5">
                  <c:v>89164.739320665583</c:v>
                </c:pt>
                <c:pt idx="6">
                  <c:v>86055.406462381288</c:v>
                </c:pt>
                <c:pt idx="7">
                  <c:v>82852.793618348442</c:v>
                </c:pt>
                <c:pt idx="8">
                  <c:v>79554.102388994623</c:v>
                </c:pt>
                <c:pt idx="9">
                  <c:v>76156.450422760172</c:v>
                </c:pt>
                <c:pt idx="10">
                  <c:v>72656.868897538705</c:v>
                </c:pt>
                <c:pt idx="11">
                  <c:v>69052.29992656059</c:v>
                </c:pt>
                <c:pt idx="12">
                  <c:v>65339.593886453127</c:v>
                </c:pt>
                <c:pt idx="13">
                  <c:v>61515.506665142442</c:v>
                </c:pt>
                <c:pt idx="14">
                  <c:v>57576.696827192434</c:v>
                </c:pt>
                <c:pt idx="15">
                  <c:v>53519.722694103926</c:v>
                </c:pt>
                <c:pt idx="16">
                  <c:v>49341.039337022768</c:v>
                </c:pt>
                <c:pt idx="17">
                  <c:v>45036.995479229176</c:v>
                </c:pt>
                <c:pt idx="18">
                  <c:v>40603.830305701769</c:v>
                </c:pt>
                <c:pt idx="19">
                  <c:v>36037.670176968539</c:v>
                </c:pt>
                <c:pt idx="20">
                  <c:v>31334.525244373315</c:v>
                </c:pt>
                <c:pt idx="21">
                  <c:v>26490.285963800234</c:v>
                </c:pt>
                <c:pt idx="22">
                  <c:v>21500.719504809964</c:v>
                </c:pt>
                <c:pt idx="23">
                  <c:v>16361.466052049982</c:v>
                </c:pt>
                <c:pt idx="24">
                  <c:v>11068.034995707201</c:v>
                </c:pt>
                <c:pt idx="25">
                  <c:v>5615.8010076741357</c:v>
                </c:pt>
                <c:pt idx="26">
                  <c:v>7.945345714688301E-11</c:v>
                </c:pt>
                <c:pt idx="27">
                  <c:v>8.1837060861289503E-11</c:v>
                </c:pt>
                <c:pt idx="28">
                  <c:v>8.4292172687128182E-11</c:v>
                </c:pt>
                <c:pt idx="29">
                  <c:v>8.682093786774203E-11</c:v>
                </c:pt>
                <c:pt idx="30">
                  <c:v>8.9425566003774303E-11</c:v>
                </c:pt>
                <c:pt idx="31">
                  <c:v>9.2108332983887523E-11</c:v>
                </c:pt>
                <c:pt idx="32">
                  <c:v>9.487158297340416E-11</c:v>
                </c:pt>
                <c:pt idx="33">
                  <c:v>9.7717730462606284E-11</c:v>
                </c:pt>
                <c:pt idx="34">
                  <c:v>1.0064926237648447E-10</c:v>
                </c:pt>
                <c:pt idx="35">
                  <c:v>1.03668740247779E-10</c:v>
                </c:pt>
                <c:pt idx="36">
                  <c:v>1.0677880245521238E-10</c:v>
                </c:pt>
                <c:pt idx="37">
                  <c:v>1.0998216652886874E-10</c:v>
                </c:pt>
                <c:pt idx="38">
                  <c:v>1.132816315247348E-10</c:v>
                </c:pt>
                <c:pt idx="39">
                  <c:v>1.1668008047047683E-10</c:v>
                </c:pt>
                <c:pt idx="40">
                  <c:v>1.2018048288459113E-10</c:v>
                </c:pt>
                <c:pt idx="41">
                  <c:v>1.2378589737112887E-10</c:v>
                </c:pt>
                <c:pt idx="42">
                  <c:v>1.2749947429226273E-10</c:v>
                </c:pt>
                <c:pt idx="43">
                  <c:v>1.3132445852103062E-10</c:v>
                </c:pt>
                <c:pt idx="44">
                  <c:v>1.3526419227666151E-10</c:v>
                </c:pt>
                <c:pt idx="45">
                  <c:v>1.3932211804496136E-10</c:v>
                </c:pt>
                <c:pt idx="46">
                  <c:v>1.435017815863102E-10</c:v>
                </c:pt>
                <c:pt idx="47">
                  <c:v>1.4780683503389954E-10</c:v>
                </c:pt>
                <c:pt idx="48">
                  <c:v>1.5224104008491652E-10</c:v>
                </c:pt>
                <c:pt idx="49">
                  <c:v>1.5680827128746399E-10</c:v>
                </c:pt>
                <c:pt idx="50">
                  <c:v>1.6151251942608793E-10</c:v>
                </c:pt>
              </c:numCache>
            </c:numRef>
          </c:yVal>
          <c:smooth val="0"/>
          <c:extLst>
            <c:ext xmlns:c16="http://schemas.microsoft.com/office/drawing/2014/chart" uri="{C3380CC4-5D6E-409C-BE32-E72D297353CC}">
              <c16:uniqueId val="{00000001-E322-46DC-B4D4-D3EB02BF0E9F}"/>
            </c:ext>
          </c:extLst>
        </c:ser>
        <c:ser>
          <c:idx val="2"/>
          <c:order val="2"/>
          <c:tx>
            <c:strRef>
              <c:f>Annuitätenzuschuss!$T$190</c:f>
              <c:strCache>
                <c:ptCount val="1"/>
                <c:pt idx="0">
                  <c:v>Tilgung</c:v>
                </c:pt>
              </c:strCache>
            </c:strRef>
          </c:tx>
          <c:marker>
            <c:symbol val="none"/>
          </c:marker>
          <c:xVal>
            <c:numRef>
              <c:f>Annuitätenzuschuss!$M$191:$M$241</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Annuitätenzuschuss!$T$191:$T$241</c:f>
              <c:numCache>
                <c:formatCode>#,##0.00</c:formatCode>
                <c:ptCount val="51"/>
                <c:pt idx="1">
                  <c:v>92086.732408142692</c:v>
                </c:pt>
                <c:pt idx="2">
                  <c:v>94849.334380386965</c:v>
                </c:pt>
                <c:pt idx="3">
                  <c:v>97694.814411798579</c:v>
                </c:pt>
                <c:pt idx="4">
                  <c:v>100625.65884415252</c:v>
                </c:pt>
                <c:pt idx="5">
                  <c:v>103644.42860947711</c:v>
                </c:pt>
                <c:pt idx="6">
                  <c:v>106753.7614677614</c:v>
                </c:pt>
                <c:pt idx="7">
                  <c:v>109956.37431179425</c:v>
                </c:pt>
                <c:pt idx="8">
                  <c:v>113255.06554114807</c:v>
                </c:pt>
                <c:pt idx="9">
                  <c:v>116652.71750738252</c:v>
                </c:pt>
                <c:pt idx="10">
                  <c:v>120152.29903260399</c:v>
                </c:pt>
                <c:pt idx="11">
                  <c:v>123756.8680035821</c:v>
                </c:pt>
                <c:pt idx="12">
                  <c:v>127469.57404368956</c:v>
                </c:pt>
                <c:pt idx="13">
                  <c:v>131293.66126500024</c:v>
                </c:pt>
                <c:pt idx="14">
                  <c:v>135232.47110295025</c:v>
                </c:pt>
                <c:pt idx="15">
                  <c:v>139289.44523603877</c:v>
                </c:pt>
                <c:pt idx="16">
                  <c:v>143468.12859311991</c:v>
                </c:pt>
                <c:pt idx="17">
                  <c:v>147772.17245091352</c:v>
                </c:pt>
                <c:pt idx="18">
                  <c:v>152205.33762444093</c:v>
                </c:pt>
                <c:pt idx="19">
                  <c:v>156771.49775317416</c:v>
                </c:pt>
                <c:pt idx="20">
                  <c:v>161474.64268576939</c:v>
                </c:pt>
                <c:pt idx="21">
                  <c:v>166318.88196634245</c:v>
                </c:pt>
                <c:pt idx="22">
                  <c:v>171308.44842533272</c:v>
                </c:pt>
                <c:pt idx="23">
                  <c:v>176447.70187809272</c:v>
                </c:pt>
                <c:pt idx="24">
                  <c:v>181741.1329344355</c:v>
                </c:pt>
                <c:pt idx="25">
                  <c:v>187193.36692246856</c:v>
                </c:pt>
                <c:pt idx="26">
                  <c:v>-7.945345714688301E-11</c:v>
                </c:pt>
                <c:pt idx="27">
                  <c:v>-8.1837060861289503E-11</c:v>
                </c:pt>
                <c:pt idx="28">
                  <c:v>-8.4292172687128182E-11</c:v>
                </c:pt>
                <c:pt idx="29">
                  <c:v>-8.682093786774203E-11</c:v>
                </c:pt>
                <c:pt idx="30">
                  <c:v>-8.9425566003774303E-11</c:v>
                </c:pt>
                <c:pt idx="31">
                  <c:v>-9.2108332983887523E-11</c:v>
                </c:pt>
                <c:pt idx="32">
                  <c:v>-9.487158297340416E-11</c:v>
                </c:pt>
                <c:pt idx="33">
                  <c:v>-9.7717730462606284E-11</c:v>
                </c:pt>
                <c:pt idx="34">
                  <c:v>-1.0064926237648447E-10</c:v>
                </c:pt>
                <c:pt idx="35">
                  <c:v>-1.03668740247779E-10</c:v>
                </c:pt>
                <c:pt idx="36">
                  <c:v>-1.0677880245521238E-10</c:v>
                </c:pt>
                <c:pt idx="37">
                  <c:v>-1.0998216652886874E-10</c:v>
                </c:pt>
                <c:pt idx="38">
                  <c:v>-1.132816315247348E-10</c:v>
                </c:pt>
                <c:pt idx="39">
                  <c:v>-1.1668008047047683E-10</c:v>
                </c:pt>
                <c:pt idx="40">
                  <c:v>-1.2018048288459113E-10</c:v>
                </c:pt>
                <c:pt idx="41">
                  <c:v>-1.2378589737112887E-10</c:v>
                </c:pt>
                <c:pt idx="42">
                  <c:v>-1.2749947429226273E-10</c:v>
                </c:pt>
                <c:pt idx="43">
                  <c:v>-1.3132445852103062E-10</c:v>
                </c:pt>
                <c:pt idx="44">
                  <c:v>-1.3526419227666151E-10</c:v>
                </c:pt>
                <c:pt idx="45">
                  <c:v>-1.3932211804496136E-10</c:v>
                </c:pt>
                <c:pt idx="46">
                  <c:v>-1.435017815863102E-10</c:v>
                </c:pt>
                <c:pt idx="47">
                  <c:v>-1.4780683503389954E-10</c:v>
                </c:pt>
                <c:pt idx="48">
                  <c:v>-1.5224104008491652E-10</c:v>
                </c:pt>
                <c:pt idx="49">
                  <c:v>-1.5680827128746399E-10</c:v>
                </c:pt>
                <c:pt idx="50">
                  <c:v>-1.6151251942608793E-10</c:v>
                </c:pt>
              </c:numCache>
            </c:numRef>
          </c:yVal>
          <c:smooth val="0"/>
          <c:extLst>
            <c:ext xmlns:c16="http://schemas.microsoft.com/office/drawing/2014/chart" uri="{C3380CC4-5D6E-409C-BE32-E72D297353CC}">
              <c16:uniqueId val="{00000002-E322-46DC-B4D4-D3EB02BF0E9F}"/>
            </c:ext>
          </c:extLst>
        </c:ser>
        <c:dLbls>
          <c:showLegendKey val="0"/>
          <c:showVal val="0"/>
          <c:showCatName val="0"/>
          <c:showSerName val="0"/>
          <c:showPercent val="0"/>
          <c:showBubbleSize val="0"/>
        </c:dLbls>
        <c:axId val="667197824"/>
        <c:axId val="667199360"/>
      </c:scatterChart>
      <c:valAx>
        <c:axId val="667197824"/>
        <c:scaling>
          <c:orientation val="minMax"/>
          <c:max val="50"/>
          <c:min val="0"/>
        </c:scaling>
        <c:delete val="0"/>
        <c:axPos val="b"/>
        <c:numFmt formatCode="General" sourceLinked="1"/>
        <c:majorTickMark val="out"/>
        <c:minorTickMark val="none"/>
        <c:tickLblPos val="nextTo"/>
        <c:crossAx val="667199360"/>
        <c:crosses val="autoZero"/>
        <c:crossBetween val="midCat"/>
        <c:majorUnit val="10"/>
        <c:minorUnit val="2"/>
      </c:valAx>
      <c:valAx>
        <c:axId val="667199360"/>
        <c:scaling>
          <c:orientation val="minMax"/>
        </c:scaling>
        <c:delete val="0"/>
        <c:axPos val="l"/>
        <c:majorGridlines/>
        <c:numFmt formatCode="#,##0.00" sourceLinked="1"/>
        <c:majorTickMark val="out"/>
        <c:minorTickMark val="none"/>
        <c:tickLblPos val="nextTo"/>
        <c:crossAx val="667197824"/>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Annuitätenzuschuss!$V$190</c:f>
              <c:strCache>
                <c:ptCount val="1"/>
                <c:pt idx="0">
                  <c:v>Eigenmittel f. Grundkosten</c:v>
                </c:pt>
              </c:strCache>
            </c:strRef>
          </c:tx>
          <c:marker>
            <c:symbol val="none"/>
          </c:marker>
          <c:xVal>
            <c:numRef>
              <c:f>Annuitätenzuschuss!$M$191:$M$241</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Annuitätenzuschuss!$V$191:$V$241</c:f>
              <c:numCache>
                <c:formatCode>#,##0.00</c:formatCode>
                <c:ptCount val="51"/>
                <c:pt idx="0">
                  <c:v>0</c:v>
                </c:pt>
                <c:pt idx="1">
                  <c:v>8640</c:v>
                </c:pt>
                <c:pt idx="2">
                  <c:v>8640</c:v>
                </c:pt>
                <c:pt idx="3">
                  <c:v>8640</c:v>
                </c:pt>
                <c:pt idx="4">
                  <c:v>8640</c:v>
                </c:pt>
                <c:pt idx="5">
                  <c:v>8640</c:v>
                </c:pt>
                <c:pt idx="6">
                  <c:v>8640</c:v>
                </c:pt>
                <c:pt idx="7">
                  <c:v>8640</c:v>
                </c:pt>
                <c:pt idx="8">
                  <c:v>8640</c:v>
                </c:pt>
                <c:pt idx="9">
                  <c:v>8640</c:v>
                </c:pt>
                <c:pt idx="10">
                  <c:v>8640</c:v>
                </c:pt>
                <c:pt idx="11">
                  <c:v>8640</c:v>
                </c:pt>
                <c:pt idx="12">
                  <c:v>8640</c:v>
                </c:pt>
                <c:pt idx="13">
                  <c:v>8640</c:v>
                </c:pt>
                <c:pt idx="14">
                  <c:v>8640</c:v>
                </c:pt>
                <c:pt idx="15">
                  <c:v>8640</c:v>
                </c:pt>
                <c:pt idx="16">
                  <c:v>8640</c:v>
                </c:pt>
                <c:pt idx="17">
                  <c:v>8640</c:v>
                </c:pt>
                <c:pt idx="18">
                  <c:v>8640</c:v>
                </c:pt>
                <c:pt idx="19">
                  <c:v>8640</c:v>
                </c:pt>
                <c:pt idx="20">
                  <c:v>8640</c:v>
                </c:pt>
                <c:pt idx="21">
                  <c:v>8640</c:v>
                </c:pt>
                <c:pt idx="22">
                  <c:v>8640</c:v>
                </c:pt>
                <c:pt idx="23">
                  <c:v>8640</c:v>
                </c:pt>
                <c:pt idx="24">
                  <c:v>8640</c:v>
                </c:pt>
                <c:pt idx="25">
                  <c:v>8640</c:v>
                </c:pt>
                <c:pt idx="26">
                  <c:v>8640</c:v>
                </c:pt>
                <c:pt idx="27">
                  <c:v>8640</c:v>
                </c:pt>
                <c:pt idx="28">
                  <c:v>8640</c:v>
                </c:pt>
                <c:pt idx="29">
                  <c:v>8640</c:v>
                </c:pt>
                <c:pt idx="30">
                  <c:v>8640</c:v>
                </c:pt>
                <c:pt idx="31">
                  <c:v>8640</c:v>
                </c:pt>
                <c:pt idx="32">
                  <c:v>8640</c:v>
                </c:pt>
                <c:pt idx="33">
                  <c:v>8640</c:v>
                </c:pt>
                <c:pt idx="34">
                  <c:v>8640</c:v>
                </c:pt>
                <c:pt idx="35">
                  <c:v>8640</c:v>
                </c:pt>
                <c:pt idx="36">
                  <c:v>8640</c:v>
                </c:pt>
                <c:pt idx="37">
                  <c:v>8640</c:v>
                </c:pt>
                <c:pt idx="38">
                  <c:v>8640</c:v>
                </c:pt>
                <c:pt idx="39">
                  <c:v>8640</c:v>
                </c:pt>
                <c:pt idx="40">
                  <c:v>8640</c:v>
                </c:pt>
                <c:pt idx="41">
                  <c:v>8640</c:v>
                </c:pt>
                <c:pt idx="42">
                  <c:v>8640</c:v>
                </c:pt>
                <c:pt idx="43">
                  <c:v>8640</c:v>
                </c:pt>
                <c:pt idx="44">
                  <c:v>8640</c:v>
                </c:pt>
                <c:pt idx="45">
                  <c:v>8640</c:v>
                </c:pt>
                <c:pt idx="46">
                  <c:v>8640</c:v>
                </c:pt>
                <c:pt idx="47">
                  <c:v>8640</c:v>
                </c:pt>
                <c:pt idx="48">
                  <c:v>8640</c:v>
                </c:pt>
                <c:pt idx="49">
                  <c:v>8640</c:v>
                </c:pt>
                <c:pt idx="50">
                  <c:v>8640</c:v>
                </c:pt>
              </c:numCache>
            </c:numRef>
          </c:yVal>
          <c:smooth val="0"/>
          <c:extLst>
            <c:ext xmlns:c16="http://schemas.microsoft.com/office/drawing/2014/chart" uri="{C3380CC4-5D6E-409C-BE32-E72D297353CC}">
              <c16:uniqueId val="{00000000-A82F-4EBB-9057-C20734033442}"/>
            </c:ext>
          </c:extLst>
        </c:ser>
        <c:ser>
          <c:idx val="1"/>
          <c:order val="1"/>
          <c:tx>
            <c:strRef>
              <c:f>Annuitätenzuschuss!$W$190</c:f>
              <c:strCache>
                <c:ptCount val="1"/>
                <c:pt idx="0">
                  <c:v>Eigenmittel f. Baukosten</c:v>
                </c:pt>
              </c:strCache>
            </c:strRef>
          </c:tx>
          <c:marker>
            <c:symbol val="none"/>
          </c:marker>
          <c:xVal>
            <c:numRef>
              <c:f>Annuitätenzuschuss!$M$191:$M$241</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Annuitätenzuschuss!$W$191:$W$241</c:f>
              <c:numCache>
                <c:formatCode>#,##0.00</c:formatCode>
                <c:ptCount val="51"/>
                <c:pt idx="0">
                  <c:v>0</c:v>
                </c:pt>
                <c:pt idx="1">
                  <c:v>7184.6589840000006</c:v>
                </c:pt>
                <c:pt idx="2">
                  <c:v>7184.6589840000006</c:v>
                </c:pt>
                <c:pt idx="3">
                  <c:v>7184.6589840000006</c:v>
                </c:pt>
                <c:pt idx="4">
                  <c:v>7184.6589840000006</c:v>
                </c:pt>
                <c:pt idx="5">
                  <c:v>7184.6589840000006</c:v>
                </c:pt>
                <c:pt idx="6">
                  <c:v>7184.6589840000006</c:v>
                </c:pt>
                <c:pt idx="7">
                  <c:v>7184.6589840000006</c:v>
                </c:pt>
                <c:pt idx="8">
                  <c:v>7184.6589840000006</c:v>
                </c:pt>
                <c:pt idx="9">
                  <c:v>7184.6589840000006</c:v>
                </c:pt>
                <c:pt idx="10">
                  <c:v>7184.6589840000006</c:v>
                </c:pt>
                <c:pt idx="11">
                  <c:v>7184.6589840000006</c:v>
                </c:pt>
                <c:pt idx="12">
                  <c:v>7184.6589840000006</c:v>
                </c:pt>
                <c:pt idx="13">
                  <c:v>7184.6589840000006</c:v>
                </c:pt>
                <c:pt idx="14">
                  <c:v>7184.6589840000006</c:v>
                </c:pt>
                <c:pt idx="15">
                  <c:v>7184.6589840000006</c:v>
                </c:pt>
                <c:pt idx="16">
                  <c:v>7184.6589840000006</c:v>
                </c:pt>
                <c:pt idx="17">
                  <c:v>7184.6589840000006</c:v>
                </c:pt>
                <c:pt idx="18">
                  <c:v>7184.6589840000006</c:v>
                </c:pt>
                <c:pt idx="19">
                  <c:v>7184.6589840000006</c:v>
                </c:pt>
                <c:pt idx="20">
                  <c:v>7184.6589840000006</c:v>
                </c:pt>
                <c:pt idx="21">
                  <c:v>7184.6589840000006</c:v>
                </c:pt>
                <c:pt idx="22">
                  <c:v>7184.6589840000006</c:v>
                </c:pt>
                <c:pt idx="23">
                  <c:v>7184.6589840000006</c:v>
                </c:pt>
                <c:pt idx="24">
                  <c:v>7184.6589840000006</c:v>
                </c:pt>
                <c:pt idx="25">
                  <c:v>7184.6589840000006</c:v>
                </c:pt>
                <c:pt idx="26">
                  <c:v>7184.6589840000006</c:v>
                </c:pt>
                <c:pt idx="27">
                  <c:v>7184.6589840000006</c:v>
                </c:pt>
                <c:pt idx="28">
                  <c:v>7184.6589840000006</c:v>
                </c:pt>
                <c:pt idx="29">
                  <c:v>7184.6589840000006</c:v>
                </c:pt>
                <c:pt idx="30">
                  <c:v>7184.6589840000006</c:v>
                </c:pt>
                <c:pt idx="31">
                  <c:v>7184.6589840000006</c:v>
                </c:pt>
                <c:pt idx="32">
                  <c:v>7184.6589840000006</c:v>
                </c:pt>
                <c:pt idx="33">
                  <c:v>7184.6589840000006</c:v>
                </c:pt>
                <c:pt idx="34">
                  <c:v>7184.6589840000006</c:v>
                </c:pt>
                <c:pt idx="35">
                  <c:v>7184.6589840000006</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A82F-4EBB-9057-C20734033442}"/>
            </c:ext>
          </c:extLst>
        </c:ser>
        <c:dLbls>
          <c:showLegendKey val="0"/>
          <c:showVal val="0"/>
          <c:showCatName val="0"/>
          <c:showSerName val="0"/>
          <c:showPercent val="0"/>
          <c:showBubbleSize val="0"/>
        </c:dLbls>
        <c:axId val="669194496"/>
        <c:axId val="669196288"/>
      </c:scatterChart>
      <c:valAx>
        <c:axId val="669194496"/>
        <c:scaling>
          <c:orientation val="minMax"/>
        </c:scaling>
        <c:delete val="0"/>
        <c:axPos val="b"/>
        <c:numFmt formatCode="General" sourceLinked="1"/>
        <c:majorTickMark val="out"/>
        <c:minorTickMark val="none"/>
        <c:tickLblPos val="nextTo"/>
        <c:crossAx val="669196288"/>
        <c:crosses val="autoZero"/>
        <c:crossBetween val="midCat"/>
      </c:valAx>
      <c:valAx>
        <c:axId val="669196288"/>
        <c:scaling>
          <c:orientation val="minMax"/>
        </c:scaling>
        <c:delete val="0"/>
        <c:axPos val="l"/>
        <c:majorGridlines/>
        <c:numFmt formatCode="#,##0.00" sourceLinked="1"/>
        <c:majorTickMark val="out"/>
        <c:minorTickMark val="none"/>
        <c:tickLblPos val="nextTo"/>
        <c:crossAx val="669194496"/>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Annuitätenzuschuss!$BL$190</c:f>
              <c:strCache>
                <c:ptCount val="1"/>
                <c:pt idx="0">
                  <c:v>WBF Darlehen</c:v>
                </c:pt>
              </c:strCache>
            </c:strRef>
          </c:tx>
          <c:marker>
            <c:symbol val="none"/>
          </c:marker>
          <c:xVal>
            <c:numRef>
              <c:f>Annuitätenzuschuss!$BK$191:$BK$241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Annuitätenzuschuss!$BL$191:$BL$241</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AAC7-4EA2-BE7E-DA97993FC544}"/>
            </c:ext>
          </c:extLst>
        </c:ser>
        <c:ser>
          <c:idx val="1"/>
          <c:order val="1"/>
          <c:tx>
            <c:strRef>
              <c:f>Annuitätenzuschuss!$BM$190</c:f>
              <c:strCache>
                <c:ptCount val="1"/>
                <c:pt idx="0">
                  <c:v>Bankdarlehen</c:v>
                </c:pt>
              </c:strCache>
            </c:strRef>
          </c:tx>
          <c:marker>
            <c:symbol val="none"/>
          </c:marker>
          <c:xVal>
            <c:numRef>
              <c:f>Annuitätenzuschuss!$BK$191:$BK$241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Annuitätenzuschuss!$BM$191:$BM$241</c:f>
              <c:numCache>
                <c:formatCode>#,##0.00</c:formatCode>
                <c:ptCount val="51"/>
                <c:pt idx="0">
                  <c:v>0</c:v>
                </c:pt>
                <c:pt idx="1">
                  <c:v>-192809.16793014269</c:v>
                </c:pt>
                <c:pt idx="2">
                  <c:v>-192809.16793014269</c:v>
                </c:pt>
                <c:pt idx="3">
                  <c:v>-192809.16793014269</c:v>
                </c:pt>
                <c:pt idx="4">
                  <c:v>-192809.16793014269</c:v>
                </c:pt>
                <c:pt idx="5">
                  <c:v>-192809.16793014269</c:v>
                </c:pt>
                <c:pt idx="6">
                  <c:v>-192809.16793014269</c:v>
                </c:pt>
                <c:pt idx="7">
                  <c:v>-192809.16793014269</c:v>
                </c:pt>
                <c:pt idx="8">
                  <c:v>-192809.16793014269</c:v>
                </c:pt>
                <c:pt idx="9">
                  <c:v>-192809.16793014269</c:v>
                </c:pt>
                <c:pt idx="10">
                  <c:v>-192809.16793014269</c:v>
                </c:pt>
                <c:pt idx="11">
                  <c:v>-192809.16793014269</c:v>
                </c:pt>
                <c:pt idx="12">
                  <c:v>-192809.16793014269</c:v>
                </c:pt>
                <c:pt idx="13">
                  <c:v>-192809.16793014269</c:v>
                </c:pt>
                <c:pt idx="14">
                  <c:v>-192809.16793014269</c:v>
                </c:pt>
                <c:pt idx="15">
                  <c:v>-192809.16793014269</c:v>
                </c:pt>
                <c:pt idx="16">
                  <c:v>-192809.16793014269</c:v>
                </c:pt>
                <c:pt idx="17">
                  <c:v>-192809.16793014269</c:v>
                </c:pt>
                <c:pt idx="18">
                  <c:v>-192809.16793014269</c:v>
                </c:pt>
                <c:pt idx="19">
                  <c:v>-192809.16793014269</c:v>
                </c:pt>
                <c:pt idx="20">
                  <c:v>-192809.16793014269</c:v>
                </c:pt>
                <c:pt idx="21">
                  <c:v>-192809.16793014269</c:v>
                </c:pt>
                <c:pt idx="22">
                  <c:v>-192809.16793014269</c:v>
                </c:pt>
                <c:pt idx="23">
                  <c:v>-192809.16793014269</c:v>
                </c:pt>
                <c:pt idx="24">
                  <c:v>-192809.16793014269</c:v>
                </c:pt>
                <c:pt idx="25">
                  <c:v>-192809.16793014269</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AAC7-4EA2-BE7E-DA97993FC544}"/>
            </c:ext>
          </c:extLst>
        </c:ser>
        <c:ser>
          <c:idx val="2"/>
          <c:order val="2"/>
          <c:tx>
            <c:strRef>
              <c:f>Annuitätenzuschuss!$BN$190</c:f>
              <c:strCache>
                <c:ptCount val="1"/>
                <c:pt idx="0">
                  <c:v>Eigenkapital</c:v>
                </c:pt>
              </c:strCache>
            </c:strRef>
          </c:tx>
          <c:marker>
            <c:symbol val="none"/>
          </c:marker>
          <c:xVal>
            <c:numRef>
              <c:f>Annuitätenzuschuss!$BK$191:$BK$241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Annuitätenzuschuss!$BN$191:$BN$241</c:f>
              <c:numCache>
                <c:formatCode>#,##0.00</c:formatCode>
                <c:ptCount val="51"/>
                <c:pt idx="0">
                  <c:v>0</c:v>
                </c:pt>
                <c:pt idx="1">
                  <c:v>-15824.658984000002</c:v>
                </c:pt>
                <c:pt idx="2">
                  <c:v>-15824.658984000002</c:v>
                </c:pt>
                <c:pt idx="3">
                  <c:v>-15824.658984000002</c:v>
                </c:pt>
                <c:pt idx="4">
                  <c:v>-15824.658984000002</c:v>
                </c:pt>
                <c:pt idx="5">
                  <c:v>-15824.658984000002</c:v>
                </c:pt>
                <c:pt idx="6">
                  <c:v>-15824.658984000002</c:v>
                </c:pt>
                <c:pt idx="7">
                  <c:v>-15824.658984000002</c:v>
                </c:pt>
                <c:pt idx="8">
                  <c:v>-15824.658984000002</c:v>
                </c:pt>
                <c:pt idx="9">
                  <c:v>-15824.658984000002</c:v>
                </c:pt>
                <c:pt idx="10">
                  <c:v>-15824.658984000002</c:v>
                </c:pt>
                <c:pt idx="11">
                  <c:v>-15824.658984000002</c:v>
                </c:pt>
                <c:pt idx="12">
                  <c:v>-15824.658984000002</c:v>
                </c:pt>
                <c:pt idx="13">
                  <c:v>-15824.658984000002</c:v>
                </c:pt>
                <c:pt idx="14">
                  <c:v>-15824.658984000002</c:v>
                </c:pt>
                <c:pt idx="15">
                  <c:v>-15824.658984000002</c:v>
                </c:pt>
                <c:pt idx="16">
                  <c:v>-15824.658984000002</c:v>
                </c:pt>
                <c:pt idx="17">
                  <c:v>-15824.658984000002</c:v>
                </c:pt>
                <c:pt idx="18">
                  <c:v>-15824.658984000002</c:v>
                </c:pt>
                <c:pt idx="19">
                  <c:v>-15824.658984000002</c:v>
                </c:pt>
                <c:pt idx="20">
                  <c:v>-15824.658984000002</c:v>
                </c:pt>
                <c:pt idx="21">
                  <c:v>-15824.658984000002</c:v>
                </c:pt>
                <c:pt idx="22">
                  <c:v>-15824.658984000002</c:v>
                </c:pt>
                <c:pt idx="23">
                  <c:v>-15824.658984000002</c:v>
                </c:pt>
                <c:pt idx="24">
                  <c:v>-15824.658984000002</c:v>
                </c:pt>
                <c:pt idx="25">
                  <c:v>-15824.658984000002</c:v>
                </c:pt>
                <c:pt idx="26">
                  <c:v>-15824.658984000002</c:v>
                </c:pt>
                <c:pt idx="27">
                  <c:v>-15824.658984000002</c:v>
                </c:pt>
                <c:pt idx="28">
                  <c:v>-15824.658984000002</c:v>
                </c:pt>
                <c:pt idx="29">
                  <c:v>-15824.658984000002</c:v>
                </c:pt>
                <c:pt idx="30">
                  <c:v>-15824.658984000002</c:v>
                </c:pt>
                <c:pt idx="31">
                  <c:v>-15824.658984000002</c:v>
                </c:pt>
                <c:pt idx="32">
                  <c:v>-15824.658984000002</c:v>
                </c:pt>
                <c:pt idx="33">
                  <c:v>-15824.658984000002</c:v>
                </c:pt>
                <c:pt idx="34">
                  <c:v>-15824.658984000002</c:v>
                </c:pt>
                <c:pt idx="35">
                  <c:v>-15824.658984000002</c:v>
                </c:pt>
                <c:pt idx="36">
                  <c:v>-8640</c:v>
                </c:pt>
                <c:pt idx="37">
                  <c:v>-8640</c:v>
                </c:pt>
                <c:pt idx="38">
                  <c:v>-8640</c:v>
                </c:pt>
                <c:pt idx="39">
                  <c:v>-8640</c:v>
                </c:pt>
                <c:pt idx="40">
                  <c:v>-8640</c:v>
                </c:pt>
                <c:pt idx="41">
                  <c:v>-8640</c:v>
                </c:pt>
                <c:pt idx="42">
                  <c:v>-8640</c:v>
                </c:pt>
                <c:pt idx="43">
                  <c:v>-8640</c:v>
                </c:pt>
                <c:pt idx="44">
                  <c:v>-8640</c:v>
                </c:pt>
                <c:pt idx="45">
                  <c:v>-8640</c:v>
                </c:pt>
                <c:pt idx="46">
                  <c:v>-8640</c:v>
                </c:pt>
                <c:pt idx="47">
                  <c:v>-8640</c:v>
                </c:pt>
                <c:pt idx="48">
                  <c:v>-8640</c:v>
                </c:pt>
                <c:pt idx="49">
                  <c:v>-8640</c:v>
                </c:pt>
                <c:pt idx="50">
                  <c:v>-8640</c:v>
                </c:pt>
              </c:numCache>
            </c:numRef>
          </c:yVal>
          <c:smooth val="0"/>
          <c:extLst>
            <c:ext xmlns:c16="http://schemas.microsoft.com/office/drawing/2014/chart" uri="{C3380CC4-5D6E-409C-BE32-E72D297353CC}">
              <c16:uniqueId val="{00000002-AAC7-4EA2-BE7E-DA97993FC544}"/>
            </c:ext>
          </c:extLst>
        </c:ser>
        <c:ser>
          <c:idx val="3"/>
          <c:order val="3"/>
          <c:tx>
            <c:strRef>
              <c:f>Annuitätenzuschuss!$BO$190</c:f>
              <c:strCache>
                <c:ptCount val="1"/>
                <c:pt idx="0">
                  <c:v>Annuitätenzuschuss</c:v>
                </c:pt>
              </c:strCache>
            </c:strRef>
          </c:tx>
          <c:marker>
            <c:symbol val="none"/>
          </c:marker>
          <c:xVal>
            <c:numRef>
              <c:f>Annuitätenzuschuss!$BK$191:$BK$241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Annuitätenzuschuss!$BO$191:$BO$241</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AAC7-4EA2-BE7E-DA97993FC544}"/>
            </c:ext>
          </c:extLst>
        </c:ser>
        <c:ser>
          <c:idx val="4"/>
          <c:order val="4"/>
          <c:tx>
            <c:strRef>
              <c:f>Annuitätenzuschuss!$BP$56</c:f>
              <c:strCache>
                <c:ptCount val="1"/>
                <c:pt idx="0">
                  <c:v>Entgeltstundung</c:v>
                </c:pt>
              </c:strCache>
            </c:strRef>
          </c:tx>
          <c:marker>
            <c:symbol val="none"/>
          </c:marker>
          <c:xVal>
            <c:numRef>
              <c:f>Annuitätenzuschuss!$BK$57:$BK$107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Annuitätenzuschuss!$BP$57:$BP$107</c:f>
              <c:numCache>
                <c:formatCode>#,##0.00</c:formatCode>
                <c:ptCount val="51"/>
                <c:pt idx="0">
                  <c:v>0</c:v>
                </c:pt>
                <c:pt idx="1">
                  <c:v>130254.64171011459</c:v>
                </c:pt>
                <c:pt idx="2">
                  <c:v>130254.64171011459</c:v>
                </c:pt>
                <c:pt idx="3">
                  <c:v>130254.64171011459</c:v>
                </c:pt>
                <c:pt idx="4">
                  <c:v>130254.64171011459</c:v>
                </c:pt>
                <c:pt idx="5">
                  <c:v>130254.64171011459</c:v>
                </c:pt>
                <c:pt idx="6">
                  <c:v>130254.64171011459</c:v>
                </c:pt>
                <c:pt idx="7">
                  <c:v>130254.64171011459</c:v>
                </c:pt>
                <c:pt idx="8">
                  <c:v>130254.64171011459</c:v>
                </c:pt>
                <c:pt idx="9">
                  <c:v>130254.64171011459</c:v>
                </c:pt>
                <c:pt idx="10">
                  <c:v>130254.64171011459</c:v>
                </c:pt>
                <c:pt idx="11">
                  <c:v>130254.64171011459</c:v>
                </c:pt>
                <c:pt idx="12">
                  <c:v>130254.64171011459</c:v>
                </c:pt>
                <c:pt idx="13">
                  <c:v>130254.64171011459</c:v>
                </c:pt>
                <c:pt idx="14">
                  <c:v>130254.64171011459</c:v>
                </c:pt>
                <c:pt idx="15">
                  <c:v>130254.64171011459</c:v>
                </c:pt>
                <c:pt idx="16">
                  <c:v>130254.64171011459</c:v>
                </c:pt>
                <c:pt idx="17">
                  <c:v>130254.64171011459</c:v>
                </c:pt>
                <c:pt idx="18">
                  <c:v>130254.64171011459</c:v>
                </c:pt>
                <c:pt idx="19">
                  <c:v>130254.64171011459</c:v>
                </c:pt>
                <c:pt idx="20">
                  <c:v>130254.64171011459</c:v>
                </c:pt>
                <c:pt idx="21">
                  <c:v>130254.64171011459</c:v>
                </c:pt>
                <c:pt idx="22">
                  <c:v>130254.64171011459</c:v>
                </c:pt>
                <c:pt idx="23">
                  <c:v>130254.64171011459</c:v>
                </c:pt>
                <c:pt idx="24">
                  <c:v>130254.64171011459</c:v>
                </c:pt>
                <c:pt idx="25">
                  <c:v>130254.64171011459</c:v>
                </c:pt>
                <c:pt idx="26">
                  <c:v>-61740.101231999994</c:v>
                </c:pt>
                <c:pt idx="27">
                  <c:v>-61740.101231999994</c:v>
                </c:pt>
                <c:pt idx="28">
                  <c:v>-61740.101231999994</c:v>
                </c:pt>
                <c:pt idx="29">
                  <c:v>-61740.101231999994</c:v>
                </c:pt>
                <c:pt idx="30">
                  <c:v>-61740.101231999994</c:v>
                </c:pt>
                <c:pt idx="31">
                  <c:v>-61740.101231999994</c:v>
                </c:pt>
                <c:pt idx="32">
                  <c:v>-61740.101231999994</c:v>
                </c:pt>
                <c:pt idx="33">
                  <c:v>-61740.101231999994</c:v>
                </c:pt>
                <c:pt idx="34">
                  <c:v>-61740.101231999994</c:v>
                </c:pt>
                <c:pt idx="35">
                  <c:v>-4471464.0041862056</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AAC7-4EA2-BE7E-DA97993FC544}"/>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AAC7-4EA2-BE7E-DA97993FC544}"/>
            </c:ext>
          </c:extLst>
        </c:ser>
        <c:ser>
          <c:idx val="6"/>
          <c:order val="6"/>
          <c:tx>
            <c:strRef>
              <c:f>Annuitätenzuschuss!$BR$190</c:f>
              <c:strCache>
                <c:ptCount val="1"/>
                <c:pt idx="0">
                  <c:v>Zeitwert gesamt</c:v>
                </c:pt>
              </c:strCache>
            </c:strRef>
          </c:tx>
          <c:marker>
            <c:symbol val="none"/>
          </c:marker>
          <c:xVal>
            <c:numRef>
              <c:f>Annuitätenzuschuss!$BK$191:$BK$241</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Annuitätenzuschuss!$BR$191:$BR$241</c:f>
              <c:numCache>
                <c:formatCode>#,##0.00</c:formatCode>
                <c:ptCount val="51"/>
                <c:pt idx="0">
                  <c:v>0</c:v>
                </c:pt>
                <c:pt idx="1">
                  <c:v>-77534.90399999998</c:v>
                </c:pt>
                <c:pt idx="2">
                  <c:v>-77534.90399999998</c:v>
                </c:pt>
                <c:pt idx="3">
                  <c:v>-77534.90399999998</c:v>
                </c:pt>
                <c:pt idx="4">
                  <c:v>-77534.90399999998</c:v>
                </c:pt>
                <c:pt idx="5">
                  <c:v>-77534.90399999998</c:v>
                </c:pt>
                <c:pt idx="6">
                  <c:v>-77534.90399999998</c:v>
                </c:pt>
                <c:pt idx="7">
                  <c:v>-77534.90399999998</c:v>
                </c:pt>
                <c:pt idx="8">
                  <c:v>-77534.90399999998</c:v>
                </c:pt>
                <c:pt idx="9">
                  <c:v>-77534.90399999998</c:v>
                </c:pt>
                <c:pt idx="10">
                  <c:v>-77534.90399999998</c:v>
                </c:pt>
                <c:pt idx="11">
                  <c:v>-77534.90399999998</c:v>
                </c:pt>
                <c:pt idx="12">
                  <c:v>-77534.90399999998</c:v>
                </c:pt>
                <c:pt idx="13">
                  <c:v>-77534.90399999998</c:v>
                </c:pt>
                <c:pt idx="14">
                  <c:v>-77534.90399999998</c:v>
                </c:pt>
                <c:pt idx="15">
                  <c:v>-77534.90399999998</c:v>
                </c:pt>
                <c:pt idx="16">
                  <c:v>-77534.90399999998</c:v>
                </c:pt>
                <c:pt idx="17">
                  <c:v>-77534.90399999998</c:v>
                </c:pt>
                <c:pt idx="18">
                  <c:v>-77534.90399999998</c:v>
                </c:pt>
                <c:pt idx="19">
                  <c:v>-77534.90399999998</c:v>
                </c:pt>
                <c:pt idx="20">
                  <c:v>-77534.90399999998</c:v>
                </c:pt>
                <c:pt idx="21">
                  <c:v>-77534.90399999998</c:v>
                </c:pt>
                <c:pt idx="22">
                  <c:v>-77534.90399999998</c:v>
                </c:pt>
                <c:pt idx="23">
                  <c:v>-77534.90399999998</c:v>
                </c:pt>
                <c:pt idx="24">
                  <c:v>-77534.90399999998</c:v>
                </c:pt>
                <c:pt idx="25">
                  <c:v>-77534.90399999998</c:v>
                </c:pt>
                <c:pt idx="26">
                  <c:v>-77534.903999999995</c:v>
                </c:pt>
                <c:pt idx="27">
                  <c:v>-77534.903999999995</c:v>
                </c:pt>
                <c:pt idx="28">
                  <c:v>-77534.903999999995</c:v>
                </c:pt>
                <c:pt idx="29">
                  <c:v>-77534.903999999995</c:v>
                </c:pt>
                <c:pt idx="30">
                  <c:v>-77534.903999999995</c:v>
                </c:pt>
                <c:pt idx="31">
                  <c:v>-77534.903999999995</c:v>
                </c:pt>
                <c:pt idx="32">
                  <c:v>-77534.903999999995</c:v>
                </c:pt>
                <c:pt idx="33">
                  <c:v>-77534.903999999995</c:v>
                </c:pt>
                <c:pt idx="34">
                  <c:v>-77534.903999999995</c:v>
                </c:pt>
                <c:pt idx="35">
                  <c:v>-4520550.4783309251</c:v>
                </c:pt>
                <c:pt idx="36">
                  <c:v>-8640</c:v>
                </c:pt>
                <c:pt idx="37">
                  <c:v>-8640</c:v>
                </c:pt>
                <c:pt idx="38">
                  <c:v>-8640</c:v>
                </c:pt>
                <c:pt idx="39">
                  <c:v>-8640</c:v>
                </c:pt>
                <c:pt idx="40">
                  <c:v>-8640</c:v>
                </c:pt>
                <c:pt idx="41">
                  <c:v>-8640</c:v>
                </c:pt>
                <c:pt idx="42">
                  <c:v>-8640</c:v>
                </c:pt>
                <c:pt idx="43">
                  <c:v>-8640</c:v>
                </c:pt>
                <c:pt idx="44">
                  <c:v>-8640</c:v>
                </c:pt>
                <c:pt idx="45">
                  <c:v>-8640</c:v>
                </c:pt>
                <c:pt idx="46">
                  <c:v>-8640</c:v>
                </c:pt>
                <c:pt idx="47">
                  <c:v>-8640</c:v>
                </c:pt>
                <c:pt idx="48">
                  <c:v>-8640</c:v>
                </c:pt>
                <c:pt idx="49">
                  <c:v>-8640</c:v>
                </c:pt>
                <c:pt idx="50">
                  <c:v>-8640</c:v>
                </c:pt>
              </c:numCache>
            </c:numRef>
          </c:yVal>
          <c:smooth val="0"/>
          <c:extLst>
            <c:ext xmlns:c16="http://schemas.microsoft.com/office/drawing/2014/chart" uri="{C3380CC4-5D6E-409C-BE32-E72D297353CC}">
              <c16:uniqueId val="{00000006-AAC7-4EA2-BE7E-DA97993FC544}"/>
            </c:ext>
          </c:extLst>
        </c:ser>
        <c:dLbls>
          <c:showLegendKey val="0"/>
          <c:showVal val="0"/>
          <c:showCatName val="0"/>
          <c:showSerName val="0"/>
          <c:showPercent val="0"/>
          <c:showBubbleSize val="0"/>
        </c:dLbls>
        <c:axId val="669262208"/>
        <c:axId val="669263744"/>
      </c:scatterChart>
      <c:valAx>
        <c:axId val="669262208"/>
        <c:scaling>
          <c:orientation val="minMax"/>
        </c:scaling>
        <c:delete val="0"/>
        <c:axPos val="b"/>
        <c:numFmt formatCode="General" sourceLinked="1"/>
        <c:majorTickMark val="out"/>
        <c:minorTickMark val="none"/>
        <c:tickLblPos val="nextTo"/>
        <c:crossAx val="669263744"/>
        <c:crosses val="autoZero"/>
        <c:crossBetween val="midCat"/>
      </c:valAx>
      <c:valAx>
        <c:axId val="669263744"/>
        <c:scaling>
          <c:orientation val="minMax"/>
        </c:scaling>
        <c:delete val="0"/>
        <c:axPos val="l"/>
        <c:majorGridlines/>
        <c:numFmt formatCode="#,##0.00" sourceLinked="1"/>
        <c:majorTickMark val="out"/>
        <c:minorTickMark val="none"/>
        <c:tickLblPos val="nextTo"/>
        <c:crossAx val="66926220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strRef>
              <c:f>Annuitätenzuschuss!$AT$324</c:f>
              <c:strCache>
                <c:ptCount val="1"/>
                <c:pt idx="0">
                  <c:v>WBF Darlehen</c:v>
                </c:pt>
              </c:strCache>
            </c:strRef>
          </c:tx>
          <c:xVal>
            <c:numRef>
              <c:f>Annuitätenzuschuss!$AS$325:$AS$375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Annuitätenzuschuss!$AT$325:$AT$375</c:f>
              <c:numCache>
                <c:formatCode>#,##0.00</c:formatCode>
                <c:ptCount val="51"/>
                <c:pt idx="0">
                  <c:v>0</c:v>
                </c:pt>
                <c:pt idx="1">
                  <c:v>-8372.3980582524237</c:v>
                </c:pt>
                <c:pt idx="2">
                  <c:v>-8128.5418041285666</c:v>
                </c:pt>
                <c:pt idx="3">
                  <c:v>-7891.7881593481234</c:v>
                </c:pt>
                <c:pt idx="4">
                  <c:v>-7661.9302517942942</c:v>
                </c:pt>
                <c:pt idx="5">
                  <c:v>-7438.7672347517428</c:v>
                </c:pt>
                <c:pt idx="6">
                  <c:v>-7222.1041114094587</c:v>
                </c:pt>
                <c:pt idx="7">
                  <c:v>-7011.751564475202</c:v>
                </c:pt>
                <c:pt idx="8">
                  <c:v>-6807.5257907526238</c:v>
                </c:pt>
                <c:pt idx="9">
                  <c:v>-6609.2483405365283</c:v>
                </c:pt>
                <c:pt idx="10">
                  <c:v>-6416.7459616859496</c:v>
                </c:pt>
                <c:pt idx="11">
                  <c:v>-6229.8504482387862</c:v>
                </c:pt>
                <c:pt idx="12">
                  <c:v>-6048.3984934357159</c:v>
                </c:pt>
                <c:pt idx="13">
                  <c:v>-5872.2315470249669</c:v>
                </c:pt>
                <c:pt idx="14">
                  <c:v>-5701.1956767232678</c:v>
                </c:pt>
                <c:pt idx="15">
                  <c:v>-5535.1414337119095</c:v>
                </c:pt>
                <c:pt idx="16">
                  <c:v>-5373.9237220503992</c:v>
                </c:pt>
                <c:pt idx="17">
                  <c:v>-5217.4016718935909</c:v>
                </c:pt>
                <c:pt idx="18">
                  <c:v>-5065.4385164015448</c:v>
                </c:pt>
                <c:pt idx="19">
                  <c:v>-4917.90147223451</c:v>
                </c:pt>
                <c:pt idx="20">
                  <c:v>-4774.6616235286501</c:v>
                </c:pt>
                <c:pt idx="21">
                  <c:v>-4635.5938092511169</c:v>
                </c:pt>
                <c:pt idx="22">
                  <c:v>-4500.5765138360357</c:v>
                </c:pt>
                <c:pt idx="23">
                  <c:v>-4369.4917610058601</c:v>
                </c:pt>
                <c:pt idx="24">
                  <c:v>-4242.2250106853016</c:v>
                </c:pt>
                <c:pt idx="25">
                  <c:v>-4118.665058917768</c:v>
                </c:pt>
                <c:pt idx="26">
                  <c:v>-27990.927584878042</c:v>
                </c:pt>
                <c:pt idx="27">
                  <c:v>-27175.657849396157</c:v>
                </c:pt>
                <c:pt idx="28">
                  <c:v>-26384.133834365202</c:v>
                </c:pt>
                <c:pt idx="29">
                  <c:v>-25615.663916859423</c:v>
                </c:pt>
                <c:pt idx="30">
                  <c:v>-24869.576618310119</c:v>
                </c:pt>
                <c:pt idx="31">
                  <c:v>-24145.22001777681</c:v>
                </c:pt>
                <c:pt idx="32">
                  <c:v>-23441.961182307587</c:v>
                </c:pt>
                <c:pt idx="33">
                  <c:v>-22759.185613890859</c:v>
                </c:pt>
                <c:pt idx="34">
                  <c:v>-22096.296712515403</c:v>
                </c:pt>
                <c:pt idx="35">
                  <c:v>-21452.715254869319</c:v>
                </c:pt>
                <c:pt idx="36">
                  <c:v>-23766.835412066939</c:v>
                </c:pt>
                <c:pt idx="37">
                  <c:v>-23074.597487443636</c:v>
                </c:pt>
                <c:pt idx="38">
                  <c:v>-22402.521832469552</c:v>
                </c:pt>
                <c:pt idx="39">
                  <c:v>-21750.021196572376</c:v>
                </c:pt>
                <c:pt idx="40">
                  <c:v>-21116.525433565417</c:v>
                </c:pt>
                <c:pt idx="41">
                  <c:v>-20501.481003461569</c:v>
                </c:pt>
                <c:pt idx="42">
                  <c:v>-19904.350488797638</c:v>
                </c:pt>
                <c:pt idx="43">
                  <c:v>-19324.612125046253</c:v>
                </c:pt>
                <c:pt idx="44">
                  <c:v>-18761.7593447051</c:v>
                </c:pt>
                <c:pt idx="45">
                  <c:v>-18215.300334665146</c:v>
                </c:pt>
                <c:pt idx="46">
                  <c:v>-19925.868781198842</c:v>
                </c:pt>
                <c:pt idx="47">
                  <c:v>-19345.503671066839</c:v>
                </c:pt>
                <c:pt idx="48">
                  <c:v>-14863.941452425506</c:v>
                </c:pt>
                <c:pt idx="49">
                  <c:v>0</c:v>
                </c:pt>
                <c:pt idx="50">
                  <c:v>0</c:v>
                </c:pt>
              </c:numCache>
            </c:numRef>
          </c:yVal>
          <c:smooth val="1"/>
          <c:extLst>
            <c:ext xmlns:c16="http://schemas.microsoft.com/office/drawing/2014/chart" uri="{C3380CC4-5D6E-409C-BE32-E72D297353CC}">
              <c16:uniqueId val="{00000000-87E6-4524-86EF-249B2FB91652}"/>
            </c:ext>
          </c:extLst>
        </c:ser>
        <c:dLbls>
          <c:showLegendKey val="0"/>
          <c:showVal val="0"/>
          <c:showCatName val="0"/>
          <c:showSerName val="0"/>
          <c:showPercent val="0"/>
          <c:showBubbleSize val="0"/>
        </c:dLbls>
        <c:axId val="669292032"/>
        <c:axId val="669293568"/>
      </c:scatterChart>
      <c:valAx>
        <c:axId val="669292032"/>
        <c:scaling>
          <c:orientation val="minMax"/>
        </c:scaling>
        <c:delete val="0"/>
        <c:axPos val="b"/>
        <c:numFmt formatCode="General" sourceLinked="1"/>
        <c:majorTickMark val="out"/>
        <c:minorTickMark val="none"/>
        <c:tickLblPos val="nextTo"/>
        <c:crossAx val="669293568"/>
        <c:crosses val="autoZero"/>
        <c:crossBetween val="midCat"/>
      </c:valAx>
      <c:valAx>
        <c:axId val="669293568"/>
        <c:scaling>
          <c:orientation val="minMax"/>
        </c:scaling>
        <c:delete val="0"/>
        <c:axPos val="l"/>
        <c:majorGridlines/>
        <c:numFmt formatCode="#,##0.00" sourceLinked="1"/>
        <c:majorTickMark val="out"/>
        <c:minorTickMark val="none"/>
        <c:tickLblPos val="nextTo"/>
        <c:crossAx val="66929203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0"/>
    </mc:Choice>
    <mc:Fallback>
      <c:style val="10"/>
    </mc:Fallback>
  </mc:AlternateContent>
  <c:chart>
    <c:title>
      <c:tx>
        <c:strRef>
          <c:f>'E.2 Wirtschaftlichkeit'!$B$21</c:f>
          <c:strCache>
            <c:ptCount val="1"/>
            <c:pt idx="0">
              <c:v>Kapitalwertvergleich (Bauherr/Eigentümer)</c:v>
            </c:pt>
          </c:strCache>
        </c:strRef>
      </c:tx>
      <c:layout>
        <c:manualLayout>
          <c:xMode val="edge"/>
          <c:yMode val="edge"/>
          <c:x val="0.19655862753696549"/>
          <c:y val="1.7211730120182261E-2"/>
        </c:manualLayout>
      </c:layout>
      <c:overlay val="0"/>
      <c:txPr>
        <a:bodyPr/>
        <a:lstStyle/>
        <a:p>
          <a:pPr>
            <a:defRPr sz="1400">
              <a:latin typeface="Arial" panose="020B0604020202020204" pitchFamily="34" charset="0"/>
              <a:cs typeface="Arial" panose="020B0604020202020204" pitchFamily="34" charset="0"/>
            </a:defRPr>
          </a:pPr>
          <a:endParaRPr lang="de-DE"/>
        </a:p>
      </c:txPr>
    </c:title>
    <c:autoTitleDeleted val="0"/>
    <c:plotArea>
      <c:layout>
        <c:manualLayout>
          <c:layoutTarget val="inner"/>
          <c:xMode val="edge"/>
          <c:yMode val="edge"/>
          <c:x val="0.16838022541372744"/>
          <c:y val="9.8393102305514388E-2"/>
          <c:w val="0.55494595224122212"/>
          <c:h val="0.75419353663074629"/>
        </c:manualLayout>
      </c:layout>
      <c:barChart>
        <c:barDir val="col"/>
        <c:grouping val="stacked"/>
        <c:varyColors val="0"/>
        <c:ser>
          <c:idx val="0"/>
          <c:order val="0"/>
          <c:tx>
            <c:strRef>
              <c:f>BERECHNUNG!$AK$55</c:f>
              <c:strCache>
                <c:ptCount val="1"/>
                <c:pt idx="0">
                  <c:v>Finanzierungskosten</c:v>
                </c:pt>
              </c:strCache>
            </c:strRef>
          </c:tx>
          <c:spPr>
            <a:solidFill>
              <a:schemeClr val="accent2"/>
            </a:solidFill>
            <a:ln w="3175">
              <a:solidFill>
                <a:srgbClr val="C00000"/>
              </a:solidFill>
            </a:ln>
            <a:effectLst/>
          </c:spPr>
          <c:invertIfNegative val="0"/>
          <c:cat>
            <c:strRef>
              <c:f>BERECHNUNG!$AI$56:$AI$70</c:f>
              <c:strCache>
                <c:ptCount val="13"/>
                <c:pt idx="0">
                  <c:v>BTV</c:v>
                </c:pt>
                <c:pt idx="3">
                  <c:v>PH</c:v>
                </c:pt>
                <c:pt idx="6">
                  <c:v>PHSol</c:v>
                </c:pt>
                <c:pt idx="9">
                  <c:v>PHWRGSo</c:v>
                </c:pt>
                <c:pt idx="12">
                  <c:v>PHWRGSoPV</c:v>
                </c:pt>
              </c:strCache>
            </c:strRef>
          </c:cat>
          <c:val>
            <c:numRef>
              <c:f>BERECHNUNG!$AK$56:$AK$70</c:f>
              <c:numCache>
                <c:formatCode>General</c:formatCode>
                <c:ptCount val="15"/>
                <c:pt idx="0">
                  <c:v>3649462.4014117629</c:v>
                </c:pt>
                <c:pt idx="1">
                  <c:v>0</c:v>
                </c:pt>
                <c:pt idx="2">
                  <c:v>0</c:v>
                </c:pt>
                <c:pt idx="3">
                  <c:v>3643185.4023934924</c:v>
                </c:pt>
                <c:pt idx="4">
                  <c:v>0</c:v>
                </c:pt>
                <c:pt idx="5">
                  <c:v>0</c:v>
                </c:pt>
                <c:pt idx="6">
                  <c:v>3678751.3990175691</c:v>
                </c:pt>
                <c:pt idx="7">
                  <c:v>0</c:v>
                </c:pt>
                <c:pt idx="8">
                  <c:v>0</c:v>
                </c:pt>
                <c:pt idx="9">
                  <c:v>3753760.1907152468</c:v>
                </c:pt>
                <c:pt idx="10">
                  <c:v>0</c:v>
                </c:pt>
                <c:pt idx="11">
                  <c:v>0</c:v>
                </c:pt>
                <c:pt idx="12">
                  <c:v>3790937.5801008861</c:v>
                </c:pt>
                <c:pt idx="13">
                  <c:v>0</c:v>
                </c:pt>
                <c:pt idx="14">
                  <c:v>0</c:v>
                </c:pt>
              </c:numCache>
            </c:numRef>
          </c:val>
          <c:extLst>
            <c:ext xmlns:c16="http://schemas.microsoft.com/office/drawing/2014/chart" uri="{C3380CC4-5D6E-409C-BE32-E72D297353CC}">
              <c16:uniqueId val="{00000000-EA05-46AB-9661-49D263D7815E}"/>
            </c:ext>
          </c:extLst>
        </c:ser>
        <c:ser>
          <c:idx val="1"/>
          <c:order val="1"/>
          <c:tx>
            <c:strRef>
              <c:f>BERECHNUNG!$AL$55</c:f>
              <c:strCache>
                <c:ptCount val="1"/>
                <c:pt idx="0">
                  <c:v>Ersatzinvestition</c:v>
                </c:pt>
              </c:strCache>
            </c:strRef>
          </c:tx>
          <c:spPr>
            <a:solidFill>
              <a:schemeClr val="accent2">
                <a:lumMod val="60000"/>
                <a:lumOff val="40000"/>
              </a:schemeClr>
            </a:solidFill>
            <a:ln w="3175">
              <a:solidFill>
                <a:srgbClr val="F7B5A3"/>
              </a:solidFill>
            </a:ln>
            <a:effectLst/>
          </c:spPr>
          <c:invertIfNegative val="0"/>
          <c:cat>
            <c:strRef>
              <c:f>BERECHNUNG!$AI$56:$AI$70</c:f>
              <c:strCache>
                <c:ptCount val="13"/>
                <c:pt idx="0">
                  <c:v>BTV</c:v>
                </c:pt>
                <c:pt idx="3">
                  <c:v>PH</c:v>
                </c:pt>
                <c:pt idx="6">
                  <c:v>PHSol</c:v>
                </c:pt>
                <c:pt idx="9">
                  <c:v>PHWRGSo</c:v>
                </c:pt>
                <c:pt idx="12">
                  <c:v>PHWRGSoPV</c:v>
                </c:pt>
              </c:strCache>
            </c:strRef>
          </c:cat>
          <c:val>
            <c:numRef>
              <c:f>BERECHNUNG!$AL$56:$AL$70</c:f>
              <c:numCache>
                <c:formatCode>General</c:formatCode>
                <c:ptCount val="15"/>
                <c:pt idx="0">
                  <c:v>162563.98574370297</c:v>
                </c:pt>
                <c:pt idx="1">
                  <c:v>0</c:v>
                </c:pt>
                <c:pt idx="2">
                  <c:v>0</c:v>
                </c:pt>
                <c:pt idx="3">
                  <c:v>160483.18952455575</c:v>
                </c:pt>
                <c:pt idx="4">
                  <c:v>0</c:v>
                </c:pt>
                <c:pt idx="5">
                  <c:v>0</c:v>
                </c:pt>
                <c:pt idx="6">
                  <c:v>190104.15357788268</c:v>
                </c:pt>
                <c:pt idx="7">
                  <c:v>0</c:v>
                </c:pt>
                <c:pt idx="8">
                  <c:v>0</c:v>
                </c:pt>
                <c:pt idx="9">
                  <c:v>194060.34107996113</c:v>
                </c:pt>
                <c:pt idx="10">
                  <c:v>0</c:v>
                </c:pt>
                <c:pt idx="11">
                  <c:v>0</c:v>
                </c:pt>
                <c:pt idx="12">
                  <c:v>219625.87420927419</c:v>
                </c:pt>
                <c:pt idx="13">
                  <c:v>0</c:v>
                </c:pt>
                <c:pt idx="14">
                  <c:v>0</c:v>
                </c:pt>
              </c:numCache>
            </c:numRef>
          </c:val>
          <c:extLst>
            <c:ext xmlns:c16="http://schemas.microsoft.com/office/drawing/2014/chart" uri="{C3380CC4-5D6E-409C-BE32-E72D297353CC}">
              <c16:uniqueId val="{00000001-EA05-46AB-9661-49D263D7815E}"/>
            </c:ext>
          </c:extLst>
        </c:ser>
        <c:ser>
          <c:idx val="2"/>
          <c:order val="2"/>
          <c:tx>
            <c:strRef>
              <c:f>BERECHNUNG!$AM$55</c:f>
              <c:strCache>
                <c:ptCount val="1"/>
                <c:pt idx="0">
                  <c:v>Instandsetzungskosten</c:v>
                </c:pt>
              </c:strCache>
            </c:strRef>
          </c:tx>
          <c:spPr>
            <a:pattFill prst="dkDnDiag">
              <a:fgClr>
                <a:srgbClr val="C00000"/>
              </a:fgClr>
              <a:bgClr>
                <a:schemeClr val="bg1"/>
              </a:bgClr>
            </a:pattFill>
            <a:ln w="3175">
              <a:solidFill>
                <a:srgbClr val="C00000"/>
              </a:solidFill>
            </a:ln>
            <a:effectLst/>
          </c:spPr>
          <c:invertIfNegative val="0"/>
          <c:cat>
            <c:strRef>
              <c:f>BERECHNUNG!$AI$56:$AI$70</c:f>
              <c:strCache>
                <c:ptCount val="13"/>
                <c:pt idx="0">
                  <c:v>BTV</c:v>
                </c:pt>
                <c:pt idx="3">
                  <c:v>PH</c:v>
                </c:pt>
                <c:pt idx="6">
                  <c:v>PHSol</c:v>
                </c:pt>
                <c:pt idx="9">
                  <c:v>PHWRGSo</c:v>
                </c:pt>
                <c:pt idx="12">
                  <c:v>PHWRGSoPV</c:v>
                </c:pt>
              </c:strCache>
            </c:strRef>
          </c:cat>
          <c:val>
            <c:numRef>
              <c:f>BERECHNUNG!$AM$56:$AM$70</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EA05-46AB-9661-49D263D7815E}"/>
            </c:ext>
          </c:extLst>
        </c:ser>
        <c:ser>
          <c:idx val="3"/>
          <c:order val="3"/>
          <c:tx>
            <c:strRef>
              <c:f>BERECHNUNG!$BK$55</c:f>
              <c:strCache>
                <c:ptCount val="1"/>
                <c:pt idx="0">
                  <c:v>Betriebsgebundenen Zahlungen</c:v>
                </c:pt>
              </c:strCache>
            </c:strRef>
          </c:tx>
          <c:spPr>
            <a:solidFill>
              <a:srgbClr val="C00000"/>
            </a:solidFill>
            <a:ln>
              <a:solidFill>
                <a:srgbClr val="DA0000"/>
              </a:solidFill>
            </a:ln>
            <a:effectLst/>
          </c:spPr>
          <c:invertIfNegative val="0"/>
          <c:cat>
            <c:strRef>
              <c:f>BERECHNUNG!$AI$56:$AI$70</c:f>
              <c:strCache>
                <c:ptCount val="13"/>
                <c:pt idx="0">
                  <c:v>BTV</c:v>
                </c:pt>
                <c:pt idx="3">
                  <c:v>PH</c:v>
                </c:pt>
                <c:pt idx="6">
                  <c:v>PHSol</c:v>
                </c:pt>
                <c:pt idx="9">
                  <c:v>PHWRGSo</c:v>
                </c:pt>
                <c:pt idx="12">
                  <c:v>PHWRGSoPV</c:v>
                </c:pt>
              </c:strCache>
            </c:strRef>
          </c:cat>
          <c:val>
            <c:numRef>
              <c:f>BERECHNUNG!$BK$56:$BK$70</c:f>
              <c:numCache>
                <c:formatCode>General</c:formatCode>
                <c:ptCount val="15"/>
                <c:pt idx="0">
                  <c:v>204368.53935014899</c:v>
                </c:pt>
                <c:pt idx="1">
                  <c:v>0</c:v>
                </c:pt>
                <c:pt idx="2">
                  <c:v>0</c:v>
                </c:pt>
                <c:pt idx="3">
                  <c:v>204368.53935014899</c:v>
                </c:pt>
                <c:pt idx="4">
                  <c:v>0</c:v>
                </c:pt>
                <c:pt idx="5">
                  <c:v>0</c:v>
                </c:pt>
                <c:pt idx="6">
                  <c:v>214294.1760945961</c:v>
                </c:pt>
                <c:pt idx="7">
                  <c:v>0</c:v>
                </c:pt>
                <c:pt idx="8">
                  <c:v>0</c:v>
                </c:pt>
                <c:pt idx="9">
                  <c:v>240601.93173764535</c:v>
                </c:pt>
                <c:pt idx="10">
                  <c:v>0</c:v>
                </c:pt>
                <c:pt idx="11">
                  <c:v>0</c:v>
                </c:pt>
                <c:pt idx="12">
                  <c:v>254382.18469352828</c:v>
                </c:pt>
                <c:pt idx="13">
                  <c:v>0</c:v>
                </c:pt>
                <c:pt idx="14">
                  <c:v>0</c:v>
                </c:pt>
              </c:numCache>
            </c:numRef>
          </c:val>
          <c:extLst>
            <c:ext xmlns:c16="http://schemas.microsoft.com/office/drawing/2014/chart" uri="{C3380CC4-5D6E-409C-BE32-E72D297353CC}">
              <c16:uniqueId val="{00000003-EA05-46AB-9661-49D263D7815E}"/>
            </c:ext>
          </c:extLst>
        </c:ser>
        <c:ser>
          <c:idx val="4"/>
          <c:order val="4"/>
          <c:tx>
            <c:strRef>
              <c:f>BERECHNUNG!$BL$55</c:f>
              <c:strCache>
                <c:ptCount val="1"/>
                <c:pt idx="0">
                  <c:v>Verbrauchsgebundene Zahlungen</c:v>
                </c:pt>
              </c:strCache>
            </c:strRef>
          </c:tx>
          <c:spPr>
            <a:pattFill prst="pct60">
              <a:fgClr>
                <a:srgbClr val="C00000"/>
              </a:fgClr>
              <a:bgClr>
                <a:schemeClr val="bg1"/>
              </a:bgClr>
            </a:pattFill>
            <a:ln w="3175">
              <a:solidFill>
                <a:srgbClr val="C00000"/>
              </a:solidFill>
            </a:ln>
            <a:effectLst/>
          </c:spPr>
          <c:invertIfNegative val="0"/>
          <c:cat>
            <c:strRef>
              <c:f>BERECHNUNG!$AI$56:$AI$70</c:f>
              <c:strCache>
                <c:ptCount val="13"/>
                <c:pt idx="0">
                  <c:v>BTV</c:v>
                </c:pt>
                <c:pt idx="3">
                  <c:v>PH</c:v>
                </c:pt>
                <c:pt idx="6">
                  <c:v>PHSol</c:v>
                </c:pt>
                <c:pt idx="9">
                  <c:v>PHWRGSo</c:v>
                </c:pt>
                <c:pt idx="12">
                  <c:v>PHWRGSoPV</c:v>
                </c:pt>
              </c:strCache>
            </c:strRef>
          </c:cat>
          <c:val>
            <c:numRef>
              <c:f>BERECHNUNG!$BL$56:$BL$70</c:f>
              <c:numCache>
                <c:formatCode>General</c:formatCode>
                <c:ptCount val="15"/>
                <c:pt idx="0">
                  <c:v>544398.5625023779</c:v>
                </c:pt>
                <c:pt idx="1">
                  <c:v>0</c:v>
                </c:pt>
                <c:pt idx="2">
                  <c:v>0</c:v>
                </c:pt>
                <c:pt idx="3">
                  <c:v>466141.08349033294</c:v>
                </c:pt>
                <c:pt idx="4">
                  <c:v>0</c:v>
                </c:pt>
                <c:pt idx="5">
                  <c:v>0</c:v>
                </c:pt>
                <c:pt idx="6">
                  <c:v>328612.06792090967</c:v>
                </c:pt>
                <c:pt idx="7">
                  <c:v>0</c:v>
                </c:pt>
                <c:pt idx="8">
                  <c:v>0</c:v>
                </c:pt>
                <c:pt idx="9">
                  <c:v>330523.55920145707</c:v>
                </c:pt>
                <c:pt idx="10">
                  <c:v>0</c:v>
                </c:pt>
                <c:pt idx="11">
                  <c:v>0</c:v>
                </c:pt>
                <c:pt idx="12">
                  <c:v>330523.55920145707</c:v>
                </c:pt>
                <c:pt idx="13">
                  <c:v>0</c:v>
                </c:pt>
                <c:pt idx="14">
                  <c:v>0</c:v>
                </c:pt>
              </c:numCache>
            </c:numRef>
          </c:val>
          <c:extLst>
            <c:ext xmlns:c16="http://schemas.microsoft.com/office/drawing/2014/chart" uri="{C3380CC4-5D6E-409C-BE32-E72D297353CC}">
              <c16:uniqueId val="{00000004-EA05-46AB-9661-49D263D7815E}"/>
            </c:ext>
          </c:extLst>
        </c:ser>
        <c:ser>
          <c:idx val="5"/>
          <c:order val="5"/>
          <c:tx>
            <c:strRef>
              <c:f>BERECHNUNG!$BM$55</c:f>
              <c:strCache>
                <c:ptCount val="1"/>
                <c:pt idx="0">
                  <c:v>Verkaufserlösschmälerung</c:v>
                </c:pt>
              </c:strCache>
            </c:strRef>
          </c:tx>
          <c:spPr>
            <a:pattFill prst="pct70">
              <a:fgClr>
                <a:srgbClr val="FF0000"/>
              </a:fgClr>
              <a:bgClr>
                <a:schemeClr val="bg1"/>
              </a:bgClr>
            </a:pattFill>
            <a:ln>
              <a:solidFill>
                <a:srgbClr val="FF0000"/>
              </a:solidFill>
            </a:ln>
            <a:effectLst/>
          </c:spPr>
          <c:invertIfNegative val="0"/>
          <c:cat>
            <c:strRef>
              <c:f>BERECHNUNG!$AI$56:$AI$70</c:f>
              <c:strCache>
                <c:ptCount val="13"/>
                <c:pt idx="0">
                  <c:v>BTV</c:v>
                </c:pt>
                <c:pt idx="3">
                  <c:v>PH</c:v>
                </c:pt>
                <c:pt idx="6">
                  <c:v>PHSol</c:v>
                </c:pt>
                <c:pt idx="9">
                  <c:v>PHWRGSo</c:v>
                </c:pt>
                <c:pt idx="12">
                  <c:v>PHWRGSoPV</c:v>
                </c:pt>
              </c:strCache>
            </c:strRef>
          </c:cat>
          <c:val>
            <c:numRef>
              <c:f>BERECHNUNG!$BM$56:$BM$70</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EA05-46AB-9661-49D263D7815E}"/>
            </c:ext>
          </c:extLst>
        </c:ser>
        <c:ser>
          <c:idx val="6"/>
          <c:order val="6"/>
          <c:tx>
            <c:strRef>
              <c:f>BERECHNUNG!$BN$55</c:f>
              <c:strCache>
                <c:ptCount val="1"/>
                <c:pt idx="0">
                  <c:v>CO2-Folgekosten</c:v>
                </c:pt>
              </c:strCache>
            </c:strRef>
          </c:tx>
          <c:spPr>
            <a:pattFill prst="narVert">
              <a:fgClr>
                <a:srgbClr val="FF0000"/>
              </a:fgClr>
              <a:bgClr>
                <a:schemeClr val="bg1"/>
              </a:bgClr>
            </a:pattFill>
            <a:ln w="3175">
              <a:solidFill>
                <a:srgbClr val="FF0000"/>
              </a:solidFill>
            </a:ln>
            <a:effectLst/>
          </c:spPr>
          <c:invertIfNegative val="0"/>
          <c:cat>
            <c:strRef>
              <c:f>BERECHNUNG!$AI$56:$AI$70</c:f>
              <c:strCache>
                <c:ptCount val="13"/>
                <c:pt idx="0">
                  <c:v>BTV</c:v>
                </c:pt>
                <c:pt idx="3">
                  <c:v>PH</c:v>
                </c:pt>
                <c:pt idx="6">
                  <c:v>PHSol</c:v>
                </c:pt>
                <c:pt idx="9">
                  <c:v>PHWRGSo</c:v>
                </c:pt>
                <c:pt idx="12">
                  <c:v>PHWRGSoPV</c:v>
                </c:pt>
              </c:strCache>
            </c:strRef>
          </c:cat>
          <c:val>
            <c:numRef>
              <c:f>BERECHNUNG!$BN$56:$BN$70</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EA05-46AB-9661-49D263D7815E}"/>
            </c:ext>
          </c:extLst>
        </c:ser>
        <c:ser>
          <c:idx val="7"/>
          <c:order val="7"/>
          <c:tx>
            <c:strRef>
              <c:f>BERECHNUNG!$BO$55</c:f>
              <c:strCache>
                <c:ptCount val="1"/>
                <c:pt idx="0">
                  <c:v>Kapitalwert (gesamt)</c:v>
                </c:pt>
              </c:strCache>
            </c:strRef>
          </c:tx>
          <c:spPr>
            <a:solidFill>
              <a:schemeClr val="tx1">
                <a:lumMod val="65000"/>
                <a:lumOff val="35000"/>
              </a:schemeClr>
            </a:solidFill>
            <a:ln w="22225" cmpd="sng">
              <a:solidFill>
                <a:schemeClr val="tx1"/>
              </a:solidFill>
              <a:prstDash val="sysDash"/>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EA05-46AB-9661-49D263D7815E}"/>
                </c:ext>
              </c:extLst>
            </c:dLbl>
            <c:dLbl>
              <c:idx val="1"/>
              <c:layout/>
              <c:tx>
                <c:strRef>
                  <c:f>'E.2 Wirtschaftlichkeit'!$W$50</c:f>
                  <c:strCache>
                    <c:ptCount val="1"/>
                    <c:pt idx="0">
                      <c:v>3.717.660 € (0%)</c:v>
                    </c:pt>
                  </c:strCache>
                </c:strRef>
              </c:tx>
              <c:showLegendKey val="0"/>
              <c:showVal val="1"/>
              <c:showCatName val="0"/>
              <c:showSerName val="0"/>
              <c:showPercent val="0"/>
              <c:showBubbleSize val="0"/>
              <c:extLst>
                <c:ext xmlns:c15="http://schemas.microsoft.com/office/drawing/2012/chart" uri="{CE6537A1-D6FC-4f65-9D91-7224C49458BB}">
                  <c15:layout/>
                  <c15:dlblFieldTable>
                    <c15:dlblFTEntry>
                      <c15:txfldGUID>{584ABC10-BFC5-4DE7-8A51-5A673649F661}</c15:txfldGUID>
                      <c15:f>'E.2 Wirtschaftlichkeit'!$W$50</c15:f>
                      <c15:dlblFieldTableCache>
                        <c:ptCount val="1"/>
                        <c:pt idx="0">
                          <c:v>3.717.660 € (0%)</c:v>
                        </c:pt>
                      </c15:dlblFieldTableCache>
                    </c15:dlblFTEntry>
                  </c15:dlblFieldTable>
                  <c15:showDataLabelsRange val="0"/>
                </c:ext>
                <c:ext xmlns:c16="http://schemas.microsoft.com/office/drawing/2014/chart" uri="{C3380CC4-5D6E-409C-BE32-E72D297353CC}">
                  <c16:uniqueId val="{00000008-EA05-46AB-9661-49D263D7815E}"/>
                </c:ext>
              </c:extLst>
            </c:dLbl>
            <c:dLbl>
              <c:idx val="2"/>
              <c:delete val="1"/>
              <c:extLst>
                <c:ext xmlns:c15="http://schemas.microsoft.com/office/drawing/2012/chart" uri="{CE6537A1-D6FC-4f65-9D91-7224C49458BB}"/>
                <c:ext xmlns:c16="http://schemas.microsoft.com/office/drawing/2014/chart" uri="{C3380CC4-5D6E-409C-BE32-E72D297353CC}">
                  <c16:uniqueId val="{00000009-EA05-46AB-9661-49D263D7815E}"/>
                </c:ext>
              </c:extLst>
            </c:dLbl>
            <c:dLbl>
              <c:idx val="3"/>
              <c:delete val="1"/>
              <c:extLst>
                <c:ext xmlns:c15="http://schemas.microsoft.com/office/drawing/2012/chart" uri="{CE6537A1-D6FC-4f65-9D91-7224C49458BB}"/>
                <c:ext xmlns:c16="http://schemas.microsoft.com/office/drawing/2014/chart" uri="{C3380CC4-5D6E-409C-BE32-E72D297353CC}">
                  <c16:uniqueId val="{0000000A-EA05-46AB-9661-49D263D7815E}"/>
                </c:ext>
              </c:extLst>
            </c:dLbl>
            <c:dLbl>
              <c:idx val="4"/>
              <c:layout/>
              <c:tx>
                <c:strRef>
                  <c:f>'E.2 Wirtschaftlichkeit'!$X$50</c:f>
                  <c:strCache>
                    <c:ptCount val="1"/>
                    <c:pt idx="0">
                      <c:v>3.627.351 € (-2,4%)</c:v>
                    </c:pt>
                  </c:strCache>
                </c:strRef>
              </c:tx>
              <c:showLegendKey val="0"/>
              <c:showVal val="1"/>
              <c:showCatName val="0"/>
              <c:showSerName val="0"/>
              <c:showPercent val="0"/>
              <c:showBubbleSize val="0"/>
              <c:extLst>
                <c:ext xmlns:c15="http://schemas.microsoft.com/office/drawing/2012/chart" uri="{CE6537A1-D6FC-4f65-9D91-7224C49458BB}">
                  <c15:layout/>
                  <c15:dlblFieldTable>
                    <c15:dlblFTEntry>
                      <c15:txfldGUID>{6D88F5E1-6A9A-44DA-9927-5ECC0267C1C6}</c15:txfldGUID>
                      <c15:f>'E.2 Wirtschaftlichkeit'!$X$50</c15:f>
                      <c15:dlblFieldTableCache>
                        <c:ptCount val="1"/>
                        <c:pt idx="0">
                          <c:v>3.627.351 € (-2,4%)</c:v>
                        </c:pt>
                      </c15:dlblFieldTableCache>
                    </c15:dlblFTEntry>
                  </c15:dlblFieldTable>
                  <c15:showDataLabelsRange val="0"/>
                </c:ext>
                <c:ext xmlns:c16="http://schemas.microsoft.com/office/drawing/2014/chart" uri="{C3380CC4-5D6E-409C-BE32-E72D297353CC}">
                  <c16:uniqueId val="{0000000B-EA05-46AB-9661-49D263D7815E}"/>
                </c:ext>
              </c:extLst>
            </c:dLbl>
            <c:dLbl>
              <c:idx val="5"/>
              <c:delete val="1"/>
              <c:extLst>
                <c:ext xmlns:c15="http://schemas.microsoft.com/office/drawing/2012/chart" uri="{CE6537A1-D6FC-4f65-9D91-7224C49458BB}"/>
                <c:ext xmlns:c16="http://schemas.microsoft.com/office/drawing/2014/chart" uri="{C3380CC4-5D6E-409C-BE32-E72D297353CC}">
                  <c16:uniqueId val="{0000000C-EA05-46AB-9661-49D263D7815E}"/>
                </c:ext>
              </c:extLst>
            </c:dLbl>
            <c:dLbl>
              <c:idx val="6"/>
              <c:delete val="1"/>
              <c:extLst>
                <c:ext xmlns:c15="http://schemas.microsoft.com/office/drawing/2012/chart" uri="{CE6537A1-D6FC-4f65-9D91-7224C49458BB}"/>
                <c:ext xmlns:c16="http://schemas.microsoft.com/office/drawing/2014/chart" uri="{C3380CC4-5D6E-409C-BE32-E72D297353CC}">
                  <c16:uniqueId val="{0000000D-EA05-46AB-9661-49D263D7815E}"/>
                </c:ext>
              </c:extLst>
            </c:dLbl>
            <c:dLbl>
              <c:idx val="7"/>
              <c:layout/>
              <c:tx>
                <c:strRef>
                  <c:f>'E.2 Wirtschaftlichkeit'!$Y$50</c:f>
                  <c:strCache>
                    <c:ptCount val="1"/>
                    <c:pt idx="0">
                      <c:v>3.548.084 € (-4,6%)</c:v>
                    </c:pt>
                  </c:strCache>
                </c:strRef>
              </c:tx>
              <c:showLegendKey val="0"/>
              <c:showVal val="1"/>
              <c:showCatName val="0"/>
              <c:showSerName val="0"/>
              <c:showPercent val="0"/>
              <c:showBubbleSize val="0"/>
              <c:extLst>
                <c:ext xmlns:c15="http://schemas.microsoft.com/office/drawing/2012/chart" uri="{CE6537A1-D6FC-4f65-9D91-7224C49458BB}">
                  <c15:layout/>
                  <c15:dlblFieldTable>
                    <c15:dlblFTEntry>
                      <c15:txfldGUID>{AD60D1AD-DB8E-4625-85A1-6F9ECF658279}</c15:txfldGUID>
                      <c15:f>'E.2 Wirtschaftlichkeit'!$Y$50</c15:f>
                      <c15:dlblFieldTableCache>
                        <c:ptCount val="1"/>
                        <c:pt idx="0">
                          <c:v>3.548.084 € (-4,6%)</c:v>
                        </c:pt>
                      </c15:dlblFieldTableCache>
                    </c15:dlblFTEntry>
                  </c15:dlblFieldTable>
                  <c15:showDataLabelsRange val="0"/>
                </c:ext>
                <c:ext xmlns:c16="http://schemas.microsoft.com/office/drawing/2014/chart" uri="{C3380CC4-5D6E-409C-BE32-E72D297353CC}">
                  <c16:uniqueId val="{0000000E-EA05-46AB-9661-49D263D7815E}"/>
                </c:ext>
              </c:extLst>
            </c:dLbl>
            <c:dLbl>
              <c:idx val="8"/>
              <c:delete val="1"/>
              <c:extLst>
                <c:ext xmlns:c15="http://schemas.microsoft.com/office/drawing/2012/chart" uri="{CE6537A1-D6FC-4f65-9D91-7224C49458BB}"/>
                <c:ext xmlns:c16="http://schemas.microsoft.com/office/drawing/2014/chart" uri="{C3380CC4-5D6E-409C-BE32-E72D297353CC}">
                  <c16:uniqueId val="{0000000F-EA05-46AB-9661-49D263D7815E}"/>
                </c:ext>
              </c:extLst>
            </c:dLbl>
            <c:dLbl>
              <c:idx val="9"/>
              <c:delete val="1"/>
              <c:extLst>
                <c:ext xmlns:c15="http://schemas.microsoft.com/office/drawing/2012/chart" uri="{CE6537A1-D6FC-4f65-9D91-7224C49458BB}"/>
                <c:ext xmlns:c16="http://schemas.microsoft.com/office/drawing/2014/chart" uri="{C3380CC4-5D6E-409C-BE32-E72D297353CC}">
                  <c16:uniqueId val="{00000010-EA05-46AB-9661-49D263D7815E}"/>
                </c:ext>
              </c:extLst>
            </c:dLbl>
            <c:dLbl>
              <c:idx val="10"/>
              <c:layout/>
              <c:tx>
                <c:strRef>
                  <c:f>'E.2 Wirtschaftlichkeit'!$Z$50</c:f>
                  <c:strCache>
                    <c:ptCount val="1"/>
                    <c:pt idx="0">
                      <c:v>3.639.541 € (-2,1%)</c:v>
                    </c:pt>
                  </c:strCache>
                </c:strRef>
              </c:tx>
              <c:showLegendKey val="0"/>
              <c:showVal val="1"/>
              <c:showCatName val="0"/>
              <c:showSerName val="0"/>
              <c:showPercent val="0"/>
              <c:showBubbleSize val="0"/>
              <c:extLst>
                <c:ext xmlns:c15="http://schemas.microsoft.com/office/drawing/2012/chart" uri="{CE6537A1-D6FC-4f65-9D91-7224C49458BB}">
                  <c15:layout/>
                  <c15:dlblFieldTable>
                    <c15:dlblFTEntry>
                      <c15:txfldGUID>{0B4DDDC1-1D94-42AB-BE4F-DB32F48DC2CA}</c15:txfldGUID>
                      <c15:f>'E.2 Wirtschaftlichkeit'!$Z$50</c15:f>
                      <c15:dlblFieldTableCache>
                        <c:ptCount val="1"/>
                        <c:pt idx="0">
                          <c:v>3.639.541 € (-2,1%)</c:v>
                        </c:pt>
                      </c15:dlblFieldTableCache>
                    </c15:dlblFTEntry>
                  </c15:dlblFieldTable>
                  <c15:showDataLabelsRange val="0"/>
                </c:ext>
                <c:ext xmlns:c16="http://schemas.microsoft.com/office/drawing/2014/chart" uri="{C3380CC4-5D6E-409C-BE32-E72D297353CC}">
                  <c16:uniqueId val="{00000011-EA05-46AB-9661-49D263D7815E}"/>
                </c:ext>
              </c:extLst>
            </c:dLbl>
            <c:dLbl>
              <c:idx val="11"/>
              <c:delete val="1"/>
              <c:extLst>
                <c:ext xmlns:c15="http://schemas.microsoft.com/office/drawing/2012/chart" uri="{CE6537A1-D6FC-4f65-9D91-7224C49458BB}"/>
                <c:ext xmlns:c16="http://schemas.microsoft.com/office/drawing/2014/chart" uri="{C3380CC4-5D6E-409C-BE32-E72D297353CC}">
                  <c16:uniqueId val="{00000012-EA05-46AB-9661-49D263D7815E}"/>
                </c:ext>
              </c:extLst>
            </c:dLbl>
            <c:dLbl>
              <c:idx val="12"/>
              <c:delete val="1"/>
              <c:extLst>
                <c:ext xmlns:c15="http://schemas.microsoft.com/office/drawing/2012/chart" uri="{CE6537A1-D6FC-4f65-9D91-7224C49458BB}"/>
                <c:ext xmlns:c16="http://schemas.microsoft.com/office/drawing/2014/chart" uri="{C3380CC4-5D6E-409C-BE32-E72D297353CC}">
                  <c16:uniqueId val="{00000013-EA05-46AB-9661-49D263D7815E}"/>
                </c:ext>
              </c:extLst>
            </c:dLbl>
            <c:dLbl>
              <c:idx val="13"/>
              <c:layout/>
              <c:tx>
                <c:strRef>
                  <c:f>'E.2 Wirtschaftlichkeit'!$AA$50</c:f>
                  <c:strCache>
                    <c:ptCount val="1"/>
                    <c:pt idx="0">
                      <c:v>3.627.352 € (-2,4%)</c:v>
                    </c:pt>
                  </c:strCache>
                </c:strRef>
              </c:tx>
              <c:showLegendKey val="0"/>
              <c:showVal val="1"/>
              <c:showCatName val="0"/>
              <c:showSerName val="0"/>
              <c:showPercent val="0"/>
              <c:showBubbleSize val="0"/>
              <c:extLst>
                <c:ext xmlns:c15="http://schemas.microsoft.com/office/drawing/2012/chart" uri="{CE6537A1-D6FC-4f65-9D91-7224C49458BB}">
                  <c15:layout/>
                  <c15:dlblFieldTable>
                    <c15:dlblFTEntry>
                      <c15:txfldGUID>{835C7700-F862-4F6C-B5C2-FAE988132F90}</c15:txfldGUID>
                      <c15:f>'E.2 Wirtschaftlichkeit'!$AA$50</c15:f>
                      <c15:dlblFieldTableCache>
                        <c:ptCount val="1"/>
                        <c:pt idx="0">
                          <c:v>3.627.352 € (-2,4%)</c:v>
                        </c:pt>
                      </c15:dlblFieldTableCache>
                    </c15:dlblFTEntry>
                  </c15:dlblFieldTable>
                  <c15:showDataLabelsRange val="0"/>
                </c:ext>
                <c:ext xmlns:c16="http://schemas.microsoft.com/office/drawing/2014/chart" uri="{C3380CC4-5D6E-409C-BE32-E72D297353CC}">
                  <c16:uniqueId val="{00000014-EA05-46AB-9661-49D263D7815E}"/>
                </c:ext>
              </c:extLst>
            </c:dLbl>
            <c:dLbl>
              <c:idx val="14"/>
              <c:delete val="1"/>
              <c:extLst>
                <c:ext xmlns:c15="http://schemas.microsoft.com/office/drawing/2012/chart" uri="{CE6537A1-D6FC-4f65-9D91-7224C49458BB}"/>
                <c:ext xmlns:c16="http://schemas.microsoft.com/office/drawing/2014/chart" uri="{C3380CC4-5D6E-409C-BE32-E72D297353CC}">
                  <c16:uniqueId val="{00000015-EA05-46AB-9661-49D263D7815E}"/>
                </c:ext>
              </c:extLst>
            </c:dLbl>
            <c:numFmt formatCode="#,##0\ &quot;€&quot;" sourceLinked="0"/>
            <c:spPr>
              <a:noFill/>
              <a:ln>
                <a:noFill/>
              </a:ln>
              <a:effectLst/>
            </c:spPr>
            <c:txPr>
              <a:bodyPr rot="-5400000" vert="horz"/>
              <a:lstStyle/>
              <a:p>
                <a:pPr>
                  <a:defRPr sz="1200" b="0">
                    <a:solidFill>
                      <a:schemeClr val="bg1"/>
                    </a:solidFill>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BERECHNUNG!$AI$56:$AI$70</c:f>
              <c:strCache>
                <c:ptCount val="13"/>
                <c:pt idx="0">
                  <c:v>BTV</c:v>
                </c:pt>
                <c:pt idx="3">
                  <c:v>PH</c:v>
                </c:pt>
                <c:pt idx="6">
                  <c:v>PHSol</c:v>
                </c:pt>
                <c:pt idx="9">
                  <c:v>PHWRGSo</c:v>
                </c:pt>
                <c:pt idx="12">
                  <c:v>PHWRGSoPV</c:v>
                </c:pt>
              </c:strCache>
            </c:strRef>
          </c:cat>
          <c:val>
            <c:numRef>
              <c:f>BERECHNUNG!$BO$56:$BO$70</c:f>
              <c:numCache>
                <c:formatCode>General</c:formatCode>
                <c:ptCount val="15"/>
                <c:pt idx="0">
                  <c:v>0</c:v>
                </c:pt>
                <c:pt idx="1">
                  <c:v>3717659.681091967</c:v>
                </c:pt>
                <c:pt idx="2">
                  <c:v>0</c:v>
                </c:pt>
                <c:pt idx="3">
                  <c:v>0</c:v>
                </c:pt>
                <c:pt idx="4">
                  <c:v>3627350.8511196566</c:v>
                </c:pt>
                <c:pt idx="5">
                  <c:v>0</c:v>
                </c:pt>
                <c:pt idx="6">
                  <c:v>0</c:v>
                </c:pt>
                <c:pt idx="7">
                  <c:v>3548084.4430975108</c:v>
                </c:pt>
                <c:pt idx="8">
                  <c:v>0</c:v>
                </c:pt>
                <c:pt idx="9">
                  <c:v>0</c:v>
                </c:pt>
                <c:pt idx="10">
                  <c:v>3639541.3891721345</c:v>
                </c:pt>
                <c:pt idx="11">
                  <c:v>0</c:v>
                </c:pt>
                <c:pt idx="12">
                  <c:v>0</c:v>
                </c:pt>
                <c:pt idx="13">
                  <c:v>3627352.3678982225</c:v>
                </c:pt>
                <c:pt idx="14">
                  <c:v>0</c:v>
                </c:pt>
              </c:numCache>
            </c:numRef>
          </c:val>
          <c:extLst>
            <c:ext xmlns:c16="http://schemas.microsoft.com/office/drawing/2014/chart" uri="{C3380CC4-5D6E-409C-BE32-E72D297353CC}">
              <c16:uniqueId val="{00000016-EA05-46AB-9661-49D263D7815E}"/>
            </c:ext>
          </c:extLst>
        </c:ser>
        <c:ser>
          <c:idx val="8"/>
          <c:order val="8"/>
          <c:tx>
            <c:strRef>
              <c:f>BERECHNUNG!$BP$55</c:f>
              <c:strCache>
                <c:ptCount val="1"/>
                <c:pt idx="0">
                  <c:v>Restwert</c:v>
                </c:pt>
              </c:strCache>
            </c:strRef>
          </c:tx>
          <c:spPr>
            <a:pattFill prst="dkDnDiag">
              <a:fgClr>
                <a:schemeClr val="bg1">
                  <a:lumMod val="50000"/>
                </a:schemeClr>
              </a:fgClr>
              <a:bgClr>
                <a:schemeClr val="bg1"/>
              </a:bgClr>
            </a:pattFill>
            <a:ln w="3175">
              <a:solidFill>
                <a:schemeClr val="bg1">
                  <a:lumMod val="50000"/>
                </a:schemeClr>
              </a:solidFill>
            </a:ln>
            <a:effectLst/>
          </c:spPr>
          <c:invertIfNegative val="0"/>
          <c:cat>
            <c:strRef>
              <c:f>BERECHNUNG!$AI$56:$AI$70</c:f>
              <c:strCache>
                <c:ptCount val="13"/>
                <c:pt idx="0">
                  <c:v>BTV</c:v>
                </c:pt>
                <c:pt idx="3">
                  <c:v>PH</c:v>
                </c:pt>
                <c:pt idx="6">
                  <c:v>PHSol</c:v>
                </c:pt>
                <c:pt idx="9">
                  <c:v>PHWRGSo</c:v>
                </c:pt>
                <c:pt idx="12">
                  <c:v>PHWRGSoPV</c:v>
                </c:pt>
              </c:strCache>
            </c:strRef>
          </c:cat>
          <c:val>
            <c:numRef>
              <c:f>BERECHNUNG!$BP$56:$BP$70</c:f>
              <c:numCache>
                <c:formatCode>General</c:formatCode>
                <c:ptCount val="15"/>
                <c:pt idx="0">
                  <c:v>0</c:v>
                </c:pt>
                <c:pt idx="1">
                  <c:v>843133.80791602586</c:v>
                </c:pt>
                <c:pt idx="2">
                  <c:v>0</c:v>
                </c:pt>
                <c:pt idx="3">
                  <c:v>0</c:v>
                </c:pt>
                <c:pt idx="4">
                  <c:v>846827.36363887391</c:v>
                </c:pt>
                <c:pt idx="5">
                  <c:v>0</c:v>
                </c:pt>
                <c:pt idx="6">
                  <c:v>0</c:v>
                </c:pt>
                <c:pt idx="7">
                  <c:v>863677.35351344733</c:v>
                </c:pt>
                <c:pt idx="8">
                  <c:v>0</c:v>
                </c:pt>
                <c:pt idx="9">
                  <c:v>0</c:v>
                </c:pt>
                <c:pt idx="10">
                  <c:v>879404.63356217626</c:v>
                </c:pt>
                <c:pt idx="11">
                  <c:v>0</c:v>
                </c:pt>
                <c:pt idx="12">
                  <c:v>0</c:v>
                </c:pt>
                <c:pt idx="13">
                  <c:v>897901.31938302296</c:v>
                </c:pt>
                <c:pt idx="14">
                  <c:v>0</c:v>
                </c:pt>
              </c:numCache>
            </c:numRef>
          </c:val>
          <c:extLst>
            <c:ext xmlns:c16="http://schemas.microsoft.com/office/drawing/2014/chart" uri="{C3380CC4-5D6E-409C-BE32-E72D297353CC}">
              <c16:uniqueId val="{00000017-EA05-46AB-9661-49D263D7815E}"/>
            </c:ext>
          </c:extLst>
        </c:ser>
        <c:ser>
          <c:idx val="9"/>
          <c:order val="9"/>
          <c:tx>
            <c:strRef>
              <c:f>BERECHNUNG!$BQ$55</c:f>
              <c:strCache>
                <c:ptCount val="1"/>
                <c:pt idx="0">
                  <c:v>PV-Eigennutzung</c:v>
                </c:pt>
              </c:strCache>
            </c:strRef>
          </c:tx>
          <c:spPr>
            <a:solidFill>
              <a:schemeClr val="tx1"/>
            </a:solidFill>
            <a:ln w="3175">
              <a:solidFill>
                <a:schemeClr val="tx1"/>
              </a:solidFill>
            </a:ln>
          </c:spPr>
          <c:invertIfNegative val="0"/>
          <c:cat>
            <c:strRef>
              <c:f>BERECHNUNG!$AI$56:$AI$70</c:f>
              <c:strCache>
                <c:ptCount val="13"/>
                <c:pt idx="0">
                  <c:v>BTV</c:v>
                </c:pt>
                <c:pt idx="3">
                  <c:v>PH</c:v>
                </c:pt>
                <c:pt idx="6">
                  <c:v>PHSol</c:v>
                </c:pt>
                <c:pt idx="9">
                  <c:v>PHWRGSo</c:v>
                </c:pt>
                <c:pt idx="12">
                  <c:v>PHWRGSoPV</c:v>
                </c:pt>
              </c:strCache>
            </c:strRef>
          </c:cat>
          <c:val>
            <c:numRef>
              <c:f>BERECHNUNG!$BQ$56:$BQ$70</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58061.253662397947</c:v>
                </c:pt>
                <c:pt idx="14">
                  <c:v>0</c:v>
                </c:pt>
              </c:numCache>
            </c:numRef>
          </c:val>
          <c:extLst>
            <c:ext xmlns:c16="http://schemas.microsoft.com/office/drawing/2014/chart" uri="{C3380CC4-5D6E-409C-BE32-E72D297353CC}">
              <c16:uniqueId val="{00000018-EA05-46AB-9661-49D263D7815E}"/>
            </c:ext>
          </c:extLst>
        </c:ser>
        <c:ser>
          <c:idx val="10"/>
          <c:order val="10"/>
          <c:tx>
            <c:strRef>
              <c:f>BERECHNUNG!$BR$55</c:f>
              <c:strCache>
                <c:ptCount val="1"/>
                <c:pt idx="0">
                  <c:v>PV-Einspeisung</c:v>
                </c:pt>
              </c:strCache>
            </c:strRef>
          </c:tx>
          <c:spPr>
            <a:pattFill prst="dkUpDiag">
              <a:fgClr>
                <a:schemeClr val="tx1"/>
              </a:fgClr>
              <a:bgClr>
                <a:schemeClr val="bg1"/>
              </a:bgClr>
            </a:pattFill>
            <a:ln w="3175">
              <a:solidFill>
                <a:schemeClr val="tx1"/>
              </a:solidFill>
            </a:ln>
            <a:effectLst/>
          </c:spPr>
          <c:invertIfNegative val="0"/>
          <c:cat>
            <c:strRef>
              <c:f>BERECHNUNG!$AI$56:$AI$70</c:f>
              <c:strCache>
                <c:ptCount val="13"/>
                <c:pt idx="0">
                  <c:v>BTV</c:v>
                </c:pt>
                <c:pt idx="3">
                  <c:v>PH</c:v>
                </c:pt>
                <c:pt idx="6">
                  <c:v>PHSol</c:v>
                </c:pt>
                <c:pt idx="9">
                  <c:v>PHWRGSo</c:v>
                </c:pt>
                <c:pt idx="12">
                  <c:v>PHWRGSoPV</c:v>
                </c:pt>
              </c:strCache>
            </c:strRef>
          </c:cat>
          <c:val>
            <c:numRef>
              <c:f>BERECHNUNG!$BR$56:$BR$70</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12154.257261502009</c:v>
                </c:pt>
                <c:pt idx="14">
                  <c:v>0</c:v>
                </c:pt>
              </c:numCache>
            </c:numRef>
          </c:val>
          <c:extLst>
            <c:ext xmlns:c16="http://schemas.microsoft.com/office/drawing/2014/chart" uri="{C3380CC4-5D6E-409C-BE32-E72D297353CC}">
              <c16:uniqueId val="{00000019-EA05-46AB-9661-49D263D7815E}"/>
            </c:ext>
          </c:extLst>
        </c:ser>
        <c:dLbls>
          <c:showLegendKey val="0"/>
          <c:showVal val="0"/>
          <c:showCatName val="0"/>
          <c:showSerName val="0"/>
          <c:showPercent val="0"/>
          <c:showBubbleSize val="0"/>
        </c:dLbls>
        <c:gapWidth val="0"/>
        <c:overlap val="100"/>
        <c:axId val="645751168"/>
        <c:axId val="645752704"/>
      </c:barChart>
      <c:catAx>
        <c:axId val="645751168"/>
        <c:scaling>
          <c:orientation val="minMax"/>
        </c:scaling>
        <c:delete val="0"/>
        <c:axPos val="b"/>
        <c:numFmt formatCode="General" sourceLinked="0"/>
        <c:majorTickMark val="out"/>
        <c:minorTickMark val="none"/>
        <c:tickLblPos val="low"/>
        <c:txPr>
          <a:bodyPr rot="0" vert="horz" anchor="t" anchorCtr="0"/>
          <a:lstStyle/>
          <a:p>
            <a:pPr>
              <a:defRPr/>
            </a:pPr>
            <a:endParaRPr lang="de-DE"/>
          </a:p>
        </c:txPr>
        <c:crossAx val="645752704"/>
        <c:crosses val="autoZero"/>
        <c:auto val="1"/>
        <c:lblAlgn val="ctr"/>
        <c:lblOffset val="100"/>
        <c:tickLblSkip val="1"/>
        <c:tickMarkSkip val="3"/>
        <c:noMultiLvlLbl val="0"/>
      </c:catAx>
      <c:valAx>
        <c:axId val="645752704"/>
        <c:scaling>
          <c:orientation val="minMax"/>
        </c:scaling>
        <c:delete val="0"/>
        <c:axPos val="l"/>
        <c:majorGridlines/>
        <c:title>
          <c:tx>
            <c:strRef>
              <c:f>BERECHNUNG!$AJ$54</c:f>
              <c:strCache>
                <c:ptCount val="1"/>
                <c:pt idx="0">
                  <c:v>Kapitalwert [€]</c:v>
                </c:pt>
              </c:strCache>
            </c:strRef>
          </c:tx>
          <c:layout>
            <c:manualLayout>
              <c:xMode val="edge"/>
              <c:yMode val="edge"/>
              <c:x val="1.1151624267618445E-2"/>
              <c:y val="0.36796569595924333"/>
            </c:manualLayout>
          </c:layout>
          <c:overlay val="0"/>
          <c:txPr>
            <a:bodyPr rot="-5400000" vert="horz"/>
            <a:lstStyle/>
            <a:p>
              <a:pPr>
                <a:defRPr/>
              </a:pPr>
              <a:endParaRPr lang="de-DE"/>
            </a:p>
          </c:txPr>
        </c:title>
        <c:numFmt formatCode="#,##0" sourceLinked="0"/>
        <c:majorTickMark val="out"/>
        <c:minorTickMark val="none"/>
        <c:tickLblPos val="nextTo"/>
        <c:crossAx val="645751168"/>
        <c:crosses val="autoZero"/>
        <c:crossBetween val="between"/>
      </c:valAx>
      <c:spPr>
        <a:effectLst/>
      </c:spPr>
    </c:plotArea>
    <c:legend>
      <c:legendPos val="b"/>
      <c:layout>
        <c:manualLayout>
          <c:xMode val="edge"/>
          <c:yMode val="edge"/>
          <c:x val="0.7243894496588752"/>
          <c:y val="9.8386939571150092E-2"/>
          <c:w val="0.27167522027047952"/>
          <c:h val="0.79124704587547712"/>
        </c:manualLayout>
      </c:layout>
      <c:overlay val="0"/>
      <c:spPr>
        <a:noFill/>
      </c:spPr>
      <c:txPr>
        <a:bodyPr/>
        <a:lstStyle/>
        <a:p>
          <a:pPr>
            <a:defRPr sz="1000">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262016733998"/>
          <c:y val="3.2027425858017308E-2"/>
          <c:w val="0.75082670437157584"/>
          <c:h val="0.95583484659482887"/>
        </c:manualLayout>
      </c:layout>
      <c:scatterChart>
        <c:scatterStyle val="lineMarker"/>
        <c:varyColors val="0"/>
        <c:ser>
          <c:idx val="0"/>
          <c:order val="0"/>
          <c:tx>
            <c:strRef>
              <c:f>Annuitätenzuschuss!$AT$324</c:f>
              <c:strCache>
                <c:ptCount val="1"/>
                <c:pt idx="0">
                  <c:v>WBF Darlehen</c:v>
                </c:pt>
              </c:strCache>
            </c:strRef>
          </c:tx>
          <c:marker>
            <c:symbol val="none"/>
          </c:marker>
          <c:xVal>
            <c:numRef>
              <c:f>Annuitätenzuschuss!$AS$325:$AS$375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Annuitätenzuschuss!$AT$325:$AT$375</c:f>
              <c:numCache>
                <c:formatCode>#,##0.00</c:formatCode>
                <c:ptCount val="51"/>
                <c:pt idx="0">
                  <c:v>0</c:v>
                </c:pt>
                <c:pt idx="1">
                  <c:v>-8372.3980582524237</c:v>
                </c:pt>
                <c:pt idx="2">
                  <c:v>-8128.5418041285666</c:v>
                </c:pt>
                <c:pt idx="3">
                  <c:v>-7891.7881593481234</c:v>
                </c:pt>
                <c:pt idx="4">
                  <c:v>-7661.9302517942942</c:v>
                </c:pt>
                <c:pt idx="5">
                  <c:v>-7438.7672347517428</c:v>
                </c:pt>
                <c:pt idx="6">
                  <c:v>-7222.1041114094587</c:v>
                </c:pt>
                <c:pt idx="7">
                  <c:v>-7011.751564475202</c:v>
                </c:pt>
                <c:pt idx="8">
                  <c:v>-6807.5257907526238</c:v>
                </c:pt>
                <c:pt idx="9">
                  <c:v>-6609.2483405365283</c:v>
                </c:pt>
                <c:pt idx="10">
                  <c:v>-6416.7459616859496</c:v>
                </c:pt>
                <c:pt idx="11">
                  <c:v>-6229.8504482387862</c:v>
                </c:pt>
                <c:pt idx="12">
                  <c:v>-6048.3984934357159</c:v>
                </c:pt>
                <c:pt idx="13">
                  <c:v>-5872.2315470249669</c:v>
                </c:pt>
                <c:pt idx="14">
                  <c:v>-5701.1956767232678</c:v>
                </c:pt>
                <c:pt idx="15">
                  <c:v>-5535.1414337119095</c:v>
                </c:pt>
                <c:pt idx="16">
                  <c:v>-5373.9237220503992</c:v>
                </c:pt>
                <c:pt idx="17">
                  <c:v>-5217.4016718935909</c:v>
                </c:pt>
                <c:pt idx="18">
                  <c:v>-5065.4385164015448</c:v>
                </c:pt>
                <c:pt idx="19">
                  <c:v>-4917.90147223451</c:v>
                </c:pt>
                <c:pt idx="20">
                  <c:v>-4774.6616235286501</c:v>
                </c:pt>
                <c:pt idx="21">
                  <c:v>-4635.5938092511169</c:v>
                </c:pt>
                <c:pt idx="22">
                  <c:v>-4500.5765138360357</c:v>
                </c:pt>
                <c:pt idx="23">
                  <c:v>-4369.4917610058601</c:v>
                </c:pt>
                <c:pt idx="24">
                  <c:v>-4242.2250106853016</c:v>
                </c:pt>
                <c:pt idx="25">
                  <c:v>-4118.665058917768</c:v>
                </c:pt>
                <c:pt idx="26">
                  <c:v>-27990.927584878042</c:v>
                </c:pt>
                <c:pt idx="27">
                  <c:v>-27175.657849396157</c:v>
                </c:pt>
                <c:pt idx="28">
                  <c:v>-26384.133834365202</c:v>
                </c:pt>
                <c:pt idx="29">
                  <c:v>-25615.663916859423</c:v>
                </c:pt>
                <c:pt idx="30">
                  <c:v>-24869.576618310119</c:v>
                </c:pt>
                <c:pt idx="31">
                  <c:v>-24145.22001777681</c:v>
                </c:pt>
                <c:pt idx="32">
                  <c:v>-23441.961182307587</c:v>
                </c:pt>
                <c:pt idx="33">
                  <c:v>-22759.185613890859</c:v>
                </c:pt>
                <c:pt idx="34">
                  <c:v>-22096.296712515403</c:v>
                </c:pt>
                <c:pt idx="35">
                  <c:v>-21452.715254869319</c:v>
                </c:pt>
                <c:pt idx="36">
                  <c:v>-23766.835412066939</c:v>
                </c:pt>
                <c:pt idx="37">
                  <c:v>-23074.597487443636</c:v>
                </c:pt>
                <c:pt idx="38">
                  <c:v>-22402.521832469552</c:v>
                </c:pt>
                <c:pt idx="39">
                  <c:v>-21750.021196572376</c:v>
                </c:pt>
                <c:pt idx="40">
                  <c:v>-21116.525433565417</c:v>
                </c:pt>
                <c:pt idx="41">
                  <c:v>-20501.481003461569</c:v>
                </c:pt>
                <c:pt idx="42">
                  <c:v>-19904.350488797638</c:v>
                </c:pt>
                <c:pt idx="43">
                  <c:v>-19324.612125046253</c:v>
                </c:pt>
                <c:pt idx="44">
                  <c:v>-18761.7593447051</c:v>
                </c:pt>
                <c:pt idx="45">
                  <c:v>-18215.300334665146</c:v>
                </c:pt>
                <c:pt idx="46">
                  <c:v>-19925.868781198842</c:v>
                </c:pt>
                <c:pt idx="47">
                  <c:v>-19345.503671066839</c:v>
                </c:pt>
                <c:pt idx="48">
                  <c:v>-14863.941452425506</c:v>
                </c:pt>
                <c:pt idx="49">
                  <c:v>0</c:v>
                </c:pt>
                <c:pt idx="50">
                  <c:v>0</c:v>
                </c:pt>
              </c:numCache>
            </c:numRef>
          </c:yVal>
          <c:smooth val="0"/>
          <c:extLst>
            <c:ext xmlns:c16="http://schemas.microsoft.com/office/drawing/2014/chart" uri="{C3380CC4-5D6E-409C-BE32-E72D297353CC}">
              <c16:uniqueId val="{00000000-6DC4-40E0-B068-0C3B2A931BB8}"/>
            </c:ext>
          </c:extLst>
        </c:ser>
        <c:ser>
          <c:idx val="1"/>
          <c:order val="1"/>
          <c:tx>
            <c:strRef>
              <c:f>Annuitätenzuschuss!$AU$324</c:f>
              <c:strCache>
                <c:ptCount val="1"/>
                <c:pt idx="0">
                  <c:v>Bankdarlehen</c:v>
                </c:pt>
              </c:strCache>
            </c:strRef>
          </c:tx>
          <c:marker>
            <c:symbol val="none"/>
          </c:marker>
          <c:xVal>
            <c:numRef>
              <c:f>Annuitätenzuschuss!$AS$325:$AS$375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Annuitätenzuschuss!$AU$325:$AU$375</c:f>
              <c:numCache>
                <c:formatCode>#,##0.00</c:formatCode>
                <c:ptCount val="51"/>
                <c:pt idx="0">
                  <c:v>0</c:v>
                </c:pt>
                <c:pt idx="1">
                  <c:v>-92978.660252089554</c:v>
                </c:pt>
                <c:pt idx="2">
                  <c:v>-90270.543934067522</c:v>
                </c:pt>
                <c:pt idx="3">
                  <c:v>-87641.304790356822</c:v>
                </c:pt>
                <c:pt idx="4">
                  <c:v>-85088.645427530893</c:v>
                </c:pt>
                <c:pt idx="5">
                  <c:v>-82610.335366534855</c:v>
                </c:pt>
                <c:pt idx="6">
                  <c:v>-80204.209093723155</c:v>
                </c:pt>
                <c:pt idx="7">
                  <c:v>-77868.16416866325</c:v>
                </c:pt>
                <c:pt idx="8">
                  <c:v>-75600.15938705171</c:v>
                </c:pt>
                <c:pt idx="9">
                  <c:v>-73398.212997137583</c:v>
                </c:pt>
                <c:pt idx="10">
                  <c:v>-71260.400968094735</c:v>
                </c:pt>
                <c:pt idx="11">
                  <c:v>-69184.85530882985</c:v>
                </c:pt>
                <c:pt idx="12">
                  <c:v>-67169.762435757148</c:v>
                </c:pt>
                <c:pt idx="13">
                  <c:v>-65213.36158811373</c:v>
                </c:pt>
                <c:pt idx="14">
                  <c:v>-63313.943289430797</c:v>
                </c:pt>
                <c:pt idx="15">
                  <c:v>-61469.847853816304</c:v>
                </c:pt>
                <c:pt idx="16">
                  <c:v>-59679.463935743996</c:v>
                </c:pt>
                <c:pt idx="17">
                  <c:v>-57941.227122081546</c:v>
                </c:pt>
                <c:pt idx="18">
                  <c:v>-56253.618565127712</c:v>
                </c:pt>
                <c:pt idx="19">
                  <c:v>-54615.163655463803</c:v>
                </c:pt>
                <c:pt idx="20">
                  <c:v>-53024.430733460009</c:v>
                </c:pt>
                <c:pt idx="21">
                  <c:v>-51480.029838310686</c:v>
                </c:pt>
                <c:pt idx="22">
                  <c:v>-49980.611493505523</c:v>
                </c:pt>
                <c:pt idx="23">
                  <c:v>-48524.865527675262</c:v>
                </c:pt>
                <c:pt idx="24">
                  <c:v>-47111.519929781811</c:v>
                </c:pt>
                <c:pt idx="25">
                  <c:v>-45739.339737652248</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6DC4-40E0-B068-0C3B2A931BB8}"/>
            </c:ext>
          </c:extLst>
        </c:ser>
        <c:ser>
          <c:idx val="2"/>
          <c:order val="2"/>
          <c:tx>
            <c:strRef>
              <c:f>Annuitätenzuschuss!$AV$324</c:f>
              <c:strCache>
                <c:ptCount val="1"/>
                <c:pt idx="0">
                  <c:v>Eigenkapital</c:v>
                </c:pt>
              </c:strCache>
            </c:strRef>
          </c:tx>
          <c:marker>
            <c:symbol val="none"/>
          </c:marker>
          <c:xVal>
            <c:numRef>
              <c:f>Annuitätenzuschuss!$AS$325:$AS$375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Annuitätenzuschuss!$AV$325:$AV$375</c:f>
              <c:numCache>
                <c:formatCode>#,##0.00</c:formatCode>
                <c:ptCount val="51"/>
                <c:pt idx="0">
                  <c:v>0</c:v>
                </c:pt>
                <c:pt idx="1">
                  <c:v>-15456.586974757283</c:v>
                </c:pt>
                <c:pt idx="2">
                  <c:v>-15006.395121123574</c:v>
                </c:pt>
                <c:pt idx="3">
                  <c:v>-14569.315651576288</c:v>
                </c:pt>
                <c:pt idx="4">
                  <c:v>-14144.966652015813</c:v>
                </c:pt>
                <c:pt idx="5">
                  <c:v>-13732.977332054188</c:v>
                </c:pt>
                <c:pt idx="6">
                  <c:v>-13332.987701023483</c:v>
                </c:pt>
                <c:pt idx="7">
                  <c:v>-12944.648253420857</c:v>
                </c:pt>
                <c:pt idx="8">
                  <c:v>-12567.619663515396</c:v>
                </c:pt>
                <c:pt idx="9">
                  <c:v>-12201.572488849899</c:v>
                </c:pt>
                <c:pt idx="10">
                  <c:v>-11846.186882378543</c:v>
                </c:pt>
                <c:pt idx="11">
                  <c:v>-11501.152312988876</c:v>
                </c:pt>
                <c:pt idx="12">
                  <c:v>-11166.167294163959</c:v>
                </c:pt>
                <c:pt idx="13">
                  <c:v>-10840.939120547533</c:v>
                </c:pt>
                <c:pt idx="14">
                  <c:v>-10525.183612182071</c:v>
                </c:pt>
                <c:pt idx="15">
                  <c:v>-10218.624866196184</c:v>
                </c:pt>
                <c:pt idx="16">
                  <c:v>-9920.9950157244512</c:v>
                </c:pt>
                <c:pt idx="17">
                  <c:v>-9632.0339958489822</c:v>
                </c:pt>
                <c:pt idx="18">
                  <c:v>-9351.4893163582346</c:v>
                </c:pt>
                <c:pt idx="19">
                  <c:v>-9079.1158411244996</c:v>
                </c:pt>
                <c:pt idx="20">
                  <c:v>-8814.6755739072833</c:v>
                </c:pt>
                <c:pt idx="21">
                  <c:v>-8557.9374503954205</c:v>
                </c:pt>
                <c:pt idx="22">
                  <c:v>-8308.6771363062326</c:v>
                </c:pt>
                <c:pt idx="23">
                  <c:v>-8066.6768313652747</c:v>
                </c:pt>
                <c:pt idx="24">
                  <c:v>-7831.7250789954132</c:v>
                </c:pt>
                <c:pt idx="25">
                  <c:v>-7603.6165815489449</c:v>
                </c:pt>
                <c:pt idx="26">
                  <c:v>-7382.1520209213049</c:v>
                </c:pt>
                <c:pt idx="27">
                  <c:v>-7167.1378843896173</c:v>
                </c:pt>
                <c:pt idx="28">
                  <c:v>-6958.3862955239001</c:v>
                </c:pt>
                <c:pt idx="29">
                  <c:v>-6755.7148500232051</c:v>
                </c:pt>
                <c:pt idx="30">
                  <c:v>-6558.9464563332085</c:v>
                </c:pt>
                <c:pt idx="31">
                  <c:v>-6367.9091809060264</c:v>
                </c:pt>
                <c:pt idx="32">
                  <c:v>-6182.4360979670173</c:v>
                </c:pt>
                <c:pt idx="33">
                  <c:v>-6002.3651436572982</c:v>
                </c:pt>
                <c:pt idx="34">
                  <c:v>-5827.5389744245622</c:v>
                </c:pt>
                <c:pt idx="35">
                  <c:v>-5657.8048295384087</c:v>
                </c:pt>
                <c:pt idx="36">
                  <c:v>-2981.0801524897734</c:v>
                </c:pt>
                <c:pt idx="37">
                  <c:v>-2894.2525752327902</c:v>
                </c:pt>
                <c:pt idx="38">
                  <c:v>-2809.9539565366899</c:v>
                </c:pt>
                <c:pt idx="39">
                  <c:v>-2728.1106374142614</c:v>
                </c:pt>
                <c:pt idx="40">
                  <c:v>-2648.651104285691</c:v>
                </c:pt>
                <c:pt idx="41">
                  <c:v>-2571.5059264909623</c:v>
                </c:pt>
                <c:pt idx="42">
                  <c:v>-2496.6076956222932</c:v>
                </c:pt>
                <c:pt idx="43">
                  <c:v>-2423.8909666235859</c:v>
                </c:pt>
                <c:pt idx="44">
                  <c:v>-2353.2922006054232</c:v>
                </c:pt>
                <c:pt idx="45">
                  <c:v>-2284.7497093256538</c:v>
                </c:pt>
                <c:pt idx="46">
                  <c:v>-2218.2036012870421</c:v>
                </c:pt>
                <c:pt idx="47">
                  <c:v>-2153.5957294048953</c:v>
                </c:pt>
                <c:pt idx="48">
                  <c:v>-2090.8696401989278</c:v>
                </c:pt>
                <c:pt idx="49">
                  <c:v>-2029.9705244649786</c:v>
                </c:pt>
                <c:pt idx="50">
                  <c:v>-1970.8451693834743</c:v>
                </c:pt>
              </c:numCache>
            </c:numRef>
          </c:yVal>
          <c:smooth val="0"/>
          <c:extLst>
            <c:ext xmlns:c16="http://schemas.microsoft.com/office/drawing/2014/chart" uri="{C3380CC4-5D6E-409C-BE32-E72D297353CC}">
              <c16:uniqueId val="{00000002-6DC4-40E0-B068-0C3B2A931BB8}"/>
            </c:ext>
          </c:extLst>
        </c:ser>
        <c:ser>
          <c:idx val="3"/>
          <c:order val="3"/>
          <c:tx>
            <c:strRef>
              <c:f>Annuitätenzuschuss!$AW$324</c:f>
              <c:strCache>
                <c:ptCount val="1"/>
                <c:pt idx="0">
                  <c:v>Annuitätenzuschuss</c:v>
                </c:pt>
              </c:strCache>
            </c:strRef>
          </c:tx>
          <c:marker>
            <c:symbol val="none"/>
          </c:marker>
          <c:xVal>
            <c:numRef>
              <c:f>Annuitätenzuschuss!$AS$325:$AS$375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Annuitätenzuschuss!$AW$325:$AW$375</c:f>
              <c:numCache>
                <c:formatCode>#,##0.00</c:formatCode>
                <c:ptCount val="51"/>
                <c:pt idx="0">
                  <c:v>0</c:v>
                </c:pt>
                <c:pt idx="1">
                  <c:v>41542.689945293423</c:v>
                </c:pt>
                <c:pt idx="2">
                  <c:v>40332.708684750898</c:v>
                </c:pt>
                <c:pt idx="3">
                  <c:v>39157.969596845534</c:v>
                </c:pt>
                <c:pt idx="4">
                  <c:v>38017.446210529641</c:v>
                </c:pt>
                <c:pt idx="5">
                  <c:v>36910.14195197053</c:v>
                </c:pt>
                <c:pt idx="6">
                  <c:v>35835.089273757796</c:v>
                </c:pt>
                <c:pt idx="7">
                  <c:v>34791.348809473588</c:v>
                </c:pt>
                <c:pt idx="8">
                  <c:v>33778.008552886975</c:v>
                </c:pt>
                <c:pt idx="9">
                  <c:v>32794.183061055315</c:v>
                </c:pt>
                <c:pt idx="10">
                  <c:v>31839.012680636231</c:v>
                </c:pt>
                <c:pt idx="11">
                  <c:v>30911.662796734206</c:v>
                </c:pt>
                <c:pt idx="12">
                  <c:v>30011.323103625447</c:v>
                </c:pt>
                <c:pt idx="13">
                  <c:v>29137.206896723736</c:v>
                </c:pt>
                <c:pt idx="14">
                  <c:v>28288.55038516867</c:v>
                </c:pt>
                <c:pt idx="15">
                  <c:v>27464.612024435599</c:v>
                </c:pt>
                <c:pt idx="16">
                  <c:v>26664.671868384085</c:v>
                </c:pt>
                <c:pt idx="17">
                  <c:v>25888.03094017872</c:v>
                </c:pt>
                <c:pt idx="18">
                  <c:v>25134.01062153274</c:v>
                </c:pt>
                <c:pt idx="19">
                  <c:v>24401.952059740524</c:v>
                </c:pt>
                <c:pt idx="20">
                  <c:v>23691.215591981094</c:v>
                </c:pt>
                <c:pt idx="21">
                  <c:v>23001.180186389411</c:v>
                </c:pt>
                <c:pt idx="22">
                  <c:v>22331.242899407196</c:v>
                </c:pt>
                <c:pt idx="23">
                  <c:v>21680.818348939025</c:v>
                </c:pt>
                <c:pt idx="24">
                  <c:v>21049.338202853422</c:v>
                </c:pt>
                <c:pt idx="25">
                  <c:v>20436.250682381964</c:v>
                </c:pt>
                <c:pt idx="26">
                  <c:v>-573.88223472200048</c:v>
                </c:pt>
                <c:pt idx="27">
                  <c:v>-557.16721817669952</c:v>
                </c:pt>
                <c:pt idx="28">
                  <c:v>-540.93904677349462</c:v>
                </c:pt>
                <c:pt idx="29">
                  <c:v>-525.18354055679094</c:v>
                </c:pt>
                <c:pt idx="30">
                  <c:v>-509.88693257940872</c:v>
                </c:pt>
                <c:pt idx="31">
                  <c:v>-495.03585687321225</c:v>
                </c:pt>
                <c:pt idx="32">
                  <c:v>-480.61733677010903</c:v>
                </c:pt>
                <c:pt idx="33">
                  <c:v>-466.61877356321264</c:v>
                </c:pt>
                <c:pt idx="34">
                  <c:v>-453.02793549826481</c:v>
                </c:pt>
                <c:pt idx="35">
                  <c:v>-376203.7478778403</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6DC4-40E0-B068-0C3B2A931BB8}"/>
            </c:ext>
          </c:extLst>
        </c:ser>
        <c:ser>
          <c:idx val="4"/>
          <c:order val="4"/>
          <c:tx>
            <c:strRef>
              <c:f>Annuitätenzuschuss!$AX$56</c:f>
              <c:strCache>
                <c:ptCount val="1"/>
                <c:pt idx="0">
                  <c:v>Entgeltstundung</c:v>
                </c:pt>
              </c:strCache>
            </c:strRef>
          </c:tx>
          <c:marker>
            <c:symbol val="none"/>
          </c:marker>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Annuitätenzuschuss!$AX$57:$AX$107</c:f>
              <c:numCache>
                <c:formatCode>#,##0.00</c:formatCode>
                <c:ptCount val="51"/>
                <c:pt idx="0">
                  <c:v>0</c:v>
                </c:pt>
                <c:pt idx="1">
                  <c:v>126460.81719428602</c:v>
                </c:pt>
                <c:pt idx="2">
                  <c:v>122777.49242163691</c:v>
                </c:pt>
                <c:pt idx="3">
                  <c:v>119201.44895304555</c:v>
                </c:pt>
                <c:pt idx="4">
                  <c:v>115729.56209033549</c:v>
                </c:pt>
                <c:pt idx="5">
                  <c:v>112358.79814595678</c:v>
                </c:pt>
                <c:pt idx="6">
                  <c:v>109086.21179219105</c:v>
                </c:pt>
                <c:pt idx="7">
                  <c:v>105908.94348756412</c:v>
                </c:pt>
                <c:pt idx="8">
                  <c:v>102824.21697821759</c:v>
                </c:pt>
                <c:pt idx="9">
                  <c:v>99829.336872055923</c:v>
                </c:pt>
                <c:pt idx="10">
                  <c:v>96921.686283549439</c:v>
                </c:pt>
                <c:pt idx="11">
                  <c:v>94098.724547135382</c:v>
                </c:pt>
                <c:pt idx="12">
                  <c:v>91357.984997218824</c:v>
                </c:pt>
                <c:pt idx="13">
                  <c:v>88697.072812833809</c:v>
                </c:pt>
                <c:pt idx="14">
                  <c:v>86113.662925081357</c:v>
                </c:pt>
                <c:pt idx="15">
                  <c:v>83605.497985515874</c:v>
                </c:pt>
                <c:pt idx="16">
                  <c:v>81170.386393704757</c:v>
                </c:pt>
                <c:pt idx="17">
                  <c:v>78806.200382237628</c:v>
                </c:pt>
                <c:pt idx="18">
                  <c:v>76510.874157512255</c:v>
                </c:pt>
                <c:pt idx="19">
                  <c:v>74282.402094672085</c:v>
                </c:pt>
                <c:pt idx="20">
                  <c:v>72118.836985118542</c:v>
                </c:pt>
                <c:pt idx="21">
                  <c:v>70018.288335066551</c:v>
                </c:pt>
                <c:pt idx="22">
                  <c:v>67978.920713656844</c:v>
                </c:pt>
                <c:pt idx="23">
                  <c:v>65998.952149181394</c:v>
                </c:pt>
                <c:pt idx="24">
                  <c:v>64076.652572020779</c:v>
                </c:pt>
                <c:pt idx="25">
                  <c:v>62210.342302932797</c:v>
                </c:pt>
                <c:pt idx="26">
                  <c:v>-28628.559412797913</c:v>
                </c:pt>
                <c:pt idx="27">
                  <c:v>-27794.717876502829</c:v>
                </c:pt>
                <c:pt idx="28">
                  <c:v>-26985.16298689595</c:v>
                </c:pt>
                <c:pt idx="29">
                  <c:v>-26199.187365918402</c:v>
                </c:pt>
                <c:pt idx="30">
                  <c:v>-25436.104238755728</c:v>
                </c:pt>
                <c:pt idx="31">
                  <c:v>-24695.246833743422</c:v>
                </c:pt>
                <c:pt idx="32">
                  <c:v>-23975.967799750899</c:v>
                </c:pt>
                <c:pt idx="33">
                  <c:v>-23277.638640534853</c:v>
                </c:pt>
                <c:pt idx="34">
                  <c:v>-22599.649165567822</c:v>
                </c:pt>
                <c:pt idx="35">
                  <c:v>-1589084.0709855908</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6DC4-40E0-B068-0C3B2A931BB8}"/>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6DC4-40E0-B068-0C3B2A931BB8}"/>
            </c:ext>
          </c:extLst>
        </c:ser>
        <c:ser>
          <c:idx val="6"/>
          <c:order val="6"/>
          <c:tx>
            <c:strRef>
              <c:f>Annuitätenzuschuss!$AZ$324</c:f>
              <c:strCache>
                <c:ptCount val="1"/>
                <c:pt idx="0">
                  <c:v>Barwert Gesamt</c:v>
                </c:pt>
              </c:strCache>
            </c:strRef>
          </c:tx>
          <c:marker>
            <c:symbol val="none"/>
          </c:marker>
          <c:xVal>
            <c:numRef>
              <c:f>Annuitätenzuschuss!$AS$325:$AS$375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Annuitätenzuschuss!$AZ$325:$AZ$375</c:f>
              <c:numCache>
                <c:formatCode>#,##0.00</c:formatCode>
                <c:ptCount val="51"/>
                <c:pt idx="0">
                  <c:v>0</c:v>
                </c:pt>
                <c:pt idx="1">
                  <c:v>-75264.955339805834</c:v>
                </c:pt>
                <c:pt idx="2">
                  <c:v>-73072.77217456876</c:v>
                </c:pt>
                <c:pt idx="3">
                  <c:v>-70944.439004435699</c:v>
                </c:pt>
                <c:pt idx="4">
                  <c:v>-68878.096120811373</c:v>
                </c:pt>
                <c:pt idx="5">
                  <c:v>-66871.937981370254</c:v>
                </c:pt>
                <c:pt idx="6">
                  <c:v>-64924.211632398292</c:v>
                </c:pt>
                <c:pt idx="7">
                  <c:v>-63033.215177085724</c:v>
                </c:pt>
                <c:pt idx="8">
                  <c:v>-61197.29628843275</c:v>
                </c:pt>
                <c:pt idx="9">
                  <c:v>-59414.850765468698</c:v>
                </c:pt>
                <c:pt idx="10">
                  <c:v>-57684.321131523007</c:v>
                </c:pt>
                <c:pt idx="11">
                  <c:v>-56004.195273323305</c:v>
                </c:pt>
                <c:pt idx="12">
                  <c:v>-54373.005119731373</c:v>
                </c:pt>
                <c:pt idx="13">
                  <c:v>-52789.325358962502</c:v>
                </c:pt>
                <c:pt idx="14">
                  <c:v>-51251.772193167461</c:v>
                </c:pt>
                <c:pt idx="15">
                  <c:v>-49759.002129288798</c:v>
                </c:pt>
                <c:pt idx="16">
                  <c:v>-48309.71080513476</c:v>
                </c:pt>
                <c:pt idx="17">
                  <c:v>-46902.63184964539</c:v>
                </c:pt>
                <c:pt idx="18">
                  <c:v>-45536.535776354751</c:v>
                </c:pt>
                <c:pt idx="19">
                  <c:v>-44210.228909082289</c:v>
                </c:pt>
                <c:pt idx="20">
                  <c:v>-42922.552338914844</c:v>
                </c:pt>
                <c:pt idx="21">
                  <c:v>-41672.380911567816</c:v>
                </c:pt>
                <c:pt idx="22">
                  <c:v>-40458.6222442406</c:v>
                </c:pt>
                <c:pt idx="23">
                  <c:v>-39280.215771107367</c:v>
                </c:pt>
                <c:pt idx="24">
                  <c:v>-38136.131816609108</c:v>
                </c:pt>
                <c:pt idx="25">
                  <c:v>-37025.370695736994</c:v>
                </c:pt>
                <c:pt idx="26">
                  <c:v>-35946.96184052134</c:v>
                </c:pt>
                <c:pt idx="27">
                  <c:v>-34899.962951962472</c:v>
                </c:pt>
                <c:pt idx="28">
                  <c:v>-33883.459176662596</c:v>
                </c:pt>
                <c:pt idx="29">
                  <c:v>-32896.562307439417</c:v>
                </c:pt>
                <c:pt idx="30">
                  <c:v>-31938.410007222734</c:v>
                </c:pt>
                <c:pt idx="31">
                  <c:v>-31008.165055556048</c:v>
                </c:pt>
                <c:pt idx="32">
                  <c:v>-30105.014617044711</c:v>
                </c:pt>
                <c:pt idx="33">
                  <c:v>-29228.169531111369</c:v>
                </c:pt>
                <c:pt idx="34">
                  <c:v>-28376.863622438228</c:v>
                </c:pt>
                <c:pt idx="35">
                  <c:v>-403314.26796224801</c:v>
                </c:pt>
                <c:pt idx="36">
                  <c:v>-26747.915564556712</c:v>
                </c:pt>
                <c:pt idx="37">
                  <c:v>-25968.850062676425</c:v>
                </c:pt>
                <c:pt idx="38">
                  <c:v>-25212.475789006243</c:v>
                </c:pt>
                <c:pt idx="39">
                  <c:v>-24478.131833986638</c:v>
                </c:pt>
                <c:pt idx="40">
                  <c:v>-23765.176537851108</c:v>
                </c:pt>
                <c:pt idx="41">
                  <c:v>-23072.986929952531</c:v>
                </c:pt>
                <c:pt idx="42">
                  <c:v>-22400.958184419931</c:v>
                </c:pt>
                <c:pt idx="43">
                  <c:v>-21748.503091669838</c:v>
                </c:pt>
                <c:pt idx="44">
                  <c:v>-21115.051545310525</c:v>
                </c:pt>
                <c:pt idx="45">
                  <c:v>-20500.050043990799</c:v>
                </c:pt>
                <c:pt idx="46">
                  <c:v>-22144.072382485883</c:v>
                </c:pt>
                <c:pt idx="47">
                  <c:v>-21499.099400471736</c:v>
                </c:pt>
                <c:pt idx="48">
                  <c:v>-16954.811092624434</c:v>
                </c:pt>
                <c:pt idx="49">
                  <c:v>-2029.9705244649786</c:v>
                </c:pt>
                <c:pt idx="50">
                  <c:v>-1970.8451693834743</c:v>
                </c:pt>
              </c:numCache>
            </c:numRef>
          </c:yVal>
          <c:smooth val="0"/>
          <c:extLst>
            <c:ext xmlns:c16="http://schemas.microsoft.com/office/drawing/2014/chart" uri="{C3380CC4-5D6E-409C-BE32-E72D297353CC}">
              <c16:uniqueId val="{00000006-6DC4-40E0-B068-0C3B2A931BB8}"/>
            </c:ext>
          </c:extLst>
        </c:ser>
        <c:dLbls>
          <c:showLegendKey val="0"/>
          <c:showVal val="0"/>
          <c:showCatName val="0"/>
          <c:showSerName val="0"/>
          <c:showPercent val="0"/>
          <c:showBubbleSize val="0"/>
        </c:dLbls>
        <c:axId val="669680000"/>
        <c:axId val="669681536"/>
      </c:scatterChart>
      <c:valAx>
        <c:axId val="669680000"/>
        <c:scaling>
          <c:orientation val="minMax"/>
        </c:scaling>
        <c:delete val="0"/>
        <c:axPos val="b"/>
        <c:numFmt formatCode="General" sourceLinked="1"/>
        <c:majorTickMark val="out"/>
        <c:minorTickMark val="none"/>
        <c:tickLblPos val="nextTo"/>
        <c:crossAx val="669681536"/>
        <c:crosses val="autoZero"/>
        <c:crossBetween val="midCat"/>
      </c:valAx>
      <c:valAx>
        <c:axId val="669681536"/>
        <c:scaling>
          <c:orientation val="minMax"/>
        </c:scaling>
        <c:delete val="0"/>
        <c:axPos val="l"/>
        <c:majorGridlines/>
        <c:numFmt formatCode="#,##0.00" sourceLinked="1"/>
        <c:majorTickMark val="out"/>
        <c:minorTickMark val="none"/>
        <c:tickLblPos val="nextTo"/>
        <c:crossAx val="66968000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Annuitätenzuschuss!$BC$324</c:f>
              <c:strCache>
                <c:ptCount val="1"/>
                <c:pt idx="0">
                  <c:v>WBF Darlehen</c:v>
                </c:pt>
              </c:strCache>
            </c:strRef>
          </c:tx>
          <c:marker>
            <c:symbol val="none"/>
          </c:marker>
          <c:xVal>
            <c:numRef>
              <c:f>Annuitätenzuschuss!$BB$325:$BB$375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Annuitätenzuschuss!$BC$325:$BC$375</c:f>
              <c:numCache>
                <c:formatCode>#,##0.00</c:formatCode>
                <c:ptCount val="51"/>
                <c:pt idx="0" formatCode="General">
                  <c:v>0</c:v>
                </c:pt>
                <c:pt idx="1">
                  <c:v>-8372.3980582524237</c:v>
                </c:pt>
                <c:pt idx="2">
                  <c:v>-16500.93986238099</c:v>
                </c:pt>
                <c:pt idx="3">
                  <c:v>-24392.728021729112</c:v>
                </c:pt>
                <c:pt idx="4">
                  <c:v>-32054.658273523404</c:v>
                </c:pt>
                <c:pt idx="5">
                  <c:v>-39493.425508275148</c:v>
                </c:pt>
                <c:pt idx="6">
                  <c:v>-46715.529619684603</c:v>
                </c:pt>
                <c:pt idx="7">
                  <c:v>-53727.281184159801</c:v>
                </c:pt>
                <c:pt idx="8">
                  <c:v>-60534.806974912426</c:v>
                </c:pt>
                <c:pt idx="9">
                  <c:v>-67144.055315448961</c:v>
                </c:pt>
                <c:pt idx="10">
                  <c:v>-73560.801277134917</c:v>
                </c:pt>
                <c:pt idx="11">
                  <c:v>-79790.651725373697</c:v>
                </c:pt>
                <c:pt idx="12">
                  <c:v>-85839.050218809411</c:v>
                </c:pt>
                <c:pt idx="13">
                  <c:v>-91711.28176583437</c:v>
                </c:pt>
                <c:pt idx="14">
                  <c:v>-97412.477442557632</c:v>
                </c:pt>
                <c:pt idx="15">
                  <c:v>-102947.61887626954</c:v>
                </c:pt>
                <c:pt idx="16">
                  <c:v>-108321.54259831994</c:v>
                </c:pt>
                <c:pt idx="17">
                  <c:v>-113538.94427021353</c:v>
                </c:pt>
                <c:pt idx="18">
                  <c:v>-118604.38278661507</c:v>
                </c:pt>
                <c:pt idx="19">
                  <c:v>-123522.28425884958</c:v>
                </c:pt>
                <c:pt idx="20">
                  <c:v>-128296.94588237823</c:v>
                </c:pt>
                <c:pt idx="21">
                  <c:v>-132932.53969162935</c:v>
                </c:pt>
                <c:pt idx="22">
                  <c:v>-137433.1162054654</c:v>
                </c:pt>
                <c:pt idx="23">
                  <c:v>-141802.60796647126</c:v>
                </c:pt>
                <c:pt idx="24">
                  <c:v>-146044.83297715656</c:v>
                </c:pt>
                <c:pt idx="25">
                  <c:v>-150163.49803607434</c:v>
                </c:pt>
                <c:pt idx="26">
                  <c:v>-178154.42562095239</c:v>
                </c:pt>
                <c:pt idx="27">
                  <c:v>-205330.08347034856</c:v>
                </c:pt>
                <c:pt idx="28">
                  <c:v>-231714.21730471376</c:v>
                </c:pt>
                <c:pt idx="29">
                  <c:v>-257329.88122157319</c:v>
                </c:pt>
                <c:pt idx="30">
                  <c:v>-282199.45783988328</c:v>
                </c:pt>
                <c:pt idx="31">
                  <c:v>-306344.67785766011</c:v>
                </c:pt>
                <c:pt idx="32">
                  <c:v>-329786.63903996767</c:v>
                </c:pt>
                <c:pt idx="33">
                  <c:v>-352545.82465385855</c:v>
                </c:pt>
                <c:pt idx="34">
                  <c:v>-374642.12136637396</c:v>
                </c:pt>
                <c:pt idx="35">
                  <c:v>-396094.83662124327</c:v>
                </c:pt>
                <c:pt idx="36">
                  <c:v>-419861.67203331023</c:v>
                </c:pt>
                <c:pt idx="37">
                  <c:v>-442936.26952075388</c:v>
                </c:pt>
                <c:pt idx="38">
                  <c:v>-465338.79135322344</c:v>
                </c:pt>
                <c:pt idx="39">
                  <c:v>-487088.81254979584</c:v>
                </c:pt>
                <c:pt idx="40">
                  <c:v>-508205.33798336127</c:v>
                </c:pt>
                <c:pt idx="41">
                  <c:v>-528706.81898682285</c:v>
                </c:pt>
                <c:pt idx="42">
                  <c:v>-548611.1694756205</c:v>
                </c:pt>
                <c:pt idx="43">
                  <c:v>-567935.7816006667</c:v>
                </c:pt>
                <c:pt idx="44">
                  <c:v>-586697.54094537185</c:v>
                </c:pt>
                <c:pt idx="45">
                  <c:v>-604912.84128003696</c:v>
                </c:pt>
                <c:pt idx="46">
                  <c:v>-624838.71006123582</c:v>
                </c:pt>
                <c:pt idx="47">
                  <c:v>-644184.21373230265</c:v>
                </c:pt>
                <c:pt idx="48">
                  <c:v>-659048.15518472821</c:v>
                </c:pt>
                <c:pt idx="49">
                  <c:v>-659048.15518472821</c:v>
                </c:pt>
                <c:pt idx="50">
                  <c:v>-659048.15518472821</c:v>
                </c:pt>
              </c:numCache>
            </c:numRef>
          </c:yVal>
          <c:smooth val="0"/>
          <c:extLst>
            <c:ext xmlns:c16="http://schemas.microsoft.com/office/drawing/2014/chart" uri="{C3380CC4-5D6E-409C-BE32-E72D297353CC}">
              <c16:uniqueId val="{00000000-B3D3-44E2-B816-AB3243475257}"/>
            </c:ext>
          </c:extLst>
        </c:ser>
        <c:ser>
          <c:idx val="1"/>
          <c:order val="1"/>
          <c:tx>
            <c:strRef>
              <c:f>Annuitätenzuschuss!$BD$324</c:f>
              <c:strCache>
                <c:ptCount val="1"/>
                <c:pt idx="0">
                  <c:v>Bankdarlehen</c:v>
                </c:pt>
              </c:strCache>
            </c:strRef>
          </c:tx>
          <c:marker>
            <c:symbol val="none"/>
          </c:marker>
          <c:xVal>
            <c:numRef>
              <c:f>Annuitätenzuschuss!$BB$325:$BB$375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Annuitätenzuschuss!$BD$325:$BD$375</c:f>
              <c:numCache>
                <c:formatCode>#,##0.00</c:formatCode>
                <c:ptCount val="51"/>
                <c:pt idx="0" formatCode="General">
                  <c:v>0</c:v>
                </c:pt>
                <c:pt idx="1">
                  <c:v>-92978.660252089554</c:v>
                </c:pt>
                <c:pt idx="2">
                  <c:v>-183249.20418615709</c:v>
                </c:pt>
                <c:pt idx="3">
                  <c:v>-270890.50897651393</c:v>
                </c:pt>
                <c:pt idx="4">
                  <c:v>-355979.15440404485</c:v>
                </c:pt>
                <c:pt idx="5">
                  <c:v>-438589.48977057973</c:v>
                </c:pt>
                <c:pt idx="6">
                  <c:v>-518793.69886430289</c:v>
                </c:pt>
                <c:pt idx="7">
                  <c:v>-596661.86303296615</c:v>
                </c:pt>
                <c:pt idx="8">
                  <c:v>-672262.02242001786</c:v>
                </c:pt>
                <c:pt idx="9">
                  <c:v>-745660.23541715543</c:v>
                </c:pt>
                <c:pt idx="10">
                  <c:v>-816920.63638525014</c:v>
                </c:pt>
                <c:pt idx="11">
                  <c:v>-886105.49169407994</c:v>
                </c:pt>
                <c:pt idx="12">
                  <c:v>-953275.25412983703</c:v>
                </c:pt>
                <c:pt idx="13">
                  <c:v>-1018488.6157179507</c:v>
                </c:pt>
                <c:pt idx="14">
                  <c:v>-1081802.5590073816</c:v>
                </c:pt>
                <c:pt idx="15">
                  <c:v>-1143272.4068611979</c:v>
                </c:pt>
                <c:pt idx="16">
                  <c:v>-1202951.8707969419</c:v>
                </c:pt>
                <c:pt idx="17">
                  <c:v>-1260893.0979190234</c:v>
                </c:pt>
                <c:pt idx="18">
                  <c:v>-1317146.7164841511</c:v>
                </c:pt>
                <c:pt idx="19">
                  <c:v>-1371761.8801396149</c:v>
                </c:pt>
                <c:pt idx="20">
                  <c:v>-1424786.3108730749</c:v>
                </c:pt>
                <c:pt idx="21">
                  <c:v>-1476266.3407113857</c:v>
                </c:pt>
                <c:pt idx="22">
                  <c:v>-1526246.9522048912</c:v>
                </c:pt>
                <c:pt idx="23">
                  <c:v>-1574771.8177325665</c:v>
                </c:pt>
                <c:pt idx="24">
                  <c:v>-1621883.3376623483</c:v>
                </c:pt>
                <c:pt idx="25">
                  <c:v>-1667622.6774000006</c:v>
                </c:pt>
                <c:pt idx="26">
                  <c:v>-1667622.6774000006</c:v>
                </c:pt>
                <c:pt idx="27">
                  <c:v>-1667622.6774000006</c:v>
                </c:pt>
                <c:pt idx="28">
                  <c:v>-1667622.6774000006</c:v>
                </c:pt>
                <c:pt idx="29">
                  <c:v>-1667622.6774000006</c:v>
                </c:pt>
                <c:pt idx="30">
                  <c:v>-1667622.6774000006</c:v>
                </c:pt>
                <c:pt idx="31">
                  <c:v>-1667622.6774000006</c:v>
                </c:pt>
                <c:pt idx="32">
                  <c:v>-1667622.6774000006</c:v>
                </c:pt>
                <c:pt idx="33">
                  <c:v>-1667622.6774000006</c:v>
                </c:pt>
                <c:pt idx="34">
                  <c:v>-1667622.6774000006</c:v>
                </c:pt>
                <c:pt idx="35">
                  <c:v>-1667622.6774000006</c:v>
                </c:pt>
                <c:pt idx="36">
                  <c:v>-1667622.6774000006</c:v>
                </c:pt>
                <c:pt idx="37">
                  <c:v>-1667622.6774000006</c:v>
                </c:pt>
                <c:pt idx="38">
                  <c:v>-1667622.6774000006</c:v>
                </c:pt>
                <c:pt idx="39">
                  <c:v>-1667622.6774000006</c:v>
                </c:pt>
                <c:pt idx="40">
                  <c:v>-1667622.6774000006</c:v>
                </c:pt>
                <c:pt idx="41">
                  <c:v>-1667622.6774000006</c:v>
                </c:pt>
                <c:pt idx="42">
                  <c:v>-1667622.6774000006</c:v>
                </c:pt>
                <c:pt idx="43">
                  <c:v>-1667622.6774000006</c:v>
                </c:pt>
                <c:pt idx="44">
                  <c:v>-1667622.6774000006</c:v>
                </c:pt>
                <c:pt idx="45">
                  <c:v>-1667622.6774000006</c:v>
                </c:pt>
                <c:pt idx="46">
                  <c:v>-1667622.6774000006</c:v>
                </c:pt>
                <c:pt idx="47">
                  <c:v>-1667622.6774000006</c:v>
                </c:pt>
                <c:pt idx="48">
                  <c:v>-1667622.6774000006</c:v>
                </c:pt>
                <c:pt idx="49">
                  <c:v>-1667622.6774000006</c:v>
                </c:pt>
                <c:pt idx="50">
                  <c:v>-1667622.6774000006</c:v>
                </c:pt>
              </c:numCache>
            </c:numRef>
          </c:yVal>
          <c:smooth val="0"/>
          <c:extLst>
            <c:ext xmlns:c16="http://schemas.microsoft.com/office/drawing/2014/chart" uri="{C3380CC4-5D6E-409C-BE32-E72D297353CC}">
              <c16:uniqueId val="{00000001-B3D3-44E2-B816-AB3243475257}"/>
            </c:ext>
          </c:extLst>
        </c:ser>
        <c:ser>
          <c:idx val="2"/>
          <c:order val="2"/>
          <c:tx>
            <c:strRef>
              <c:f>Annuitätenzuschuss!$BE$324</c:f>
              <c:strCache>
                <c:ptCount val="1"/>
                <c:pt idx="0">
                  <c:v>Eigenkapital</c:v>
                </c:pt>
              </c:strCache>
            </c:strRef>
          </c:tx>
          <c:marker>
            <c:symbol val="none"/>
          </c:marker>
          <c:xVal>
            <c:numRef>
              <c:f>Annuitätenzuschuss!$BB$325:$BB$375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Annuitätenzuschuss!$BE$325:$BE$375</c:f>
              <c:numCache>
                <c:formatCode>#,##0.00</c:formatCode>
                <c:ptCount val="51"/>
                <c:pt idx="0" formatCode="General">
                  <c:v>0</c:v>
                </c:pt>
                <c:pt idx="1">
                  <c:v>-15456.586974757283</c:v>
                </c:pt>
                <c:pt idx="2">
                  <c:v>-30462.982095880856</c:v>
                </c:pt>
                <c:pt idx="3">
                  <c:v>-45032.297747457145</c:v>
                </c:pt>
                <c:pt idx="4">
                  <c:v>-59177.264399472959</c:v>
                </c:pt>
                <c:pt idx="5">
                  <c:v>-72910.241731527145</c:v>
                </c:pt>
                <c:pt idx="6">
                  <c:v>-86243.229432550623</c:v>
                </c:pt>
                <c:pt idx="7">
                  <c:v>-99187.877685971485</c:v>
                </c:pt>
                <c:pt idx="8">
                  <c:v>-111755.49734948688</c:v>
                </c:pt>
                <c:pt idx="9">
                  <c:v>-123957.06983833677</c:v>
                </c:pt>
                <c:pt idx="10">
                  <c:v>-135803.25672071532</c:v>
                </c:pt>
                <c:pt idx="11">
                  <c:v>-147304.4090337042</c:v>
                </c:pt>
                <c:pt idx="12">
                  <c:v>-158470.57632786816</c:v>
                </c:pt>
                <c:pt idx="13">
                  <c:v>-169311.51544841568</c:v>
                </c:pt>
                <c:pt idx="14">
                  <c:v>-179836.69906059775</c:v>
                </c:pt>
                <c:pt idx="15">
                  <c:v>-190055.32392679394</c:v>
                </c:pt>
                <c:pt idx="16">
                  <c:v>-199976.31894251838</c:v>
                </c:pt>
                <c:pt idx="17">
                  <c:v>-209608.35293836737</c:v>
                </c:pt>
                <c:pt idx="18">
                  <c:v>-218959.84225472561</c:v>
                </c:pt>
                <c:pt idx="19">
                  <c:v>-228038.9580958501</c:v>
                </c:pt>
                <c:pt idx="20">
                  <c:v>-236853.6336697574</c:v>
                </c:pt>
                <c:pt idx="21">
                  <c:v>-245411.57112015283</c:v>
                </c:pt>
                <c:pt idx="22">
                  <c:v>-253720.24825645908</c:v>
                </c:pt>
                <c:pt idx="23">
                  <c:v>-261786.92508782435</c:v>
                </c:pt>
                <c:pt idx="24">
                  <c:v>-269618.65016681975</c:v>
                </c:pt>
                <c:pt idx="25">
                  <c:v>-277222.26674836868</c:v>
                </c:pt>
                <c:pt idx="26">
                  <c:v>-284604.41876928997</c:v>
                </c:pt>
                <c:pt idx="27">
                  <c:v>-291771.55665367958</c:v>
                </c:pt>
                <c:pt idx="28">
                  <c:v>-298729.94294920348</c:v>
                </c:pt>
                <c:pt idx="29">
                  <c:v>-305485.6577992267</c:v>
                </c:pt>
                <c:pt idx="30">
                  <c:v>-312044.60425555991</c:v>
                </c:pt>
                <c:pt idx="31">
                  <c:v>-318412.51343646593</c:v>
                </c:pt>
                <c:pt idx="32">
                  <c:v>-324594.94953443296</c:v>
                </c:pt>
                <c:pt idx="33">
                  <c:v>-330597.31467809028</c:v>
                </c:pt>
                <c:pt idx="34">
                  <c:v>-336424.85365251487</c:v>
                </c:pt>
                <c:pt idx="35">
                  <c:v>-342082.65848205326</c:v>
                </c:pt>
                <c:pt idx="36">
                  <c:v>-345063.73863454303</c:v>
                </c:pt>
                <c:pt idx="37">
                  <c:v>-347957.99120977579</c:v>
                </c:pt>
                <c:pt idx="38">
                  <c:v>-350767.94516631251</c:v>
                </c:pt>
                <c:pt idx="39">
                  <c:v>-353496.05580372678</c:v>
                </c:pt>
                <c:pt idx="40">
                  <c:v>-356144.70690801245</c:v>
                </c:pt>
                <c:pt idx="41">
                  <c:v>-358716.21283450339</c:v>
                </c:pt>
                <c:pt idx="42">
                  <c:v>-361212.8205301257</c:v>
                </c:pt>
                <c:pt idx="43">
                  <c:v>-363636.71149674931</c:v>
                </c:pt>
                <c:pt idx="44">
                  <c:v>-365990.00369735475</c:v>
                </c:pt>
                <c:pt idx="45">
                  <c:v>-368274.75340668042</c:v>
                </c:pt>
                <c:pt idx="46">
                  <c:v>-370492.95700796746</c:v>
                </c:pt>
                <c:pt idx="47">
                  <c:v>-372646.55273737235</c:v>
                </c:pt>
                <c:pt idx="48">
                  <c:v>-374737.42237757129</c:v>
                </c:pt>
                <c:pt idx="49">
                  <c:v>-376767.39290203626</c:v>
                </c:pt>
                <c:pt idx="50">
                  <c:v>-378738.23807141971</c:v>
                </c:pt>
              </c:numCache>
            </c:numRef>
          </c:yVal>
          <c:smooth val="0"/>
          <c:extLst>
            <c:ext xmlns:c16="http://schemas.microsoft.com/office/drawing/2014/chart" uri="{C3380CC4-5D6E-409C-BE32-E72D297353CC}">
              <c16:uniqueId val="{00000002-B3D3-44E2-B816-AB3243475257}"/>
            </c:ext>
          </c:extLst>
        </c:ser>
        <c:ser>
          <c:idx val="3"/>
          <c:order val="3"/>
          <c:tx>
            <c:strRef>
              <c:f>Annuitätenzuschuss!$BF$324</c:f>
              <c:strCache>
                <c:ptCount val="1"/>
                <c:pt idx="0">
                  <c:v>Annuitätenzuschuss</c:v>
                </c:pt>
              </c:strCache>
            </c:strRef>
          </c:tx>
          <c:marker>
            <c:symbol val="none"/>
          </c:marker>
          <c:xVal>
            <c:numRef>
              <c:f>Annuitätenzuschuss!$BB$325:$BB$375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Annuitätenzuschuss!$BF$325:$BF$375</c:f>
              <c:numCache>
                <c:formatCode>#,##0.00</c:formatCode>
                <c:ptCount val="51"/>
                <c:pt idx="0" formatCode="General">
                  <c:v>0</c:v>
                </c:pt>
                <c:pt idx="1">
                  <c:v>41542.689945293423</c:v>
                </c:pt>
                <c:pt idx="2">
                  <c:v>81875.398630044321</c:v>
                </c:pt>
                <c:pt idx="3">
                  <c:v>121033.36822688986</c:v>
                </c:pt>
                <c:pt idx="4">
                  <c:v>159050.8144374195</c:v>
                </c:pt>
                <c:pt idx="5">
                  <c:v>195960.95638939002</c:v>
                </c:pt>
                <c:pt idx="6">
                  <c:v>231796.04566314782</c:v>
                </c:pt>
                <c:pt idx="7">
                  <c:v>266587.39447262138</c:v>
                </c:pt>
                <c:pt idx="8">
                  <c:v>300365.40302550833</c:v>
                </c:pt>
                <c:pt idx="9">
                  <c:v>333159.58608656365</c:v>
                </c:pt>
                <c:pt idx="10">
                  <c:v>364998.5987671999</c:v>
                </c:pt>
                <c:pt idx="11">
                  <c:v>395910.26156393409</c:v>
                </c:pt>
                <c:pt idx="12">
                  <c:v>425921.58466755954</c:v>
                </c:pt>
                <c:pt idx="13">
                  <c:v>455058.79156428325</c:v>
                </c:pt>
                <c:pt idx="14">
                  <c:v>483347.34194945195</c:v>
                </c:pt>
                <c:pt idx="15">
                  <c:v>510811.95397388755</c:v>
                </c:pt>
                <c:pt idx="16">
                  <c:v>537476.62584227161</c:v>
                </c:pt>
                <c:pt idx="17">
                  <c:v>563364.65678245027</c:v>
                </c:pt>
                <c:pt idx="18">
                  <c:v>588498.66740398295</c:v>
                </c:pt>
                <c:pt idx="19">
                  <c:v>612900.6194637235</c:v>
                </c:pt>
                <c:pt idx="20">
                  <c:v>636591.83505570458</c:v>
                </c:pt>
                <c:pt idx="21">
                  <c:v>659593.01524209394</c:v>
                </c:pt>
                <c:pt idx="22">
                  <c:v>681924.25814150111</c:v>
                </c:pt>
                <c:pt idx="23">
                  <c:v>703605.07649044017</c:v>
                </c:pt>
                <c:pt idx="24">
                  <c:v>724654.41469329363</c:v>
                </c:pt>
                <c:pt idx="25">
                  <c:v>745090.66537567554</c:v>
                </c:pt>
                <c:pt idx="26">
                  <c:v>744516.78314095351</c:v>
                </c:pt>
                <c:pt idx="27">
                  <c:v>743959.61592277687</c:v>
                </c:pt>
                <c:pt idx="28">
                  <c:v>743418.67687600339</c:v>
                </c:pt>
                <c:pt idx="29">
                  <c:v>742893.49333544658</c:v>
                </c:pt>
                <c:pt idx="30">
                  <c:v>742383.60640286712</c:v>
                </c:pt>
                <c:pt idx="31">
                  <c:v>741888.57054599386</c:v>
                </c:pt>
                <c:pt idx="32">
                  <c:v>741407.95320922381</c:v>
                </c:pt>
                <c:pt idx="33">
                  <c:v>740941.33443566062</c:v>
                </c:pt>
                <c:pt idx="34">
                  <c:v>740488.30650016235</c:v>
                </c:pt>
                <c:pt idx="35">
                  <c:v>364284.55862232205</c:v>
                </c:pt>
                <c:pt idx="36">
                  <c:v>364284.55862232205</c:v>
                </c:pt>
                <c:pt idx="37">
                  <c:v>364284.55862232205</c:v>
                </c:pt>
                <c:pt idx="38">
                  <c:v>364284.55862232205</c:v>
                </c:pt>
                <c:pt idx="39">
                  <c:v>364284.55862232205</c:v>
                </c:pt>
                <c:pt idx="40">
                  <c:v>364284.55862232205</c:v>
                </c:pt>
                <c:pt idx="41">
                  <c:v>364284.55862232205</c:v>
                </c:pt>
                <c:pt idx="42">
                  <c:v>364284.55862232205</c:v>
                </c:pt>
                <c:pt idx="43">
                  <c:v>364284.55862232205</c:v>
                </c:pt>
                <c:pt idx="44">
                  <c:v>364284.55862232205</c:v>
                </c:pt>
                <c:pt idx="45">
                  <c:v>364284.55862232205</c:v>
                </c:pt>
                <c:pt idx="46">
                  <c:v>364284.55862232205</c:v>
                </c:pt>
                <c:pt idx="47">
                  <c:v>364284.55862232205</c:v>
                </c:pt>
                <c:pt idx="48">
                  <c:v>364284.55862232205</c:v>
                </c:pt>
                <c:pt idx="49">
                  <c:v>364284.55862232205</c:v>
                </c:pt>
                <c:pt idx="50">
                  <c:v>364284.55862232205</c:v>
                </c:pt>
              </c:numCache>
            </c:numRef>
          </c:yVal>
          <c:smooth val="0"/>
          <c:extLst>
            <c:ext xmlns:c16="http://schemas.microsoft.com/office/drawing/2014/chart" uri="{C3380CC4-5D6E-409C-BE32-E72D297353CC}">
              <c16:uniqueId val="{00000003-B3D3-44E2-B816-AB3243475257}"/>
            </c:ext>
          </c:extLst>
        </c:ser>
        <c:ser>
          <c:idx val="4"/>
          <c:order val="4"/>
          <c:tx>
            <c:strRef>
              <c:f>Annuitätenzuschuss!$BG$56</c:f>
              <c:strCache>
                <c:ptCount val="1"/>
                <c:pt idx="0">
                  <c:v>Entgeltstundung</c:v>
                </c:pt>
              </c:strCache>
            </c:strRef>
          </c:tx>
          <c:marker>
            <c:symbol val="none"/>
          </c:marker>
          <c:xVal>
            <c:numRef>
              <c:f>Annuitätenzuschuss!$BB$57:$BB$107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Annuitätenzuschuss!$BG$57:$BG$107</c:f>
              <c:numCache>
                <c:formatCode>#,##0.00</c:formatCode>
                <c:ptCount val="51"/>
                <c:pt idx="0" formatCode="General">
                  <c:v>0</c:v>
                </c:pt>
                <c:pt idx="1">
                  <c:v>126460.81719428602</c:v>
                </c:pt>
                <c:pt idx="2">
                  <c:v>249238.30961592292</c:v>
                </c:pt>
                <c:pt idx="3">
                  <c:v>368439.75856896845</c:v>
                </c:pt>
                <c:pt idx="4">
                  <c:v>484169.32065930392</c:v>
                </c:pt>
                <c:pt idx="5">
                  <c:v>596528.11880526075</c:v>
                </c:pt>
                <c:pt idx="6">
                  <c:v>705614.33059745177</c:v>
                </c:pt>
                <c:pt idx="7">
                  <c:v>811523.27408501587</c:v>
                </c:pt>
                <c:pt idx="8">
                  <c:v>914347.49106323346</c:v>
                </c:pt>
                <c:pt idx="9">
                  <c:v>1014176.8279352894</c:v>
                </c:pt>
                <c:pt idx="10">
                  <c:v>1111098.5142188389</c:v>
                </c:pt>
                <c:pt idx="11">
                  <c:v>1205197.2387659743</c:v>
                </c:pt>
                <c:pt idx="12">
                  <c:v>1296555.223763193</c:v>
                </c:pt>
                <c:pt idx="13">
                  <c:v>1385252.2965760268</c:v>
                </c:pt>
                <c:pt idx="14">
                  <c:v>1471365.9595011082</c:v>
                </c:pt>
                <c:pt idx="15">
                  <c:v>1554971.4574866241</c:v>
                </c:pt>
                <c:pt idx="16">
                  <c:v>1636141.8438803288</c:v>
                </c:pt>
                <c:pt idx="17">
                  <c:v>1714948.0442625664</c:v>
                </c:pt>
                <c:pt idx="18">
                  <c:v>1791458.9184200787</c:v>
                </c:pt>
                <c:pt idx="19">
                  <c:v>1865741.3205147507</c:v>
                </c:pt>
                <c:pt idx="20">
                  <c:v>1937860.1574998691</c:v>
                </c:pt>
                <c:pt idx="21">
                  <c:v>2007878.4458349356</c:v>
                </c:pt>
                <c:pt idx="22">
                  <c:v>2075857.3665485925</c:v>
                </c:pt>
                <c:pt idx="23">
                  <c:v>2141856.3186977739</c:v>
                </c:pt>
                <c:pt idx="24">
                  <c:v>2205932.9712697947</c:v>
                </c:pt>
                <c:pt idx="25">
                  <c:v>2268143.3135727276</c:v>
                </c:pt>
                <c:pt idx="26">
                  <c:v>2239514.7541599297</c:v>
                </c:pt>
                <c:pt idx="27">
                  <c:v>2211720.0362834269</c:v>
                </c:pt>
                <c:pt idx="28">
                  <c:v>2184734.8732965309</c:v>
                </c:pt>
                <c:pt idx="29">
                  <c:v>2158535.6859306125</c:v>
                </c:pt>
                <c:pt idx="30">
                  <c:v>2133099.581691857</c:v>
                </c:pt>
                <c:pt idx="31">
                  <c:v>2108404.3348581134</c:v>
                </c:pt>
                <c:pt idx="32">
                  <c:v>2084428.3670583626</c:v>
                </c:pt>
                <c:pt idx="33">
                  <c:v>2061150.7284178277</c:v>
                </c:pt>
                <c:pt idx="34">
                  <c:v>2038551.07925226</c:v>
                </c:pt>
                <c:pt idx="35">
                  <c:v>449467.00826666923</c:v>
                </c:pt>
                <c:pt idx="36">
                  <c:v>449467.00826666923</c:v>
                </c:pt>
                <c:pt idx="37">
                  <c:v>449467.00826666923</c:v>
                </c:pt>
                <c:pt idx="38">
                  <c:v>449467.00826666923</c:v>
                </c:pt>
                <c:pt idx="39">
                  <c:v>449467.00826666923</c:v>
                </c:pt>
                <c:pt idx="40">
                  <c:v>449467.00826666923</c:v>
                </c:pt>
                <c:pt idx="41">
                  <c:v>449467.00826666923</c:v>
                </c:pt>
                <c:pt idx="42">
                  <c:v>449467.00826666923</c:v>
                </c:pt>
                <c:pt idx="43">
                  <c:v>449467.00826666923</c:v>
                </c:pt>
                <c:pt idx="44">
                  <c:v>449467.00826666923</c:v>
                </c:pt>
                <c:pt idx="45">
                  <c:v>449467.00826666923</c:v>
                </c:pt>
                <c:pt idx="46">
                  <c:v>449467.00826666923</c:v>
                </c:pt>
                <c:pt idx="47">
                  <c:v>449467.00826666923</c:v>
                </c:pt>
                <c:pt idx="48">
                  <c:v>449467.00826666923</c:v>
                </c:pt>
                <c:pt idx="49">
                  <c:v>449467.00826666923</c:v>
                </c:pt>
                <c:pt idx="50">
                  <c:v>449467.00826666923</c:v>
                </c:pt>
              </c:numCache>
            </c:numRef>
          </c:yVal>
          <c:smooth val="0"/>
          <c:extLst>
            <c:ext xmlns:c16="http://schemas.microsoft.com/office/drawing/2014/chart" uri="{C3380CC4-5D6E-409C-BE32-E72D297353CC}">
              <c16:uniqueId val="{00000004-B3D3-44E2-B816-AB3243475257}"/>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B3D3-44E2-B816-AB3243475257}"/>
            </c:ext>
          </c:extLst>
        </c:ser>
        <c:ser>
          <c:idx val="6"/>
          <c:order val="6"/>
          <c:tx>
            <c:strRef>
              <c:f>Annuitätenzuschuss!$BI$324</c:f>
              <c:strCache>
                <c:ptCount val="1"/>
                <c:pt idx="0">
                  <c:v>Barwert Gesamt</c:v>
                </c:pt>
              </c:strCache>
            </c:strRef>
          </c:tx>
          <c:marker>
            <c:symbol val="none"/>
          </c:marker>
          <c:xVal>
            <c:numRef>
              <c:f>Annuitätenzuschuss!$BB$325:$BB$375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Annuitätenzuschuss!$BI$325:$BI$375</c:f>
              <c:numCache>
                <c:formatCode>#,##0.00</c:formatCode>
                <c:ptCount val="51"/>
                <c:pt idx="0" formatCode="General">
                  <c:v>0</c:v>
                </c:pt>
                <c:pt idx="1">
                  <c:v>-75264.955339805834</c:v>
                </c:pt>
                <c:pt idx="2">
                  <c:v>-148337.72751437459</c:v>
                </c:pt>
                <c:pt idx="3">
                  <c:v>-219282.16651881029</c:v>
                </c:pt>
                <c:pt idx="4">
                  <c:v>-288160.26263962168</c:v>
                </c:pt>
                <c:pt idx="5">
                  <c:v>-355032.20062099193</c:v>
                </c:pt>
                <c:pt idx="6">
                  <c:v>-419956.41225339024</c:v>
                </c:pt>
                <c:pt idx="7">
                  <c:v>-482989.62743047596</c:v>
                </c:pt>
                <c:pt idx="8">
                  <c:v>-544186.92371890869</c:v>
                </c:pt>
                <c:pt idx="9">
                  <c:v>-603601.77448437735</c:v>
                </c:pt>
                <c:pt idx="10">
                  <c:v>-661286.09561590035</c:v>
                </c:pt>
                <c:pt idx="11">
                  <c:v>-717290.29088922369</c:v>
                </c:pt>
                <c:pt idx="12">
                  <c:v>-771663.29600895511</c:v>
                </c:pt>
                <c:pt idx="13">
                  <c:v>-824452.62136791763</c:v>
                </c:pt>
                <c:pt idx="14">
                  <c:v>-875704.3935610851</c:v>
                </c:pt>
                <c:pt idx="15">
                  <c:v>-925463.39569037384</c:v>
                </c:pt>
                <c:pt idx="16">
                  <c:v>-973773.10649550857</c:v>
                </c:pt>
                <c:pt idx="17">
                  <c:v>-1020675.738345154</c:v>
                </c:pt>
                <c:pt idx="18">
                  <c:v>-1066212.2741215087</c:v>
                </c:pt>
                <c:pt idx="19">
                  <c:v>-1110422.5030305909</c:v>
                </c:pt>
                <c:pt idx="20">
                  <c:v>-1153345.0553695059</c:v>
                </c:pt>
                <c:pt idx="21">
                  <c:v>-1195017.4362810736</c:v>
                </c:pt>
                <c:pt idx="22">
                  <c:v>-1235476.0585253141</c:v>
                </c:pt>
                <c:pt idx="23">
                  <c:v>-1274756.2742964216</c:v>
                </c:pt>
                <c:pt idx="24">
                  <c:v>-1312892.4061130306</c:v>
                </c:pt>
                <c:pt idx="25">
                  <c:v>-1349917.7768087676</c:v>
                </c:pt>
                <c:pt idx="26">
                  <c:v>-1385864.7386492889</c:v>
                </c:pt>
                <c:pt idx="27">
                  <c:v>-1420764.7016012513</c:v>
                </c:pt>
                <c:pt idx="28">
                  <c:v>-1454648.1607779139</c:v>
                </c:pt>
                <c:pt idx="29">
                  <c:v>-1487544.7230853534</c:v>
                </c:pt>
                <c:pt idx="30">
                  <c:v>-1519483.1330925762</c:v>
                </c:pt>
                <c:pt idx="31">
                  <c:v>-1550491.2981481322</c:v>
                </c:pt>
                <c:pt idx="32">
                  <c:v>-1580596.3127651769</c:v>
                </c:pt>
                <c:pt idx="33">
                  <c:v>-1609824.4822962882</c:v>
                </c:pt>
                <c:pt idx="34">
                  <c:v>-1638201.3459187264</c:v>
                </c:pt>
                <c:pt idx="35">
                  <c:v>-2041515.6138809745</c:v>
                </c:pt>
                <c:pt idx="36">
                  <c:v>-2068263.5294455311</c:v>
                </c:pt>
                <c:pt idx="37">
                  <c:v>-2094232.3795082076</c:v>
                </c:pt>
                <c:pt idx="38">
                  <c:v>-2119444.8552972139</c:v>
                </c:pt>
                <c:pt idx="39">
                  <c:v>-2143922.9871312007</c:v>
                </c:pt>
                <c:pt idx="40">
                  <c:v>-2167688.1636690521</c:v>
                </c:pt>
                <c:pt idx="41">
                  <c:v>-2190761.1505990047</c:v>
                </c:pt>
                <c:pt idx="42">
                  <c:v>-2213162.1087834248</c:v>
                </c:pt>
                <c:pt idx="43">
                  <c:v>-2234910.6118750945</c:v>
                </c:pt>
                <c:pt idx="44">
                  <c:v>-2256025.6634204048</c:v>
                </c:pt>
                <c:pt idx="45">
                  <c:v>-2276525.7134643956</c:v>
                </c:pt>
                <c:pt idx="46">
                  <c:v>-2298669.7858468816</c:v>
                </c:pt>
                <c:pt idx="47">
                  <c:v>-2320168.8852473535</c:v>
                </c:pt>
                <c:pt idx="48">
                  <c:v>-2337123.6963399779</c:v>
                </c:pt>
                <c:pt idx="49">
                  <c:v>-2339153.6668644431</c:v>
                </c:pt>
                <c:pt idx="50">
                  <c:v>-2341124.5120338267</c:v>
                </c:pt>
              </c:numCache>
            </c:numRef>
          </c:yVal>
          <c:smooth val="0"/>
          <c:extLst>
            <c:ext xmlns:c16="http://schemas.microsoft.com/office/drawing/2014/chart" uri="{C3380CC4-5D6E-409C-BE32-E72D297353CC}">
              <c16:uniqueId val="{00000006-B3D3-44E2-B816-AB3243475257}"/>
            </c:ext>
          </c:extLst>
        </c:ser>
        <c:dLbls>
          <c:showLegendKey val="0"/>
          <c:showVal val="0"/>
          <c:showCatName val="0"/>
          <c:showSerName val="0"/>
          <c:showPercent val="0"/>
          <c:showBubbleSize val="0"/>
        </c:dLbls>
        <c:axId val="669399296"/>
        <c:axId val="669413376"/>
      </c:scatterChart>
      <c:valAx>
        <c:axId val="669399296"/>
        <c:scaling>
          <c:orientation val="minMax"/>
          <c:max val="50"/>
        </c:scaling>
        <c:delete val="0"/>
        <c:axPos val="b"/>
        <c:numFmt formatCode="General" sourceLinked="1"/>
        <c:majorTickMark val="out"/>
        <c:minorTickMark val="none"/>
        <c:tickLblPos val="nextTo"/>
        <c:crossAx val="669413376"/>
        <c:crosses val="autoZero"/>
        <c:crossBetween val="midCat"/>
      </c:valAx>
      <c:valAx>
        <c:axId val="669413376"/>
        <c:scaling>
          <c:orientation val="minMax"/>
        </c:scaling>
        <c:delete val="0"/>
        <c:axPos val="l"/>
        <c:majorGridlines/>
        <c:numFmt formatCode="General" sourceLinked="1"/>
        <c:majorTickMark val="out"/>
        <c:minorTickMark val="none"/>
        <c:tickLblPos val="nextTo"/>
        <c:crossAx val="669399296"/>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Annuitätenzuschuss!$R$324</c:f>
              <c:strCache>
                <c:ptCount val="1"/>
                <c:pt idx="0">
                  <c:v>Annuität</c:v>
                </c:pt>
              </c:strCache>
            </c:strRef>
          </c:tx>
          <c:marker>
            <c:symbol val="none"/>
          </c:marker>
          <c:xVal>
            <c:numRef>
              <c:f>Annuitätenzuschuss!$M$325:$M$375</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Annuitätenzuschuss!$R$325:$R$375</c:f>
              <c:numCache>
                <c:formatCode>#,##0.00</c:formatCode>
                <c:ptCount val="51"/>
                <c:pt idx="0">
                  <c:v>0</c:v>
                </c:pt>
                <c:pt idx="1">
                  <c:v>95768.020059652234</c:v>
                </c:pt>
                <c:pt idx="2">
                  <c:v>95768.020059652234</c:v>
                </c:pt>
                <c:pt idx="3">
                  <c:v>95768.020059652234</c:v>
                </c:pt>
                <c:pt idx="4">
                  <c:v>95768.020059652234</c:v>
                </c:pt>
                <c:pt idx="5">
                  <c:v>95768.020059652234</c:v>
                </c:pt>
                <c:pt idx="6">
                  <c:v>95768.020059652234</c:v>
                </c:pt>
                <c:pt idx="7">
                  <c:v>95768.020059652234</c:v>
                </c:pt>
                <c:pt idx="8">
                  <c:v>95768.020059652234</c:v>
                </c:pt>
                <c:pt idx="9">
                  <c:v>95768.020059652234</c:v>
                </c:pt>
                <c:pt idx="10">
                  <c:v>95768.020059652234</c:v>
                </c:pt>
                <c:pt idx="11">
                  <c:v>95768.020059652234</c:v>
                </c:pt>
                <c:pt idx="12">
                  <c:v>95768.020059652234</c:v>
                </c:pt>
                <c:pt idx="13">
                  <c:v>95768.020059652234</c:v>
                </c:pt>
                <c:pt idx="14">
                  <c:v>95768.020059652234</c:v>
                </c:pt>
                <c:pt idx="15">
                  <c:v>95768.020059652234</c:v>
                </c:pt>
                <c:pt idx="16">
                  <c:v>95768.020059652234</c:v>
                </c:pt>
                <c:pt idx="17">
                  <c:v>95768.020059652234</c:v>
                </c:pt>
                <c:pt idx="18">
                  <c:v>95768.020059652234</c:v>
                </c:pt>
                <c:pt idx="19">
                  <c:v>95768.020059652234</c:v>
                </c:pt>
                <c:pt idx="20">
                  <c:v>95768.020059652234</c:v>
                </c:pt>
                <c:pt idx="21">
                  <c:v>95768.020059652234</c:v>
                </c:pt>
                <c:pt idx="22">
                  <c:v>95768.020059652234</c:v>
                </c:pt>
                <c:pt idx="23">
                  <c:v>95768.020059652234</c:v>
                </c:pt>
                <c:pt idx="24">
                  <c:v>95768.020059652234</c:v>
                </c:pt>
                <c:pt idx="25">
                  <c:v>95768.020059652234</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A8B7-48D5-ABAC-5D25457755A2}"/>
            </c:ext>
          </c:extLst>
        </c:ser>
        <c:ser>
          <c:idx val="1"/>
          <c:order val="1"/>
          <c:tx>
            <c:strRef>
              <c:f>Annuitätenzuschuss!$S$324</c:f>
              <c:strCache>
                <c:ptCount val="1"/>
                <c:pt idx="0">
                  <c:v>Zinsen</c:v>
                </c:pt>
              </c:strCache>
            </c:strRef>
          </c:tx>
          <c:marker>
            <c:symbol val="none"/>
          </c:marker>
          <c:xVal>
            <c:numRef>
              <c:f>Annuitätenzuschuss!$M$325:$M$375</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Annuitätenzuschuss!$S$325:$S$375</c:f>
              <c:numCache>
                <c:formatCode>#,##0.00</c:formatCode>
                <c:ptCount val="51"/>
                <c:pt idx="1">
                  <c:v>50028.680322000007</c:v>
                </c:pt>
                <c:pt idx="2">
                  <c:v>48656.500129870437</c:v>
                </c:pt>
                <c:pt idx="3">
                  <c:v>47243.154531976987</c:v>
                </c:pt>
                <c:pt idx="4">
                  <c:v>45787.408566146725</c:v>
                </c:pt>
                <c:pt idx="5">
                  <c:v>44287.990221341563</c:v>
                </c:pt>
                <c:pt idx="6">
                  <c:v>42743.589326192247</c:v>
                </c:pt>
                <c:pt idx="7">
                  <c:v>41152.856404188446</c:v>
                </c:pt>
                <c:pt idx="8">
                  <c:v>39514.401494524529</c:v>
                </c:pt>
                <c:pt idx="9">
                  <c:v>37826.792937570703</c:v>
                </c:pt>
                <c:pt idx="10">
                  <c:v>36088.556123908253</c:v>
                </c:pt>
                <c:pt idx="11">
                  <c:v>34298.172205835937</c:v>
                </c:pt>
                <c:pt idx="12">
                  <c:v>32454.076770221447</c:v>
                </c:pt>
                <c:pt idx="13">
                  <c:v>30554.658471538522</c:v>
                </c:pt>
                <c:pt idx="14">
                  <c:v>28598.257623895111</c:v>
                </c:pt>
                <c:pt idx="15">
                  <c:v>26583.164750822398</c:v>
                </c:pt>
                <c:pt idx="16">
                  <c:v>24507.619091557503</c:v>
                </c:pt>
                <c:pt idx="17">
                  <c:v>22369.807062514661</c:v>
                </c:pt>
                <c:pt idx="18">
                  <c:v>20167.860672600535</c:v>
                </c:pt>
                <c:pt idx="19">
                  <c:v>17899.855890988983</c:v>
                </c:pt>
                <c:pt idx="20">
                  <c:v>15563.810965929086</c:v>
                </c:pt>
                <c:pt idx="21">
                  <c:v>13157.684693117391</c:v>
                </c:pt>
                <c:pt idx="22">
                  <c:v>10679.374632121348</c:v>
                </c:pt>
                <c:pt idx="23">
                  <c:v>8126.7152692954196</c:v>
                </c:pt>
                <c:pt idx="24">
                  <c:v>5497.4761255847152</c:v>
                </c:pt>
                <c:pt idx="25">
                  <c:v>2789.3598075626896</c:v>
                </c:pt>
                <c:pt idx="26">
                  <c:v>3.4924596548080443E-12</c:v>
                </c:pt>
                <c:pt idx="27">
                  <c:v>3.5972334444522858E-12</c:v>
                </c:pt>
                <c:pt idx="28">
                  <c:v>3.7051504477858537E-12</c:v>
                </c:pt>
                <c:pt idx="29">
                  <c:v>3.8163049612194301E-12</c:v>
                </c:pt>
                <c:pt idx="30">
                  <c:v>3.9307941100560121E-12</c:v>
                </c:pt>
                <c:pt idx="31">
                  <c:v>4.0487179333576929E-12</c:v>
                </c:pt>
                <c:pt idx="32">
                  <c:v>4.1701794713584234E-12</c:v>
                </c:pt>
                <c:pt idx="33">
                  <c:v>4.2952848554991769E-12</c:v>
                </c:pt>
                <c:pt idx="34">
                  <c:v>4.4241434011641518E-12</c:v>
                </c:pt>
                <c:pt idx="35">
                  <c:v>4.556867703199077E-12</c:v>
                </c:pt>
                <c:pt idx="36">
                  <c:v>4.693573734295049E-12</c:v>
                </c:pt>
                <c:pt idx="37">
                  <c:v>4.8343809463239003E-12</c:v>
                </c:pt>
                <c:pt idx="38">
                  <c:v>4.979412374713618E-12</c:v>
                </c:pt>
                <c:pt idx="39">
                  <c:v>5.1287947459550261E-12</c:v>
                </c:pt>
                <c:pt idx="40">
                  <c:v>5.2826585883336765E-12</c:v>
                </c:pt>
                <c:pt idx="41">
                  <c:v>5.4411383459836874E-12</c:v>
                </c:pt>
                <c:pt idx="42">
                  <c:v>5.6043724963631971E-12</c:v>
                </c:pt>
                <c:pt idx="43">
                  <c:v>5.7725036712540932E-12</c:v>
                </c:pt>
                <c:pt idx="44">
                  <c:v>5.9456787813917161E-12</c:v>
                </c:pt>
                <c:pt idx="45">
                  <c:v>6.1240491448334673E-12</c:v>
                </c:pt>
                <c:pt idx="46">
                  <c:v>6.3077706191784711E-12</c:v>
                </c:pt>
                <c:pt idx="47">
                  <c:v>6.4970037377538253E-12</c:v>
                </c:pt>
                <c:pt idx="48">
                  <c:v>6.6919138498864401E-12</c:v>
                </c:pt>
                <c:pt idx="49">
                  <c:v>6.8926712653830325E-12</c:v>
                </c:pt>
                <c:pt idx="50">
                  <c:v>7.0994514033445231E-12</c:v>
                </c:pt>
              </c:numCache>
            </c:numRef>
          </c:yVal>
          <c:smooth val="0"/>
          <c:extLst>
            <c:ext xmlns:c16="http://schemas.microsoft.com/office/drawing/2014/chart" uri="{C3380CC4-5D6E-409C-BE32-E72D297353CC}">
              <c16:uniqueId val="{00000001-A8B7-48D5-ABAC-5D25457755A2}"/>
            </c:ext>
          </c:extLst>
        </c:ser>
        <c:ser>
          <c:idx val="2"/>
          <c:order val="2"/>
          <c:tx>
            <c:strRef>
              <c:f>Annuitätenzuschuss!$T$324</c:f>
              <c:strCache>
                <c:ptCount val="1"/>
                <c:pt idx="0">
                  <c:v>Tilgung</c:v>
                </c:pt>
              </c:strCache>
            </c:strRef>
          </c:tx>
          <c:marker>
            <c:symbol val="none"/>
          </c:marker>
          <c:xVal>
            <c:numRef>
              <c:f>Annuitätenzuschuss!$M$325:$M$375</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Annuitätenzuschuss!$T$325:$T$375</c:f>
              <c:numCache>
                <c:formatCode>#,##0.00</c:formatCode>
                <c:ptCount val="51"/>
                <c:pt idx="1">
                  <c:v>45739.339737652226</c:v>
                </c:pt>
                <c:pt idx="2">
                  <c:v>47111.519929781796</c:v>
                </c:pt>
                <c:pt idx="3">
                  <c:v>48524.865527675247</c:v>
                </c:pt>
                <c:pt idx="4">
                  <c:v>49980.611493505508</c:v>
                </c:pt>
                <c:pt idx="5">
                  <c:v>51480.029838310671</c:v>
                </c:pt>
                <c:pt idx="6">
                  <c:v>53024.430733459987</c:v>
                </c:pt>
                <c:pt idx="7">
                  <c:v>54615.163655463788</c:v>
                </c:pt>
                <c:pt idx="8">
                  <c:v>56253.618565127705</c:v>
                </c:pt>
                <c:pt idx="9">
                  <c:v>57941.227122081531</c:v>
                </c:pt>
                <c:pt idx="10">
                  <c:v>59679.463935743981</c:v>
                </c:pt>
                <c:pt idx="11">
                  <c:v>61469.847853816296</c:v>
                </c:pt>
                <c:pt idx="12">
                  <c:v>63313.943289430783</c:v>
                </c:pt>
                <c:pt idx="13">
                  <c:v>65213.361588113708</c:v>
                </c:pt>
                <c:pt idx="14">
                  <c:v>67169.762435757119</c:v>
                </c:pt>
                <c:pt idx="15">
                  <c:v>69184.855308829836</c:v>
                </c:pt>
                <c:pt idx="16">
                  <c:v>71260.400968094735</c:v>
                </c:pt>
                <c:pt idx="17">
                  <c:v>73398.212997137569</c:v>
                </c:pt>
                <c:pt idx="18">
                  <c:v>75600.159387051695</c:v>
                </c:pt>
                <c:pt idx="19">
                  <c:v>77868.16416866325</c:v>
                </c:pt>
                <c:pt idx="20">
                  <c:v>80204.209093723155</c:v>
                </c:pt>
                <c:pt idx="21">
                  <c:v>82610.33536653484</c:v>
                </c:pt>
                <c:pt idx="22">
                  <c:v>85088.645427530893</c:v>
                </c:pt>
                <c:pt idx="23">
                  <c:v>87641.304790356808</c:v>
                </c:pt>
                <c:pt idx="24">
                  <c:v>90270.543934067522</c:v>
                </c:pt>
                <c:pt idx="25">
                  <c:v>92978.660252089539</c:v>
                </c:pt>
                <c:pt idx="26">
                  <c:v>-3.4924596548080443E-12</c:v>
                </c:pt>
                <c:pt idx="27">
                  <c:v>-3.5972334444522858E-12</c:v>
                </c:pt>
                <c:pt idx="28">
                  <c:v>-3.7051504477858537E-12</c:v>
                </c:pt>
                <c:pt idx="29">
                  <c:v>-3.8163049612194301E-12</c:v>
                </c:pt>
                <c:pt idx="30">
                  <c:v>-3.9307941100560121E-12</c:v>
                </c:pt>
                <c:pt idx="31">
                  <c:v>-4.0487179333576929E-12</c:v>
                </c:pt>
                <c:pt idx="32">
                  <c:v>-4.1701794713584234E-12</c:v>
                </c:pt>
                <c:pt idx="33">
                  <c:v>-4.2952848554991769E-12</c:v>
                </c:pt>
                <c:pt idx="34">
                  <c:v>-4.4241434011641518E-12</c:v>
                </c:pt>
                <c:pt idx="35">
                  <c:v>-4.556867703199077E-12</c:v>
                </c:pt>
                <c:pt idx="36">
                  <c:v>-4.693573734295049E-12</c:v>
                </c:pt>
                <c:pt idx="37">
                  <c:v>-4.8343809463239003E-12</c:v>
                </c:pt>
                <c:pt idx="38">
                  <c:v>-4.979412374713618E-12</c:v>
                </c:pt>
                <c:pt idx="39">
                  <c:v>-5.1287947459550261E-12</c:v>
                </c:pt>
                <c:pt idx="40">
                  <c:v>-5.2826585883336765E-12</c:v>
                </c:pt>
                <c:pt idx="41">
                  <c:v>-5.4411383459836874E-12</c:v>
                </c:pt>
                <c:pt idx="42">
                  <c:v>-5.6043724963631971E-12</c:v>
                </c:pt>
                <c:pt idx="43">
                  <c:v>-5.7725036712540932E-12</c:v>
                </c:pt>
                <c:pt idx="44">
                  <c:v>-5.9456787813917161E-12</c:v>
                </c:pt>
                <c:pt idx="45">
                  <c:v>-6.1240491448334673E-12</c:v>
                </c:pt>
                <c:pt idx="46">
                  <c:v>-6.3077706191784711E-12</c:v>
                </c:pt>
                <c:pt idx="47">
                  <c:v>-6.4970037377538253E-12</c:v>
                </c:pt>
                <c:pt idx="48">
                  <c:v>-6.6919138498864401E-12</c:v>
                </c:pt>
                <c:pt idx="49">
                  <c:v>-6.8926712653830325E-12</c:v>
                </c:pt>
                <c:pt idx="50">
                  <c:v>-7.0994514033445231E-12</c:v>
                </c:pt>
              </c:numCache>
            </c:numRef>
          </c:yVal>
          <c:smooth val="0"/>
          <c:extLst>
            <c:ext xmlns:c16="http://schemas.microsoft.com/office/drawing/2014/chart" uri="{C3380CC4-5D6E-409C-BE32-E72D297353CC}">
              <c16:uniqueId val="{00000002-A8B7-48D5-ABAC-5D25457755A2}"/>
            </c:ext>
          </c:extLst>
        </c:ser>
        <c:dLbls>
          <c:showLegendKey val="0"/>
          <c:showVal val="0"/>
          <c:showCatName val="0"/>
          <c:showSerName val="0"/>
          <c:showPercent val="0"/>
          <c:showBubbleSize val="0"/>
        </c:dLbls>
        <c:axId val="669430912"/>
        <c:axId val="669432448"/>
      </c:scatterChart>
      <c:valAx>
        <c:axId val="669430912"/>
        <c:scaling>
          <c:orientation val="minMax"/>
          <c:max val="50"/>
          <c:min val="0"/>
        </c:scaling>
        <c:delete val="0"/>
        <c:axPos val="b"/>
        <c:numFmt formatCode="General" sourceLinked="1"/>
        <c:majorTickMark val="out"/>
        <c:minorTickMark val="none"/>
        <c:tickLblPos val="nextTo"/>
        <c:crossAx val="669432448"/>
        <c:crosses val="autoZero"/>
        <c:crossBetween val="midCat"/>
        <c:majorUnit val="10"/>
        <c:minorUnit val="2"/>
      </c:valAx>
      <c:valAx>
        <c:axId val="669432448"/>
        <c:scaling>
          <c:orientation val="minMax"/>
        </c:scaling>
        <c:delete val="0"/>
        <c:axPos val="l"/>
        <c:majorGridlines/>
        <c:numFmt formatCode="#,##0.00" sourceLinked="1"/>
        <c:majorTickMark val="out"/>
        <c:minorTickMark val="none"/>
        <c:tickLblPos val="nextTo"/>
        <c:crossAx val="66943091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Annuitätenzuschuss!$V$324</c:f>
              <c:strCache>
                <c:ptCount val="1"/>
                <c:pt idx="0">
                  <c:v>Eigenmittel f. Grundkosten</c:v>
                </c:pt>
              </c:strCache>
            </c:strRef>
          </c:tx>
          <c:marker>
            <c:symbol val="none"/>
          </c:marker>
          <c:xVal>
            <c:numRef>
              <c:f>Annuitätenzuschuss!$M$325:$M$375</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Annuitätenzuschuss!$V$325:$V$375</c:f>
              <c:numCache>
                <c:formatCode>#,##0.00</c:formatCode>
                <c:ptCount val="51"/>
                <c:pt idx="0">
                  <c:v>0</c:v>
                </c:pt>
                <c:pt idx="1">
                  <c:v>8640</c:v>
                </c:pt>
                <c:pt idx="2">
                  <c:v>8640</c:v>
                </c:pt>
                <c:pt idx="3">
                  <c:v>8640</c:v>
                </c:pt>
                <c:pt idx="4">
                  <c:v>8640</c:v>
                </c:pt>
                <c:pt idx="5">
                  <c:v>8640</c:v>
                </c:pt>
                <c:pt idx="6">
                  <c:v>8640</c:v>
                </c:pt>
                <c:pt idx="7">
                  <c:v>8640</c:v>
                </c:pt>
                <c:pt idx="8">
                  <c:v>8640</c:v>
                </c:pt>
                <c:pt idx="9">
                  <c:v>8640</c:v>
                </c:pt>
                <c:pt idx="10">
                  <c:v>8640</c:v>
                </c:pt>
                <c:pt idx="11">
                  <c:v>8640</c:v>
                </c:pt>
                <c:pt idx="12">
                  <c:v>8640</c:v>
                </c:pt>
                <c:pt idx="13">
                  <c:v>8640</c:v>
                </c:pt>
                <c:pt idx="14">
                  <c:v>8640</c:v>
                </c:pt>
                <c:pt idx="15">
                  <c:v>8640</c:v>
                </c:pt>
                <c:pt idx="16">
                  <c:v>8640</c:v>
                </c:pt>
                <c:pt idx="17">
                  <c:v>8640</c:v>
                </c:pt>
                <c:pt idx="18">
                  <c:v>8640</c:v>
                </c:pt>
                <c:pt idx="19">
                  <c:v>8640</c:v>
                </c:pt>
                <c:pt idx="20">
                  <c:v>8640</c:v>
                </c:pt>
                <c:pt idx="21">
                  <c:v>8640</c:v>
                </c:pt>
                <c:pt idx="22">
                  <c:v>8640</c:v>
                </c:pt>
                <c:pt idx="23">
                  <c:v>8640</c:v>
                </c:pt>
                <c:pt idx="24">
                  <c:v>8640</c:v>
                </c:pt>
                <c:pt idx="25">
                  <c:v>8640</c:v>
                </c:pt>
                <c:pt idx="26">
                  <c:v>8640</c:v>
                </c:pt>
                <c:pt idx="27">
                  <c:v>8640</c:v>
                </c:pt>
                <c:pt idx="28">
                  <c:v>8640</c:v>
                </c:pt>
                <c:pt idx="29">
                  <c:v>8640</c:v>
                </c:pt>
                <c:pt idx="30">
                  <c:v>8640</c:v>
                </c:pt>
                <c:pt idx="31">
                  <c:v>8640</c:v>
                </c:pt>
                <c:pt idx="32">
                  <c:v>8640</c:v>
                </c:pt>
                <c:pt idx="33">
                  <c:v>8640</c:v>
                </c:pt>
                <c:pt idx="34">
                  <c:v>8640</c:v>
                </c:pt>
                <c:pt idx="35">
                  <c:v>8640</c:v>
                </c:pt>
                <c:pt idx="36">
                  <c:v>8640</c:v>
                </c:pt>
                <c:pt idx="37">
                  <c:v>8640</c:v>
                </c:pt>
                <c:pt idx="38">
                  <c:v>8640</c:v>
                </c:pt>
                <c:pt idx="39">
                  <c:v>8640</c:v>
                </c:pt>
                <c:pt idx="40">
                  <c:v>8640</c:v>
                </c:pt>
                <c:pt idx="41">
                  <c:v>8640</c:v>
                </c:pt>
                <c:pt idx="42">
                  <c:v>8640</c:v>
                </c:pt>
                <c:pt idx="43">
                  <c:v>8640</c:v>
                </c:pt>
                <c:pt idx="44">
                  <c:v>8640</c:v>
                </c:pt>
                <c:pt idx="45">
                  <c:v>8640</c:v>
                </c:pt>
                <c:pt idx="46">
                  <c:v>8640</c:v>
                </c:pt>
                <c:pt idx="47">
                  <c:v>8640</c:v>
                </c:pt>
                <c:pt idx="48">
                  <c:v>8640</c:v>
                </c:pt>
                <c:pt idx="49">
                  <c:v>8640</c:v>
                </c:pt>
                <c:pt idx="50">
                  <c:v>8640</c:v>
                </c:pt>
              </c:numCache>
            </c:numRef>
          </c:yVal>
          <c:smooth val="0"/>
          <c:extLst>
            <c:ext xmlns:c16="http://schemas.microsoft.com/office/drawing/2014/chart" uri="{C3380CC4-5D6E-409C-BE32-E72D297353CC}">
              <c16:uniqueId val="{00000000-89D3-49C4-B345-49161C98F9BA}"/>
            </c:ext>
          </c:extLst>
        </c:ser>
        <c:ser>
          <c:idx val="1"/>
          <c:order val="1"/>
          <c:tx>
            <c:strRef>
              <c:f>Annuitätenzuschuss!$W$324</c:f>
              <c:strCache>
                <c:ptCount val="1"/>
                <c:pt idx="0">
                  <c:v>Eigenmittel f. Baukosten</c:v>
                </c:pt>
              </c:strCache>
            </c:strRef>
          </c:tx>
          <c:marker>
            <c:symbol val="none"/>
          </c:marker>
          <c:xVal>
            <c:numRef>
              <c:f>Annuitätenzuschuss!$M$325:$M$375</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Annuitätenzuschuss!$W$325:$W$375</c:f>
              <c:numCache>
                <c:formatCode>#,##0.00</c:formatCode>
                <c:ptCount val="51"/>
                <c:pt idx="0">
                  <c:v>0</c:v>
                </c:pt>
                <c:pt idx="1">
                  <c:v>7280.284584</c:v>
                </c:pt>
                <c:pt idx="2">
                  <c:v>7280.284584</c:v>
                </c:pt>
                <c:pt idx="3">
                  <c:v>7280.284584</c:v>
                </c:pt>
                <c:pt idx="4">
                  <c:v>7280.284584</c:v>
                </c:pt>
                <c:pt idx="5">
                  <c:v>7280.284584</c:v>
                </c:pt>
                <c:pt idx="6">
                  <c:v>7280.284584</c:v>
                </c:pt>
                <c:pt idx="7">
                  <c:v>7280.284584</c:v>
                </c:pt>
                <c:pt idx="8">
                  <c:v>7280.284584</c:v>
                </c:pt>
                <c:pt idx="9">
                  <c:v>7280.284584</c:v>
                </c:pt>
                <c:pt idx="10">
                  <c:v>7280.284584</c:v>
                </c:pt>
                <c:pt idx="11">
                  <c:v>7280.284584</c:v>
                </c:pt>
                <c:pt idx="12">
                  <c:v>7280.284584</c:v>
                </c:pt>
                <c:pt idx="13">
                  <c:v>7280.284584</c:v>
                </c:pt>
                <c:pt idx="14">
                  <c:v>7280.284584</c:v>
                </c:pt>
                <c:pt idx="15">
                  <c:v>7280.284584</c:v>
                </c:pt>
                <c:pt idx="16">
                  <c:v>7280.284584</c:v>
                </c:pt>
                <c:pt idx="17">
                  <c:v>7280.284584</c:v>
                </c:pt>
                <c:pt idx="18">
                  <c:v>7280.284584</c:v>
                </c:pt>
                <c:pt idx="19">
                  <c:v>7280.284584</c:v>
                </c:pt>
                <c:pt idx="20">
                  <c:v>7280.284584</c:v>
                </c:pt>
                <c:pt idx="21">
                  <c:v>7280.284584</c:v>
                </c:pt>
                <c:pt idx="22">
                  <c:v>7280.284584</c:v>
                </c:pt>
                <c:pt idx="23">
                  <c:v>7280.284584</c:v>
                </c:pt>
                <c:pt idx="24">
                  <c:v>7280.284584</c:v>
                </c:pt>
                <c:pt idx="25">
                  <c:v>7280.284584</c:v>
                </c:pt>
                <c:pt idx="26">
                  <c:v>7280.284584</c:v>
                </c:pt>
                <c:pt idx="27">
                  <c:v>7280.284584</c:v>
                </c:pt>
                <c:pt idx="28">
                  <c:v>7280.284584</c:v>
                </c:pt>
                <c:pt idx="29">
                  <c:v>7280.284584</c:v>
                </c:pt>
                <c:pt idx="30">
                  <c:v>7280.284584</c:v>
                </c:pt>
                <c:pt idx="31">
                  <c:v>7280.284584</c:v>
                </c:pt>
                <c:pt idx="32">
                  <c:v>7280.284584</c:v>
                </c:pt>
                <c:pt idx="33">
                  <c:v>7280.284584</c:v>
                </c:pt>
                <c:pt idx="34">
                  <c:v>7280.284584</c:v>
                </c:pt>
                <c:pt idx="35">
                  <c:v>7280.284584</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89D3-49C4-B345-49161C98F9BA}"/>
            </c:ext>
          </c:extLst>
        </c:ser>
        <c:dLbls>
          <c:showLegendKey val="0"/>
          <c:showVal val="0"/>
          <c:showCatName val="0"/>
          <c:showSerName val="0"/>
          <c:showPercent val="0"/>
          <c:showBubbleSize val="0"/>
        </c:dLbls>
        <c:axId val="669932544"/>
        <c:axId val="669942528"/>
      </c:scatterChart>
      <c:valAx>
        <c:axId val="669932544"/>
        <c:scaling>
          <c:orientation val="minMax"/>
        </c:scaling>
        <c:delete val="0"/>
        <c:axPos val="b"/>
        <c:numFmt formatCode="General" sourceLinked="1"/>
        <c:majorTickMark val="out"/>
        <c:minorTickMark val="none"/>
        <c:tickLblPos val="nextTo"/>
        <c:crossAx val="669942528"/>
        <c:crosses val="autoZero"/>
        <c:crossBetween val="midCat"/>
      </c:valAx>
      <c:valAx>
        <c:axId val="669942528"/>
        <c:scaling>
          <c:orientation val="minMax"/>
        </c:scaling>
        <c:delete val="0"/>
        <c:axPos val="l"/>
        <c:majorGridlines/>
        <c:numFmt formatCode="#,##0.00" sourceLinked="1"/>
        <c:majorTickMark val="out"/>
        <c:minorTickMark val="none"/>
        <c:tickLblPos val="nextTo"/>
        <c:crossAx val="669932544"/>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Annuitätenzuschuss!$BL$324</c:f>
              <c:strCache>
                <c:ptCount val="1"/>
                <c:pt idx="0">
                  <c:v>WBF Darlehen</c:v>
                </c:pt>
              </c:strCache>
            </c:strRef>
          </c:tx>
          <c:marker>
            <c:symbol val="none"/>
          </c:marker>
          <c:xVal>
            <c:numRef>
              <c:f>Annuitätenzuschuss!$BK$325:$BK$375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Annuitätenzuschuss!$BL$325:$BL$375</c:f>
              <c:numCache>
                <c:formatCode>#,##0.00</c:formatCode>
                <c:ptCount val="51"/>
                <c:pt idx="0">
                  <c:v>0</c:v>
                </c:pt>
                <c:pt idx="1">
                  <c:v>-8623.5699999999961</c:v>
                </c:pt>
                <c:pt idx="2">
                  <c:v>-8623.5699999999961</c:v>
                </c:pt>
                <c:pt idx="3">
                  <c:v>-8623.5699999999961</c:v>
                </c:pt>
                <c:pt idx="4">
                  <c:v>-8623.5699999999961</c:v>
                </c:pt>
                <c:pt idx="5">
                  <c:v>-8623.5699999999961</c:v>
                </c:pt>
                <c:pt idx="6">
                  <c:v>-8623.5699999999961</c:v>
                </c:pt>
                <c:pt idx="7">
                  <c:v>-8623.5699999999961</c:v>
                </c:pt>
                <c:pt idx="8">
                  <c:v>-8623.5699999999961</c:v>
                </c:pt>
                <c:pt idx="9">
                  <c:v>-8623.5699999999961</c:v>
                </c:pt>
                <c:pt idx="10">
                  <c:v>-8623.5699999999961</c:v>
                </c:pt>
                <c:pt idx="11">
                  <c:v>-8623.5699999999961</c:v>
                </c:pt>
                <c:pt idx="12">
                  <c:v>-8623.5699999999961</c:v>
                </c:pt>
                <c:pt idx="13">
                  <c:v>-8623.5699999999961</c:v>
                </c:pt>
                <c:pt idx="14">
                  <c:v>-8623.5699999999961</c:v>
                </c:pt>
                <c:pt idx="15">
                  <c:v>-8623.5699999999961</c:v>
                </c:pt>
                <c:pt idx="16">
                  <c:v>-8623.5699999999961</c:v>
                </c:pt>
                <c:pt idx="17">
                  <c:v>-8623.5699999999961</c:v>
                </c:pt>
                <c:pt idx="18">
                  <c:v>-8623.5699999999961</c:v>
                </c:pt>
                <c:pt idx="19">
                  <c:v>-8623.5699999999961</c:v>
                </c:pt>
                <c:pt idx="20">
                  <c:v>-8623.5699999999961</c:v>
                </c:pt>
                <c:pt idx="21">
                  <c:v>-8623.5699999999961</c:v>
                </c:pt>
                <c:pt idx="22">
                  <c:v>-8623.5699999999961</c:v>
                </c:pt>
                <c:pt idx="23">
                  <c:v>-8623.5699999999961</c:v>
                </c:pt>
                <c:pt idx="24">
                  <c:v>-8623.5699999999961</c:v>
                </c:pt>
                <c:pt idx="25">
                  <c:v>-8623.5699999999961</c:v>
                </c:pt>
                <c:pt idx="26">
                  <c:v>-60364.989999999983</c:v>
                </c:pt>
                <c:pt idx="27">
                  <c:v>-60364.989999999983</c:v>
                </c:pt>
                <c:pt idx="28">
                  <c:v>-60364.989999999983</c:v>
                </c:pt>
                <c:pt idx="29">
                  <c:v>-60364.989999999983</c:v>
                </c:pt>
                <c:pt idx="30">
                  <c:v>-60364.989999999983</c:v>
                </c:pt>
                <c:pt idx="31">
                  <c:v>-60364.989999999983</c:v>
                </c:pt>
                <c:pt idx="32">
                  <c:v>-60364.989999999983</c:v>
                </c:pt>
                <c:pt idx="33">
                  <c:v>-60364.989999999983</c:v>
                </c:pt>
                <c:pt idx="34">
                  <c:v>-60364.989999999983</c:v>
                </c:pt>
                <c:pt idx="35">
                  <c:v>-60364.989999999983</c:v>
                </c:pt>
                <c:pt idx="36">
                  <c:v>-68882.90399999998</c:v>
                </c:pt>
                <c:pt idx="37">
                  <c:v>-68882.90399999998</c:v>
                </c:pt>
                <c:pt idx="38">
                  <c:v>-68882.90399999998</c:v>
                </c:pt>
                <c:pt idx="39">
                  <c:v>-68882.90399999998</c:v>
                </c:pt>
                <c:pt idx="40">
                  <c:v>-68882.90399999998</c:v>
                </c:pt>
                <c:pt idx="41">
                  <c:v>-68882.90399999998</c:v>
                </c:pt>
                <c:pt idx="42">
                  <c:v>-68882.90399999998</c:v>
                </c:pt>
                <c:pt idx="43">
                  <c:v>-68882.90399999998</c:v>
                </c:pt>
                <c:pt idx="44">
                  <c:v>-68882.90399999998</c:v>
                </c:pt>
                <c:pt idx="45">
                  <c:v>-68882.90399999998</c:v>
                </c:pt>
                <c:pt idx="46">
                  <c:v>-77612.129999999961</c:v>
                </c:pt>
                <c:pt idx="47">
                  <c:v>-77612.129999999961</c:v>
                </c:pt>
                <c:pt idx="48">
                  <c:v>-61421.549999998053</c:v>
                </c:pt>
                <c:pt idx="49">
                  <c:v>0</c:v>
                </c:pt>
                <c:pt idx="50">
                  <c:v>0</c:v>
                </c:pt>
              </c:numCache>
            </c:numRef>
          </c:yVal>
          <c:smooth val="0"/>
          <c:extLst>
            <c:ext xmlns:c16="http://schemas.microsoft.com/office/drawing/2014/chart" uri="{C3380CC4-5D6E-409C-BE32-E72D297353CC}">
              <c16:uniqueId val="{00000000-31D1-4877-8B09-8C6B23A6BD01}"/>
            </c:ext>
          </c:extLst>
        </c:ser>
        <c:ser>
          <c:idx val="1"/>
          <c:order val="1"/>
          <c:tx>
            <c:strRef>
              <c:f>Annuitätenzuschuss!$BM$324</c:f>
              <c:strCache>
                <c:ptCount val="1"/>
                <c:pt idx="0">
                  <c:v>Bankdarlehen</c:v>
                </c:pt>
              </c:strCache>
            </c:strRef>
          </c:tx>
          <c:marker>
            <c:symbol val="none"/>
          </c:marker>
          <c:xVal>
            <c:numRef>
              <c:f>Annuitätenzuschuss!$BK$325:$BK$375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Annuitätenzuschuss!$BM$325:$BM$375</c:f>
              <c:numCache>
                <c:formatCode>#,##0.00</c:formatCode>
                <c:ptCount val="51"/>
                <c:pt idx="0">
                  <c:v>0</c:v>
                </c:pt>
                <c:pt idx="1">
                  <c:v>-95768.020059652234</c:v>
                </c:pt>
                <c:pt idx="2">
                  <c:v>-95768.020059652234</c:v>
                </c:pt>
                <c:pt idx="3">
                  <c:v>-95768.020059652234</c:v>
                </c:pt>
                <c:pt idx="4">
                  <c:v>-95768.020059652234</c:v>
                </c:pt>
                <c:pt idx="5">
                  <c:v>-95768.020059652234</c:v>
                </c:pt>
                <c:pt idx="6">
                  <c:v>-95768.020059652234</c:v>
                </c:pt>
                <c:pt idx="7">
                  <c:v>-95768.020059652234</c:v>
                </c:pt>
                <c:pt idx="8">
                  <c:v>-95768.020059652234</c:v>
                </c:pt>
                <c:pt idx="9">
                  <c:v>-95768.020059652234</c:v>
                </c:pt>
                <c:pt idx="10">
                  <c:v>-95768.020059652234</c:v>
                </c:pt>
                <c:pt idx="11">
                  <c:v>-95768.020059652234</c:v>
                </c:pt>
                <c:pt idx="12">
                  <c:v>-95768.020059652234</c:v>
                </c:pt>
                <c:pt idx="13">
                  <c:v>-95768.020059652234</c:v>
                </c:pt>
                <c:pt idx="14">
                  <c:v>-95768.020059652234</c:v>
                </c:pt>
                <c:pt idx="15">
                  <c:v>-95768.020059652234</c:v>
                </c:pt>
                <c:pt idx="16">
                  <c:v>-95768.020059652234</c:v>
                </c:pt>
                <c:pt idx="17">
                  <c:v>-95768.020059652234</c:v>
                </c:pt>
                <c:pt idx="18">
                  <c:v>-95768.020059652234</c:v>
                </c:pt>
                <c:pt idx="19">
                  <c:v>-95768.020059652234</c:v>
                </c:pt>
                <c:pt idx="20">
                  <c:v>-95768.020059652234</c:v>
                </c:pt>
                <c:pt idx="21">
                  <c:v>-95768.020059652234</c:v>
                </c:pt>
                <c:pt idx="22">
                  <c:v>-95768.020059652234</c:v>
                </c:pt>
                <c:pt idx="23">
                  <c:v>-95768.020059652234</c:v>
                </c:pt>
                <c:pt idx="24">
                  <c:v>-95768.020059652234</c:v>
                </c:pt>
                <c:pt idx="25">
                  <c:v>-95768.020059652234</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31D1-4877-8B09-8C6B23A6BD01}"/>
            </c:ext>
          </c:extLst>
        </c:ser>
        <c:ser>
          <c:idx val="2"/>
          <c:order val="2"/>
          <c:tx>
            <c:strRef>
              <c:f>Annuitätenzuschuss!$BN$324</c:f>
              <c:strCache>
                <c:ptCount val="1"/>
                <c:pt idx="0">
                  <c:v>Eigenkapital</c:v>
                </c:pt>
              </c:strCache>
            </c:strRef>
          </c:tx>
          <c:marker>
            <c:symbol val="none"/>
          </c:marker>
          <c:xVal>
            <c:numRef>
              <c:f>Annuitätenzuschuss!$BK$325:$BK$375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Annuitätenzuschuss!$BN$325:$BN$375</c:f>
              <c:numCache>
                <c:formatCode>#,##0.00</c:formatCode>
                <c:ptCount val="51"/>
                <c:pt idx="0">
                  <c:v>0</c:v>
                </c:pt>
                <c:pt idx="1">
                  <c:v>-15920.284584000001</c:v>
                </c:pt>
                <c:pt idx="2">
                  <c:v>-15920.284584000001</c:v>
                </c:pt>
                <c:pt idx="3">
                  <c:v>-15920.284584000001</c:v>
                </c:pt>
                <c:pt idx="4">
                  <c:v>-15920.284584000001</c:v>
                </c:pt>
                <c:pt idx="5">
                  <c:v>-15920.284584000001</c:v>
                </c:pt>
                <c:pt idx="6">
                  <c:v>-15920.284584000001</c:v>
                </c:pt>
                <c:pt idx="7">
                  <c:v>-15920.284584000001</c:v>
                </c:pt>
                <c:pt idx="8">
                  <c:v>-15920.284584000001</c:v>
                </c:pt>
                <c:pt idx="9">
                  <c:v>-15920.284584000001</c:v>
                </c:pt>
                <c:pt idx="10">
                  <c:v>-15920.284584000001</c:v>
                </c:pt>
                <c:pt idx="11">
                  <c:v>-15920.284584000001</c:v>
                </c:pt>
                <c:pt idx="12">
                  <c:v>-15920.284584000001</c:v>
                </c:pt>
                <c:pt idx="13">
                  <c:v>-15920.284584000001</c:v>
                </c:pt>
                <c:pt idx="14">
                  <c:v>-15920.284584000001</c:v>
                </c:pt>
                <c:pt idx="15">
                  <c:v>-15920.284584000001</c:v>
                </c:pt>
                <c:pt idx="16">
                  <c:v>-15920.284584000001</c:v>
                </c:pt>
                <c:pt idx="17">
                  <c:v>-15920.284584000001</c:v>
                </c:pt>
                <c:pt idx="18">
                  <c:v>-15920.284584000001</c:v>
                </c:pt>
                <c:pt idx="19">
                  <c:v>-15920.284584000001</c:v>
                </c:pt>
                <c:pt idx="20">
                  <c:v>-15920.284584000001</c:v>
                </c:pt>
                <c:pt idx="21">
                  <c:v>-15920.284584000001</c:v>
                </c:pt>
                <c:pt idx="22">
                  <c:v>-15920.284584000001</c:v>
                </c:pt>
                <c:pt idx="23">
                  <c:v>-15920.284584000001</c:v>
                </c:pt>
                <c:pt idx="24">
                  <c:v>-15920.284584000001</c:v>
                </c:pt>
                <c:pt idx="25">
                  <c:v>-15920.284584000001</c:v>
                </c:pt>
                <c:pt idx="26">
                  <c:v>-15920.284584000001</c:v>
                </c:pt>
                <c:pt idx="27">
                  <c:v>-15920.284584000001</c:v>
                </c:pt>
                <c:pt idx="28">
                  <c:v>-15920.284584000001</c:v>
                </c:pt>
                <c:pt idx="29">
                  <c:v>-15920.284584000001</c:v>
                </c:pt>
                <c:pt idx="30">
                  <c:v>-15920.284584000001</c:v>
                </c:pt>
                <c:pt idx="31">
                  <c:v>-15920.284584000001</c:v>
                </c:pt>
                <c:pt idx="32">
                  <c:v>-15920.284584000001</c:v>
                </c:pt>
                <c:pt idx="33">
                  <c:v>-15920.284584000001</c:v>
                </c:pt>
                <c:pt idx="34">
                  <c:v>-15920.284584000001</c:v>
                </c:pt>
                <c:pt idx="35">
                  <c:v>-15920.284584000001</c:v>
                </c:pt>
                <c:pt idx="36">
                  <c:v>-8640</c:v>
                </c:pt>
                <c:pt idx="37">
                  <c:v>-8640</c:v>
                </c:pt>
                <c:pt idx="38">
                  <c:v>-8640</c:v>
                </c:pt>
                <c:pt idx="39">
                  <c:v>-8640</c:v>
                </c:pt>
                <c:pt idx="40">
                  <c:v>-8640</c:v>
                </c:pt>
                <c:pt idx="41">
                  <c:v>-8640</c:v>
                </c:pt>
                <c:pt idx="42">
                  <c:v>-8640</c:v>
                </c:pt>
                <c:pt idx="43">
                  <c:v>-8640</c:v>
                </c:pt>
                <c:pt idx="44">
                  <c:v>-8640</c:v>
                </c:pt>
                <c:pt idx="45">
                  <c:v>-8640</c:v>
                </c:pt>
                <c:pt idx="46">
                  <c:v>-8640</c:v>
                </c:pt>
                <c:pt idx="47">
                  <c:v>-8640</c:v>
                </c:pt>
                <c:pt idx="48">
                  <c:v>-8640</c:v>
                </c:pt>
                <c:pt idx="49">
                  <c:v>-8640</c:v>
                </c:pt>
                <c:pt idx="50">
                  <c:v>-8640</c:v>
                </c:pt>
              </c:numCache>
            </c:numRef>
          </c:yVal>
          <c:smooth val="0"/>
          <c:extLst>
            <c:ext xmlns:c16="http://schemas.microsoft.com/office/drawing/2014/chart" uri="{C3380CC4-5D6E-409C-BE32-E72D297353CC}">
              <c16:uniqueId val="{00000002-31D1-4877-8B09-8C6B23A6BD01}"/>
            </c:ext>
          </c:extLst>
        </c:ser>
        <c:ser>
          <c:idx val="3"/>
          <c:order val="3"/>
          <c:tx>
            <c:strRef>
              <c:f>Annuitätenzuschuss!$BO$324</c:f>
              <c:strCache>
                <c:ptCount val="1"/>
                <c:pt idx="0">
                  <c:v>Annuitätenzuschuss</c:v>
                </c:pt>
              </c:strCache>
            </c:strRef>
          </c:tx>
          <c:marker>
            <c:symbol val="none"/>
          </c:marker>
          <c:xVal>
            <c:numRef>
              <c:f>Annuitätenzuschuss!$BK$325:$BK$375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Annuitätenzuschuss!$BO$325:$BO$375</c:f>
              <c:numCache>
                <c:formatCode>#,##0.00</c:formatCode>
                <c:ptCount val="51"/>
                <c:pt idx="0">
                  <c:v>0</c:v>
                </c:pt>
                <c:pt idx="1">
                  <c:v>42788.970643652225</c:v>
                </c:pt>
                <c:pt idx="2">
                  <c:v>42788.970643652225</c:v>
                </c:pt>
                <c:pt idx="3">
                  <c:v>42788.970643652225</c:v>
                </c:pt>
                <c:pt idx="4">
                  <c:v>42788.970643652225</c:v>
                </c:pt>
                <c:pt idx="5">
                  <c:v>42788.970643652225</c:v>
                </c:pt>
                <c:pt idx="6">
                  <c:v>42788.970643652225</c:v>
                </c:pt>
                <c:pt idx="7">
                  <c:v>42788.970643652225</c:v>
                </c:pt>
                <c:pt idx="8">
                  <c:v>42788.970643652225</c:v>
                </c:pt>
                <c:pt idx="9">
                  <c:v>42788.970643652225</c:v>
                </c:pt>
                <c:pt idx="10">
                  <c:v>42788.970643652225</c:v>
                </c:pt>
                <c:pt idx="11">
                  <c:v>42788.970643652225</c:v>
                </c:pt>
                <c:pt idx="12">
                  <c:v>42788.970643652225</c:v>
                </c:pt>
                <c:pt idx="13">
                  <c:v>42788.970643652225</c:v>
                </c:pt>
                <c:pt idx="14">
                  <c:v>42788.970643652225</c:v>
                </c:pt>
                <c:pt idx="15">
                  <c:v>42788.970643652225</c:v>
                </c:pt>
                <c:pt idx="16">
                  <c:v>42788.970643652225</c:v>
                </c:pt>
                <c:pt idx="17">
                  <c:v>42788.970643652225</c:v>
                </c:pt>
                <c:pt idx="18">
                  <c:v>42788.970643652225</c:v>
                </c:pt>
                <c:pt idx="19">
                  <c:v>42788.970643652225</c:v>
                </c:pt>
                <c:pt idx="20">
                  <c:v>42788.970643652225</c:v>
                </c:pt>
                <c:pt idx="21">
                  <c:v>42788.970643652225</c:v>
                </c:pt>
                <c:pt idx="22">
                  <c:v>42788.970643652225</c:v>
                </c:pt>
                <c:pt idx="23">
                  <c:v>42788.970643652225</c:v>
                </c:pt>
                <c:pt idx="24">
                  <c:v>42788.970643652225</c:v>
                </c:pt>
                <c:pt idx="25">
                  <c:v>42788.970643652225</c:v>
                </c:pt>
                <c:pt idx="26">
                  <c:v>-1237.6294160000107</c:v>
                </c:pt>
                <c:pt idx="27">
                  <c:v>-1237.6294160000107</c:v>
                </c:pt>
                <c:pt idx="28">
                  <c:v>-1237.6294160000107</c:v>
                </c:pt>
                <c:pt idx="29">
                  <c:v>-1237.6294160000107</c:v>
                </c:pt>
                <c:pt idx="30">
                  <c:v>-1237.6294160000107</c:v>
                </c:pt>
                <c:pt idx="31">
                  <c:v>-1237.6294160000107</c:v>
                </c:pt>
                <c:pt idx="32">
                  <c:v>-1237.6294160000107</c:v>
                </c:pt>
                <c:pt idx="33">
                  <c:v>-1237.6294160000107</c:v>
                </c:pt>
                <c:pt idx="34">
                  <c:v>-1237.6294160000107</c:v>
                </c:pt>
                <c:pt idx="35">
                  <c:v>-1058585.6013473051</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31D1-4877-8B09-8C6B23A6BD01}"/>
            </c:ext>
          </c:extLst>
        </c:ser>
        <c:ser>
          <c:idx val="4"/>
          <c:order val="4"/>
          <c:tx>
            <c:strRef>
              <c:f>Annuitätenzuschuss!$BP$56</c:f>
              <c:strCache>
                <c:ptCount val="1"/>
                <c:pt idx="0">
                  <c:v>Entgeltstundung</c:v>
                </c:pt>
              </c:strCache>
            </c:strRef>
          </c:tx>
          <c:marker>
            <c:symbol val="none"/>
          </c:marker>
          <c:xVal>
            <c:numRef>
              <c:f>Annuitätenzuschuss!$BK$57:$BK$107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Annuitätenzuschuss!$BP$57:$BP$107</c:f>
              <c:numCache>
                <c:formatCode>#,##0.00</c:formatCode>
                <c:ptCount val="51"/>
                <c:pt idx="0">
                  <c:v>0</c:v>
                </c:pt>
                <c:pt idx="1">
                  <c:v>130254.64171011459</c:v>
                </c:pt>
                <c:pt idx="2">
                  <c:v>130254.64171011459</c:v>
                </c:pt>
                <c:pt idx="3">
                  <c:v>130254.64171011459</c:v>
                </c:pt>
                <c:pt idx="4">
                  <c:v>130254.64171011459</c:v>
                </c:pt>
                <c:pt idx="5">
                  <c:v>130254.64171011459</c:v>
                </c:pt>
                <c:pt idx="6">
                  <c:v>130254.64171011459</c:v>
                </c:pt>
                <c:pt idx="7">
                  <c:v>130254.64171011459</c:v>
                </c:pt>
                <c:pt idx="8">
                  <c:v>130254.64171011459</c:v>
                </c:pt>
                <c:pt idx="9">
                  <c:v>130254.64171011459</c:v>
                </c:pt>
                <c:pt idx="10">
                  <c:v>130254.64171011459</c:v>
                </c:pt>
                <c:pt idx="11">
                  <c:v>130254.64171011459</c:v>
                </c:pt>
                <c:pt idx="12">
                  <c:v>130254.64171011459</c:v>
                </c:pt>
                <c:pt idx="13">
                  <c:v>130254.64171011459</c:v>
                </c:pt>
                <c:pt idx="14">
                  <c:v>130254.64171011459</c:v>
                </c:pt>
                <c:pt idx="15">
                  <c:v>130254.64171011459</c:v>
                </c:pt>
                <c:pt idx="16">
                  <c:v>130254.64171011459</c:v>
                </c:pt>
                <c:pt idx="17">
                  <c:v>130254.64171011459</c:v>
                </c:pt>
                <c:pt idx="18">
                  <c:v>130254.64171011459</c:v>
                </c:pt>
                <c:pt idx="19">
                  <c:v>130254.64171011459</c:v>
                </c:pt>
                <c:pt idx="20">
                  <c:v>130254.64171011459</c:v>
                </c:pt>
                <c:pt idx="21">
                  <c:v>130254.64171011459</c:v>
                </c:pt>
                <c:pt idx="22">
                  <c:v>130254.64171011459</c:v>
                </c:pt>
                <c:pt idx="23">
                  <c:v>130254.64171011459</c:v>
                </c:pt>
                <c:pt idx="24">
                  <c:v>130254.64171011459</c:v>
                </c:pt>
                <c:pt idx="25">
                  <c:v>130254.64171011459</c:v>
                </c:pt>
                <c:pt idx="26">
                  <c:v>-61740.101231999994</c:v>
                </c:pt>
                <c:pt idx="27">
                  <c:v>-61740.101231999994</c:v>
                </c:pt>
                <c:pt idx="28">
                  <c:v>-61740.101231999994</c:v>
                </c:pt>
                <c:pt idx="29">
                  <c:v>-61740.101231999994</c:v>
                </c:pt>
                <c:pt idx="30">
                  <c:v>-61740.101231999994</c:v>
                </c:pt>
                <c:pt idx="31">
                  <c:v>-61740.101231999994</c:v>
                </c:pt>
                <c:pt idx="32">
                  <c:v>-61740.101231999994</c:v>
                </c:pt>
                <c:pt idx="33">
                  <c:v>-61740.101231999994</c:v>
                </c:pt>
                <c:pt idx="34">
                  <c:v>-61740.101231999994</c:v>
                </c:pt>
                <c:pt idx="35">
                  <c:v>-4471464.0041862056</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31D1-4877-8B09-8C6B23A6BD01}"/>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31D1-4877-8B09-8C6B23A6BD01}"/>
            </c:ext>
          </c:extLst>
        </c:ser>
        <c:ser>
          <c:idx val="6"/>
          <c:order val="6"/>
          <c:tx>
            <c:strRef>
              <c:f>Annuitätenzuschuss!$BR$324</c:f>
              <c:strCache>
                <c:ptCount val="1"/>
                <c:pt idx="0">
                  <c:v>Zeitwert gesamt</c:v>
                </c:pt>
              </c:strCache>
            </c:strRef>
          </c:tx>
          <c:marker>
            <c:symbol val="none"/>
          </c:marker>
          <c:xVal>
            <c:numRef>
              <c:f>Annuitätenzuschuss!$BK$325:$BK$375</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Annuitätenzuschuss!$BR$325:$BR$375</c:f>
              <c:numCache>
                <c:formatCode>#,##0.00</c:formatCode>
                <c:ptCount val="51"/>
                <c:pt idx="0">
                  <c:v>0</c:v>
                </c:pt>
                <c:pt idx="1">
                  <c:v>-77522.90400000001</c:v>
                </c:pt>
                <c:pt idx="2">
                  <c:v>-77522.90400000001</c:v>
                </c:pt>
                <c:pt idx="3">
                  <c:v>-77522.90400000001</c:v>
                </c:pt>
                <c:pt idx="4">
                  <c:v>-77522.90400000001</c:v>
                </c:pt>
                <c:pt idx="5">
                  <c:v>-77522.90400000001</c:v>
                </c:pt>
                <c:pt idx="6">
                  <c:v>-77522.90400000001</c:v>
                </c:pt>
                <c:pt idx="7">
                  <c:v>-77522.90400000001</c:v>
                </c:pt>
                <c:pt idx="8">
                  <c:v>-77522.90400000001</c:v>
                </c:pt>
                <c:pt idx="9">
                  <c:v>-77522.90400000001</c:v>
                </c:pt>
                <c:pt idx="10">
                  <c:v>-77522.90400000001</c:v>
                </c:pt>
                <c:pt idx="11">
                  <c:v>-77522.90400000001</c:v>
                </c:pt>
                <c:pt idx="12">
                  <c:v>-77522.90400000001</c:v>
                </c:pt>
                <c:pt idx="13">
                  <c:v>-77522.90400000001</c:v>
                </c:pt>
                <c:pt idx="14">
                  <c:v>-77522.90400000001</c:v>
                </c:pt>
                <c:pt idx="15">
                  <c:v>-77522.90400000001</c:v>
                </c:pt>
                <c:pt idx="16">
                  <c:v>-77522.90400000001</c:v>
                </c:pt>
                <c:pt idx="17">
                  <c:v>-77522.90400000001</c:v>
                </c:pt>
                <c:pt idx="18">
                  <c:v>-77522.90400000001</c:v>
                </c:pt>
                <c:pt idx="19">
                  <c:v>-77522.90400000001</c:v>
                </c:pt>
                <c:pt idx="20">
                  <c:v>-77522.90400000001</c:v>
                </c:pt>
                <c:pt idx="21">
                  <c:v>-77522.90400000001</c:v>
                </c:pt>
                <c:pt idx="22">
                  <c:v>-77522.90400000001</c:v>
                </c:pt>
                <c:pt idx="23">
                  <c:v>-77522.90400000001</c:v>
                </c:pt>
                <c:pt idx="24">
                  <c:v>-77522.90400000001</c:v>
                </c:pt>
                <c:pt idx="25">
                  <c:v>-77522.90400000001</c:v>
                </c:pt>
                <c:pt idx="26">
                  <c:v>-77522.903999999995</c:v>
                </c:pt>
                <c:pt idx="27">
                  <c:v>-77522.903999999995</c:v>
                </c:pt>
                <c:pt idx="28">
                  <c:v>-77522.903999999995</c:v>
                </c:pt>
                <c:pt idx="29">
                  <c:v>-77522.903999999995</c:v>
                </c:pt>
                <c:pt idx="30">
                  <c:v>-77522.903999999995</c:v>
                </c:pt>
                <c:pt idx="31">
                  <c:v>-77522.903999999995</c:v>
                </c:pt>
                <c:pt idx="32">
                  <c:v>-77522.903999999995</c:v>
                </c:pt>
                <c:pt idx="33">
                  <c:v>-77522.903999999995</c:v>
                </c:pt>
                <c:pt idx="34">
                  <c:v>-77522.903999999995</c:v>
                </c:pt>
                <c:pt idx="35">
                  <c:v>-1134870.8759313051</c:v>
                </c:pt>
                <c:pt idx="36">
                  <c:v>-77522.90399999998</c:v>
                </c:pt>
                <c:pt idx="37">
                  <c:v>-77522.90399999998</c:v>
                </c:pt>
                <c:pt idx="38">
                  <c:v>-77522.90399999998</c:v>
                </c:pt>
                <c:pt idx="39">
                  <c:v>-77522.90399999998</c:v>
                </c:pt>
                <c:pt idx="40">
                  <c:v>-77522.90399999998</c:v>
                </c:pt>
                <c:pt idx="41">
                  <c:v>-77522.90399999998</c:v>
                </c:pt>
                <c:pt idx="42">
                  <c:v>-77522.90399999998</c:v>
                </c:pt>
                <c:pt idx="43">
                  <c:v>-77522.90399999998</c:v>
                </c:pt>
                <c:pt idx="44">
                  <c:v>-77522.90399999998</c:v>
                </c:pt>
                <c:pt idx="45">
                  <c:v>-77522.90399999998</c:v>
                </c:pt>
                <c:pt idx="46">
                  <c:v>-86252.129999999961</c:v>
                </c:pt>
                <c:pt idx="47">
                  <c:v>-86252.129999999961</c:v>
                </c:pt>
                <c:pt idx="48">
                  <c:v>-70061.549999998053</c:v>
                </c:pt>
                <c:pt idx="49">
                  <c:v>-8640</c:v>
                </c:pt>
                <c:pt idx="50">
                  <c:v>-8640</c:v>
                </c:pt>
              </c:numCache>
            </c:numRef>
          </c:yVal>
          <c:smooth val="0"/>
          <c:extLst>
            <c:ext xmlns:c16="http://schemas.microsoft.com/office/drawing/2014/chart" uri="{C3380CC4-5D6E-409C-BE32-E72D297353CC}">
              <c16:uniqueId val="{00000006-31D1-4877-8B09-8C6B23A6BD01}"/>
            </c:ext>
          </c:extLst>
        </c:ser>
        <c:dLbls>
          <c:showLegendKey val="0"/>
          <c:showVal val="0"/>
          <c:showCatName val="0"/>
          <c:showSerName val="0"/>
          <c:showPercent val="0"/>
          <c:showBubbleSize val="0"/>
        </c:dLbls>
        <c:axId val="669987968"/>
        <c:axId val="669989504"/>
      </c:scatterChart>
      <c:valAx>
        <c:axId val="669987968"/>
        <c:scaling>
          <c:orientation val="minMax"/>
        </c:scaling>
        <c:delete val="0"/>
        <c:axPos val="b"/>
        <c:numFmt formatCode="General" sourceLinked="1"/>
        <c:majorTickMark val="out"/>
        <c:minorTickMark val="none"/>
        <c:tickLblPos val="nextTo"/>
        <c:crossAx val="669989504"/>
        <c:crosses val="autoZero"/>
        <c:crossBetween val="midCat"/>
      </c:valAx>
      <c:valAx>
        <c:axId val="669989504"/>
        <c:scaling>
          <c:orientation val="minMax"/>
        </c:scaling>
        <c:delete val="0"/>
        <c:axPos val="l"/>
        <c:majorGridlines/>
        <c:numFmt formatCode="#,##0.00" sourceLinked="1"/>
        <c:majorTickMark val="out"/>
        <c:minorTickMark val="none"/>
        <c:tickLblPos val="nextTo"/>
        <c:crossAx val="66998796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strRef>
              <c:f>Annuitätenzuschuss!$AT$458</c:f>
              <c:strCache>
                <c:ptCount val="1"/>
                <c:pt idx="0">
                  <c:v>WBF Darlehen</c:v>
                </c:pt>
              </c:strCache>
            </c:strRef>
          </c:tx>
          <c:xVal>
            <c:numRef>
              <c:f>Annuitätenzuschuss!$AS$459:$AS$509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Annuitätenzuschuss!$AT$459:$AT$509</c:f>
              <c:numCache>
                <c:formatCode>#,##0.00</c:formatCode>
                <c:ptCount val="51"/>
                <c:pt idx="0">
                  <c:v>0</c:v>
                </c:pt>
                <c:pt idx="1">
                  <c:v>-9059.6844660194165</c:v>
                </c:pt>
                <c:pt idx="2">
                  <c:v>-8795.8101611838993</c:v>
                </c:pt>
                <c:pt idx="3">
                  <c:v>-8539.6215157125243</c:v>
                </c:pt>
                <c:pt idx="4">
                  <c:v>-8290.8946754490535</c:v>
                </c:pt>
                <c:pt idx="5">
                  <c:v>-8049.4123062612161</c:v>
                </c:pt>
                <c:pt idx="6">
                  <c:v>-7814.9634041371028</c:v>
                </c:pt>
                <c:pt idx="7">
                  <c:v>-7587.3431108127206</c:v>
                </c:pt>
                <c:pt idx="8">
                  <c:v>-7366.3525347696323</c:v>
                </c:pt>
                <c:pt idx="9">
                  <c:v>-7151.798577446245</c:v>
                </c:pt>
                <c:pt idx="10">
                  <c:v>-6943.4937645109176</c:v>
                </c:pt>
                <c:pt idx="11">
                  <c:v>-6741.2560820494346</c:v>
                </c:pt>
                <c:pt idx="12">
                  <c:v>-6544.9088175237239</c:v>
                </c:pt>
                <c:pt idx="13">
                  <c:v>-6354.2804053628388</c:v>
                </c:pt>
                <c:pt idx="14">
                  <c:v>-6169.204277051299</c:v>
                </c:pt>
                <c:pt idx="15">
                  <c:v>-5989.5187155837848</c:v>
                </c:pt>
                <c:pt idx="16">
                  <c:v>-5815.0667141590156</c:v>
                </c:pt>
                <c:pt idx="17">
                  <c:v>-5645.6958389893352</c:v>
                </c:pt>
                <c:pt idx="18">
                  <c:v>-5481.2580961061512</c:v>
                </c:pt>
                <c:pt idx="19">
                  <c:v>-5321.6098020448071</c:v>
                </c:pt>
                <c:pt idx="20">
                  <c:v>-5166.611458295929</c:v>
                </c:pt>
                <c:pt idx="21">
                  <c:v>-5016.1276294135241</c:v>
                </c:pt>
                <c:pt idx="22">
                  <c:v>-4870.026824673324</c:v>
                </c:pt>
                <c:pt idx="23">
                  <c:v>-4728.1813831779846</c:v>
                </c:pt>
                <c:pt idx="24">
                  <c:v>-4590.4673623087228</c:v>
                </c:pt>
                <c:pt idx="25">
                  <c:v>-4456.7644294259444</c:v>
                </c:pt>
                <c:pt idx="26">
                  <c:v>-30288.69029706953</c:v>
                </c:pt>
                <c:pt idx="27">
                  <c:v>-29406.495434048087</c:v>
                </c:pt>
                <c:pt idx="28">
                  <c:v>-28549.995567036978</c:v>
                </c:pt>
                <c:pt idx="29">
                  <c:v>-27718.442298094156</c:v>
                </c:pt>
                <c:pt idx="30">
                  <c:v>-26911.109027275881</c:v>
                </c:pt>
                <c:pt idx="31">
                  <c:v>-26127.290317743569</c:v>
                </c:pt>
                <c:pt idx="32">
                  <c:v>-25366.301279362691</c:v>
                </c:pt>
                <c:pt idx="33">
                  <c:v>-24627.47697025504</c:v>
                </c:pt>
                <c:pt idx="34">
                  <c:v>-23910.171815781596</c:v>
                </c:pt>
                <c:pt idx="35">
                  <c:v>-23213.759044448147</c:v>
                </c:pt>
                <c:pt idx="36">
                  <c:v>-23766.835412066946</c:v>
                </c:pt>
                <c:pt idx="37">
                  <c:v>-23074.59748744364</c:v>
                </c:pt>
                <c:pt idx="38">
                  <c:v>-22402.521832469556</c:v>
                </c:pt>
                <c:pt idx="39">
                  <c:v>-21750.021196572379</c:v>
                </c:pt>
                <c:pt idx="40">
                  <c:v>-21116.525433565421</c:v>
                </c:pt>
                <c:pt idx="41">
                  <c:v>-20501.481003461573</c:v>
                </c:pt>
                <c:pt idx="42">
                  <c:v>-19904.350488797641</c:v>
                </c:pt>
                <c:pt idx="43">
                  <c:v>-19324.612125046257</c:v>
                </c:pt>
                <c:pt idx="44">
                  <c:v>-18761.759344705104</c:v>
                </c:pt>
                <c:pt idx="45">
                  <c:v>-18215.300334665149</c:v>
                </c:pt>
                <c:pt idx="46">
                  <c:v>-21561.574427416665</c:v>
                </c:pt>
                <c:pt idx="47">
                  <c:v>-20933.567405258898</c:v>
                </c:pt>
                <c:pt idx="48">
                  <c:v>-20323.851849765921</c:v>
                </c:pt>
                <c:pt idx="49">
                  <c:v>-9169.1724522536806</c:v>
                </c:pt>
                <c:pt idx="50">
                  <c:v>0</c:v>
                </c:pt>
              </c:numCache>
            </c:numRef>
          </c:yVal>
          <c:smooth val="1"/>
          <c:extLst>
            <c:ext xmlns:c16="http://schemas.microsoft.com/office/drawing/2014/chart" uri="{C3380CC4-5D6E-409C-BE32-E72D297353CC}">
              <c16:uniqueId val="{00000000-979F-4C30-B7A9-1A3D338EFBAE}"/>
            </c:ext>
          </c:extLst>
        </c:ser>
        <c:dLbls>
          <c:showLegendKey val="0"/>
          <c:showVal val="0"/>
          <c:showCatName val="0"/>
          <c:showSerName val="0"/>
          <c:showPercent val="0"/>
          <c:showBubbleSize val="0"/>
        </c:dLbls>
        <c:axId val="670005504"/>
        <c:axId val="670027776"/>
      </c:scatterChart>
      <c:valAx>
        <c:axId val="670005504"/>
        <c:scaling>
          <c:orientation val="minMax"/>
        </c:scaling>
        <c:delete val="0"/>
        <c:axPos val="b"/>
        <c:numFmt formatCode="General" sourceLinked="1"/>
        <c:majorTickMark val="out"/>
        <c:minorTickMark val="none"/>
        <c:tickLblPos val="nextTo"/>
        <c:crossAx val="670027776"/>
        <c:crosses val="autoZero"/>
        <c:crossBetween val="midCat"/>
      </c:valAx>
      <c:valAx>
        <c:axId val="670027776"/>
        <c:scaling>
          <c:orientation val="minMax"/>
        </c:scaling>
        <c:delete val="0"/>
        <c:axPos val="l"/>
        <c:majorGridlines/>
        <c:numFmt formatCode="#,##0.00" sourceLinked="1"/>
        <c:majorTickMark val="out"/>
        <c:minorTickMark val="none"/>
        <c:tickLblPos val="nextTo"/>
        <c:crossAx val="670005504"/>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262016733998"/>
          <c:y val="3.2027425858017308E-2"/>
          <c:w val="0.75082670437157584"/>
          <c:h val="0.95583484659482887"/>
        </c:manualLayout>
      </c:layout>
      <c:scatterChart>
        <c:scatterStyle val="lineMarker"/>
        <c:varyColors val="0"/>
        <c:ser>
          <c:idx val="0"/>
          <c:order val="0"/>
          <c:tx>
            <c:strRef>
              <c:f>Annuitätenzuschuss!$AT$458</c:f>
              <c:strCache>
                <c:ptCount val="1"/>
                <c:pt idx="0">
                  <c:v>WBF Darlehen</c:v>
                </c:pt>
              </c:strCache>
            </c:strRef>
          </c:tx>
          <c:marker>
            <c:symbol val="none"/>
          </c:marker>
          <c:xVal>
            <c:numRef>
              <c:f>Annuitätenzuschuss!$AS$459:$AS$509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Annuitätenzuschuss!$AT$459:$AT$509</c:f>
              <c:numCache>
                <c:formatCode>#,##0.00</c:formatCode>
                <c:ptCount val="51"/>
                <c:pt idx="0">
                  <c:v>0</c:v>
                </c:pt>
                <c:pt idx="1">
                  <c:v>-9059.6844660194165</c:v>
                </c:pt>
                <c:pt idx="2">
                  <c:v>-8795.8101611838993</c:v>
                </c:pt>
                <c:pt idx="3">
                  <c:v>-8539.6215157125243</c:v>
                </c:pt>
                <c:pt idx="4">
                  <c:v>-8290.8946754490535</c:v>
                </c:pt>
                <c:pt idx="5">
                  <c:v>-8049.4123062612161</c:v>
                </c:pt>
                <c:pt idx="6">
                  <c:v>-7814.9634041371028</c:v>
                </c:pt>
                <c:pt idx="7">
                  <c:v>-7587.3431108127206</c:v>
                </c:pt>
                <c:pt idx="8">
                  <c:v>-7366.3525347696323</c:v>
                </c:pt>
                <c:pt idx="9">
                  <c:v>-7151.798577446245</c:v>
                </c:pt>
                <c:pt idx="10">
                  <c:v>-6943.4937645109176</c:v>
                </c:pt>
                <c:pt idx="11">
                  <c:v>-6741.2560820494346</c:v>
                </c:pt>
                <c:pt idx="12">
                  <c:v>-6544.9088175237239</c:v>
                </c:pt>
                <c:pt idx="13">
                  <c:v>-6354.2804053628388</c:v>
                </c:pt>
                <c:pt idx="14">
                  <c:v>-6169.204277051299</c:v>
                </c:pt>
                <c:pt idx="15">
                  <c:v>-5989.5187155837848</c:v>
                </c:pt>
                <c:pt idx="16">
                  <c:v>-5815.0667141590156</c:v>
                </c:pt>
                <c:pt idx="17">
                  <c:v>-5645.6958389893352</c:v>
                </c:pt>
                <c:pt idx="18">
                  <c:v>-5481.2580961061512</c:v>
                </c:pt>
                <c:pt idx="19">
                  <c:v>-5321.6098020448071</c:v>
                </c:pt>
                <c:pt idx="20">
                  <c:v>-5166.611458295929</c:v>
                </c:pt>
                <c:pt idx="21">
                  <c:v>-5016.1276294135241</c:v>
                </c:pt>
                <c:pt idx="22">
                  <c:v>-4870.026824673324</c:v>
                </c:pt>
                <c:pt idx="23">
                  <c:v>-4728.1813831779846</c:v>
                </c:pt>
                <c:pt idx="24">
                  <c:v>-4590.4673623087228</c:v>
                </c:pt>
                <c:pt idx="25">
                  <c:v>-4456.7644294259444</c:v>
                </c:pt>
                <c:pt idx="26">
                  <c:v>-30288.69029706953</c:v>
                </c:pt>
                <c:pt idx="27">
                  <c:v>-29406.495434048087</c:v>
                </c:pt>
                <c:pt idx="28">
                  <c:v>-28549.995567036978</c:v>
                </c:pt>
                <c:pt idx="29">
                  <c:v>-27718.442298094156</c:v>
                </c:pt>
                <c:pt idx="30">
                  <c:v>-26911.109027275881</c:v>
                </c:pt>
                <c:pt idx="31">
                  <c:v>-26127.290317743569</c:v>
                </c:pt>
                <c:pt idx="32">
                  <c:v>-25366.301279362691</c:v>
                </c:pt>
                <c:pt idx="33">
                  <c:v>-24627.47697025504</c:v>
                </c:pt>
                <c:pt idx="34">
                  <c:v>-23910.171815781596</c:v>
                </c:pt>
                <c:pt idx="35">
                  <c:v>-23213.759044448147</c:v>
                </c:pt>
                <c:pt idx="36">
                  <c:v>-23766.835412066946</c:v>
                </c:pt>
                <c:pt idx="37">
                  <c:v>-23074.59748744364</c:v>
                </c:pt>
                <c:pt idx="38">
                  <c:v>-22402.521832469556</c:v>
                </c:pt>
                <c:pt idx="39">
                  <c:v>-21750.021196572379</c:v>
                </c:pt>
                <c:pt idx="40">
                  <c:v>-21116.525433565421</c:v>
                </c:pt>
                <c:pt idx="41">
                  <c:v>-20501.481003461573</c:v>
                </c:pt>
                <c:pt idx="42">
                  <c:v>-19904.350488797641</c:v>
                </c:pt>
                <c:pt idx="43">
                  <c:v>-19324.612125046257</c:v>
                </c:pt>
                <c:pt idx="44">
                  <c:v>-18761.759344705104</c:v>
                </c:pt>
                <c:pt idx="45">
                  <c:v>-18215.300334665149</c:v>
                </c:pt>
                <c:pt idx="46">
                  <c:v>-21561.574427416665</c:v>
                </c:pt>
                <c:pt idx="47">
                  <c:v>-20933.567405258898</c:v>
                </c:pt>
                <c:pt idx="48">
                  <c:v>-20323.851849765921</c:v>
                </c:pt>
                <c:pt idx="49">
                  <c:v>-9169.1724522536806</c:v>
                </c:pt>
                <c:pt idx="50">
                  <c:v>0</c:v>
                </c:pt>
              </c:numCache>
            </c:numRef>
          </c:yVal>
          <c:smooth val="0"/>
          <c:extLst>
            <c:ext xmlns:c16="http://schemas.microsoft.com/office/drawing/2014/chart" uri="{C3380CC4-5D6E-409C-BE32-E72D297353CC}">
              <c16:uniqueId val="{00000000-3BFD-4B89-8C49-588FC69D5C9C}"/>
            </c:ext>
          </c:extLst>
        </c:ser>
        <c:ser>
          <c:idx val="1"/>
          <c:order val="1"/>
          <c:tx>
            <c:strRef>
              <c:f>Annuitätenzuschuss!$AU$458</c:f>
              <c:strCache>
                <c:ptCount val="1"/>
                <c:pt idx="0">
                  <c:v>Bankdarlehen</c:v>
                </c:pt>
              </c:strCache>
            </c:strRef>
          </c:tx>
          <c:marker>
            <c:symbol val="none"/>
          </c:marker>
          <c:xVal>
            <c:numRef>
              <c:f>Annuitätenzuschuss!$AS$459:$AS$509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Annuitätenzuschuss!$AU$459:$AU$509</c:f>
              <c:numCache>
                <c:formatCode>#,##0.00</c:formatCode>
                <c:ptCount val="51"/>
                <c:pt idx="0">
                  <c:v>0</c:v>
                </c:pt>
                <c:pt idx="1">
                  <c:v>-89088.633080044601</c:v>
                </c:pt>
                <c:pt idx="2">
                  <c:v>-86493.818524315153</c:v>
                </c:pt>
                <c:pt idx="3">
                  <c:v>-83974.581091568107</c:v>
                </c:pt>
                <c:pt idx="4">
                  <c:v>-81528.719506376816</c:v>
                </c:pt>
                <c:pt idx="5">
                  <c:v>-79154.096608132822</c:v>
                </c:pt>
                <c:pt idx="6">
                  <c:v>-76848.637483624101</c:v>
                </c:pt>
                <c:pt idx="7">
                  <c:v>-74610.327654003981</c:v>
                </c:pt>
                <c:pt idx="8">
                  <c:v>-72437.211314566972</c:v>
                </c:pt>
                <c:pt idx="9">
                  <c:v>-70327.389625793177</c:v>
                </c:pt>
                <c:pt idx="10">
                  <c:v>-68279.019054168137</c:v>
                </c:pt>
                <c:pt idx="11">
                  <c:v>-66290.309761328288</c:v>
                </c:pt>
                <c:pt idx="12">
                  <c:v>-64359.524040124561</c:v>
                </c:pt>
                <c:pt idx="13">
                  <c:v>-62484.974796237439</c:v>
                </c:pt>
                <c:pt idx="14">
                  <c:v>-60665.024074016917</c:v>
                </c:pt>
                <c:pt idx="15">
                  <c:v>-58898.081625259139</c:v>
                </c:pt>
                <c:pt idx="16">
                  <c:v>-57182.603519669079</c:v>
                </c:pt>
                <c:pt idx="17">
                  <c:v>-55517.090795795222</c:v>
                </c:pt>
                <c:pt idx="18">
                  <c:v>-53900.088151257492</c:v>
                </c:pt>
                <c:pt idx="19">
                  <c:v>-52330.182671123781</c:v>
                </c:pt>
                <c:pt idx="20">
                  <c:v>-50806.002593324069</c:v>
                </c:pt>
                <c:pt idx="21">
                  <c:v>-49326.216110023364</c:v>
                </c:pt>
                <c:pt idx="22">
                  <c:v>-47889.530203906179</c:v>
                </c:pt>
                <c:pt idx="23">
                  <c:v>-46494.689518355517</c:v>
                </c:pt>
                <c:pt idx="24">
                  <c:v>-45140.475260539337</c:v>
                </c:pt>
                <c:pt idx="25">
                  <c:v>-43825.704136445958</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3BFD-4B89-8C49-588FC69D5C9C}"/>
            </c:ext>
          </c:extLst>
        </c:ser>
        <c:ser>
          <c:idx val="2"/>
          <c:order val="2"/>
          <c:tx>
            <c:strRef>
              <c:f>Annuitätenzuschuss!$AV$458</c:f>
              <c:strCache>
                <c:ptCount val="1"/>
                <c:pt idx="0">
                  <c:v>Eigenkapital</c:v>
                </c:pt>
              </c:strCache>
            </c:strRef>
          </c:tx>
          <c:marker>
            <c:symbol val="none"/>
          </c:marker>
          <c:xVal>
            <c:numRef>
              <c:f>Annuitätenzuschuss!$AS$459:$AS$509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Annuitätenzuschuss!$AV$459:$AV$509</c:f>
              <c:numCache>
                <c:formatCode>#,##0.00</c:formatCode>
                <c:ptCount val="51"/>
                <c:pt idx="0">
                  <c:v>0</c:v>
                </c:pt>
                <c:pt idx="1">
                  <c:v>-15649.353972815534</c:v>
                </c:pt>
                <c:pt idx="2">
                  <c:v>-15193.547546422848</c:v>
                </c:pt>
                <c:pt idx="3">
                  <c:v>-14751.017035361989</c:v>
                </c:pt>
                <c:pt idx="4">
                  <c:v>-14321.375762487369</c:v>
                </c:pt>
                <c:pt idx="5">
                  <c:v>-13904.248313094533</c:v>
                </c:pt>
                <c:pt idx="6">
                  <c:v>-13499.270206887895</c:v>
                </c:pt>
                <c:pt idx="7">
                  <c:v>-13106.087579502811</c:v>
                </c:pt>
                <c:pt idx="8">
                  <c:v>-12724.356873303699</c:v>
                </c:pt>
                <c:pt idx="9">
                  <c:v>-12353.744537188059</c:v>
                </c:pt>
                <c:pt idx="10">
                  <c:v>-11993.926735134037</c:v>
                </c:pt>
                <c:pt idx="11">
                  <c:v>-11644.58906323693</c:v>
                </c:pt>
                <c:pt idx="12">
                  <c:v>-11305.426274987312</c:v>
                </c:pt>
                <c:pt idx="13">
                  <c:v>-10976.142014550789</c:v>
                </c:pt>
                <c:pt idx="14">
                  <c:v>-10656.448557816298</c:v>
                </c:pt>
                <c:pt idx="15">
                  <c:v>-10346.066560986696</c:v>
                </c:pt>
                <c:pt idx="16">
                  <c:v>-10044.72481649194</c:v>
                </c:pt>
                <c:pt idx="17">
                  <c:v>-9752.1600160115922</c:v>
                </c:pt>
                <c:pt idx="18">
                  <c:v>-9468.1165203996043</c:v>
                </c:pt>
                <c:pt idx="19">
                  <c:v>-9192.3461363102961</c:v>
                </c:pt>
                <c:pt idx="20">
                  <c:v>-8924.6078993303836</c:v>
                </c:pt>
                <c:pt idx="21">
                  <c:v>-8664.6678634275577</c:v>
                </c:pt>
                <c:pt idx="22">
                  <c:v>-8412.2988965316108</c:v>
                </c:pt>
                <c:pt idx="23">
                  <c:v>-8167.2804820695237</c:v>
                </c:pt>
                <c:pt idx="24">
                  <c:v>-7929.398526281092</c:v>
                </c:pt>
                <c:pt idx="25">
                  <c:v>-7698.4451711466909</c:v>
                </c:pt>
                <c:pt idx="26">
                  <c:v>-7474.2186127637769</c:v>
                </c:pt>
                <c:pt idx="27">
                  <c:v>-7256.5229250133762</c:v>
                </c:pt>
                <c:pt idx="28">
                  <c:v>-7045.1678883625018</c:v>
                </c:pt>
                <c:pt idx="29">
                  <c:v>-6839.9688236529146</c:v>
                </c:pt>
                <c:pt idx="30">
                  <c:v>-6640.7464307309856</c:v>
                </c:pt>
                <c:pt idx="31">
                  <c:v>-6447.3266317776543</c:v>
                </c:pt>
                <c:pt idx="32">
                  <c:v>-6259.5404192016067</c:v>
                </c:pt>
                <c:pt idx="33">
                  <c:v>-6077.2237079627248</c:v>
                </c:pt>
                <c:pt idx="34">
                  <c:v>-5900.217192196822</c:v>
                </c:pt>
                <c:pt idx="35">
                  <c:v>-5728.3662060163306</c:v>
                </c:pt>
                <c:pt idx="36">
                  <c:v>-2981.0801524897734</c:v>
                </c:pt>
                <c:pt idx="37">
                  <c:v>-2894.2525752327902</c:v>
                </c:pt>
                <c:pt idx="38">
                  <c:v>-2809.9539565366899</c:v>
                </c:pt>
                <c:pt idx="39">
                  <c:v>-2728.1106374142614</c:v>
                </c:pt>
                <c:pt idx="40">
                  <c:v>-2648.651104285691</c:v>
                </c:pt>
                <c:pt idx="41">
                  <c:v>-2571.5059264909623</c:v>
                </c:pt>
                <c:pt idx="42">
                  <c:v>-2496.6076956222932</c:v>
                </c:pt>
                <c:pt idx="43">
                  <c:v>-2423.8909666235859</c:v>
                </c:pt>
                <c:pt idx="44">
                  <c:v>-2353.2922006054232</c:v>
                </c:pt>
                <c:pt idx="45">
                  <c:v>-2284.7497093256538</c:v>
                </c:pt>
                <c:pt idx="46">
                  <c:v>-2218.2036012870421</c:v>
                </c:pt>
                <c:pt idx="47">
                  <c:v>-2153.5957294048953</c:v>
                </c:pt>
                <c:pt idx="48">
                  <c:v>-2090.8696401989278</c:v>
                </c:pt>
                <c:pt idx="49">
                  <c:v>-2029.9705244649786</c:v>
                </c:pt>
                <c:pt idx="50">
                  <c:v>-1970.8451693834743</c:v>
                </c:pt>
              </c:numCache>
            </c:numRef>
          </c:yVal>
          <c:smooth val="0"/>
          <c:extLst>
            <c:ext xmlns:c16="http://schemas.microsoft.com/office/drawing/2014/chart" uri="{C3380CC4-5D6E-409C-BE32-E72D297353CC}">
              <c16:uniqueId val="{00000002-3BFD-4B89-8C49-588FC69D5C9C}"/>
            </c:ext>
          </c:extLst>
        </c:ser>
        <c:ser>
          <c:idx val="3"/>
          <c:order val="3"/>
          <c:tx>
            <c:strRef>
              <c:f>Annuitätenzuschuss!$AW$458</c:f>
              <c:strCache>
                <c:ptCount val="1"/>
                <c:pt idx="0">
                  <c:v>Annuitätenzuschuss</c:v>
                </c:pt>
              </c:strCache>
            </c:strRef>
          </c:tx>
          <c:marker>
            <c:symbol val="none"/>
          </c:marker>
          <c:xVal>
            <c:numRef>
              <c:f>Annuitätenzuschuss!$AS$459:$AS$509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Annuitätenzuschuss!$AW$459:$AW$509</c:f>
              <c:numCache>
                <c:formatCode>#,##0.00</c:formatCode>
                <c:ptCount val="51"/>
                <c:pt idx="0">
                  <c:v>0</c:v>
                </c:pt>
                <c:pt idx="1">
                  <c:v>38532.716179073737</c:v>
                </c:pt>
                <c:pt idx="2">
                  <c:v>37410.404057353146</c:v>
                </c:pt>
                <c:pt idx="3">
                  <c:v>36320.780638206939</c:v>
                </c:pt>
                <c:pt idx="4">
                  <c:v>35262.89382350188</c:v>
                </c:pt>
                <c:pt idx="5">
                  <c:v>34235.819246118335</c:v>
                </c:pt>
                <c:pt idx="6">
                  <c:v>33238.659462250806</c:v>
                </c:pt>
                <c:pt idx="7">
                  <c:v>32270.543167233795</c:v>
                </c:pt>
                <c:pt idx="8">
                  <c:v>31330.624434207566</c:v>
                </c:pt>
                <c:pt idx="9">
                  <c:v>30418.081974958804</c:v>
                </c:pt>
                <c:pt idx="10">
                  <c:v>29532.118422290099</c:v>
                </c:pt>
                <c:pt idx="11">
                  <c:v>28671.959633291361</c:v>
                </c:pt>
                <c:pt idx="12">
                  <c:v>27836.854012904238</c:v>
                </c:pt>
                <c:pt idx="13">
                  <c:v>27026.071857188581</c:v>
                </c:pt>
                <c:pt idx="14">
                  <c:v>26238.904715717064</c:v>
                </c:pt>
                <c:pt idx="15">
                  <c:v>25474.664772540837</c:v>
                </c:pt>
                <c:pt idx="16">
                  <c:v>24732.684245185283</c:v>
                </c:pt>
                <c:pt idx="17">
                  <c:v>24012.314801150762</c:v>
                </c:pt>
                <c:pt idx="18">
                  <c:v>23312.926991408505</c:v>
                </c:pt>
                <c:pt idx="19">
                  <c:v>22633.909700396605</c:v>
                </c:pt>
                <c:pt idx="20">
                  <c:v>21974.669612035541</c:v>
                </c:pt>
                <c:pt idx="21">
                  <c:v>21334.630691296643</c:v>
                </c:pt>
                <c:pt idx="22">
                  <c:v>20713.233680870529</c:v>
                </c:pt>
                <c:pt idx="23">
                  <c:v>20109.935612495658</c:v>
                </c:pt>
                <c:pt idx="24">
                  <c:v>19524.209332520059</c:v>
                </c:pt>
                <c:pt idx="25">
                  <c:v>18955.543041281609</c:v>
                </c:pt>
                <c:pt idx="26">
                  <c:v>0</c:v>
                </c:pt>
                <c:pt idx="27">
                  <c:v>0</c:v>
                </c:pt>
                <c:pt idx="28">
                  <c:v>0</c:v>
                </c:pt>
                <c:pt idx="29">
                  <c:v>0</c:v>
                </c:pt>
                <c:pt idx="30">
                  <c:v>0</c:v>
                </c:pt>
                <c:pt idx="31">
                  <c:v>0</c:v>
                </c:pt>
                <c:pt idx="32">
                  <c:v>0</c:v>
                </c:pt>
                <c:pt idx="33">
                  <c:v>0</c:v>
                </c:pt>
                <c:pt idx="34">
                  <c:v>0</c:v>
                </c:pt>
                <c:pt idx="35">
                  <c:v>-352617.60576451529</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3BFD-4B89-8C49-588FC69D5C9C}"/>
            </c:ext>
          </c:extLst>
        </c:ser>
        <c:ser>
          <c:idx val="4"/>
          <c:order val="4"/>
          <c:tx>
            <c:strRef>
              <c:f>Annuitätenzuschuss!$AX$56</c:f>
              <c:strCache>
                <c:ptCount val="1"/>
                <c:pt idx="0">
                  <c:v>Entgeltstundung</c:v>
                </c:pt>
              </c:strCache>
            </c:strRef>
          </c:tx>
          <c:marker>
            <c:symbol val="none"/>
          </c:marker>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Annuitätenzuschuss!$AX$57:$AX$107</c:f>
              <c:numCache>
                <c:formatCode>#,##0.00</c:formatCode>
                <c:ptCount val="51"/>
                <c:pt idx="0">
                  <c:v>0</c:v>
                </c:pt>
                <c:pt idx="1">
                  <c:v>126460.81719428602</c:v>
                </c:pt>
                <c:pt idx="2">
                  <c:v>122777.49242163691</c:v>
                </c:pt>
                <c:pt idx="3">
                  <c:v>119201.44895304555</c:v>
                </c:pt>
                <c:pt idx="4">
                  <c:v>115729.56209033549</c:v>
                </c:pt>
                <c:pt idx="5">
                  <c:v>112358.79814595678</c:v>
                </c:pt>
                <c:pt idx="6">
                  <c:v>109086.21179219105</c:v>
                </c:pt>
                <c:pt idx="7">
                  <c:v>105908.94348756412</c:v>
                </c:pt>
                <c:pt idx="8">
                  <c:v>102824.21697821759</c:v>
                </c:pt>
                <c:pt idx="9">
                  <c:v>99829.336872055923</c:v>
                </c:pt>
                <c:pt idx="10">
                  <c:v>96921.686283549439</c:v>
                </c:pt>
                <c:pt idx="11">
                  <c:v>94098.724547135382</c:v>
                </c:pt>
                <c:pt idx="12">
                  <c:v>91357.984997218824</c:v>
                </c:pt>
                <c:pt idx="13">
                  <c:v>88697.072812833809</c:v>
                </c:pt>
                <c:pt idx="14">
                  <c:v>86113.662925081357</c:v>
                </c:pt>
                <c:pt idx="15">
                  <c:v>83605.497985515874</c:v>
                </c:pt>
                <c:pt idx="16">
                  <c:v>81170.386393704757</c:v>
                </c:pt>
                <c:pt idx="17">
                  <c:v>78806.200382237628</c:v>
                </c:pt>
                <c:pt idx="18">
                  <c:v>76510.874157512255</c:v>
                </c:pt>
                <c:pt idx="19">
                  <c:v>74282.402094672085</c:v>
                </c:pt>
                <c:pt idx="20">
                  <c:v>72118.836985118542</c:v>
                </c:pt>
                <c:pt idx="21">
                  <c:v>70018.288335066551</c:v>
                </c:pt>
                <c:pt idx="22">
                  <c:v>67978.920713656844</c:v>
                </c:pt>
                <c:pt idx="23">
                  <c:v>65998.952149181394</c:v>
                </c:pt>
                <c:pt idx="24">
                  <c:v>64076.652572020779</c:v>
                </c:pt>
                <c:pt idx="25">
                  <c:v>62210.342302932797</c:v>
                </c:pt>
                <c:pt idx="26">
                  <c:v>-28628.559412797913</c:v>
                </c:pt>
                <c:pt idx="27">
                  <c:v>-27794.717876502829</c:v>
                </c:pt>
                <c:pt idx="28">
                  <c:v>-26985.16298689595</c:v>
                </c:pt>
                <c:pt idx="29">
                  <c:v>-26199.187365918402</c:v>
                </c:pt>
                <c:pt idx="30">
                  <c:v>-25436.104238755728</c:v>
                </c:pt>
                <c:pt idx="31">
                  <c:v>-24695.246833743422</c:v>
                </c:pt>
                <c:pt idx="32">
                  <c:v>-23975.967799750899</c:v>
                </c:pt>
                <c:pt idx="33">
                  <c:v>-23277.638640534853</c:v>
                </c:pt>
                <c:pt idx="34">
                  <c:v>-22599.649165567822</c:v>
                </c:pt>
                <c:pt idx="35">
                  <c:v>-1589084.0709855908</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3BFD-4B89-8C49-588FC69D5C9C}"/>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3BFD-4B89-8C49-588FC69D5C9C}"/>
            </c:ext>
          </c:extLst>
        </c:ser>
        <c:ser>
          <c:idx val="6"/>
          <c:order val="6"/>
          <c:tx>
            <c:strRef>
              <c:f>Annuitätenzuschuss!$AZ$458</c:f>
              <c:strCache>
                <c:ptCount val="1"/>
                <c:pt idx="0">
                  <c:v>Barwert Gesamt</c:v>
                </c:pt>
              </c:strCache>
            </c:strRef>
          </c:tx>
          <c:marker>
            <c:symbol val="none"/>
          </c:marker>
          <c:xVal>
            <c:numRef>
              <c:f>Annuitätenzuschuss!$AS$459:$AS$509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Annuitätenzuschuss!$AZ$459:$AZ$509</c:f>
              <c:numCache>
                <c:formatCode>#,##0.00</c:formatCode>
                <c:ptCount val="51"/>
                <c:pt idx="0">
                  <c:v>0</c:v>
                </c:pt>
                <c:pt idx="1">
                  <c:v>-75264.955339805805</c:v>
                </c:pt>
                <c:pt idx="2">
                  <c:v>-73072.77217456876</c:v>
                </c:pt>
                <c:pt idx="3">
                  <c:v>-70944.439004435684</c:v>
                </c:pt>
                <c:pt idx="4">
                  <c:v>-68878.096120811359</c:v>
                </c:pt>
                <c:pt idx="5">
                  <c:v>-66871.93798137024</c:v>
                </c:pt>
                <c:pt idx="6">
                  <c:v>-64924.211632398299</c:v>
                </c:pt>
                <c:pt idx="7">
                  <c:v>-63033.215177085724</c:v>
                </c:pt>
                <c:pt idx="8">
                  <c:v>-61197.296288432728</c:v>
                </c:pt>
                <c:pt idx="9">
                  <c:v>-59414.850765468676</c:v>
                </c:pt>
                <c:pt idx="10">
                  <c:v>-57684.321131522993</c:v>
                </c:pt>
                <c:pt idx="11">
                  <c:v>-56004.19527332329</c:v>
                </c:pt>
                <c:pt idx="12">
                  <c:v>-54373.005119731359</c:v>
                </c:pt>
                <c:pt idx="13">
                  <c:v>-52789.32535896248</c:v>
                </c:pt>
                <c:pt idx="14">
                  <c:v>-51251.772193167453</c:v>
                </c:pt>
                <c:pt idx="15">
                  <c:v>-49759.002129288783</c:v>
                </c:pt>
                <c:pt idx="16">
                  <c:v>-48309.710805134746</c:v>
                </c:pt>
                <c:pt idx="17">
                  <c:v>-46902.63184964539</c:v>
                </c:pt>
                <c:pt idx="18">
                  <c:v>-45536.535776354751</c:v>
                </c:pt>
                <c:pt idx="19">
                  <c:v>-44210.228909082274</c:v>
                </c:pt>
                <c:pt idx="20">
                  <c:v>-42922.552338914837</c:v>
                </c:pt>
                <c:pt idx="21">
                  <c:v>-41672.380911567801</c:v>
                </c:pt>
                <c:pt idx="22">
                  <c:v>-40458.622244240585</c:v>
                </c:pt>
                <c:pt idx="23">
                  <c:v>-39280.215771107367</c:v>
                </c:pt>
                <c:pt idx="24">
                  <c:v>-38136.131816609093</c:v>
                </c:pt>
                <c:pt idx="25">
                  <c:v>-37025.370695736987</c:v>
                </c:pt>
                <c:pt idx="26">
                  <c:v>-35946.961840521348</c:v>
                </c:pt>
                <c:pt idx="27">
                  <c:v>-34899.962951962472</c:v>
                </c:pt>
                <c:pt idx="28">
                  <c:v>-33883.459176662596</c:v>
                </c:pt>
                <c:pt idx="29">
                  <c:v>-32896.562307439417</c:v>
                </c:pt>
                <c:pt idx="30">
                  <c:v>-31938.410007222737</c:v>
                </c:pt>
                <c:pt idx="31">
                  <c:v>-31008.165055556048</c:v>
                </c:pt>
                <c:pt idx="32">
                  <c:v>-30105.014617044711</c:v>
                </c:pt>
                <c:pt idx="33">
                  <c:v>-29228.169531111369</c:v>
                </c:pt>
                <c:pt idx="34">
                  <c:v>-28376.863622438228</c:v>
                </c:pt>
                <c:pt idx="35">
                  <c:v>-395407.47628892784</c:v>
                </c:pt>
                <c:pt idx="36">
                  <c:v>-26747.915564556719</c:v>
                </c:pt>
                <c:pt idx="37">
                  <c:v>-25968.850062676429</c:v>
                </c:pt>
                <c:pt idx="38">
                  <c:v>-25212.475789006246</c:v>
                </c:pt>
                <c:pt idx="39">
                  <c:v>-24478.131833986641</c:v>
                </c:pt>
                <c:pt idx="40">
                  <c:v>-23765.176537851112</c:v>
                </c:pt>
                <c:pt idx="41">
                  <c:v>-23072.986929952534</c:v>
                </c:pt>
                <c:pt idx="42">
                  <c:v>-22400.958184419935</c:v>
                </c:pt>
                <c:pt idx="43">
                  <c:v>-21748.503091669842</c:v>
                </c:pt>
                <c:pt idx="44">
                  <c:v>-21115.051545310525</c:v>
                </c:pt>
                <c:pt idx="45">
                  <c:v>-20500.050043990803</c:v>
                </c:pt>
                <c:pt idx="46">
                  <c:v>-23779.778028703706</c:v>
                </c:pt>
                <c:pt idx="47">
                  <c:v>-23087.163134663795</c:v>
                </c:pt>
                <c:pt idx="48">
                  <c:v>-22414.72148996485</c:v>
                </c:pt>
                <c:pt idx="49">
                  <c:v>-11199.14297671866</c:v>
                </c:pt>
                <c:pt idx="50">
                  <c:v>-1970.8451693834743</c:v>
                </c:pt>
              </c:numCache>
            </c:numRef>
          </c:yVal>
          <c:smooth val="0"/>
          <c:extLst>
            <c:ext xmlns:c16="http://schemas.microsoft.com/office/drawing/2014/chart" uri="{C3380CC4-5D6E-409C-BE32-E72D297353CC}">
              <c16:uniqueId val="{00000006-3BFD-4B89-8C49-588FC69D5C9C}"/>
            </c:ext>
          </c:extLst>
        </c:ser>
        <c:dLbls>
          <c:showLegendKey val="0"/>
          <c:showVal val="0"/>
          <c:showCatName val="0"/>
          <c:showSerName val="0"/>
          <c:showPercent val="0"/>
          <c:showBubbleSize val="0"/>
        </c:dLbls>
        <c:axId val="670344320"/>
        <c:axId val="670345856"/>
      </c:scatterChart>
      <c:valAx>
        <c:axId val="670344320"/>
        <c:scaling>
          <c:orientation val="minMax"/>
        </c:scaling>
        <c:delete val="0"/>
        <c:axPos val="b"/>
        <c:numFmt formatCode="General" sourceLinked="1"/>
        <c:majorTickMark val="out"/>
        <c:minorTickMark val="none"/>
        <c:tickLblPos val="nextTo"/>
        <c:crossAx val="670345856"/>
        <c:crosses val="autoZero"/>
        <c:crossBetween val="midCat"/>
      </c:valAx>
      <c:valAx>
        <c:axId val="670345856"/>
        <c:scaling>
          <c:orientation val="minMax"/>
        </c:scaling>
        <c:delete val="0"/>
        <c:axPos val="l"/>
        <c:majorGridlines/>
        <c:numFmt formatCode="#,##0.00" sourceLinked="1"/>
        <c:majorTickMark val="out"/>
        <c:minorTickMark val="none"/>
        <c:tickLblPos val="nextTo"/>
        <c:crossAx val="67034432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Annuitätenzuschuss!$BC$458</c:f>
              <c:strCache>
                <c:ptCount val="1"/>
                <c:pt idx="0">
                  <c:v>WBF Darlehen</c:v>
                </c:pt>
              </c:strCache>
            </c:strRef>
          </c:tx>
          <c:marker>
            <c:symbol val="none"/>
          </c:marker>
          <c:xVal>
            <c:numRef>
              <c:f>Annuitätenzuschuss!$BB$459:$BB$509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Annuitätenzuschuss!$BC$459:$BC$509</c:f>
              <c:numCache>
                <c:formatCode>#,##0.00</c:formatCode>
                <c:ptCount val="51"/>
                <c:pt idx="0" formatCode="General">
                  <c:v>0</c:v>
                </c:pt>
                <c:pt idx="1">
                  <c:v>-9059.6844660194165</c:v>
                </c:pt>
                <c:pt idx="2">
                  <c:v>-17855.494627203316</c:v>
                </c:pt>
                <c:pt idx="3">
                  <c:v>-26395.116142915838</c:v>
                </c:pt>
                <c:pt idx="4">
                  <c:v>-34686.010818364892</c:v>
                </c:pt>
                <c:pt idx="5">
                  <c:v>-42735.423124626104</c:v>
                </c:pt>
                <c:pt idx="6">
                  <c:v>-50550.386528763207</c:v>
                </c:pt>
                <c:pt idx="7">
                  <c:v>-58137.729639575926</c:v>
                </c:pt>
                <c:pt idx="8">
                  <c:v>-65504.08217434556</c:v>
                </c:pt>
                <c:pt idx="9">
                  <c:v>-72655.880751791803</c:v>
                </c:pt>
                <c:pt idx="10">
                  <c:v>-79599.37451630272</c:v>
                </c:pt>
                <c:pt idx="11">
                  <c:v>-86340.63059835216</c:v>
                </c:pt>
                <c:pt idx="12">
                  <c:v>-92885.539415875886</c:v>
                </c:pt>
                <c:pt idx="13">
                  <c:v>-99239.819821238721</c:v>
                </c:pt>
                <c:pt idx="14">
                  <c:v>-105409.02409829001</c:v>
                </c:pt>
                <c:pt idx="15">
                  <c:v>-111398.54281387379</c:v>
                </c:pt>
                <c:pt idx="16">
                  <c:v>-117213.6095280328</c:v>
                </c:pt>
                <c:pt idx="17">
                  <c:v>-122859.30536702214</c:v>
                </c:pt>
                <c:pt idx="18">
                  <c:v>-128340.56346312829</c:v>
                </c:pt>
                <c:pt idx="19">
                  <c:v>-133662.1732651731</c:v>
                </c:pt>
                <c:pt idx="20">
                  <c:v>-138828.78472346903</c:v>
                </c:pt>
                <c:pt idx="21">
                  <c:v>-143844.91235288256</c:v>
                </c:pt>
                <c:pt idx="22">
                  <c:v>-148714.93917755588</c:v>
                </c:pt>
                <c:pt idx="23">
                  <c:v>-153443.12056073386</c:v>
                </c:pt>
                <c:pt idx="24">
                  <c:v>-158033.58792304259</c:v>
                </c:pt>
                <c:pt idx="25">
                  <c:v>-162490.35235246853</c:v>
                </c:pt>
                <c:pt idx="26">
                  <c:v>-192779.04264953805</c:v>
                </c:pt>
                <c:pt idx="27">
                  <c:v>-222185.53808358614</c:v>
                </c:pt>
                <c:pt idx="28">
                  <c:v>-250735.53365062311</c:v>
                </c:pt>
                <c:pt idx="29">
                  <c:v>-278453.97594871727</c:v>
                </c:pt>
                <c:pt idx="30">
                  <c:v>-305365.08497599314</c:v>
                </c:pt>
                <c:pt idx="31">
                  <c:v>-331492.3752937367</c:v>
                </c:pt>
                <c:pt idx="32">
                  <c:v>-356858.67657309939</c:v>
                </c:pt>
                <c:pt idx="33">
                  <c:v>-381486.15354335442</c:v>
                </c:pt>
                <c:pt idx="34">
                  <c:v>-405396.32535913604</c:v>
                </c:pt>
                <c:pt idx="35">
                  <c:v>-428610.08440358419</c:v>
                </c:pt>
                <c:pt idx="36">
                  <c:v>-452376.91981565114</c:v>
                </c:pt>
                <c:pt idx="37">
                  <c:v>-475451.51730309479</c:v>
                </c:pt>
                <c:pt idx="38">
                  <c:v>-497854.03913556435</c:v>
                </c:pt>
                <c:pt idx="39">
                  <c:v>-519604.06033213675</c:v>
                </c:pt>
                <c:pt idx="40">
                  <c:v>-540720.58576570218</c:v>
                </c:pt>
                <c:pt idx="41">
                  <c:v>-561222.06676916371</c:v>
                </c:pt>
                <c:pt idx="42">
                  <c:v>-581126.41725796135</c:v>
                </c:pt>
                <c:pt idx="43">
                  <c:v>-600451.02938300755</c:v>
                </c:pt>
                <c:pt idx="44">
                  <c:v>-619212.7887277127</c:v>
                </c:pt>
                <c:pt idx="45">
                  <c:v>-637428.08906237781</c:v>
                </c:pt>
                <c:pt idx="46">
                  <c:v>-658989.66348979448</c:v>
                </c:pt>
                <c:pt idx="47">
                  <c:v>-679923.23089505336</c:v>
                </c:pt>
                <c:pt idx="48">
                  <c:v>-700247.08274481923</c:v>
                </c:pt>
                <c:pt idx="49">
                  <c:v>-709416.25519707287</c:v>
                </c:pt>
                <c:pt idx="50">
                  <c:v>-709416.25519707287</c:v>
                </c:pt>
              </c:numCache>
            </c:numRef>
          </c:yVal>
          <c:smooth val="0"/>
          <c:extLst>
            <c:ext xmlns:c16="http://schemas.microsoft.com/office/drawing/2014/chart" uri="{C3380CC4-5D6E-409C-BE32-E72D297353CC}">
              <c16:uniqueId val="{00000000-6601-43E0-AEF6-490B21344737}"/>
            </c:ext>
          </c:extLst>
        </c:ser>
        <c:ser>
          <c:idx val="1"/>
          <c:order val="1"/>
          <c:tx>
            <c:strRef>
              <c:f>Annuitätenzuschuss!$BD$458</c:f>
              <c:strCache>
                <c:ptCount val="1"/>
                <c:pt idx="0">
                  <c:v>Bankdarlehen</c:v>
                </c:pt>
              </c:strCache>
            </c:strRef>
          </c:tx>
          <c:marker>
            <c:symbol val="none"/>
          </c:marker>
          <c:xVal>
            <c:numRef>
              <c:f>Annuitätenzuschuss!$BB$459:$BB$509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Annuitätenzuschuss!$BD$459:$BD$509</c:f>
              <c:numCache>
                <c:formatCode>#,##0.00</c:formatCode>
                <c:ptCount val="51"/>
                <c:pt idx="0" formatCode="General">
                  <c:v>0</c:v>
                </c:pt>
                <c:pt idx="1">
                  <c:v>-89088.633080044601</c:v>
                </c:pt>
                <c:pt idx="2">
                  <c:v>-175582.45160435975</c:v>
                </c:pt>
                <c:pt idx="3">
                  <c:v>-259557.03269592786</c:v>
                </c:pt>
                <c:pt idx="4">
                  <c:v>-341085.75220230466</c:v>
                </c:pt>
                <c:pt idx="5">
                  <c:v>-420239.84881043748</c:v>
                </c:pt>
                <c:pt idx="6">
                  <c:v>-497088.48629406159</c:v>
                </c:pt>
                <c:pt idx="7">
                  <c:v>-571698.81394806551</c:v>
                </c:pt>
                <c:pt idx="8">
                  <c:v>-644136.02526263252</c:v>
                </c:pt>
                <c:pt idx="9">
                  <c:v>-714463.41488842573</c:v>
                </c:pt>
                <c:pt idx="10">
                  <c:v>-782742.43394259387</c:v>
                </c:pt>
                <c:pt idx="11">
                  <c:v>-849032.74370392214</c:v>
                </c:pt>
                <c:pt idx="12">
                  <c:v>-913392.26774404675</c:v>
                </c:pt>
                <c:pt idx="13">
                  <c:v>-975877.24254028418</c:v>
                </c:pt>
                <c:pt idx="14">
                  <c:v>-1036542.2666143011</c:v>
                </c:pt>
                <c:pt idx="15">
                  <c:v>-1095440.3482395604</c:v>
                </c:pt>
                <c:pt idx="16">
                  <c:v>-1152622.9517592294</c:v>
                </c:pt>
                <c:pt idx="17">
                  <c:v>-1208140.0425550246</c:v>
                </c:pt>
                <c:pt idx="18">
                  <c:v>-1262040.1307062821</c:v>
                </c:pt>
                <c:pt idx="19">
                  <c:v>-1314370.313377406</c:v>
                </c:pt>
                <c:pt idx="20">
                  <c:v>-1365176.31597073</c:v>
                </c:pt>
                <c:pt idx="21">
                  <c:v>-1414502.5320807535</c:v>
                </c:pt>
                <c:pt idx="22">
                  <c:v>-1462392.0622846596</c:v>
                </c:pt>
                <c:pt idx="23">
                  <c:v>-1508886.7518030151</c:v>
                </c:pt>
                <c:pt idx="24">
                  <c:v>-1554027.2270635546</c:v>
                </c:pt>
                <c:pt idx="25">
                  <c:v>-1597852.9312000005</c:v>
                </c:pt>
                <c:pt idx="26">
                  <c:v>-1597852.9312000005</c:v>
                </c:pt>
                <c:pt idx="27">
                  <c:v>-1597852.9312000005</c:v>
                </c:pt>
                <c:pt idx="28">
                  <c:v>-1597852.9312000005</c:v>
                </c:pt>
                <c:pt idx="29">
                  <c:v>-1597852.9312000005</c:v>
                </c:pt>
                <c:pt idx="30">
                  <c:v>-1597852.9312000005</c:v>
                </c:pt>
                <c:pt idx="31">
                  <c:v>-1597852.9312000005</c:v>
                </c:pt>
                <c:pt idx="32">
                  <c:v>-1597852.9312000005</c:v>
                </c:pt>
                <c:pt idx="33">
                  <c:v>-1597852.9312000005</c:v>
                </c:pt>
                <c:pt idx="34">
                  <c:v>-1597852.9312000005</c:v>
                </c:pt>
                <c:pt idx="35">
                  <c:v>-1597852.9312000005</c:v>
                </c:pt>
                <c:pt idx="36">
                  <c:v>-1597852.9312000005</c:v>
                </c:pt>
                <c:pt idx="37">
                  <c:v>-1597852.9312000005</c:v>
                </c:pt>
                <c:pt idx="38">
                  <c:v>-1597852.9312000005</c:v>
                </c:pt>
                <c:pt idx="39">
                  <c:v>-1597852.9312000005</c:v>
                </c:pt>
                <c:pt idx="40">
                  <c:v>-1597852.9312000005</c:v>
                </c:pt>
                <c:pt idx="41">
                  <c:v>-1597852.9312000005</c:v>
                </c:pt>
                <c:pt idx="42">
                  <c:v>-1597852.9312000005</c:v>
                </c:pt>
                <c:pt idx="43">
                  <c:v>-1597852.9312000005</c:v>
                </c:pt>
                <c:pt idx="44">
                  <c:v>-1597852.9312000005</c:v>
                </c:pt>
                <c:pt idx="45">
                  <c:v>-1597852.9312000005</c:v>
                </c:pt>
                <c:pt idx="46">
                  <c:v>-1597852.9312000005</c:v>
                </c:pt>
                <c:pt idx="47">
                  <c:v>-1597852.9312000005</c:v>
                </c:pt>
                <c:pt idx="48">
                  <c:v>-1597852.9312000005</c:v>
                </c:pt>
                <c:pt idx="49">
                  <c:v>-1597852.9312000005</c:v>
                </c:pt>
                <c:pt idx="50">
                  <c:v>-1597852.9312000005</c:v>
                </c:pt>
              </c:numCache>
            </c:numRef>
          </c:yVal>
          <c:smooth val="0"/>
          <c:extLst>
            <c:ext xmlns:c16="http://schemas.microsoft.com/office/drawing/2014/chart" uri="{C3380CC4-5D6E-409C-BE32-E72D297353CC}">
              <c16:uniqueId val="{00000001-6601-43E0-AEF6-490B21344737}"/>
            </c:ext>
          </c:extLst>
        </c:ser>
        <c:ser>
          <c:idx val="2"/>
          <c:order val="2"/>
          <c:tx>
            <c:strRef>
              <c:f>Annuitätenzuschuss!$BE$458</c:f>
              <c:strCache>
                <c:ptCount val="1"/>
                <c:pt idx="0">
                  <c:v>Eigenkapital</c:v>
                </c:pt>
              </c:strCache>
            </c:strRef>
          </c:tx>
          <c:marker>
            <c:symbol val="none"/>
          </c:marker>
          <c:xVal>
            <c:numRef>
              <c:f>Annuitätenzuschuss!$BB$459:$BB$509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Annuitätenzuschuss!$BE$459:$BE$509</c:f>
              <c:numCache>
                <c:formatCode>#,##0.00</c:formatCode>
                <c:ptCount val="51"/>
                <c:pt idx="0" formatCode="General">
                  <c:v>0</c:v>
                </c:pt>
                <c:pt idx="1">
                  <c:v>-15649.353972815534</c:v>
                </c:pt>
                <c:pt idx="2">
                  <c:v>-30842.901519238381</c:v>
                </c:pt>
                <c:pt idx="3">
                  <c:v>-45593.918554600372</c:v>
                </c:pt>
                <c:pt idx="4">
                  <c:v>-59915.294317087741</c:v>
                </c:pt>
                <c:pt idx="5">
                  <c:v>-73819.542630182274</c:v>
                </c:pt>
                <c:pt idx="6">
                  <c:v>-87318.812837070174</c:v>
                </c:pt>
                <c:pt idx="7">
                  <c:v>-100424.90041657299</c:v>
                </c:pt>
                <c:pt idx="8">
                  <c:v>-113149.25728987668</c:v>
                </c:pt>
                <c:pt idx="9">
                  <c:v>-125503.00182706474</c:v>
                </c:pt>
                <c:pt idx="10">
                  <c:v>-137496.92856219877</c:v>
                </c:pt>
                <c:pt idx="11">
                  <c:v>-149141.51762543569</c:v>
                </c:pt>
                <c:pt idx="12">
                  <c:v>-160446.94390042301</c:v>
                </c:pt>
                <c:pt idx="13">
                  <c:v>-171423.08591497381</c:v>
                </c:pt>
                <c:pt idx="14">
                  <c:v>-182079.53447279011</c:v>
                </c:pt>
                <c:pt idx="15">
                  <c:v>-192425.60103377679</c:v>
                </c:pt>
                <c:pt idx="16">
                  <c:v>-202470.32585026874</c:v>
                </c:pt>
                <c:pt idx="17">
                  <c:v>-212222.48586628033</c:v>
                </c:pt>
                <c:pt idx="18">
                  <c:v>-221690.60238667994</c:v>
                </c:pt>
                <c:pt idx="19">
                  <c:v>-230882.94852299022</c:v>
                </c:pt>
                <c:pt idx="20">
                  <c:v>-239807.5564223206</c:v>
                </c:pt>
                <c:pt idx="21">
                  <c:v>-248472.22428574815</c:v>
                </c:pt>
                <c:pt idx="22">
                  <c:v>-256884.52318227975</c:v>
                </c:pt>
                <c:pt idx="23">
                  <c:v>-265051.80366434925</c:v>
                </c:pt>
                <c:pt idx="24">
                  <c:v>-272981.20219063037</c:v>
                </c:pt>
                <c:pt idx="25">
                  <c:v>-280679.64736177708</c:v>
                </c:pt>
                <c:pt idx="26">
                  <c:v>-288153.86597454088</c:v>
                </c:pt>
                <c:pt idx="27">
                  <c:v>-295410.38889955427</c:v>
                </c:pt>
                <c:pt idx="28">
                  <c:v>-302455.55678791675</c:v>
                </c:pt>
                <c:pt idx="29">
                  <c:v>-309295.52561156964</c:v>
                </c:pt>
                <c:pt idx="30">
                  <c:v>-315936.27204230061</c:v>
                </c:pt>
                <c:pt idx="31">
                  <c:v>-322383.59867407824</c:v>
                </c:pt>
                <c:pt idx="32">
                  <c:v>-328643.13909327984</c:v>
                </c:pt>
                <c:pt idx="33">
                  <c:v>-334720.36280124256</c:v>
                </c:pt>
                <c:pt idx="34">
                  <c:v>-340620.57999343937</c:v>
                </c:pt>
                <c:pt idx="35">
                  <c:v>-346348.94619945571</c:v>
                </c:pt>
                <c:pt idx="36">
                  <c:v>-349330.02635194547</c:v>
                </c:pt>
                <c:pt idx="37">
                  <c:v>-352224.27892717824</c:v>
                </c:pt>
                <c:pt idx="38">
                  <c:v>-355034.23288371495</c:v>
                </c:pt>
                <c:pt idx="39">
                  <c:v>-357762.34352112922</c:v>
                </c:pt>
                <c:pt idx="40">
                  <c:v>-360410.9946254149</c:v>
                </c:pt>
                <c:pt idx="41">
                  <c:v>-362982.50055190583</c:v>
                </c:pt>
                <c:pt idx="42">
                  <c:v>-365479.10824752814</c:v>
                </c:pt>
                <c:pt idx="43">
                  <c:v>-367902.99921415176</c:v>
                </c:pt>
                <c:pt idx="44">
                  <c:v>-370256.2914147572</c:v>
                </c:pt>
                <c:pt idx="45">
                  <c:v>-372541.04112408287</c:v>
                </c:pt>
                <c:pt idx="46">
                  <c:v>-374759.24472536991</c:v>
                </c:pt>
                <c:pt idx="47">
                  <c:v>-376912.84045477479</c:v>
                </c:pt>
                <c:pt idx="48">
                  <c:v>-379003.71009497374</c:v>
                </c:pt>
                <c:pt idx="49">
                  <c:v>-381033.6806194387</c:v>
                </c:pt>
                <c:pt idx="50">
                  <c:v>-383004.52578882215</c:v>
                </c:pt>
              </c:numCache>
            </c:numRef>
          </c:yVal>
          <c:smooth val="0"/>
          <c:extLst>
            <c:ext xmlns:c16="http://schemas.microsoft.com/office/drawing/2014/chart" uri="{C3380CC4-5D6E-409C-BE32-E72D297353CC}">
              <c16:uniqueId val="{00000002-6601-43E0-AEF6-490B21344737}"/>
            </c:ext>
          </c:extLst>
        </c:ser>
        <c:ser>
          <c:idx val="3"/>
          <c:order val="3"/>
          <c:tx>
            <c:strRef>
              <c:f>Annuitätenzuschuss!$BF$458</c:f>
              <c:strCache>
                <c:ptCount val="1"/>
                <c:pt idx="0">
                  <c:v>Annuitätenzuschuss</c:v>
                </c:pt>
              </c:strCache>
            </c:strRef>
          </c:tx>
          <c:marker>
            <c:symbol val="none"/>
          </c:marker>
          <c:xVal>
            <c:numRef>
              <c:f>Annuitätenzuschuss!$BB$459:$BB$509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Annuitätenzuschuss!$BF$459:$BF$509</c:f>
              <c:numCache>
                <c:formatCode>#,##0.00</c:formatCode>
                <c:ptCount val="51"/>
                <c:pt idx="0" formatCode="General">
                  <c:v>0</c:v>
                </c:pt>
                <c:pt idx="1">
                  <c:v>38532.716179073737</c:v>
                </c:pt>
                <c:pt idx="2">
                  <c:v>75943.120236426883</c:v>
                </c:pt>
                <c:pt idx="3">
                  <c:v>112263.90087463382</c:v>
                </c:pt>
                <c:pt idx="4">
                  <c:v>147526.79469813569</c:v>
                </c:pt>
                <c:pt idx="5">
                  <c:v>181762.61394425403</c:v>
                </c:pt>
                <c:pt idx="6">
                  <c:v>215001.27340650483</c:v>
                </c:pt>
                <c:pt idx="7">
                  <c:v>247271.81657373862</c:v>
                </c:pt>
                <c:pt idx="8">
                  <c:v>278602.44100794615</c:v>
                </c:pt>
                <c:pt idx="9">
                  <c:v>309020.52298290498</c:v>
                </c:pt>
                <c:pt idx="10">
                  <c:v>338552.64140519506</c:v>
                </c:pt>
                <c:pt idx="11">
                  <c:v>367224.60103848641</c:v>
                </c:pt>
                <c:pt idx="12">
                  <c:v>395061.45505139063</c:v>
                </c:pt>
                <c:pt idx="13">
                  <c:v>422087.52690857922</c:v>
                </c:pt>
                <c:pt idx="14">
                  <c:v>448326.4316242963</c:v>
                </c:pt>
                <c:pt idx="15">
                  <c:v>473801.09639683715</c:v>
                </c:pt>
                <c:pt idx="16">
                  <c:v>498533.78064202244</c:v>
                </c:pt>
                <c:pt idx="17">
                  <c:v>522546.0954431732</c:v>
                </c:pt>
                <c:pt idx="18">
                  <c:v>545859.02243458165</c:v>
                </c:pt>
                <c:pt idx="19">
                  <c:v>568492.93213497824</c:v>
                </c:pt>
                <c:pt idx="20">
                  <c:v>590467.60174701374</c:v>
                </c:pt>
                <c:pt idx="21">
                  <c:v>611802.2324383104</c:v>
                </c:pt>
                <c:pt idx="22">
                  <c:v>632515.4661191809</c:v>
                </c:pt>
                <c:pt idx="23">
                  <c:v>652625.40173167654</c:v>
                </c:pt>
                <c:pt idx="24">
                  <c:v>672149.61106419656</c:v>
                </c:pt>
                <c:pt idx="25">
                  <c:v>691105.1541054782</c:v>
                </c:pt>
                <c:pt idx="26">
                  <c:v>691105.1541054782</c:v>
                </c:pt>
                <c:pt idx="27">
                  <c:v>691105.1541054782</c:v>
                </c:pt>
                <c:pt idx="28">
                  <c:v>691105.1541054782</c:v>
                </c:pt>
                <c:pt idx="29">
                  <c:v>691105.1541054782</c:v>
                </c:pt>
                <c:pt idx="30">
                  <c:v>691105.1541054782</c:v>
                </c:pt>
                <c:pt idx="31">
                  <c:v>691105.1541054782</c:v>
                </c:pt>
                <c:pt idx="32">
                  <c:v>691105.1541054782</c:v>
                </c:pt>
                <c:pt idx="33">
                  <c:v>691105.1541054782</c:v>
                </c:pt>
                <c:pt idx="34">
                  <c:v>691105.1541054782</c:v>
                </c:pt>
                <c:pt idx="35">
                  <c:v>338487.54834096291</c:v>
                </c:pt>
                <c:pt idx="36">
                  <c:v>338487.54834096291</c:v>
                </c:pt>
                <c:pt idx="37">
                  <c:v>338487.54834096291</c:v>
                </c:pt>
                <c:pt idx="38">
                  <c:v>338487.54834096291</c:v>
                </c:pt>
                <c:pt idx="39">
                  <c:v>338487.54834096291</c:v>
                </c:pt>
                <c:pt idx="40">
                  <c:v>338487.54834096291</c:v>
                </c:pt>
                <c:pt idx="41">
                  <c:v>338487.54834096291</c:v>
                </c:pt>
                <c:pt idx="42">
                  <c:v>338487.54834096291</c:v>
                </c:pt>
                <c:pt idx="43">
                  <c:v>338487.54834096291</c:v>
                </c:pt>
                <c:pt idx="44">
                  <c:v>338487.54834096291</c:v>
                </c:pt>
                <c:pt idx="45">
                  <c:v>338487.54834096291</c:v>
                </c:pt>
                <c:pt idx="46">
                  <c:v>338487.54834096291</c:v>
                </c:pt>
                <c:pt idx="47">
                  <c:v>338487.54834096291</c:v>
                </c:pt>
                <c:pt idx="48">
                  <c:v>338487.54834096291</c:v>
                </c:pt>
                <c:pt idx="49">
                  <c:v>338487.54834096291</c:v>
                </c:pt>
                <c:pt idx="50">
                  <c:v>338487.54834096291</c:v>
                </c:pt>
              </c:numCache>
            </c:numRef>
          </c:yVal>
          <c:smooth val="0"/>
          <c:extLst>
            <c:ext xmlns:c16="http://schemas.microsoft.com/office/drawing/2014/chart" uri="{C3380CC4-5D6E-409C-BE32-E72D297353CC}">
              <c16:uniqueId val="{00000003-6601-43E0-AEF6-490B21344737}"/>
            </c:ext>
          </c:extLst>
        </c:ser>
        <c:ser>
          <c:idx val="4"/>
          <c:order val="4"/>
          <c:tx>
            <c:strRef>
              <c:f>Annuitätenzuschuss!$BG$56</c:f>
              <c:strCache>
                <c:ptCount val="1"/>
                <c:pt idx="0">
                  <c:v>Entgeltstundung</c:v>
                </c:pt>
              </c:strCache>
            </c:strRef>
          </c:tx>
          <c:marker>
            <c:symbol val="none"/>
          </c:marker>
          <c:xVal>
            <c:numRef>
              <c:f>Annuitätenzuschuss!$BB$57:$BB$107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Annuitätenzuschuss!$BG$57:$BG$107</c:f>
              <c:numCache>
                <c:formatCode>#,##0.00</c:formatCode>
                <c:ptCount val="51"/>
                <c:pt idx="0" formatCode="General">
                  <c:v>0</c:v>
                </c:pt>
                <c:pt idx="1">
                  <c:v>126460.81719428602</c:v>
                </c:pt>
                <c:pt idx="2">
                  <c:v>249238.30961592292</c:v>
                </c:pt>
                <c:pt idx="3">
                  <c:v>368439.75856896845</c:v>
                </c:pt>
                <c:pt idx="4">
                  <c:v>484169.32065930392</c:v>
                </c:pt>
                <c:pt idx="5">
                  <c:v>596528.11880526075</c:v>
                </c:pt>
                <c:pt idx="6">
                  <c:v>705614.33059745177</c:v>
                </c:pt>
                <c:pt idx="7">
                  <c:v>811523.27408501587</c:v>
                </c:pt>
                <c:pt idx="8">
                  <c:v>914347.49106323346</c:v>
                </c:pt>
                <c:pt idx="9">
                  <c:v>1014176.8279352894</c:v>
                </c:pt>
                <c:pt idx="10">
                  <c:v>1111098.5142188389</c:v>
                </c:pt>
                <c:pt idx="11">
                  <c:v>1205197.2387659743</c:v>
                </c:pt>
                <c:pt idx="12">
                  <c:v>1296555.223763193</c:v>
                </c:pt>
                <c:pt idx="13">
                  <c:v>1385252.2965760268</c:v>
                </c:pt>
                <c:pt idx="14">
                  <c:v>1471365.9595011082</c:v>
                </c:pt>
                <c:pt idx="15">
                  <c:v>1554971.4574866241</c:v>
                </c:pt>
                <c:pt idx="16">
                  <c:v>1636141.8438803288</c:v>
                </c:pt>
                <c:pt idx="17">
                  <c:v>1714948.0442625664</c:v>
                </c:pt>
                <c:pt idx="18">
                  <c:v>1791458.9184200787</c:v>
                </c:pt>
                <c:pt idx="19">
                  <c:v>1865741.3205147507</c:v>
                </c:pt>
                <c:pt idx="20">
                  <c:v>1937860.1574998691</c:v>
                </c:pt>
                <c:pt idx="21">
                  <c:v>2007878.4458349356</c:v>
                </c:pt>
                <c:pt idx="22">
                  <c:v>2075857.3665485925</c:v>
                </c:pt>
                <c:pt idx="23">
                  <c:v>2141856.3186977739</c:v>
                </c:pt>
                <c:pt idx="24">
                  <c:v>2205932.9712697947</c:v>
                </c:pt>
                <c:pt idx="25">
                  <c:v>2268143.3135727276</c:v>
                </c:pt>
                <c:pt idx="26">
                  <c:v>2239514.7541599297</c:v>
                </c:pt>
                <c:pt idx="27">
                  <c:v>2211720.0362834269</c:v>
                </c:pt>
                <c:pt idx="28">
                  <c:v>2184734.8732965309</c:v>
                </c:pt>
                <c:pt idx="29">
                  <c:v>2158535.6859306125</c:v>
                </c:pt>
                <c:pt idx="30">
                  <c:v>2133099.581691857</c:v>
                </c:pt>
                <c:pt idx="31">
                  <c:v>2108404.3348581134</c:v>
                </c:pt>
                <c:pt idx="32">
                  <c:v>2084428.3670583626</c:v>
                </c:pt>
                <c:pt idx="33">
                  <c:v>2061150.7284178277</c:v>
                </c:pt>
                <c:pt idx="34">
                  <c:v>2038551.07925226</c:v>
                </c:pt>
                <c:pt idx="35">
                  <c:v>449467.00826666923</c:v>
                </c:pt>
                <c:pt idx="36">
                  <c:v>449467.00826666923</c:v>
                </c:pt>
                <c:pt idx="37">
                  <c:v>449467.00826666923</c:v>
                </c:pt>
                <c:pt idx="38">
                  <c:v>449467.00826666923</c:v>
                </c:pt>
                <c:pt idx="39">
                  <c:v>449467.00826666923</c:v>
                </c:pt>
                <c:pt idx="40">
                  <c:v>449467.00826666923</c:v>
                </c:pt>
                <c:pt idx="41">
                  <c:v>449467.00826666923</c:v>
                </c:pt>
                <c:pt idx="42">
                  <c:v>449467.00826666923</c:v>
                </c:pt>
                <c:pt idx="43">
                  <c:v>449467.00826666923</c:v>
                </c:pt>
                <c:pt idx="44">
                  <c:v>449467.00826666923</c:v>
                </c:pt>
                <c:pt idx="45">
                  <c:v>449467.00826666923</c:v>
                </c:pt>
                <c:pt idx="46">
                  <c:v>449467.00826666923</c:v>
                </c:pt>
                <c:pt idx="47">
                  <c:v>449467.00826666923</c:v>
                </c:pt>
                <c:pt idx="48">
                  <c:v>449467.00826666923</c:v>
                </c:pt>
                <c:pt idx="49">
                  <c:v>449467.00826666923</c:v>
                </c:pt>
                <c:pt idx="50">
                  <c:v>449467.00826666923</c:v>
                </c:pt>
              </c:numCache>
            </c:numRef>
          </c:yVal>
          <c:smooth val="0"/>
          <c:extLst>
            <c:ext xmlns:c16="http://schemas.microsoft.com/office/drawing/2014/chart" uri="{C3380CC4-5D6E-409C-BE32-E72D297353CC}">
              <c16:uniqueId val="{00000004-6601-43E0-AEF6-490B21344737}"/>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6601-43E0-AEF6-490B21344737}"/>
            </c:ext>
          </c:extLst>
        </c:ser>
        <c:ser>
          <c:idx val="6"/>
          <c:order val="6"/>
          <c:tx>
            <c:strRef>
              <c:f>Annuitätenzuschuss!$BI$458</c:f>
              <c:strCache>
                <c:ptCount val="1"/>
                <c:pt idx="0">
                  <c:v>Barwert Gesamt</c:v>
                </c:pt>
              </c:strCache>
            </c:strRef>
          </c:tx>
          <c:marker>
            <c:symbol val="none"/>
          </c:marker>
          <c:xVal>
            <c:numRef>
              <c:f>Annuitätenzuschuss!$BB$459:$BB$509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Annuitätenzuschuss!$BI$459:$BI$509</c:f>
              <c:numCache>
                <c:formatCode>#,##0.00</c:formatCode>
                <c:ptCount val="51"/>
                <c:pt idx="0" formatCode="General">
                  <c:v>0</c:v>
                </c:pt>
                <c:pt idx="1">
                  <c:v>-75264.955339805805</c:v>
                </c:pt>
                <c:pt idx="2">
                  <c:v>-148337.72751437456</c:v>
                </c:pt>
                <c:pt idx="3">
                  <c:v>-219282.16651881026</c:v>
                </c:pt>
                <c:pt idx="4">
                  <c:v>-288160.26263962162</c:v>
                </c:pt>
                <c:pt idx="5">
                  <c:v>-355032.20062099188</c:v>
                </c:pt>
                <c:pt idx="6">
                  <c:v>-419956.41225339018</c:v>
                </c:pt>
                <c:pt idx="7">
                  <c:v>-482989.6274304759</c:v>
                </c:pt>
                <c:pt idx="8">
                  <c:v>-544186.92371890857</c:v>
                </c:pt>
                <c:pt idx="9">
                  <c:v>-603601.77448437724</c:v>
                </c:pt>
                <c:pt idx="10">
                  <c:v>-661286.09561590024</c:v>
                </c:pt>
                <c:pt idx="11">
                  <c:v>-717290.29088922357</c:v>
                </c:pt>
                <c:pt idx="12">
                  <c:v>-771663.29600895499</c:v>
                </c:pt>
                <c:pt idx="13">
                  <c:v>-824452.62136791751</c:v>
                </c:pt>
                <c:pt idx="14">
                  <c:v>-875704.39356108499</c:v>
                </c:pt>
                <c:pt idx="15">
                  <c:v>-925463.39569037373</c:v>
                </c:pt>
                <c:pt idx="16">
                  <c:v>-973773.10649550846</c:v>
                </c:pt>
                <c:pt idx="17">
                  <c:v>-1020675.7383451539</c:v>
                </c:pt>
                <c:pt idx="18">
                  <c:v>-1066212.2741215087</c:v>
                </c:pt>
                <c:pt idx="19">
                  <c:v>-1110422.5030305909</c:v>
                </c:pt>
                <c:pt idx="20">
                  <c:v>-1153345.0553695059</c:v>
                </c:pt>
                <c:pt idx="21">
                  <c:v>-1195017.4362810736</c:v>
                </c:pt>
                <c:pt idx="22">
                  <c:v>-1235476.0585253141</c:v>
                </c:pt>
                <c:pt idx="23">
                  <c:v>-1274756.2742964216</c:v>
                </c:pt>
                <c:pt idx="24">
                  <c:v>-1312892.4061130306</c:v>
                </c:pt>
                <c:pt idx="25">
                  <c:v>-1349917.7768087676</c:v>
                </c:pt>
                <c:pt idx="26">
                  <c:v>-1385864.7386492889</c:v>
                </c:pt>
                <c:pt idx="27">
                  <c:v>-1420764.7016012513</c:v>
                </c:pt>
                <c:pt idx="28">
                  <c:v>-1454648.1607779139</c:v>
                </c:pt>
                <c:pt idx="29">
                  <c:v>-1487544.7230853534</c:v>
                </c:pt>
                <c:pt idx="30">
                  <c:v>-1519483.1330925762</c:v>
                </c:pt>
                <c:pt idx="31">
                  <c:v>-1550491.2981481322</c:v>
                </c:pt>
                <c:pt idx="32">
                  <c:v>-1580596.3127651769</c:v>
                </c:pt>
                <c:pt idx="33">
                  <c:v>-1609824.4822962882</c:v>
                </c:pt>
                <c:pt idx="34">
                  <c:v>-1638201.3459187264</c:v>
                </c:pt>
                <c:pt idx="35">
                  <c:v>-2033608.8222076544</c:v>
                </c:pt>
                <c:pt idx="36">
                  <c:v>-2060356.737772211</c:v>
                </c:pt>
                <c:pt idx="37">
                  <c:v>-2086325.5878348874</c:v>
                </c:pt>
                <c:pt idx="38">
                  <c:v>-2111538.0636238935</c:v>
                </c:pt>
                <c:pt idx="39">
                  <c:v>-2136016.1954578804</c:v>
                </c:pt>
                <c:pt idx="40">
                  <c:v>-2159781.3719957317</c:v>
                </c:pt>
                <c:pt idx="41">
                  <c:v>-2182854.3589256844</c:v>
                </c:pt>
                <c:pt idx="42">
                  <c:v>-2205255.3171101045</c:v>
                </c:pt>
                <c:pt idx="43">
                  <c:v>-2227003.8202017741</c:v>
                </c:pt>
                <c:pt idx="44">
                  <c:v>-2248118.8717470844</c:v>
                </c:pt>
                <c:pt idx="45">
                  <c:v>-2268618.9217910753</c:v>
                </c:pt>
                <c:pt idx="46">
                  <c:v>-2292398.699819779</c:v>
                </c:pt>
                <c:pt idx="47">
                  <c:v>-2315485.8629544429</c:v>
                </c:pt>
                <c:pt idx="48">
                  <c:v>-2337900.5844444078</c:v>
                </c:pt>
                <c:pt idx="49">
                  <c:v>-2349099.7274211263</c:v>
                </c:pt>
                <c:pt idx="50">
                  <c:v>-2351070.5725905099</c:v>
                </c:pt>
              </c:numCache>
            </c:numRef>
          </c:yVal>
          <c:smooth val="0"/>
          <c:extLst>
            <c:ext xmlns:c16="http://schemas.microsoft.com/office/drawing/2014/chart" uri="{C3380CC4-5D6E-409C-BE32-E72D297353CC}">
              <c16:uniqueId val="{00000006-6601-43E0-AEF6-490B21344737}"/>
            </c:ext>
          </c:extLst>
        </c:ser>
        <c:dLbls>
          <c:showLegendKey val="0"/>
          <c:showVal val="0"/>
          <c:showCatName val="0"/>
          <c:showSerName val="0"/>
          <c:showPercent val="0"/>
          <c:showBubbleSize val="0"/>
        </c:dLbls>
        <c:axId val="670707072"/>
        <c:axId val="670729344"/>
      </c:scatterChart>
      <c:valAx>
        <c:axId val="670707072"/>
        <c:scaling>
          <c:orientation val="minMax"/>
          <c:max val="50"/>
        </c:scaling>
        <c:delete val="0"/>
        <c:axPos val="b"/>
        <c:numFmt formatCode="General" sourceLinked="1"/>
        <c:majorTickMark val="out"/>
        <c:minorTickMark val="none"/>
        <c:tickLblPos val="nextTo"/>
        <c:crossAx val="670729344"/>
        <c:crosses val="autoZero"/>
        <c:crossBetween val="midCat"/>
      </c:valAx>
      <c:valAx>
        <c:axId val="670729344"/>
        <c:scaling>
          <c:orientation val="minMax"/>
        </c:scaling>
        <c:delete val="0"/>
        <c:axPos val="l"/>
        <c:majorGridlines/>
        <c:numFmt formatCode="General" sourceLinked="1"/>
        <c:majorTickMark val="out"/>
        <c:minorTickMark val="none"/>
        <c:tickLblPos val="nextTo"/>
        <c:crossAx val="67070707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Annuitätenzuschuss!$R$458</c:f>
              <c:strCache>
                <c:ptCount val="1"/>
                <c:pt idx="0">
                  <c:v>Annuität</c:v>
                </c:pt>
              </c:strCache>
            </c:strRef>
          </c:tx>
          <c:marker>
            <c:symbol val="none"/>
          </c:marker>
          <c:xVal>
            <c:numRef>
              <c:f>Annuitätenzuschuss!$M$459:$M$509</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Annuitätenzuschuss!$R$459:$R$509</c:f>
              <c:numCache>
                <c:formatCode>#,##0.00</c:formatCode>
                <c:ptCount val="51"/>
                <c:pt idx="0">
                  <c:v>0</c:v>
                </c:pt>
                <c:pt idx="1">
                  <c:v>91761.29207244594</c:v>
                </c:pt>
                <c:pt idx="2">
                  <c:v>91761.29207244594</c:v>
                </c:pt>
                <c:pt idx="3">
                  <c:v>91761.29207244594</c:v>
                </c:pt>
                <c:pt idx="4">
                  <c:v>91761.29207244594</c:v>
                </c:pt>
                <c:pt idx="5">
                  <c:v>91761.29207244594</c:v>
                </c:pt>
                <c:pt idx="6">
                  <c:v>91761.29207244594</c:v>
                </c:pt>
                <c:pt idx="7">
                  <c:v>91761.29207244594</c:v>
                </c:pt>
                <c:pt idx="8">
                  <c:v>91761.29207244594</c:v>
                </c:pt>
                <c:pt idx="9">
                  <c:v>91761.29207244594</c:v>
                </c:pt>
                <c:pt idx="10">
                  <c:v>91761.29207244594</c:v>
                </c:pt>
                <c:pt idx="11">
                  <c:v>91761.29207244594</c:v>
                </c:pt>
                <c:pt idx="12">
                  <c:v>91761.29207244594</c:v>
                </c:pt>
                <c:pt idx="13">
                  <c:v>91761.29207244594</c:v>
                </c:pt>
                <c:pt idx="14">
                  <c:v>91761.29207244594</c:v>
                </c:pt>
                <c:pt idx="15">
                  <c:v>91761.29207244594</c:v>
                </c:pt>
                <c:pt idx="16">
                  <c:v>91761.29207244594</c:v>
                </c:pt>
                <c:pt idx="17">
                  <c:v>91761.29207244594</c:v>
                </c:pt>
                <c:pt idx="18">
                  <c:v>91761.29207244594</c:v>
                </c:pt>
                <c:pt idx="19">
                  <c:v>91761.29207244594</c:v>
                </c:pt>
                <c:pt idx="20">
                  <c:v>91761.29207244594</c:v>
                </c:pt>
                <c:pt idx="21">
                  <c:v>91761.29207244594</c:v>
                </c:pt>
                <c:pt idx="22">
                  <c:v>91761.29207244594</c:v>
                </c:pt>
                <c:pt idx="23">
                  <c:v>91761.29207244594</c:v>
                </c:pt>
                <c:pt idx="24">
                  <c:v>91761.29207244594</c:v>
                </c:pt>
                <c:pt idx="25">
                  <c:v>91761.29207244594</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7CF6-4A7B-9ACB-D3FEFF4563B9}"/>
            </c:ext>
          </c:extLst>
        </c:ser>
        <c:ser>
          <c:idx val="1"/>
          <c:order val="1"/>
          <c:tx>
            <c:strRef>
              <c:f>Annuitätenzuschuss!$S$458</c:f>
              <c:strCache>
                <c:ptCount val="1"/>
                <c:pt idx="0">
                  <c:v>Zinsen</c:v>
                </c:pt>
              </c:strCache>
            </c:strRef>
          </c:tx>
          <c:marker>
            <c:symbol val="none"/>
          </c:marker>
          <c:xVal>
            <c:numRef>
              <c:f>Annuitätenzuschuss!$M$459:$M$509</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Annuitätenzuschuss!$S$459:$S$509</c:f>
              <c:numCache>
                <c:formatCode>#,##0.00</c:formatCode>
                <c:ptCount val="51"/>
                <c:pt idx="1">
                  <c:v>47935.587935999996</c:v>
                </c:pt>
                <c:pt idx="2">
                  <c:v>46620.816811906625</c:v>
                </c:pt>
                <c:pt idx="3">
                  <c:v>45266.602554090445</c:v>
                </c:pt>
                <c:pt idx="4">
                  <c:v>43871.761868539776</c:v>
                </c:pt>
                <c:pt idx="5">
                  <c:v>42435.075962422598</c:v>
                </c:pt>
                <c:pt idx="6">
                  <c:v>40955.289479121893</c:v>
                </c:pt>
                <c:pt idx="7">
                  <c:v>39431.109401322174</c:v>
                </c:pt>
                <c:pt idx="8">
                  <c:v>37861.203921188455</c:v>
                </c:pt>
                <c:pt idx="9">
                  <c:v>36244.201276650732</c:v>
                </c:pt>
                <c:pt idx="10">
                  <c:v>34578.688552776875</c:v>
                </c:pt>
                <c:pt idx="11">
                  <c:v>32863.210447186801</c:v>
                </c:pt>
                <c:pt idx="12">
                  <c:v>31096.26799842903</c:v>
                </c:pt>
                <c:pt idx="13">
                  <c:v>29276.31727620852</c:v>
                </c:pt>
                <c:pt idx="14">
                  <c:v>27401.768032321397</c:v>
                </c:pt>
                <c:pt idx="15">
                  <c:v>25470.982311117663</c:v>
                </c:pt>
                <c:pt idx="16">
                  <c:v>23482.273018277814</c:v>
                </c:pt>
                <c:pt idx="17">
                  <c:v>21433.90244665277</c:v>
                </c:pt>
                <c:pt idx="18">
                  <c:v>19324.080757878975</c:v>
                </c:pt>
                <c:pt idx="19">
                  <c:v>17150.964418441963</c:v>
                </c:pt>
                <c:pt idx="20">
                  <c:v>14912.654588821846</c:v>
                </c:pt>
                <c:pt idx="21">
                  <c:v>12607.195464313123</c:v>
                </c:pt>
                <c:pt idx="22">
                  <c:v>10232.572566069137</c:v>
                </c:pt>
                <c:pt idx="23">
                  <c:v>7786.7109808778341</c:v>
                </c:pt>
                <c:pt idx="24">
                  <c:v>5267.4735481307907</c:v>
                </c:pt>
                <c:pt idx="25">
                  <c:v>2672.658992401336</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7CF6-4A7B-9ACB-D3FEFF4563B9}"/>
            </c:ext>
          </c:extLst>
        </c:ser>
        <c:ser>
          <c:idx val="2"/>
          <c:order val="2"/>
          <c:tx>
            <c:strRef>
              <c:f>Annuitätenzuschuss!$T$458</c:f>
              <c:strCache>
                <c:ptCount val="1"/>
                <c:pt idx="0">
                  <c:v>Tilgung</c:v>
                </c:pt>
              </c:strCache>
            </c:strRef>
          </c:tx>
          <c:marker>
            <c:symbol val="none"/>
          </c:marker>
          <c:xVal>
            <c:numRef>
              <c:f>Annuitätenzuschuss!$M$459:$M$509</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Annuitätenzuschuss!$T$459:$T$509</c:f>
              <c:numCache>
                <c:formatCode>#,##0.00</c:formatCode>
                <c:ptCount val="51"/>
                <c:pt idx="1">
                  <c:v>43825.704136445944</c:v>
                </c:pt>
                <c:pt idx="2">
                  <c:v>45140.475260539315</c:v>
                </c:pt>
                <c:pt idx="3">
                  <c:v>46494.689518355495</c:v>
                </c:pt>
                <c:pt idx="4">
                  <c:v>47889.530203906164</c:v>
                </c:pt>
                <c:pt idx="5">
                  <c:v>49326.216110023342</c:v>
                </c:pt>
                <c:pt idx="6">
                  <c:v>50806.002593324047</c:v>
                </c:pt>
                <c:pt idx="7">
                  <c:v>52330.182671123766</c:v>
                </c:pt>
                <c:pt idx="8">
                  <c:v>53900.088151257485</c:v>
                </c:pt>
                <c:pt idx="9">
                  <c:v>55517.090795795208</c:v>
                </c:pt>
                <c:pt idx="10">
                  <c:v>57182.603519669065</c:v>
                </c:pt>
                <c:pt idx="11">
                  <c:v>58898.081625259139</c:v>
                </c:pt>
                <c:pt idx="12">
                  <c:v>60665.02407401691</c:v>
                </c:pt>
                <c:pt idx="13">
                  <c:v>62484.974796237424</c:v>
                </c:pt>
                <c:pt idx="14">
                  <c:v>64359.524040124539</c:v>
                </c:pt>
                <c:pt idx="15">
                  <c:v>66290.309761328273</c:v>
                </c:pt>
                <c:pt idx="16">
                  <c:v>68279.019054168122</c:v>
                </c:pt>
                <c:pt idx="17">
                  <c:v>70327.389625793177</c:v>
                </c:pt>
                <c:pt idx="18">
                  <c:v>72437.211314566957</c:v>
                </c:pt>
                <c:pt idx="19">
                  <c:v>74610.327654003981</c:v>
                </c:pt>
                <c:pt idx="20">
                  <c:v>76848.637483624101</c:v>
                </c:pt>
                <c:pt idx="21">
                  <c:v>79154.096608132822</c:v>
                </c:pt>
                <c:pt idx="22">
                  <c:v>81528.719506376801</c:v>
                </c:pt>
                <c:pt idx="23">
                  <c:v>83974.581091568107</c:v>
                </c:pt>
                <c:pt idx="24">
                  <c:v>86493.818524315153</c:v>
                </c:pt>
                <c:pt idx="25">
                  <c:v>89088.633080044601</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7CF6-4A7B-9ACB-D3FEFF4563B9}"/>
            </c:ext>
          </c:extLst>
        </c:ser>
        <c:dLbls>
          <c:showLegendKey val="0"/>
          <c:showVal val="0"/>
          <c:showCatName val="0"/>
          <c:showSerName val="0"/>
          <c:showPercent val="0"/>
          <c:showBubbleSize val="0"/>
        </c:dLbls>
        <c:axId val="670754688"/>
        <c:axId val="670756224"/>
      </c:scatterChart>
      <c:valAx>
        <c:axId val="670754688"/>
        <c:scaling>
          <c:orientation val="minMax"/>
          <c:max val="50"/>
          <c:min val="0"/>
        </c:scaling>
        <c:delete val="0"/>
        <c:axPos val="b"/>
        <c:numFmt formatCode="General" sourceLinked="1"/>
        <c:majorTickMark val="out"/>
        <c:minorTickMark val="none"/>
        <c:tickLblPos val="nextTo"/>
        <c:crossAx val="670756224"/>
        <c:crosses val="autoZero"/>
        <c:crossBetween val="midCat"/>
        <c:majorUnit val="10"/>
        <c:minorUnit val="2"/>
      </c:valAx>
      <c:valAx>
        <c:axId val="670756224"/>
        <c:scaling>
          <c:orientation val="minMax"/>
        </c:scaling>
        <c:delete val="0"/>
        <c:axPos val="l"/>
        <c:majorGridlines/>
        <c:numFmt formatCode="#,##0.00" sourceLinked="1"/>
        <c:majorTickMark val="out"/>
        <c:minorTickMark val="none"/>
        <c:tickLblPos val="nextTo"/>
        <c:crossAx val="67075468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Annuitätenzuschuss!$V$458</c:f>
              <c:strCache>
                <c:ptCount val="1"/>
                <c:pt idx="0">
                  <c:v>Eigenmittel f. Grundkosten</c:v>
                </c:pt>
              </c:strCache>
            </c:strRef>
          </c:tx>
          <c:marker>
            <c:symbol val="none"/>
          </c:marker>
          <c:xVal>
            <c:numRef>
              <c:f>Annuitätenzuschuss!$M$459:$M$509</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Annuitätenzuschuss!$V$459:$V$509</c:f>
              <c:numCache>
                <c:formatCode>#,##0.00</c:formatCode>
                <c:ptCount val="51"/>
                <c:pt idx="0">
                  <c:v>0</c:v>
                </c:pt>
                <c:pt idx="1">
                  <c:v>8640</c:v>
                </c:pt>
                <c:pt idx="2">
                  <c:v>8640</c:v>
                </c:pt>
                <c:pt idx="3">
                  <c:v>8640</c:v>
                </c:pt>
                <c:pt idx="4">
                  <c:v>8640</c:v>
                </c:pt>
                <c:pt idx="5">
                  <c:v>8640</c:v>
                </c:pt>
                <c:pt idx="6">
                  <c:v>8640</c:v>
                </c:pt>
                <c:pt idx="7">
                  <c:v>8640</c:v>
                </c:pt>
                <c:pt idx="8">
                  <c:v>8640</c:v>
                </c:pt>
                <c:pt idx="9">
                  <c:v>8640</c:v>
                </c:pt>
                <c:pt idx="10">
                  <c:v>8640</c:v>
                </c:pt>
                <c:pt idx="11">
                  <c:v>8640</c:v>
                </c:pt>
                <c:pt idx="12">
                  <c:v>8640</c:v>
                </c:pt>
                <c:pt idx="13">
                  <c:v>8640</c:v>
                </c:pt>
                <c:pt idx="14">
                  <c:v>8640</c:v>
                </c:pt>
                <c:pt idx="15">
                  <c:v>8640</c:v>
                </c:pt>
                <c:pt idx="16">
                  <c:v>8640</c:v>
                </c:pt>
                <c:pt idx="17">
                  <c:v>8640</c:v>
                </c:pt>
                <c:pt idx="18">
                  <c:v>8640</c:v>
                </c:pt>
                <c:pt idx="19">
                  <c:v>8640</c:v>
                </c:pt>
                <c:pt idx="20">
                  <c:v>8640</c:v>
                </c:pt>
                <c:pt idx="21">
                  <c:v>8640</c:v>
                </c:pt>
                <c:pt idx="22">
                  <c:v>8640</c:v>
                </c:pt>
                <c:pt idx="23">
                  <c:v>8640</c:v>
                </c:pt>
                <c:pt idx="24">
                  <c:v>8640</c:v>
                </c:pt>
                <c:pt idx="25">
                  <c:v>8640</c:v>
                </c:pt>
                <c:pt idx="26">
                  <c:v>8640</c:v>
                </c:pt>
                <c:pt idx="27">
                  <c:v>8640</c:v>
                </c:pt>
                <c:pt idx="28">
                  <c:v>8640</c:v>
                </c:pt>
                <c:pt idx="29">
                  <c:v>8640</c:v>
                </c:pt>
                <c:pt idx="30">
                  <c:v>8640</c:v>
                </c:pt>
                <c:pt idx="31">
                  <c:v>8640</c:v>
                </c:pt>
                <c:pt idx="32">
                  <c:v>8640</c:v>
                </c:pt>
                <c:pt idx="33">
                  <c:v>8640</c:v>
                </c:pt>
                <c:pt idx="34">
                  <c:v>8640</c:v>
                </c:pt>
                <c:pt idx="35">
                  <c:v>8640</c:v>
                </c:pt>
                <c:pt idx="36">
                  <c:v>8640</c:v>
                </c:pt>
                <c:pt idx="37">
                  <c:v>8640</c:v>
                </c:pt>
                <c:pt idx="38">
                  <c:v>8640</c:v>
                </c:pt>
                <c:pt idx="39">
                  <c:v>8640</c:v>
                </c:pt>
                <c:pt idx="40">
                  <c:v>8640</c:v>
                </c:pt>
                <c:pt idx="41">
                  <c:v>8640</c:v>
                </c:pt>
                <c:pt idx="42">
                  <c:v>8640</c:v>
                </c:pt>
                <c:pt idx="43">
                  <c:v>8640</c:v>
                </c:pt>
                <c:pt idx="44">
                  <c:v>8640</c:v>
                </c:pt>
                <c:pt idx="45">
                  <c:v>8640</c:v>
                </c:pt>
                <c:pt idx="46">
                  <c:v>8640</c:v>
                </c:pt>
                <c:pt idx="47">
                  <c:v>8640</c:v>
                </c:pt>
                <c:pt idx="48">
                  <c:v>8640</c:v>
                </c:pt>
                <c:pt idx="49">
                  <c:v>8640</c:v>
                </c:pt>
                <c:pt idx="50">
                  <c:v>8640</c:v>
                </c:pt>
              </c:numCache>
            </c:numRef>
          </c:yVal>
          <c:smooth val="0"/>
          <c:extLst>
            <c:ext xmlns:c16="http://schemas.microsoft.com/office/drawing/2014/chart" uri="{C3380CC4-5D6E-409C-BE32-E72D297353CC}">
              <c16:uniqueId val="{00000000-4377-4E30-A8EB-E58B4D663AFD}"/>
            </c:ext>
          </c:extLst>
        </c:ser>
        <c:ser>
          <c:idx val="1"/>
          <c:order val="1"/>
          <c:tx>
            <c:strRef>
              <c:f>Annuitätenzuschuss!$W$458</c:f>
              <c:strCache>
                <c:ptCount val="1"/>
                <c:pt idx="0">
                  <c:v>Eigenmittel f. Baukosten</c:v>
                </c:pt>
              </c:strCache>
            </c:strRef>
          </c:tx>
          <c:marker>
            <c:symbol val="none"/>
          </c:marker>
          <c:xVal>
            <c:numRef>
              <c:f>Annuitätenzuschuss!$M$459:$M$509</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Annuitätenzuschuss!$W$459:$W$509</c:f>
              <c:numCache>
                <c:formatCode>#,##0.00</c:formatCode>
                <c:ptCount val="51"/>
                <c:pt idx="0">
                  <c:v>0</c:v>
                </c:pt>
                <c:pt idx="1">
                  <c:v>7478.8345919999992</c:v>
                </c:pt>
                <c:pt idx="2">
                  <c:v>7478.8345919999992</c:v>
                </c:pt>
                <c:pt idx="3">
                  <c:v>7478.8345919999992</c:v>
                </c:pt>
                <c:pt idx="4">
                  <c:v>7478.8345919999992</c:v>
                </c:pt>
                <c:pt idx="5">
                  <c:v>7478.8345919999992</c:v>
                </c:pt>
                <c:pt idx="6">
                  <c:v>7478.8345919999992</c:v>
                </c:pt>
                <c:pt idx="7">
                  <c:v>7478.8345919999992</c:v>
                </c:pt>
                <c:pt idx="8">
                  <c:v>7478.8345919999992</c:v>
                </c:pt>
                <c:pt idx="9">
                  <c:v>7478.8345919999992</c:v>
                </c:pt>
                <c:pt idx="10">
                  <c:v>7478.8345919999992</c:v>
                </c:pt>
                <c:pt idx="11">
                  <c:v>7478.8345919999992</c:v>
                </c:pt>
                <c:pt idx="12">
                  <c:v>7478.8345919999992</c:v>
                </c:pt>
                <c:pt idx="13">
                  <c:v>7478.8345919999992</c:v>
                </c:pt>
                <c:pt idx="14">
                  <c:v>7478.8345919999992</c:v>
                </c:pt>
                <c:pt idx="15">
                  <c:v>7478.8345919999992</c:v>
                </c:pt>
                <c:pt idx="16">
                  <c:v>7478.8345919999992</c:v>
                </c:pt>
                <c:pt idx="17">
                  <c:v>7478.8345919999992</c:v>
                </c:pt>
                <c:pt idx="18">
                  <c:v>7478.8345919999992</c:v>
                </c:pt>
                <c:pt idx="19">
                  <c:v>7478.8345919999992</c:v>
                </c:pt>
                <c:pt idx="20">
                  <c:v>7478.8345919999992</c:v>
                </c:pt>
                <c:pt idx="21">
                  <c:v>7478.8345919999992</c:v>
                </c:pt>
                <c:pt idx="22">
                  <c:v>7478.8345919999992</c:v>
                </c:pt>
                <c:pt idx="23">
                  <c:v>7478.8345919999992</c:v>
                </c:pt>
                <c:pt idx="24">
                  <c:v>7478.8345919999992</c:v>
                </c:pt>
                <c:pt idx="25">
                  <c:v>7478.8345919999992</c:v>
                </c:pt>
                <c:pt idx="26">
                  <c:v>7478.8345919999992</c:v>
                </c:pt>
                <c:pt idx="27">
                  <c:v>7478.8345919999992</c:v>
                </c:pt>
                <c:pt idx="28">
                  <c:v>7478.8345919999992</c:v>
                </c:pt>
                <c:pt idx="29">
                  <c:v>7478.8345919999992</c:v>
                </c:pt>
                <c:pt idx="30">
                  <c:v>7478.8345919999992</c:v>
                </c:pt>
                <c:pt idx="31">
                  <c:v>7478.8345919999992</c:v>
                </c:pt>
                <c:pt idx="32">
                  <c:v>7478.8345919999992</c:v>
                </c:pt>
                <c:pt idx="33">
                  <c:v>7478.8345919999992</c:v>
                </c:pt>
                <c:pt idx="34">
                  <c:v>7478.8345919999992</c:v>
                </c:pt>
                <c:pt idx="35">
                  <c:v>7478.8345919999992</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4377-4E30-A8EB-E58B4D663AFD}"/>
            </c:ext>
          </c:extLst>
        </c:ser>
        <c:dLbls>
          <c:showLegendKey val="0"/>
          <c:showVal val="0"/>
          <c:showCatName val="0"/>
          <c:showSerName val="0"/>
          <c:showPercent val="0"/>
          <c:showBubbleSize val="0"/>
        </c:dLbls>
        <c:axId val="670474240"/>
        <c:axId val="670475776"/>
      </c:scatterChart>
      <c:valAx>
        <c:axId val="670474240"/>
        <c:scaling>
          <c:orientation val="minMax"/>
        </c:scaling>
        <c:delete val="0"/>
        <c:axPos val="b"/>
        <c:numFmt formatCode="General" sourceLinked="1"/>
        <c:majorTickMark val="out"/>
        <c:minorTickMark val="none"/>
        <c:tickLblPos val="nextTo"/>
        <c:crossAx val="670475776"/>
        <c:crosses val="autoZero"/>
        <c:crossBetween val="midCat"/>
      </c:valAx>
      <c:valAx>
        <c:axId val="670475776"/>
        <c:scaling>
          <c:orientation val="minMax"/>
        </c:scaling>
        <c:delete val="0"/>
        <c:axPos val="l"/>
        <c:majorGridlines/>
        <c:numFmt formatCode="#,##0.00" sourceLinked="1"/>
        <c:majorTickMark val="out"/>
        <c:minorTickMark val="none"/>
        <c:tickLblPos val="nextTo"/>
        <c:crossAx val="67047424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de-AT" sz="1600"/>
              <a:t>Kapitalwertvergleich</a:t>
            </a:r>
          </a:p>
        </c:rich>
      </c:tx>
      <c:layout>
        <c:manualLayout>
          <c:xMode val="edge"/>
          <c:yMode val="edge"/>
          <c:x val="0.36019550342130985"/>
          <c:y val="5.0314465408805029E-3"/>
        </c:manualLayout>
      </c:layout>
      <c:overlay val="0"/>
    </c:title>
    <c:autoTitleDeleted val="0"/>
    <c:plotArea>
      <c:layout>
        <c:manualLayout>
          <c:layoutTarget val="inner"/>
          <c:xMode val="edge"/>
          <c:yMode val="edge"/>
          <c:x val="9.5527485271255652E-2"/>
          <c:y val="0.19952916549858879"/>
          <c:w val="0.87947000157365351"/>
          <c:h val="0.68237613631509419"/>
        </c:manualLayout>
      </c:layout>
      <c:barChart>
        <c:barDir val="col"/>
        <c:grouping val="stacked"/>
        <c:varyColors val="0"/>
        <c:ser>
          <c:idx val="0"/>
          <c:order val="0"/>
          <c:tx>
            <c:strRef>
              <c:f>BERECHNUNG!$J$53</c:f>
              <c:strCache>
                <c:ptCount val="1"/>
                <c:pt idx="0">
                  <c:v>Finanzierungskosten</c:v>
                </c:pt>
              </c:strCache>
            </c:strRef>
          </c:tx>
          <c:invertIfNegative val="0"/>
          <c:cat>
            <c:multiLvlStrRef>
              <c:f>BERECHNUNG!$H$54:$I$68</c:f>
              <c:multiLvlStrCache>
                <c:ptCount val="14"/>
                <c:lvl>
                  <c:pt idx="0">
                    <c:v>Kapitalwert</c:v>
                  </c:pt>
                  <c:pt idx="1">
                    <c:v>Teilergebnisse</c:v>
                  </c:pt>
                  <c:pt idx="3">
                    <c:v>Kapitalwert</c:v>
                  </c:pt>
                  <c:pt idx="4">
                    <c:v>Teilergebnisse</c:v>
                  </c:pt>
                  <c:pt idx="6">
                    <c:v>Kapitalwert</c:v>
                  </c:pt>
                  <c:pt idx="7">
                    <c:v>Teilergebnisse</c:v>
                  </c:pt>
                  <c:pt idx="9">
                    <c:v>Kapitalwert</c:v>
                  </c:pt>
                  <c:pt idx="10">
                    <c:v>Teilergebnisse</c:v>
                  </c:pt>
                  <c:pt idx="12">
                    <c:v>Kapitalwert</c:v>
                  </c:pt>
                  <c:pt idx="13">
                    <c:v>Teilergebnisse</c:v>
                  </c:pt>
                </c:lvl>
                <c:lvl>
                  <c:pt idx="0">
                    <c:v>BTV</c:v>
                  </c:pt>
                  <c:pt idx="3">
                    <c:v>PH</c:v>
                  </c:pt>
                  <c:pt idx="6">
                    <c:v>PHSol</c:v>
                  </c:pt>
                  <c:pt idx="9">
                    <c:v>PHWRGSo</c:v>
                  </c:pt>
                  <c:pt idx="12">
                    <c:v>PHWRGSoPV</c:v>
                  </c:pt>
                </c:lvl>
              </c:multiLvlStrCache>
            </c:multiLvlStrRef>
          </c:cat>
          <c:val>
            <c:numRef>
              <c:f>BERECHNUNG!$J$54:$J$68</c:f>
              <c:numCache>
                <c:formatCode>General</c:formatCode>
                <c:ptCount val="15"/>
                <c:pt idx="0" formatCode="&quot;€&quot;\ #,##0.00">
                  <c:v>3649462.4014117629</c:v>
                </c:pt>
                <c:pt idx="3" formatCode="&quot;€&quot;\ #,##0.00">
                  <c:v>3643185.4023934924</c:v>
                </c:pt>
                <c:pt idx="6" formatCode="&quot;€&quot;\ #,##0.00">
                  <c:v>3678751.3990175691</c:v>
                </c:pt>
                <c:pt idx="9" formatCode="&quot;€&quot;\ #,##0.00">
                  <c:v>3753760.1907152468</c:v>
                </c:pt>
                <c:pt idx="12" formatCode="&quot;€&quot;\ #,##0.00">
                  <c:v>3790937.5801008861</c:v>
                </c:pt>
              </c:numCache>
            </c:numRef>
          </c:val>
          <c:extLst>
            <c:ext xmlns:c16="http://schemas.microsoft.com/office/drawing/2014/chart" uri="{C3380CC4-5D6E-409C-BE32-E72D297353CC}">
              <c16:uniqueId val="{00000000-D2AC-4A67-8DE5-99604A4B1F77}"/>
            </c:ext>
          </c:extLst>
        </c:ser>
        <c:ser>
          <c:idx val="1"/>
          <c:order val="1"/>
          <c:tx>
            <c:strRef>
              <c:f>BERECHNUNG!$K$53</c:f>
              <c:strCache>
                <c:ptCount val="1"/>
                <c:pt idx="0">
                  <c:v>Ersatzinvestition</c:v>
                </c:pt>
              </c:strCache>
            </c:strRef>
          </c:tx>
          <c:invertIfNegative val="0"/>
          <c:cat>
            <c:multiLvlStrRef>
              <c:f>BERECHNUNG!$H$54:$I$68</c:f>
              <c:multiLvlStrCache>
                <c:ptCount val="14"/>
                <c:lvl>
                  <c:pt idx="0">
                    <c:v>Kapitalwert</c:v>
                  </c:pt>
                  <c:pt idx="1">
                    <c:v>Teilergebnisse</c:v>
                  </c:pt>
                  <c:pt idx="3">
                    <c:v>Kapitalwert</c:v>
                  </c:pt>
                  <c:pt idx="4">
                    <c:v>Teilergebnisse</c:v>
                  </c:pt>
                  <c:pt idx="6">
                    <c:v>Kapitalwert</c:v>
                  </c:pt>
                  <c:pt idx="7">
                    <c:v>Teilergebnisse</c:v>
                  </c:pt>
                  <c:pt idx="9">
                    <c:v>Kapitalwert</c:v>
                  </c:pt>
                  <c:pt idx="10">
                    <c:v>Teilergebnisse</c:v>
                  </c:pt>
                  <c:pt idx="12">
                    <c:v>Kapitalwert</c:v>
                  </c:pt>
                  <c:pt idx="13">
                    <c:v>Teilergebnisse</c:v>
                  </c:pt>
                </c:lvl>
                <c:lvl>
                  <c:pt idx="0">
                    <c:v>BTV</c:v>
                  </c:pt>
                  <c:pt idx="3">
                    <c:v>PH</c:v>
                  </c:pt>
                  <c:pt idx="6">
                    <c:v>PHSol</c:v>
                  </c:pt>
                  <c:pt idx="9">
                    <c:v>PHWRGSo</c:v>
                  </c:pt>
                  <c:pt idx="12">
                    <c:v>PHWRGSoPV</c:v>
                  </c:pt>
                </c:lvl>
              </c:multiLvlStrCache>
            </c:multiLvlStrRef>
          </c:cat>
          <c:val>
            <c:numRef>
              <c:f>BERECHNUNG!$K$54:$K$68</c:f>
              <c:numCache>
                <c:formatCode>General</c:formatCode>
                <c:ptCount val="15"/>
                <c:pt idx="0" formatCode="&quot;€&quot;\ #,##0.00">
                  <c:v>162563.98574370297</c:v>
                </c:pt>
                <c:pt idx="3" formatCode="&quot;€&quot;\ #,##0.00">
                  <c:v>160483.18952455575</c:v>
                </c:pt>
                <c:pt idx="6" formatCode="&quot;€&quot;\ #,##0.00">
                  <c:v>190104.15357788268</c:v>
                </c:pt>
                <c:pt idx="9" formatCode="&quot;€&quot;\ #,##0.00">
                  <c:v>194060.34107996113</c:v>
                </c:pt>
                <c:pt idx="12" formatCode="&quot;€&quot;\ #,##0.00">
                  <c:v>219625.87420927419</c:v>
                </c:pt>
              </c:numCache>
            </c:numRef>
          </c:val>
          <c:extLst>
            <c:ext xmlns:c16="http://schemas.microsoft.com/office/drawing/2014/chart" uri="{C3380CC4-5D6E-409C-BE32-E72D297353CC}">
              <c16:uniqueId val="{00000001-D2AC-4A67-8DE5-99604A4B1F77}"/>
            </c:ext>
          </c:extLst>
        </c:ser>
        <c:ser>
          <c:idx val="2"/>
          <c:order val="2"/>
          <c:tx>
            <c:strRef>
              <c:f>BERECHNUNG!$L$53</c:f>
              <c:strCache>
                <c:ptCount val="1"/>
                <c:pt idx="0">
                  <c:v>Instandsetzungskosten</c:v>
                </c:pt>
              </c:strCache>
            </c:strRef>
          </c:tx>
          <c:invertIfNegative val="0"/>
          <c:cat>
            <c:multiLvlStrRef>
              <c:f>BERECHNUNG!$H$54:$I$68</c:f>
              <c:multiLvlStrCache>
                <c:ptCount val="14"/>
                <c:lvl>
                  <c:pt idx="0">
                    <c:v>Kapitalwert</c:v>
                  </c:pt>
                  <c:pt idx="1">
                    <c:v>Teilergebnisse</c:v>
                  </c:pt>
                  <c:pt idx="3">
                    <c:v>Kapitalwert</c:v>
                  </c:pt>
                  <c:pt idx="4">
                    <c:v>Teilergebnisse</c:v>
                  </c:pt>
                  <c:pt idx="6">
                    <c:v>Kapitalwert</c:v>
                  </c:pt>
                  <c:pt idx="7">
                    <c:v>Teilergebnisse</c:v>
                  </c:pt>
                  <c:pt idx="9">
                    <c:v>Kapitalwert</c:v>
                  </c:pt>
                  <c:pt idx="10">
                    <c:v>Teilergebnisse</c:v>
                  </c:pt>
                  <c:pt idx="12">
                    <c:v>Kapitalwert</c:v>
                  </c:pt>
                  <c:pt idx="13">
                    <c:v>Teilergebnisse</c:v>
                  </c:pt>
                </c:lvl>
                <c:lvl>
                  <c:pt idx="0">
                    <c:v>BTV</c:v>
                  </c:pt>
                  <c:pt idx="3">
                    <c:v>PH</c:v>
                  </c:pt>
                  <c:pt idx="6">
                    <c:v>PHSol</c:v>
                  </c:pt>
                  <c:pt idx="9">
                    <c:v>PHWRGSo</c:v>
                  </c:pt>
                  <c:pt idx="12">
                    <c:v>PHWRGSoPV</c:v>
                  </c:pt>
                </c:lvl>
              </c:multiLvlStrCache>
            </c:multiLvlStrRef>
          </c:cat>
          <c:val>
            <c:numRef>
              <c:f>BERECHNUNG!$L$54:$L$68</c:f>
              <c:numCache>
                <c:formatCode>General</c:formatCode>
                <c:ptCount val="15"/>
                <c:pt idx="0" formatCode="&quot;€&quot;\ #,##0.00">
                  <c:v>0</c:v>
                </c:pt>
                <c:pt idx="3" formatCode="&quot;€&quot;\ #,##0.00">
                  <c:v>0</c:v>
                </c:pt>
                <c:pt idx="6" formatCode="&quot;€&quot;\ #,##0.00">
                  <c:v>0</c:v>
                </c:pt>
                <c:pt idx="9" formatCode="&quot;€&quot;\ #,##0.00">
                  <c:v>0</c:v>
                </c:pt>
                <c:pt idx="12" formatCode="&quot;€&quot;\ #,##0.00">
                  <c:v>0</c:v>
                </c:pt>
              </c:numCache>
            </c:numRef>
          </c:val>
          <c:extLst>
            <c:ext xmlns:c16="http://schemas.microsoft.com/office/drawing/2014/chart" uri="{C3380CC4-5D6E-409C-BE32-E72D297353CC}">
              <c16:uniqueId val="{00000002-D2AC-4A67-8DE5-99604A4B1F77}"/>
            </c:ext>
          </c:extLst>
        </c:ser>
        <c:ser>
          <c:idx val="3"/>
          <c:order val="3"/>
          <c:tx>
            <c:strRef>
              <c:f>BERECHNUNG!$M$53</c:f>
              <c:strCache>
                <c:ptCount val="1"/>
                <c:pt idx="0">
                  <c:v>Betriebsgebundenen Zahlungen</c:v>
                </c:pt>
              </c:strCache>
            </c:strRef>
          </c:tx>
          <c:invertIfNegative val="0"/>
          <c:cat>
            <c:multiLvlStrRef>
              <c:f>BERECHNUNG!$H$54:$I$68</c:f>
              <c:multiLvlStrCache>
                <c:ptCount val="14"/>
                <c:lvl>
                  <c:pt idx="0">
                    <c:v>Kapitalwert</c:v>
                  </c:pt>
                  <c:pt idx="1">
                    <c:v>Teilergebnisse</c:v>
                  </c:pt>
                  <c:pt idx="3">
                    <c:v>Kapitalwert</c:v>
                  </c:pt>
                  <c:pt idx="4">
                    <c:v>Teilergebnisse</c:v>
                  </c:pt>
                  <c:pt idx="6">
                    <c:v>Kapitalwert</c:v>
                  </c:pt>
                  <c:pt idx="7">
                    <c:v>Teilergebnisse</c:v>
                  </c:pt>
                  <c:pt idx="9">
                    <c:v>Kapitalwert</c:v>
                  </c:pt>
                  <c:pt idx="10">
                    <c:v>Teilergebnisse</c:v>
                  </c:pt>
                  <c:pt idx="12">
                    <c:v>Kapitalwert</c:v>
                  </c:pt>
                  <c:pt idx="13">
                    <c:v>Teilergebnisse</c:v>
                  </c:pt>
                </c:lvl>
                <c:lvl>
                  <c:pt idx="0">
                    <c:v>BTV</c:v>
                  </c:pt>
                  <c:pt idx="3">
                    <c:v>PH</c:v>
                  </c:pt>
                  <c:pt idx="6">
                    <c:v>PHSol</c:v>
                  </c:pt>
                  <c:pt idx="9">
                    <c:v>PHWRGSo</c:v>
                  </c:pt>
                  <c:pt idx="12">
                    <c:v>PHWRGSoPV</c:v>
                  </c:pt>
                </c:lvl>
              </c:multiLvlStrCache>
            </c:multiLvlStrRef>
          </c:cat>
          <c:val>
            <c:numRef>
              <c:f>BERECHNUNG!$M$54:$M$68</c:f>
              <c:numCache>
                <c:formatCode>General</c:formatCode>
                <c:ptCount val="15"/>
                <c:pt idx="0" formatCode="&quot;€&quot;\ #,##0.00">
                  <c:v>204368.53935014899</c:v>
                </c:pt>
                <c:pt idx="3" formatCode="&quot;€&quot;\ #,##0.00">
                  <c:v>204368.53935014899</c:v>
                </c:pt>
                <c:pt idx="6" formatCode="&quot;€&quot;\ #,##0.00">
                  <c:v>214294.1760945961</c:v>
                </c:pt>
                <c:pt idx="9" formatCode="&quot;€&quot;\ #,##0.00">
                  <c:v>240601.93173764535</c:v>
                </c:pt>
                <c:pt idx="12" formatCode="&quot;€&quot;\ #,##0.00">
                  <c:v>254382.18469352828</c:v>
                </c:pt>
              </c:numCache>
            </c:numRef>
          </c:val>
          <c:extLst>
            <c:ext xmlns:c16="http://schemas.microsoft.com/office/drawing/2014/chart" uri="{C3380CC4-5D6E-409C-BE32-E72D297353CC}">
              <c16:uniqueId val="{00000003-D2AC-4A67-8DE5-99604A4B1F77}"/>
            </c:ext>
          </c:extLst>
        </c:ser>
        <c:ser>
          <c:idx val="4"/>
          <c:order val="4"/>
          <c:tx>
            <c:strRef>
              <c:f>BERECHNUNG!$N$53</c:f>
              <c:strCache>
                <c:ptCount val="1"/>
                <c:pt idx="0">
                  <c:v>Verbrauchsgebundene Zahlungen</c:v>
                </c:pt>
              </c:strCache>
            </c:strRef>
          </c:tx>
          <c:invertIfNegative val="0"/>
          <c:cat>
            <c:multiLvlStrRef>
              <c:f>BERECHNUNG!$H$54:$I$68</c:f>
              <c:multiLvlStrCache>
                <c:ptCount val="14"/>
                <c:lvl>
                  <c:pt idx="0">
                    <c:v>Kapitalwert</c:v>
                  </c:pt>
                  <c:pt idx="1">
                    <c:v>Teilergebnisse</c:v>
                  </c:pt>
                  <c:pt idx="3">
                    <c:v>Kapitalwert</c:v>
                  </c:pt>
                  <c:pt idx="4">
                    <c:v>Teilergebnisse</c:v>
                  </c:pt>
                  <c:pt idx="6">
                    <c:v>Kapitalwert</c:v>
                  </c:pt>
                  <c:pt idx="7">
                    <c:v>Teilergebnisse</c:v>
                  </c:pt>
                  <c:pt idx="9">
                    <c:v>Kapitalwert</c:v>
                  </c:pt>
                  <c:pt idx="10">
                    <c:v>Teilergebnisse</c:v>
                  </c:pt>
                  <c:pt idx="12">
                    <c:v>Kapitalwert</c:v>
                  </c:pt>
                  <c:pt idx="13">
                    <c:v>Teilergebnisse</c:v>
                  </c:pt>
                </c:lvl>
                <c:lvl>
                  <c:pt idx="0">
                    <c:v>BTV</c:v>
                  </c:pt>
                  <c:pt idx="3">
                    <c:v>PH</c:v>
                  </c:pt>
                  <c:pt idx="6">
                    <c:v>PHSol</c:v>
                  </c:pt>
                  <c:pt idx="9">
                    <c:v>PHWRGSo</c:v>
                  </c:pt>
                  <c:pt idx="12">
                    <c:v>PHWRGSoPV</c:v>
                  </c:pt>
                </c:lvl>
              </c:multiLvlStrCache>
            </c:multiLvlStrRef>
          </c:cat>
          <c:val>
            <c:numRef>
              <c:f>BERECHNUNG!$N$54:$N$68</c:f>
              <c:numCache>
                <c:formatCode>General</c:formatCode>
                <c:ptCount val="15"/>
                <c:pt idx="0" formatCode="&quot;€&quot;\ #,##0.00">
                  <c:v>544398.5625023779</c:v>
                </c:pt>
                <c:pt idx="3" formatCode="&quot;€&quot;\ #,##0.00">
                  <c:v>466141.08349033294</c:v>
                </c:pt>
                <c:pt idx="6" formatCode="&quot;€&quot;\ #,##0.00">
                  <c:v>328612.06792090967</c:v>
                </c:pt>
                <c:pt idx="9" formatCode="&quot;€&quot;\ #,##0.00">
                  <c:v>330523.55920145707</c:v>
                </c:pt>
                <c:pt idx="12" formatCode="&quot;€&quot;\ #,##0.00">
                  <c:v>330523.55920145707</c:v>
                </c:pt>
              </c:numCache>
            </c:numRef>
          </c:val>
          <c:extLst>
            <c:ext xmlns:c16="http://schemas.microsoft.com/office/drawing/2014/chart" uri="{C3380CC4-5D6E-409C-BE32-E72D297353CC}">
              <c16:uniqueId val="{00000004-D2AC-4A67-8DE5-99604A4B1F77}"/>
            </c:ext>
          </c:extLst>
        </c:ser>
        <c:ser>
          <c:idx val="5"/>
          <c:order val="5"/>
          <c:tx>
            <c:strRef>
              <c:f>BERECHNUNG!$O$53</c:f>
              <c:strCache>
                <c:ptCount val="1"/>
                <c:pt idx="0">
                  <c:v>Verkaufserlösschmälerung</c:v>
                </c:pt>
              </c:strCache>
            </c:strRef>
          </c:tx>
          <c:spPr>
            <a:solidFill>
              <a:schemeClr val="accent6"/>
            </a:solidFill>
          </c:spPr>
          <c:invertIfNegative val="0"/>
          <c:cat>
            <c:multiLvlStrRef>
              <c:f>BERECHNUNG!$H$54:$I$68</c:f>
              <c:multiLvlStrCache>
                <c:ptCount val="14"/>
                <c:lvl>
                  <c:pt idx="0">
                    <c:v>Kapitalwert</c:v>
                  </c:pt>
                  <c:pt idx="1">
                    <c:v>Teilergebnisse</c:v>
                  </c:pt>
                  <c:pt idx="3">
                    <c:v>Kapitalwert</c:v>
                  </c:pt>
                  <c:pt idx="4">
                    <c:v>Teilergebnisse</c:v>
                  </c:pt>
                  <c:pt idx="6">
                    <c:v>Kapitalwert</c:v>
                  </c:pt>
                  <c:pt idx="7">
                    <c:v>Teilergebnisse</c:v>
                  </c:pt>
                  <c:pt idx="9">
                    <c:v>Kapitalwert</c:v>
                  </c:pt>
                  <c:pt idx="10">
                    <c:v>Teilergebnisse</c:v>
                  </c:pt>
                  <c:pt idx="12">
                    <c:v>Kapitalwert</c:v>
                  </c:pt>
                  <c:pt idx="13">
                    <c:v>Teilergebnisse</c:v>
                  </c:pt>
                </c:lvl>
                <c:lvl>
                  <c:pt idx="0">
                    <c:v>BTV</c:v>
                  </c:pt>
                  <c:pt idx="3">
                    <c:v>PH</c:v>
                  </c:pt>
                  <c:pt idx="6">
                    <c:v>PHSol</c:v>
                  </c:pt>
                  <c:pt idx="9">
                    <c:v>PHWRGSo</c:v>
                  </c:pt>
                  <c:pt idx="12">
                    <c:v>PHWRGSoPV</c:v>
                  </c:pt>
                </c:lvl>
              </c:multiLvlStrCache>
            </c:multiLvlStrRef>
          </c:cat>
          <c:val>
            <c:numRef>
              <c:f>BERECHNUNG!$O$54:$O$68</c:f>
              <c:numCache>
                <c:formatCode>General</c:formatCode>
                <c:ptCount val="15"/>
                <c:pt idx="0" formatCode="&quot;€&quot;\ #,##0.00">
                  <c:v>0</c:v>
                </c:pt>
                <c:pt idx="3" formatCode="&quot;€&quot;\ #,##0.00">
                  <c:v>0</c:v>
                </c:pt>
                <c:pt idx="6" formatCode="&quot;€&quot;\ #,##0.00">
                  <c:v>0</c:v>
                </c:pt>
                <c:pt idx="9" formatCode="&quot;€&quot;\ #,##0.00">
                  <c:v>0</c:v>
                </c:pt>
                <c:pt idx="12" formatCode="&quot;€&quot;\ #,##0.00">
                  <c:v>0</c:v>
                </c:pt>
              </c:numCache>
            </c:numRef>
          </c:val>
          <c:extLst>
            <c:ext xmlns:c16="http://schemas.microsoft.com/office/drawing/2014/chart" uri="{C3380CC4-5D6E-409C-BE32-E72D297353CC}">
              <c16:uniqueId val="{00000005-D2AC-4A67-8DE5-99604A4B1F77}"/>
            </c:ext>
          </c:extLst>
        </c:ser>
        <c:ser>
          <c:idx val="6"/>
          <c:order val="6"/>
          <c:tx>
            <c:strRef>
              <c:f>BERECHNUNG!$P$53</c:f>
              <c:strCache>
                <c:ptCount val="1"/>
                <c:pt idx="0">
                  <c:v>CO2-Folgekosten</c:v>
                </c:pt>
              </c:strCache>
            </c:strRef>
          </c:tx>
          <c:invertIfNegative val="0"/>
          <c:cat>
            <c:multiLvlStrRef>
              <c:f>BERECHNUNG!$H$54:$I$68</c:f>
              <c:multiLvlStrCache>
                <c:ptCount val="14"/>
                <c:lvl>
                  <c:pt idx="0">
                    <c:v>Kapitalwert</c:v>
                  </c:pt>
                  <c:pt idx="1">
                    <c:v>Teilergebnisse</c:v>
                  </c:pt>
                  <c:pt idx="3">
                    <c:v>Kapitalwert</c:v>
                  </c:pt>
                  <c:pt idx="4">
                    <c:v>Teilergebnisse</c:v>
                  </c:pt>
                  <c:pt idx="6">
                    <c:v>Kapitalwert</c:v>
                  </c:pt>
                  <c:pt idx="7">
                    <c:v>Teilergebnisse</c:v>
                  </c:pt>
                  <c:pt idx="9">
                    <c:v>Kapitalwert</c:v>
                  </c:pt>
                  <c:pt idx="10">
                    <c:v>Teilergebnisse</c:v>
                  </c:pt>
                  <c:pt idx="12">
                    <c:v>Kapitalwert</c:v>
                  </c:pt>
                  <c:pt idx="13">
                    <c:v>Teilergebnisse</c:v>
                  </c:pt>
                </c:lvl>
                <c:lvl>
                  <c:pt idx="0">
                    <c:v>BTV</c:v>
                  </c:pt>
                  <c:pt idx="3">
                    <c:v>PH</c:v>
                  </c:pt>
                  <c:pt idx="6">
                    <c:v>PHSol</c:v>
                  </c:pt>
                  <c:pt idx="9">
                    <c:v>PHWRGSo</c:v>
                  </c:pt>
                  <c:pt idx="12">
                    <c:v>PHWRGSoPV</c:v>
                  </c:pt>
                </c:lvl>
              </c:multiLvlStrCache>
            </c:multiLvlStrRef>
          </c:cat>
          <c:val>
            <c:numRef>
              <c:f>BERECHNUNG!$P$54:$P$68</c:f>
              <c:numCache>
                <c:formatCode>General</c:formatCode>
                <c:ptCount val="15"/>
                <c:pt idx="0" formatCode="&quot;€&quot;\ #,##0.00">
                  <c:v>0</c:v>
                </c:pt>
                <c:pt idx="3" formatCode="&quot;€&quot;\ #,##0.00">
                  <c:v>0</c:v>
                </c:pt>
                <c:pt idx="6" formatCode="&quot;€&quot;\ #,##0.00">
                  <c:v>0</c:v>
                </c:pt>
                <c:pt idx="9" formatCode="&quot;€&quot;\ #,##0.00">
                  <c:v>0</c:v>
                </c:pt>
                <c:pt idx="12" formatCode="&quot;€&quot;\ #,##0.00">
                  <c:v>0</c:v>
                </c:pt>
              </c:numCache>
            </c:numRef>
          </c:val>
          <c:extLst>
            <c:ext xmlns:c16="http://schemas.microsoft.com/office/drawing/2014/chart" uri="{C3380CC4-5D6E-409C-BE32-E72D297353CC}">
              <c16:uniqueId val="{00000006-D2AC-4A67-8DE5-99604A4B1F77}"/>
            </c:ext>
          </c:extLst>
        </c:ser>
        <c:ser>
          <c:idx val="7"/>
          <c:order val="7"/>
          <c:tx>
            <c:strRef>
              <c:f>BERECHNUNG!$Q$53</c:f>
              <c:strCache>
                <c:ptCount val="1"/>
                <c:pt idx="0">
                  <c:v>Kapitalwert (gesamt)</c:v>
                </c:pt>
              </c:strCache>
            </c:strRef>
          </c:tx>
          <c:invertIfNegative val="0"/>
          <c:cat>
            <c:multiLvlStrRef>
              <c:f>BERECHNUNG!$H$54:$I$68</c:f>
              <c:multiLvlStrCache>
                <c:ptCount val="14"/>
                <c:lvl>
                  <c:pt idx="0">
                    <c:v>Kapitalwert</c:v>
                  </c:pt>
                  <c:pt idx="1">
                    <c:v>Teilergebnisse</c:v>
                  </c:pt>
                  <c:pt idx="3">
                    <c:v>Kapitalwert</c:v>
                  </c:pt>
                  <c:pt idx="4">
                    <c:v>Teilergebnisse</c:v>
                  </c:pt>
                  <c:pt idx="6">
                    <c:v>Kapitalwert</c:v>
                  </c:pt>
                  <c:pt idx="7">
                    <c:v>Teilergebnisse</c:v>
                  </c:pt>
                  <c:pt idx="9">
                    <c:v>Kapitalwert</c:v>
                  </c:pt>
                  <c:pt idx="10">
                    <c:v>Teilergebnisse</c:v>
                  </c:pt>
                  <c:pt idx="12">
                    <c:v>Kapitalwert</c:v>
                  </c:pt>
                  <c:pt idx="13">
                    <c:v>Teilergebnisse</c:v>
                  </c:pt>
                </c:lvl>
                <c:lvl>
                  <c:pt idx="0">
                    <c:v>BTV</c:v>
                  </c:pt>
                  <c:pt idx="3">
                    <c:v>PH</c:v>
                  </c:pt>
                  <c:pt idx="6">
                    <c:v>PHSol</c:v>
                  </c:pt>
                  <c:pt idx="9">
                    <c:v>PHWRGSo</c:v>
                  </c:pt>
                  <c:pt idx="12">
                    <c:v>PHWRGSoPV</c:v>
                  </c:pt>
                </c:lvl>
              </c:multiLvlStrCache>
            </c:multiLvlStrRef>
          </c:cat>
          <c:val>
            <c:numRef>
              <c:f>BERECHNUNG!$Q$54:$Q$68</c:f>
              <c:numCache>
                <c:formatCode>"€"\ #,##0.00</c:formatCode>
                <c:ptCount val="15"/>
                <c:pt idx="1">
                  <c:v>3717659.681091967</c:v>
                </c:pt>
                <c:pt idx="4">
                  <c:v>3627350.8511196566</c:v>
                </c:pt>
                <c:pt idx="7">
                  <c:v>3548084.4430975108</c:v>
                </c:pt>
                <c:pt idx="10">
                  <c:v>3639541.3891721345</c:v>
                </c:pt>
                <c:pt idx="13">
                  <c:v>3627352.3678982225</c:v>
                </c:pt>
              </c:numCache>
            </c:numRef>
          </c:val>
          <c:extLst>
            <c:ext xmlns:c16="http://schemas.microsoft.com/office/drawing/2014/chart" uri="{C3380CC4-5D6E-409C-BE32-E72D297353CC}">
              <c16:uniqueId val="{00000007-D2AC-4A67-8DE5-99604A4B1F77}"/>
            </c:ext>
          </c:extLst>
        </c:ser>
        <c:ser>
          <c:idx val="8"/>
          <c:order val="8"/>
          <c:tx>
            <c:strRef>
              <c:f>BERECHNUNG!$R$53</c:f>
              <c:strCache>
                <c:ptCount val="1"/>
                <c:pt idx="0">
                  <c:v>Restwert</c:v>
                </c:pt>
              </c:strCache>
            </c:strRef>
          </c:tx>
          <c:invertIfNegative val="0"/>
          <c:cat>
            <c:multiLvlStrRef>
              <c:f>BERECHNUNG!$H$54:$I$68</c:f>
              <c:multiLvlStrCache>
                <c:ptCount val="14"/>
                <c:lvl>
                  <c:pt idx="0">
                    <c:v>Kapitalwert</c:v>
                  </c:pt>
                  <c:pt idx="1">
                    <c:v>Teilergebnisse</c:v>
                  </c:pt>
                  <c:pt idx="3">
                    <c:v>Kapitalwert</c:v>
                  </c:pt>
                  <c:pt idx="4">
                    <c:v>Teilergebnisse</c:v>
                  </c:pt>
                  <c:pt idx="6">
                    <c:v>Kapitalwert</c:v>
                  </c:pt>
                  <c:pt idx="7">
                    <c:v>Teilergebnisse</c:v>
                  </c:pt>
                  <c:pt idx="9">
                    <c:v>Kapitalwert</c:v>
                  </c:pt>
                  <c:pt idx="10">
                    <c:v>Teilergebnisse</c:v>
                  </c:pt>
                  <c:pt idx="12">
                    <c:v>Kapitalwert</c:v>
                  </c:pt>
                  <c:pt idx="13">
                    <c:v>Teilergebnisse</c:v>
                  </c:pt>
                </c:lvl>
                <c:lvl>
                  <c:pt idx="0">
                    <c:v>BTV</c:v>
                  </c:pt>
                  <c:pt idx="3">
                    <c:v>PH</c:v>
                  </c:pt>
                  <c:pt idx="6">
                    <c:v>PHSol</c:v>
                  </c:pt>
                  <c:pt idx="9">
                    <c:v>PHWRGSo</c:v>
                  </c:pt>
                  <c:pt idx="12">
                    <c:v>PHWRGSoPV</c:v>
                  </c:pt>
                </c:lvl>
              </c:multiLvlStrCache>
            </c:multiLvlStrRef>
          </c:cat>
          <c:val>
            <c:numRef>
              <c:f>BERECHNUNG!$R$54:$R$68</c:f>
              <c:numCache>
                <c:formatCode>"€"\ #,##0.00</c:formatCode>
                <c:ptCount val="15"/>
                <c:pt idx="1">
                  <c:v>843133.80791602586</c:v>
                </c:pt>
                <c:pt idx="4">
                  <c:v>846827.36363887391</c:v>
                </c:pt>
                <c:pt idx="7">
                  <c:v>863677.35351344733</c:v>
                </c:pt>
                <c:pt idx="10">
                  <c:v>879404.63356217626</c:v>
                </c:pt>
                <c:pt idx="13">
                  <c:v>897901.31938302296</c:v>
                </c:pt>
              </c:numCache>
            </c:numRef>
          </c:val>
          <c:extLst>
            <c:ext xmlns:c16="http://schemas.microsoft.com/office/drawing/2014/chart" uri="{C3380CC4-5D6E-409C-BE32-E72D297353CC}">
              <c16:uniqueId val="{00000008-D2AC-4A67-8DE5-99604A4B1F77}"/>
            </c:ext>
          </c:extLst>
        </c:ser>
        <c:dLbls>
          <c:showLegendKey val="0"/>
          <c:showVal val="0"/>
          <c:showCatName val="0"/>
          <c:showSerName val="0"/>
          <c:showPercent val="0"/>
          <c:showBubbleSize val="0"/>
        </c:dLbls>
        <c:gapWidth val="0"/>
        <c:overlap val="100"/>
        <c:axId val="648672768"/>
        <c:axId val="648674304"/>
      </c:barChart>
      <c:catAx>
        <c:axId val="648672768"/>
        <c:scaling>
          <c:orientation val="minMax"/>
        </c:scaling>
        <c:delete val="0"/>
        <c:axPos val="b"/>
        <c:numFmt formatCode="General" sourceLinked="0"/>
        <c:majorTickMark val="out"/>
        <c:minorTickMark val="none"/>
        <c:tickLblPos val="high"/>
        <c:txPr>
          <a:bodyPr rot="-5400000" vert="horz"/>
          <a:lstStyle/>
          <a:p>
            <a:pPr>
              <a:defRPr sz="1200"/>
            </a:pPr>
            <a:endParaRPr lang="de-DE"/>
          </a:p>
        </c:txPr>
        <c:crossAx val="648674304"/>
        <c:crosses val="autoZero"/>
        <c:auto val="1"/>
        <c:lblAlgn val="ctr"/>
        <c:lblOffset val="100"/>
        <c:noMultiLvlLbl val="0"/>
      </c:catAx>
      <c:valAx>
        <c:axId val="648674304"/>
        <c:scaling>
          <c:orientation val="minMax"/>
        </c:scaling>
        <c:delete val="0"/>
        <c:axPos val="l"/>
        <c:majorGridlines/>
        <c:title>
          <c:tx>
            <c:rich>
              <a:bodyPr rot="-5400000" vert="horz"/>
              <a:lstStyle/>
              <a:p>
                <a:pPr>
                  <a:defRPr sz="1400"/>
                </a:pPr>
                <a:r>
                  <a:rPr lang="de-AT" sz="1400"/>
                  <a:t>Kapitalwert [€]</a:t>
                </a:r>
              </a:p>
            </c:rich>
          </c:tx>
          <c:overlay val="0"/>
        </c:title>
        <c:numFmt formatCode="#,##0" sourceLinked="0"/>
        <c:majorTickMark val="out"/>
        <c:minorTickMark val="none"/>
        <c:tickLblPos val="nextTo"/>
        <c:txPr>
          <a:bodyPr/>
          <a:lstStyle/>
          <a:p>
            <a:pPr>
              <a:defRPr sz="1200"/>
            </a:pPr>
            <a:endParaRPr lang="de-DE"/>
          </a:p>
        </c:txPr>
        <c:crossAx val="648672768"/>
        <c:crosses val="autoZero"/>
        <c:crossBetween val="between"/>
      </c:valAx>
    </c:plotArea>
    <c:legend>
      <c:legendPos val="b"/>
      <c:overlay val="0"/>
      <c:txPr>
        <a:bodyPr/>
        <a:lstStyle/>
        <a:p>
          <a:pPr>
            <a:defRPr sz="1000"/>
          </a:pPr>
          <a:endParaRPr lang="de-DE"/>
        </a:p>
      </c:txPr>
    </c:legend>
    <c:plotVisOnly val="1"/>
    <c:dispBlanksAs val="gap"/>
    <c:showDLblsOverMax val="0"/>
  </c:chart>
  <c:txPr>
    <a:bodyPr/>
    <a:lstStyle/>
    <a:p>
      <a:pPr>
        <a:defRPr sz="1050"/>
      </a:pPr>
      <a:endParaRPr lang="de-DE"/>
    </a:p>
  </c:txPr>
  <c:printSettings>
    <c:headerFooter/>
    <c:pageMargins b="0.78740157499999996" l="0.7" r="0.7" t="0.78740157499999996"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Annuitätenzuschuss!$BL$458</c:f>
              <c:strCache>
                <c:ptCount val="1"/>
                <c:pt idx="0">
                  <c:v>WBF Darlehen</c:v>
                </c:pt>
              </c:strCache>
            </c:strRef>
          </c:tx>
          <c:marker>
            <c:symbol val="none"/>
          </c:marker>
          <c:xVal>
            <c:numRef>
              <c:f>Annuitätenzuschuss!$BK$459:$BK$509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Annuitätenzuschuss!$BL$459:$BL$509</c:f>
              <c:numCache>
                <c:formatCode>#,##0.00</c:formatCode>
                <c:ptCount val="51"/>
                <c:pt idx="0">
                  <c:v>0</c:v>
                </c:pt>
                <c:pt idx="1">
                  <c:v>-9331.4749999999985</c:v>
                </c:pt>
                <c:pt idx="2">
                  <c:v>-9331.4749999999985</c:v>
                </c:pt>
                <c:pt idx="3">
                  <c:v>-9331.4749999999985</c:v>
                </c:pt>
                <c:pt idx="4">
                  <c:v>-9331.4749999999985</c:v>
                </c:pt>
                <c:pt idx="5">
                  <c:v>-9331.4749999999985</c:v>
                </c:pt>
                <c:pt idx="6">
                  <c:v>-9331.4749999999985</c:v>
                </c:pt>
                <c:pt idx="7">
                  <c:v>-9331.4749999999985</c:v>
                </c:pt>
                <c:pt idx="8">
                  <c:v>-9331.4749999999985</c:v>
                </c:pt>
                <c:pt idx="9">
                  <c:v>-9331.4749999999985</c:v>
                </c:pt>
                <c:pt idx="10">
                  <c:v>-9331.4749999999985</c:v>
                </c:pt>
                <c:pt idx="11">
                  <c:v>-9331.4749999999985</c:v>
                </c:pt>
                <c:pt idx="12">
                  <c:v>-9331.4749999999985</c:v>
                </c:pt>
                <c:pt idx="13">
                  <c:v>-9331.4749999999985</c:v>
                </c:pt>
                <c:pt idx="14">
                  <c:v>-9331.4749999999985</c:v>
                </c:pt>
                <c:pt idx="15">
                  <c:v>-9331.4749999999985</c:v>
                </c:pt>
                <c:pt idx="16">
                  <c:v>-9331.4749999999985</c:v>
                </c:pt>
                <c:pt idx="17">
                  <c:v>-9331.4749999999985</c:v>
                </c:pt>
                <c:pt idx="18">
                  <c:v>-9331.4749999999985</c:v>
                </c:pt>
                <c:pt idx="19">
                  <c:v>-9331.4749999999985</c:v>
                </c:pt>
                <c:pt idx="20">
                  <c:v>-9331.4749999999985</c:v>
                </c:pt>
                <c:pt idx="21">
                  <c:v>-9331.4749999999985</c:v>
                </c:pt>
                <c:pt idx="22">
                  <c:v>-9331.4749999999985</c:v>
                </c:pt>
                <c:pt idx="23">
                  <c:v>-9331.4749999999985</c:v>
                </c:pt>
                <c:pt idx="24">
                  <c:v>-9331.4749999999985</c:v>
                </c:pt>
                <c:pt idx="25">
                  <c:v>-9331.4749999999985</c:v>
                </c:pt>
                <c:pt idx="26">
                  <c:v>-65320.324999999997</c:v>
                </c:pt>
                <c:pt idx="27">
                  <c:v>-65320.324999999997</c:v>
                </c:pt>
                <c:pt idx="28">
                  <c:v>-65320.324999999997</c:v>
                </c:pt>
                <c:pt idx="29">
                  <c:v>-65320.324999999997</c:v>
                </c:pt>
                <c:pt idx="30">
                  <c:v>-65320.324999999997</c:v>
                </c:pt>
                <c:pt idx="31">
                  <c:v>-65320.324999999997</c:v>
                </c:pt>
                <c:pt idx="32">
                  <c:v>-65320.324999999997</c:v>
                </c:pt>
                <c:pt idx="33">
                  <c:v>-65320.324999999997</c:v>
                </c:pt>
                <c:pt idx="34">
                  <c:v>-65320.324999999997</c:v>
                </c:pt>
                <c:pt idx="35">
                  <c:v>-65320.324999999997</c:v>
                </c:pt>
                <c:pt idx="36">
                  <c:v>-68882.903999999995</c:v>
                </c:pt>
                <c:pt idx="37">
                  <c:v>-68882.903999999995</c:v>
                </c:pt>
                <c:pt idx="38">
                  <c:v>-68882.903999999995</c:v>
                </c:pt>
                <c:pt idx="39">
                  <c:v>-68882.903999999995</c:v>
                </c:pt>
                <c:pt idx="40">
                  <c:v>-68882.903999999995</c:v>
                </c:pt>
                <c:pt idx="41">
                  <c:v>-68882.903999999995</c:v>
                </c:pt>
                <c:pt idx="42">
                  <c:v>-68882.903999999995</c:v>
                </c:pt>
                <c:pt idx="43">
                  <c:v>-68882.903999999995</c:v>
                </c:pt>
                <c:pt idx="44">
                  <c:v>-68882.903999999995</c:v>
                </c:pt>
                <c:pt idx="45">
                  <c:v>-68882.903999999995</c:v>
                </c:pt>
                <c:pt idx="46">
                  <c:v>-83983.27499999998</c:v>
                </c:pt>
                <c:pt idx="47">
                  <c:v>-83983.27499999998</c:v>
                </c:pt>
                <c:pt idx="48">
                  <c:v>-83983.27499999998</c:v>
                </c:pt>
                <c:pt idx="49">
                  <c:v>-39026.009999998176</c:v>
                </c:pt>
                <c:pt idx="50">
                  <c:v>0</c:v>
                </c:pt>
              </c:numCache>
            </c:numRef>
          </c:yVal>
          <c:smooth val="0"/>
          <c:extLst>
            <c:ext xmlns:c16="http://schemas.microsoft.com/office/drawing/2014/chart" uri="{C3380CC4-5D6E-409C-BE32-E72D297353CC}">
              <c16:uniqueId val="{00000000-40B9-4D60-9617-450C523F4B48}"/>
            </c:ext>
          </c:extLst>
        </c:ser>
        <c:ser>
          <c:idx val="1"/>
          <c:order val="1"/>
          <c:tx>
            <c:strRef>
              <c:f>Annuitätenzuschuss!$BM$458</c:f>
              <c:strCache>
                <c:ptCount val="1"/>
                <c:pt idx="0">
                  <c:v>Bankdarlehen</c:v>
                </c:pt>
              </c:strCache>
            </c:strRef>
          </c:tx>
          <c:marker>
            <c:symbol val="none"/>
          </c:marker>
          <c:xVal>
            <c:numRef>
              <c:f>Annuitätenzuschuss!$BK$459:$BK$509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Annuitätenzuschuss!$BM$459:$BM$509</c:f>
              <c:numCache>
                <c:formatCode>#,##0.00</c:formatCode>
                <c:ptCount val="51"/>
                <c:pt idx="0">
                  <c:v>0</c:v>
                </c:pt>
                <c:pt idx="1">
                  <c:v>-91761.29207244594</c:v>
                </c:pt>
                <c:pt idx="2">
                  <c:v>-91761.29207244594</c:v>
                </c:pt>
                <c:pt idx="3">
                  <c:v>-91761.29207244594</c:v>
                </c:pt>
                <c:pt idx="4">
                  <c:v>-91761.29207244594</c:v>
                </c:pt>
                <c:pt idx="5">
                  <c:v>-91761.29207244594</c:v>
                </c:pt>
                <c:pt idx="6">
                  <c:v>-91761.29207244594</c:v>
                </c:pt>
                <c:pt idx="7">
                  <c:v>-91761.29207244594</c:v>
                </c:pt>
                <c:pt idx="8">
                  <c:v>-91761.29207244594</c:v>
                </c:pt>
                <c:pt idx="9">
                  <c:v>-91761.29207244594</c:v>
                </c:pt>
                <c:pt idx="10">
                  <c:v>-91761.29207244594</c:v>
                </c:pt>
                <c:pt idx="11">
                  <c:v>-91761.29207244594</c:v>
                </c:pt>
                <c:pt idx="12">
                  <c:v>-91761.29207244594</c:v>
                </c:pt>
                <c:pt idx="13">
                  <c:v>-91761.29207244594</c:v>
                </c:pt>
                <c:pt idx="14">
                  <c:v>-91761.29207244594</c:v>
                </c:pt>
                <c:pt idx="15">
                  <c:v>-91761.29207244594</c:v>
                </c:pt>
                <c:pt idx="16">
                  <c:v>-91761.29207244594</c:v>
                </c:pt>
                <c:pt idx="17">
                  <c:v>-91761.29207244594</c:v>
                </c:pt>
                <c:pt idx="18">
                  <c:v>-91761.29207244594</c:v>
                </c:pt>
                <c:pt idx="19">
                  <c:v>-91761.29207244594</c:v>
                </c:pt>
                <c:pt idx="20">
                  <c:v>-91761.29207244594</c:v>
                </c:pt>
                <c:pt idx="21">
                  <c:v>-91761.29207244594</c:v>
                </c:pt>
                <c:pt idx="22">
                  <c:v>-91761.29207244594</c:v>
                </c:pt>
                <c:pt idx="23">
                  <c:v>-91761.29207244594</c:v>
                </c:pt>
                <c:pt idx="24">
                  <c:v>-91761.29207244594</c:v>
                </c:pt>
                <c:pt idx="25">
                  <c:v>-91761.29207244594</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40B9-4D60-9617-450C523F4B48}"/>
            </c:ext>
          </c:extLst>
        </c:ser>
        <c:ser>
          <c:idx val="2"/>
          <c:order val="2"/>
          <c:tx>
            <c:strRef>
              <c:f>Annuitätenzuschuss!$BN$458</c:f>
              <c:strCache>
                <c:ptCount val="1"/>
                <c:pt idx="0">
                  <c:v>Eigenkapital</c:v>
                </c:pt>
              </c:strCache>
            </c:strRef>
          </c:tx>
          <c:marker>
            <c:symbol val="none"/>
          </c:marker>
          <c:xVal>
            <c:numRef>
              <c:f>Annuitätenzuschuss!$BK$459:$BK$509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Annuitätenzuschuss!$BN$459:$BN$509</c:f>
              <c:numCache>
                <c:formatCode>#,##0.00</c:formatCode>
                <c:ptCount val="51"/>
                <c:pt idx="0">
                  <c:v>0</c:v>
                </c:pt>
                <c:pt idx="1">
                  <c:v>-16118.834591999999</c:v>
                </c:pt>
                <c:pt idx="2">
                  <c:v>-16118.834591999999</c:v>
                </c:pt>
                <c:pt idx="3">
                  <c:v>-16118.834591999999</c:v>
                </c:pt>
                <c:pt idx="4">
                  <c:v>-16118.834591999999</c:v>
                </c:pt>
                <c:pt idx="5">
                  <c:v>-16118.834591999999</c:v>
                </c:pt>
                <c:pt idx="6">
                  <c:v>-16118.834591999999</c:v>
                </c:pt>
                <c:pt idx="7">
                  <c:v>-16118.834591999999</c:v>
                </c:pt>
                <c:pt idx="8">
                  <c:v>-16118.834591999999</c:v>
                </c:pt>
                <c:pt idx="9">
                  <c:v>-16118.834591999999</c:v>
                </c:pt>
                <c:pt idx="10">
                  <c:v>-16118.834591999999</c:v>
                </c:pt>
                <c:pt idx="11">
                  <c:v>-16118.834591999999</c:v>
                </c:pt>
                <c:pt idx="12">
                  <c:v>-16118.834591999999</c:v>
                </c:pt>
                <c:pt idx="13">
                  <c:v>-16118.834591999999</c:v>
                </c:pt>
                <c:pt idx="14">
                  <c:v>-16118.834591999999</c:v>
                </c:pt>
                <c:pt idx="15">
                  <c:v>-16118.834591999999</c:v>
                </c:pt>
                <c:pt idx="16">
                  <c:v>-16118.834591999999</c:v>
                </c:pt>
                <c:pt idx="17">
                  <c:v>-16118.834591999999</c:v>
                </c:pt>
                <c:pt idx="18">
                  <c:v>-16118.834591999999</c:v>
                </c:pt>
                <c:pt idx="19">
                  <c:v>-16118.834591999999</c:v>
                </c:pt>
                <c:pt idx="20">
                  <c:v>-16118.834591999999</c:v>
                </c:pt>
                <c:pt idx="21">
                  <c:v>-16118.834591999999</c:v>
                </c:pt>
                <c:pt idx="22">
                  <c:v>-16118.834591999999</c:v>
                </c:pt>
                <c:pt idx="23">
                  <c:v>-16118.834591999999</c:v>
                </c:pt>
                <c:pt idx="24">
                  <c:v>-16118.834591999999</c:v>
                </c:pt>
                <c:pt idx="25">
                  <c:v>-16118.834591999999</c:v>
                </c:pt>
                <c:pt idx="26">
                  <c:v>-16118.834591999999</c:v>
                </c:pt>
                <c:pt idx="27">
                  <c:v>-16118.834591999999</c:v>
                </c:pt>
                <c:pt idx="28">
                  <c:v>-16118.834591999999</c:v>
                </c:pt>
                <c:pt idx="29">
                  <c:v>-16118.834591999999</c:v>
                </c:pt>
                <c:pt idx="30">
                  <c:v>-16118.834591999999</c:v>
                </c:pt>
                <c:pt idx="31">
                  <c:v>-16118.834591999999</c:v>
                </c:pt>
                <c:pt idx="32">
                  <c:v>-16118.834591999999</c:v>
                </c:pt>
                <c:pt idx="33">
                  <c:v>-16118.834591999999</c:v>
                </c:pt>
                <c:pt idx="34">
                  <c:v>-16118.834591999999</c:v>
                </c:pt>
                <c:pt idx="35">
                  <c:v>-16118.834591999999</c:v>
                </c:pt>
                <c:pt idx="36">
                  <c:v>-8640</c:v>
                </c:pt>
                <c:pt idx="37">
                  <c:v>-8640</c:v>
                </c:pt>
                <c:pt idx="38">
                  <c:v>-8640</c:v>
                </c:pt>
                <c:pt idx="39">
                  <c:v>-8640</c:v>
                </c:pt>
                <c:pt idx="40">
                  <c:v>-8640</c:v>
                </c:pt>
                <c:pt idx="41">
                  <c:v>-8640</c:v>
                </c:pt>
                <c:pt idx="42">
                  <c:v>-8640</c:v>
                </c:pt>
                <c:pt idx="43">
                  <c:v>-8640</c:v>
                </c:pt>
                <c:pt idx="44">
                  <c:v>-8640</c:v>
                </c:pt>
                <c:pt idx="45">
                  <c:v>-8640</c:v>
                </c:pt>
                <c:pt idx="46">
                  <c:v>-8640</c:v>
                </c:pt>
                <c:pt idx="47">
                  <c:v>-8640</c:v>
                </c:pt>
                <c:pt idx="48">
                  <c:v>-8640</c:v>
                </c:pt>
                <c:pt idx="49">
                  <c:v>-8640</c:v>
                </c:pt>
                <c:pt idx="50">
                  <c:v>-8640</c:v>
                </c:pt>
              </c:numCache>
            </c:numRef>
          </c:yVal>
          <c:smooth val="0"/>
          <c:extLst>
            <c:ext xmlns:c16="http://schemas.microsoft.com/office/drawing/2014/chart" uri="{C3380CC4-5D6E-409C-BE32-E72D297353CC}">
              <c16:uniqueId val="{00000002-40B9-4D60-9617-450C523F4B48}"/>
            </c:ext>
          </c:extLst>
        </c:ser>
        <c:ser>
          <c:idx val="3"/>
          <c:order val="3"/>
          <c:tx>
            <c:strRef>
              <c:f>Annuitätenzuschuss!$BO$458</c:f>
              <c:strCache>
                <c:ptCount val="1"/>
                <c:pt idx="0">
                  <c:v>Annuitätenzuschuss</c:v>
                </c:pt>
              </c:strCache>
            </c:strRef>
          </c:tx>
          <c:marker>
            <c:symbol val="none"/>
          </c:marker>
          <c:xVal>
            <c:numRef>
              <c:f>Annuitätenzuschuss!$BK$459:$BK$509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Annuitätenzuschuss!$BO$459:$BO$509</c:f>
              <c:numCache>
                <c:formatCode>#,##0.00</c:formatCode>
                <c:ptCount val="51"/>
                <c:pt idx="0">
                  <c:v>0</c:v>
                </c:pt>
                <c:pt idx="1">
                  <c:v>39688.69766444595</c:v>
                </c:pt>
                <c:pt idx="2">
                  <c:v>39688.69766444595</c:v>
                </c:pt>
                <c:pt idx="3">
                  <c:v>39688.69766444595</c:v>
                </c:pt>
                <c:pt idx="4">
                  <c:v>39688.69766444595</c:v>
                </c:pt>
                <c:pt idx="5">
                  <c:v>39688.69766444595</c:v>
                </c:pt>
                <c:pt idx="6">
                  <c:v>39688.69766444595</c:v>
                </c:pt>
                <c:pt idx="7">
                  <c:v>39688.69766444595</c:v>
                </c:pt>
                <c:pt idx="8">
                  <c:v>39688.69766444595</c:v>
                </c:pt>
                <c:pt idx="9">
                  <c:v>39688.69766444595</c:v>
                </c:pt>
                <c:pt idx="10">
                  <c:v>39688.69766444595</c:v>
                </c:pt>
                <c:pt idx="11">
                  <c:v>39688.69766444595</c:v>
                </c:pt>
                <c:pt idx="12">
                  <c:v>39688.69766444595</c:v>
                </c:pt>
                <c:pt idx="13">
                  <c:v>39688.69766444595</c:v>
                </c:pt>
                <c:pt idx="14">
                  <c:v>39688.69766444595</c:v>
                </c:pt>
                <c:pt idx="15">
                  <c:v>39688.69766444595</c:v>
                </c:pt>
                <c:pt idx="16">
                  <c:v>39688.69766444595</c:v>
                </c:pt>
                <c:pt idx="17">
                  <c:v>39688.69766444595</c:v>
                </c:pt>
                <c:pt idx="18">
                  <c:v>39688.69766444595</c:v>
                </c:pt>
                <c:pt idx="19">
                  <c:v>39688.69766444595</c:v>
                </c:pt>
                <c:pt idx="20">
                  <c:v>39688.69766444595</c:v>
                </c:pt>
                <c:pt idx="21">
                  <c:v>39688.69766444595</c:v>
                </c:pt>
                <c:pt idx="22">
                  <c:v>39688.69766444595</c:v>
                </c:pt>
                <c:pt idx="23">
                  <c:v>39688.69766444595</c:v>
                </c:pt>
                <c:pt idx="24">
                  <c:v>39688.69766444595</c:v>
                </c:pt>
                <c:pt idx="25">
                  <c:v>39688.69766444595</c:v>
                </c:pt>
                <c:pt idx="26">
                  <c:v>0</c:v>
                </c:pt>
                <c:pt idx="27">
                  <c:v>0</c:v>
                </c:pt>
                <c:pt idx="28">
                  <c:v>0</c:v>
                </c:pt>
                <c:pt idx="29">
                  <c:v>0</c:v>
                </c:pt>
                <c:pt idx="30">
                  <c:v>0</c:v>
                </c:pt>
                <c:pt idx="31">
                  <c:v>0</c:v>
                </c:pt>
                <c:pt idx="32">
                  <c:v>0</c:v>
                </c:pt>
                <c:pt idx="33">
                  <c:v>0</c:v>
                </c:pt>
                <c:pt idx="34">
                  <c:v>0</c:v>
                </c:pt>
                <c:pt idx="35">
                  <c:v>-992217.441611149</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40B9-4D60-9617-450C523F4B48}"/>
            </c:ext>
          </c:extLst>
        </c:ser>
        <c:ser>
          <c:idx val="4"/>
          <c:order val="4"/>
          <c:tx>
            <c:strRef>
              <c:f>Annuitätenzuschuss!$BP$56</c:f>
              <c:strCache>
                <c:ptCount val="1"/>
                <c:pt idx="0">
                  <c:v>Entgeltstundung</c:v>
                </c:pt>
              </c:strCache>
            </c:strRef>
          </c:tx>
          <c:marker>
            <c:symbol val="none"/>
          </c:marker>
          <c:xVal>
            <c:numRef>
              <c:f>Annuitätenzuschuss!$BK$57:$BK$107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Annuitätenzuschuss!$BP$57:$BP$107</c:f>
              <c:numCache>
                <c:formatCode>#,##0.00</c:formatCode>
                <c:ptCount val="51"/>
                <c:pt idx="0">
                  <c:v>0</c:v>
                </c:pt>
                <c:pt idx="1">
                  <c:v>130254.64171011459</c:v>
                </c:pt>
                <c:pt idx="2">
                  <c:v>130254.64171011459</c:v>
                </c:pt>
                <c:pt idx="3">
                  <c:v>130254.64171011459</c:v>
                </c:pt>
                <c:pt idx="4">
                  <c:v>130254.64171011459</c:v>
                </c:pt>
                <c:pt idx="5">
                  <c:v>130254.64171011459</c:v>
                </c:pt>
                <c:pt idx="6">
                  <c:v>130254.64171011459</c:v>
                </c:pt>
                <c:pt idx="7">
                  <c:v>130254.64171011459</c:v>
                </c:pt>
                <c:pt idx="8">
                  <c:v>130254.64171011459</c:v>
                </c:pt>
                <c:pt idx="9">
                  <c:v>130254.64171011459</c:v>
                </c:pt>
                <c:pt idx="10">
                  <c:v>130254.64171011459</c:v>
                </c:pt>
                <c:pt idx="11">
                  <c:v>130254.64171011459</c:v>
                </c:pt>
                <c:pt idx="12">
                  <c:v>130254.64171011459</c:v>
                </c:pt>
                <c:pt idx="13">
                  <c:v>130254.64171011459</c:v>
                </c:pt>
                <c:pt idx="14">
                  <c:v>130254.64171011459</c:v>
                </c:pt>
                <c:pt idx="15">
                  <c:v>130254.64171011459</c:v>
                </c:pt>
                <c:pt idx="16">
                  <c:v>130254.64171011459</c:v>
                </c:pt>
                <c:pt idx="17">
                  <c:v>130254.64171011459</c:v>
                </c:pt>
                <c:pt idx="18">
                  <c:v>130254.64171011459</c:v>
                </c:pt>
                <c:pt idx="19">
                  <c:v>130254.64171011459</c:v>
                </c:pt>
                <c:pt idx="20">
                  <c:v>130254.64171011459</c:v>
                </c:pt>
                <c:pt idx="21">
                  <c:v>130254.64171011459</c:v>
                </c:pt>
                <c:pt idx="22">
                  <c:v>130254.64171011459</c:v>
                </c:pt>
                <c:pt idx="23">
                  <c:v>130254.64171011459</c:v>
                </c:pt>
                <c:pt idx="24">
                  <c:v>130254.64171011459</c:v>
                </c:pt>
                <c:pt idx="25">
                  <c:v>130254.64171011459</c:v>
                </c:pt>
                <c:pt idx="26">
                  <c:v>-61740.101231999994</c:v>
                </c:pt>
                <c:pt idx="27">
                  <c:v>-61740.101231999994</c:v>
                </c:pt>
                <c:pt idx="28">
                  <c:v>-61740.101231999994</c:v>
                </c:pt>
                <c:pt idx="29">
                  <c:v>-61740.101231999994</c:v>
                </c:pt>
                <c:pt idx="30">
                  <c:v>-61740.101231999994</c:v>
                </c:pt>
                <c:pt idx="31">
                  <c:v>-61740.101231999994</c:v>
                </c:pt>
                <c:pt idx="32">
                  <c:v>-61740.101231999994</c:v>
                </c:pt>
                <c:pt idx="33">
                  <c:v>-61740.101231999994</c:v>
                </c:pt>
                <c:pt idx="34">
                  <c:v>-61740.101231999994</c:v>
                </c:pt>
                <c:pt idx="35">
                  <c:v>-4471464.0041862056</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40B9-4D60-9617-450C523F4B48}"/>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40B9-4D60-9617-450C523F4B48}"/>
            </c:ext>
          </c:extLst>
        </c:ser>
        <c:ser>
          <c:idx val="6"/>
          <c:order val="6"/>
          <c:tx>
            <c:strRef>
              <c:f>Annuitätenzuschuss!$BR$458</c:f>
              <c:strCache>
                <c:ptCount val="1"/>
                <c:pt idx="0">
                  <c:v>Zeitwert gesamt</c:v>
                </c:pt>
              </c:strCache>
            </c:strRef>
          </c:tx>
          <c:marker>
            <c:symbol val="none"/>
          </c:marker>
          <c:xVal>
            <c:numRef>
              <c:f>Annuitätenzuschuss!$BK$459:$BK$509</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Annuitätenzuschuss!$BR$459:$BR$509</c:f>
              <c:numCache>
                <c:formatCode>#,##0.00</c:formatCode>
                <c:ptCount val="51"/>
                <c:pt idx="0">
                  <c:v>0</c:v>
                </c:pt>
                <c:pt idx="1">
                  <c:v>-77522.903999999995</c:v>
                </c:pt>
                <c:pt idx="2">
                  <c:v>-77522.903999999995</c:v>
                </c:pt>
                <c:pt idx="3">
                  <c:v>-77522.903999999995</c:v>
                </c:pt>
                <c:pt idx="4">
                  <c:v>-77522.903999999995</c:v>
                </c:pt>
                <c:pt idx="5">
                  <c:v>-77522.903999999995</c:v>
                </c:pt>
                <c:pt idx="6">
                  <c:v>-77522.903999999995</c:v>
                </c:pt>
                <c:pt idx="7">
                  <c:v>-77522.903999999995</c:v>
                </c:pt>
                <c:pt idx="8">
                  <c:v>-77522.903999999995</c:v>
                </c:pt>
                <c:pt idx="9">
                  <c:v>-77522.903999999995</c:v>
                </c:pt>
                <c:pt idx="10">
                  <c:v>-77522.903999999995</c:v>
                </c:pt>
                <c:pt idx="11">
                  <c:v>-77522.903999999995</c:v>
                </c:pt>
                <c:pt idx="12">
                  <c:v>-77522.903999999995</c:v>
                </c:pt>
                <c:pt idx="13">
                  <c:v>-77522.903999999995</c:v>
                </c:pt>
                <c:pt idx="14">
                  <c:v>-77522.903999999995</c:v>
                </c:pt>
                <c:pt idx="15">
                  <c:v>-77522.903999999995</c:v>
                </c:pt>
                <c:pt idx="16">
                  <c:v>-77522.903999999995</c:v>
                </c:pt>
                <c:pt idx="17">
                  <c:v>-77522.903999999995</c:v>
                </c:pt>
                <c:pt idx="18">
                  <c:v>-77522.903999999995</c:v>
                </c:pt>
                <c:pt idx="19">
                  <c:v>-77522.903999999995</c:v>
                </c:pt>
                <c:pt idx="20">
                  <c:v>-77522.903999999995</c:v>
                </c:pt>
                <c:pt idx="21">
                  <c:v>-77522.903999999995</c:v>
                </c:pt>
                <c:pt idx="22">
                  <c:v>-77522.903999999995</c:v>
                </c:pt>
                <c:pt idx="23">
                  <c:v>-77522.903999999995</c:v>
                </c:pt>
                <c:pt idx="24">
                  <c:v>-77522.903999999995</c:v>
                </c:pt>
                <c:pt idx="25">
                  <c:v>-77522.903999999995</c:v>
                </c:pt>
                <c:pt idx="26">
                  <c:v>-77522.903999999995</c:v>
                </c:pt>
                <c:pt idx="27">
                  <c:v>-77522.903999999995</c:v>
                </c:pt>
                <c:pt idx="28">
                  <c:v>-77522.903999999995</c:v>
                </c:pt>
                <c:pt idx="29">
                  <c:v>-77522.903999999995</c:v>
                </c:pt>
                <c:pt idx="30">
                  <c:v>-77522.903999999995</c:v>
                </c:pt>
                <c:pt idx="31">
                  <c:v>-77522.903999999995</c:v>
                </c:pt>
                <c:pt idx="32">
                  <c:v>-77522.903999999995</c:v>
                </c:pt>
                <c:pt idx="33">
                  <c:v>-77522.903999999995</c:v>
                </c:pt>
                <c:pt idx="34">
                  <c:v>-77522.903999999995</c:v>
                </c:pt>
                <c:pt idx="35">
                  <c:v>-1112622.2517072121</c:v>
                </c:pt>
                <c:pt idx="36">
                  <c:v>-77522.903999999995</c:v>
                </c:pt>
                <c:pt idx="37">
                  <c:v>-77522.903999999995</c:v>
                </c:pt>
                <c:pt idx="38">
                  <c:v>-77522.903999999995</c:v>
                </c:pt>
                <c:pt idx="39">
                  <c:v>-77522.903999999995</c:v>
                </c:pt>
                <c:pt idx="40">
                  <c:v>-77522.903999999995</c:v>
                </c:pt>
                <c:pt idx="41">
                  <c:v>-77522.903999999995</c:v>
                </c:pt>
                <c:pt idx="42">
                  <c:v>-77522.903999999995</c:v>
                </c:pt>
                <c:pt idx="43">
                  <c:v>-77522.903999999995</c:v>
                </c:pt>
                <c:pt idx="44">
                  <c:v>-77522.903999999995</c:v>
                </c:pt>
                <c:pt idx="45">
                  <c:v>-77522.903999999995</c:v>
                </c:pt>
                <c:pt idx="46">
                  <c:v>-92623.27499999998</c:v>
                </c:pt>
                <c:pt idx="47">
                  <c:v>-92623.27499999998</c:v>
                </c:pt>
                <c:pt idx="48">
                  <c:v>-92623.27499999998</c:v>
                </c:pt>
                <c:pt idx="49">
                  <c:v>-47666.009999998176</c:v>
                </c:pt>
                <c:pt idx="50">
                  <c:v>-8640</c:v>
                </c:pt>
              </c:numCache>
            </c:numRef>
          </c:yVal>
          <c:smooth val="0"/>
          <c:extLst>
            <c:ext xmlns:c16="http://schemas.microsoft.com/office/drawing/2014/chart" uri="{C3380CC4-5D6E-409C-BE32-E72D297353CC}">
              <c16:uniqueId val="{00000006-40B9-4D60-9617-450C523F4B48}"/>
            </c:ext>
          </c:extLst>
        </c:ser>
        <c:dLbls>
          <c:showLegendKey val="0"/>
          <c:showVal val="0"/>
          <c:showCatName val="0"/>
          <c:showSerName val="0"/>
          <c:showPercent val="0"/>
          <c:showBubbleSize val="0"/>
        </c:dLbls>
        <c:axId val="671102848"/>
        <c:axId val="671104384"/>
      </c:scatterChart>
      <c:valAx>
        <c:axId val="671102848"/>
        <c:scaling>
          <c:orientation val="minMax"/>
        </c:scaling>
        <c:delete val="0"/>
        <c:axPos val="b"/>
        <c:numFmt formatCode="General" sourceLinked="1"/>
        <c:majorTickMark val="out"/>
        <c:minorTickMark val="none"/>
        <c:tickLblPos val="nextTo"/>
        <c:crossAx val="671104384"/>
        <c:crosses val="autoZero"/>
        <c:crossBetween val="midCat"/>
      </c:valAx>
      <c:valAx>
        <c:axId val="671104384"/>
        <c:scaling>
          <c:orientation val="minMax"/>
        </c:scaling>
        <c:delete val="0"/>
        <c:axPos val="l"/>
        <c:majorGridlines/>
        <c:numFmt formatCode="#,##0.00" sourceLinked="1"/>
        <c:majorTickMark val="out"/>
        <c:minorTickMark val="none"/>
        <c:tickLblPos val="nextTo"/>
        <c:crossAx val="67110284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strRef>
              <c:f>Annuitätenzuschuss!$AT$593</c:f>
              <c:strCache>
                <c:ptCount val="1"/>
                <c:pt idx="0">
                  <c:v>WBF Darlehen</c:v>
                </c:pt>
              </c:strCache>
            </c:strRef>
          </c:tx>
          <c:xVal>
            <c:numRef>
              <c:f>Annuitätenzuschuss!$AS$594:$AS$644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Annuitätenzuschuss!$AT$594:$AT$644</c:f>
              <c:numCache>
                <c:formatCode>#,##0.00</c:formatCode>
                <c:ptCount val="51"/>
                <c:pt idx="0">
                  <c:v>0</c:v>
                </c:pt>
                <c:pt idx="1">
                  <c:v>-9347.0951456310686</c:v>
                </c:pt>
                <c:pt idx="2">
                  <c:v>-9074.8496559524938</c:v>
                </c:pt>
                <c:pt idx="3">
                  <c:v>-8810.5336465558194</c:v>
                </c:pt>
                <c:pt idx="4">
                  <c:v>-8553.9161617046793</c:v>
                </c:pt>
                <c:pt idx="5">
                  <c:v>-8304.7729725288154</c:v>
                </c:pt>
                <c:pt idx="6">
                  <c:v>-8062.8863810959365</c:v>
                </c:pt>
                <c:pt idx="7">
                  <c:v>-7828.0450301902292</c:v>
                </c:pt>
                <c:pt idx="8">
                  <c:v>-7600.0437186312902</c:v>
                </c:pt>
                <c:pt idx="9">
                  <c:v>-7378.6832219721273</c:v>
                </c:pt>
                <c:pt idx="10">
                  <c:v>-7163.7701184195403</c:v>
                </c:pt>
                <c:pt idx="11">
                  <c:v>-6955.1166198247965</c:v>
                </c:pt>
                <c:pt idx="12">
                  <c:v>-6752.5404075968918</c:v>
                </c:pt>
                <c:pt idx="13">
                  <c:v>-6555.8644733950405</c:v>
                </c:pt>
                <c:pt idx="14">
                  <c:v>-6364.916964461203</c:v>
                </c:pt>
                <c:pt idx="15">
                  <c:v>-6179.5310334574779</c:v>
                </c:pt>
                <c:pt idx="16">
                  <c:v>-5999.5446926771647</c:v>
                </c:pt>
                <c:pt idx="17">
                  <c:v>-5824.8006725021014</c:v>
                </c:pt>
                <c:pt idx="18">
                  <c:v>-5655.1462839826227</c:v>
                </c:pt>
                <c:pt idx="19">
                  <c:v>-5490.433285420022</c:v>
                </c:pt>
                <c:pt idx="20">
                  <c:v>-5330.5177528349732</c:v>
                </c:pt>
                <c:pt idx="21">
                  <c:v>-5175.2599542087119</c:v>
                </c:pt>
                <c:pt idx="22">
                  <c:v>-5024.524227387099</c:v>
                </c:pt>
                <c:pt idx="23">
                  <c:v>-4878.1788615408732</c:v>
                </c:pt>
                <c:pt idx="24">
                  <c:v>-4736.0959820785174</c:v>
                </c:pt>
                <c:pt idx="25">
                  <c:v>-4598.1514389111826</c:v>
                </c:pt>
                <c:pt idx="26">
                  <c:v>-31249.572885804148</c:v>
                </c:pt>
                <c:pt idx="27">
                  <c:v>-30339.391151266165</c:v>
                </c:pt>
                <c:pt idx="28">
                  <c:v>-29455.719564336083</c:v>
                </c:pt>
                <c:pt idx="29">
                  <c:v>-28597.785984792317</c:v>
                </c:pt>
                <c:pt idx="30">
                  <c:v>-27764.840761934287</c:v>
                </c:pt>
                <c:pt idx="31">
                  <c:v>-26956.156079547847</c:v>
                </c:pt>
                <c:pt idx="32">
                  <c:v>-26171.025319949371</c:v>
                </c:pt>
                <c:pt idx="33">
                  <c:v>-25408.762446552788</c:v>
                </c:pt>
                <c:pt idx="34">
                  <c:v>-24668.701404420186</c:v>
                </c:pt>
                <c:pt idx="35">
                  <c:v>-23950.195538272019</c:v>
                </c:pt>
                <c:pt idx="36">
                  <c:v>-23766.835412066946</c:v>
                </c:pt>
                <c:pt idx="37">
                  <c:v>-23074.59748744364</c:v>
                </c:pt>
                <c:pt idx="38">
                  <c:v>-22402.521832469556</c:v>
                </c:pt>
                <c:pt idx="39">
                  <c:v>-21750.021196572379</c:v>
                </c:pt>
                <c:pt idx="40">
                  <c:v>-21116.525433565421</c:v>
                </c:pt>
                <c:pt idx="41">
                  <c:v>-20501.481003461573</c:v>
                </c:pt>
                <c:pt idx="42">
                  <c:v>-19904.350488797641</c:v>
                </c:pt>
                <c:pt idx="43">
                  <c:v>-19324.612125046257</c:v>
                </c:pt>
                <c:pt idx="44">
                  <c:v>-18761.759344705104</c:v>
                </c:pt>
                <c:pt idx="45">
                  <c:v>-18215.300334665149</c:v>
                </c:pt>
                <c:pt idx="46">
                  <c:v>-22245.596788562299</c:v>
                </c:pt>
                <c:pt idx="47">
                  <c:v>-21597.666785011941</c:v>
                </c:pt>
                <c:pt idx="48">
                  <c:v>-20968.608529137808</c:v>
                </c:pt>
                <c:pt idx="49">
                  <c:v>-14594.309560237925</c:v>
                </c:pt>
                <c:pt idx="50">
                  <c:v>0</c:v>
                </c:pt>
              </c:numCache>
            </c:numRef>
          </c:yVal>
          <c:smooth val="1"/>
          <c:extLst>
            <c:ext xmlns:c16="http://schemas.microsoft.com/office/drawing/2014/chart" uri="{C3380CC4-5D6E-409C-BE32-E72D297353CC}">
              <c16:uniqueId val="{00000000-CB1E-44E6-BF7F-EE3B5D87DA1E}"/>
            </c:ext>
          </c:extLst>
        </c:ser>
        <c:dLbls>
          <c:showLegendKey val="0"/>
          <c:showVal val="0"/>
          <c:showCatName val="0"/>
          <c:showSerName val="0"/>
          <c:showPercent val="0"/>
          <c:showBubbleSize val="0"/>
        </c:dLbls>
        <c:axId val="671148672"/>
        <c:axId val="671150464"/>
      </c:scatterChart>
      <c:valAx>
        <c:axId val="671148672"/>
        <c:scaling>
          <c:orientation val="minMax"/>
        </c:scaling>
        <c:delete val="0"/>
        <c:axPos val="b"/>
        <c:numFmt formatCode="General" sourceLinked="1"/>
        <c:majorTickMark val="out"/>
        <c:minorTickMark val="none"/>
        <c:tickLblPos val="nextTo"/>
        <c:crossAx val="671150464"/>
        <c:crosses val="autoZero"/>
        <c:crossBetween val="midCat"/>
      </c:valAx>
      <c:valAx>
        <c:axId val="671150464"/>
        <c:scaling>
          <c:orientation val="minMax"/>
        </c:scaling>
        <c:delete val="0"/>
        <c:axPos val="l"/>
        <c:majorGridlines/>
        <c:numFmt formatCode="#,##0.00" sourceLinked="1"/>
        <c:majorTickMark val="out"/>
        <c:minorTickMark val="none"/>
        <c:tickLblPos val="nextTo"/>
        <c:crossAx val="67114867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262016733998"/>
          <c:y val="3.2027425858017308E-2"/>
          <c:w val="0.75082670437157584"/>
          <c:h val="0.95583484659482887"/>
        </c:manualLayout>
      </c:layout>
      <c:scatterChart>
        <c:scatterStyle val="lineMarker"/>
        <c:varyColors val="0"/>
        <c:ser>
          <c:idx val="0"/>
          <c:order val="0"/>
          <c:tx>
            <c:strRef>
              <c:f>Annuitätenzuschuss!$AT$593</c:f>
              <c:strCache>
                <c:ptCount val="1"/>
                <c:pt idx="0">
                  <c:v>WBF Darlehen</c:v>
                </c:pt>
              </c:strCache>
            </c:strRef>
          </c:tx>
          <c:marker>
            <c:symbol val="none"/>
          </c:marker>
          <c:xVal>
            <c:numRef>
              <c:f>Annuitätenzuschuss!$AS$594:$AS$644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Annuitätenzuschuss!$AT$594:$AT$644</c:f>
              <c:numCache>
                <c:formatCode>#,##0.00</c:formatCode>
                <c:ptCount val="51"/>
                <c:pt idx="0">
                  <c:v>0</c:v>
                </c:pt>
                <c:pt idx="1">
                  <c:v>-9347.0951456310686</c:v>
                </c:pt>
                <c:pt idx="2">
                  <c:v>-9074.8496559524938</c:v>
                </c:pt>
                <c:pt idx="3">
                  <c:v>-8810.5336465558194</c:v>
                </c:pt>
                <c:pt idx="4">
                  <c:v>-8553.9161617046793</c:v>
                </c:pt>
                <c:pt idx="5">
                  <c:v>-8304.7729725288154</c:v>
                </c:pt>
                <c:pt idx="6">
                  <c:v>-8062.8863810959365</c:v>
                </c:pt>
                <c:pt idx="7">
                  <c:v>-7828.0450301902292</c:v>
                </c:pt>
                <c:pt idx="8">
                  <c:v>-7600.0437186312902</c:v>
                </c:pt>
                <c:pt idx="9">
                  <c:v>-7378.6832219721273</c:v>
                </c:pt>
                <c:pt idx="10">
                  <c:v>-7163.7701184195403</c:v>
                </c:pt>
                <c:pt idx="11">
                  <c:v>-6955.1166198247965</c:v>
                </c:pt>
                <c:pt idx="12">
                  <c:v>-6752.5404075968918</c:v>
                </c:pt>
                <c:pt idx="13">
                  <c:v>-6555.8644733950405</c:v>
                </c:pt>
                <c:pt idx="14">
                  <c:v>-6364.916964461203</c:v>
                </c:pt>
                <c:pt idx="15">
                  <c:v>-6179.5310334574779</c:v>
                </c:pt>
                <c:pt idx="16">
                  <c:v>-5999.5446926771647</c:v>
                </c:pt>
                <c:pt idx="17">
                  <c:v>-5824.8006725021014</c:v>
                </c:pt>
                <c:pt idx="18">
                  <c:v>-5655.1462839826227</c:v>
                </c:pt>
                <c:pt idx="19">
                  <c:v>-5490.433285420022</c:v>
                </c:pt>
                <c:pt idx="20">
                  <c:v>-5330.5177528349732</c:v>
                </c:pt>
                <c:pt idx="21">
                  <c:v>-5175.2599542087119</c:v>
                </c:pt>
                <c:pt idx="22">
                  <c:v>-5024.524227387099</c:v>
                </c:pt>
                <c:pt idx="23">
                  <c:v>-4878.1788615408732</c:v>
                </c:pt>
                <c:pt idx="24">
                  <c:v>-4736.0959820785174</c:v>
                </c:pt>
                <c:pt idx="25">
                  <c:v>-4598.1514389111826</c:v>
                </c:pt>
                <c:pt idx="26">
                  <c:v>-31249.572885804148</c:v>
                </c:pt>
                <c:pt idx="27">
                  <c:v>-30339.391151266165</c:v>
                </c:pt>
                <c:pt idx="28">
                  <c:v>-29455.719564336083</c:v>
                </c:pt>
                <c:pt idx="29">
                  <c:v>-28597.785984792317</c:v>
                </c:pt>
                <c:pt idx="30">
                  <c:v>-27764.840761934287</c:v>
                </c:pt>
                <c:pt idx="31">
                  <c:v>-26956.156079547847</c:v>
                </c:pt>
                <c:pt idx="32">
                  <c:v>-26171.025319949371</c:v>
                </c:pt>
                <c:pt idx="33">
                  <c:v>-25408.762446552788</c:v>
                </c:pt>
                <c:pt idx="34">
                  <c:v>-24668.701404420186</c:v>
                </c:pt>
                <c:pt idx="35">
                  <c:v>-23950.195538272019</c:v>
                </c:pt>
                <c:pt idx="36">
                  <c:v>-23766.835412066946</c:v>
                </c:pt>
                <c:pt idx="37">
                  <c:v>-23074.59748744364</c:v>
                </c:pt>
                <c:pt idx="38">
                  <c:v>-22402.521832469556</c:v>
                </c:pt>
                <c:pt idx="39">
                  <c:v>-21750.021196572379</c:v>
                </c:pt>
                <c:pt idx="40">
                  <c:v>-21116.525433565421</c:v>
                </c:pt>
                <c:pt idx="41">
                  <c:v>-20501.481003461573</c:v>
                </c:pt>
                <c:pt idx="42">
                  <c:v>-19904.350488797641</c:v>
                </c:pt>
                <c:pt idx="43">
                  <c:v>-19324.612125046257</c:v>
                </c:pt>
                <c:pt idx="44">
                  <c:v>-18761.759344705104</c:v>
                </c:pt>
                <c:pt idx="45">
                  <c:v>-18215.300334665149</c:v>
                </c:pt>
                <c:pt idx="46">
                  <c:v>-22245.596788562299</c:v>
                </c:pt>
                <c:pt idx="47">
                  <c:v>-21597.666785011941</c:v>
                </c:pt>
                <c:pt idx="48">
                  <c:v>-20968.608529137808</c:v>
                </c:pt>
                <c:pt idx="49">
                  <c:v>-14594.309560237925</c:v>
                </c:pt>
                <c:pt idx="50">
                  <c:v>0</c:v>
                </c:pt>
              </c:numCache>
            </c:numRef>
          </c:yVal>
          <c:smooth val="0"/>
          <c:extLst>
            <c:ext xmlns:c16="http://schemas.microsoft.com/office/drawing/2014/chart" uri="{C3380CC4-5D6E-409C-BE32-E72D297353CC}">
              <c16:uniqueId val="{00000000-FC12-4453-96F0-1D956D230D94}"/>
            </c:ext>
          </c:extLst>
        </c:ser>
        <c:ser>
          <c:idx val="1"/>
          <c:order val="1"/>
          <c:tx>
            <c:strRef>
              <c:f>Annuitätenzuschuss!$AU$593</c:f>
              <c:strCache>
                <c:ptCount val="1"/>
                <c:pt idx="0">
                  <c:v>Bankdarlehen</c:v>
                </c:pt>
              </c:strCache>
            </c:strRef>
          </c:tx>
          <c:marker>
            <c:symbol val="none"/>
          </c:marker>
          <c:xVal>
            <c:numRef>
              <c:f>Annuitätenzuschuss!$AS$594:$AS$644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Annuitätenzuschuss!$AU$594:$AU$644</c:f>
              <c:numCache>
                <c:formatCode>#,##0.00</c:formatCode>
                <c:ptCount val="51"/>
                <c:pt idx="0">
                  <c:v>0</c:v>
                </c:pt>
                <c:pt idx="1">
                  <c:v>-87876.86820267736</c:v>
                </c:pt>
                <c:pt idx="2">
                  <c:v>-85317.347769589673</c:v>
                </c:pt>
                <c:pt idx="3">
                  <c:v>-82832.376475329787</c:v>
                </c:pt>
                <c:pt idx="4">
                  <c:v>-80419.782985757076</c:v>
                </c:pt>
                <c:pt idx="5">
                  <c:v>-78077.459209472887</c:v>
                </c:pt>
                <c:pt idx="6">
                  <c:v>-75803.358455798923</c:v>
                </c:pt>
                <c:pt idx="7">
                  <c:v>-73595.493646406714</c:v>
                </c:pt>
                <c:pt idx="8">
                  <c:v>-71451.935579035649</c:v>
                </c:pt>
                <c:pt idx="9">
                  <c:v>-69370.811241782183</c:v>
                </c:pt>
                <c:pt idx="10">
                  <c:v>-67350.302176487559</c:v>
                </c:pt>
                <c:pt idx="11">
                  <c:v>-65388.642889793744</c:v>
                </c:pt>
                <c:pt idx="12">
                  <c:v>-63484.119310479378</c:v>
                </c:pt>
                <c:pt idx="13">
                  <c:v>-61635.067291727551</c:v>
                </c:pt>
                <c:pt idx="14">
                  <c:v>-59839.871157017027</c:v>
                </c:pt>
                <c:pt idx="15">
                  <c:v>-58096.962288366041</c:v>
                </c:pt>
                <c:pt idx="16">
                  <c:v>-56404.8177556952</c:v>
                </c:pt>
                <c:pt idx="17">
                  <c:v>-54761.958986111844</c:v>
                </c:pt>
                <c:pt idx="18">
                  <c:v>-53166.950471953242</c:v>
                </c:pt>
                <c:pt idx="19">
                  <c:v>-51618.398516459463</c:v>
                </c:pt>
                <c:pt idx="20">
                  <c:v>-50114.950015980066</c:v>
                </c:pt>
                <c:pt idx="21">
                  <c:v>-48655.291277650547</c:v>
                </c:pt>
                <c:pt idx="22">
                  <c:v>-47238.146871505392</c:v>
                </c:pt>
                <c:pt idx="23">
                  <c:v>-45862.278516024649</c:v>
                </c:pt>
                <c:pt idx="24">
                  <c:v>-44526.483996140436</c:v>
                </c:pt>
                <c:pt idx="25">
                  <c:v>-43229.59611275771</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FC12-4453-96F0-1D956D230D94}"/>
            </c:ext>
          </c:extLst>
        </c:ser>
        <c:ser>
          <c:idx val="2"/>
          <c:order val="2"/>
          <c:tx>
            <c:strRef>
              <c:f>Annuitätenzuschuss!$AV$593</c:f>
              <c:strCache>
                <c:ptCount val="1"/>
                <c:pt idx="0">
                  <c:v>Eigenkapital</c:v>
                </c:pt>
              </c:strCache>
            </c:strRef>
          </c:tx>
          <c:marker>
            <c:symbol val="none"/>
          </c:marker>
          <c:xVal>
            <c:numRef>
              <c:f>Annuitätenzuschuss!$AS$594:$AS$644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Annuitätenzuschuss!$AV$594:$AV$644</c:f>
              <c:numCache>
                <c:formatCode>#,##0.00</c:formatCode>
                <c:ptCount val="51"/>
                <c:pt idx="0">
                  <c:v>0</c:v>
                </c:pt>
                <c:pt idx="1">
                  <c:v>-15725.946594174757</c:v>
                </c:pt>
                <c:pt idx="2">
                  <c:v>-15267.909314732773</c:v>
                </c:pt>
                <c:pt idx="3">
                  <c:v>-14823.212926925024</c:v>
                </c:pt>
                <c:pt idx="4">
                  <c:v>-14391.468861092257</c:v>
                </c:pt>
                <c:pt idx="5">
                  <c:v>-13972.299865138113</c:v>
                </c:pt>
                <c:pt idx="6">
                  <c:v>-13565.339674891373</c:v>
                </c:pt>
                <c:pt idx="7">
                  <c:v>-13170.232694069293</c:v>
                </c:pt>
                <c:pt idx="8">
                  <c:v>-12786.633683562421</c:v>
                </c:pt>
                <c:pt idx="9">
                  <c:v>-12414.207459769341</c:v>
                </c:pt>
                <c:pt idx="10">
                  <c:v>-12052.628601717806</c:v>
                </c:pt>
                <c:pt idx="11">
                  <c:v>-11701.581166716316</c:v>
                </c:pt>
                <c:pt idx="12">
                  <c:v>-11360.758414287688</c:v>
                </c:pt>
                <c:pt idx="13">
                  <c:v>-11029.862538143387</c:v>
                </c:pt>
                <c:pt idx="14">
                  <c:v>-10708.604405964452</c:v>
                </c:pt>
                <c:pt idx="15">
                  <c:v>-10396.703306761603</c:v>
                </c:pt>
                <c:pt idx="16">
                  <c:v>-10093.886705593792</c:v>
                </c:pt>
                <c:pt idx="17">
                  <c:v>-9799.8900054308651</c:v>
                </c:pt>
                <c:pt idx="18">
                  <c:v>-9514.456315952295</c:v>
                </c:pt>
                <c:pt idx="19">
                  <c:v>-9237.3362290798996</c:v>
                </c:pt>
                <c:pt idx="20">
                  <c:v>-8968.287601048447</c:v>
                </c:pt>
                <c:pt idx="21">
                  <c:v>-8707.0753408237342</c:v>
                </c:pt>
                <c:pt idx="22">
                  <c:v>-8453.4712046832374</c:v>
                </c:pt>
                <c:pt idx="23">
                  <c:v>-8207.2535967798412</c:v>
                </c:pt>
                <c:pt idx="24">
                  <c:v>-7968.2073755144102</c:v>
                </c:pt>
                <c:pt idx="25">
                  <c:v>-7736.1236655479715</c:v>
                </c:pt>
                <c:pt idx="26">
                  <c:v>-7510.7996752892923</c:v>
                </c:pt>
                <c:pt idx="27">
                  <c:v>-7292.0385196983425</c:v>
                </c:pt>
                <c:pt idx="28">
                  <c:v>-7079.6490482508179</c:v>
                </c:pt>
                <c:pt idx="29">
                  <c:v>-6873.4456779134161</c:v>
                </c:pt>
                <c:pt idx="30">
                  <c:v>-6673.2482309838988</c:v>
                </c:pt>
                <c:pt idx="31">
                  <c:v>-6478.8817776542692</c:v>
                </c:pt>
                <c:pt idx="32">
                  <c:v>-6290.1764831594865</c:v>
                </c:pt>
                <c:pt idx="33">
                  <c:v>-6106.9674593781419</c:v>
                </c:pt>
                <c:pt idx="34">
                  <c:v>-5929.0946207554789</c:v>
                </c:pt>
                <c:pt idx="35">
                  <c:v>-5756.4025444227937</c:v>
                </c:pt>
                <c:pt idx="36">
                  <c:v>-2981.0801524897734</c:v>
                </c:pt>
                <c:pt idx="37">
                  <c:v>-2894.2525752327902</c:v>
                </c:pt>
                <c:pt idx="38">
                  <c:v>-2809.9539565366899</c:v>
                </c:pt>
                <c:pt idx="39">
                  <c:v>-2728.1106374142614</c:v>
                </c:pt>
                <c:pt idx="40">
                  <c:v>-2648.651104285691</c:v>
                </c:pt>
                <c:pt idx="41">
                  <c:v>-2571.5059264909623</c:v>
                </c:pt>
                <c:pt idx="42">
                  <c:v>-2496.6076956222932</c:v>
                </c:pt>
                <c:pt idx="43">
                  <c:v>-2423.8909666235859</c:v>
                </c:pt>
                <c:pt idx="44">
                  <c:v>-2353.2922006054232</c:v>
                </c:pt>
                <c:pt idx="45">
                  <c:v>-2284.7497093256538</c:v>
                </c:pt>
                <c:pt idx="46">
                  <c:v>-2218.2036012870421</c:v>
                </c:pt>
                <c:pt idx="47">
                  <c:v>-2153.5957294048953</c:v>
                </c:pt>
                <c:pt idx="48">
                  <c:v>-2090.8696401989278</c:v>
                </c:pt>
                <c:pt idx="49">
                  <c:v>-2029.9705244649786</c:v>
                </c:pt>
                <c:pt idx="50">
                  <c:v>-1970.8451693834743</c:v>
                </c:pt>
              </c:numCache>
            </c:numRef>
          </c:yVal>
          <c:smooth val="0"/>
          <c:extLst>
            <c:ext xmlns:c16="http://schemas.microsoft.com/office/drawing/2014/chart" uri="{C3380CC4-5D6E-409C-BE32-E72D297353CC}">
              <c16:uniqueId val="{00000002-FC12-4453-96F0-1D956D230D94}"/>
            </c:ext>
          </c:extLst>
        </c:ser>
        <c:ser>
          <c:idx val="3"/>
          <c:order val="3"/>
          <c:tx>
            <c:strRef>
              <c:f>Annuitätenzuschuss!$AW$593</c:f>
              <c:strCache>
                <c:ptCount val="1"/>
                <c:pt idx="0">
                  <c:v>Annuitätenzuschuss</c:v>
                </c:pt>
              </c:strCache>
            </c:strRef>
          </c:tx>
          <c:marker>
            <c:symbol val="none"/>
          </c:marker>
          <c:xVal>
            <c:numRef>
              <c:f>Annuitätenzuschuss!$AS$594:$AS$644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Annuitätenzuschuss!$AW$594:$AW$644</c:f>
              <c:numCache>
                <c:formatCode>#,##0.00</c:formatCode>
                <c:ptCount val="51"/>
                <c:pt idx="0">
                  <c:v>0</c:v>
                </c:pt>
                <c:pt idx="1">
                  <c:v>37684.954602677375</c:v>
                </c:pt>
                <c:pt idx="2">
                  <c:v>36587.334565706187</c:v>
                </c:pt>
                <c:pt idx="3">
                  <c:v>35521.684044374939</c:v>
                </c:pt>
                <c:pt idx="4">
                  <c:v>34487.071887742663</c:v>
                </c:pt>
                <c:pt idx="5">
                  <c:v>33482.594065769576</c:v>
                </c:pt>
                <c:pt idx="6">
                  <c:v>32507.372879387938</c:v>
                </c:pt>
                <c:pt idx="7">
                  <c:v>31560.55619358052</c:v>
                </c:pt>
                <c:pt idx="8">
                  <c:v>30641.316692796623</c:v>
                </c:pt>
                <c:pt idx="9">
                  <c:v>29748.851158054975</c:v>
                </c:pt>
                <c:pt idx="10">
                  <c:v>28882.379765101916</c:v>
                </c:pt>
                <c:pt idx="11">
                  <c:v>28041.145403011571</c:v>
                </c:pt>
                <c:pt idx="12">
                  <c:v>27224.413012632598</c:v>
                </c:pt>
                <c:pt idx="13">
                  <c:v>26431.468944303491</c:v>
                </c:pt>
                <c:pt idx="14">
                  <c:v>25661.620334275231</c:v>
                </c:pt>
                <c:pt idx="15">
                  <c:v>24914.19449929634</c:v>
                </c:pt>
                <c:pt idx="16">
                  <c:v>24188.5383488314</c:v>
                </c:pt>
                <c:pt idx="17">
                  <c:v>23484.01781439942</c:v>
                </c:pt>
                <c:pt idx="18">
                  <c:v>22800.017295533416</c:v>
                </c:pt>
                <c:pt idx="19">
                  <c:v>22135.939121877102</c:v>
                </c:pt>
                <c:pt idx="20">
                  <c:v>21491.203030948647</c:v>
                </c:pt>
                <c:pt idx="21">
                  <c:v>20865.24566111519</c:v>
                </c:pt>
                <c:pt idx="22">
                  <c:v>20257.520059335136</c:v>
                </c:pt>
                <c:pt idx="23">
                  <c:v>19667.495203237995</c:v>
                </c:pt>
                <c:pt idx="24">
                  <c:v>19094.655537124268</c:v>
                </c:pt>
                <c:pt idx="25">
                  <c:v>18538.500521479873</c:v>
                </c:pt>
                <c:pt idx="26">
                  <c:v>0</c:v>
                </c:pt>
                <c:pt idx="27">
                  <c:v>0</c:v>
                </c:pt>
                <c:pt idx="28">
                  <c:v>0</c:v>
                </c:pt>
                <c:pt idx="29">
                  <c:v>0</c:v>
                </c:pt>
                <c:pt idx="30">
                  <c:v>0</c:v>
                </c:pt>
                <c:pt idx="31">
                  <c:v>0</c:v>
                </c:pt>
                <c:pt idx="32">
                  <c:v>0</c:v>
                </c:pt>
                <c:pt idx="33">
                  <c:v>0</c:v>
                </c:pt>
                <c:pt idx="34">
                  <c:v>0</c:v>
                </c:pt>
                <c:pt idx="35">
                  <c:v>-344859.63573357364</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FC12-4453-96F0-1D956D230D94}"/>
            </c:ext>
          </c:extLst>
        </c:ser>
        <c:ser>
          <c:idx val="4"/>
          <c:order val="4"/>
          <c:tx>
            <c:strRef>
              <c:f>Annuitätenzuschuss!$AX$56</c:f>
              <c:strCache>
                <c:ptCount val="1"/>
                <c:pt idx="0">
                  <c:v>Entgeltstundung</c:v>
                </c:pt>
              </c:strCache>
            </c:strRef>
          </c:tx>
          <c:marker>
            <c:symbol val="none"/>
          </c:marker>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Annuitätenzuschuss!$AX$57:$AX$107</c:f>
              <c:numCache>
                <c:formatCode>#,##0.00</c:formatCode>
                <c:ptCount val="51"/>
                <c:pt idx="0">
                  <c:v>0</c:v>
                </c:pt>
                <c:pt idx="1">
                  <c:v>126460.81719428602</c:v>
                </c:pt>
                <c:pt idx="2">
                  <c:v>122777.49242163691</c:v>
                </c:pt>
                <c:pt idx="3">
                  <c:v>119201.44895304555</c:v>
                </c:pt>
                <c:pt idx="4">
                  <c:v>115729.56209033549</c:v>
                </c:pt>
                <c:pt idx="5">
                  <c:v>112358.79814595678</c:v>
                </c:pt>
                <c:pt idx="6">
                  <c:v>109086.21179219105</c:v>
                </c:pt>
                <c:pt idx="7">
                  <c:v>105908.94348756412</c:v>
                </c:pt>
                <c:pt idx="8">
                  <c:v>102824.21697821759</c:v>
                </c:pt>
                <c:pt idx="9">
                  <c:v>99829.336872055923</c:v>
                </c:pt>
                <c:pt idx="10">
                  <c:v>96921.686283549439</c:v>
                </c:pt>
                <c:pt idx="11">
                  <c:v>94098.724547135382</c:v>
                </c:pt>
                <c:pt idx="12">
                  <c:v>91357.984997218824</c:v>
                </c:pt>
                <c:pt idx="13">
                  <c:v>88697.072812833809</c:v>
                </c:pt>
                <c:pt idx="14">
                  <c:v>86113.662925081357</c:v>
                </c:pt>
                <c:pt idx="15">
                  <c:v>83605.497985515874</c:v>
                </c:pt>
                <c:pt idx="16">
                  <c:v>81170.386393704757</c:v>
                </c:pt>
                <c:pt idx="17">
                  <c:v>78806.200382237628</c:v>
                </c:pt>
                <c:pt idx="18">
                  <c:v>76510.874157512255</c:v>
                </c:pt>
                <c:pt idx="19">
                  <c:v>74282.402094672085</c:v>
                </c:pt>
                <c:pt idx="20">
                  <c:v>72118.836985118542</c:v>
                </c:pt>
                <c:pt idx="21">
                  <c:v>70018.288335066551</c:v>
                </c:pt>
                <c:pt idx="22">
                  <c:v>67978.920713656844</c:v>
                </c:pt>
                <c:pt idx="23">
                  <c:v>65998.952149181394</c:v>
                </c:pt>
                <c:pt idx="24">
                  <c:v>64076.652572020779</c:v>
                </c:pt>
                <c:pt idx="25">
                  <c:v>62210.342302932797</c:v>
                </c:pt>
                <c:pt idx="26">
                  <c:v>-28628.559412797913</c:v>
                </c:pt>
                <c:pt idx="27">
                  <c:v>-27794.717876502829</c:v>
                </c:pt>
                <c:pt idx="28">
                  <c:v>-26985.16298689595</c:v>
                </c:pt>
                <c:pt idx="29">
                  <c:v>-26199.187365918402</c:v>
                </c:pt>
                <c:pt idx="30">
                  <c:v>-25436.104238755728</c:v>
                </c:pt>
                <c:pt idx="31">
                  <c:v>-24695.246833743422</c:v>
                </c:pt>
                <c:pt idx="32">
                  <c:v>-23975.967799750899</c:v>
                </c:pt>
                <c:pt idx="33">
                  <c:v>-23277.638640534853</c:v>
                </c:pt>
                <c:pt idx="34">
                  <c:v>-22599.649165567822</c:v>
                </c:pt>
                <c:pt idx="35">
                  <c:v>-1589084.0709855908</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FC12-4453-96F0-1D956D230D94}"/>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FC12-4453-96F0-1D956D230D94}"/>
            </c:ext>
          </c:extLst>
        </c:ser>
        <c:ser>
          <c:idx val="6"/>
          <c:order val="6"/>
          <c:tx>
            <c:strRef>
              <c:f>Annuitätenzuschuss!$AZ$593</c:f>
              <c:strCache>
                <c:ptCount val="1"/>
                <c:pt idx="0">
                  <c:v>Barwert Gesamt</c:v>
                </c:pt>
              </c:strCache>
            </c:strRef>
          </c:tx>
          <c:marker>
            <c:symbol val="none"/>
          </c:marker>
          <c:xVal>
            <c:numRef>
              <c:f>Annuitätenzuschuss!$AS$594:$AS$644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Annuitätenzuschuss!$AZ$594:$AZ$644</c:f>
              <c:numCache>
                <c:formatCode>#,##0.00</c:formatCode>
                <c:ptCount val="51"/>
                <c:pt idx="0">
                  <c:v>0</c:v>
                </c:pt>
                <c:pt idx="1">
                  <c:v>-75264.95533980582</c:v>
                </c:pt>
                <c:pt idx="2">
                  <c:v>-73072.772174568745</c:v>
                </c:pt>
                <c:pt idx="3">
                  <c:v>-70944.439004435699</c:v>
                </c:pt>
                <c:pt idx="4">
                  <c:v>-68878.096120811359</c:v>
                </c:pt>
                <c:pt idx="5">
                  <c:v>-66871.937981370225</c:v>
                </c:pt>
                <c:pt idx="6">
                  <c:v>-64924.211632398292</c:v>
                </c:pt>
                <c:pt idx="7">
                  <c:v>-63033.215177085716</c:v>
                </c:pt>
                <c:pt idx="8">
                  <c:v>-61197.296288432743</c:v>
                </c:pt>
                <c:pt idx="9">
                  <c:v>-59414.850765468676</c:v>
                </c:pt>
                <c:pt idx="10">
                  <c:v>-57684.321131523</c:v>
                </c:pt>
                <c:pt idx="11">
                  <c:v>-56004.19527332329</c:v>
                </c:pt>
                <c:pt idx="12">
                  <c:v>-54373.005119731366</c:v>
                </c:pt>
                <c:pt idx="13">
                  <c:v>-52789.32535896248</c:v>
                </c:pt>
                <c:pt idx="14">
                  <c:v>-51251.772193167446</c:v>
                </c:pt>
                <c:pt idx="15">
                  <c:v>-49759.002129288783</c:v>
                </c:pt>
                <c:pt idx="16">
                  <c:v>-48309.71080513476</c:v>
                </c:pt>
                <c:pt idx="17">
                  <c:v>-46902.631849645397</c:v>
                </c:pt>
                <c:pt idx="18">
                  <c:v>-45536.535776354751</c:v>
                </c:pt>
                <c:pt idx="19">
                  <c:v>-44210.228909082274</c:v>
                </c:pt>
                <c:pt idx="20">
                  <c:v>-42922.552338914844</c:v>
                </c:pt>
                <c:pt idx="21">
                  <c:v>-41672.380911567801</c:v>
                </c:pt>
                <c:pt idx="22">
                  <c:v>-40458.622244240585</c:v>
                </c:pt>
                <c:pt idx="23">
                  <c:v>-39280.215771107367</c:v>
                </c:pt>
                <c:pt idx="24">
                  <c:v>-38136.131816609093</c:v>
                </c:pt>
                <c:pt idx="25">
                  <c:v>-37025.370695736994</c:v>
                </c:pt>
                <c:pt idx="26">
                  <c:v>-35946.961840521348</c:v>
                </c:pt>
                <c:pt idx="27">
                  <c:v>-34899.962951962472</c:v>
                </c:pt>
                <c:pt idx="28">
                  <c:v>-33883.459176662596</c:v>
                </c:pt>
                <c:pt idx="29">
                  <c:v>-32896.56230743941</c:v>
                </c:pt>
                <c:pt idx="30">
                  <c:v>-31938.410007222734</c:v>
                </c:pt>
                <c:pt idx="31">
                  <c:v>-31008.165055556045</c:v>
                </c:pt>
                <c:pt idx="32">
                  <c:v>-30105.014617044711</c:v>
                </c:pt>
                <c:pt idx="33">
                  <c:v>-29228.169531111369</c:v>
                </c:pt>
                <c:pt idx="34">
                  <c:v>-28376.863622438228</c:v>
                </c:pt>
                <c:pt idx="35">
                  <c:v>-396020.2704827878</c:v>
                </c:pt>
                <c:pt idx="36">
                  <c:v>-26747.915564556719</c:v>
                </c:pt>
                <c:pt idx="37">
                  <c:v>-25968.850062676429</c:v>
                </c:pt>
                <c:pt idx="38">
                  <c:v>-25212.475789006246</c:v>
                </c:pt>
                <c:pt idx="39">
                  <c:v>-24478.131833986641</c:v>
                </c:pt>
                <c:pt idx="40">
                  <c:v>-23765.176537851112</c:v>
                </c:pt>
                <c:pt idx="41">
                  <c:v>-23072.986929952534</c:v>
                </c:pt>
                <c:pt idx="42">
                  <c:v>-22400.958184419935</c:v>
                </c:pt>
                <c:pt idx="43">
                  <c:v>-21748.503091669842</c:v>
                </c:pt>
                <c:pt idx="44">
                  <c:v>-21115.051545310525</c:v>
                </c:pt>
                <c:pt idx="45">
                  <c:v>-20500.050043990803</c:v>
                </c:pt>
                <c:pt idx="46">
                  <c:v>-24463.800389849341</c:v>
                </c:pt>
                <c:pt idx="47">
                  <c:v>-23751.262514416838</c:v>
                </c:pt>
                <c:pt idx="48">
                  <c:v>-23059.478169336737</c:v>
                </c:pt>
                <c:pt idx="49">
                  <c:v>-16624.280084702903</c:v>
                </c:pt>
                <c:pt idx="50">
                  <c:v>-1970.8451693834743</c:v>
                </c:pt>
              </c:numCache>
            </c:numRef>
          </c:yVal>
          <c:smooth val="0"/>
          <c:extLst>
            <c:ext xmlns:c16="http://schemas.microsoft.com/office/drawing/2014/chart" uri="{C3380CC4-5D6E-409C-BE32-E72D297353CC}">
              <c16:uniqueId val="{00000006-FC12-4453-96F0-1D956D230D94}"/>
            </c:ext>
          </c:extLst>
        </c:ser>
        <c:dLbls>
          <c:showLegendKey val="0"/>
          <c:showVal val="0"/>
          <c:showCatName val="0"/>
          <c:showSerName val="0"/>
          <c:showPercent val="0"/>
          <c:showBubbleSize val="0"/>
        </c:dLbls>
        <c:axId val="670880512"/>
        <c:axId val="670882048"/>
      </c:scatterChart>
      <c:valAx>
        <c:axId val="670880512"/>
        <c:scaling>
          <c:orientation val="minMax"/>
        </c:scaling>
        <c:delete val="0"/>
        <c:axPos val="b"/>
        <c:numFmt formatCode="General" sourceLinked="1"/>
        <c:majorTickMark val="out"/>
        <c:minorTickMark val="none"/>
        <c:tickLblPos val="nextTo"/>
        <c:crossAx val="670882048"/>
        <c:crosses val="autoZero"/>
        <c:crossBetween val="midCat"/>
      </c:valAx>
      <c:valAx>
        <c:axId val="670882048"/>
        <c:scaling>
          <c:orientation val="minMax"/>
        </c:scaling>
        <c:delete val="0"/>
        <c:axPos val="l"/>
        <c:majorGridlines/>
        <c:numFmt formatCode="#,##0.00" sourceLinked="1"/>
        <c:majorTickMark val="out"/>
        <c:minorTickMark val="none"/>
        <c:tickLblPos val="nextTo"/>
        <c:crossAx val="67088051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Annuitätenzuschuss!$BC$593</c:f>
              <c:strCache>
                <c:ptCount val="1"/>
                <c:pt idx="0">
                  <c:v>WBF Darlehen</c:v>
                </c:pt>
              </c:strCache>
            </c:strRef>
          </c:tx>
          <c:marker>
            <c:symbol val="none"/>
          </c:marker>
          <c:xVal>
            <c:numRef>
              <c:f>Annuitätenzuschuss!$BB$594:$BB$644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Annuitätenzuschuss!$BC$594:$BC$644</c:f>
              <c:numCache>
                <c:formatCode>#,##0.00</c:formatCode>
                <c:ptCount val="51"/>
                <c:pt idx="0" formatCode="General">
                  <c:v>0</c:v>
                </c:pt>
                <c:pt idx="1">
                  <c:v>-9347.0951456310686</c:v>
                </c:pt>
                <c:pt idx="2">
                  <c:v>-18421.944801583562</c:v>
                </c:pt>
                <c:pt idx="3">
                  <c:v>-27232.47844813938</c:v>
                </c:pt>
                <c:pt idx="4">
                  <c:v>-35786.394609844057</c:v>
                </c:pt>
                <c:pt idx="5">
                  <c:v>-44091.167582372873</c:v>
                </c:pt>
                <c:pt idx="6">
                  <c:v>-52154.05396346881</c:v>
                </c:pt>
                <c:pt idx="7">
                  <c:v>-59982.098993659041</c:v>
                </c:pt>
                <c:pt idx="8">
                  <c:v>-67582.142712290326</c:v>
                </c:pt>
                <c:pt idx="9">
                  <c:v>-74960.825934262451</c:v>
                </c:pt>
                <c:pt idx="10">
                  <c:v>-82124.596052681998</c:v>
                </c:pt>
                <c:pt idx="11">
                  <c:v>-89079.712672506794</c:v>
                </c:pt>
                <c:pt idx="12">
                  <c:v>-95832.253080103692</c:v>
                </c:pt>
                <c:pt idx="13">
                  <c:v>-102388.11755349873</c:v>
                </c:pt>
                <c:pt idx="14">
                  <c:v>-108753.03451795992</c:v>
                </c:pt>
                <c:pt idx="15">
                  <c:v>-114932.5655514174</c:v>
                </c:pt>
                <c:pt idx="16">
                  <c:v>-120932.11024409457</c:v>
                </c:pt>
                <c:pt idx="17">
                  <c:v>-126756.91091659667</c:v>
                </c:pt>
                <c:pt idx="18">
                  <c:v>-132412.05720057929</c:v>
                </c:pt>
                <c:pt idx="19">
                  <c:v>-137902.49048599933</c:v>
                </c:pt>
                <c:pt idx="20">
                  <c:v>-143233.0082388343</c:v>
                </c:pt>
                <c:pt idx="21">
                  <c:v>-148408.26819304301</c:v>
                </c:pt>
                <c:pt idx="22">
                  <c:v>-153432.79242043011</c:v>
                </c:pt>
                <c:pt idx="23">
                  <c:v>-158310.97128197097</c:v>
                </c:pt>
                <c:pt idx="24">
                  <c:v>-163047.06726404949</c:v>
                </c:pt>
                <c:pt idx="25">
                  <c:v>-167645.21870296067</c:v>
                </c:pt>
                <c:pt idx="26">
                  <c:v>-198894.79158876481</c:v>
                </c:pt>
                <c:pt idx="27">
                  <c:v>-229234.18274003098</c:v>
                </c:pt>
                <c:pt idx="28">
                  <c:v>-258689.90230436707</c:v>
                </c:pt>
                <c:pt idx="29">
                  <c:v>-287287.68828915939</c:v>
                </c:pt>
                <c:pt idx="30">
                  <c:v>-315052.52905109368</c:v>
                </c:pt>
                <c:pt idx="31">
                  <c:v>-342008.6851306415</c:v>
                </c:pt>
                <c:pt idx="32">
                  <c:v>-368179.71045059088</c:v>
                </c:pt>
                <c:pt idx="33">
                  <c:v>-393588.47289714369</c:v>
                </c:pt>
                <c:pt idx="34">
                  <c:v>-418257.17430156388</c:v>
                </c:pt>
                <c:pt idx="35">
                  <c:v>-442207.36983983591</c:v>
                </c:pt>
                <c:pt idx="36">
                  <c:v>-465974.20525190287</c:v>
                </c:pt>
                <c:pt idx="37">
                  <c:v>-489048.80273934652</c:v>
                </c:pt>
                <c:pt idx="38">
                  <c:v>-511451.32457181608</c:v>
                </c:pt>
                <c:pt idx="39">
                  <c:v>-533201.34576838848</c:v>
                </c:pt>
                <c:pt idx="40">
                  <c:v>-554317.87120195385</c:v>
                </c:pt>
                <c:pt idx="41">
                  <c:v>-574819.35220541537</c:v>
                </c:pt>
                <c:pt idx="42">
                  <c:v>-594723.70269421302</c:v>
                </c:pt>
                <c:pt idx="43">
                  <c:v>-614048.31481925922</c:v>
                </c:pt>
                <c:pt idx="44">
                  <c:v>-632810.07416396437</c:v>
                </c:pt>
                <c:pt idx="45">
                  <c:v>-651025.37449862948</c:v>
                </c:pt>
                <c:pt idx="46">
                  <c:v>-673270.97128719173</c:v>
                </c:pt>
                <c:pt idx="47">
                  <c:v>-694868.63807220361</c:v>
                </c:pt>
                <c:pt idx="48">
                  <c:v>-715837.24660134141</c:v>
                </c:pt>
                <c:pt idx="49">
                  <c:v>-730431.55616157933</c:v>
                </c:pt>
                <c:pt idx="50">
                  <c:v>-730431.55616157933</c:v>
                </c:pt>
              </c:numCache>
            </c:numRef>
          </c:yVal>
          <c:smooth val="0"/>
          <c:extLst>
            <c:ext xmlns:c16="http://schemas.microsoft.com/office/drawing/2014/chart" uri="{C3380CC4-5D6E-409C-BE32-E72D297353CC}">
              <c16:uniqueId val="{00000000-5489-4371-9DB9-C0EB445C1AAE}"/>
            </c:ext>
          </c:extLst>
        </c:ser>
        <c:ser>
          <c:idx val="1"/>
          <c:order val="1"/>
          <c:tx>
            <c:strRef>
              <c:f>Annuitätenzuschuss!$BD$593</c:f>
              <c:strCache>
                <c:ptCount val="1"/>
                <c:pt idx="0">
                  <c:v>Bankdarlehen</c:v>
                </c:pt>
              </c:strCache>
            </c:strRef>
          </c:tx>
          <c:marker>
            <c:symbol val="none"/>
          </c:marker>
          <c:xVal>
            <c:numRef>
              <c:f>Annuitätenzuschuss!$BB$594:$BB$644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Annuitätenzuschuss!$BD$594:$BD$644</c:f>
              <c:numCache>
                <c:formatCode>#,##0.00</c:formatCode>
                <c:ptCount val="51"/>
                <c:pt idx="0" formatCode="General">
                  <c:v>0</c:v>
                </c:pt>
                <c:pt idx="1">
                  <c:v>-87876.86820267736</c:v>
                </c:pt>
                <c:pt idx="2">
                  <c:v>-173194.21597226703</c:v>
                </c:pt>
                <c:pt idx="3">
                  <c:v>-256026.59244759683</c:v>
                </c:pt>
                <c:pt idx="4">
                  <c:v>-336446.37543335394</c:v>
                </c:pt>
                <c:pt idx="5">
                  <c:v>-414523.83464282681</c:v>
                </c:pt>
                <c:pt idx="6">
                  <c:v>-490327.19309862575</c:v>
                </c:pt>
                <c:pt idx="7">
                  <c:v>-563922.68674503244</c:v>
                </c:pt>
                <c:pt idx="8">
                  <c:v>-635374.6223240681</c:v>
                </c:pt>
                <c:pt idx="9">
                  <c:v>-704745.43356585025</c:v>
                </c:pt>
                <c:pt idx="10">
                  <c:v>-772095.73574233777</c:v>
                </c:pt>
                <c:pt idx="11">
                  <c:v>-837484.3786321315</c:v>
                </c:pt>
                <c:pt idx="12">
                  <c:v>-900968.49794261088</c:v>
                </c:pt>
                <c:pt idx="13">
                  <c:v>-962603.5652343384</c:v>
                </c:pt>
                <c:pt idx="14">
                  <c:v>-1022443.4363913555</c:v>
                </c:pt>
                <c:pt idx="15">
                  <c:v>-1080540.3986797214</c:v>
                </c:pt>
                <c:pt idx="16">
                  <c:v>-1136945.2164354166</c:v>
                </c:pt>
                <c:pt idx="17">
                  <c:v>-1191707.1754215285</c:v>
                </c:pt>
                <c:pt idx="18">
                  <c:v>-1244874.1258934818</c:v>
                </c:pt>
                <c:pt idx="19">
                  <c:v>-1296492.5244099412</c:v>
                </c:pt>
                <c:pt idx="20">
                  <c:v>-1346607.4744259212</c:v>
                </c:pt>
                <c:pt idx="21">
                  <c:v>-1395262.7657035717</c:v>
                </c:pt>
                <c:pt idx="22">
                  <c:v>-1442500.912575077</c:v>
                </c:pt>
                <c:pt idx="23">
                  <c:v>-1488363.1910911016</c:v>
                </c:pt>
                <c:pt idx="24">
                  <c:v>-1532889.6750872422</c:v>
                </c:pt>
                <c:pt idx="25">
                  <c:v>-1576119.2711999998</c:v>
                </c:pt>
                <c:pt idx="26">
                  <c:v>-1576119.2711999998</c:v>
                </c:pt>
                <c:pt idx="27">
                  <c:v>-1576119.2711999998</c:v>
                </c:pt>
                <c:pt idx="28">
                  <c:v>-1576119.2711999998</c:v>
                </c:pt>
                <c:pt idx="29">
                  <c:v>-1576119.2711999998</c:v>
                </c:pt>
                <c:pt idx="30">
                  <c:v>-1576119.2711999998</c:v>
                </c:pt>
                <c:pt idx="31">
                  <c:v>-1576119.2711999998</c:v>
                </c:pt>
                <c:pt idx="32">
                  <c:v>-1576119.2711999998</c:v>
                </c:pt>
                <c:pt idx="33">
                  <c:v>-1576119.2711999998</c:v>
                </c:pt>
                <c:pt idx="34">
                  <c:v>-1576119.2711999998</c:v>
                </c:pt>
                <c:pt idx="35">
                  <c:v>-1576119.2711999998</c:v>
                </c:pt>
                <c:pt idx="36">
                  <c:v>-1576119.2711999998</c:v>
                </c:pt>
                <c:pt idx="37">
                  <c:v>-1576119.2711999998</c:v>
                </c:pt>
                <c:pt idx="38">
                  <c:v>-1576119.2711999998</c:v>
                </c:pt>
                <c:pt idx="39">
                  <c:v>-1576119.2711999998</c:v>
                </c:pt>
                <c:pt idx="40">
                  <c:v>-1576119.2711999998</c:v>
                </c:pt>
                <c:pt idx="41">
                  <c:v>-1576119.2711999998</c:v>
                </c:pt>
                <c:pt idx="42">
                  <c:v>-1576119.2711999998</c:v>
                </c:pt>
                <c:pt idx="43">
                  <c:v>-1576119.2711999998</c:v>
                </c:pt>
                <c:pt idx="44">
                  <c:v>-1576119.2711999998</c:v>
                </c:pt>
                <c:pt idx="45">
                  <c:v>-1576119.2711999998</c:v>
                </c:pt>
                <c:pt idx="46">
                  <c:v>-1576119.2711999998</c:v>
                </c:pt>
                <c:pt idx="47">
                  <c:v>-1576119.2711999998</c:v>
                </c:pt>
                <c:pt idx="48">
                  <c:v>-1576119.2711999998</c:v>
                </c:pt>
                <c:pt idx="49">
                  <c:v>-1576119.2711999998</c:v>
                </c:pt>
                <c:pt idx="50">
                  <c:v>-1576119.2711999998</c:v>
                </c:pt>
              </c:numCache>
            </c:numRef>
          </c:yVal>
          <c:smooth val="0"/>
          <c:extLst>
            <c:ext xmlns:c16="http://schemas.microsoft.com/office/drawing/2014/chart" uri="{C3380CC4-5D6E-409C-BE32-E72D297353CC}">
              <c16:uniqueId val="{00000001-5489-4371-9DB9-C0EB445C1AAE}"/>
            </c:ext>
          </c:extLst>
        </c:ser>
        <c:ser>
          <c:idx val="2"/>
          <c:order val="2"/>
          <c:tx>
            <c:strRef>
              <c:f>Annuitätenzuschuss!$BE$593</c:f>
              <c:strCache>
                <c:ptCount val="1"/>
                <c:pt idx="0">
                  <c:v>Eigenkapital</c:v>
                </c:pt>
              </c:strCache>
            </c:strRef>
          </c:tx>
          <c:marker>
            <c:symbol val="none"/>
          </c:marker>
          <c:xVal>
            <c:numRef>
              <c:f>Annuitätenzuschuss!$BB$594:$BB$644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Annuitätenzuschuss!$BE$594:$BE$644</c:f>
              <c:numCache>
                <c:formatCode>#,##0.00</c:formatCode>
                <c:ptCount val="51"/>
                <c:pt idx="0" formatCode="General">
                  <c:v>0</c:v>
                </c:pt>
                <c:pt idx="1">
                  <c:v>-15725.946594174757</c:v>
                </c:pt>
                <c:pt idx="2">
                  <c:v>-30993.855908907528</c:v>
                </c:pt>
                <c:pt idx="3">
                  <c:v>-45817.06883583255</c:v>
                </c:pt>
                <c:pt idx="4">
                  <c:v>-60208.537696924803</c:v>
                </c:pt>
                <c:pt idx="5">
                  <c:v>-74180.837562062923</c:v>
                </c:pt>
                <c:pt idx="6">
                  <c:v>-87746.177236954303</c:v>
                </c:pt>
                <c:pt idx="7">
                  <c:v>-100916.40993102359</c:v>
                </c:pt>
                <c:pt idx="8">
                  <c:v>-113703.04361458601</c:v>
                </c:pt>
                <c:pt idx="9">
                  <c:v>-126117.25107435536</c:v>
                </c:pt>
                <c:pt idx="10">
                  <c:v>-138169.87967607315</c:v>
                </c:pt>
                <c:pt idx="11">
                  <c:v>-149871.46084278947</c:v>
                </c:pt>
                <c:pt idx="12">
                  <c:v>-161232.21925707714</c:v>
                </c:pt>
                <c:pt idx="13">
                  <c:v>-172262.08179522053</c:v>
                </c:pt>
                <c:pt idx="14">
                  <c:v>-182970.68620118499</c:v>
                </c:pt>
                <c:pt idx="15">
                  <c:v>-193367.38950794659</c:v>
                </c:pt>
                <c:pt idx="16">
                  <c:v>-203461.27621354038</c:v>
                </c:pt>
                <c:pt idx="17">
                  <c:v>-213261.16621897125</c:v>
                </c:pt>
                <c:pt idx="18">
                  <c:v>-222775.62253492355</c:v>
                </c:pt>
                <c:pt idx="19">
                  <c:v>-232012.95876400344</c:v>
                </c:pt>
                <c:pt idx="20">
                  <c:v>-240981.24636505189</c:v>
                </c:pt>
                <c:pt idx="21">
                  <c:v>-249688.32170587563</c:v>
                </c:pt>
                <c:pt idx="22">
                  <c:v>-258141.79291055887</c:v>
                </c:pt>
                <c:pt idx="23">
                  <c:v>-266349.0465073387</c:v>
                </c:pt>
                <c:pt idx="24">
                  <c:v>-274317.25388285314</c:v>
                </c:pt>
                <c:pt idx="25">
                  <c:v>-282053.37754840113</c:v>
                </c:pt>
                <c:pt idx="26">
                  <c:v>-289564.17722369044</c:v>
                </c:pt>
                <c:pt idx="27">
                  <c:v>-296856.21574338881</c:v>
                </c:pt>
                <c:pt idx="28">
                  <c:v>-303935.86479163961</c:v>
                </c:pt>
                <c:pt idx="29">
                  <c:v>-310809.31046955305</c:v>
                </c:pt>
                <c:pt idx="30">
                  <c:v>-317482.55870053696</c:v>
                </c:pt>
                <c:pt idx="31">
                  <c:v>-323961.44047819125</c:v>
                </c:pt>
                <c:pt idx="32">
                  <c:v>-330251.61696135072</c:v>
                </c:pt>
                <c:pt idx="33">
                  <c:v>-336358.58442072885</c:v>
                </c:pt>
                <c:pt idx="34">
                  <c:v>-342287.67904148431</c:v>
                </c:pt>
                <c:pt idx="35">
                  <c:v>-348044.08158590709</c:v>
                </c:pt>
                <c:pt idx="36">
                  <c:v>-351025.16173839686</c:v>
                </c:pt>
                <c:pt idx="37">
                  <c:v>-353919.41431362962</c:v>
                </c:pt>
                <c:pt idx="38">
                  <c:v>-356729.36827016633</c:v>
                </c:pt>
                <c:pt idx="39">
                  <c:v>-359457.4789075806</c:v>
                </c:pt>
                <c:pt idx="40">
                  <c:v>-362106.13001186628</c:v>
                </c:pt>
                <c:pt idx="41">
                  <c:v>-364677.63593835721</c:v>
                </c:pt>
                <c:pt idx="42">
                  <c:v>-367174.24363397952</c:v>
                </c:pt>
                <c:pt idx="43">
                  <c:v>-369598.13460060314</c:v>
                </c:pt>
                <c:pt idx="44">
                  <c:v>-371951.42680120858</c:v>
                </c:pt>
                <c:pt idx="45">
                  <c:v>-374236.17651053425</c:v>
                </c:pt>
                <c:pt idx="46">
                  <c:v>-376454.38011182129</c:v>
                </c:pt>
                <c:pt idx="47">
                  <c:v>-378607.97584122617</c:v>
                </c:pt>
                <c:pt idx="48">
                  <c:v>-380698.84548142512</c:v>
                </c:pt>
                <c:pt idx="49">
                  <c:v>-382728.81600589008</c:v>
                </c:pt>
                <c:pt idx="50">
                  <c:v>-384699.66117527353</c:v>
                </c:pt>
              </c:numCache>
            </c:numRef>
          </c:yVal>
          <c:smooth val="0"/>
          <c:extLst>
            <c:ext xmlns:c16="http://schemas.microsoft.com/office/drawing/2014/chart" uri="{C3380CC4-5D6E-409C-BE32-E72D297353CC}">
              <c16:uniqueId val="{00000002-5489-4371-9DB9-C0EB445C1AAE}"/>
            </c:ext>
          </c:extLst>
        </c:ser>
        <c:ser>
          <c:idx val="3"/>
          <c:order val="3"/>
          <c:tx>
            <c:strRef>
              <c:f>Annuitätenzuschuss!$BF$593</c:f>
              <c:strCache>
                <c:ptCount val="1"/>
                <c:pt idx="0">
                  <c:v>Annuitätenzuschuss</c:v>
                </c:pt>
              </c:strCache>
            </c:strRef>
          </c:tx>
          <c:marker>
            <c:symbol val="none"/>
          </c:marker>
          <c:xVal>
            <c:numRef>
              <c:f>Annuitätenzuschuss!$BB$594:$BB$644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Annuitätenzuschuss!$BF$594:$BF$644</c:f>
              <c:numCache>
                <c:formatCode>#,##0.00</c:formatCode>
                <c:ptCount val="51"/>
                <c:pt idx="0" formatCode="General">
                  <c:v>0</c:v>
                </c:pt>
                <c:pt idx="1">
                  <c:v>37684.954602677375</c:v>
                </c:pt>
                <c:pt idx="2">
                  <c:v>74272.289168383562</c:v>
                </c:pt>
                <c:pt idx="3">
                  <c:v>109793.9732127585</c:v>
                </c:pt>
                <c:pt idx="4">
                  <c:v>144281.04510050116</c:v>
                </c:pt>
                <c:pt idx="5">
                  <c:v>177763.63916627073</c:v>
                </c:pt>
                <c:pt idx="6">
                  <c:v>210271.01204565866</c:v>
                </c:pt>
                <c:pt idx="7">
                  <c:v>241831.56823923919</c:v>
                </c:pt>
                <c:pt idx="8">
                  <c:v>272472.88493203581</c:v>
                </c:pt>
                <c:pt idx="9">
                  <c:v>302221.73609009077</c:v>
                </c:pt>
                <c:pt idx="10">
                  <c:v>331104.11585519271</c:v>
                </c:pt>
                <c:pt idx="11">
                  <c:v>359145.26125820429</c:v>
                </c:pt>
                <c:pt idx="12">
                  <c:v>386369.67427083687</c:v>
                </c:pt>
                <c:pt idx="13">
                  <c:v>412801.14321514039</c:v>
                </c:pt>
                <c:pt idx="14">
                  <c:v>438462.76354941563</c:v>
                </c:pt>
                <c:pt idx="15">
                  <c:v>463376.958048712</c:v>
                </c:pt>
                <c:pt idx="16">
                  <c:v>487565.49639754341</c:v>
                </c:pt>
                <c:pt idx="17">
                  <c:v>511049.51421194285</c:v>
                </c:pt>
                <c:pt idx="18">
                  <c:v>533849.53150747623</c:v>
                </c:pt>
                <c:pt idx="19">
                  <c:v>555985.47062935331</c:v>
                </c:pt>
                <c:pt idx="20">
                  <c:v>577476.67366030195</c:v>
                </c:pt>
                <c:pt idx="21">
                  <c:v>598341.91932141711</c:v>
                </c:pt>
                <c:pt idx="22">
                  <c:v>618599.43938075227</c:v>
                </c:pt>
                <c:pt idx="23">
                  <c:v>638266.93458399025</c:v>
                </c:pt>
                <c:pt idx="24">
                  <c:v>657361.59012111451</c:v>
                </c:pt>
                <c:pt idx="25">
                  <c:v>675900.09064259438</c:v>
                </c:pt>
                <c:pt idx="26">
                  <c:v>675900.09064259438</c:v>
                </c:pt>
                <c:pt idx="27">
                  <c:v>675900.09064259438</c:v>
                </c:pt>
                <c:pt idx="28">
                  <c:v>675900.09064259438</c:v>
                </c:pt>
                <c:pt idx="29">
                  <c:v>675900.09064259438</c:v>
                </c:pt>
                <c:pt idx="30">
                  <c:v>675900.09064259438</c:v>
                </c:pt>
                <c:pt idx="31">
                  <c:v>675900.09064259438</c:v>
                </c:pt>
                <c:pt idx="32">
                  <c:v>675900.09064259438</c:v>
                </c:pt>
                <c:pt idx="33">
                  <c:v>675900.09064259438</c:v>
                </c:pt>
                <c:pt idx="34">
                  <c:v>675900.09064259438</c:v>
                </c:pt>
                <c:pt idx="35">
                  <c:v>331040.45490902074</c:v>
                </c:pt>
                <c:pt idx="36">
                  <c:v>331040.45490902074</c:v>
                </c:pt>
                <c:pt idx="37">
                  <c:v>331040.45490902074</c:v>
                </c:pt>
                <c:pt idx="38">
                  <c:v>331040.45490902074</c:v>
                </c:pt>
                <c:pt idx="39">
                  <c:v>331040.45490902074</c:v>
                </c:pt>
                <c:pt idx="40">
                  <c:v>331040.45490902074</c:v>
                </c:pt>
                <c:pt idx="41">
                  <c:v>331040.45490902074</c:v>
                </c:pt>
                <c:pt idx="42">
                  <c:v>331040.45490902074</c:v>
                </c:pt>
                <c:pt idx="43">
                  <c:v>331040.45490902074</c:v>
                </c:pt>
                <c:pt idx="44">
                  <c:v>331040.45490902074</c:v>
                </c:pt>
                <c:pt idx="45">
                  <c:v>331040.45490902074</c:v>
                </c:pt>
                <c:pt idx="46">
                  <c:v>331040.45490902074</c:v>
                </c:pt>
                <c:pt idx="47">
                  <c:v>331040.45490902074</c:v>
                </c:pt>
                <c:pt idx="48">
                  <c:v>331040.45490902074</c:v>
                </c:pt>
                <c:pt idx="49">
                  <c:v>331040.45490902074</c:v>
                </c:pt>
                <c:pt idx="50">
                  <c:v>331040.45490902074</c:v>
                </c:pt>
              </c:numCache>
            </c:numRef>
          </c:yVal>
          <c:smooth val="0"/>
          <c:extLst>
            <c:ext xmlns:c16="http://schemas.microsoft.com/office/drawing/2014/chart" uri="{C3380CC4-5D6E-409C-BE32-E72D297353CC}">
              <c16:uniqueId val="{00000003-5489-4371-9DB9-C0EB445C1AAE}"/>
            </c:ext>
          </c:extLst>
        </c:ser>
        <c:ser>
          <c:idx val="4"/>
          <c:order val="4"/>
          <c:tx>
            <c:strRef>
              <c:f>Annuitätenzuschuss!$BG$56</c:f>
              <c:strCache>
                <c:ptCount val="1"/>
                <c:pt idx="0">
                  <c:v>Entgeltstundung</c:v>
                </c:pt>
              </c:strCache>
            </c:strRef>
          </c:tx>
          <c:marker>
            <c:symbol val="none"/>
          </c:marker>
          <c:xVal>
            <c:numRef>
              <c:f>Annuitätenzuschuss!$BB$57:$BB$107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Annuitätenzuschuss!$BG$57:$BG$107</c:f>
              <c:numCache>
                <c:formatCode>#,##0.00</c:formatCode>
                <c:ptCount val="51"/>
                <c:pt idx="0" formatCode="General">
                  <c:v>0</c:v>
                </c:pt>
                <c:pt idx="1">
                  <c:v>126460.81719428602</c:v>
                </c:pt>
                <c:pt idx="2">
                  <c:v>249238.30961592292</c:v>
                </c:pt>
                <c:pt idx="3">
                  <c:v>368439.75856896845</c:v>
                </c:pt>
                <c:pt idx="4">
                  <c:v>484169.32065930392</c:v>
                </c:pt>
                <c:pt idx="5">
                  <c:v>596528.11880526075</c:v>
                </c:pt>
                <c:pt idx="6">
                  <c:v>705614.33059745177</c:v>
                </c:pt>
                <c:pt idx="7">
                  <c:v>811523.27408501587</c:v>
                </c:pt>
                <c:pt idx="8">
                  <c:v>914347.49106323346</c:v>
                </c:pt>
                <c:pt idx="9">
                  <c:v>1014176.8279352894</c:v>
                </c:pt>
                <c:pt idx="10">
                  <c:v>1111098.5142188389</c:v>
                </c:pt>
                <c:pt idx="11">
                  <c:v>1205197.2387659743</c:v>
                </c:pt>
                <c:pt idx="12">
                  <c:v>1296555.223763193</c:v>
                </c:pt>
                <c:pt idx="13">
                  <c:v>1385252.2965760268</c:v>
                </c:pt>
                <c:pt idx="14">
                  <c:v>1471365.9595011082</c:v>
                </c:pt>
                <c:pt idx="15">
                  <c:v>1554971.4574866241</c:v>
                </c:pt>
                <c:pt idx="16">
                  <c:v>1636141.8438803288</c:v>
                </c:pt>
                <c:pt idx="17">
                  <c:v>1714948.0442625664</c:v>
                </c:pt>
                <c:pt idx="18">
                  <c:v>1791458.9184200787</c:v>
                </c:pt>
                <c:pt idx="19">
                  <c:v>1865741.3205147507</c:v>
                </c:pt>
                <c:pt idx="20">
                  <c:v>1937860.1574998691</c:v>
                </c:pt>
                <c:pt idx="21">
                  <c:v>2007878.4458349356</c:v>
                </c:pt>
                <c:pt idx="22">
                  <c:v>2075857.3665485925</c:v>
                </c:pt>
                <c:pt idx="23">
                  <c:v>2141856.3186977739</c:v>
                </c:pt>
                <c:pt idx="24">
                  <c:v>2205932.9712697947</c:v>
                </c:pt>
                <c:pt idx="25">
                  <c:v>2268143.3135727276</c:v>
                </c:pt>
                <c:pt idx="26">
                  <c:v>2239514.7541599297</c:v>
                </c:pt>
                <c:pt idx="27">
                  <c:v>2211720.0362834269</c:v>
                </c:pt>
                <c:pt idx="28">
                  <c:v>2184734.8732965309</c:v>
                </c:pt>
                <c:pt idx="29">
                  <c:v>2158535.6859306125</c:v>
                </c:pt>
                <c:pt idx="30">
                  <c:v>2133099.581691857</c:v>
                </c:pt>
                <c:pt idx="31">
                  <c:v>2108404.3348581134</c:v>
                </c:pt>
                <c:pt idx="32">
                  <c:v>2084428.3670583626</c:v>
                </c:pt>
                <c:pt idx="33">
                  <c:v>2061150.7284178277</c:v>
                </c:pt>
                <c:pt idx="34">
                  <c:v>2038551.07925226</c:v>
                </c:pt>
                <c:pt idx="35">
                  <c:v>449467.00826666923</c:v>
                </c:pt>
                <c:pt idx="36">
                  <c:v>449467.00826666923</c:v>
                </c:pt>
                <c:pt idx="37">
                  <c:v>449467.00826666923</c:v>
                </c:pt>
                <c:pt idx="38">
                  <c:v>449467.00826666923</c:v>
                </c:pt>
                <c:pt idx="39">
                  <c:v>449467.00826666923</c:v>
                </c:pt>
                <c:pt idx="40">
                  <c:v>449467.00826666923</c:v>
                </c:pt>
                <c:pt idx="41">
                  <c:v>449467.00826666923</c:v>
                </c:pt>
                <c:pt idx="42">
                  <c:v>449467.00826666923</c:v>
                </c:pt>
                <c:pt idx="43">
                  <c:v>449467.00826666923</c:v>
                </c:pt>
                <c:pt idx="44">
                  <c:v>449467.00826666923</c:v>
                </c:pt>
                <c:pt idx="45">
                  <c:v>449467.00826666923</c:v>
                </c:pt>
                <c:pt idx="46">
                  <c:v>449467.00826666923</c:v>
                </c:pt>
                <c:pt idx="47">
                  <c:v>449467.00826666923</c:v>
                </c:pt>
                <c:pt idx="48">
                  <c:v>449467.00826666923</c:v>
                </c:pt>
                <c:pt idx="49">
                  <c:v>449467.00826666923</c:v>
                </c:pt>
                <c:pt idx="50">
                  <c:v>449467.00826666923</c:v>
                </c:pt>
              </c:numCache>
            </c:numRef>
          </c:yVal>
          <c:smooth val="0"/>
          <c:extLst>
            <c:ext xmlns:c16="http://schemas.microsoft.com/office/drawing/2014/chart" uri="{C3380CC4-5D6E-409C-BE32-E72D297353CC}">
              <c16:uniqueId val="{00000004-5489-4371-9DB9-C0EB445C1AAE}"/>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5489-4371-9DB9-C0EB445C1AAE}"/>
            </c:ext>
          </c:extLst>
        </c:ser>
        <c:ser>
          <c:idx val="6"/>
          <c:order val="6"/>
          <c:tx>
            <c:strRef>
              <c:f>Annuitätenzuschuss!$BI$593</c:f>
              <c:strCache>
                <c:ptCount val="1"/>
                <c:pt idx="0">
                  <c:v>Barwert Gesamt</c:v>
                </c:pt>
              </c:strCache>
            </c:strRef>
          </c:tx>
          <c:marker>
            <c:symbol val="none"/>
          </c:marker>
          <c:xVal>
            <c:numRef>
              <c:f>Annuitätenzuschuss!$BB$594:$BB$644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Annuitätenzuschuss!$BI$594:$BI$644</c:f>
              <c:numCache>
                <c:formatCode>#,##0.00</c:formatCode>
                <c:ptCount val="51"/>
                <c:pt idx="0" formatCode="General">
                  <c:v>0</c:v>
                </c:pt>
                <c:pt idx="1">
                  <c:v>-75264.95533980582</c:v>
                </c:pt>
                <c:pt idx="2">
                  <c:v>-148337.72751437456</c:v>
                </c:pt>
                <c:pt idx="3">
                  <c:v>-219282.16651881026</c:v>
                </c:pt>
                <c:pt idx="4">
                  <c:v>-288160.26263962162</c:v>
                </c:pt>
                <c:pt idx="5">
                  <c:v>-355032.20062099188</c:v>
                </c:pt>
                <c:pt idx="6">
                  <c:v>-419956.41225339018</c:v>
                </c:pt>
                <c:pt idx="7">
                  <c:v>-482989.6274304759</c:v>
                </c:pt>
                <c:pt idx="8">
                  <c:v>-544186.92371890869</c:v>
                </c:pt>
                <c:pt idx="9">
                  <c:v>-603601.77448437735</c:v>
                </c:pt>
                <c:pt idx="10">
                  <c:v>-661286.09561590035</c:v>
                </c:pt>
                <c:pt idx="11">
                  <c:v>-717290.29088922369</c:v>
                </c:pt>
                <c:pt idx="12">
                  <c:v>-771663.29600895511</c:v>
                </c:pt>
                <c:pt idx="13">
                  <c:v>-824452.62136791763</c:v>
                </c:pt>
                <c:pt idx="14">
                  <c:v>-875704.3935610851</c:v>
                </c:pt>
                <c:pt idx="15">
                  <c:v>-925463.39569037384</c:v>
                </c:pt>
                <c:pt idx="16">
                  <c:v>-973773.10649550857</c:v>
                </c:pt>
                <c:pt idx="17">
                  <c:v>-1020675.738345154</c:v>
                </c:pt>
                <c:pt idx="18">
                  <c:v>-1066212.2741215087</c:v>
                </c:pt>
                <c:pt idx="19">
                  <c:v>-1110422.5030305909</c:v>
                </c:pt>
                <c:pt idx="20">
                  <c:v>-1153345.0553695059</c:v>
                </c:pt>
                <c:pt idx="21">
                  <c:v>-1195017.4362810736</c:v>
                </c:pt>
                <c:pt idx="22">
                  <c:v>-1235476.0585253141</c:v>
                </c:pt>
                <c:pt idx="23">
                  <c:v>-1274756.2742964216</c:v>
                </c:pt>
                <c:pt idx="24">
                  <c:v>-1312892.4061130306</c:v>
                </c:pt>
                <c:pt idx="25">
                  <c:v>-1349917.7768087676</c:v>
                </c:pt>
                <c:pt idx="26">
                  <c:v>-1385864.7386492889</c:v>
                </c:pt>
                <c:pt idx="27">
                  <c:v>-1420764.7016012513</c:v>
                </c:pt>
                <c:pt idx="28">
                  <c:v>-1454648.1607779139</c:v>
                </c:pt>
                <c:pt idx="29">
                  <c:v>-1487544.7230853534</c:v>
                </c:pt>
                <c:pt idx="30">
                  <c:v>-1519483.1330925762</c:v>
                </c:pt>
                <c:pt idx="31">
                  <c:v>-1550491.2981481322</c:v>
                </c:pt>
                <c:pt idx="32">
                  <c:v>-1580596.3127651769</c:v>
                </c:pt>
                <c:pt idx="33">
                  <c:v>-1609824.4822962882</c:v>
                </c:pt>
                <c:pt idx="34">
                  <c:v>-1638201.3459187264</c:v>
                </c:pt>
                <c:pt idx="35">
                  <c:v>-2034221.6164015143</c:v>
                </c:pt>
                <c:pt idx="36">
                  <c:v>-2060969.5319660709</c:v>
                </c:pt>
                <c:pt idx="37">
                  <c:v>-2086938.3820287473</c:v>
                </c:pt>
                <c:pt idx="38">
                  <c:v>-2112150.8578177537</c:v>
                </c:pt>
                <c:pt idx="39">
                  <c:v>-2136628.9896517405</c:v>
                </c:pt>
                <c:pt idx="40">
                  <c:v>-2160394.1661895919</c:v>
                </c:pt>
                <c:pt idx="41">
                  <c:v>-2183467.1531195445</c:v>
                </c:pt>
                <c:pt idx="42">
                  <c:v>-2205868.1113039646</c:v>
                </c:pt>
                <c:pt idx="43">
                  <c:v>-2227616.6143956343</c:v>
                </c:pt>
                <c:pt idx="44">
                  <c:v>-2248731.6659409446</c:v>
                </c:pt>
                <c:pt idx="45">
                  <c:v>-2269231.7159849354</c:v>
                </c:pt>
                <c:pt idx="46">
                  <c:v>-2293695.5163747845</c:v>
                </c:pt>
                <c:pt idx="47">
                  <c:v>-2317446.7788892016</c:v>
                </c:pt>
                <c:pt idx="48">
                  <c:v>-2340506.2570585385</c:v>
                </c:pt>
                <c:pt idx="49">
                  <c:v>-2357130.5371432416</c:v>
                </c:pt>
                <c:pt idx="50">
                  <c:v>-2359101.3823126252</c:v>
                </c:pt>
              </c:numCache>
            </c:numRef>
          </c:yVal>
          <c:smooth val="0"/>
          <c:extLst>
            <c:ext xmlns:c16="http://schemas.microsoft.com/office/drawing/2014/chart" uri="{C3380CC4-5D6E-409C-BE32-E72D297353CC}">
              <c16:uniqueId val="{00000006-5489-4371-9DB9-C0EB445C1AAE}"/>
            </c:ext>
          </c:extLst>
        </c:ser>
        <c:dLbls>
          <c:showLegendKey val="0"/>
          <c:showVal val="0"/>
          <c:showCatName val="0"/>
          <c:showSerName val="0"/>
          <c:showPercent val="0"/>
          <c:showBubbleSize val="0"/>
        </c:dLbls>
        <c:axId val="671632000"/>
        <c:axId val="671646080"/>
      </c:scatterChart>
      <c:valAx>
        <c:axId val="671632000"/>
        <c:scaling>
          <c:orientation val="minMax"/>
          <c:max val="50"/>
        </c:scaling>
        <c:delete val="0"/>
        <c:axPos val="b"/>
        <c:numFmt formatCode="General" sourceLinked="1"/>
        <c:majorTickMark val="out"/>
        <c:minorTickMark val="none"/>
        <c:tickLblPos val="nextTo"/>
        <c:crossAx val="671646080"/>
        <c:crosses val="autoZero"/>
        <c:crossBetween val="midCat"/>
      </c:valAx>
      <c:valAx>
        <c:axId val="671646080"/>
        <c:scaling>
          <c:orientation val="minMax"/>
        </c:scaling>
        <c:delete val="0"/>
        <c:axPos val="l"/>
        <c:majorGridlines/>
        <c:numFmt formatCode="General" sourceLinked="1"/>
        <c:majorTickMark val="out"/>
        <c:minorTickMark val="none"/>
        <c:tickLblPos val="nextTo"/>
        <c:crossAx val="67163200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Annuitätenzuschuss!$R$593</c:f>
              <c:strCache>
                <c:ptCount val="1"/>
                <c:pt idx="0">
                  <c:v>Annuität</c:v>
                </c:pt>
              </c:strCache>
            </c:strRef>
          </c:tx>
          <c:marker>
            <c:symbol val="none"/>
          </c:marker>
          <c:xVal>
            <c:numRef>
              <c:f>Annuitätenzuschuss!$M$594:$M$644</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Annuitätenzuschuss!$R$594:$R$644</c:f>
              <c:numCache>
                <c:formatCode>#,##0.00</c:formatCode>
                <c:ptCount val="51"/>
                <c:pt idx="0">
                  <c:v>0</c:v>
                </c:pt>
                <c:pt idx="1">
                  <c:v>90513.174248757685</c:v>
                </c:pt>
                <c:pt idx="2">
                  <c:v>90513.174248757685</c:v>
                </c:pt>
                <c:pt idx="3">
                  <c:v>90513.174248757685</c:v>
                </c:pt>
                <c:pt idx="4">
                  <c:v>90513.174248757685</c:v>
                </c:pt>
                <c:pt idx="5">
                  <c:v>90513.174248757685</c:v>
                </c:pt>
                <c:pt idx="6">
                  <c:v>90513.174248757685</c:v>
                </c:pt>
                <c:pt idx="7">
                  <c:v>90513.174248757685</c:v>
                </c:pt>
                <c:pt idx="8">
                  <c:v>90513.174248757685</c:v>
                </c:pt>
                <c:pt idx="9">
                  <c:v>90513.174248757685</c:v>
                </c:pt>
                <c:pt idx="10">
                  <c:v>90513.174248757685</c:v>
                </c:pt>
                <c:pt idx="11">
                  <c:v>90513.174248757685</c:v>
                </c:pt>
                <c:pt idx="12">
                  <c:v>90513.174248757685</c:v>
                </c:pt>
                <c:pt idx="13">
                  <c:v>90513.174248757685</c:v>
                </c:pt>
                <c:pt idx="14">
                  <c:v>90513.174248757685</c:v>
                </c:pt>
                <c:pt idx="15">
                  <c:v>90513.174248757685</c:v>
                </c:pt>
                <c:pt idx="16">
                  <c:v>90513.174248757685</c:v>
                </c:pt>
                <c:pt idx="17">
                  <c:v>90513.174248757685</c:v>
                </c:pt>
                <c:pt idx="18">
                  <c:v>90513.174248757685</c:v>
                </c:pt>
                <c:pt idx="19">
                  <c:v>90513.174248757685</c:v>
                </c:pt>
                <c:pt idx="20">
                  <c:v>90513.174248757685</c:v>
                </c:pt>
                <c:pt idx="21">
                  <c:v>90513.174248757685</c:v>
                </c:pt>
                <c:pt idx="22">
                  <c:v>90513.174248757685</c:v>
                </c:pt>
                <c:pt idx="23">
                  <c:v>90513.174248757685</c:v>
                </c:pt>
                <c:pt idx="24">
                  <c:v>90513.174248757685</c:v>
                </c:pt>
                <c:pt idx="25">
                  <c:v>90513.174248757685</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A591-44DC-9D63-28FE74FA1F13}"/>
            </c:ext>
          </c:extLst>
        </c:ser>
        <c:ser>
          <c:idx val="1"/>
          <c:order val="1"/>
          <c:tx>
            <c:strRef>
              <c:f>Annuitätenzuschuss!$S$593</c:f>
              <c:strCache>
                <c:ptCount val="1"/>
                <c:pt idx="0">
                  <c:v>Zinsen</c:v>
                </c:pt>
              </c:strCache>
            </c:strRef>
          </c:tx>
          <c:marker>
            <c:symbol val="none"/>
          </c:marker>
          <c:xVal>
            <c:numRef>
              <c:f>Annuitätenzuschuss!$M$594:$M$644</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Annuitätenzuschuss!$S$594:$S$644</c:f>
              <c:numCache>
                <c:formatCode>#,##0.00</c:formatCode>
                <c:ptCount val="51"/>
                <c:pt idx="1">
                  <c:v>47283.578135999996</c:v>
                </c:pt>
                <c:pt idx="2">
                  <c:v>45986.690252617263</c:v>
                </c:pt>
                <c:pt idx="3">
                  <c:v>44650.89573273305</c:v>
                </c:pt>
                <c:pt idx="4">
                  <c:v>43275.027377252307</c:v>
                </c:pt>
                <c:pt idx="5">
                  <c:v>41857.882971107152</c:v>
                </c:pt>
                <c:pt idx="6">
                  <c:v>40398.224232777633</c:v>
                </c:pt>
                <c:pt idx="7">
                  <c:v>38894.775732298236</c:v>
                </c:pt>
                <c:pt idx="8">
                  <c:v>37346.223776804451</c:v>
                </c:pt>
                <c:pt idx="9">
                  <c:v>35751.215262645856</c:v>
                </c:pt>
                <c:pt idx="10">
                  <c:v>34108.3564930625</c:v>
                </c:pt>
                <c:pt idx="11">
                  <c:v>32416.21196039164</c:v>
                </c:pt>
                <c:pt idx="12">
                  <c:v>30673.303091740658</c:v>
                </c:pt>
                <c:pt idx="13">
                  <c:v>28878.106957030148</c:v>
                </c:pt>
                <c:pt idx="14">
                  <c:v>27029.054938278321</c:v>
                </c:pt>
                <c:pt idx="15">
                  <c:v>25124.531358963941</c:v>
                </c:pt>
                <c:pt idx="16">
                  <c:v>23162.872072270129</c:v>
                </c:pt>
                <c:pt idx="17">
                  <c:v>21142.363006975502</c:v>
                </c:pt>
                <c:pt idx="18">
                  <c:v>19061.238669722039</c:v>
                </c:pt>
                <c:pt idx="19">
                  <c:v>16917.680602350971</c:v>
                </c:pt>
                <c:pt idx="20">
                  <c:v>14709.815792958769</c:v>
                </c:pt>
                <c:pt idx="21">
                  <c:v>12435.7150392848</c:v>
                </c:pt>
                <c:pt idx="22">
                  <c:v>10093.391263000614</c:v>
                </c:pt>
                <c:pt idx="23">
                  <c:v>7680.797773427902</c:v>
                </c:pt>
                <c:pt idx="24">
                  <c:v>5195.8264791680094</c:v>
                </c:pt>
                <c:pt idx="25">
                  <c:v>2636.306046080319</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A591-44DC-9D63-28FE74FA1F13}"/>
            </c:ext>
          </c:extLst>
        </c:ser>
        <c:ser>
          <c:idx val="2"/>
          <c:order val="2"/>
          <c:tx>
            <c:strRef>
              <c:f>Annuitätenzuschuss!$T$593</c:f>
              <c:strCache>
                <c:ptCount val="1"/>
                <c:pt idx="0">
                  <c:v>Tilgung</c:v>
                </c:pt>
              </c:strCache>
            </c:strRef>
          </c:tx>
          <c:marker>
            <c:symbol val="none"/>
          </c:marker>
          <c:xVal>
            <c:numRef>
              <c:f>Annuitätenzuschuss!$M$594:$M$644</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Annuitätenzuschuss!$T$594:$T$644</c:f>
              <c:numCache>
                <c:formatCode>#,##0.00</c:formatCode>
                <c:ptCount val="51"/>
                <c:pt idx="1">
                  <c:v>43229.596112757688</c:v>
                </c:pt>
                <c:pt idx="2">
                  <c:v>44526.483996140421</c:v>
                </c:pt>
                <c:pt idx="3">
                  <c:v>45862.278516024635</c:v>
                </c:pt>
                <c:pt idx="4">
                  <c:v>47238.146871505378</c:v>
                </c:pt>
                <c:pt idx="5">
                  <c:v>48655.291277650533</c:v>
                </c:pt>
                <c:pt idx="6">
                  <c:v>50114.950015980052</c:v>
                </c:pt>
                <c:pt idx="7">
                  <c:v>51618.398516459449</c:v>
                </c:pt>
                <c:pt idx="8">
                  <c:v>53166.950471953234</c:v>
                </c:pt>
                <c:pt idx="9">
                  <c:v>54761.958986111829</c:v>
                </c:pt>
                <c:pt idx="10">
                  <c:v>56404.817755695185</c:v>
                </c:pt>
                <c:pt idx="11">
                  <c:v>58096.962288366049</c:v>
                </c:pt>
                <c:pt idx="12">
                  <c:v>59839.871157017027</c:v>
                </c:pt>
                <c:pt idx="13">
                  <c:v>61635.067291727537</c:v>
                </c:pt>
                <c:pt idx="14">
                  <c:v>63484.119310479364</c:v>
                </c:pt>
                <c:pt idx="15">
                  <c:v>65388.642889793744</c:v>
                </c:pt>
                <c:pt idx="16">
                  <c:v>67350.302176487559</c:v>
                </c:pt>
                <c:pt idx="17">
                  <c:v>69370.811241782183</c:v>
                </c:pt>
                <c:pt idx="18">
                  <c:v>71451.935579035649</c:v>
                </c:pt>
                <c:pt idx="19">
                  <c:v>73595.493646406714</c:v>
                </c:pt>
                <c:pt idx="20">
                  <c:v>75803.358455798909</c:v>
                </c:pt>
                <c:pt idx="21">
                  <c:v>78077.459209472887</c:v>
                </c:pt>
                <c:pt idx="22">
                  <c:v>80419.782985757076</c:v>
                </c:pt>
                <c:pt idx="23">
                  <c:v>82832.376475329787</c:v>
                </c:pt>
                <c:pt idx="24">
                  <c:v>85317.347769589673</c:v>
                </c:pt>
                <c:pt idx="25">
                  <c:v>87876.86820267736</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2-A591-44DC-9D63-28FE74FA1F13}"/>
            </c:ext>
          </c:extLst>
        </c:ser>
        <c:dLbls>
          <c:showLegendKey val="0"/>
          <c:showVal val="0"/>
          <c:showCatName val="0"/>
          <c:showSerName val="0"/>
          <c:showPercent val="0"/>
          <c:showBubbleSize val="0"/>
        </c:dLbls>
        <c:axId val="671675904"/>
        <c:axId val="671677440"/>
      </c:scatterChart>
      <c:valAx>
        <c:axId val="671675904"/>
        <c:scaling>
          <c:orientation val="minMax"/>
          <c:max val="50"/>
          <c:min val="0"/>
        </c:scaling>
        <c:delete val="0"/>
        <c:axPos val="b"/>
        <c:numFmt formatCode="General" sourceLinked="1"/>
        <c:majorTickMark val="out"/>
        <c:minorTickMark val="none"/>
        <c:tickLblPos val="nextTo"/>
        <c:crossAx val="671677440"/>
        <c:crosses val="autoZero"/>
        <c:crossBetween val="midCat"/>
        <c:majorUnit val="10"/>
        <c:minorUnit val="2"/>
      </c:valAx>
      <c:valAx>
        <c:axId val="671677440"/>
        <c:scaling>
          <c:orientation val="minMax"/>
        </c:scaling>
        <c:delete val="0"/>
        <c:axPos val="l"/>
        <c:majorGridlines/>
        <c:numFmt formatCode="#,##0.00" sourceLinked="1"/>
        <c:majorTickMark val="out"/>
        <c:minorTickMark val="none"/>
        <c:tickLblPos val="nextTo"/>
        <c:crossAx val="671675904"/>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Annuitätenzuschuss!$V$593</c:f>
              <c:strCache>
                <c:ptCount val="1"/>
                <c:pt idx="0">
                  <c:v>Eigenmittel f. Grundkosten</c:v>
                </c:pt>
              </c:strCache>
            </c:strRef>
          </c:tx>
          <c:marker>
            <c:symbol val="none"/>
          </c:marker>
          <c:xVal>
            <c:numRef>
              <c:f>Annuitätenzuschuss!$M$594:$M$644</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Annuitätenzuschuss!$V$594:$V$644</c:f>
              <c:numCache>
                <c:formatCode>#,##0.00</c:formatCode>
                <c:ptCount val="51"/>
                <c:pt idx="0">
                  <c:v>0</c:v>
                </c:pt>
                <c:pt idx="1">
                  <c:v>8640</c:v>
                </c:pt>
                <c:pt idx="2">
                  <c:v>8640</c:v>
                </c:pt>
                <c:pt idx="3">
                  <c:v>8640</c:v>
                </c:pt>
                <c:pt idx="4">
                  <c:v>8640</c:v>
                </c:pt>
                <c:pt idx="5">
                  <c:v>8640</c:v>
                </c:pt>
                <c:pt idx="6">
                  <c:v>8640</c:v>
                </c:pt>
                <c:pt idx="7">
                  <c:v>8640</c:v>
                </c:pt>
                <c:pt idx="8">
                  <c:v>8640</c:v>
                </c:pt>
                <c:pt idx="9">
                  <c:v>8640</c:v>
                </c:pt>
                <c:pt idx="10">
                  <c:v>8640</c:v>
                </c:pt>
                <c:pt idx="11">
                  <c:v>8640</c:v>
                </c:pt>
                <c:pt idx="12">
                  <c:v>8640</c:v>
                </c:pt>
                <c:pt idx="13">
                  <c:v>8640</c:v>
                </c:pt>
                <c:pt idx="14">
                  <c:v>8640</c:v>
                </c:pt>
                <c:pt idx="15">
                  <c:v>8640</c:v>
                </c:pt>
                <c:pt idx="16">
                  <c:v>8640</c:v>
                </c:pt>
                <c:pt idx="17">
                  <c:v>8640</c:v>
                </c:pt>
                <c:pt idx="18">
                  <c:v>8640</c:v>
                </c:pt>
                <c:pt idx="19">
                  <c:v>8640</c:v>
                </c:pt>
                <c:pt idx="20">
                  <c:v>8640</c:v>
                </c:pt>
                <c:pt idx="21">
                  <c:v>8640</c:v>
                </c:pt>
                <c:pt idx="22">
                  <c:v>8640</c:v>
                </c:pt>
                <c:pt idx="23">
                  <c:v>8640</c:v>
                </c:pt>
                <c:pt idx="24">
                  <c:v>8640</c:v>
                </c:pt>
                <c:pt idx="25">
                  <c:v>8640</c:v>
                </c:pt>
                <c:pt idx="26">
                  <c:v>8640</c:v>
                </c:pt>
                <c:pt idx="27">
                  <c:v>8640</c:v>
                </c:pt>
                <c:pt idx="28">
                  <c:v>8640</c:v>
                </c:pt>
                <c:pt idx="29">
                  <c:v>8640</c:v>
                </c:pt>
                <c:pt idx="30">
                  <c:v>8640</c:v>
                </c:pt>
                <c:pt idx="31">
                  <c:v>8640</c:v>
                </c:pt>
                <c:pt idx="32">
                  <c:v>8640</c:v>
                </c:pt>
                <c:pt idx="33">
                  <c:v>8640</c:v>
                </c:pt>
                <c:pt idx="34">
                  <c:v>8640</c:v>
                </c:pt>
                <c:pt idx="35">
                  <c:v>8640</c:v>
                </c:pt>
                <c:pt idx="36">
                  <c:v>8640</c:v>
                </c:pt>
                <c:pt idx="37">
                  <c:v>8640</c:v>
                </c:pt>
                <c:pt idx="38">
                  <c:v>8640</c:v>
                </c:pt>
                <c:pt idx="39">
                  <c:v>8640</c:v>
                </c:pt>
                <c:pt idx="40">
                  <c:v>8640</c:v>
                </c:pt>
                <c:pt idx="41">
                  <c:v>8640</c:v>
                </c:pt>
                <c:pt idx="42">
                  <c:v>8640</c:v>
                </c:pt>
                <c:pt idx="43">
                  <c:v>8640</c:v>
                </c:pt>
                <c:pt idx="44">
                  <c:v>8640</c:v>
                </c:pt>
                <c:pt idx="45">
                  <c:v>8640</c:v>
                </c:pt>
                <c:pt idx="46">
                  <c:v>8640</c:v>
                </c:pt>
                <c:pt idx="47">
                  <c:v>8640</c:v>
                </c:pt>
                <c:pt idx="48">
                  <c:v>8640</c:v>
                </c:pt>
                <c:pt idx="49">
                  <c:v>8640</c:v>
                </c:pt>
                <c:pt idx="50">
                  <c:v>8640</c:v>
                </c:pt>
              </c:numCache>
            </c:numRef>
          </c:yVal>
          <c:smooth val="0"/>
          <c:extLst>
            <c:ext xmlns:c16="http://schemas.microsoft.com/office/drawing/2014/chart" uri="{C3380CC4-5D6E-409C-BE32-E72D297353CC}">
              <c16:uniqueId val="{00000000-B33E-4956-9740-B9CC43BE1031}"/>
            </c:ext>
          </c:extLst>
        </c:ser>
        <c:ser>
          <c:idx val="1"/>
          <c:order val="1"/>
          <c:tx>
            <c:strRef>
              <c:f>Annuitätenzuschuss!$W$593</c:f>
              <c:strCache>
                <c:ptCount val="1"/>
                <c:pt idx="0">
                  <c:v>Eigenmittel f. Baukosten</c:v>
                </c:pt>
              </c:strCache>
            </c:strRef>
          </c:tx>
          <c:marker>
            <c:symbol val="none"/>
          </c:marker>
          <c:xVal>
            <c:numRef>
              <c:f>Annuitätenzuschuss!$M$594:$M$644</c:f>
              <c:numCache>
                <c:formatCode>General</c:formatCode>
                <c:ptCount val="5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Annuitätenzuschuss!$W$594:$W$644</c:f>
              <c:numCache>
                <c:formatCode>#,##0.00</c:formatCode>
                <c:ptCount val="51"/>
                <c:pt idx="0">
                  <c:v>0</c:v>
                </c:pt>
                <c:pt idx="1">
                  <c:v>7557.7249919999995</c:v>
                </c:pt>
                <c:pt idx="2">
                  <c:v>7557.7249919999995</c:v>
                </c:pt>
                <c:pt idx="3">
                  <c:v>7557.7249919999995</c:v>
                </c:pt>
                <c:pt idx="4">
                  <c:v>7557.7249919999995</c:v>
                </c:pt>
                <c:pt idx="5">
                  <c:v>7557.7249919999995</c:v>
                </c:pt>
                <c:pt idx="6">
                  <c:v>7557.7249919999995</c:v>
                </c:pt>
                <c:pt idx="7">
                  <c:v>7557.7249919999995</c:v>
                </c:pt>
                <c:pt idx="8">
                  <c:v>7557.7249919999995</c:v>
                </c:pt>
                <c:pt idx="9">
                  <c:v>7557.7249919999995</c:v>
                </c:pt>
                <c:pt idx="10">
                  <c:v>7557.7249919999995</c:v>
                </c:pt>
                <c:pt idx="11">
                  <c:v>7557.7249919999995</c:v>
                </c:pt>
                <c:pt idx="12">
                  <c:v>7557.7249919999995</c:v>
                </c:pt>
                <c:pt idx="13">
                  <c:v>7557.7249919999995</c:v>
                </c:pt>
                <c:pt idx="14">
                  <c:v>7557.7249919999995</c:v>
                </c:pt>
                <c:pt idx="15">
                  <c:v>7557.7249919999995</c:v>
                </c:pt>
                <c:pt idx="16">
                  <c:v>7557.7249919999995</c:v>
                </c:pt>
                <c:pt idx="17">
                  <c:v>7557.7249919999995</c:v>
                </c:pt>
                <c:pt idx="18">
                  <c:v>7557.7249919999995</c:v>
                </c:pt>
                <c:pt idx="19">
                  <c:v>7557.7249919999995</c:v>
                </c:pt>
                <c:pt idx="20">
                  <c:v>7557.7249919999995</c:v>
                </c:pt>
                <c:pt idx="21">
                  <c:v>7557.7249919999995</c:v>
                </c:pt>
                <c:pt idx="22">
                  <c:v>7557.7249919999995</c:v>
                </c:pt>
                <c:pt idx="23">
                  <c:v>7557.7249919999995</c:v>
                </c:pt>
                <c:pt idx="24">
                  <c:v>7557.7249919999995</c:v>
                </c:pt>
                <c:pt idx="25">
                  <c:v>7557.7249919999995</c:v>
                </c:pt>
                <c:pt idx="26">
                  <c:v>7557.7249919999995</c:v>
                </c:pt>
                <c:pt idx="27">
                  <c:v>7557.7249919999995</c:v>
                </c:pt>
                <c:pt idx="28">
                  <c:v>7557.7249919999995</c:v>
                </c:pt>
                <c:pt idx="29">
                  <c:v>7557.7249919999995</c:v>
                </c:pt>
                <c:pt idx="30">
                  <c:v>7557.7249919999995</c:v>
                </c:pt>
                <c:pt idx="31">
                  <c:v>7557.7249919999995</c:v>
                </c:pt>
                <c:pt idx="32">
                  <c:v>7557.7249919999995</c:v>
                </c:pt>
                <c:pt idx="33">
                  <c:v>7557.7249919999995</c:v>
                </c:pt>
                <c:pt idx="34">
                  <c:v>7557.7249919999995</c:v>
                </c:pt>
                <c:pt idx="35">
                  <c:v>7557.7249919999995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B33E-4956-9740-B9CC43BE1031}"/>
            </c:ext>
          </c:extLst>
        </c:ser>
        <c:dLbls>
          <c:showLegendKey val="0"/>
          <c:showVal val="0"/>
          <c:showCatName val="0"/>
          <c:showSerName val="0"/>
          <c:showPercent val="0"/>
          <c:showBubbleSize val="0"/>
        </c:dLbls>
        <c:axId val="671305088"/>
        <c:axId val="671323264"/>
      </c:scatterChart>
      <c:valAx>
        <c:axId val="671305088"/>
        <c:scaling>
          <c:orientation val="minMax"/>
        </c:scaling>
        <c:delete val="0"/>
        <c:axPos val="b"/>
        <c:numFmt formatCode="General" sourceLinked="1"/>
        <c:majorTickMark val="out"/>
        <c:minorTickMark val="none"/>
        <c:tickLblPos val="nextTo"/>
        <c:crossAx val="671323264"/>
        <c:crosses val="autoZero"/>
        <c:crossBetween val="midCat"/>
      </c:valAx>
      <c:valAx>
        <c:axId val="671323264"/>
        <c:scaling>
          <c:orientation val="minMax"/>
        </c:scaling>
        <c:delete val="0"/>
        <c:axPos val="l"/>
        <c:majorGridlines/>
        <c:numFmt formatCode="#,##0.00" sourceLinked="1"/>
        <c:majorTickMark val="out"/>
        <c:minorTickMark val="none"/>
        <c:tickLblPos val="nextTo"/>
        <c:crossAx val="67130508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Annuitätenzuschuss!$BL$593</c:f>
              <c:strCache>
                <c:ptCount val="1"/>
                <c:pt idx="0">
                  <c:v>WBF Darlehen</c:v>
                </c:pt>
              </c:strCache>
            </c:strRef>
          </c:tx>
          <c:marker>
            <c:symbol val="none"/>
          </c:marker>
          <c:xVal>
            <c:numRef>
              <c:f>Annuitätenzuschuss!$BK$594:$BK$644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Annuitätenzuschuss!$BL$594:$BL$644</c:f>
              <c:numCache>
                <c:formatCode>#,##0.00</c:formatCode>
                <c:ptCount val="51"/>
                <c:pt idx="0">
                  <c:v>0</c:v>
                </c:pt>
                <c:pt idx="1">
                  <c:v>-9627.5079999999998</c:v>
                </c:pt>
                <c:pt idx="2">
                  <c:v>-9627.5079999999998</c:v>
                </c:pt>
                <c:pt idx="3">
                  <c:v>-9627.5079999999998</c:v>
                </c:pt>
                <c:pt idx="4">
                  <c:v>-9627.5079999999998</c:v>
                </c:pt>
                <c:pt idx="5">
                  <c:v>-9627.5079999999998</c:v>
                </c:pt>
                <c:pt idx="6">
                  <c:v>-9627.5079999999998</c:v>
                </c:pt>
                <c:pt idx="7">
                  <c:v>-9627.5079999999998</c:v>
                </c:pt>
                <c:pt idx="8">
                  <c:v>-9627.5079999999998</c:v>
                </c:pt>
                <c:pt idx="9">
                  <c:v>-9627.5079999999998</c:v>
                </c:pt>
                <c:pt idx="10">
                  <c:v>-9627.5079999999998</c:v>
                </c:pt>
                <c:pt idx="11">
                  <c:v>-9627.5079999999998</c:v>
                </c:pt>
                <c:pt idx="12">
                  <c:v>-9627.5079999999998</c:v>
                </c:pt>
                <c:pt idx="13">
                  <c:v>-9627.5079999999998</c:v>
                </c:pt>
                <c:pt idx="14">
                  <c:v>-9627.5079999999998</c:v>
                </c:pt>
                <c:pt idx="15">
                  <c:v>-9627.5079999999998</c:v>
                </c:pt>
                <c:pt idx="16">
                  <c:v>-9627.5079999999998</c:v>
                </c:pt>
                <c:pt idx="17">
                  <c:v>-9627.5079999999998</c:v>
                </c:pt>
                <c:pt idx="18">
                  <c:v>-9627.5079999999998</c:v>
                </c:pt>
                <c:pt idx="19">
                  <c:v>-9627.5079999999998</c:v>
                </c:pt>
                <c:pt idx="20">
                  <c:v>-9627.5079999999998</c:v>
                </c:pt>
                <c:pt idx="21">
                  <c:v>-9627.5079999999998</c:v>
                </c:pt>
                <c:pt idx="22">
                  <c:v>-9627.5079999999998</c:v>
                </c:pt>
                <c:pt idx="23">
                  <c:v>-9627.5079999999998</c:v>
                </c:pt>
                <c:pt idx="24">
                  <c:v>-9627.5079999999998</c:v>
                </c:pt>
                <c:pt idx="25">
                  <c:v>-9627.5079999999998</c:v>
                </c:pt>
                <c:pt idx="26">
                  <c:v>-67392.555999999997</c:v>
                </c:pt>
                <c:pt idx="27">
                  <c:v>-67392.555999999997</c:v>
                </c:pt>
                <c:pt idx="28">
                  <c:v>-67392.555999999997</c:v>
                </c:pt>
                <c:pt idx="29">
                  <c:v>-67392.555999999997</c:v>
                </c:pt>
                <c:pt idx="30">
                  <c:v>-67392.555999999997</c:v>
                </c:pt>
                <c:pt idx="31">
                  <c:v>-67392.555999999997</c:v>
                </c:pt>
                <c:pt idx="32">
                  <c:v>-67392.555999999997</c:v>
                </c:pt>
                <c:pt idx="33">
                  <c:v>-67392.555999999997</c:v>
                </c:pt>
                <c:pt idx="34">
                  <c:v>-67392.555999999997</c:v>
                </c:pt>
                <c:pt idx="35">
                  <c:v>-67392.555999999997</c:v>
                </c:pt>
                <c:pt idx="36">
                  <c:v>-68882.903999999995</c:v>
                </c:pt>
                <c:pt idx="37">
                  <c:v>-68882.903999999995</c:v>
                </c:pt>
                <c:pt idx="38">
                  <c:v>-68882.903999999995</c:v>
                </c:pt>
                <c:pt idx="39">
                  <c:v>-68882.903999999995</c:v>
                </c:pt>
                <c:pt idx="40">
                  <c:v>-68882.903999999995</c:v>
                </c:pt>
                <c:pt idx="41">
                  <c:v>-68882.903999999995</c:v>
                </c:pt>
                <c:pt idx="42">
                  <c:v>-68882.903999999995</c:v>
                </c:pt>
                <c:pt idx="43">
                  <c:v>-68882.903999999995</c:v>
                </c:pt>
                <c:pt idx="44">
                  <c:v>-68882.903999999995</c:v>
                </c:pt>
                <c:pt idx="45">
                  <c:v>-68882.903999999995</c:v>
                </c:pt>
                <c:pt idx="46">
                  <c:v>-86647.571999999986</c:v>
                </c:pt>
                <c:pt idx="47">
                  <c:v>-86647.571999999986</c:v>
                </c:pt>
                <c:pt idx="48">
                  <c:v>-86647.571999999986</c:v>
                </c:pt>
                <c:pt idx="49">
                  <c:v>-62116.58400000137</c:v>
                </c:pt>
                <c:pt idx="50">
                  <c:v>0</c:v>
                </c:pt>
              </c:numCache>
            </c:numRef>
          </c:yVal>
          <c:smooth val="0"/>
          <c:extLst>
            <c:ext xmlns:c16="http://schemas.microsoft.com/office/drawing/2014/chart" uri="{C3380CC4-5D6E-409C-BE32-E72D297353CC}">
              <c16:uniqueId val="{00000000-52C5-4DF4-A570-E234F658CD0F}"/>
            </c:ext>
          </c:extLst>
        </c:ser>
        <c:ser>
          <c:idx val="1"/>
          <c:order val="1"/>
          <c:tx>
            <c:strRef>
              <c:f>Annuitätenzuschuss!$BM$593</c:f>
              <c:strCache>
                <c:ptCount val="1"/>
                <c:pt idx="0">
                  <c:v>Bankdarlehen</c:v>
                </c:pt>
              </c:strCache>
            </c:strRef>
          </c:tx>
          <c:marker>
            <c:symbol val="none"/>
          </c:marker>
          <c:xVal>
            <c:numRef>
              <c:f>Annuitätenzuschuss!$BK$594:$BK$644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Annuitätenzuschuss!$BM$594:$BM$644</c:f>
              <c:numCache>
                <c:formatCode>#,##0.00</c:formatCode>
                <c:ptCount val="51"/>
                <c:pt idx="0">
                  <c:v>0</c:v>
                </c:pt>
                <c:pt idx="1">
                  <c:v>-90513.174248757685</c:v>
                </c:pt>
                <c:pt idx="2">
                  <c:v>-90513.174248757685</c:v>
                </c:pt>
                <c:pt idx="3">
                  <c:v>-90513.174248757685</c:v>
                </c:pt>
                <c:pt idx="4">
                  <c:v>-90513.174248757685</c:v>
                </c:pt>
                <c:pt idx="5">
                  <c:v>-90513.174248757685</c:v>
                </c:pt>
                <c:pt idx="6">
                  <c:v>-90513.174248757685</c:v>
                </c:pt>
                <c:pt idx="7">
                  <c:v>-90513.174248757685</c:v>
                </c:pt>
                <c:pt idx="8">
                  <c:v>-90513.174248757685</c:v>
                </c:pt>
                <c:pt idx="9">
                  <c:v>-90513.174248757685</c:v>
                </c:pt>
                <c:pt idx="10">
                  <c:v>-90513.174248757685</c:v>
                </c:pt>
                <c:pt idx="11">
                  <c:v>-90513.174248757685</c:v>
                </c:pt>
                <c:pt idx="12">
                  <c:v>-90513.174248757685</c:v>
                </c:pt>
                <c:pt idx="13">
                  <c:v>-90513.174248757685</c:v>
                </c:pt>
                <c:pt idx="14">
                  <c:v>-90513.174248757685</c:v>
                </c:pt>
                <c:pt idx="15">
                  <c:v>-90513.174248757685</c:v>
                </c:pt>
                <c:pt idx="16">
                  <c:v>-90513.174248757685</c:v>
                </c:pt>
                <c:pt idx="17">
                  <c:v>-90513.174248757685</c:v>
                </c:pt>
                <c:pt idx="18">
                  <c:v>-90513.174248757685</c:v>
                </c:pt>
                <c:pt idx="19">
                  <c:v>-90513.174248757685</c:v>
                </c:pt>
                <c:pt idx="20">
                  <c:v>-90513.174248757685</c:v>
                </c:pt>
                <c:pt idx="21">
                  <c:v>-90513.174248757685</c:v>
                </c:pt>
                <c:pt idx="22">
                  <c:v>-90513.174248757685</c:v>
                </c:pt>
                <c:pt idx="23">
                  <c:v>-90513.174248757685</c:v>
                </c:pt>
                <c:pt idx="24">
                  <c:v>-90513.174248757685</c:v>
                </c:pt>
                <c:pt idx="25">
                  <c:v>-90513.174248757685</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52C5-4DF4-A570-E234F658CD0F}"/>
            </c:ext>
          </c:extLst>
        </c:ser>
        <c:ser>
          <c:idx val="2"/>
          <c:order val="2"/>
          <c:tx>
            <c:strRef>
              <c:f>Annuitätenzuschuss!$BN$593</c:f>
              <c:strCache>
                <c:ptCount val="1"/>
                <c:pt idx="0">
                  <c:v>Eigenkapital</c:v>
                </c:pt>
              </c:strCache>
            </c:strRef>
          </c:tx>
          <c:marker>
            <c:symbol val="none"/>
          </c:marker>
          <c:xVal>
            <c:numRef>
              <c:f>Annuitätenzuschuss!$BK$594:$BK$644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Annuitätenzuschuss!$BN$594:$BN$644</c:f>
              <c:numCache>
                <c:formatCode>#,##0.00</c:formatCode>
                <c:ptCount val="51"/>
                <c:pt idx="0">
                  <c:v>0</c:v>
                </c:pt>
                <c:pt idx="1">
                  <c:v>-16197.724991999999</c:v>
                </c:pt>
                <c:pt idx="2">
                  <c:v>-16197.724991999999</c:v>
                </c:pt>
                <c:pt idx="3">
                  <c:v>-16197.724991999999</c:v>
                </c:pt>
                <c:pt idx="4">
                  <c:v>-16197.724991999999</c:v>
                </c:pt>
                <c:pt idx="5">
                  <c:v>-16197.724991999999</c:v>
                </c:pt>
                <c:pt idx="6">
                  <c:v>-16197.724991999999</c:v>
                </c:pt>
                <c:pt idx="7">
                  <c:v>-16197.724991999999</c:v>
                </c:pt>
                <c:pt idx="8">
                  <c:v>-16197.724991999999</c:v>
                </c:pt>
                <c:pt idx="9">
                  <c:v>-16197.724991999999</c:v>
                </c:pt>
                <c:pt idx="10">
                  <c:v>-16197.724991999999</c:v>
                </c:pt>
                <c:pt idx="11">
                  <c:v>-16197.724991999999</c:v>
                </c:pt>
                <c:pt idx="12">
                  <c:v>-16197.724991999999</c:v>
                </c:pt>
                <c:pt idx="13">
                  <c:v>-16197.724991999999</c:v>
                </c:pt>
                <c:pt idx="14">
                  <c:v>-16197.724991999999</c:v>
                </c:pt>
                <c:pt idx="15">
                  <c:v>-16197.724991999999</c:v>
                </c:pt>
                <c:pt idx="16">
                  <c:v>-16197.724991999999</c:v>
                </c:pt>
                <c:pt idx="17">
                  <c:v>-16197.724991999999</c:v>
                </c:pt>
                <c:pt idx="18">
                  <c:v>-16197.724991999999</c:v>
                </c:pt>
                <c:pt idx="19">
                  <c:v>-16197.724991999999</c:v>
                </c:pt>
                <c:pt idx="20">
                  <c:v>-16197.724991999999</c:v>
                </c:pt>
                <c:pt idx="21">
                  <c:v>-16197.724991999999</c:v>
                </c:pt>
                <c:pt idx="22">
                  <c:v>-16197.724991999999</c:v>
                </c:pt>
                <c:pt idx="23">
                  <c:v>-16197.724991999999</c:v>
                </c:pt>
                <c:pt idx="24">
                  <c:v>-16197.724991999999</c:v>
                </c:pt>
                <c:pt idx="25">
                  <c:v>-16197.724991999999</c:v>
                </c:pt>
                <c:pt idx="26">
                  <c:v>-16197.724991999999</c:v>
                </c:pt>
                <c:pt idx="27">
                  <c:v>-16197.724991999999</c:v>
                </c:pt>
                <c:pt idx="28">
                  <c:v>-16197.724991999999</c:v>
                </c:pt>
                <c:pt idx="29">
                  <c:v>-16197.724991999999</c:v>
                </c:pt>
                <c:pt idx="30">
                  <c:v>-16197.724991999999</c:v>
                </c:pt>
                <c:pt idx="31">
                  <c:v>-16197.724991999999</c:v>
                </c:pt>
                <c:pt idx="32">
                  <c:v>-16197.724991999999</c:v>
                </c:pt>
                <c:pt idx="33">
                  <c:v>-16197.724991999999</c:v>
                </c:pt>
                <c:pt idx="34">
                  <c:v>-16197.724991999999</c:v>
                </c:pt>
                <c:pt idx="35">
                  <c:v>-16197.724991999999</c:v>
                </c:pt>
                <c:pt idx="36">
                  <c:v>-8640</c:v>
                </c:pt>
                <c:pt idx="37">
                  <c:v>-8640</c:v>
                </c:pt>
                <c:pt idx="38">
                  <c:v>-8640</c:v>
                </c:pt>
                <c:pt idx="39">
                  <c:v>-8640</c:v>
                </c:pt>
                <c:pt idx="40">
                  <c:v>-8640</c:v>
                </c:pt>
                <c:pt idx="41">
                  <c:v>-8640</c:v>
                </c:pt>
                <c:pt idx="42">
                  <c:v>-8640</c:v>
                </c:pt>
                <c:pt idx="43">
                  <c:v>-8640</c:v>
                </c:pt>
                <c:pt idx="44">
                  <c:v>-8640</c:v>
                </c:pt>
                <c:pt idx="45">
                  <c:v>-8640</c:v>
                </c:pt>
                <c:pt idx="46">
                  <c:v>-8640</c:v>
                </c:pt>
                <c:pt idx="47">
                  <c:v>-8640</c:v>
                </c:pt>
                <c:pt idx="48">
                  <c:v>-8640</c:v>
                </c:pt>
                <c:pt idx="49">
                  <c:v>-8640</c:v>
                </c:pt>
                <c:pt idx="50">
                  <c:v>-8640</c:v>
                </c:pt>
              </c:numCache>
            </c:numRef>
          </c:yVal>
          <c:smooth val="0"/>
          <c:extLst>
            <c:ext xmlns:c16="http://schemas.microsoft.com/office/drawing/2014/chart" uri="{C3380CC4-5D6E-409C-BE32-E72D297353CC}">
              <c16:uniqueId val="{00000002-52C5-4DF4-A570-E234F658CD0F}"/>
            </c:ext>
          </c:extLst>
        </c:ser>
        <c:ser>
          <c:idx val="3"/>
          <c:order val="3"/>
          <c:tx>
            <c:strRef>
              <c:f>Annuitätenzuschuss!$BO$593</c:f>
              <c:strCache>
                <c:ptCount val="1"/>
                <c:pt idx="0">
                  <c:v>Annuitätenzuschuss</c:v>
                </c:pt>
              </c:strCache>
            </c:strRef>
          </c:tx>
          <c:marker>
            <c:symbol val="none"/>
          </c:marker>
          <c:xVal>
            <c:numRef>
              <c:f>Annuitätenzuschuss!$BK$594:$BK$644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Annuitätenzuschuss!$BO$594:$BO$644</c:f>
              <c:numCache>
                <c:formatCode>#,##0.00</c:formatCode>
                <c:ptCount val="51"/>
                <c:pt idx="0">
                  <c:v>0</c:v>
                </c:pt>
                <c:pt idx="1">
                  <c:v>38815.503240757695</c:v>
                </c:pt>
                <c:pt idx="2">
                  <c:v>38815.503240757695</c:v>
                </c:pt>
                <c:pt idx="3">
                  <c:v>38815.503240757695</c:v>
                </c:pt>
                <c:pt idx="4">
                  <c:v>38815.503240757695</c:v>
                </c:pt>
                <c:pt idx="5">
                  <c:v>38815.503240757695</c:v>
                </c:pt>
                <c:pt idx="6">
                  <c:v>38815.503240757695</c:v>
                </c:pt>
                <c:pt idx="7">
                  <c:v>38815.503240757695</c:v>
                </c:pt>
                <c:pt idx="8">
                  <c:v>38815.503240757695</c:v>
                </c:pt>
                <c:pt idx="9">
                  <c:v>38815.503240757695</c:v>
                </c:pt>
                <c:pt idx="10">
                  <c:v>38815.503240757695</c:v>
                </c:pt>
                <c:pt idx="11">
                  <c:v>38815.503240757695</c:v>
                </c:pt>
                <c:pt idx="12">
                  <c:v>38815.503240757695</c:v>
                </c:pt>
                <c:pt idx="13">
                  <c:v>38815.503240757695</c:v>
                </c:pt>
                <c:pt idx="14">
                  <c:v>38815.503240757695</c:v>
                </c:pt>
                <c:pt idx="15">
                  <c:v>38815.503240757695</c:v>
                </c:pt>
                <c:pt idx="16">
                  <c:v>38815.503240757695</c:v>
                </c:pt>
                <c:pt idx="17">
                  <c:v>38815.503240757695</c:v>
                </c:pt>
                <c:pt idx="18">
                  <c:v>38815.503240757695</c:v>
                </c:pt>
                <c:pt idx="19">
                  <c:v>38815.503240757695</c:v>
                </c:pt>
                <c:pt idx="20">
                  <c:v>38815.503240757695</c:v>
                </c:pt>
                <c:pt idx="21">
                  <c:v>38815.503240757695</c:v>
                </c:pt>
                <c:pt idx="22">
                  <c:v>38815.503240757695</c:v>
                </c:pt>
                <c:pt idx="23">
                  <c:v>38815.503240757695</c:v>
                </c:pt>
                <c:pt idx="24">
                  <c:v>38815.503240757695</c:v>
                </c:pt>
                <c:pt idx="25">
                  <c:v>38815.503240757695</c:v>
                </c:pt>
                <c:pt idx="26">
                  <c:v>0</c:v>
                </c:pt>
                <c:pt idx="27">
                  <c:v>0</c:v>
                </c:pt>
                <c:pt idx="28">
                  <c:v>0</c:v>
                </c:pt>
                <c:pt idx="29">
                  <c:v>0</c:v>
                </c:pt>
                <c:pt idx="30">
                  <c:v>0</c:v>
                </c:pt>
                <c:pt idx="31">
                  <c:v>0</c:v>
                </c:pt>
                <c:pt idx="32">
                  <c:v>0</c:v>
                </c:pt>
                <c:pt idx="33">
                  <c:v>0</c:v>
                </c:pt>
                <c:pt idx="34">
                  <c:v>0</c:v>
                </c:pt>
                <c:pt idx="35">
                  <c:v>-970387.58101894276</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52C5-4DF4-A570-E234F658CD0F}"/>
            </c:ext>
          </c:extLst>
        </c:ser>
        <c:ser>
          <c:idx val="4"/>
          <c:order val="4"/>
          <c:tx>
            <c:strRef>
              <c:f>Annuitätenzuschuss!$BP$56</c:f>
              <c:strCache>
                <c:ptCount val="1"/>
                <c:pt idx="0">
                  <c:v>Entgeltstundung</c:v>
                </c:pt>
              </c:strCache>
            </c:strRef>
          </c:tx>
          <c:marker>
            <c:symbol val="none"/>
          </c:marker>
          <c:xVal>
            <c:numRef>
              <c:f>Annuitätenzuschuss!$BK$57:$BK$107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Annuitätenzuschuss!$BP$57:$BP$107</c:f>
              <c:numCache>
                <c:formatCode>#,##0.00</c:formatCode>
                <c:ptCount val="51"/>
                <c:pt idx="0">
                  <c:v>0</c:v>
                </c:pt>
                <c:pt idx="1">
                  <c:v>130254.64171011459</c:v>
                </c:pt>
                <c:pt idx="2">
                  <c:v>130254.64171011459</c:v>
                </c:pt>
                <c:pt idx="3">
                  <c:v>130254.64171011459</c:v>
                </c:pt>
                <c:pt idx="4">
                  <c:v>130254.64171011459</c:v>
                </c:pt>
                <c:pt idx="5">
                  <c:v>130254.64171011459</c:v>
                </c:pt>
                <c:pt idx="6">
                  <c:v>130254.64171011459</c:v>
                </c:pt>
                <c:pt idx="7">
                  <c:v>130254.64171011459</c:v>
                </c:pt>
                <c:pt idx="8">
                  <c:v>130254.64171011459</c:v>
                </c:pt>
                <c:pt idx="9">
                  <c:v>130254.64171011459</c:v>
                </c:pt>
                <c:pt idx="10">
                  <c:v>130254.64171011459</c:v>
                </c:pt>
                <c:pt idx="11">
                  <c:v>130254.64171011459</c:v>
                </c:pt>
                <c:pt idx="12">
                  <c:v>130254.64171011459</c:v>
                </c:pt>
                <c:pt idx="13">
                  <c:v>130254.64171011459</c:v>
                </c:pt>
                <c:pt idx="14">
                  <c:v>130254.64171011459</c:v>
                </c:pt>
                <c:pt idx="15">
                  <c:v>130254.64171011459</c:v>
                </c:pt>
                <c:pt idx="16">
                  <c:v>130254.64171011459</c:v>
                </c:pt>
                <c:pt idx="17">
                  <c:v>130254.64171011459</c:v>
                </c:pt>
                <c:pt idx="18">
                  <c:v>130254.64171011459</c:v>
                </c:pt>
                <c:pt idx="19">
                  <c:v>130254.64171011459</c:v>
                </c:pt>
                <c:pt idx="20">
                  <c:v>130254.64171011459</c:v>
                </c:pt>
                <c:pt idx="21">
                  <c:v>130254.64171011459</c:v>
                </c:pt>
                <c:pt idx="22">
                  <c:v>130254.64171011459</c:v>
                </c:pt>
                <c:pt idx="23">
                  <c:v>130254.64171011459</c:v>
                </c:pt>
                <c:pt idx="24">
                  <c:v>130254.64171011459</c:v>
                </c:pt>
                <c:pt idx="25">
                  <c:v>130254.64171011459</c:v>
                </c:pt>
                <c:pt idx="26">
                  <c:v>-61740.101231999994</c:v>
                </c:pt>
                <c:pt idx="27">
                  <c:v>-61740.101231999994</c:v>
                </c:pt>
                <c:pt idx="28">
                  <c:v>-61740.101231999994</c:v>
                </c:pt>
                <c:pt idx="29">
                  <c:v>-61740.101231999994</c:v>
                </c:pt>
                <c:pt idx="30">
                  <c:v>-61740.101231999994</c:v>
                </c:pt>
                <c:pt idx="31">
                  <c:v>-61740.101231999994</c:v>
                </c:pt>
                <c:pt idx="32">
                  <c:v>-61740.101231999994</c:v>
                </c:pt>
                <c:pt idx="33">
                  <c:v>-61740.101231999994</c:v>
                </c:pt>
                <c:pt idx="34">
                  <c:v>-61740.101231999994</c:v>
                </c:pt>
                <c:pt idx="35">
                  <c:v>-4471464.0041862056</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52C5-4DF4-A570-E234F658CD0F}"/>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52C5-4DF4-A570-E234F658CD0F}"/>
            </c:ext>
          </c:extLst>
        </c:ser>
        <c:ser>
          <c:idx val="6"/>
          <c:order val="6"/>
          <c:tx>
            <c:strRef>
              <c:f>Annuitätenzuschuss!$BR$593</c:f>
              <c:strCache>
                <c:ptCount val="1"/>
                <c:pt idx="0">
                  <c:v>Zeitwert gesamt</c:v>
                </c:pt>
              </c:strCache>
            </c:strRef>
          </c:tx>
          <c:marker>
            <c:symbol val="none"/>
          </c:marker>
          <c:xVal>
            <c:numRef>
              <c:f>Annuitätenzuschuss!$BK$594:$BK$644</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Annuitätenzuschuss!$BR$594:$BR$644</c:f>
              <c:numCache>
                <c:formatCode>#,##0.00</c:formatCode>
                <c:ptCount val="51"/>
                <c:pt idx="0">
                  <c:v>0</c:v>
                </c:pt>
                <c:pt idx="1">
                  <c:v>-77522.903999999995</c:v>
                </c:pt>
                <c:pt idx="2">
                  <c:v>-77522.903999999995</c:v>
                </c:pt>
                <c:pt idx="3">
                  <c:v>-77522.903999999995</c:v>
                </c:pt>
                <c:pt idx="4">
                  <c:v>-77522.903999999995</c:v>
                </c:pt>
                <c:pt idx="5">
                  <c:v>-77522.903999999995</c:v>
                </c:pt>
                <c:pt idx="6">
                  <c:v>-77522.903999999995</c:v>
                </c:pt>
                <c:pt idx="7">
                  <c:v>-77522.903999999995</c:v>
                </c:pt>
                <c:pt idx="8">
                  <c:v>-77522.903999999995</c:v>
                </c:pt>
                <c:pt idx="9">
                  <c:v>-77522.903999999995</c:v>
                </c:pt>
                <c:pt idx="10">
                  <c:v>-77522.903999999995</c:v>
                </c:pt>
                <c:pt idx="11">
                  <c:v>-77522.903999999995</c:v>
                </c:pt>
                <c:pt idx="12">
                  <c:v>-77522.903999999995</c:v>
                </c:pt>
                <c:pt idx="13">
                  <c:v>-77522.903999999995</c:v>
                </c:pt>
                <c:pt idx="14">
                  <c:v>-77522.903999999995</c:v>
                </c:pt>
                <c:pt idx="15">
                  <c:v>-77522.903999999995</c:v>
                </c:pt>
                <c:pt idx="16">
                  <c:v>-77522.903999999995</c:v>
                </c:pt>
                <c:pt idx="17">
                  <c:v>-77522.903999999995</c:v>
                </c:pt>
                <c:pt idx="18">
                  <c:v>-77522.903999999995</c:v>
                </c:pt>
                <c:pt idx="19">
                  <c:v>-77522.903999999995</c:v>
                </c:pt>
                <c:pt idx="20">
                  <c:v>-77522.903999999995</c:v>
                </c:pt>
                <c:pt idx="21">
                  <c:v>-77522.903999999995</c:v>
                </c:pt>
                <c:pt idx="22">
                  <c:v>-77522.903999999995</c:v>
                </c:pt>
                <c:pt idx="23">
                  <c:v>-77522.903999999995</c:v>
                </c:pt>
                <c:pt idx="24">
                  <c:v>-77522.903999999995</c:v>
                </c:pt>
                <c:pt idx="25">
                  <c:v>-77522.903999999995</c:v>
                </c:pt>
                <c:pt idx="26">
                  <c:v>-77522.903999999995</c:v>
                </c:pt>
                <c:pt idx="27">
                  <c:v>-77522.903999999995</c:v>
                </c:pt>
                <c:pt idx="28">
                  <c:v>-77522.903999999995</c:v>
                </c:pt>
                <c:pt idx="29">
                  <c:v>-77522.903999999995</c:v>
                </c:pt>
                <c:pt idx="30">
                  <c:v>-77522.903999999995</c:v>
                </c:pt>
                <c:pt idx="31">
                  <c:v>-77522.903999999995</c:v>
                </c:pt>
                <c:pt idx="32">
                  <c:v>-77522.903999999995</c:v>
                </c:pt>
                <c:pt idx="33">
                  <c:v>-77522.903999999995</c:v>
                </c:pt>
                <c:pt idx="34">
                  <c:v>-77522.903999999995</c:v>
                </c:pt>
                <c:pt idx="35">
                  <c:v>-1114346.5702815715</c:v>
                </c:pt>
                <c:pt idx="36">
                  <c:v>-77522.903999999995</c:v>
                </c:pt>
                <c:pt idx="37">
                  <c:v>-77522.903999999995</c:v>
                </c:pt>
                <c:pt idx="38">
                  <c:v>-77522.903999999995</c:v>
                </c:pt>
                <c:pt idx="39">
                  <c:v>-77522.903999999995</c:v>
                </c:pt>
                <c:pt idx="40">
                  <c:v>-77522.903999999995</c:v>
                </c:pt>
                <c:pt idx="41">
                  <c:v>-77522.903999999995</c:v>
                </c:pt>
                <c:pt idx="42">
                  <c:v>-77522.903999999995</c:v>
                </c:pt>
                <c:pt idx="43">
                  <c:v>-77522.903999999995</c:v>
                </c:pt>
                <c:pt idx="44">
                  <c:v>-77522.903999999995</c:v>
                </c:pt>
                <c:pt idx="45">
                  <c:v>-77522.903999999995</c:v>
                </c:pt>
                <c:pt idx="46">
                  <c:v>-95287.571999999986</c:v>
                </c:pt>
                <c:pt idx="47">
                  <c:v>-95287.571999999986</c:v>
                </c:pt>
                <c:pt idx="48">
                  <c:v>-95287.571999999986</c:v>
                </c:pt>
                <c:pt idx="49">
                  <c:v>-70756.58400000137</c:v>
                </c:pt>
                <c:pt idx="50">
                  <c:v>-8640</c:v>
                </c:pt>
              </c:numCache>
            </c:numRef>
          </c:yVal>
          <c:smooth val="0"/>
          <c:extLst>
            <c:ext xmlns:c16="http://schemas.microsoft.com/office/drawing/2014/chart" uri="{C3380CC4-5D6E-409C-BE32-E72D297353CC}">
              <c16:uniqueId val="{00000006-52C5-4DF4-A570-E234F658CD0F}"/>
            </c:ext>
          </c:extLst>
        </c:ser>
        <c:dLbls>
          <c:showLegendKey val="0"/>
          <c:showVal val="0"/>
          <c:showCatName val="0"/>
          <c:showSerName val="0"/>
          <c:showPercent val="0"/>
          <c:showBubbleSize val="0"/>
        </c:dLbls>
        <c:axId val="671770112"/>
        <c:axId val="671771648"/>
      </c:scatterChart>
      <c:valAx>
        <c:axId val="671770112"/>
        <c:scaling>
          <c:orientation val="minMax"/>
        </c:scaling>
        <c:delete val="0"/>
        <c:axPos val="b"/>
        <c:numFmt formatCode="General" sourceLinked="1"/>
        <c:majorTickMark val="out"/>
        <c:minorTickMark val="none"/>
        <c:tickLblPos val="nextTo"/>
        <c:crossAx val="671771648"/>
        <c:crosses val="autoZero"/>
        <c:crossBetween val="midCat"/>
      </c:valAx>
      <c:valAx>
        <c:axId val="671771648"/>
        <c:scaling>
          <c:orientation val="minMax"/>
        </c:scaling>
        <c:delete val="0"/>
        <c:axPos val="l"/>
        <c:majorGridlines/>
        <c:numFmt formatCode="#,##0.00" sourceLinked="1"/>
        <c:majorTickMark val="out"/>
        <c:minorTickMark val="none"/>
        <c:tickLblPos val="nextTo"/>
        <c:crossAx val="67177011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de-AT" sz="1600" b="1" i="0" u="none" strike="noStrike" kern="1200" baseline="0">
                <a:solidFill>
                  <a:sysClr val="windowText" lastClr="000000"/>
                </a:solidFill>
                <a:latin typeface="+mn-lt"/>
                <a:ea typeface="+mn-ea"/>
                <a:cs typeface="+mn-cs"/>
              </a:defRPr>
            </a:pPr>
            <a:r>
              <a:rPr lang="de-AT" sz="1600" b="1" i="0" u="none" strike="noStrike" kern="1200" baseline="0">
                <a:solidFill>
                  <a:sysClr val="windowText" lastClr="000000"/>
                </a:solidFill>
                <a:latin typeface="+mn-lt"/>
                <a:ea typeface="+mn-ea"/>
                <a:cs typeface="+mn-cs"/>
              </a:rPr>
              <a:t>Annuitätischer Gewinn</a:t>
            </a:r>
          </a:p>
        </c:rich>
      </c:tx>
      <c:overlay val="0"/>
    </c:title>
    <c:autoTitleDeleted val="0"/>
    <c:plotArea>
      <c:layout>
        <c:manualLayout>
          <c:layoutTarget val="inner"/>
          <c:xMode val="edge"/>
          <c:yMode val="edge"/>
          <c:x val="5.9615673319555161E-2"/>
          <c:y val="9.9122856604484638E-2"/>
          <c:w val="0.85233606646568694"/>
          <c:h val="0.82866228272093601"/>
        </c:manualLayout>
      </c:layout>
      <c:scatterChart>
        <c:scatterStyle val="lineMarker"/>
        <c:varyColors val="0"/>
        <c:ser>
          <c:idx val="0"/>
          <c:order val="0"/>
          <c:tx>
            <c:strRef>
              <c:f>BERECHNUNG!$AH$54</c:f>
              <c:strCache>
                <c:ptCount val="1"/>
              </c:strCache>
            </c:strRef>
          </c:tx>
          <c:spPr>
            <a:ln w="28575">
              <a:noFill/>
            </a:ln>
          </c:spPr>
          <c:xVal>
            <c:numRef>
              <c:f>BERECHNUNG!$BP$56</c:f>
            </c:numRef>
          </c:xVal>
          <c:yVal>
            <c:numRef>
              <c:f>BERECHNUNG!$BO$56</c:f>
              <c:numCache>
                <c:formatCode>General</c:formatCode>
                <c:ptCount val="1"/>
                <c:pt idx="0">
                  <c:v>0</c:v>
                </c:pt>
              </c:numCache>
            </c:numRef>
          </c:yVal>
          <c:smooth val="0"/>
          <c:extLst>
            <c:ext xmlns:c16="http://schemas.microsoft.com/office/drawing/2014/chart" uri="{C3380CC4-5D6E-409C-BE32-E72D297353CC}">
              <c16:uniqueId val="{00000000-710B-4033-9545-B172EDB8DC70}"/>
            </c:ext>
          </c:extLst>
        </c:ser>
        <c:ser>
          <c:idx val="1"/>
          <c:order val="1"/>
          <c:tx>
            <c:strRef>
              <c:f>BERECHNUNG!$AH$57</c:f>
              <c:strCache>
                <c:ptCount val="1"/>
              </c:strCache>
            </c:strRef>
          </c:tx>
          <c:spPr>
            <a:ln w="28575">
              <a:noFill/>
            </a:ln>
          </c:spPr>
          <c:xVal>
            <c:numRef>
              <c:f>BERECHNUNG!$BP$59</c:f>
            </c:numRef>
          </c:xVal>
          <c:yVal>
            <c:numRef>
              <c:f>BERECHNUNG!$BO$59</c:f>
              <c:numCache>
                <c:formatCode>General</c:formatCode>
                <c:ptCount val="1"/>
                <c:pt idx="0">
                  <c:v>0</c:v>
                </c:pt>
              </c:numCache>
            </c:numRef>
          </c:yVal>
          <c:smooth val="0"/>
          <c:extLst>
            <c:ext xmlns:c16="http://schemas.microsoft.com/office/drawing/2014/chart" uri="{C3380CC4-5D6E-409C-BE32-E72D297353CC}">
              <c16:uniqueId val="{00000001-710B-4033-9545-B172EDB8DC70}"/>
            </c:ext>
          </c:extLst>
        </c:ser>
        <c:ser>
          <c:idx val="2"/>
          <c:order val="2"/>
          <c:tx>
            <c:strRef>
              <c:f>BERECHNUNG!$AH$60</c:f>
              <c:strCache>
                <c:ptCount val="1"/>
              </c:strCache>
            </c:strRef>
          </c:tx>
          <c:spPr>
            <a:ln w="28575">
              <a:noFill/>
            </a:ln>
          </c:spPr>
          <c:xVal>
            <c:numRef>
              <c:f>BERECHNUNG!$BP$62</c:f>
            </c:numRef>
          </c:xVal>
          <c:yVal>
            <c:numRef>
              <c:f>BERECHNUNG!$BO$62</c:f>
              <c:numCache>
                <c:formatCode>General</c:formatCode>
                <c:ptCount val="1"/>
                <c:pt idx="0">
                  <c:v>0</c:v>
                </c:pt>
              </c:numCache>
            </c:numRef>
          </c:yVal>
          <c:smooth val="0"/>
          <c:extLst>
            <c:ext xmlns:c16="http://schemas.microsoft.com/office/drawing/2014/chart" uri="{C3380CC4-5D6E-409C-BE32-E72D297353CC}">
              <c16:uniqueId val="{00000002-710B-4033-9545-B172EDB8DC70}"/>
            </c:ext>
          </c:extLst>
        </c:ser>
        <c:ser>
          <c:idx val="3"/>
          <c:order val="3"/>
          <c:tx>
            <c:strRef>
              <c:f>BERECHNUNG!$AH$63</c:f>
              <c:strCache>
                <c:ptCount val="1"/>
              </c:strCache>
            </c:strRef>
          </c:tx>
          <c:spPr>
            <a:ln w="28575">
              <a:noFill/>
            </a:ln>
          </c:spPr>
          <c:xVal>
            <c:numRef>
              <c:f>BERECHNUNG!$BP$65</c:f>
            </c:numRef>
          </c:xVal>
          <c:yVal>
            <c:numRef>
              <c:f>BERECHNUNG!$BO$65</c:f>
              <c:numCache>
                <c:formatCode>General</c:formatCode>
                <c:ptCount val="1"/>
                <c:pt idx="0">
                  <c:v>0</c:v>
                </c:pt>
              </c:numCache>
            </c:numRef>
          </c:yVal>
          <c:smooth val="0"/>
          <c:extLst>
            <c:ext xmlns:c16="http://schemas.microsoft.com/office/drawing/2014/chart" uri="{C3380CC4-5D6E-409C-BE32-E72D297353CC}">
              <c16:uniqueId val="{00000003-710B-4033-9545-B172EDB8DC70}"/>
            </c:ext>
          </c:extLst>
        </c:ser>
        <c:ser>
          <c:idx val="4"/>
          <c:order val="4"/>
          <c:tx>
            <c:strRef>
              <c:f>BERECHNUNG!$AH$66</c:f>
              <c:strCache>
                <c:ptCount val="1"/>
              </c:strCache>
            </c:strRef>
          </c:tx>
          <c:spPr>
            <a:ln w="28575">
              <a:noFill/>
            </a:ln>
          </c:spPr>
          <c:xVal>
            <c:numRef>
              <c:f>BERECHNUNG!$BP$69</c:f>
              <c:numCache>
                <c:formatCode>General</c:formatCode>
                <c:ptCount val="1"/>
                <c:pt idx="0">
                  <c:v>897901.31938302296</c:v>
                </c:pt>
              </c:numCache>
            </c:numRef>
          </c:xVal>
          <c:yVal>
            <c:numRef>
              <c:f>BERECHNUNG!$BO$69</c:f>
              <c:numCache>
                <c:formatCode>General</c:formatCode>
                <c:ptCount val="1"/>
                <c:pt idx="0">
                  <c:v>3627352.3678982225</c:v>
                </c:pt>
              </c:numCache>
            </c:numRef>
          </c:yVal>
          <c:smooth val="0"/>
          <c:extLst>
            <c:ext xmlns:c16="http://schemas.microsoft.com/office/drawing/2014/chart" uri="{C3380CC4-5D6E-409C-BE32-E72D297353CC}">
              <c16:uniqueId val="{00000004-710B-4033-9545-B172EDB8DC70}"/>
            </c:ext>
          </c:extLst>
        </c:ser>
        <c:dLbls>
          <c:showLegendKey val="0"/>
          <c:showVal val="0"/>
          <c:showCatName val="0"/>
          <c:showSerName val="0"/>
          <c:showPercent val="0"/>
          <c:showBubbleSize val="0"/>
        </c:dLbls>
        <c:axId val="648715264"/>
        <c:axId val="648733824"/>
      </c:scatterChart>
      <c:valAx>
        <c:axId val="648715264"/>
        <c:scaling>
          <c:orientation val="minMax"/>
        </c:scaling>
        <c:delete val="0"/>
        <c:axPos val="b"/>
        <c:majorGridlines>
          <c:spPr>
            <a:ln>
              <a:prstDash val="dash"/>
            </a:ln>
          </c:spPr>
        </c:majorGridlines>
        <c:title>
          <c:tx>
            <c:rich>
              <a:bodyPr/>
              <a:lstStyle/>
              <a:p>
                <a:pPr algn="ctr" rtl="0">
                  <a:defRPr lang="de-AT" sz="1400" b="1" i="0" u="none" strike="noStrike" kern="1200" baseline="0">
                    <a:solidFill>
                      <a:sysClr val="windowText" lastClr="000000"/>
                    </a:solidFill>
                    <a:latin typeface="+mn-lt"/>
                    <a:ea typeface="+mn-ea"/>
                    <a:cs typeface="+mn-cs"/>
                  </a:defRPr>
                </a:pPr>
                <a:r>
                  <a:rPr lang="de-AT" sz="1400" b="1" i="0" u="none" strike="noStrike" kern="1200" baseline="0">
                    <a:solidFill>
                      <a:sysClr val="windowText" lastClr="000000"/>
                    </a:solidFill>
                    <a:latin typeface="+mn-lt"/>
                    <a:ea typeface="+mn-ea"/>
                    <a:cs typeface="+mn-cs"/>
                  </a:rPr>
                  <a:t>spez. Endenergiebedarf [kWh/m²a]</a:t>
                </a:r>
              </a:p>
            </c:rich>
          </c:tx>
          <c:overlay val="0"/>
        </c:title>
        <c:numFmt formatCode="General" sourceLinked="1"/>
        <c:majorTickMark val="none"/>
        <c:minorTickMark val="none"/>
        <c:tickLblPos val="low"/>
        <c:txPr>
          <a:bodyPr/>
          <a:lstStyle/>
          <a:p>
            <a:pPr algn="ctr">
              <a:defRPr lang="de-AT" sz="1200" b="0" i="0" u="none" strike="noStrike" kern="1200" baseline="0">
                <a:solidFill>
                  <a:sysClr val="windowText" lastClr="000000"/>
                </a:solidFill>
                <a:latin typeface="+mn-lt"/>
                <a:ea typeface="+mn-ea"/>
                <a:cs typeface="+mn-cs"/>
              </a:defRPr>
            </a:pPr>
            <a:endParaRPr lang="de-DE"/>
          </a:p>
        </c:txPr>
        <c:crossAx val="648733824"/>
        <c:crosses val="autoZero"/>
        <c:crossBetween val="midCat"/>
      </c:valAx>
      <c:valAx>
        <c:axId val="648733824"/>
        <c:scaling>
          <c:orientation val="minMax"/>
        </c:scaling>
        <c:delete val="0"/>
        <c:axPos val="l"/>
        <c:majorGridlines>
          <c:spPr>
            <a:ln>
              <a:prstDash val="dash"/>
            </a:ln>
          </c:spPr>
        </c:majorGridlines>
        <c:title>
          <c:tx>
            <c:rich>
              <a:bodyPr/>
              <a:lstStyle/>
              <a:p>
                <a:pPr algn="ctr" rtl="0">
                  <a:defRPr lang="de-AT" sz="1400" b="1" i="0" u="none" strike="noStrike" kern="1200" baseline="0">
                    <a:solidFill>
                      <a:sysClr val="windowText" lastClr="000000"/>
                    </a:solidFill>
                    <a:latin typeface="+mn-lt"/>
                    <a:ea typeface="+mn-ea"/>
                    <a:cs typeface="+mn-cs"/>
                  </a:defRPr>
                </a:pPr>
                <a:r>
                  <a:rPr lang="de-AT" sz="1400" b="1" i="0" u="none" strike="noStrike" kern="1200" baseline="0">
                    <a:solidFill>
                      <a:sysClr val="windowText" lastClr="000000"/>
                    </a:solidFill>
                    <a:latin typeface="+mn-lt"/>
                    <a:ea typeface="+mn-ea"/>
                    <a:cs typeface="+mn-cs"/>
                  </a:rPr>
                  <a:t>Annuitätischer Gewinn [€/a]</a:t>
                </a:r>
              </a:p>
            </c:rich>
          </c:tx>
          <c:overlay val="0"/>
        </c:title>
        <c:numFmt formatCode="&quot;€&quot;\ #,##0" sourceLinked="0"/>
        <c:majorTickMark val="none"/>
        <c:minorTickMark val="none"/>
        <c:tickLblPos val="nextTo"/>
        <c:txPr>
          <a:bodyPr/>
          <a:lstStyle/>
          <a:p>
            <a:pPr algn="ctr">
              <a:defRPr lang="de-AT" sz="1200" b="0" i="0" u="none" strike="noStrike" kern="1200" baseline="0">
                <a:solidFill>
                  <a:sysClr val="windowText" lastClr="000000"/>
                </a:solidFill>
                <a:latin typeface="+mn-lt"/>
                <a:ea typeface="+mn-ea"/>
                <a:cs typeface="+mn-cs"/>
              </a:defRPr>
            </a:pPr>
            <a:endParaRPr lang="de-DE"/>
          </a:p>
        </c:txPr>
        <c:crossAx val="648715264"/>
        <c:crosses val="autoZero"/>
        <c:crossBetween val="midCat"/>
      </c:valAx>
    </c:plotArea>
    <c:legend>
      <c:legendPos val="r"/>
      <c:overlay val="1"/>
      <c:txPr>
        <a:bodyPr/>
        <a:lstStyle/>
        <a:p>
          <a:pPr>
            <a:defRPr sz="1200"/>
          </a:pPr>
          <a:endParaRPr lang="de-DE"/>
        </a:p>
      </c:txPr>
    </c:legend>
    <c:plotVisOnly val="1"/>
    <c:dispBlanksAs val="gap"/>
    <c:showDLblsOverMax val="0"/>
  </c:chart>
  <c:txPr>
    <a:bodyPr/>
    <a:lstStyle/>
    <a:p>
      <a:pPr>
        <a:defRPr sz="1000"/>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de-AT" sz="1600"/>
              <a:t>Preis der eingesparten kWh</a:t>
            </a:r>
          </a:p>
        </c:rich>
      </c:tx>
      <c:overlay val="0"/>
    </c:title>
    <c:autoTitleDeleted val="0"/>
    <c:plotArea>
      <c:layout>
        <c:manualLayout>
          <c:layoutTarget val="inner"/>
          <c:xMode val="edge"/>
          <c:yMode val="edge"/>
          <c:x val="6.6994849265724854E-2"/>
          <c:y val="0.10336505849482287"/>
          <c:w val="0.91211248309789683"/>
          <c:h val="0.7827431919440665"/>
        </c:manualLayout>
      </c:layout>
      <c:barChart>
        <c:barDir val="col"/>
        <c:grouping val="clustered"/>
        <c:varyColors val="0"/>
        <c:ser>
          <c:idx val="0"/>
          <c:order val="0"/>
          <c:tx>
            <c:v>Preis der eingesparten kWh</c:v>
          </c:tx>
          <c:invertIfNegative val="0"/>
          <c:cat>
            <c:numRef>
              <c:f>(BERECHNUNG!$AH$54,BERECHNUNG!$AH$57,BERECHNUNG!$AH$60,BERECHNUNG!$AH$63,BERECHNUNG!$AH$66)</c:f>
              <c:numCache>
                <c:formatCode>General</c:formatCode>
                <c:ptCount val="5"/>
              </c:numCache>
            </c:numRef>
          </c:cat>
          <c:val>
            <c:numRef>
              <c:f>(BERECHNUNG!$AM$56,BERECHNUNG!$AM$59,BERECHNUNG!$AM$62,BERECHNUNG!$AM$65,BERECHNUNG!$AM$69)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F72B-4308-8CAA-06673C30A8C3}"/>
            </c:ext>
          </c:extLst>
        </c:ser>
        <c:dLbls>
          <c:showLegendKey val="0"/>
          <c:showVal val="0"/>
          <c:showCatName val="0"/>
          <c:showSerName val="0"/>
          <c:showPercent val="0"/>
          <c:showBubbleSize val="0"/>
        </c:dLbls>
        <c:gapWidth val="82"/>
        <c:axId val="649045120"/>
        <c:axId val="649047040"/>
      </c:barChart>
      <c:lineChart>
        <c:grouping val="standard"/>
        <c:varyColors val="0"/>
        <c:ser>
          <c:idx val="1"/>
          <c:order val="1"/>
          <c:tx>
            <c:v>Mittlerer Energiepreis -1% </c:v>
          </c:tx>
          <c:spPr>
            <a:ln w="76200"/>
          </c:spPr>
          <c:marker>
            <c:symbol val="none"/>
          </c:marker>
          <c:val>
            <c:numRef>
              <c:f>(BERECHNUNG!$BK$56,BERECHNUNG!$BK$59,BERECHNUNG!$BK$62,BERECHNUNG!$BK$65,BERECHNUNG!$BK$69)</c:f>
              <c:numCache>
                <c:formatCode>General</c:formatCode>
                <c:ptCount val="5"/>
                <c:pt idx="0">
                  <c:v>204368.53935014899</c:v>
                </c:pt>
                <c:pt idx="1">
                  <c:v>204368.53935014899</c:v>
                </c:pt>
                <c:pt idx="2">
                  <c:v>214294.1760945961</c:v>
                </c:pt>
                <c:pt idx="3">
                  <c:v>240601.93173764535</c:v>
                </c:pt>
                <c:pt idx="4">
                  <c:v>0</c:v>
                </c:pt>
              </c:numCache>
            </c:numRef>
          </c:val>
          <c:smooth val="0"/>
          <c:extLst>
            <c:ext xmlns:c16="http://schemas.microsoft.com/office/drawing/2014/chart" uri="{C3380CC4-5D6E-409C-BE32-E72D297353CC}">
              <c16:uniqueId val="{00000001-F72B-4308-8CAA-06673C30A8C3}"/>
            </c:ext>
          </c:extLst>
        </c:ser>
        <c:ser>
          <c:idx val="2"/>
          <c:order val="2"/>
          <c:tx>
            <c:v>Mittlerer Energiepreis </c:v>
          </c:tx>
          <c:spPr>
            <a:ln w="76200"/>
          </c:spPr>
          <c:marker>
            <c:symbol val="none"/>
          </c:marker>
          <c:val>
            <c:numRef>
              <c:f>(BERECHNUNG!$BL$56,BERECHNUNG!$BL$59,BERECHNUNG!$BL$62,BERECHNUNG!$BL$65,BERECHNUNG!$BL$69)</c:f>
              <c:numCache>
                <c:formatCode>General</c:formatCode>
                <c:ptCount val="5"/>
                <c:pt idx="0">
                  <c:v>544398.5625023779</c:v>
                </c:pt>
                <c:pt idx="1">
                  <c:v>466141.08349033294</c:v>
                </c:pt>
                <c:pt idx="2">
                  <c:v>328612.06792090967</c:v>
                </c:pt>
                <c:pt idx="3">
                  <c:v>330523.55920145707</c:v>
                </c:pt>
                <c:pt idx="4">
                  <c:v>0</c:v>
                </c:pt>
              </c:numCache>
            </c:numRef>
          </c:val>
          <c:smooth val="0"/>
          <c:extLst>
            <c:ext xmlns:c16="http://schemas.microsoft.com/office/drawing/2014/chart" uri="{C3380CC4-5D6E-409C-BE32-E72D297353CC}">
              <c16:uniqueId val="{00000002-F72B-4308-8CAA-06673C30A8C3}"/>
            </c:ext>
          </c:extLst>
        </c:ser>
        <c:ser>
          <c:idx val="3"/>
          <c:order val="3"/>
          <c:tx>
            <c:v>Mittlerer Energiepreis +1% </c:v>
          </c:tx>
          <c:spPr>
            <a:ln w="76200"/>
          </c:spPr>
          <c:marker>
            <c:symbol val="none"/>
          </c:marker>
          <c:val>
            <c:numRef>
              <c:f>(BERECHNUNG!$BM$56,BERECHNUNG!$BM$59,BERECHNUNG!$BM$62,BERECHNUNG!$BM$65,BERECHNUNG!$BM$69)</c:f>
              <c:numCache>
                <c:formatCode>General</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F72B-4308-8CAA-06673C30A8C3}"/>
            </c:ext>
          </c:extLst>
        </c:ser>
        <c:ser>
          <c:idx val="4"/>
          <c:order val="4"/>
          <c:tx>
            <c:v>heutiger Energiepreis keine</c:v>
          </c:tx>
          <c:spPr>
            <a:ln w="76200"/>
          </c:spPr>
          <c:marker>
            <c:symbol val="none"/>
          </c:marker>
          <c:val>
            <c:numRef>
              <c:f>(BERECHNUNG!$BQ$56,BERECHNUNG!$BQ$59,BERECHNUNG!$BQ$62,BERECHNUNG!$BQ$65,BERECHNUNG!$BQ$69)</c:f>
              <c:numCache>
                <c:formatCode>General</c:formatCode>
                <c:ptCount val="5"/>
                <c:pt idx="0">
                  <c:v>0</c:v>
                </c:pt>
                <c:pt idx="1">
                  <c:v>0</c:v>
                </c:pt>
                <c:pt idx="2">
                  <c:v>0</c:v>
                </c:pt>
                <c:pt idx="3">
                  <c:v>0</c:v>
                </c:pt>
                <c:pt idx="4">
                  <c:v>58061.253662397947</c:v>
                </c:pt>
              </c:numCache>
            </c:numRef>
          </c:val>
          <c:smooth val="0"/>
          <c:extLst>
            <c:ext xmlns:c16="http://schemas.microsoft.com/office/drawing/2014/chart" uri="{C3380CC4-5D6E-409C-BE32-E72D297353CC}">
              <c16:uniqueId val="{00000004-F72B-4308-8CAA-06673C30A8C3}"/>
            </c:ext>
          </c:extLst>
        </c:ser>
        <c:dLbls>
          <c:showLegendKey val="0"/>
          <c:showVal val="0"/>
          <c:showCatName val="0"/>
          <c:showSerName val="0"/>
          <c:showPercent val="0"/>
          <c:showBubbleSize val="0"/>
        </c:dLbls>
        <c:marker val="1"/>
        <c:smooth val="0"/>
        <c:axId val="649045120"/>
        <c:axId val="649047040"/>
      </c:lineChart>
      <c:catAx>
        <c:axId val="649045120"/>
        <c:scaling>
          <c:orientation val="minMax"/>
        </c:scaling>
        <c:delete val="0"/>
        <c:axPos val="b"/>
        <c:title>
          <c:tx>
            <c:rich>
              <a:bodyPr/>
              <a:lstStyle/>
              <a:p>
                <a:pPr algn="ctr" rtl="0">
                  <a:defRPr lang="de-AT" sz="1400" b="1" i="0" u="none" strike="noStrike" kern="1200" baseline="0">
                    <a:solidFill>
                      <a:sysClr val="windowText" lastClr="000000"/>
                    </a:solidFill>
                    <a:latin typeface="+mn-lt"/>
                    <a:ea typeface="+mn-ea"/>
                    <a:cs typeface="+mn-cs"/>
                  </a:defRPr>
                </a:pPr>
                <a:r>
                  <a:rPr lang="de-AT" sz="1400" b="1" i="0" u="none" strike="noStrike" kern="1200" baseline="0">
                    <a:solidFill>
                      <a:sysClr val="windowText" lastClr="000000"/>
                    </a:solidFill>
                    <a:latin typeface="+mn-lt"/>
                    <a:ea typeface="+mn-ea"/>
                    <a:cs typeface="+mn-cs"/>
                  </a:rPr>
                  <a:t>Variante</a:t>
                </a:r>
              </a:p>
            </c:rich>
          </c:tx>
          <c:layout>
            <c:manualLayout>
              <c:xMode val="edge"/>
              <c:yMode val="edge"/>
              <c:x val="0.48505776261829775"/>
              <c:y val="0.92538225490186277"/>
            </c:manualLayout>
          </c:layout>
          <c:overlay val="0"/>
        </c:title>
        <c:numFmt formatCode="General" sourceLinked="1"/>
        <c:majorTickMark val="out"/>
        <c:minorTickMark val="none"/>
        <c:tickLblPos val="nextTo"/>
        <c:txPr>
          <a:bodyPr/>
          <a:lstStyle/>
          <a:p>
            <a:pPr>
              <a:defRPr sz="1200"/>
            </a:pPr>
            <a:endParaRPr lang="de-DE"/>
          </a:p>
        </c:txPr>
        <c:crossAx val="649047040"/>
        <c:crosses val="autoZero"/>
        <c:auto val="1"/>
        <c:lblAlgn val="ctr"/>
        <c:lblOffset val="100"/>
        <c:noMultiLvlLbl val="0"/>
      </c:catAx>
      <c:valAx>
        <c:axId val="649047040"/>
        <c:scaling>
          <c:orientation val="minMax"/>
        </c:scaling>
        <c:delete val="0"/>
        <c:axPos val="l"/>
        <c:majorGridlines/>
        <c:title>
          <c:tx>
            <c:rich>
              <a:bodyPr rot="-5400000" vert="horz"/>
              <a:lstStyle/>
              <a:p>
                <a:pPr>
                  <a:defRPr sz="1400"/>
                </a:pPr>
                <a:r>
                  <a:rPr lang="de-AT" sz="1400"/>
                  <a:t>Energiepreis [€/kWh]</a:t>
                </a:r>
              </a:p>
            </c:rich>
          </c:tx>
          <c:overlay val="0"/>
        </c:title>
        <c:numFmt formatCode="General" sourceLinked="1"/>
        <c:majorTickMark val="out"/>
        <c:minorTickMark val="none"/>
        <c:tickLblPos val="nextTo"/>
        <c:txPr>
          <a:bodyPr/>
          <a:lstStyle/>
          <a:p>
            <a:pPr>
              <a:defRPr sz="1200"/>
            </a:pPr>
            <a:endParaRPr lang="de-DE"/>
          </a:p>
        </c:txPr>
        <c:crossAx val="649045120"/>
        <c:crosses val="autoZero"/>
        <c:crossBetween val="between"/>
      </c:valAx>
    </c:plotArea>
    <c:legend>
      <c:legendPos val="b"/>
      <c:layout>
        <c:manualLayout>
          <c:xMode val="edge"/>
          <c:yMode val="edge"/>
          <c:x val="7.689383656632981E-2"/>
          <c:y val="0.96673306036665707"/>
          <c:w val="0.89999997243578622"/>
          <c:h val="2.8806880144623324E-2"/>
        </c:manualLayout>
      </c:layout>
      <c:overlay val="0"/>
      <c:txPr>
        <a:bodyPr/>
        <a:lstStyle/>
        <a:p>
          <a:pPr>
            <a:defRPr sz="1000"/>
          </a:pPr>
          <a:endParaRPr lang="de-DE"/>
        </a:p>
      </c:txPr>
    </c:legend>
    <c:plotVisOnly val="1"/>
    <c:dispBlanksAs val="gap"/>
    <c:showDLblsOverMax val="0"/>
  </c:chart>
  <c:printSettings>
    <c:headerFooter/>
    <c:pageMargins b="0.78740157499999996" l="0.7" r="0.7" t="0.78740157499999996"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LISTEN!$E$30</c:f>
          <c:strCache>
            <c:ptCount val="1"/>
            <c:pt idx="0">
              <c:v>Zahlungsströme Variante PHWRGSoPV</c:v>
            </c:pt>
          </c:strCache>
        </c:strRef>
      </c:tx>
      <c:layout>
        <c:manualLayout>
          <c:xMode val="edge"/>
          <c:yMode val="edge"/>
          <c:x val="0.3075465830762707"/>
          <c:y val="1.912568306010929E-2"/>
        </c:manualLayout>
      </c:layout>
      <c:overlay val="1"/>
      <c:txPr>
        <a:bodyPr/>
        <a:lstStyle/>
        <a:p>
          <a:pPr>
            <a:defRPr sz="1400">
              <a:latin typeface="Arial" panose="020B0604020202020204" pitchFamily="34" charset="0"/>
              <a:cs typeface="Arial" panose="020B0604020202020204" pitchFamily="34" charset="0"/>
            </a:defRPr>
          </a:pPr>
          <a:endParaRPr lang="de-DE"/>
        </a:p>
      </c:txPr>
    </c:title>
    <c:autoTitleDeleted val="0"/>
    <c:plotArea>
      <c:layout>
        <c:manualLayout>
          <c:layoutTarget val="inner"/>
          <c:xMode val="edge"/>
          <c:yMode val="edge"/>
          <c:x val="9.9757418306418419E-2"/>
          <c:y val="0.10300310626309327"/>
          <c:w val="0.6906316852959572"/>
          <c:h val="0.74073691298166788"/>
        </c:manualLayout>
      </c:layout>
      <c:barChart>
        <c:barDir val="col"/>
        <c:grouping val="stacked"/>
        <c:varyColors val="0"/>
        <c:ser>
          <c:idx val="0"/>
          <c:order val="0"/>
          <c:tx>
            <c:strRef>
              <c:f>BERECHNUNG!$AR$121</c:f>
              <c:strCache>
                <c:ptCount val="1"/>
              </c:strCache>
            </c:strRef>
          </c:tx>
          <c:spPr>
            <a:solidFill>
              <a:schemeClr val="accent2"/>
            </a:solidFill>
            <a:ln>
              <a:solidFill>
                <a:schemeClr val="accent2"/>
              </a:solidFill>
            </a:ln>
          </c:spPr>
          <c:invertIfNegative val="0"/>
          <c:cat>
            <c:strRef>
              <c:f>BERECHNUNG!$AQ$122:$AQ$172</c:f>
              <c:strCache>
                <c:ptCount val="3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strCache>
            </c:strRef>
          </c:cat>
          <c:val>
            <c:numRef>
              <c:f>BERECHNUNG!$AR$122:$AR$172</c:f>
              <c:numCache>
                <c:formatCode>"€"\ #,##0.00;[Red]\-"€"\ #,##0.00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957-4923-BB80-2636E290A048}"/>
            </c:ext>
          </c:extLst>
        </c:ser>
        <c:ser>
          <c:idx val="3"/>
          <c:order val="1"/>
          <c:tx>
            <c:strRef>
              <c:f>BERECHNUNG!$AV$121</c:f>
              <c:strCache>
                <c:ptCount val="1"/>
              </c:strCache>
            </c:strRef>
          </c:tx>
          <c:spPr>
            <a:solidFill>
              <a:srgbClr val="C00000"/>
            </a:solidFill>
            <a:ln>
              <a:solidFill>
                <a:srgbClr val="C00000"/>
              </a:solidFill>
            </a:ln>
          </c:spPr>
          <c:invertIfNegative val="0"/>
          <c:cat>
            <c:strRef>
              <c:f>BERECHNUNG!$AQ$122:$AQ$172</c:f>
              <c:strCache>
                <c:ptCount val="3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strCache>
            </c:strRef>
          </c:cat>
          <c:val>
            <c:numRef>
              <c:f>BERECHNUNG!$AV$122:$AV$172</c:f>
              <c:numCache>
                <c:formatCode>"€"\ #,##0.00;[Red]\-"€"\ #,##0.00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1-B957-4923-BB80-2636E290A048}"/>
            </c:ext>
          </c:extLst>
        </c:ser>
        <c:ser>
          <c:idx val="4"/>
          <c:order val="2"/>
          <c:tx>
            <c:strRef>
              <c:f>BERECHNUNG!$AW$121</c:f>
              <c:strCache>
                <c:ptCount val="1"/>
              </c:strCache>
            </c:strRef>
          </c:tx>
          <c:spPr>
            <a:pattFill prst="pct60">
              <a:fgClr>
                <a:srgbClr val="C00000"/>
              </a:fgClr>
              <a:bgClr>
                <a:schemeClr val="bg1"/>
              </a:bgClr>
            </a:pattFill>
            <a:ln>
              <a:solidFill>
                <a:srgbClr val="C00000"/>
              </a:solidFill>
            </a:ln>
          </c:spPr>
          <c:invertIfNegative val="0"/>
          <c:cat>
            <c:strRef>
              <c:f>BERECHNUNG!$AQ$122:$AQ$172</c:f>
              <c:strCache>
                <c:ptCount val="3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strCache>
            </c:strRef>
          </c:cat>
          <c:val>
            <c:numRef>
              <c:f>BERECHNUNG!$AW$122:$AW$172</c:f>
              <c:numCache>
                <c:formatCode>"€"\ #,##0.00;[Red]\-"€"\ #,##0.00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2-B957-4923-BB80-2636E290A048}"/>
            </c:ext>
          </c:extLst>
        </c:ser>
        <c:ser>
          <c:idx val="8"/>
          <c:order val="3"/>
          <c:tx>
            <c:strRef>
              <c:f>BERECHNUNG!$BA$121</c:f>
              <c:strCache>
                <c:ptCount val="1"/>
              </c:strCache>
            </c:strRef>
          </c:tx>
          <c:spPr>
            <a:pattFill prst="narVert">
              <a:fgClr>
                <a:srgbClr val="FF0000"/>
              </a:fgClr>
              <a:bgClr>
                <a:schemeClr val="bg1"/>
              </a:bgClr>
            </a:pattFill>
            <a:ln>
              <a:solidFill>
                <a:srgbClr val="FF0000"/>
              </a:solidFill>
            </a:ln>
          </c:spPr>
          <c:invertIfNegative val="0"/>
          <c:cat>
            <c:strRef>
              <c:f>BERECHNUNG!$AQ$122:$AQ$172</c:f>
              <c:strCache>
                <c:ptCount val="3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strCache>
            </c:strRef>
          </c:cat>
          <c:val>
            <c:numRef>
              <c:f>BERECHNUNG!$BA$136:$BA$172</c:f>
              <c:numCache>
                <c:formatCode>"€"\ #,##0.00;[Red]\-"€"\ #,##0.00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3-B957-4923-BB80-2636E290A048}"/>
            </c:ext>
          </c:extLst>
        </c:ser>
        <c:ser>
          <c:idx val="2"/>
          <c:order val="4"/>
          <c:tx>
            <c:strRef>
              <c:f>BERECHNUNG!$AU$121</c:f>
              <c:strCache>
                <c:ptCount val="1"/>
              </c:strCache>
            </c:strRef>
          </c:tx>
          <c:spPr>
            <a:pattFill prst="dkDnDiag">
              <a:fgClr>
                <a:srgbClr val="C00000"/>
              </a:fgClr>
              <a:bgClr>
                <a:schemeClr val="bg1"/>
              </a:bgClr>
            </a:pattFill>
            <a:ln>
              <a:solidFill>
                <a:srgbClr val="C00000"/>
              </a:solidFill>
            </a:ln>
          </c:spPr>
          <c:invertIfNegative val="0"/>
          <c:cat>
            <c:strRef>
              <c:f>BERECHNUNG!$AQ$122:$AQ$172</c:f>
              <c:strCache>
                <c:ptCount val="3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strCache>
            </c:strRef>
          </c:cat>
          <c:val>
            <c:numRef>
              <c:f>BERECHNUNG!$AU$122:$AU$172</c:f>
              <c:numCache>
                <c:formatCode>"€"\ #,##0.00;[Red]\-"€"\ #,##0.00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4-B957-4923-BB80-2636E290A048}"/>
            </c:ext>
          </c:extLst>
        </c:ser>
        <c:ser>
          <c:idx val="1"/>
          <c:order val="5"/>
          <c:tx>
            <c:strRef>
              <c:f>BERECHNUNG!$AS$121</c:f>
              <c:strCache>
                <c:ptCount val="1"/>
              </c:strCache>
            </c:strRef>
          </c:tx>
          <c:spPr>
            <a:solidFill>
              <a:schemeClr val="accent2">
                <a:lumMod val="60000"/>
                <a:lumOff val="40000"/>
              </a:schemeClr>
            </a:solidFill>
            <a:ln>
              <a:solidFill>
                <a:schemeClr val="accent2">
                  <a:lumMod val="60000"/>
                  <a:lumOff val="40000"/>
                </a:schemeClr>
              </a:solidFill>
            </a:ln>
          </c:spPr>
          <c:invertIfNegative val="0"/>
          <c:cat>
            <c:strRef>
              <c:f>BERECHNUNG!$AQ$122:$AQ$172</c:f>
              <c:strCache>
                <c:ptCount val="3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strCache>
            </c:strRef>
          </c:cat>
          <c:val>
            <c:numRef>
              <c:f>BERECHNUNG!$AS$122:$AS$172</c:f>
              <c:numCache>
                <c:formatCode>"€"\ #,##0.00;[Red]\-"€"\ #,##0.00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5-B957-4923-BB80-2636E290A048}"/>
            </c:ext>
          </c:extLst>
        </c:ser>
        <c:ser>
          <c:idx val="7"/>
          <c:order val="6"/>
          <c:tx>
            <c:strRef>
              <c:f>BERECHNUNG!$AZ$121</c:f>
              <c:strCache>
                <c:ptCount val="1"/>
              </c:strCache>
            </c:strRef>
          </c:tx>
          <c:spPr>
            <a:pattFill prst="pct70">
              <a:fgClr>
                <a:srgbClr val="FF0000"/>
              </a:fgClr>
              <a:bgClr>
                <a:schemeClr val="bg1"/>
              </a:bgClr>
            </a:pattFill>
            <a:ln>
              <a:solidFill>
                <a:srgbClr val="FF0000"/>
              </a:solidFill>
            </a:ln>
          </c:spPr>
          <c:invertIfNegative val="0"/>
          <c:cat>
            <c:strRef>
              <c:f>BERECHNUNG!$AQ$122:$AQ$172</c:f>
              <c:strCache>
                <c:ptCount val="3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strCache>
            </c:strRef>
          </c:cat>
          <c:val>
            <c:numRef>
              <c:f>BERECHNUNG!$AZ$136:$AZ$172</c:f>
              <c:numCache>
                <c:formatCode>"€"\ #,##0.00;[Red]\-"€"\ #,##0.00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6-B957-4923-BB80-2636E290A048}"/>
            </c:ext>
          </c:extLst>
        </c:ser>
        <c:ser>
          <c:idx val="5"/>
          <c:order val="7"/>
          <c:tx>
            <c:strRef>
              <c:f>BERECHNUNG!$AX$121</c:f>
              <c:strCache>
                <c:ptCount val="1"/>
                <c:pt idx="0">
                  <c:v>PV-Einspeisung</c:v>
                </c:pt>
              </c:strCache>
            </c:strRef>
          </c:tx>
          <c:spPr>
            <a:pattFill prst="dkUpDiag">
              <a:fgClr>
                <a:schemeClr val="tx1"/>
              </a:fgClr>
              <a:bgClr>
                <a:schemeClr val="bg1"/>
              </a:bgClr>
            </a:pattFill>
            <a:ln>
              <a:solidFill>
                <a:schemeClr val="tx1"/>
              </a:solidFill>
            </a:ln>
          </c:spPr>
          <c:invertIfNegative val="0"/>
          <c:cat>
            <c:strRef>
              <c:f>BERECHNUNG!$AQ$122:$AQ$172</c:f>
              <c:strCache>
                <c:ptCount val="3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strCache>
            </c:strRef>
          </c:cat>
          <c:val>
            <c:numRef>
              <c:f>BERECHNUNG!$AX$122:$AX$172</c:f>
              <c:numCache>
                <c:formatCode>"€"\ #,##0.00;[Red]\-"€"\ #,##0.00</c:formatCode>
                <c:ptCount val="51"/>
                <c:pt idx="0">
                  <c:v>0</c:v>
                </c:pt>
                <c:pt idx="1">
                  <c:v>-603.35</c:v>
                </c:pt>
                <c:pt idx="2">
                  <c:v>-618.43374999999992</c:v>
                </c:pt>
                <c:pt idx="3">
                  <c:v>-633.8945937499999</c:v>
                </c:pt>
                <c:pt idx="4">
                  <c:v>-324.87097929687491</c:v>
                </c:pt>
                <c:pt idx="5">
                  <c:v>-332.99275377929672</c:v>
                </c:pt>
                <c:pt idx="6">
                  <c:v>-341.31757262377914</c:v>
                </c:pt>
                <c:pt idx="7">
                  <c:v>-349.85051193937358</c:v>
                </c:pt>
                <c:pt idx="8">
                  <c:v>-358.59677473785791</c:v>
                </c:pt>
                <c:pt idx="9">
                  <c:v>-367.56169410630429</c:v>
                </c:pt>
                <c:pt idx="10">
                  <c:v>-376.75073645896185</c:v>
                </c:pt>
                <c:pt idx="11">
                  <c:v>-386.16950487043584</c:v>
                </c:pt>
                <c:pt idx="12">
                  <c:v>-395.82374249219669</c:v>
                </c:pt>
                <c:pt idx="13">
                  <c:v>-405.71933605450153</c:v>
                </c:pt>
                <c:pt idx="14">
                  <c:v>-415.86231945586405</c:v>
                </c:pt>
                <c:pt idx="15">
                  <c:v>-426.2588774422606</c:v>
                </c:pt>
                <c:pt idx="16">
                  <c:v>-436.9153493783171</c:v>
                </c:pt>
                <c:pt idx="17">
                  <c:v>-447.83823311277501</c:v>
                </c:pt>
                <c:pt idx="18">
                  <c:v>-459.03418894059439</c:v>
                </c:pt>
                <c:pt idx="19">
                  <c:v>-470.51004366410922</c:v>
                </c:pt>
                <c:pt idx="20">
                  <c:v>-482.27279475571191</c:v>
                </c:pt>
                <c:pt idx="21">
                  <c:v>-494.32961462460474</c:v>
                </c:pt>
                <c:pt idx="22">
                  <c:v>-506.68785499021976</c:v>
                </c:pt>
                <c:pt idx="23">
                  <c:v>-519.35505136497522</c:v>
                </c:pt>
                <c:pt idx="24">
                  <c:v>-532.33892764909956</c:v>
                </c:pt>
                <c:pt idx="25">
                  <c:v>-545.64740084032712</c:v>
                </c:pt>
                <c:pt idx="26">
                  <c:v>-559.28858586133515</c:v>
                </c:pt>
                <c:pt idx="27">
                  <c:v>-573.27080050786856</c:v>
                </c:pt>
                <c:pt idx="28">
                  <c:v>-587.60257052056522</c:v>
                </c:pt>
                <c:pt idx="29">
                  <c:v>-602.29263478357927</c:v>
                </c:pt>
                <c:pt idx="30">
                  <c:v>-617.34995065316878</c:v>
                </c:pt>
                <c:pt idx="31">
                  <c:v>-632.78369941949791</c:v>
                </c:pt>
                <c:pt idx="32">
                  <c:v>-648.60329190498533</c:v>
                </c:pt>
                <c:pt idx="33">
                  <c:v>-664.8183742026099</c:v>
                </c:pt>
                <c:pt idx="34">
                  <c:v>-681.43883355767503</c:v>
                </c:pt>
                <c:pt idx="35">
                  <c:v>-698.47480439661683</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7-B957-4923-BB80-2636E290A048}"/>
            </c:ext>
          </c:extLst>
        </c:ser>
        <c:ser>
          <c:idx val="6"/>
          <c:order val="8"/>
          <c:tx>
            <c:strRef>
              <c:f>BERECHNUNG!$AY$121</c:f>
              <c:strCache>
                <c:ptCount val="1"/>
              </c:strCache>
            </c:strRef>
          </c:tx>
          <c:spPr>
            <a:solidFill>
              <a:schemeClr val="tx1"/>
            </a:solidFill>
            <a:ln>
              <a:solidFill>
                <a:schemeClr val="tx1"/>
              </a:solidFill>
            </a:ln>
          </c:spPr>
          <c:invertIfNegative val="0"/>
          <c:cat>
            <c:strRef>
              <c:f>BERECHNUNG!$AQ$122:$AQ$172</c:f>
              <c:strCache>
                <c:ptCount val="3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strCache>
            </c:strRef>
          </c:cat>
          <c:val>
            <c:numRef>
              <c:f>BERECHNUNG!$AY$122:$AY$172</c:f>
              <c:numCache>
                <c:formatCode>"€"\ #,##0.00;[Red]\-"€"\ #,##0.00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8-B957-4923-BB80-2636E290A048}"/>
            </c:ext>
          </c:extLst>
        </c:ser>
        <c:ser>
          <c:idx val="9"/>
          <c:order val="9"/>
          <c:tx>
            <c:strRef>
              <c:f>BERECHNUNG!$AT$121</c:f>
              <c:strCache>
                <c:ptCount val="1"/>
              </c:strCache>
            </c:strRef>
          </c:tx>
          <c:spPr>
            <a:pattFill prst="dkDnDiag">
              <a:fgClr>
                <a:schemeClr val="bg1">
                  <a:lumMod val="50000"/>
                </a:schemeClr>
              </a:fgClr>
              <a:bgClr>
                <a:schemeClr val="bg1"/>
              </a:bgClr>
            </a:pattFill>
            <a:ln>
              <a:solidFill>
                <a:schemeClr val="bg1">
                  <a:lumMod val="65000"/>
                </a:schemeClr>
              </a:solidFill>
            </a:ln>
          </c:spPr>
          <c:invertIfNegative val="0"/>
          <c:cat>
            <c:strRef>
              <c:f>BERECHNUNG!$AQ$122:$AQ$172</c:f>
              <c:strCache>
                <c:ptCount val="3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strCache>
            </c:strRef>
          </c:cat>
          <c:val>
            <c:numRef>
              <c:f>BERECHNUNG!$AT$122:$AT$172</c:f>
              <c:numCache>
                <c:formatCode>"€"\ #,##0.00;[Red]\-"€"\ #,##0.00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9-B957-4923-BB80-2636E290A048}"/>
            </c:ext>
          </c:extLst>
        </c:ser>
        <c:dLbls>
          <c:showLegendKey val="0"/>
          <c:showVal val="0"/>
          <c:showCatName val="0"/>
          <c:showSerName val="0"/>
          <c:showPercent val="0"/>
          <c:showBubbleSize val="0"/>
        </c:dLbls>
        <c:gapWidth val="150"/>
        <c:overlap val="100"/>
        <c:axId val="651065984"/>
        <c:axId val="651084544"/>
      </c:barChart>
      <c:catAx>
        <c:axId val="651065984"/>
        <c:scaling>
          <c:orientation val="minMax"/>
        </c:scaling>
        <c:delete val="0"/>
        <c:axPos val="b"/>
        <c:title>
          <c:tx>
            <c:rich>
              <a:bodyPr/>
              <a:lstStyle/>
              <a:p>
                <a:pPr>
                  <a:defRPr/>
                </a:pPr>
                <a:r>
                  <a:rPr lang="de-AT"/>
                  <a:t>Jahre</a:t>
                </a:r>
              </a:p>
            </c:rich>
          </c:tx>
          <c:layout>
            <c:manualLayout>
              <c:xMode val="edge"/>
              <c:yMode val="edge"/>
              <c:x val="0.38075438761578645"/>
              <c:y val="0.88175415089898435"/>
            </c:manualLayout>
          </c:layout>
          <c:overlay val="0"/>
        </c:title>
        <c:numFmt formatCode="General" sourceLinked="1"/>
        <c:majorTickMark val="out"/>
        <c:minorTickMark val="none"/>
        <c:tickLblPos val="low"/>
        <c:crossAx val="651084544"/>
        <c:crosses val="autoZero"/>
        <c:auto val="1"/>
        <c:lblAlgn val="ctr"/>
        <c:lblOffset val="100"/>
        <c:tickLblSkip val="10"/>
        <c:tickMarkSkip val="5"/>
        <c:noMultiLvlLbl val="0"/>
      </c:catAx>
      <c:valAx>
        <c:axId val="651084544"/>
        <c:scaling>
          <c:orientation val="minMax"/>
        </c:scaling>
        <c:delete val="0"/>
        <c:axPos val="l"/>
        <c:majorGridlines/>
        <c:title>
          <c:tx>
            <c:rich>
              <a:bodyPr rot="-5400000" vert="horz"/>
              <a:lstStyle/>
              <a:p>
                <a:pPr>
                  <a:defRPr/>
                </a:pPr>
                <a:r>
                  <a:rPr lang="de-AT"/>
                  <a:t>jährliche Kosten [€/a]</a:t>
                </a:r>
              </a:p>
            </c:rich>
          </c:tx>
          <c:layout>
            <c:manualLayout>
              <c:xMode val="edge"/>
              <c:yMode val="edge"/>
              <c:x val="1.1572447570336803E-2"/>
              <c:y val="0.34363127640742874"/>
            </c:manualLayout>
          </c:layout>
          <c:overlay val="0"/>
        </c:title>
        <c:numFmt formatCode="#,##0" sourceLinked="0"/>
        <c:majorTickMark val="out"/>
        <c:minorTickMark val="none"/>
        <c:tickLblPos val="nextTo"/>
        <c:crossAx val="651065984"/>
        <c:crossesAt val="2"/>
        <c:crossBetween val="between"/>
      </c:valAx>
    </c:plotArea>
    <c:legend>
      <c:legendPos val="r"/>
      <c:layout>
        <c:manualLayout>
          <c:xMode val="edge"/>
          <c:yMode val="edge"/>
          <c:x val="0.80085508318851906"/>
          <c:y val="0.13328901510262037"/>
          <c:w val="0.19741667983159972"/>
          <c:h val="0.7536347403295901"/>
        </c:manualLayout>
      </c:layout>
      <c:overlay val="0"/>
      <c:txPr>
        <a:bodyPr/>
        <a:lstStyle/>
        <a:p>
          <a:pPr>
            <a:defRPr sz="1000">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strRef>
              <c:f>Annuitätenzuschuss!$AT$56</c:f>
              <c:strCache>
                <c:ptCount val="1"/>
                <c:pt idx="0">
                  <c:v>WBF Darlehen</c:v>
                </c:pt>
              </c:strCache>
            </c:strRef>
          </c:tx>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Annuitätenzuschuss!$AT$57:$AT$107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1"/>
          <c:extLst>
            <c:ext xmlns:c16="http://schemas.microsoft.com/office/drawing/2014/chart" uri="{C3380CC4-5D6E-409C-BE32-E72D297353CC}">
              <c16:uniqueId val="{00000000-8F69-41D5-A259-DFCBEF53A57D}"/>
            </c:ext>
          </c:extLst>
        </c:ser>
        <c:dLbls>
          <c:showLegendKey val="0"/>
          <c:showVal val="0"/>
          <c:showCatName val="0"/>
          <c:showSerName val="0"/>
          <c:showPercent val="0"/>
          <c:showBubbleSize val="0"/>
        </c:dLbls>
        <c:axId val="659948288"/>
        <c:axId val="659949824"/>
      </c:scatterChart>
      <c:valAx>
        <c:axId val="659948288"/>
        <c:scaling>
          <c:orientation val="minMax"/>
        </c:scaling>
        <c:delete val="0"/>
        <c:axPos val="b"/>
        <c:numFmt formatCode="General" sourceLinked="1"/>
        <c:majorTickMark val="out"/>
        <c:minorTickMark val="none"/>
        <c:tickLblPos val="nextTo"/>
        <c:crossAx val="659949824"/>
        <c:crosses val="autoZero"/>
        <c:crossBetween val="midCat"/>
      </c:valAx>
      <c:valAx>
        <c:axId val="659949824"/>
        <c:scaling>
          <c:orientation val="minMax"/>
        </c:scaling>
        <c:delete val="0"/>
        <c:axPos val="l"/>
        <c:majorGridlines/>
        <c:numFmt formatCode="#,##0.00" sourceLinked="1"/>
        <c:majorTickMark val="out"/>
        <c:minorTickMark val="none"/>
        <c:tickLblPos val="nextTo"/>
        <c:crossAx val="65994828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262016733998"/>
          <c:y val="3.2027425858017308E-2"/>
          <c:w val="0.75082670437157584"/>
          <c:h val="0.95583484659482887"/>
        </c:manualLayout>
      </c:layout>
      <c:scatterChart>
        <c:scatterStyle val="lineMarker"/>
        <c:varyColors val="0"/>
        <c:ser>
          <c:idx val="0"/>
          <c:order val="0"/>
          <c:tx>
            <c:strRef>
              <c:f>Annuitätenzuschuss!$AT$56</c:f>
              <c:strCache>
                <c:ptCount val="1"/>
                <c:pt idx="0">
                  <c:v>WBF Darlehen</c:v>
                </c:pt>
              </c:strCache>
            </c:strRef>
          </c:tx>
          <c:marker>
            <c:symbol val="none"/>
          </c:marker>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Annuitätenzuschuss!$AT$57:$AT$107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DD35-43EB-BB58-D7AD289F73E9}"/>
            </c:ext>
          </c:extLst>
        </c:ser>
        <c:ser>
          <c:idx val="1"/>
          <c:order val="1"/>
          <c:tx>
            <c:strRef>
              <c:f>Annuitätenzuschuss!$AU$56</c:f>
              <c:strCache>
                <c:ptCount val="1"/>
                <c:pt idx="0">
                  <c:v>Bankdarlehen</c:v>
                </c:pt>
              </c:strCache>
            </c:strRef>
          </c:tx>
          <c:marker>
            <c:symbol val="none"/>
          </c:marker>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Annuitätenzuschuss!$AU$57:$AU$107</c:f>
              <c:numCache>
                <c:formatCode>#,##0.00</c:formatCode>
                <c:ptCount val="51"/>
                <c:pt idx="0">
                  <c:v>0</c:v>
                </c:pt>
                <c:pt idx="1">
                  <c:v>-186402.66305059669</c:v>
                </c:pt>
                <c:pt idx="2">
                  <c:v>-180973.45927242396</c:v>
                </c:pt>
                <c:pt idx="3">
                  <c:v>-175702.38764313009</c:v>
                </c:pt>
                <c:pt idx="4">
                  <c:v>-170584.84237197097</c:v>
                </c:pt>
                <c:pt idx="5">
                  <c:v>-165616.35181744755</c:v>
                </c:pt>
                <c:pt idx="6">
                  <c:v>-160792.57458004614</c:v>
                </c:pt>
                <c:pt idx="7">
                  <c:v>-156109.29570878265</c:v>
                </c:pt>
                <c:pt idx="8">
                  <c:v>-151562.4230182356</c:v>
                </c:pt>
                <c:pt idx="9">
                  <c:v>-147147.9835128501</c:v>
                </c:pt>
                <c:pt idx="10">
                  <c:v>-142862.11991538844</c:v>
                </c:pt>
                <c:pt idx="11">
                  <c:v>-138701.08729649364</c:v>
                </c:pt>
                <c:pt idx="12">
                  <c:v>-134661.24980242102</c:v>
                </c:pt>
                <c:pt idx="13">
                  <c:v>-130739.07747807867</c:v>
                </c:pt>
                <c:pt idx="14">
                  <c:v>-126931.14318260063</c:v>
                </c:pt>
                <c:pt idx="15">
                  <c:v>-123234.11959475788</c:v>
                </c:pt>
                <c:pt idx="16">
                  <c:v>-119644.7763055902</c:v>
                </c:pt>
                <c:pt idx="17">
                  <c:v>-116159.97699571865</c:v>
                </c:pt>
                <c:pt idx="18">
                  <c:v>-112776.67669487247</c:v>
                </c:pt>
                <c:pt idx="19">
                  <c:v>-109491.91912123541</c:v>
                </c:pt>
                <c:pt idx="20">
                  <c:v>-106302.83409828681</c:v>
                </c:pt>
                <c:pt idx="21">
                  <c:v>-103206.6350468804</c:v>
                </c:pt>
                <c:pt idx="22">
                  <c:v>-100200.61655036932</c:v>
                </c:pt>
                <c:pt idx="23">
                  <c:v>-97282.151990649829</c:v>
                </c:pt>
                <c:pt idx="24">
                  <c:v>-94448.691253058088</c:v>
                </c:pt>
                <c:pt idx="25">
                  <c:v>-91697.75849811465</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1-DD35-43EB-BB58-D7AD289F73E9}"/>
            </c:ext>
          </c:extLst>
        </c:ser>
        <c:ser>
          <c:idx val="2"/>
          <c:order val="2"/>
          <c:tx>
            <c:strRef>
              <c:f>Annuitätenzuschuss!$AV$56</c:f>
              <c:strCache>
                <c:ptCount val="1"/>
                <c:pt idx="0">
                  <c:v>Eigenkapital</c:v>
                </c:pt>
              </c:strCache>
            </c:strRef>
          </c:tx>
          <c:marker>
            <c:symbol val="none"/>
          </c:marker>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Annuitätenzuschuss!$AV$57:$AV$107</c:f>
              <c:numCache>
                <c:formatCode>#,##0.00</c:formatCode>
                <c:ptCount val="51"/>
                <c:pt idx="0">
                  <c:v>0</c:v>
                </c:pt>
                <c:pt idx="1">
                  <c:v>-15334.75996893204</c:v>
                </c:pt>
                <c:pt idx="2">
                  <c:v>-14888.116474691302</c:v>
                </c:pt>
                <c:pt idx="3">
                  <c:v>-14454.4820142634</c:v>
                </c:pt>
                <c:pt idx="4">
                  <c:v>-14033.477683750874</c:v>
                </c:pt>
                <c:pt idx="5">
                  <c:v>-13624.735615292111</c:v>
                </c:pt>
                <c:pt idx="6">
                  <c:v>-13227.898655623409</c:v>
                </c:pt>
                <c:pt idx="7">
                  <c:v>-12842.62005400331</c:v>
                </c:pt>
                <c:pt idx="8">
                  <c:v>-12468.563159226514</c:v>
                </c:pt>
                <c:pt idx="9">
                  <c:v>-12105.401125462635</c:v>
                </c:pt>
                <c:pt idx="10">
                  <c:v>-11752.816626662752</c:v>
                </c:pt>
                <c:pt idx="11">
                  <c:v>-11410.501579284226</c:v>
                </c:pt>
                <c:pt idx="12">
                  <c:v>-11078.156873091484</c:v>
                </c:pt>
                <c:pt idx="13">
                  <c:v>-10755.492109797557</c:v>
                </c:pt>
                <c:pt idx="14">
                  <c:v>-10442.225349318014</c:v>
                </c:pt>
                <c:pt idx="15">
                  <c:v>-10138.082863415548</c:v>
                </c:pt>
                <c:pt idx="16">
                  <c:v>-9842.7988965199511</c:v>
                </c:pt>
                <c:pt idx="17">
                  <c:v>-9556.1154335145147</c:v>
                </c:pt>
                <c:pt idx="18">
                  <c:v>-9277.7819742859374</c:v>
                </c:pt>
                <c:pt idx="19">
                  <c:v>-9007.5553148407162</c:v>
                </c:pt>
                <c:pt idx="20">
                  <c:v>-8745.1993347968128</c:v>
                </c:pt>
                <c:pt idx="21">
                  <c:v>-8490.4847910648659</c:v>
                </c:pt>
                <c:pt idx="22">
                  <c:v>-8243.1891175387045</c:v>
                </c:pt>
                <c:pt idx="23">
                  <c:v>-8003.0962306201018</c:v>
                </c:pt>
                <c:pt idx="24">
                  <c:v>-7769.9963404078662</c:v>
                </c:pt>
                <c:pt idx="25">
                  <c:v>-7543.6857673862778</c:v>
                </c:pt>
                <c:pt idx="26">
                  <c:v>-7323.9667644526971</c:v>
                </c:pt>
                <c:pt idx="27">
                  <c:v>-7110.6473441288326</c:v>
                </c:pt>
                <c:pt idx="28">
                  <c:v>-6903.5411108046919</c:v>
                </c:pt>
                <c:pt idx="29">
                  <c:v>-6702.4670978686336</c:v>
                </c:pt>
                <c:pt idx="30">
                  <c:v>-6507.2496095811975</c:v>
                </c:pt>
                <c:pt idx="31">
                  <c:v>-6317.7180675545596</c:v>
                </c:pt>
                <c:pt idx="32">
                  <c:v>-6133.7068617034565</c:v>
                </c:pt>
                <c:pt idx="33">
                  <c:v>-5955.0552055373364</c:v>
                </c:pt>
                <c:pt idx="34">
                  <c:v>-5781.6069956673182</c:v>
                </c:pt>
                <c:pt idx="35">
                  <c:v>-5613.210675405162</c:v>
                </c:pt>
                <c:pt idx="36">
                  <c:v>-2981.0801524897734</c:v>
                </c:pt>
                <c:pt idx="37">
                  <c:v>-2894.2525752327902</c:v>
                </c:pt>
                <c:pt idx="38">
                  <c:v>-2809.9539565366899</c:v>
                </c:pt>
                <c:pt idx="39">
                  <c:v>-2728.1106374142614</c:v>
                </c:pt>
                <c:pt idx="40">
                  <c:v>-2648.651104285691</c:v>
                </c:pt>
                <c:pt idx="41">
                  <c:v>-2571.5059264909623</c:v>
                </c:pt>
                <c:pt idx="42">
                  <c:v>-2496.6076956222932</c:v>
                </c:pt>
                <c:pt idx="43">
                  <c:v>-2423.8909666235859</c:v>
                </c:pt>
                <c:pt idx="44">
                  <c:v>-2353.2922006054232</c:v>
                </c:pt>
                <c:pt idx="45">
                  <c:v>-2284.7497093256538</c:v>
                </c:pt>
                <c:pt idx="46">
                  <c:v>-2218.2036012870421</c:v>
                </c:pt>
                <c:pt idx="47">
                  <c:v>-2153.5957294048953</c:v>
                </c:pt>
                <c:pt idx="48">
                  <c:v>-2090.8696401989278</c:v>
                </c:pt>
                <c:pt idx="49">
                  <c:v>-2029.9705244649786</c:v>
                </c:pt>
                <c:pt idx="50">
                  <c:v>-1970.8451693834743</c:v>
                </c:pt>
              </c:numCache>
            </c:numRef>
          </c:yVal>
          <c:smooth val="0"/>
          <c:extLst>
            <c:ext xmlns:c16="http://schemas.microsoft.com/office/drawing/2014/chart" uri="{C3380CC4-5D6E-409C-BE32-E72D297353CC}">
              <c16:uniqueId val="{00000002-DD35-43EB-BB58-D7AD289F73E9}"/>
            </c:ext>
          </c:extLst>
        </c:ser>
        <c:ser>
          <c:idx val="3"/>
          <c:order val="3"/>
          <c:tx>
            <c:strRef>
              <c:f>Annuitätenzuschuss!$AW$56</c:f>
              <c:strCache>
                <c:ptCount val="1"/>
                <c:pt idx="0">
                  <c:v>Annuitätenzuschuss</c:v>
                </c:pt>
              </c:strCache>
            </c:strRef>
          </c:tx>
          <c:marker>
            <c:symbol val="none"/>
          </c:marker>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Annuitätenzuschuss!$AW$57:$AW$107</c:f>
              <c:numCache>
                <c:formatCode>#,##0.00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DD35-43EB-BB58-D7AD289F73E9}"/>
            </c:ext>
          </c:extLst>
        </c:ser>
        <c:ser>
          <c:idx val="4"/>
          <c:order val="4"/>
          <c:tx>
            <c:strRef>
              <c:f>Annuitätenzuschuss!$AX$56</c:f>
              <c:strCache>
                <c:ptCount val="1"/>
                <c:pt idx="0">
                  <c:v>Entgeltstundung</c:v>
                </c:pt>
              </c:strCache>
            </c:strRef>
          </c:tx>
          <c:marker>
            <c:symbol val="none"/>
          </c:marker>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Annuitätenzuschuss!$AX$57:$AX$107</c:f>
              <c:numCache>
                <c:formatCode>#,##0.00</c:formatCode>
                <c:ptCount val="51"/>
                <c:pt idx="0">
                  <c:v>0</c:v>
                </c:pt>
                <c:pt idx="1">
                  <c:v>126460.81719428602</c:v>
                </c:pt>
                <c:pt idx="2">
                  <c:v>122777.49242163691</c:v>
                </c:pt>
                <c:pt idx="3">
                  <c:v>119201.44895304555</c:v>
                </c:pt>
                <c:pt idx="4">
                  <c:v>115729.56209033549</c:v>
                </c:pt>
                <c:pt idx="5">
                  <c:v>112358.79814595678</c:v>
                </c:pt>
                <c:pt idx="6">
                  <c:v>109086.21179219105</c:v>
                </c:pt>
                <c:pt idx="7">
                  <c:v>105908.94348756412</c:v>
                </c:pt>
                <c:pt idx="8">
                  <c:v>102824.21697821759</c:v>
                </c:pt>
                <c:pt idx="9">
                  <c:v>99829.336872055923</c:v>
                </c:pt>
                <c:pt idx="10">
                  <c:v>96921.686283549439</c:v>
                </c:pt>
                <c:pt idx="11">
                  <c:v>94098.724547135382</c:v>
                </c:pt>
                <c:pt idx="12">
                  <c:v>91357.984997218824</c:v>
                </c:pt>
                <c:pt idx="13">
                  <c:v>88697.072812833809</c:v>
                </c:pt>
                <c:pt idx="14">
                  <c:v>86113.662925081357</c:v>
                </c:pt>
                <c:pt idx="15">
                  <c:v>83605.497985515874</c:v>
                </c:pt>
                <c:pt idx="16">
                  <c:v>81170.386393704757</c:v>
                </c:pt>
                <c:pt idx="17">
                  <c:v>78806.200382237628</c:v>
                </c:pt>
                <c:pt idx="18">
                  <c:v>76510.874157512255</c:v>
                </c:pt>
                <c:pt idx="19">
                  <c:v>74282.402094672085</c:v>
                </c:pt>
                <c:pt idx="20">
                  <c:v>72118.836985118542</c:v>
                </c:pt>
                <c:pt idx="21">
                  <c:v>70018.288335066551</c:v>
                </c:pt>
                <c:pt idx="22">
                  <c:v>67978.920713656844</c:v>
                </c:pt>
                <c:pt idx="23">
                  <c:v>65998.952149181394</c:v>
                </c:pt>
                <c:pt idx="24">
                  <c:v>64076.652572020779</c:v>
                </c:pt>
                <c:pt idx="25">
                  <c:v>62210.342302932797</c:v>
                </c:pt>
                <c:pt idx="26">
                  <c:v>-28628.559412797913</c:v>
                </c:pt>
                <c:pt idx="27">
                  <c:v>-27794.717876502829</c:v>
                </c:pt>
                <c:pt idx="28">
                  <c:v>-26985.16298689595</c:v>
                </c:pt>
                <c:pt idx="29">
                  <c:v>-26199.187365918402</c:v>
                </c:pt>
                <c:pt idx="30">
                  <c:v>-25436.104238755728</c:v>
                </c:pt>
                <c:pt idx="31">
                  <c:v>-24695.246833743422</c:v>
                </c:pt>
                <c:pt idx="32">
                  <c:v>-23975.967799750899</c:v>
                </c:pt>
                <c:pt idx="33">
                  <c:v>-23277.638640534853</c:v>
                </c:pt>
                <c:pt idx="34">
                  <c:v>-22599.649165567822</c:v>
                </c:pt>
                <c:pt idx="35">
                  <c:v>-1589084.0709855908</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4-DD35-43EB-BB58-D7AD289F73E9}"/>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DD35-43EB-BB58-D7AD289F73E9}"/>
            </c:ext>
          </c:extLst>
        </c:ser>
        <c:ser>
          <c:idx val="6"/>
          <c:order val="6"/>
          <c:tx>
            <c:strRef>
              <c:f>Annuitätenzuschuss!$AZ$56</c:f>
              <c:strCache>
                <c:ptCount val="1"/>
                <c:pt idx="0">
                  <c:v>Barwert Gesamt</c:v>
                </c:pt>
              </c:strCache>
            </c:strRef>
          </c:tx>
          <c:marker>
            <c:symbol val="none"/>
          </c:marker>
          <c:xVal>
            <c:numRef>
              <c:f>Annuitätenzuschuss!$AS$57:$AS$107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Annuitätenzuschuss!$AZ$57:$AZ$107</c:f>
              <c:numCache>
                <c:formatCode>#,##0.00</c:formatCode>
                <c:ptCount val="51"/>
                <c:pt idx="0">
                  <c:v>0</c:v>
                </c:pt>
                <c:pt idx="1">
                  <c:v>-75276.605825242717</c:v>
                </c:pt>
                <c:pt idx="2">
                  <c:v>-73084.083325478365</c:v>
                </c:pt>
                <c:pt idx="3">
                  <c:v>-70955.42070434794</c:v>
                </c:pt>
                <c:pt idx="4">
                  <c:v>-68888.757965386365</c:v>
                </c:pt>
                <c:pt idx="5">
                  <c:v>-66882.289286782863</c:v>
                </c:pt>
                <c:pt idx="6">
                  <c:v>-64934.261443478492</c:v>
                </c:pt>
                <c:pt idx="7">
                  <c:v>-63042.972275221851</c:v>
                </c:pt>
                <c:pt idx="8">
                  <c:v>-61206.769199244533</c:v>
                </c:pt>
                <c:pt idx="9">
                  <c:v>-59424.047766256816</c:v>
                </c:pt>
                <c:pt idx="10">
                  <c:v>-57693.250258501765</c:v>
                </c:pt>
                <c:pt idx="11">
                  <c:v>-56012.864328642492</c:v>
                </c:pt>
                <c:pt idx="12">
                  <c:v>-54381.421678293671</c:v>
                </c:pt>
                <c:pt idx="13">
                  <c:v>-52797.496775042426</c:v>
                </c:pt>
                <c:pt idx="14">
                  <c:v>-51259.705606837291</c:v>
                </c:pt>
                <c:pt idx="15">
                  <c:v>-49766.70447265757</c:v>
                </c:pt>
                <c:pt idx="16">
                  <c:v>-48317.188808405394</c:v>
                </c:pt>
                <c:pt idx="17">
                  <c:v>-46909.892046995534</c:v>
                </c:pt>
                <c:pt idx="18">
                  <c:v>-45543.584511646157</c:v>
                </c:pt>
                <c:pt idx="19">
                  <c:v>-44217.07234140404</c:v>
                </c:pt>
                <c:pt idx="20">
                  <c:v>-42929.196447965078</c:v>
                </c:pt>
                <c:pt idx="21">
                  <c:v>-41678.831502878718</c:v>
                </c:pt>
                <c:pt idx="22">
                  <c:v>-40464.884954251174</c:v>
                </c:pt>
                <c:pt idx="23">
                  <c:v>-39286.296072088531</c:v>
                </c:pt>
                <c:pt idx="24">
                  <c:v>-38142.035021445183</c:v>
                </c:pt>
                <c:pt idx="25">
                  <c:v>-37031.101962568137</c:v>
                </c:pt>
                <c:pt idx="26">
                  <c:v>-35952.526177250613</c:v>
                </c:pt>
                <c:pt idx="27">
                  <c:v>-34905.365220631662</c:v>
                </c:pt>
                <c:pt idx="28">
                  <c:v>-33888.70409770064</c:v>
                </c:pt>
                <c:pt idx="29">
                  <c:v>-32901.654463787039</c:v>
                </c:pt>
                <c:pt idx="30">
                  <c:v>-31943.353848336927</c:v>
                </c:pt>
                <c:pt idx="31">
                  <c:v>-31012.964901297983</c:v>
                </c:pt>
                <c:pt idx="32">
                  <c:v>-30109.674661454355</c:v>
                </c:pt>
                <c:pt idx="33">
                  <c:v>-29232.69384607219</c:v>
                </c:pt>
                <c:pt idx="34">
                  <c:v>-28381.256161235142</c:v>
                </c:pt>
                <c:pt idx="35">
                  <c:v>-1594697.2816609959</c:v>
                </c:pt>
                <c:pt idx="36">
                  <c:v>-2981.0801524897734</c:v>
                </c:pt>
                <c:pt idx="37">
                  <c:v>-2894.2525752327902</c:v>
                </c:pt>
                <c:pt idx="38">
                  <c:v>-2809.9539565366899</c:v>
                </c:pt>
                <c:pt idx="39">
                  <c:v>-2728.1106374142614</c:v>
                </c:pt>
                <c:pt idx="40">
                  <c:v>-2648.651104285691</c:v>
                </c:pt>
                <c:pt idx="41">
                  <c:v>-2571.5059264909623</c:v>
                </c:pt>
                <c:pt idx="42">
                  <c:v>-2496.6076956222932</c:v>
                </c:pt>
                <c:pt idx="43">
                  <c:v>-2423.8909666235859</c:v>
                </c:pt>
                <c:pt idx="44">
                  <c:v>-2353.2922006054232</c:v>
                </c:pt>
                <c:pt idx="45">
                  <c:v>-2284.7497093256538</c:v>
                </c:pt>
                <c:pt idx="46">
                  <c:v>-2218.2036012870421</c:v>
                </c:pt>
                <c:pt idx="47">
                  <c:v>-2153.5957294048953</c:v>
                </c:pt>
                <c:pt idx="48">
                  <c:v>-2090.8696401989278</c:v>
                </c:pt>
                <c:pt idx="49">
                  <c:v>-2029.9705244649786</c:v>
                </c:pt>
                <c:pt idx="50">
                  <c:v>-1970.8451693834743</c:v>
                </c:pt>
              </c:numCache>
            </c:numRef>
          </c:yVal>
          <c:smooth val="0"/>
          <c:extLst>
            <c:ext xmlns:c16="http://schemas.microsoft.com/office/drawing/2014/chart" uri="{C3380CC4-5D6E-409C-BE32-E72D297353CC}">
              <c16:uniqueId val="{00000006-DD35-43EB-BB58-D7AD289F73E9}"/>
            </c:ext>
          </c:extLst>
        </c:ser>
        <c:dLbls>
          <c:showLegendKey val="0"/>
          <c:showVal val="0"/>
          <c:showCatName val="0"/>
          <c:showSerName val="0"/>
          <c:showPercent val="0"/>
          <c:showBubbleSize val="0"/>
        </c:dLbls>
        <c:axId val="662100992"/>
        <c:axId val="588657408"/>
      </c:scatterChart>
      <c:valAx>
        <c:axId val="662100992"/>
        <c:scaling>
          <c:orientation val="minMax"/>
        </c:scaling>
        <c:delete val="0"/>
        <c:axPos val="b"/>
        <c:numFmt formatCode="General" sourceLinked="1"/>
        <c:majorTickMark val="out"/>
        <c:minorTickMark val="none"/>
        <c:tickLblPos val="nextTo"/>
        <c:crossAx val="588657408"/>
        <c:crosses val="autoZero"/>
        <c:crossBetween val="midCat"/>
      </c:valAx>
      <c:valAx>
        <c:axId val="588657408"/>
        <c:scaling>
          <c:orientation val="minMax"/>
        </c:scaling>
        <c:delete val="0"/>
        <c:axPos val="l"/>
        <c:majorGridlines/>
        <c:numFmt formatCode="#,##0.00" sourceLinked="1"/>
        <c:majorTickMark val="out"/>
        <c:minorTickMark val="none"/>
        <c:tickLblPos val="nextTo"/>
        <c:crossAx val="66210099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Annuitätenzuschuss!$BC$56</c:f>
              <c:strCache>
                <c:ptCount val="1"/>
                <c:pt idx="0">
                  <c:v>WBF Darlehen</c:v>
                </c:pt>
              </c:strCache>
            </c:strRef>
          </c:tx>
          <c:marker>
            <c:symbol val="none"/>
          </c:marker>
          <c:xVal>
            <c:numRef>
              <c:f>Annuitätenzuschuss!$BB$57:$BB$107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Annuitätenzuschuss!$BC$57:$BC$107</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0-2861-44CA-BF8A-26AB5CAC753A}"/>
            </c:ext>
          </c:extLst>
        </c:ser>
        <c:ser>
          <c:idx val="1"/>
          <c:order val="1"/>
          <c:tx>
            <c:strRef>
              <c:f>Annuitätenzuschuss!$BD$56</c:f>
              <c:strCache>
                <c:ptCount val="1"/>
                <c:pt idx="0">
                  <c:v>Bankdarlehen</c:v>
                </c:pt>
              </c:strCache>
            </c:strRef>
          </c:tx>
          <c:marker>
            <c:symbol val="none"/>
          </c:marker>
          <c:xVal>
            <c:numRef>
              <c:f>Annuitätenzuschuss!$BB$57:$BB$107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Annuitätenzuschuss!$BD$57:$BD$107</c:f>
              <c:numCache>
                <c:formatCode>#,##0.00</c:formatCode>
                <c:ptCount val="51"/>
                <c:pt idx="0" formatCode="General">
                  <c:v>0</c:v>
                </c:pt>
                <c:pt idx="1">
                  <c:v>-186402.66305059669</c:v>
                </c:pt>
                <c:pt idx="2">
                  <c:v>-367376.12232302065</c:v>
                </c:pt>
                <c:pt idx="3">
                  <c:v>-543078.50996615074</c:v>
                </c:pt>
                <c:pt idx="4">
                  <c:v>-713663.35233812174</c:v>
                </c:pt>
                <c:pt idx="5">
                  <c:v>-879279.70415556931</c:v>
                </c:pt>
                <c:pt idx="6">
                  <c:v>-1040072.2787356154</c:v>
                </c:pt>
                <c:pt idx="7">
                  <c:v>-1196181.5744443981</c:v>
                </c:pt>
                <c:pt idx="8">
                  <c:v>-1347743.9974626335</c:v>
                </c:pt>
                <c:pt idx="9">
                  <c:v>-1494891.9809754835</c:v>
                </c:pt>
                <c:pt idx="10">
                  <c:v>-1637754.1008908721</c:v>
                </c:pt>
                <c:pt idx="11">
                  <c:v>-1776455.1881873657</c:v>
                </c:pt>
                <c:pt idx="12">
                  <c:v>-1911116.4379897867</c:v>
                </c:pt>
                <c:pt idx="13">
                  <c:v>-2041855.5154678654</c:v>
                </c:pt>
                <c:pt idx="14">
                  <c:v>-2168786.6586504662</c:v>
                </c:pt>
                <c:pt idx="15">
                  <c:v>-2292020.7782452242</c:v>
                </c:pt>
                <c:pt idx="16">
                  <c:v>-2411665.5545508144</c:v>
                </c:pt>
                <c:pt idx="17">
                  <c:v>-2527825.5315465331</c:v>
                </c:pt>
                <c:pt idx="18">
                  <c:v>-2640602.2082414054</c:v>
                </c:pt>
                <c:pt idx="19">
                  <c:v>-2750094.127362641</c:v>
                </c:pt>
                <c:pt idx="20">
                  <c:v>-2856396.961460928</c:v>
                </c:pt>
                <c:pt idx="21">
                  <c:v>-2959603.5965078082</c:v>
                </c:pt>
                <c:pt idx="22">
                  <c:v>-3059804.2130581774</c:v>
                </c:pt>
                <c:pt idx="23">
                  <c:v>-3157086.3650488271</c:v>
                </c:pt>
                <c:pt idx="24">
                  <c:v>-3251535.0563018853</c:v>
                </c:pt>
                <c:pt idx="25">
                  <c:v>-3343232.8147999998</c:v>
                </c:pt>
                <c:pt idx="26">
                  <c:v>-3343232.8147999998</c:v>
                </c:pt>
                <c:pt idx="27">
                  <c:v>-3343232.8147999998</c:v>
                </c:pt>
                <c:pt idx="28">
                  <c:v>-3343232.8147999998</c:v>
                </c:pt>
                <c:pt idx="29">
                  <c:v>-3343232.8147999998</c:v>
                </c:pt>
                <c:pt idx="30">
                  <c:v>-3343232.8147999998</c:v>
                </c:pt>
                <c:pt idx="31">
                  <c:v>-3343232.8147999998</c:v>
                </c:pt>
                <c:pt idx="32">
                  <c:v>-3343232.8147999998</c:v>
                </c:pt>
                <c:pt idx="33">
                  <c:v>-3343232.8147999998</c:v>
                </c:pt>
                <c:pt idx="34">
                  <c:v>-3343232.8147999998</c:v>
                </c:pt>
                <c:pt idx="35">
                  <c:v>-3343232.8147999998</c:v>
                </c:pt>
                <c:pt idx="36">
                  <c:v>-3343232.8147999998</c:v>
                </c:pt>
                <c:pt idx="37">
                  <c:v>-3343232.8147999998</c:v>
                </c:pt>
                <c:pt idx="38">
                  <c:v>-3343232.8147999998</c:v>
                </c:pt>
                <c:pt idx="39">
                  <c:v>-3343232.8147999998</c:v>
                </c:pt>
                <c:pt idx="40">
                  <c:v>-3343232.8147999998</c:v>
                </c:pt>
                <c:pt idx="41">
                  <c:v>-3343232.8147999998</c:v>
                </c:pt>
                <c:pt idx="42">
                  <c:v>-3343232.8147999998</c:v>
                </c:pt>
                <c:pt idx="43">
                  <c:v>-3343232.8147999998</c:v>
                </c:pt>
                <c:pt idx="44">
                  <c:v>-3343232.8147999998</c:v>
                </c:pt>
                <c:pt idx="45">
                  <c:v>-3343232.8147999998</c:v>
                </c:pt>
                <c:pt idx="46">
                  <c:v>-3343232.8147999998</c:v>
                </c:pt>
                <c:pt idx="47">
                  <c:v>-3343232.8147999998</c:v>
                </c:pt>
                <c:pt idx="48">
                  <c:v>-3343232.8147999998</c:v>
                </c:pt>
                <c:pt idx="49">
                  <c:v>-3343232.8147999998</c:v>
                </c:pt>
                <c:pt idx="50">
                  <c:v>-3343232.8147999998</c:v>
                </c:pt>
              </c:numCache>
            </c:numRef>
          </c:yVal>
          <c:smooth val="0"/>
          <c:extLst>
            <c:ext xmlns:c16="http://schemas.microsoft.com/office/drawing/2014/chart" uri="{C3380CC4-5D6E-409C-BE32-E72D297353CC}">
              <c16:uniqueId val="{00000001-2861-44CA-BF8A-26AB5CAC753A}"/>
            </c:ext>
          </c:extLst>
        </c:ser>
        <c:ser>
          <c:idx val="2"/>
          <c:order val="2"/>
          <c:tx>
            <c:strRef>
              <c:f>Annuitätenzuschuss!$BE$56</c:f>
              <c:strCache>
                <c:ptCount val="1"/>
                <c:pt idx="0">
                  <c:v>Eigenkapital</c:v>
                </c:pt>
              </c:strCache>
            </c:strRef>
          </c:tx>
          <c:marker>
            <c:symbol val="none"/>
          </c:marker>
          <c:xVal>
            <c:numRef>
              <c:f>Annuitätenzuschuss!$BB$57:$BB$107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Annuitätenzuschuss!$BE$57:$BE$107</c:f>
              <c:numCache>
                <c:formatCode>#,##0.00</c:formatCode>
                <c:ptCount val="51"/>
                <c:pt idx="0" formatCode="General">
                  <c:v>0</c:v>
                </c:pt>
                <c:pt idx="1">
                  <c:v>-15334.75996893204</c:v>
                </c:pt>
                <c:pt idx="2">
                  <c:v>-30222.87644362334</c:v>
                </c:pt>
                <c:pt idx="3">
                  <c:v>-44677.358457886738</c:v>
                </c:pt>
                <c:pt idx="4">
                  <c:v>-58710.836141637614</c:v>
                </c:pt>
                <c:pt idx="5">
                  <c:v>-72335.571756929727</c:v>
                </c:pt>
                <c:pt idx="6">
                  <c:v>-85563.470412553143</c:v>
                </c:pt>
                <c:pt idx="7">
                  <c:v>-98406.090466556459</c:v>
                </c:pt>
                <c:pt idx="8">
                  <c:v>-110874.65362578297</c:v>
                </c:pt>
                <c:pt idx="9">
                  <c:v>-122980.05475124561</c:v>
                </c:pt>
                <c:pt idx="10">
                  <c:v>-134732.87137790836</c:v>
                </c:pt>
                <c:pt idx="11">
                  <c:v>-146143.37295719259</c:v>
                </c:pt>
                <c:pt idx="12">
                  <c:v>-157221.52983028407</c:v>
                </c:pt>
                <c:pt idx="13">
                  <c:v>-167977.02194008161</c:v>
                </c:pt>
                <c:pt idx="14">
                  <c:v>-178419.24728939962</c:v>
                </c:pt>
                <c:pt idx="15">
                  <c:v>-188557.33015281515</c:v>
                </c:pt>
                <c:pt idx="16">
                  <c:v>-198400.12904933511</c:v>
                </c:pt>
                <c:pt idx="17">
                  <c:v>-207956.24448284964</c:v>
                </c:pt>
                <c:pt idx="18">
                  <c:v>-217234.02645713557</c:v>
                </c:pt>
                <c:pt idx="19">
                  <c:v>-226241.58177197629</c:v>
                </c:pt>
                <c:pt idx="20">
                  <c:v>-234986.78110677309</c:v>
                </c:pt>
                <c:pt idx="21">
                  <c:v>-243477.26589783796</c:v>
                </c:pt>
                <c:pt idx="22">
                  <c:v>-251720.45501537668</c:v>
                </c:pt>
                <c:pt idx="23">
                  <c:v>-259723.55124599679</c:v>
                </c:pt>
                <c:pt idx="24">
                  <c:v>-267493.54758640466</c:v>
                </c:pt>
                <c:pt idx="25">
                  <c:v>-275037.23335379094</c:v>
                </c:pt>
                <c:pt idx="26">
                  <c:v>-282361.20011824364</c:v>
                </c:pt>
                <c:pt idx="27">
                  <c:v>-289471.84746237245</c:v>
                </c:pt>
                <c:pt idx="28">
                  <c:v>-296375.38857317716</c:v>
                </c:pt>
                <c:pt idx="29">
                  <c:v>-303077.85567104578</c:v>
                </c:pt>
                <c:pt idx="30">
                  <c:v>-309585.10528062697</c:v>
                </c:pt>
                <c:pt idx="31">
                  <c:v>-315902.82334818156</c:v>
                </c:pt>
                <c:pt idx="32">
                  <c:v>-322036.53020988504</c:v>
                </c:pt>
                <c:pt idx="33">
                  <c:v>-327991.58541542239</c:v>
                </c:pt>
                <c:pt idx="34">
                  <c:v>-333773.19241108972</c:v>
                </c:pt>
                <c:pt idx="35">
                  <c:v>-339386.40308649489</c:v>
                </c:pt>
                <c:pt idx="36">
                  <c:v>-342367.48323898466</c:v>
                </c:pt>
                <c:pt idx="37">
                  <c:v>-345261.73581421742</c:v>
                </c:pt>
                <c:pt idx="38">
                  <c:v>-348071.68977075414</c:v>
                </c:pt>
                <c:pt idx="39">
                  <c:v>-350799.8004081684</c:v>
                </c:pt>
                <c:pt idx="40">
                  <c:v>-353448.45151245408</c:v>
                </c:pt>
                <c:pt idx="41">
                  <c:v>-356019.95743894501</c:v>
                </c:pt>
                <c:pt idx="42">
                  <c:v>-358516.56513456733</c:v>
                </c:pt>
                <c:pt idx="43">
                  <c:v>-360940.45610119094</c:v>
                </c:pt>
                <c:pt idx="44">
                  <c:v>-363293.74830179638</c:v>
                </c:pt>
                <c:pt idx="45">
                  <c:v>-365578.49801112205</c:v>
                </c:pt>
                <c:pt idx="46">
                  <c:v>-367796.70161240909</c:v>
                </c:pt>
                <c:pt idx="47">
                  <c:v>-369950.29734181397</c:v>
                </c:pt>
                <c:pt idx="48">
                  <c:v>-372041.16698201292</c:v>
                </c:pt>
                <c:pt idx="49">
                  <c:v>-374071.13750647788</c:v>
                </c:pt>
                <c:pt idx="50">
                  <c:v>-376041.98267586133</c:v>
                </c:pt>
              </c:numCache>
            </c:numRef>
          </c:yVal>
          <c:smooth val="0"/>
          <c:extLst>
            <c:ext xmlns:c16="http://schemas.microsoft.com/office/drawing/2014/chart" uri="{C3380CC4-5D6E-409C-BE32-E72D297353CC}">
              <c16:uniqueId val="{00000002-2861-44CA-BF8A-26AB5CAC753A}"/>
            </c:ext>
          </c:extLst>
        </c:ser>
        <c:ser>
          <c:idx val="3"/>
          <c:order val="3"/>
          <c:tx>
            <c:strRef>
              <c:f>Annuitätenzuschuss!$BF$56</c:f>
              <c:strCache>
                <c:ptCount val="1"/>
                <c:pt idx="0">
                  <c:v>Annuitätenzuschuss</c:v>
                </c:pt>
              </c:strCache>
            </c:strRef>
          </c:tx>
          <c:marker>
            <c:symbol val="none"/>
          </c:marker>
          <c:xVal>
            <c:numRef>
              <c:f>Annuitätenzuschuss!$BB$57:$BB$107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Annuitätenzuschuss!$BF$57:$BF$107</c:f>
              <c:numCache>
                <c:formatCode>#,##0.00</c:formatCode>
                <c:ptCount val="5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yVal>
          <c:smooth val="0"/>
          <c:extLst>
            <c:ext xmlns:c16="http://schemas.microsoft.com/office/drawing/2014/chart" uri="{C3380CC4-5D6E-409C-BE32-E72D297353CC}">
              <c16:uniqueId val="{00000003-2861-44CA-BF8A-26AB5CAC753A}"/>
            </c:ext>
          </c:extLst>
        </c:ser>
        <c:ser>
          <c:idx val="4"/>
          <c:order val="4"/>
          <c:tx>
            <c:strRef>
              <c:f>Annuitätenzuschuss!$BG$56</c:f>
              <c:strCache>
                <c:ptCount val="1"/>
                <c:pt idx="0">
                  <c:v>Entgeltstundung</c:v>
                </c:pt>
              </c:strCache>
            </c:strRef>
          </c:tx>
          <c:marker>
            <c:symbol val="none"/>
          </c:marker>
          <c:xVal>
            <c:numRef>
              <c:f>Annuitätenzuschuss!$BB$57:$BB$107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Annuitätenzuschuss!$BG$57:$BG$107</c:f>
              <c:numCache>
                <c:formatCode>#,##0.00</c:formatCode>
                <c:ptCount val="51"/>
                <c:pt idx="0" formatCode="General">
                  <c:v>0</c:v>
                </c:pt>
                <c:pt idx="1">
                  <c:v>126460.81719428602</c:v>
                </c:pt>
                <c:pt idx="2">
                  <c:v>249238.30961592292</c:v>
                </c:pt>
                <c:pt idx="3">
                  <c:v>368439.75856896845</c:v>
                </c:pt>
                <c:pt idx="4">
                  <c:v>484169.32065930392</c:v>
                </c:pt>
                <c:pt idx="5">
                  <c:v>596528.11880526075</c:v>
                </c:pt>
                <c:pt idx="6">
                  <c:v>705614.33059745177</c:v>
                </c:pt>
                <c:pt idx="7">
                  <c:v>811523.27408501587</c:v>
                </c:pt>
                <c:pt idx="8">
                  <c:v>914347.49106323346</c:v>
                </c:pt>
                <c:pt idx="9">
                  <c:v>1014176.8279352894</c:v>
                </c:pt>
                <c:pt idx="10">
                  <c:v>1111098.5142188389</c:v>
                </c:pt>
                <c:pt idx="11">
                  <c:v>1205197.2387659743</c:v>
                </c:pt>
                <c:pt idx="12">
                  <c:v>1296555.223763193</c:v>
                </c:pt>
                <c:pt idx="13">
                  <c:v>1385252.2965760268</c:v>
                </c:pt>
                <c:pt idx="14">
                  <c:v>1471365.9595011082</c:v>
                </c:pt>
                <c:pt idx="15">
                  <c:v>1554971.4574866241</c:v>
                </c:pt>
                <c:pt idx="16">
                  <c:v>1636141.8438803288</c:v>
                </c:pt>
                <c:pt idx="17">
                  <c:v>1714948.0442625664</c:v>
                </c:pt>
                <c:pt idx="18">
                  <c:v>1791458.9184200787</c:v>
                </c:pt>
                <c:pt idx="19">
                  <c:v>1865741.3205147507</c:v>
                </c:pt>
                <c:pt idx="20">
                  <c:v>1937860.1574998691</c:v>
                </c:pt>
                <c:pt idx="21">
                  <c:v>2007878.4458349356</c:v>
                </c:pt>
                <c:pt idx="22">
                  <c:v>2075857.3665485925</c:v>
                </c:pt>
                <c:pt idx="23">
                  <c:v>2141856.3186977739</c:v>
                </c:pt>
                <c:pt idx="24">
                  <c:v>2205932.9712697947</c:v>
                </c:pt>
                <c:pt idx="25">
                  <c:v>2268143.3135727276</c:v>
                </c:pt>
                <c:pt idx="26">
                  <c:v>2239514.7541599297</c:v>
                </c:pt>
                <c:pt idx="27">
                  <c:v>2211720.0362834269</c:v>
                </c:pt>
                <c:pt idx="28">
                  <c:v>2184734.8732965309</c:v>
                </c:pt>
                <c:pt idx="29">
                  <c:v>2158535.6859306125</c:v>
                </c:pt>
                <c:pt idx="30">
                  <c:v>2133099.581691857</c:v>
                </c:pt>
                <c:pt idx="31">
                  <c:v>2108404.3348581134</c:v>
                </c:pt>
                <c:pt idx="32">
                  <c:v>2084428.3670583626</c:v>
                </c:pt>
                <c:pt idx="33">
                  <c:v>2061150.7284178277</c:v>
                </c:pt>
                <c:pt idx="34">
                  <c:v>2038551.07925226</c:v>
                </c:pt>
                <c:pt idx="35">
                  <c:v>449467.00826666923</c:v>
                </c:pt>
                <c:pt idx="36">
                  <c:v>449467.00826666923</c:v>
                </c:pt>
                <c:pt idx="37">
                  <c:v>449467.00826666923</c:v>
                </c:pt>
                <c:pt idx="38">
                  <c:v>449467.00826666923</c:v>
                </c:pt>
                <c:pt idx="39">
                  <c:v>449467.00826666923</c:v>
                </c:pt>
                <c:pt idx="40">
                  <c:v>449467.00826666923</c:v>
                </c:pt>
                <c:pt idx="41">
                  <c:v>449467.00826666923</c:v>
                </c:pt>
                <c:pt idx="42">
                  <c:v>449467.00826666923</c:v>
                </c:pt>
                <c:pt idx="43">
                  <c:v>449467.00826666923</c:v>
                </c:pt>
                <c:pt idx="44">
                  <c:v>449467.00826666923</c:v>
                </c:pt>
                <c:pt idx="45">
                  <c:v>449467.00826666923</c:v>
                </c:pt>
                <c:pt idx="46">
                  <c:v>449467.00826666923</c:v>
                </c:pt>
                <c:pt idx="47">
                  <c:v>449467.00826666923</c:v>
                </c:pt>
                <c:pt idx="48">
                  <c:v>449467.00826666923</c:v>
                </c:pt>
                <c:pt idx="49">
                  <c:v>449467.00826666923</c:v>
                </c:pt>
                <c:pt idx="50">
                  <c:v>449467.00826666923</c:v>
                </c:pt>
              </c:numCache>
            </c:numRef>
          </c:yVal>
          <c:smooth val="0"/>
          <c:extLst>
            <c:ext xmlns:c16="http://schemas.microsoft.com/office/drawing/2014/chart" uri="{C3380CC4-5D6E-409C-BE32-E72D297353CC}">
              <c16:uniqueId val="{00000004-2861-44CA-BF8A-26AB5CAC753A}"/>
            </c:ext>
          </c:extLst>
        </c:ser>
        <c:ser>
          <c:idx val="5"/>
          <c:order val="5"/>
          <c:tx>
            <c:v>(Mieteinnahmen)</c:v>
          </c:tx>
          <c:marker>
            <c:symbol val="none"/>
          </c:marker>
          <c:xVal>
            <c:numLit>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Lit>
          </c:xVal>
          <c:yVal>
            <c:numRef>
              <c:f>{}</c:f>
            </c:numRef>
          </c:yVal>
          <c:smooth val="0"/>
          <c:extLst>
            <c:ext xmlns:c16="http://schemas.microsoft.com/office/drawing/2014/chart" uri="{C3380CC4-5D6E-409C-BE32-E72D297353CC}">
              <c16:uniqueId val="{00000005-2861-44CA-BF8A-26AB5CAC753A}"/>
            </c:ext>
          </c:extLst>
        </c:ser>
        <c:ser>
          <c:idx val="6"/>
          <c:order val="6"/>
          <c:tx>
            <c:strRef>
              <c:f>Annuitätenzuschuss!$BI$56</c:f>
              <c:strCache>
                <c:ptCount val="1"/>
                <c:pt idx="0">
                  <c:v>Barwert Gesamt</c:v>
                </c:pt>
              </c:strCache>
            </c:strRef>
          </c:tx>
          <c:marker>
            <c:symbol val="none"/>
          </c:marker>
          <c:xVal>
            <c:numRef>
              <c:f>Annuitätenzuschuss!$BB$57:$BB$107</c:f>
              <c:numCache>
                <c:formatCode>General</c:formatCode>
                <c:ptCount val="51"/>
                <c:pt idx="0">
                  <c:v>1</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numCache>
            </c:numRef>
          </c:xVal>
          <c:yVal>
            <c:numRef>
              <c:f>Annuitätenzuschuss!$BI$57:$BI$107</c:f>
              <c:numCache>
                <c:formatCode>#,##0.00</c:formatCode>
                <c:ptCount val="51"/>
                <c:pt idx="0" formatCode="General">
                  <c:v>0</c:v>
                </c:pt>
                <c:pt idx="1">
                  <c:v>-75276.605825242717</c:v>
                </c:pt>
                <c:pt idx="2">
                  <c:v>-148360.68915072107</c:v>
                </c:pt>
                <c:pt idx="3">
                  <c:v>-219316.10985506902</c:v>
                </c:pt>
                <c:pt idx="4">
                  <c:v>-288204.8678204554</c:v>
                </c:pt>
                <c:pt idx="5">
                  <c:v>-355087.15710723825</c:v>
                </c:pt>
                <c:pt idx="6">
                  <c:v>-420021.41855071671</c:v>
                </c:pt>
                <c:pt idx="7">
                  <c:v>-483064.39082593855</c:v>
                </c:pt>
                <c:pt idx="8">
                  <c:v>-544271.16002518311</c:v>
                </c:pt>
                <c:pt idx="9">
                  <c:v>-603695.20779143996</c:v>
                </c:pt>
                <c:pt idx="10">
                  <c:v>-661388.45804994169</c:v>
                </c:pt>
                <c:pt idx="11">
                  <c:v>-717401.32237858418</c:v>
                </c:pt>
                <c:pt idx="12">
                  <c:v>-771782.74405687791</c:v>
                </c:pt>
                <c:pt idx="13">
                  <c:v>-824580.2408319203</c:v>
                </c:pt>
                <c:pt idx="14">
                  <c:v>-875839.94643875759</c:v>
                </c:pt>
                <c:pt idx="15">
                  <c:v>-925606.65091141511</c:v>
                </c:pt>
                <c:pt idx="16">
                  <c:v>-973923.83971982053</c:v>
                </c:pt>
                <c:pt idx="17">
                  <c:v>-1020833.7317668161</c:v>
                </c:pt>
                <c:pt idx="18">
                  <c:v>-1066377.3162784623</c:v>
                </c:pt>
                <c:pt idx="19">
                  <c:v>-1110594.3886198662</c:v>
                </c:pt>
                <c:pt idx="20">
                  <c:v>-1153523.5850678312</c:v>
                </c:pt>
                <c:pt idx="21">
                  <c:v>-1195202.41657071</c:v>
                </c:pt>
                <c:pt idx="22">
                  <c:v>-1235667.3015249611</c:v>
                </c:pt>
                <c:pt idx="23">
                  <c:v>-1274953.5975970495</c:v>
                </c:pt>
                <c:pt idx="24">
                  <c:v>-1313095.6326184948</c:v>
                </c:pt>
                <c:pt idx="25">
                  <c:v>-1350126.734581063</c:v>
                </c:pt>
                <c:pt idx="26">
                  <c:v>-1386079.2607583136</c:v>
                </c:pt>
                <c:pt idx="27">
                  <c:v>-1420984.6259789453</c:v>
                </c:pt>
                <c:pt idx="28">
                  <c:v>-1454873.3300766458</c:v>
                </c:pt>
                <c:pt idx="29">
                  <c:v>-1487774.9845404329</c:v>
                </c:pt>
                <c:pt idx="30">
                  <c:v>-1519718.3383887699</c:v>
                </c:pt>
                <c:pt idx="31">
                  <c:v>-1550731.3032900679</c:v>
                </c:pt>
                <c:pt idx="32">
                  <c:v>-1580840.9779515222</c:v>
                </c:pt>
                <c:pt idx="33">
                  <c:v>-1610073.6717975945</c:v>
                </c:pt>
                <c:pt idx="34">
                  <c:v>-1638454.9279588296</c:v>
                </c:pt>
                <c:pt idx="35">
                  <c:v>-3233152.2096198257</c:v>
                </c:pt>
                <c:pt idx="36">
                  <c:v>-3236133.2897723154</c:v>
                </c:pt>
                <c:pt idx="37">
                  <c:v>-3239027.5423475481</c:v>
                </c:pt>
                <c:pt idx="38">
                  <c:v>-3241837.4963040845</c:v>
                </c:pt>
                <c:pt idx="39">
                  <c:v>-3244565.6069414988</c:v>
                </c:pt>
                <c:pt idx="40">
                  <c:v>-3247214.2580457847</c:v>
                </c:pt>
                <c:pt idx="41">
                  <c:v>-3249785.7639722754</c:v>
                </c:pt>
                <c:pt idx="42">
                  <c:v>-3252282.3716678978</c:v>
                </c:pt>
                <c:pt idx="43">
                  <c:v>-3254706.2626345214</c:v>
                </c:pt>
                <c:pt idx="44">
                  <c:v>-3257059.5548351267</c:v>
                </c:pt>
                <c:pt idx="45">
                  <c:v>-3259344.3045444526</c:v>
                </c:pt>
                <c:pt idx="46">
                  <c:v>-3261562.5081457398</c:v>
                </c:pt>
                <c:pt idx="47">
                  <c:v>-3263716.1038751449</c:v>
                </c:pt>
                <c:pt idx="48">
                  <c:v>-3265806.9735153439</c:v>
                </c:pt>
                <c:pt idx="49">
                  <c:v>-3267836.9440398091</c:v>
                </c:pt>
                <c:pt idx="50">
                  <c:v>-3269807.7892091926</c:v>
                </c:pt>
              </c:numCache>
            </c:numRef>
          </c:yVal>
          <c:smooth val="0"/>
          <c:extLst>
            <c:ext xmlns:c16="http://schemas.microsoft.com/office/drawing/2014/chart" uri="{C3380CC4-5D6E-409C-BE32-E72D297353CC}">
              <c16:uniqueId val="{00000006-2861-44CA-BF8A-26AB5CAC753A}"/>
            </c:ext>
          </c:extLst>
        </c:ser>
        <c:dLbls>
          <c:showLegendKey val="0"/>
          <c:showVal val="0"/>
          <c:showCatName val="0"/>
          <c:showSerName val="0"/>
          <c:showPercent val="0"/>
          <c:showBubbleSize val="0"/>
        </c:dLbls>
        <c:axId val="588702848"/>
        <c:axId val="588704384"/>
      </c:scatterChart>
      <c:valAx>
        <c:axId val="588702848"/>
        <c:scaling>
          <c:orientation val="minMax"/>
          <c:max val="50"/>
        </c:scaling>
        <c:delete val="0"/>
        <c:axPos val="b"/>
        <c:numFmt formatCode="General" sourceLinked="1"/>
        <c:majorTickMark val="out"/>
        <c:minorTickMark val="none"/>
        <c:tickLblPos val="nextTo"/>
        <c:crossAx val="588704384"/>
        <c:crosses val="autoZero"/>
        <c:crossBetween val="midCat"/>
      </c:valAx>
      <c:valAx>
        <c:axId val="588704384"/>
        <c:scaling>
          <c:orientation val="minMax"/>
        </c:scaling>
        <c:delete val="0"/>
        <c:axPos val="l"/>
        <c:majorGridlines/>
        <c:numFmt formatCode="General" sourceLinked="1"/>
        <c:majorTickMark val="out"/>
        <c:minorTickMark val="none"/>
        <c:tickLblPos val="nextTo"/>
        <c:crossAx val="58870284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Drop" dropStyle="combo" dx="16" fmlaRange="LISTEN!$E$41" noThreeD="1" sel="0" val="0"/>
</file>

<file path=xl/ctrlProps/ctrlProp10.xml><?xml version="1.0" encoding="utf-8"?>
<formControlPr xmlns="http://schemas.microsoft.com/office/spreadsheetml/2009/9/main" objectType="CheckBox" fmlaLink="$AA$63" lockText="1" noThreeD="1"/>
</file>

<file path=xl/ctrlProps/ctrlProp11.xml><?xml version="1.0" encoding="utf-8"?>
<formControlPr xmlns="http://schemas.microsoft.com/office/spreadsheetml/2009/9/main" objectType="CheckBox" fmlaLink="$X$63"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checked="Checked" firstButton="1" fmlaLink="$W$24"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Drop" dropStyle="combo" dx="16" fmlaLink="$W$22" fmlaRange="LISTEN!$F$22:$F$25" noThreeD="1" sel="1" val="0"/>
</file>

<file path=xl/ctrlProps/ctrlProp16.xml><?xml version="1.0" encoding="utf-8"?>
<formControlPr xmlns="http://schemas.microsoft.com/office/spreadsheetml/2009/9/main" objectType="Drop" dropStyle="combo" dx="16" fmlaLink="$X$22" fmlaRange="LISTEN!$F$22:$F$25" noThreeD="1" sel="2" val="0"/>
</file>

<file path=xl/ctrlProps/ctrlProp17.xml><?xml version="1.0" encoding="utf-8"?>
<formControlPr xmlns="http://schemas.microsoft.com/office/spreadsheetml/2009/9/main" objectType="Drop" dropStyle="combo" dx="16" fmlaLink="$Y$22" fmlaRange="LISTEN!$F$22:$F$25" noThreeD="1" sel="3" val="0"/>
</file>

<file path=xl/ctrlProps/ctrlProp18.xml><?xml version="1.0" encoding="utf-8"?>
<formControlPr xmlns="http://schemas.microsoft.com/office/spreadsheetml/2009/9/main" objectType="Drop" dropStyle="combo" dx="16" fmlaLink="$Z$22" fmlaRange="LISTEN!$F$22:$F$25" noThreeD="1" sel="4" val="0"/>
</file>

<file path=xl/ctrlProps/ctrlProp19.xml><?xml version="1.0" encoding="utf-8"?>
<formControlPr xmlns="http://schemas.microsoft.com/office/spreadsheetml/2009/9/main" objectType="Drop" dropStyle="combo" dx="16" fmlaLink="$E$58" fmlaRange="LISTEN!$F$21:$F$25" noThreeD="1" sel="5" val="0"/>
</file>

<file path=xl/ctrlProps/ctrlProp2.xml><?xml version="1.0" encoding="utf-8"?>
<formControlPr xmlns="http://schemas.microsoft.com/office/spreadsheetml/2009/9/main" objectType="CheckBox" fmlaLink="$Z$63" lockText="1" noThreeD="1"/>
</file>

<file path=xl/ctrlProps/ctrlProp20.xml><?xml version="1.0" encoding="utf-8"?>
<formControlPr xmlns="http://schemas.microsoft.com/office/spreadsheetml/2009/9/main" objectType="GBox" noThreeD="1"/>
</file>

<file path=xl/ctrlProps/ctrlProp21.xml><?xml version="1.0" encoding="utf-8"?>
<formControlPr xmlns="http://schemas.microsoft.com/office/spreadsheetml/2009/9/main" objectType="Radio" checked="Checked" firstButton="1" fmlaLink="$AA$23"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Drop" dropLines="3" dropStyle="combo" dx="16" fmlaLink="$AA$25" fmlaRange="LISTEN!$G$16:$G$18" noThreeD="1" sel="1" val="0"/>
</file>

<file path=xl/ctrlProps/ctrlProp27.xml><?xml version="1.0" encoding="utf-8"?>
<formControlPr xmlns="http://schemas.microsoft.com/office/spreadsheetml/2009/9/main" objectType="Drop" dropStyle="combo" dx="16" fmlaLink="$D$12" fmlaRange="LISTEN!$C$36:$C$39" noThreeD="1" sel="1" val="0"/>
</file>

<file path=xl/ctrlProps/ctrlProp28.xml><?xml version="1.0" encoding="utf-8"?>
<formControlPr xmlns="http://schemas.microsoft.com/office/spreadsheetml/2009/9/main" objectType="Drop" dropLines="2" dropStyle="combo" dx="16" fmlaLink="$AA$83" fmlaRange="LISTEN!$E$43:$E$44" noThreeD="1" sel="1" val="0"/>
</file>

<file path=xl/ctrlProps/ctrlProp29.xml><?xml version="1.0" encoding="utf-8"?>
<formControlPr xmlns="http://schemas.microsoft.com/office/spreadsheetml/2009/9/main" objectType="Drop" dropLines="9" dropStyle="combo" dx="16" fmlaLink="$B$15" fmlaRange="LISTEN!$C$6:$C$14" noThreeD="1" sel="9" val="0"/>
</file>

<file path=xl/ctrlProps/ctrlProp3.xml><?xml version="1.0" encoding="utf-8"?>
<formControlPr xmlns="http://schemas.microsoft.com/office/spreadsheetml/2009/9/main" objectType="CheckBox" fmlaLink="$Y$63" lockText="1" noThreeD="1"/>
</file>

<file path=xl/ctrlProps/ctrlProp30.xml><?xml version="1.0" encoding="utf-8"?>
<formControlPr xmlns="http://schemas.microsoft.com/office/spreadsheetml/2009/9/main" objectType="Drop" dropLines="9" dropStyle="combo" dx="16" fmlaLink="$B$16" fmlaRange="LISTEN!$C$6:$C$14" noThreeD="1" sel="1" val="0"/>
</file>

<file path=xl/ctrlProps/ctrlProp31.xml><?xml version="1.0" encoding="utf-8"?>
<formControlPr xmlns="http://schemas.microsoft.com/office/spreadsheetml/2009/9/main" objectType="Drop" dropLines="9" dropStyle="combo" dx="16" fmlaLink="$B$17" fmlaRange="LISTEN!$C$6:$C$14" noThreeD="1" sel="9" val="0"/>
</file>

<file path=xl/ctrlProps/ctrlProp32.xml><?xml version="1.0" encoding="utf-8"?>
<formControlPr xmlns="http://schemas.microsoft.com/office/spreadsheetml/2009/9/main" objectType="Drop" dropLines="9" dropStyle="combo" dx="16" fmlaLink="$B$18" fmlaRange="LISTEN!$C$6:$C$14" noThreeD="1" sel="1" val="0"/>
</file>

<file path=xl/ctrlProps/ctrlProp33.xml><?xml version="1.0" encoding="utf-8"?>
<formControlPr xmlns="http://schemas.microsoft.com/office/spreadsheetml/2009/9/main" objectType="Drop" dropLines="9" dropStyle="combo" dx="16" fmlaLink="$B$19" fmlaRange="LISTEN!$C$6:$C$14" noThreeD="1" sel="1" val="0"/>
</file>

<file path=xl/ctrlProps/ctrlProp34.xml><?xml version="1.0" encoding="utf-8"?>
<formControlPr xmlns="http://schemas.microsoft.com/office/spreadsheetml/2009/9/main" objectType="Drop" dropLines="9" dropStyle="combo" dx="16" fmlaLink="$B$20" fmlaRange="LISTEN!$C$6:$C$14" noThreeD="1" sel="1" val="0"/>
</file>

<file path=xl/ctrlProps/ctrlProp35.xml><?xml version="1.0" encoding="utf-8"?>
<formControlPr xmlns="http://schemas.microsoft.com/office/spreadsheetml/2009/9/main" objectType="Drop" dropLines="9" dropStyle="combo" dx="16" fmlaLink="$B$30" fmlaRange="LISTEN!$C$6:$C$14" noThreeD="1" sel="1" val="0"/>
</file>

<file path=xl/ctrlProps/ctrlProp36.xml><?xml version="1.0" encoding="utf-8"?>
<formControlPr xmlns="http://schemas.microsoft.com/office/spreadsheetml/2009/9/main" objectType="Drop" dropLines="9" dropStyle="combo" dx="16" fmlaLink="$B$31" fmlaRange="LISTEN!$C$6:$C$14" noThreeD="1" sel="1" val="0"/>
</file>

<file path=xl/ctrlProps/ctrlProp37.xml><?xml version="1.0" encoding="utf-8"?>
<formControlPr xmlns="http://schemas.microsoft.com/office/spreadsheetml/2009/9/main" objectType="Drop" dropLines="9" dropStyle="combo" dx="16" fmlaLink="$B$32" fmlaRange="LISTEN!$C$6:$C$14" noThreeD="1" sel="1" val="0"/>
</file>

<file path=xl/ctrlProps/ctrlProp38.xml><?xml version="1.0" encoding="utf-8"?>
<formControlPr xmlns="http://schemas.microsoft.com/office/spreadsheetml/2009/9/main" objectType="Drop" dropLines="9" dropStyle="combo" dx="16" fmlaLink="$B$46" fmlaRange="LISTEN!$C$6:$C$14" noThreeD="1" sel="1" val="0"/>
</file>

<file path=xl/ctrlProps/ctrlProp39.xml><?xml version="1.0" encoding="utf-8"?>
<formControlPr xmlns="http://schemas.microsoft.com/office/spreadsheetml/2009/9/main" objectType="Drop" dropLines="9" dropStyle="combo" dx="16" fmlaLink="$B$47" fmlaRange="LISTEN!$C$6:$C$14" noThreeD="1" sel="1" val="0"/>
</file>

<file path=xl/ctrlProps/ctrlProp4.xml><?xml version="1.0" encoding="utf-8"?>
<formControlPr xmlns="http://schemas.microsoft.com/office/spreadsheetml/2009/9/main" objectType="CheckBox" fmlaLink="$AG$63" lockText="1" noThreeD="1"/>
</file>

<file path=xl/ctrlProps/ctrlProp40.xml><?xml version="1.0" encoding="utf-8"?>
<formControlPr xmlns="http://schemas.microsoft.com/office/spreadsheetml/2009/9/main" objectType="Drop" dropLines="9" dropStyle="combo" dx="16" fmlaLink="$B$48" fmlaRange="LISTEN!$C$6:$C$14" noThreeD="1" sel="1" val="0"/>
</file>

<file path=xl/ctrlProps/ctrlProp41.xml><?xml version="1.0" encoding="utf-8"?>
<formControlPr xmlns="http://schemas.microsoft.com/office/spreadsheetml/2009/9/main" objectType="Drop" dropLines="9" dropStyle="combo" dx="16" fmlaLink="$B$49" fmlaRange="LISTEN!$C$6:$C$14" noThreeD="1" sel="1" val="0"/>
</file>

<file path=xl/ctrlProps/ctrlProp42.xml><?xml version="1.0" encoding="utf-8"?>
<formControlPr xmlns="http://schemas.microsoft.com/office/spreadsheetml/2009/9/main" objectType="Drop" dropLines="9" dropStyle="combo" dx="16" fmlaLink="$B$50" fmlaRange="LISTEN!$C$6:$C$14" noThreeD="1" sel="1" val="0"/>
</file>

<file path=xl/ctrlProps/ctrlProp43.xml><?xml version="1.0" encoding="utf-8"?>
<formControlPr xmlns="http://schemas.microsoft.com/office/spreadsheetml/2009/9/main" objectType="Drop" dropLines="9" dropStyle="combo" dx="16" fmlaLink="$B$51" fmlaRange="LISTEN!$C$6:$C$14" noThreeD="1" sel="1" val="0"/>
</file>

<file path=xl/ctrlProps/ctrlProp44.xml><?xml version="1.0" encoding="utf-8"?>
<formControlPr xmlns="http://schemas.microsoft.com/office/spreadsheetml/2009/9/main" objectType="Drop" dropLines="9" dropStyle="combo" dx="16" fmlaLink="$B$61" fmlaRange="LISTEN!$C$6:$C$14" noThreeD="1" sel="1" val="0"/>
</file>

<file path=xl/ctrlProps/ctrlProp45.xml><?xml version="1.0" encoding="utf-8"?>
<formControlPr xmlns="http://schemas.microsoft.com/office/spreadsheetml/2009/9/main" objectType="Drop" dropLines="9" dropStyle="combo" dx="16" fmlaLink="$B$62" fmlaRange="LISTEN!$C$6:$C$14" noThreeD="1" sel="1" val="0"/>
</file>

<file path=xl/ctrlProps/ctrlProp46.xml><?xml version="1.0" encoding="utf-8"?>
<formControlPr xmlns="http://schemas.microsoft.com/office/spreadsheetml/2009/9/main" objectType="Drop" dropLines="9" dropStyle="combo" dx="16" fmlaLink="$B$63" fmlaRange="LISTEN!$C$6:$C$14" noThreeD="1" sel="1" val="0"/>
</file>

<file path=xl/ctrlProps/ctrlProp47.xml><?xml version="1.0" encoding="utf-8"?>
<formControlPr xmlns="http://schemas.microsoft.com/office/spreadsheetml/2009/9/main" objectType="Drop" dropLines="9" dropStyle="combo" dx="16" fmlaLink="$B$77" fmlaRange="LISTEN!$C$6:$C$14" noThreeD="1" sel="1" val="0"/>
</file>

<file path=xl/ctrlProps/ctrlProp48.xml><?xml version="1.0" encoding="utf-8"?>
<formControlPr xmlns="http://schemas.microsoft.com/office/spreadsheetml/2009/9/main" objectType="Drop" dropLines="9" dropStyle="combo" dx="16" fmlaLink="$B$79" fmlaRange="LISTEN!$C$6:$C$14" noThreeD="1" sel="1" val="0"/>
</file>

<file path=xl/ctrlProps/ctrlProp49.xml><?xml version="1.0" encoding="utf-8"?>
<formControlPr xmlns="http://schemas.microsoft.com/office/spreadsheetml/2009/9/main" objectType="Drop" dropLines="9" dropStyle="combo" dx="16" fmlaLink="$B$108" fmlaRange="LISTEN!$C$6:$C$14" noThreeD="1" sel="1" val="0"/>
</file>

<file path=xl/ctrlProps/ctrlProp5.xml><?xml version="1.0" encoding="utf-8"?>
<formControlPr xmlns="http://schemas.microsoft.com/office/spreadsheetml/2009/9/main" objectType="CheckBox" fmlaLink="$AF$63" lockText="1" noThreeD="1"/>
</file>

<file path=xl/ctrlProps/ctrlProp50.xml><?xml version="1.0" encoding="utf-8"?>
<formControlPr xmlns="http://schemas.microsoft.com/office/spreadsheetml/2009/9/main" objectType="Drop" dropLines="9" dropStyle="combo" dx="16" fmlaLink="$B$110" fmlaRange="LISTEN!$C$6:$C$14" noThreeD="1" sel="1" val="0"/>
</file>

<file path=xl/ctrlProps/ctrlProp51.xml><?xml version="1.0" encoding="utf-8"?>
<formControlPr xmlns="http://schemas.microsoft.com/office/spreadsheetml/2009/9/main" objectType="Drop" dropLines="9" dropStyle="combo" dx="16" fmlaLink="$B$139" fmlaRange="LISTEN!$C$6:$C$14" noThreeD="1" sel="1" val="0"/>
</file>

<file path=xl/ctrlProps/ctrlProp52.xml><?xml version="1.0" encoding="utf-8"?>
<formControlPr xmlns="http://schemas.microsoft.com/office/spreadsheetml/2009/9/main" objectType="Drop" dropLines="9" dropStyle="combo" dx="16" fmlaLink="$B$141" fmlaRange="LISTEN!$C$6:$C$14" noThreeD="1" sel="1" val="0"/>
</file>

<file path=xl/ctrlProps/ctrlProp53.xml><?xml version="1.0" encoding="utf-8"?>
<formControlPr xmlns="http://schemas.microsoft.com/office/spreadsheetml/2009/9/main" objectType="Drop" dropLines="9" dropStyle="combo" dx="16" fmlaLink="$B$78" fmlaRange="LISTEN!$C$6:$C$14" noThreeD="1" sel="1" val="0"/>
</file>

<file path=xl/ctrlProps/ctrlProp54.xml><?xml version="1.0" encoding="utf-8"?>
<formControlPr xmlns="http://schemas.microsoft.com/office/spreadsheetml/2009/9/main" objectType="Drop" dropLines="9" dropStyle="combo" dx="16" fmlaLink="$B$80" fmlaRange="LISTEN!$C$6:$C$14" noThreeD="1" sel="1" val="0"/>
</file>

<file path=xl/ctrlProps/ctrlProp55.xml><?xml version="1.0" encoding="utf-8"?>
<formControlPr xmlns="http://schemas.microsoft.com/office/spreadsheetml/2009/9/main" objectType="Drop" dropLines="9" dropStyle="combo" dx="16" fmlaLink="$B$81" fmlaRange="LISTEN!$C$6:$C$14" noThreeD="1" sel="1" val="0"/>
</file>

<file path=xl/ctrlProps/ctrlProp56.xml><?xml version="1.0" encoding="utf-8"?>
<formControlPr xmlns="http://schemas.microsoft.com/office/spreadsheetml/2009/9/main" objectType="Drop" dropLines="9" dropStyle="combo" dx="16" fmlaLink="$B$82" fmlaRange="LISTEN!$C$6:$C$14" noThreeD="1" sel="1" val="0"/>
</file>

<file path=xl/ctrlProps/ctrlProp57.xml><?xml version="1.0" encoding="utf-8"?>
<formControlPr xmlns="http://schemas.microsoft.com/office/spreadsheetml/2009/9/main" objectType="Drop" dropLines="9" dropStyle="combo" dx="16" fmlaLink="$B$92" fmlaRange="LISTEN!$C$6:$C$14" noThreeD="1" sel="1" val="0"/>
</file>

<file path=xl/ctrlProps/ctrlProp58.xml><?xml version="1.0" encoding="utf-8"?>
<formControlPr xmlns="http://schemas.microsoft.com/office/spreadsheetml/2009/9/main" objectType="Drop" dropLines="9" dropStyle="combo" dx="16" fmlaLink="$B$93" fmlaRange="LISTEN!$C$6:$C$14" noThreeD="1" sel="1" val="0"/>
</file>

<file path=xl/ctrlProps/ctrlProp59.xml><?xml version="1.0" encoding="utf-8"?>
<formControlPr xmlns="http://schemas.microsoft.com/office/spreadsheetml/2009/9/main" objectType="Drop" dropLines="9" dropStyle="combo" dx="16" fmlaLink="$B$94" fmlaRange="LISTEN!$C$6:$C$14" noThreeD="1" sel="1" val="0"/>
</file>

<file path=xl/ctrlProps/ctrlProp6.xml><?xml version="1.0" encoding="utf-8"?>
<formControlPr xmlns="http://schemas.microsoft.com/office/spreadsheetml/2009/9/main" objectType="CheckBox" fmlaLink="$AE$63" lockText="1" noThreeD="1"/>
</file>

<file path=xl/ctrlProps/ctrlProp60.xml><?xml version="1.0" encoding="utf-8"?>
<formControlPr xmlns="http://schemas.microsoft.com/office/spreadsheetml/2009/9/main" objectType="Drop" dropLines="9" dropStyle="combo" dx="16" fmlaLink="$B$109" fmlaRange="LISTEN!$C$6:$C$14" noThreeD="1" sel="1" val="0"/>
</file>

<file path=xl/ctrlProps/ctrlProp61.xml><?xml version="1.0" encoding="utf-8"?>
<formControlPr xmlns="http://schemas.microsoft.com/office/spreadsheetml/2009/9/main" objectType="Drop" dropLines="9" dropStyle="combo" dx="16" fmlaLink="$B$111" fmlaRange="LISTEN!$C$6:$C$14" noThreeD="1" sel="1" val="0"/>
</file>

<file path=xl/ctrlProps/ctrlProp62.xml><?xml version="1.0" encoding="utf-8"?>
<formControlPr xmlns="http://schemas.microsoft.com/office/spreadsheetml/2009/9/main" objectType="Drop" dropLines="9" dropStyle="combo" dx="16" fmlaLink="$B$112" fmlaRange="LISTEN!$C$6:$C$14" noThreeD="1" sel="1" val="0"/>
</file>

<file path=xl/ctrlProps/ctrlProp63.xml><?xml version="1.0" encoding="utf-8"?>
<formControlPr xmlns="http://schemas.microsoft.com/office/spreadsheetml/2009/9/main" objectType="Drop" dropLines="9" dropStyle="combo" dx="16" fmlaLink="$B$113" fmlaRange="LISTEN!$C$6:$C$14" noThreeD="1" sel="1" val="0"/>
</file>

<file path=xl/ctrlProps/ctrlProp64.xml><?xml version="1.0" encoding="utf-8"?>
<formControlPr xmlns="http://schemas.microsoft.com/office/spreadsheetml/2009/9/main" objectType="Drop" dropLines="9" dropStyle="combo" dx="16" fmlaLink="$B$123" fmlaRange="LISTEN!$C$6:$C$14" noThreeD="1" sel="1" val="0"/>
</file>

<file path=xl/ctrlProps/ctrlProp65.xml><?xml version="1.0" encoding="utf-8"?>
<formControlPr xmlns="http://schemas.microsoft.com/office/spreadsheetml/2009/9/main" objectType="Drop" dropLines="9" dropStyle="combo" dx="16" fmlaLink="$B$124" fmlaRange="LISTEN!$C$6:$C$14" noThreeD="1" sel="1" val="0"/>
</file>

<file path=xl/ctrlProps/ctrlProp66.xml><?xml version="1.0" encoding="utf-8"?>
<formControlPr xmlns="http://schemas.microsoft.com/office/spreadsheetml/2009/9/main" objectType="Drop" dropLines="9" dropStyle="combo" dx="16" fmlaLink="$B$125" fmlaRange="LISTEN!$C$6:$C$14" noThreeD="1" sel="1" val="0"/>
</file>

<file path=xl/ctrlProps/ctrlProp67.xml><?xml version="1.0" encoding="utf-8"?>
<formControlPr xmlns="http://schemas.microsoft.com/office/spreadsheetml/2009/9/main" objectType="Drop" dropLines="9" dropStyle="combo" dx="16" fmlaLink="$B$140" fmlaRange="LISTEN!$C$6:$C$14" noThreeD="1" sel="1" val="0"/>
</file>

<file path=xl/ctrlProps/ctrlProp68.xml><?xml version="1.0" encoding="utf-8"?>
<formControlPr xmlns="http://schemas.microsoft.com/office/spreadsheetml/2009/9/main" objectType="Drop" dropLines="9" dropStyle="combo" dx="16" fmlaLink="$B$142" fmlaRange="LISTEN!$C$6:$C$14" noThreeD="1" sel="1" val="0"/>
</file>

<file path=xl/ctrlProps/ctrlProp69.xml><?xml version="1.0" encoding="utf-8"?>
<formControlPr xmlns="http://schemas.microsoft.com/office/spreadsheetml/2009/9/main" objectType="Drop" dropLines="9" dropStyle="combo" dx="16" fmlaLink="$B$143" fmlaRange="LISTEN!$C$6:$C$14" noThreeD="1" sel="1" val="0"/>
</file>

<file path=xl/ctrlProps/ctrlProp7.xml><?xml version="1.0" encoding="utf-8"?>
<formControlPr xmlns="http://schemas.microsoft.com/office/spreadsheetml/2009/9/main" objectType="CheckBox" checked="Checked" fmlaLink="$AD$63" lockText="1" noThreeD="1"/>
</file>

<file path=xl/ctrlProps/ctrlProp70.xml><?xml version="1.0" encoding="utf-8"?>
<formControlPr xmlns="http://schemas.microsoft.com/office/spreadsheetml/2009/9/main" objectType="Drop" dropLines="9" dropStyle="combo" dx="16" fmlaLink="$B$144" fmlaRange="LISTEN!$C$6:$C$14" noThreeD="1" sel="1" val="0"/>
</file>

<file path=xl/ctrlProps/ctrlProp71.xml><?xml version="1.0" encoding="utf-8"?>
<formControlPr xmlns="http://schemas.microsoft.com/office/spreadsheetml/2009/9/main" objectType="Drop" dropLines="9" dropStyle="combo" dx="16" fmlaLink="$B$154" fmlaRange="LISTEN!$C$6:$C$14" noThreeD="1" sel="1" val="0"/>
</file>

<file path=xl/ctrlProps/ctrlProp72.xml><?xml version="1.0" encoding="utf-8"?>
<formControlPr xmlns="http://schemas.microsoft.com/office/spreadsheetml/2009/9/main" objectType="Drop" dropLines="9" dropStyle="combo" dx="16" fmlaLink="$B$155" fmlaRange="LISTEN!$C$6:$C$14" noThreeD="1" sel="1" val="0"/>
</file>

<file path=xl/ctrlProps/ctrlProp73.xml><?xml version="1.0" encoding="utf-8"?>
<formControlPr xmlns="http://schemas.microsoft.com/office/spreadsheetml/2009/9/main" objectType="Drop" dropLines="9" dropStyle="combo" dx="16" fmlaLink="$B$156" fmlaRange="LISTEN!$C$6:$C$14" noThreeD="1" sel="1" val="0"/>
</file>

<file path=xl/ctrlProps/ctrlProp74.xml><?xml version="1.0" encoding="utf-8"?>
<formControlPr xmlns="http://schemas.microsoft.com/office/spreadsheetml/2009/9/main" objectType="Drop" dropStyle="combo" dx="16" fmlaLink="$U$133" fmlaRange="$S$14:$S$18" noThreeD="1" sel="5" val="0"/>
</file>

<file path=xl/ctrlProps/ctrlProp75.xml><?xml version="1.0" encoding="utf-8"?>
<formControlPr xmlns="http://schemas.microsoft.com/office/spreadsheetml/2009/9/main" objectType="Drop" dropLines="9" dropStyle="combo" dx="16" fmlaLink="$B$154" fmlaRange="LISTEN!$C$6:$C$14" noThreeD="1" sel="1" val="0"/>
</file>

<file path=xl/ctrlProps/ctrlProp76.xml><?xml version="1.0" encoding="utf-8"?>
<formControlPr xmlns="http://schemas.microsoft.com/office/spreadsheetml/2009/9/main" objectType="Drop" dropLines="9" dropStyle="combo" dx="16" fmlaLink="$B$155" fmlaRange="LISTEN!$C$6:$C$14" noThreeD="1" sel="1" val="0"/>
</file>

<file path=xl/ctrlProps/ctrlProp77.xml><?xml version="1.0" encoding="utf-8"?>
<formControlPr xmlns="http://schemas.microsoft.com/office/spreadsheetml/2009/9/main" objectType="Drop" dropLines="9" dropStyle="combo" dx="16" fmlaLink="$B$156" fmlaRange="LISTEN!$C$6:$C$14" noThreeD="1" sel="1" val="0"/>
</file>

<file path=xl/ctrlProps/ctrlProp78.xml><?xml version="1.0" encoding="utf-8"?>
<formControlPr xmlns="http://schemas.microsoft.com/office/spreadsheetml/2009/9/main" objectType="Drop" dropLines="9" dropStyle="combo" dx="16" fmlaLink="$B$140" fmlaRange="LISTEN!$C$6:$C$14" noThreeD="1" sel="1" val="0"/>
</file>

<file path=xl/ctrlProps/ctrlProp79.xml><?xml version="1.0" encoding="utf-8"?>
<formControlPr xmlns="http://schemas.microsoft.com/office/spreadsheetml/2009/9/main" objectType="Drop" dropLines="9" dropStyle="combo" dx="16" fmlaLink="$B$141" fmlaRange="LISTEN!$C$6:$C$14" noThreeD="1" sel="1" val="0"/>
</file>

<file path=xl/ctrlProps/ctrlProp8.xml><?xml version="1.0" encoding="utf-8"?>
<formControlPr xmlns="http://schemas.microsoft.com/office/spreadsheetml/2009/9/main" objectType="CheckBox" fmlaLink="$AC$63" lockText="1" noThreeD="1"/>
</file>

<file path=xl/ctrlProps/ctrlProp80.xml><?xml version="1.0" encoding="utf-8"?>
<formControlPr xmlns="http://schemas.microsoft.com/office/spreadsheetml/2009/9/main" objectType="Drop" dropLines="9" dropStyle="combo" dx="16" fmlaLink="$B$142" fmlaRange="LISTEN!$C$6:$C$14" noThreeD="1" sel="1" val="0"/>
</file>

<file path=xl/ctrlProps/ctrlProp81.xml><?xml version="1.0" encoding="utf-8"?>
<formControlPr xmlns="http://schemas.microsoft.com/office/spreadsheetml/2009/9/main" objectType="Drop" dropLines="9" dropStyle="combo" dx="16" fmlaLink="$B$143" fmlaRange="LISTEN!$C$6:$C$14" noThreeD="1" sel="1" val="0"/>
</file>

<file path=xl/ctrlProps/ctrlProp82.xml><?xml version="1.0" encoding="utf-8"?>
<formControlPr xmlns="http://schemas.microsoft.com/office/spreadsheetml/2009/9/main" objectType="Drop" dropLines="9" dropStyle="combo" dx="16" fmlaLink="$B$144" fmlaRange="LISTEN!$C$6:$C$14" noThreeD="1" sel="1" val="0"/>
</file>

<file path=xl/ctrlProps/ctrlProp83.xml><?xml version="1.0" encoding="utf-8"?>
<formControlPr xmlns="http://schemas.microsoft.com/office/spreadsheetml/2009/9/main" objectType="Drop" dropStyle="combo" dx="16" fmlaLink="$U$102" fmlaRange="$S$14:$S$17" noThreeD="1" sel="2" val="0"/>
</file>

<file path=xl/ctrlProps/ctrlProp84.xml><?xml version="1.0" encoding="utf-8"?>
<formControlPr xmlns="http://schemas.microsoft.com/office/spreadsheetml/2009/9/main" objectType="Drop" dropStyle="combo" dx="16" fmlaLink="$U$71" fmlaRange="$S$14:$S$16" noThreeD="1" sel="2" val="0"/>
</file>

<file path=xl/ctrlProps/ctrlProp85.xml><?xml version="1.0" encoding="utf-8"?>
<formControlPr xmlns="http://schemas.microsoft.com/office/spreadsheetml/2009/9/main" objectType="Drop" dropStyle="combo" dx="16" fmlaLink="$U$40" fmlaRange="$S$14:$S$15" noThreeD="1" sel="2" val="0"/>
</file>

<file path=xl/ctrlProps/ctrlProp86.xml><?xml version="1.0" encoding="utf-8"?>
<formControlPr xmlns="http://schemas.microsoft.com/office/spreadsheetml/2009/9/main" objectType="Drop" dropStyle="combo" dx="16" fmlaLink="$AL$20" fmlaRange="$AN$12:$AN$13" noThreeD="1" sel="2" val="0"/>
</file>

<file path=xl/ctrlProps/ctrlProp87.xml><?xml version="1.0" encoding="utf-8"?>
<formControlPr xmlns="http://schemas.microsoft.com/office/spreadsheetml/2009/9/main" objectType="Drop" dropStyle="combo" dx="16" fmlaLink="$AL$20" fmlaRange="$AN$12:$AN$14" noThreeD="1" sel="3" val="0"/>
</file>

<file path=xl/ctrlProps/ctrlProp88.xml><?xml version="1.0" encoding="utf-8"?>
<formControlPr xmlns="http://schemas.microsoft.com/office/spreadsheetml/2009/9/main" objectType="Drop" dropStyle="combo" dx="16" fmlaLink="$AL$20" fmlaRange="$AN$12:$AN$15" noThreeD="1" sel="4" val="0"/>
</file>

<file path=xl/ctrlProps/ctrlProp89.xml><?xml version="1.0" encoding="utf-8"?>
<formControlPr xmlns="http://schemas.microsoft.com/office/spreadsheetml/2009/9/main" objectType="Drop" dropStyle="combo" dx="16" fmlaLink="$AL$20" fmlaRange="$AN$12:$AN$16" noThreeD="1" sel="5" val="0"/>
</file>

<file path=xl/ctrlProps/ctrlProp9.xml><?xml version="1.0" encoding="utf-8"?>
<formControlPr xmlns="http://schemas.microsoft.com/office/spreadsheetml/2009/9/main" objectType="CheckBox" fmlaLink="$AB$63" lockText="1" noThreeD="1"/>
</file>

<file path=xl/drawings/_rels/drawing1.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10.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11.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12.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13.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14.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15.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16.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17.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19.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26" Type="http://schemas.openxmlformats.org/officeDocument/2006/relationships/chart" Target="../charts/chart32.xml"/><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chart" Target="../charts/chart31.xml"/><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29" Type="http://schemas.openxmlformats.org/officeDocument/2006/relationships/chart" Target="../charts/chart35.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28" Type="http://schemas.openxmlformats.org/officeDocument/2006/relationships/chart" Target="../charts/chart34.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 Id="rId27" Type="http://schemas.openxmlformats.org/officeDocument/2006/relationships/chart" Target="../charts/chart33.xml"/><Relationship Id="rId30"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3.xml.rels><?xml version="1.0" encoding="UTF-8" standalone="yes"?>
<Relationships xmlns="http://schemas.openxmlformats.org/package/2006/relationships"><Relationship Id="rId8" Type="http://schemas.openxmlformats.org/officeDocument/2006/relationships/hyperlink" Target="#'E.1 Kosten'!Z1S1"/><Relationship Id="rId13" Type="http://schemas.openxmlformats.org/officeDocument/2006/relationships/hyperlink" Target="#'3.2 I&amp;W'!Z1S1"/><Relationship Id="rId18" Type="http://schemas.openxmlformats.org/officeDocument/2006/relationships/hyperlink" Target="#'3.4 Fi&amp;Fo'!Z1S1"/><Relationship Id="rId3" Type="http://schemas.openxmlformats.org/officeDocument/2006/relationships/chart" Target="../charts/chart3.xml"/><Relationship Id="rId21" Type="http://schemas.openxmlformats.org/officeDocument/2006/relationships/image" Target="../media/image1.jpg"/><Relationship Id="rId7" Type="http://schemas.openxmlformats.org/officeDocument/2006/relationships/hyperlink" Target="#'2. Energie KW.'!Z1S1"/><Relationship Id="rId12" Type="http://schemas.openxmlformats.org/officeDocument/2006/relationships/hyperlink" Target="#'3.1 Fi&amp;Fo'!Z1S1"/><Relationship Id="rId17" Type="http://schemas.openxmlformats.org/officeDocument/2006/relationships/hyperlink" Target="#'3.4 I&amp;W'!Z1S1"/><Relationship Id="rId2" Type="http://schemas.openxmlformats.org/officeDocument/2006/relationships/chart" Target="../charts/chart2.xml"/><Relationship Id="rId16" Type="http://schemas.openxmlformats.org/officeDocument/2006/relationships/hyperlink" Target="#'3.3 Fi&amp;Fo'!Z1S1"/><Relationship Id="rId20" Type="http://schemas.openxmlformats.org/officeDocument/2006/relationships/hyperlink" Target="#'3.5 Fi&amp;Fo'!Z1S1"/><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hyperlink" Target="#'3.1 I&amp;W'!Z1S1"/><Relationship Id="rId5" Type="http://schemas.openxmlformats.org/officeDocument/2006/relationships/chart" Target="../charts/chart5.xml"/><Relationship Id="rId15" Type="http://schemas.openxmlformats.org/officeDocument/2006/relationships/hyperlink" Target="#'3.3 I&amp;W'!Z1S1"/><Relationship Id="rId10" Type="http://schemas.openxmlformats.org/officeDocument/2006/relationships/hyperlink" Target="#'1. Projektangaben'!Z1S1"/><Relationship Id="rId19" Type="http://schemas.openxmlformats.org/officeDocument/2006/relationships/hyperlink" Target="#'3.5 I&amp;W'!Z1S1"/><Relationship Id="rId4" Type="http://schemas.openxmlformats.org/officeDocument/2006/relationships/chart" Target="../charts/chart4.xml"/><Relationship Id="rId9" Type="http://schemas.openxmlformats.org/officeDocument/2006/relationships/hyperlink" Target="#'E.2 Wirtschaftlichkeit'!Z1S1"/><Relationship Id="rId14" Type="http://schemas.openxmlformats.org/officeDocument/2006/relationships/hyperlink" Target="#'3.2 Fi&amp;Fo'!Z1S1"/></Relationships>
</file>

<file path=xl/drawings/_rels/drawing6.xml.rels><?xml version="1.0" encoding="UTF-8" standalone="yes"?>
<Relationships xmlns="http://schemas.openxmlformats.org/package/2006/relationships"><Relationship Id="rId8" Type="http://schemas.openxmlformats.org/officeDocument/2006/relationships/hyperlink" Target="#'3.1 Fi&amp;Fo'!Z1S1"/><Relationship Id="rId13" Type="http://schemas.openxmlformats.org/officeDocument/2006/relationships/hyperlink" Target="#'3.4 I&amp;W'!Z1S1"/><Relationship Id="rId3" Type="http://schemas.openxmlformats.org/officeDocument/2006/relationships/hyperlink" Target="#'2. Energie KW.'!Z1S1"/><Relationship Id="rId7" Type="http://schemas.openxmlformats.org/officeDocument/2006/relationships/hyperlink" Target="#'3.1 I&amp;W'!Z1S1"/><Relationship Id="rId12" Type="http://schemas.openxmlformats.org/officeDocument/2006/relationships/hyperlink" Target="#'3.3 Fi&amp;Fo'!Z1S1"/><Relationship Id="rId17" Type="http://schemas.openxmlformats.org/officeDocument/2006/relationships/image" Target="../media/image1.jpg"/><Relationship Id="rId2" Type="http://schemas.openxmlformats.org/officeDocument/2006/relationships/image" Target="../media/image3.png"/><Relationship Id="rId16" Type="http://schemas.openxmlformats.org/officeDocument/2006/relationships/hyperlink" Target="#'3.5 Fi&amp;Fo'!Z1S1"/><Relationship Id="rId1" Type="http://schemas.openxmlformats.org/officeDocument/2006/relationships/image" Target="../media/image2.png"/><Relationship Id="rId6" Type="http://schemas.openxmlformats.org/officeDocument/2006/relationships/hyperlink" Target="#'1. Projektangaben'!Z1S1"/><Relationship Id="rId11" Type="http://schemas.openxmlformats.org/officeDocument/2006/relationships/hyperlink" Target="#'3.3 I&amp;W'!Z1S1"/><Relationship Id="rId5" Type="http://schemas.openxmlformats.org/officeDocument/2006/relationships/hyperlink" Target="#'E.2 Wirtschaftlichkeit'!Z1S1"/><Relationship Id="rId15" Type="http://schemas.openxmlformats.org/officeDocument/2006/relationships/hyperlink" Target="#'3.5 I&amp;W'!Z1S1"/><Relationship Id="rId10" Type="http://schemas.openxmlformats.org/officeDocument/2006/relationships/hyperlink" Target="#'3.2 Fi&amp;Fo'!Z1S1"/><Relationship Id="rId4" Type="http://schemas.openxmlformats.org/officeDocument/2006/relationships/hyperlink" Target="#'E.1 Kosten'!Z1S1"/><Relationship Id="rId9" Type="http://schemas.openxmlformats.org/officeDocument/2006/relationships/hyperlink" Target="#'3.2 I&amp;W'!Z1S1"/><Relationship Id="rId14" Type="http://schemas.openxmlformats.org/officeDocument/2006/relationships/hyperlink" Target="#'3.4 Fi&amp;Fo'!Z1S1"/></Relationships>
</file>

<file path=xl/drawings/_rels/drawing7.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8.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_rels/drawing9.xml.rels><?xml version="1.0" encoding="UTF-8" standalone="yes"?>
<Relationships xmlns="http://schemas.openxmlformats.org/package/2006/relationships"><Relationship Id="rId8" Type="http://schemas.openxmlformats.org/officeDocument/2006/relationships/hyperlink" Target="#'3.2 Fi&amp;Fo'!Z1S1"/><Relationship Id="rId13" Type="http://schemas.openxmlformats.org/officeDocument/2006/relationships/hyperlink" Target="#'3.5 I&amp;W'!Z1S1"/><Relationship Id="rId3" Type="http://schemas.openxmlformats.org/officeDocument/2006/relationships/hyperlink" Target="#'E.2 Wirtschaftlichkeit'!Z1S1"/><Relationship Id="rId7" Type="http://schemas.openxmlformats.org/officeDocument/2006/relationships/hyperlink" Target="#'3.2 I&amp;W'!Z1S1"/><Relationship Id="rId12" Type="http://schemas.openxmlformats.org/officeDocument/2006/relationships/hyperlink" Target="#'3.4 Fi&amp;Fo'!Z1S1"/><Relationship Id="rId2" Type="http://schemas.openxmlformats.org/officeDocument/2006/relationships/hyperlink" Target="#'E.1 Kosten'!Z1S1"/><Relationship Id="rId1" Type="http://schemas.openxmlformats.org/officeDocument/2006/relationships/hyperlink" Target="#'2. Energie KW.'!Z1S1"/><Relationship Id="rId6" Type="http://schemas.openxmlformats.org/officeDocument/2006/relationships/hyperlink" Target="#'3.1 Fi&amp;Fo'!Z1S1"/><Relationship Id="rId11" Type="http://schemas.openxmlformats.org/officeDocument/2006/relationships/hyperlink" Target="#'3.4 I&amp;W'!Z1S1"/><Relationship Id="rId5" Type="http://schemas.openxmlformats.org/officeDocument/2006/relationships/hyperlink" Target="#'3.1 I&amp;W'!Z1S1"/><Relationship Id="rId15" Type="http://schemas.openxmlformats.org/officeDocument/2006/relationships/image" Target="../media/image1.jpg"/><Relationship Id="rId10" Type="http://schemas.openxmlformats.org/officeDocument/2006/relationships/hyperlink" Target="#'3.3 Fi&amp;Fo'!Z1S1"/><Relationship Id="rId4" Type="http://schemas.openxmlformats.org/officeDocument/2006/relationships/hyperlink" Target="#'1. Projektangaben'!Z1S1"/><Relationship Id="rId9" Type="http://schemas.openxmlformats.org/officeDocument/2006/relationships/hyperlink" Target="#'3.3 I&amp;W'!Z1S1"/><Relationship Id="rId14" Type="http://schemas.openxmlformats.org/officeDocument/2006/relationships/hyperlink" Target="#'3.5 Fi&amp;Fo'!Z1S1"/></Relationships>
</file>

<file path=xl/drawings/drawing1.xml><?xml version="1.0" encoding="utf-8"?>
<xdr:wsDr xmlns:xdr="http://schemas.openxmlformats.org/drawingml/2006/spreadsheetDrawing" xmlns:a="http://schemas.openxmlformats.org/drawingml/2006/main">
  <xdr:twoCellAnchor>
    <xdr:from>
      <xdr:col>3</xdr:col>
      <xdr:colOff>0</xdr:colOff>
      <xdr:row>29</xdr:row>
      <xdr:rowOff>0</xdr:rowOff>
    </xdr:from>
    <xdr:to>
      <xdr:col>26</xdr:col>
      <xdr:colOff>0</xdr:colOff>
      <xdr:row>108</xdr:row>
      <xdr:rowOff>156882</xdr:rowOff>
    </xdr:to>
    <xdr:sp macro="" textlink="">
      <xdr:nvSpPr>
        <xdr:cNvPr id="4" name="Textfeld 3"/>
        <xdr:cNvSpPr txBox="1"/>
      </xdr:nvSpPr>
      <xdr:spPr>
        <a:xfrm>
          <a:off x="1154206" y="4885765"/>
          <a:ext cx="11340353" cy="14242676"/>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400">
              <a:solidFill>
                <a:schemeClr val="dk1"/>
              </a:solidFill>
              <a:effectLst/>
              <a:latin typeface="+mn-lt"/>
              <a:ea typeface="+mn-ea"/>
              <a:cs typeface="Arial" panose="020B0604020202020204" pitchFamily="34" charset="0"/>
            </a:rPr>
            <a:t>Sehr geehrte</a:t>
          </a:r>
          <a:r>
            <a:rPr lang="de-AT" sz="1400" baseline="0">
              <a:solidFill>
                <a:schemeClr val="dk1"/>
              </a:solidFill>
              <a:effectLst/>
              <a:latin typeface="+mn-lt"/>
              <a:ea typeface="+mn-ea"/>
              <a:cs typeface="Arial" panose="020B0604020202020204" pitchFamily="34" charset="0"/>
            </a:rPr>
            <a:t> Damen und Herren</a:t>
          </a:r>
        </a:p>
        <a:p>
          <a:endParaRPr lang="de-AT" sz="1400">
            <a:solidFill>
              <a:schemeClr val="dk1"/>
            </a:solidFill>
            <a:effectLst/>
            <a:latin typeface="+mn-lt"/>
            <a:ea typeface="+mn-ea"/>
            <a:cs typeface="Arial" panose="020B0604020202020204" pitchFamily="34" charset="0"/>
          </a:endParaRPr>
        </a:p>
        <a:p>
          <a:r>
            <a:rPr lang="de-AT" sz="1400">
              <a:solidFill>
                <a:schemeClr val="dk1"/>
              </a:solidFill>
              <a:effectLst/>
              <a:latin typeface="+mn-lt"/>
              <a:ea typeface="+mn-ea"/>
              <a:cs typeface="Arial" panose="020B0604020202020204" pitchFamily="34" charset="0"/>
            </a:rPr>
            <a:t>Der Vergleich der Wirtschaftlichkeit verschiedenen Energiekonzepte ist unerlässlicher Bestandteil des energieeffizienten Bauens. Wirtschaftlichkeitsberechnungen sind deshalb seit Jahren ein Kriterium in den klima:aktiv Kriterienkatalogen. Um die notwendigen Berechnungen mit geringstmöglichem Aufwand und  nach vereinheitlichter Methodik zu ermöglichen, wurde das vorliegende Excel-</a:t>
          </a:r>
          <a:r>
            <a:rPr lang="de-AT" sz="1400" baseline="0">
              <a:solidFill>
                <a:schemeClr val="dk1"/>
              </a:solidFill>
              <a:effectLst/>
              <a:latin typeface="+mn-lt"/>
              <a:ea typeface="+mn-ea"/>
              <a:cs typeface="Arial" panose="020B0604020202020204" pitchFamily="34" charset="0"/>
            </a:rPr>
            <a:t> Tool</a:t>
          </a:r>
          <a:r>
            <a:rPr lang="de-AT" sz="1400">
              <a:solidFill>
                <a:schemeClr val="dk1"/>
              </a:solidFill>
              <a:effectLst/>
              <a:latin typeface="+mn-lt"/>
              <a:ea typeface="+mn-ea"/>
              <a:cs typeface="Arial" panose="020B0604020202020204" pitchFamily="34" charset="0"/>
            </a:rPr>
            <a:t> "econ calc" im Rahmen des Programms klima:aktiv Bauen und Sanieren vom Energieinstitut Vorarlberg (EIV)  entwickelt. Grundlagen und  Struktur wurden von David Frick im Rahmen einer Diplomarbeit am Institut für Betriebswirtschaftslehre und Betriebssoziologie an der TU-Graz erarbeitet. Die Weiterentwicklung auf</a:t>
          </a:r>
        </a:p>
        <a:p>
          <a:r>
            <a:rPr lang="de-AT" sz="1400">
              <a:solidFill>
                <a:schemeClr val="dk1"/>
              </a:solidFill>
              <a:effectLst/>
              <a:latin typeface="+mn-lt"/>
              <a:ea typeface="+mn-ea"/>
              <a:cs typeface="Arial" panose="020B0604020202020204" pitchFamily="34" charset="0"/>
            </a:rPr>
            <a:t>den Grundlagen der Diplomarbeit erfolgten durch EIV,</a:t>
          </a:r>
          <a:r>
            <a:rPr lang="de-AT" sz="1400" baseline="0">
              <a:solidFill>
                <a:schemeClr val="dk1"/>
              </a:solidFill>
              <a:effectLst/>
              <a:latin typeface="+mn-lt"/>
              <a:ea typeface="+mn-ea"/>
              <a:cs typeface="Arial" panose="020B0604020202020204" pitchFamily="34" charset="0"/>
            </a:rPr>
            <a:t> </a:t>
          </a:r>
          <a:r>
            <a:rPr lang="de-AT" sz="1400">
              <a:solidFill>
                <a:schemeClr val="dk1"/>
              </a:solidFill>
              <a:effectLst/>
              <a:latin typeface="+mn-lt"/>
              <a:ea typeface="+mn-ea"/>
              <a:cs typeface="Arial" panose="020B0604020202020204" pitchFamily="34" charset="0"/>
            </a:rPr>
            <a:t>David Frick, Daniel Ruepp,</a:t>
          </a:r>
          <a:r>
            <a:rPr lang="de-AT" sz="1400" baseline="0">
              <a:solidFill>
                <a:schemeClr val="dk1"/>
              </a:solidFill>
              <a:effectLst/>
              <a:latin typeface="+mn-lt"/>
              <a:ea typeface="+mn-ea"/>
              <a:cs typeface="Arial" panose="020B0604020202020204" pitchFamily="34" charset="0"/>
            </a:rPr>
            <a:t> </a:t>
          </a:r>
          <a:r>
            <a:rPr lang="de-AT" sz="1400">
              <a:solidFill>
                <a:schemeClr val="dk1"/>
              </a:solidFill>
              <a:effectLst/>
              <a:latin typeface="+mn-lt"/>
              <a:ea typeface="+mn-ea"/>
              <a:cs typeface="Arial" panose="020B0604020202020204" pitchFamily="34" charset="0"/>
            </a:rPr>
            <a:t>Christina Schneider und Tobias Hatt.</a:t>
          </a:r>
        </a:p>
        <a:p>
          <a:r>
            <a:rPr lang="de-AT" sz="1400">
              <a:solidFill>
                <a:schemeClr val="dk1"/>
              </a:solidFill>
              <a:effectLst/>
              <a:latin typeface="+mn-lt"/>
              <a:ea typeface="+mn-ea"/>
              <a:cs typeface="Arial" panose="020B0604020202020204" pitchFamily="34" charset="0"/>
            </a:rPr>
            <a:t>Im  </a:t>
          </a:r>
          <a:r>
            <a:rPr lang="de-AT" sz="1400" u="sng">
              <a:solidFill>
                <a:schemeClr val="dk1"/>
              </a:solidFill>
              <a:effectLst/>
              <a:latin typeface="+mn-lt"/>
              <a:ea typeface="+mn-ea"/>
              <a:cs typeface="Arial" panose="020B0604020202020204" pitchFamily="34" charset="0"/>
            </a:rPr>
            <a:t>Wirtschaftlichkeitsrechner</a:t>
          </a:r>
          <a:r>
            <a:rPr lang="de-AT" sz="1400">
              <a:solidFill>
                <a:schemeClr val="dk1"/>
              </a:solidFill>
              <a:effectLst/>
              <a:latin typeface="+mn-lt"/>
              <a:ea typeface="+mn-ea"/>
              <a:cs typeface="Arial" panose="020B0604020202020204" pitchFamily="34" charset="0"/>
            </a:rPr>
            <a:t>  "econ calc" können bis zu </a:t>
          </a:r>
          <a:r>
            <a:rPr lang="de-AT" sz="1400" u="sng">
              <a:solidFill>
                <a:schemeClr val="dk1"/>
              </a:solidFill>
              <a:effectLst/>
              <a:latin typeface="+mn-lt"/>
              <a:ea typeface="+mn-ea"/>
              <a:cs typeface="Arial" panose="020B0604020202020204" pitchFamily="34" charset="0"/>
            </a:rPr>
            <a:t>fünf Gebäudevarianten </a:t>
          </a:r>
          <a:r>
            <a:rPr lang="de-AT" sz="1400">
              <a:solidFill>
                <a:schemeClr val="dk1"/>
              </a:solidFill>
              <a:effectLst/>
              <a:latin typeface="+mn-lt"/>
              <a:ea typeface="+mn-ea"/>
              <a:cs typeface="Arial" panose="020B0604020202020204" pitchFamily="34" charset="0"/>
            </a:rPr>
            <a:t>unterschiedlicher energetischer Qualität oder bis zu fünf Einzelmaßnahmen unter </a:t>
          </a:r>
          <a:r>
            <a:rPr lang="de-AT" sz="1400" u="sng">
              <a:solidFill>
                <a:schemeClr val="dk1"/>
              </a:solidFill>
              <a:effectLst/>
              <a:latin typeface="+mn-lt"/>
              <a:ea typeface="+mn-ea"/>
              <a:cs typeface="Arial" panose="020B0604020202020204" pitchFamily="34" charset="0"/>
            </a:rPr>
            <a:t>wirtschaftlichen und ökologischen Gesichtspunkten</a:t>
          </a:r>
          <a:r>
            <a:rPr lang="de-AT" sz="1400">
              <a:solidFill>
                <a:schemeClr val="dk1"/>
              </a:solidFill>
              <a:effectLst/>
              <a:latin typeface="+mn-lt"/>
              <a:ea typeface="+mn-ea"/>
              <a:cs typeface="Arial" panose="020B0604020202020204" pitchFamily="34" charset="0"/>
            </a:rPr>
            <a:t> bewertet und verglichen werden.  Es besteht die Möglichkeit, das Tool aus </a:t>
          </a:r>
          <a:r>
            <a:rPr lang="de-AT" sz="1400" u="sng">
              <a:solidFill>
                <a:schemeClr val="dk1"/>
              </a:solidFill>
              <a:effectLst/>
              <a:latin typeface="+mn-lt"/>
              <a:ea typeface="+mn-ea"/>
              <a:cs typeface="Arial" panose="020B0604020202020204" pitchFamily="34" charset="0"/>
            </a:rPr>
            <a:t>verschiedenen Betrachtungsperspektiven</a:t>
          </a:r>
          <a:r>
            <a:rPr lang="de-AT" sz="1400">
              <a:solidFill>
                <a:schemeClr val="dk1"/>
              </a:solidFill>
              <a:effectLst/>
              <a:latin typeface="+mn-lt"/>
              <a:ea typeface="+mn-ea"/>
              <a:cs typeface="Arial" panose="020B0604020202020204" pitchFamily="34" charset="0"/>
            </a:rPr>
            <a:t> (Nutzertypen) zu verwenden. Der Nutzer entscheidet, welche der vielfältigen, vorgegebenen Parameter er entsprechend seiner Zielsetzungen anwählt und miteinander kombiniert. </a:t>
          </a:r>
        </a:p>
        <a:p>
          <a:r>
            <a:rPr lang="de-AT" sz="1400">
              <a:solidFill>
                <a:schemeClr val="dk1"/>
              </a:solidFill>
              <a:effectLst/>
              <a:latin typeface="+mn-lt"/>
              <a:ea typeface="+mn-ea"/>
              <a:cs typeface="Arial" panose="020B0604020202020204" pitchFamily="34" charset="0"/>
            </a:rPr>
            <a:t>Investitions-, Wartungs- und Instandsetzungskosten werden auf Bauelementebene, allgemeine Folgekosten für das Gesamtgebäude eingegeben. Verbrauchsgebundene Kosten werden durch die Angabe von Energiekennwerten, Energieträger und zugehörenden Energiepreisen berücksichtigt. Preissteigerungen können für Aus- und Einzahlungen (Inflation) sowie für Kategorien von Energieträgern angeben werden. Förderungen in Form von Einmalzuschüssen und zinsbegünstigten Krediten sowie Restwerte und Ersatzinvestitionen werden durch die dynamische Wirtschaftlichkeitsrechnung berücksichtigt. Als </a:t>
          </a:r>
          <a:r>
            <a:rPr lang="de-AT" sz="1400" u="sng">
              <a:solidFill>
                <a:schemeClr val="dk1"/>
              </a:solidFill>
              <a:effectLst/>
              <a:latin typeface="+mn-lt"/>
              <a:ea typeface="+mn-ea"/>
              <a:cs typeface="Arial" panose="020B0604020202020204" pitchFamily="34" charset="0"/>
            </a:rPr>
            <a:t>Wirtschaftlichkeitsvergleichsmethoden</a:t>
          </a:r>
          <a:r>
            <a:rPr lang="de-AT" sz="1400">
              <a:solidFill>
                <a:schemeClr val="dk1"/>
              </a:solidFill>
              <a:effectLst/>
              <a:latin typeface="+mn-lt"/>
              <a:ea typeface="+mn-ea"/>
              <a:cs typeface="Arial" panose="020B0604020202020204" pitchFamily="34" charset="0"/>
            </a:rPr>
            <a:t> kann der „Kapitalwertvergleich“ und der „Annuitätenvergleich“ gewählt werden. </a:t>
          </a:r>
        </a:p>
        <a:p>
          <a:endParaRPr lang="de-AT" sz="1400" b="1">
            <a:solidFill>
              <a:schemeClr val="dk1"/>
            </a:solidFill>
            <a:effectLst/>
            <a:latin typeface="+mn-lt"/>
            <a:ea typeface="+mn-ea"/>
            <a:cs typeface="Arial" panose="020B0604020202020204" pitchFamily="34" charset="0"/>
          </a:endParaRPr>
        </a:p>
        <a:p>
          <a:r>
            <a:rPr lang="de-AT" sz="1400" b="1">
              <a:solidFill>
                <a:schemeClr val="dk1"/>
              </a:solidFill>
              <a:effectLst/>
              <a:latin typeface="+mn-lt"/>
              <a:ea typeface="+mn-ea"/>
              <a:cs typeface="Arial" panose="020B0604020202020204" pitchFamily="34" charset="0"/>
            </a:rPr>
            <a:t>Eigenschaften: </a:t>
          </a:r>
          <a:endParaRPr lang="de-AT" sz="1400">
            <a:solidFill>
              <a:schemeClr val="dk1"/>
            </a:solidFill>
            <a:effectLst/>
            <a:latin typeface="+mn-lt"/>
            <a:ea typeface="+mn-ea"/>
            <a:cs typeface="Arial" panose="020B0604020202020204" pitchFamily="34" charset="0"/>
          </a:endParaRPr>
        </a:p>
        <a:p>
          <a:pPr marL="3028950" lvl="6" indent="-285750">
            <a:buFont typeface="Wingdings" pitchFamily="2" charset="2"/>
            <a:buChar char="§"/>
          </a:pPr>
          <a:r>
            <a:rPr lang="de-AT" sz="1400">
              <a:solidFill>
                <a:schemeClr val="dk1"/>
              </a:solidFill>
              <a:effectLst/>
              <a:latin typeface="+mn-lt"/>
              <a:ea typeface="+mn-ea"/>
              <a:cs typeface="Arial" panose="020B0604020202020204" pitchFamily="34" charset="0"/>
            </a:rPr>
            <a:t>Hilfsmittel für die wirtschaftliche Optimierung von Energieeffizienzmaßnahmen an Gebäuden </a:t>
          </a:r>
        </a:p>
        <a:p>
          <a:pPr marL="3028950" lvl="6" indent="-285750">
            <a:buFont typeface="Wingdings" pitchFamily="2" charset="2"/>
            <a:buChar char="§"/>
          </a:pPr>
          <a:r>
            <a:rPr lang="de-AT" sz="1400">
              <a:solidFill>
                <a:schemeClr val="dk1"/>
              </a:solidFill>
              <a:effectLst/>
              <a:latin typeface="+mn-lt"/>
              <a:ea typeface="+mn-ea"/>
              <a:cs typeface="Arial" panose="020B0604020202020204" pitchFamily="34" charset="0"/>
            </a:rPr>
            <a:t>Bis zu 5 Varianten vergleichbar</a:t>
          </a:r>
        </a:p>
        <a:p>
          <a:pPr marL="3028950" lvl="6" indent="-285750">
            <a:buFont typeface="Wingdings" pitchFamily="2" charset="2"/>
            <a:buChar char="§"/>
          </a:pPr>
          <a:r>
            <a:rPr lang="de-AT" sz="1400">
              <a:solidFill>
                <a:schemeClr val="dk1"/>
              </a:solidFill>
              <a:effectLst/>
              <a:latin typeface="+mn-lt"/>
              <a:ea typeface="+mn-ea"/>
              <a:cs typeface="Arial" panose="020B0604020202020204" pitchFamily="34" charset="0"/>
            </a:rPr>
            <a:t>2 Methoden der Wirtschaftlichkeitsberechnung</a:t>
          </a:r>
        </a:p>
        <a:p>
          <a:pPr marL="3028950" lvl="6" indent="-285750">
            <a:buFont typeface="Wingdings" pitchFamily="2" charset="2"/>
            <a:buChar char="§"/>
          </a:pPr>
          <a:r>
            <a:rPr lang="de-AT" sz="1400">
              <a:solidFill>
                <a:schemeClr val="dk1"/>
              </a:solidFill>
              <a:effectLst/>
              <a:latin typeface="+mn-lt"/>
              <a:ea typeface="+mn-ea"/>
              <a:cs typeface="Arial" panose="020B0604020202020204" pitchFamily="34" charset="0"/>
            </a:rPr>
            <a:t>Anpassbar an Nutzerbedürfnisse</a:t>
          </a:r>
        </a:p>
        <a:p>
          <a:pPr marL="3028950" lvl="6" indent="-285750">
            <a:buFont typeface="Wingdings" pitchFamily="2" charset="2"/>
            <a:buChar char="§"/>
          </a:pPr>
          <a:r>
            <a:rPr lang="de-AT" sz="1400">
              <a:solidFill>
                <a:schemeClr val="dk1"/>
              </a:solidFill>
              <a:effectLst/>
              <a:latin typeface="+mn-lt"/>
              <a:ea typeface="+mn-ea"/>
              <a:cs typeface="Arial" panose="020B0604020202020204" pitchFamily="34" charset="0"/>
            </a:rPr>
            <a:t>Kostengliederung nach ÖNORM</a:t>
          </a:r>
        </a:p>
        <a:p>
          <a:pPr marL="3028950" lvl="6" indent="-285750">
            <a:buFont typeface="Wingdings" pitchFamily="2" charset="2"/>
            <a:buChar char="§"/>
          </a:pPr>
          <a:r>
            <a:rPr lang="de-AT" sz="1400">
              <a:solidFill>
                <a:schemeClr val="dk1"/>
              </a:solidFill>
              <a:effectLst/>
              <a:latin typeface="+mn-lt"/>
              <a:ea typeface="+mn-ea"/>
              <a:cs typeface="Arial" panose="020B0604020202020204" pitchFamily="34" charset="0"/>
            </a:rPr>
            <a:t>Einbezug von Förderungen</a:t>
          </a:r>
        </a:p>
        <a:p>
          <a:pPr marL="3028950" lvl="6" indent="-285750">
            <a:buFont typeface="Wingdings" pitchFamily="2" charset="2"/>
            <a:buChar char="§"/>
          </a:pPr>
          <a:endParaRPr lang="de-AT" sz="1400">
            <a:solidFill>
              <a:schemeClr val="dk1"/>
            </a:solidFill>
            <a:effectLst/>
            <a:latin typeface="+mn-lt"/>
            <a:ea typeface="+mn-ea"/>
            <a:cs typeface="Arial" panose="020B0604020202020204" pitchFamily="34" charset="0"/>
          </a:endParaRPr>
        </a:p>
        <a:p>
          <a:r>
            <a:rPr lang="de-AT" sz="1400" b="1">
              <a:solidFill>
                <a:schemeClr val="dk1"/>
              </a:solidFill>
              <a:effectLst/>
              <a:latin typeface="+mn-lt"/>
              <a:ea typeface="+mn-ea"/>
              <a:cs typeface="Arial" panose="020B0604020202020204" pitchFamily="34" charset="0"/>
            </a:rPr>
            <a:t>Zielgruppe:	</a:t>
          </a:r>
          <a:r>
            <a:rPr lang="de-AT" sz="1400">
              <a:solidFill>
                <a:schemeClr val="dk1"/>
              </a:solidFill>
              <a:effectLst/>
              <a:latin typeface="+mn-lt"/>
              <a:ea typeface="+mn-ea"/>
              <a:cs typeface="Arial" panose="020B0604020202020204" pitchFamily="34" charset="0"/>
            </a:rPr>
            <a:t>		Architekten, Bauträger, Haustechnikplaner, Energieberater, Immobilienverwalter, die öffentliche Hand als 				Auftraggeber sowie engagierte, mit der Thematik vertraute, „Häuslebauer“</a:t>
          </a:r>
        </a:p>
        <a:p>
          <a:r>
            <a:rPr lang="de-AT" sz="1400" b="1">
              <a:solidFill>
                <a:schemeClr val="dk1"/>
              </a:solidFill>
              <a:effectLst/>
              <a:latin typeface="+mn-lt"/>
              <a:ea typeface="+mn-ea"/>
              <a:cs typeface="Arial" panose="020B0604020202020204" pitchFamily="34" charset="0"/>
            </a:rPr>
            <a:t>Betrachtungsperspektiven:</a:t>
          </a:r>
          <a:r>
            <a:rPr lang="de-AT" sz="1400">
              <a:solidFill>
                <a:schemeClr val="dk1"/>
              </a:solidFill>
              <a:effectLst/>
              <a:latin typeface="+mn-lt"/>
              <a:ea typeface="+mn-ea"/>
              <a:cs typeface="Arial" panose="020B0604020202020204" pitchFamily="34" charset="0"/>
            </a:rPr>
            <a:t>	</a:t>
          </a:r>
        </a:p>
        <a:p>
          <a:pPr marL="3028950" lvl="6" indent="-285750">
            <a:buFont typeface="Wingdings" pitchFamily="2" charset="2"/>
            <a:buChar char="§"/>
          </a:pPr>
          <a:r>
            <a:rPr lang="de-AT" sz="1400">
              <a:solidFill>
                <a:schemeClr val="dk1"/>
              </a:solidFill>
              <a:effectLst/>
              <a:latin typeface="+mn-lt"/>
              <a:ea typeface="+mn-ea"/>
              <a:cs typeface="Arial" panose="020B0604020202020204" pitchFamily="34" charset="0"/>
            </a:rPr>
            <a:t>Bauherren/Eigentümer-Sicht</a:t>
          </a:r>
        </a:p>
        <a:p>
          <a:pPr marL="3028950" lvl="6" indent="-285750">
            <a:buFont typeface="Wingdings" pitchFamily="2" charset="2"/>
            <a:buChar char="§"/>
          </a:pPr>
          <a:r>
            <a:rPr lang="de-AT" sz="1400">
              <a:solidFill>
                <a:schemeClr val="dk1"/>
              </a:solidFill>
              <a:effectLst/>
              <a:latin typeface="+mn-lt"/>
              <a:ea typeface="+mn-ea"/>
              <a:cs typeface="Arial" panose="020B0604020202020204" pitchFamily="34" charset="0"/>
            </a:rPr>
            <a:t>Sichtweise eines Käufers eines Gesamtobjekts</a:t>
          </a:r>
        </a:p>
        <a:p>
          <a:pPr marL="3028950" lvl="6" indent="-285750">
            <a:buFont typeface="Wingdings" pitchFamily="2" charset="2"/>
            <a:buChar char="§"/>
          </a:pPr>
          <a:r>
            <a:rPr lang="de-AT" sz="1400">
              <a:solidFill>
                <a:schemeClr val="dk1"/>
              </a:solidFill>
              <a:effectLst/>
              <a:latin typeface="+mn-lt"/>
              <a:ea typeface="+mn-ea"/>
              <a:cs typeface="Arial" panose="020B0604020202020204" pitchFamily="34" charset="0"/>
            </a:rPr>
            <a:t>Sichtweise eines Bauträgers</a:t>
          </a:r>
        </a:p>
        <a:p>
          <a:r>
            <a:rPr lang="de-AT" sz="1400" b="1">
              <a:solidFill>
                <a:schemeClr val="dk1"/>
              </a:solidFill>
              <a:effectLst/>
              <a:latin typeface="+mn-lt"/>
              <a:ea typeface="+mn-ea"/>
              <a:cs typeface="Arial" panose="020B0604020202020204" pitchFamily="34" charset="0"/>
            </a:rPr>
            <a:t>Handbuch:</a:t>
          </a:r>
          <a:endParaRPr lang="de-AT" sz="1400">
            <a:solidFill>
              <a:schemeClr val="dk1"/>
            </a:solidFill>
            <a:effectLst/>
            <a:latin typeface="+mn-lt"/>
            <a:ea typeface="+mn-ea"/>
            <a:cs typeface="Arial" panose="020B0604020202020204" pitchFamily="34" charset="0"/>
          </a:endParaRPr>
        </a:p>
        <a:p>
          <a:r>
            <a:rPr lang="de-AT" sz="1400">
              <a:solidFill>
                <a:schemeClr val="dk1"/>
              </a:solidFill>
              <a:effectLst/>
              <a:latin typeface="+mn-lt"/>
              <a:ea typeface="+mn-ea"/>
              <a:cs typeface="Arial" panose="020B0604020202020204" pitchFamily="34" charset="0"/>
            </a:rPr>
            <a:t>Die Handhabung des Programms und die Beschreibung der verwendeten Rechenmethoden finden sich in einem Handbuch. (</a:t>
          </a:r>
          <a:r>
            <a:rPr lang="de-AT" sz="1400" b="1">
              <a:solidFill>
                <a:schemeClr val="dk1"/>
              </a:solidFill>
              <a:effectLst/>
              <a:latin typeface="+mn-lt"/>
              <a:ea typeface="+mn-ea"/>
              <a:cs typeface="Arial" panose="020B0604020202020204" pitchFamily="34" charset="0"/>
            </a:rPr>
            <a:t>für Version 3.0 nicht mehr 100% aktuell!</a:t>
          </a:r>
          <a:r>
            <a:rPr lang="de-AT" sz="1400">
              <a:solidFill>
                <a:schemeClr val="dk1"/>
              </a:solidFill>
              <a:effectLst/>
              <a:latin typeface="+mn-lt"/>
              <a:ea typeface="+mn-ea"/>
              <a:cs typeface="Arial" panose="020B0604020202020204" pitchFamily="34" charset="0"/>
            </a:rPr>
            <a:t>) Dieses steht wie das Excel-tool  selbst auf den folgenden Homepages zum Download bereit: </a:t>
          </a:r>
        </a:p>
        <a:p>
          <a:endParaRPr lang="de-AT" sz="1400" b="1">
            <a:solidFill>
              <a:schemeClr val="dk1"/>
            </a:solidFill>
            <a:effectLst/>
            <a:latin typeface="+mn-lt"/>
            <a:ea typeface="+mn-ea"/>
            <a:cs typeface="Arial" panose="020B0604020202020204" pitchFamily="34" charset="0"/>
          </a:endParaRPr>
        </a:p>
        <a:p>
          <a:r>
            <a:rPr lang="de-AT" sz="1400">
              <a:solidFill>
                <a:schemeClr val="dk1"/>
              </a:solidFill>
              <a:effectLst/>
              <a:latin typeface="+mn-lt"/>
              <a:ea typeface="+mn-ea"/>
              <a:cs typeface="Arial" panose="020B0604020202020204" pitchFamily="34" charset="0"/>
            </a:rPr>
            <a:t>Programm klima:aktiv, Bauen und Sanieren		</a:t>
          </a:r>
          <a:r>
            <a:rPr lang="de-AT" sz="1400" u="sng">
              <a:solidFill>
                <a:schemeClr val="dk1"/>
              </a:solidFill>
              <a:effectLst/>
              <a:latin typeface="+mn-lt"/>
              <a:ea typeface="+mn-ea"/>
              <a:cs typeface="Arial" panose="020B0604020202020204" pitchFamily="34" charset="0"/>
              <a:hlinkClick xmlns:r="http://schemas.openxmlformats.org/officeDocument/2006/relationships" r:id=""/>
            </a:rPr>
            <a:t>www.klimaktiv.at</a:t>
          </a:r>
          <a:r>
            <a:rPr lang="de-AT" sz="1400">
              <a:solidFill>
                <a:schemeClr val="dk1"/>
              </a:solidFill>
              <a:effectLst/>
              <a:latin typeface="+mn-lt"/>
              <a:ea typeface="+mn-ea"/>
              <a:cs typeface="Arial" panose="020B0604020202020204" pitchFamily="34" charset="0"/>
            </a:rPr>
            <a:t> </a:t>
          </a:r>
        </a:p>
        <a:p>
          <a:r>
            <a:rPr lang="de-AT" sz="1400">
              <a:solidFill>
                <a:schemeClr val="dk1"/>
              </a:solidFill>
              <a:effectLst/>
              <a:latin typeface="+mn-lt"/>
              <a:ea typeface="+mn-ea"/>
              <a:cs typeface="Arial" panose="020B0604020202020204" pitchFamily="34" charset="0"/>
            </a:rPr>
            <a:t>Energieinstitut Vorarlberg, 			</a:t>
          </a:r>
          <a:r>
            <a:rPr lang="de-AT" sz="1400" u="sng">
              <a:solidFill>
                <a:schemeClr val="dk1"/>
              </a:solidFill>
              <a:effectLst/>
              <a:latin typeface="+mn-lt"/>
              <a:ea typeface="+mn-ea"/>
              <a:cs typeface="Arial" panose="020B0604020202020204" pitchFamily="34" charset="0"/>
              <a:hlinkClick xmlns:r="http://schemas.openxmlformats.org/officeDocument/2006/relationships" r:id=""/>
            </a:rPr>
            <a:t>www.energieinstitut.at</a:t>
          </a:r>
          <a:r>
            <a:rPr lang="de-AT" sz="1400">
              <a:solidFill>
                <a:schemeClr val="dk1"/>
              </a:solidFill>
              <a:effectLst/>
              <a:latin typeface="+mn-lt"/>
              <a:ea typeface="+mn-ea"/>
              <a:cs typeface="Arial" panose="020B0604020202020204" pitchFamily="34" charset="0"/>
            </a:rPr>
            <a:t> </a:t>
          </a:r>
        </a:p>
        <a:p>
          <a:r>
            <a:rPr lang="de-AT" sz="1400">
              <a:solidFill>
                <a:schemeClr val="dk1"/>
              </a:solidFill>
              <a:effectLst/>
              <a:latin typeface="+mn-lt"/>
              <a:ea typeface="+mn-ea"/>
              <a:cs typeface="Arial" panose="020B0604020202020204" pitchFamily="34" charset="0"/>
            </a:rPr>
            <a:t>baubook 					</a:t>
          </a:r>
          <a:r>
            <a:rPr lang="de-AT" sz="1400" u="sng">
              <a:solidFill>
                <a:schemeClr val="dk1"/>
              </a:solidFill>
              <a:effectLst/>
              <a:latin typeface="+mn-lt"/>
              <a:ea typeface="+mn-ea"/>
              <a:cs typeface="Arial" panose="020B0604020202020204" pitchFamily="34" charset="0"/>
              <a:hlinkClick xmlns:r="http://schemas.openxmlformats.org/officeDocument/2006/relationships" r:id=""/>
            </a:rPr>
            <a:t>www.baubook.at</a:t>
          </a:r>
          <a:endParaRPr lang="de-AT" sz="1400">
            <a:solidFill>
              <a:schemeClr val="dk1"/>
            </a:solidFill>
            <a:effectLst/>
            <a:latin typeface="+mn-lt"/>
            <a:ea typeface="+mn-ea"/>
            <a:cs typeface="Arial" panose="020B0604020202020204" pitchFamily="34" charset="0"/>
          </a:endParaRPr>
        </a:p>
        <a:p>
          <a:endParaRPr lang="de-AT" sz="1400" b="1">
            <a:solidFill>
              <a:schemeClr val="dk1"/>
            </a:solidFill>
            <a:effectLst/>
            <a:latin typeface="+mn-lt"/>
            <a:ea typeface="+mn-ea"/>
            <a:cs typeface="Arial" panose="020B0604020202020204" pitchFamily="34" charset="0"/>
          </a:endParaRPr>
        </a:p>
        <a:p>
          <a:r>
            <a:rPr lang="de-AT" sz="1400" b="1">
              <a:solidFill>
                <a:schemeClr val="dk1"/>
              </a:solidFill>
              <a:effectLst/>
              <a:latin typeface="+mn-lt"/>
              <a:ea typeface="+mn-ea"/>
              <a:cs typeface="Arial" panose="020B0604020202020204" pitchFamily="34" charset="0"/>
            </a:rPr>
            <a:t>Projektleitung und Koordination: </a:t>
          </a:r>
          <a:endParaRPr lang="de-AT" sz="1400">
            <a:solidFill>
              <a:schemeClr val="dk1"/>
            </a:solidFill>
            <a:effectLst/>
            <a:latin typeface="+mn-lt"/>
            <a:ea typeface="+mn-ea"/>
            <a:cs typeface="Arial" panose="020B0604020202020204" pitchFamily="34" charset="0"/>
          </a:endParaRPr>
        </a:p>
        <a:p>
          <a:r>
            <a:rPr lang="de-AT" sz="1400">
              <a:solidFill>
                <a:schemeClr val="dk1"/>
              </a:solidFill>
              <a:effectLst/>
              <a:latin typeface="+mn-lt"/>
              <a:ea typeface="+mn-ea"/>
              <a:cs typeface="Arial" panose="020B0604020202020204" pitchFamily="34" charset="0"/>
            </a:rPr>
            <a:t>Energieinstitut Vorarlberg - Bereich energieeffiziente und ökologische Gebäude </a:t>
          </a:r>
        </a:p>
        <a:p>
          <a:r>
            <a:rPr lang="de-AT" sz="1400">
              <a:solidFill>
                <a:schemeClr val="dk1"/>
              </a:solidFill>
              <a:effectLst/>
              <a:latin typeface="+mn-lt"/>
              <a:ea typeface="+mn-ea"/>
              <a:cs typeface="Arial" panose="020B0604020202020204" pitchFamily="34" charset="0"/>
            </a:rPr>
            <a:t>DI Arch. Martin Ploss, DI Arch. Sabine Erber, DI (FH) Michael Braun M.Sc. </a:t>
          </a:r>
        </a:p>
        <a:p>
          <a:endParaRPr lang="de-AT" sz="1400" b="1">
            <a:solidFill>
              <a:schemeClr val="dk1"/>
            </a:solidFill>
            <a:effectLst/>
            <a:latin typeface="+mn-lt"/>
            <a:ea typeface="+mn-ea"/>
            <a:cs typeface="Arial" panose="020B0604020202020204" pitchFamily="34" charset="0"/>
          </a:endParaRPr>
        </a:p>
        <a:p>
          <a:r>
            <a:rPr lang="de-AT" sz="1400" b="1">
              <a:solidFill>
                <a:schemeClr val="dk1"/>
              </a:solidFill>
              <a:effectLst/>
              <a:latin typeface="+mn-lt"/>
              <a:ea typeface="+mn-ea"/>
              <a:cs typeface="Arial" panose="020B0604020202020204" pitchFamily="34" charset="0"/>
            </a:rPr>
            <a:t>Entwicklung / Programmierung: </a:t>
          </a:r>
          <a:endParaRPr lang="de-AT" sz="1400">
            <a:solidFill>
              <a:schemeClr val="dk1"/>
            </a:solidFill>
            <a:effectLst/>
            <a:latin typeface="+mn-lt"/>
            <a:ea typeface="+mn-ea"/>
            <a:cs typeface="Arial" panose="020B0604020202020204" pitchFamily="34" charset="0"/>
          </a:endParaRPr>
        </a:p>
        <a:p>
          <a:r>
            <a:rPr lang="de-AT" sz="1400">
              <a:solidFill>
                <a:schemeClr val="dk1"/>
              </a:solidFill>
              <a:effectLst/>
              <a:latin typeface="+mn-lt"/>
              <a:ea typeface="+mn-ea"/>
              <a:cs typeface="Arial" panose="020B0604020202020204" pitchFamily="34" charset="0"/>
            </a:rPr>
            <a:t>DI David Frick In Zusammenarbeit mit TU-Graz, Institut für Betriebswirtschaftslehre und Betriebssoziologie</a:t>
          </a:r>
        </a:p>
        <a:p>
          <a:r>
            <a:rPr lang="de-AT" sz="1400">
              <a:solidFill>
                <a:schemeClr val="dk1"/>
              </a:solidFill>
              <a:effectLst/>
              <a:latin typeface="+mn-lt"/>
              <a:ea typeface="+mn-ea"/>
              <a:cs typeface="Arial" panose="020B0604020202020204" pitchFamily="34" charset="0"/>
            </a:rPr>
            <a:t>DI</a:t>
          </a:r>
          <a:r>
            <a:rPr lang="de-AT" sz="1400" baseline="0">
              <a:solidFill>
                <a:schemeClr val="dk1"/>
              </a:solidFill>
              <a:effectLst/>
              <a:latin typeface="+mn-lt"/>
              <a:ea typeface="+mn-ea"/>
              <a:cs typeface="Arial" panose="020B0604020202020204" pitchFamily="34" charset="0"/>
            </a:rPr>
            <a:t> Daniel Ruepp (Programmierung v2.0 und Konfigurationsassistent)</a:t>
          </a:r>
        </a:p>
        <a:p>
          <a:r>
            <a:rPr lang="de-AT" sz="1400" baseline="0">
              <a:solidFill>
                <a:schemeClr val="dk1"/>
              </a:solidFill>
              <a:effectLst/>
              <a:latin typeface="+mn-lt"/>
              <a:ea typeface="+mn-ea"/>
              <a:cs typeface="Arial" panose="020B0604020202020204" pitchFamily="34" charset="0"/>
            </a:rPr>
            <a:t>DI Christina Schneider (BETA-Testing und Optimierung)</a:t>
          </a:r>
        </a:p>
        <a:p>
          <a:r>
            <a:rPr lang="de-AT" sz="1400" baseline="0">
              <a:solidFill>
                <a:schemeClr val="dk1"/>
              </a:solidFill>
              <a:effectLst/>
              <a:latin typeface="+mn-lt"/>
              <a:ea typeface="+mn-ea"/>
              <a:cs typeface="Arial" panose="020B0604020202020204" pitchFamily="34" charset="0"/>
            </a:rPr>
            <a:t>DI (FH) Dr. Tobias Hatt</a:t>
          </a:r>
          <a:endParaRPr lang="de-AT" sz="1400">
            <a:solidFill>
              <a:schemeClr val="dk1"/>
            </a:solidFill>
            <a:effectLst/>
            <a:latin typeface="+mn-lt"/>
            <a:ea typeface="+mn-ea"/>
            <a:cs typeface="Arial" panose="020B0604020202020204" pitchFamily="34" charset="0"/>
          </a:endParaRPr>
        </a:p>
        <a:p>
          <a:endParaRPr lang="de-AT" sz="1400" b="1">
            <a:solidFill>
              <a:schemeClr val="dk1"/>
            </a:solidFill>
            <a:effectLst/>
            <a:latin typeface="+mn-lt"/>
            <a:ea typeface="+mn-ea"/>
            <a:cs typeface="Arial" panose="020B0604020202020204" pitchFamily="34" charset="0"/>
          </a:endParaRPr>
        </a:p>
        <a:p>
          <a:r>
            <a:rPr lang="de-AT" sz="1400" b="1">
              <a:solidFill>
                <a:schemeClr val="dk1"/>
              </a:solidFill>
              <a:effectLst/>
              <a:latin typeface="+mn-lt"/>
              <a:ea typeface="+mn-ea"/>
              <a:cs typeface="Arial" panose="020B0604020202020204" pitchFamily="34" charset="0"/>
            </a:rPr>
            <a:t>Finanzierung:</a:t>
          </a:r>
          <a:endParaRPr lang="de-AT" sz="1400">
            <a:solidFill>
              <a:schemeClr val="dk1"/>
            </a:solidFill>
            <a:effectLst/>
            <a:latin typeface="+mn-lt"/>
            <a:ea typeface="+mn-ea"/>
            <a:cs typeface="Arial" panose="020B0604020202020204" pitchFamily="34" charset="0"/>
          </a:endParaRPr>
        </a:p>
        <a:p>
          <a:r>
            <a:rPr lang="de-AT" sz="1400">
              <a:solidFill>
                <a:schemeClr val="dk1"/>
              </a:solidFill>
              <a:effectLst/>
              <a:latin typeface="+mn-lt"/>
              <a:ea typeface="+mn-ea"/>
              <a:cs typeface="Arial" panose="020B0604020202020204" pitchFamily="34" charset="0"/>
            </a:rPr>
            <a:t>Die Erarbeitung wurde durch Eigenmittel des Energieinstituts Vorarlberg und finanzieller Unterstützung aus dem Programm klima:aktiv, Bauen und Sanieren, sowie der IG Passivhaus Österreich ermöglicht.</a:t>
          </a:r>
          <a:endParaRPr lang="de-AT" sz="1400" b="1">
            <a:solidFill>
              <a:schemeClr val="dk1"/>
            </a:solidFill>
            <a:effectLst/>
            <a:latin typeface="+mn-lt"/>
            <a:ea typeface="+mn-ea"/>
            <a:cs typeface="Arial" panose="020B0604020202020204" pitchFamily="34" charset="0"/>
          </a:endParaRPr>
        </a:p>
        <a:p>
          <a:r>
            <a:rPr lang="de-AT" sz="1400" b="1">
              <a:solidFill>
                <a:schemeClr val="dk1"/>
              </a:solidFill>
              <a:effectLst/>
              <a:latin typeface="+mn-lt"/>
              <a:ea typeface="+mn-ea"/>
              <a:cs typeface="Arial" panose="020B0604020202020204" pitchFamily="34" charset="0"/>
            </a:rPr>
            <a:t>Kontakt: 	</a:t>
          </a:r>
          <a:r>
            <a:rPr lang="de-AT" sz="1400">
              <a:solidFill>
                <a:schemeClr val="dk1"/>
              </a:solidFill>
              <a:effectLst/>
              <a:latin typeface="+mn-lt"/>
              <a:ea typeface="+mn-ea"/>
              <a:cs typeface="Arial" panose="020B0604020202020204" pitchFamily="34" charset="0"/>
            </a:rPr>
            <a:t>um "econ calc" weiter zu verbessern sind wir auf Ihre Mithilfe angewiesen. </a:t>
          </a:r>
        </a:p>
        <a:p>
          <a:r>
            <a:rPr lang="de-AT" sz="1400">
              <a:solidFill>
                <a:schemeClr val="dk1"/>
              </a:solidFill>
              <a:effectLst/>
              <a:latin typeface="+mn-lt"/>
              <a:ea typeface="+mn-ea"/>
              <a:cs typeface="Arial" panose="020B0604020202020204" pitchFamily="34" charset="0"/>
            </a:rPr>
            <a:t>Energieinstitut Vorarlberg</a:t>
          </a:r>
        </a:p>
        <a:p>
          <a:r>
            <a:rPr lang="de-AT" sz="1400">
              <a:solidFill>
                <a:schemeClr val="dk1"/>
              </a:solidFill>
              <a:effectLst/>
              <a:latin typeface="+mn-lt"/>
              <a:ea typeface="+mn-ea"/>
              <a:cs typeface="Arial" panose="020B0604020202020204" pitchFamily="34" charset="0"/>
            </a:rPr>
            <a:t>Stadtstaße 33</a:t>
          </a:r>
        </a:p>
        <a:p>
          <a:r>
            <a:rPr lang="de-AT" sz="1400">
              <a:solidFill>
                <a:schemeClr val="dk1"/>
              </a:solidFill>
              <a:effectLst/>
              <a:latin typeface="+mn-lt"/>
              <a:ea typeface="+mn-ea"/>
              <a:cs typeface="Arial" panose="020B0604020202020204" pitchFamily="34" charset="0"/>
            </a:rPr>
            <a:t>A-6850 Dornbirn</a:t>
          </a:r>
        </a:p>
        <a:p>
          <a:r>
            <a:rPr lang="de-AT" sz="1400">
              <a:solidFill>
                <a:schemeClr val="dk1"/>
              </a:solidFill>
              <a:effectLst/>
              <a:latin typeface="+mn-lt"/>
              <a:ea typeface="+mn-ea"/>
              <a:cs typeface="Arial" panose="020B0604020202020204" pitchFamily="34" charset="0"/>
            </a:rPr>
            <a:t>Ansprechperson: DI Arch. </a:t>
          </a:r>
          <a:r>
            <a:rPr lang="en-GB" sz="1400">
              <a:solidFill>
                <a:schemeClr val="dk1"/>
              </a:solidFill>
              <a:effectLst/>
              <a:latin typeface="+mn-lt"/>
              <a:ea typeface="+mn-ea"/>
              <a:cs typeface="Arial" panose="020B0604020202020204" pitchFamily="34" charset="0"/>
            </a:rPr>
            <a:t>Martin Ploss</a:t>
          </a:r>
          <a:endParaRPr lang="de-AT" sz="1400">
            <a:solidFill>
              <a:schemeClr val="dk1"/>
            </a:solidFill>
            <a:effectLst/>
            <a:latin typeface="+mn-lt"/>
            <a:ea typeface="+mn-ea"/>
            <a:cs typeface="Arial" panose="020B0604020202020204" pitchFamily="34" charset="0"/>
          </a:endParaRPr>
        </a:p>
        <a:p>
          <a:r>
            <a:rPr lang="en-GB" sz="1400">
              <a:solidFill>
                <a:schemeClr val="dk1"/>
              </a:solidFill>
              <a:effectLst/>
              <a:latin typeface="+mn-lt"/>
              <a:ea typeface="+mn-ea"/>
              <a:cs typeface="Arial" panose="020B0604020202020204" pitchFamily="34" charset="0"/>
            </a:rPr>
            <a:t>E-Mail: </a:t>
          </a:r>
          <a:r>
            <a:rPr lang="en-GB" sz="1400" u="sng">
              <a:solidFill>
                <a:schemeClr val="dk1"/>
              </a:solidFill>
              <a:effectLst/>
              <a:latin typeface="+mn-lt"/>
              <a:ea typeface="+mn-ea"/>
              <a:cs typeface="Arial" panose="020B0604020202020204" pitchFamily="34" charset="0"/>
            </a:rPr>
            <a:t>martin.ploss@energieinstitut.at</a:t>
          </a:r>
          <a:endParaRPr lang="de-AT" sz="1400">
            <a:solidFill>
              <a:schemeClr val="dk1"/>
            </a:solidFill>
            <a:effectLst/>
            <a:latin typeface="+mn-lt"/>
            <a:ea typeface="+mn-ea"/>
            <a:cs typeface="Arial" panose="020B0604020202020204" pitchFamily="34" charset="0"/>
          </a:endParaRPr>
        </a:p>
        <a:p>
          <a:r>
            <a:rPr lang="de-AT" sz="1400">
              <a:solidFill>
                <a:schemeClr val="dk1"/>
              </a:solidFill>
              <a:effectLst/>
              <a:latin typeface="+mn-lt"/>
              <a:ea typeface="+mn-ea"/>
              <a:cs typeface="Arial" panose="020B0604020202020204" pitchFamily="34" charset="0"/>
            </a:rPr>
            <a:t>Tel.: 05572/31202-85 </a:t>
          </a:r>
        </a:p>
        <a:p>
          <a:endParaRPr lang="de-AT" sz="1400">
            <a:solidFill>
              <a:schemeClr val="dk1"/>
            </a:solidFill>
            <a:effectLst/>
            <a:latin typeface="+mn-lt"/>
            <a:ea typeface="+mn-ea"/>
            <a:cs typeface="Arial" panose="020B0604020202020204" pitchFamily="34" charset="0"/>
          </a:endParaRPr>
        </a:p>
        <a:p>
          <a:r>
            <a:rPr lang="de-AT" sz="1200">
              <a:solidFill>
                <a:schemeClr val="dk1"/>
              </a:solidFill>
              <a:effectLst/>
              <a:latin typeface="+mn-lt"/>
              <a:ea typeface="+mn-ea"/>
              <a:cs typeface="Arial" panose="020B0604020202020204" pitchFamily="34" charset="0"/>
            </a:rPr>
            <a:t>"econ calc" erhebt kein Anspruch auf Vollständigkeit oder universelle Richtigkeit. Es wurde nach bestem Wissen und Gewissen erstellt und getestet, Fehler können nicht vollständig ausgeschlossen werden. </a:t>
          </a:r>
        </a:p>
        <a:p>
          <a:r>
            <a:rPr lang="de-AT" sz="1200">
              <a:solidFill>
                <a:schemeClr val="dk1"/>
              </a:solidFill>
              <a:effectLst/>
              <a:latin typeface="+mn-lt"/>
              <a:ea typeface="+mn-ea"/>
              <a:cs typeface="Arial" panose="020B0604020202020204" pitchFamily="34" charset="0"/>
            </a:rPr>
            <a:t>Jegliche Verantwortung  für die mit "econ calc"  gewonnenen Ergebnisse liegen beim Nutzer des Tools. </a:t>
          </a:r>
        </a:p>
      </xdr:txBody>
    </xdr:sp>
    <xdr:clientData/>
  </xdr:twoCellAnchor>
  <xdr:twoCellAnchor>
    <xdr:from>
      <xdr:col>2</xdr:col>
      <xdr:colOff>244928</xdr:colOff>
      <xdr:row>15</xdr:row>
      <xdr:rowOff>0</xdr:rowOff>
    </xdr:from>
    <xdr:to>
      <xdr:col>25</xdr:col>
      <xdr:colOff>244928</xdr:colOff>
      <xdr:row>25</xdr:row>
      <xdr:rowOff>56029</xdr:rowOff>
    </xdr:to>
    <xdr:sp macro="" textlink="">
      <xdr:nvSpPr>
        <xdr:cNvPr id="6" name="Textfeld 5"/>
        <xdr:cNvSpPr txBox="1"/>
      </xdr:nvSpPr>
      <xdr:spPr>
        <a:xfrm>
          <a:off x="1151003" y="2756647"/>
          <a:ext cx="11340353" cy="1624853"/>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400">
              <a:latin typeface="+mn-lt"/>
              <a:cs typeface="Arial" panose="020B0604020202020204" pitchFamily="34" charset="0"/>
            </a:rPr>
            <a:t>Version:	3.0							Datum:</a:t>
          </a:r>
          <a:r>
            <a:rPr lang="de-AT" sz="1400" baseline="0">
              <a:latin typeface="+mn-lt"/>
              <a:cs typeface="Arial" panose="020B0604020202020204" pitchFamily="34" charset="0"/>
            </a:rPr>
            <a:t> 22.11.2013</a:t>
          </a:r>
        </a:p>
        <a:p>
          <a:endParaRPr lang="de-AT" sz="1400" baseline="0">
            <a:latin typeface="+mn-lt"/>
            <a:cs typeface="Arial" panose="020B0604020202020204" pitchFamily="34" charset="0"/>
          </a:endParaRPr>
        </a:p>
        <a:p>
          <a:r>
            <a:rPr lang="de-AT" sz="1400" baseline="0">
              <a:latin typeface="+mn-lt"/>
              <a:cs typeface="Arial" panose="020B0604020202020204" pitchFamily="34" charset="0"/>
            </a:rPr>
            <a:t>Aktualisierungen:		-Makrofreiheit in der Berechnung			Datum: 20.11.2013</a:t>
          </a:r>
        </a:p>
        <a:p>
          <a:r>
            <a:rPr lang="de-AT" sz="1400" baseline="0">
              <a:latin typeface="+mn-lt"/>
              <a:cs typeface="Arial" panose="020B0604020202020204" pitchFamily="34" charset="0"/>
            </a:rPr>
            <a:t>			-neuer Konfigurationsassistent			Datum: 24.11.2013</a:t>
          </a:r>
        </a:p>
        <a:p>
          <a:r>
            <a:rPr lang="de-AT" sz="1400" baseline="0">
              <a:latin typeface="+mn-lt"/>
              <a:cs typeface="Arial" panose="020B0604020202020204" pitchFamily="34" charset="0"/>
            </a:rPr>
            <a:t>			-Behebung Bezugsfehler in Berechnung		Datum: 26.06.2014</a:t>
          </a:r>
        </a:p>
        <a:p>
          <a:r>
            <a:rPr lang="de-AT" sz="1400" baseline="0">
              <a:latin typeface="+mn-lt"/>
              <a:cs typeface="Arial" panose="020B0604020202020204" pitchFamily="34" charset="0"/>
            </a:rPr>
            <a:t>			-PV-Einspeisung, Annuitätenzuschüsse gemn.WBT ;</a:t>
          </a:r>
        </a:p>
        <a:p>
          <a:r>
            <a:rPr lang="de-AT" sz="1400" baseline="0">
              <a:latin typeface="+mn-lt"/>
              <a:cs typeface="Arial" panose="020B0604020202020204" pitchFamily="34" charset="0"/>
            </a:rPr>
            <a:t>			  Erleichterte Eingabe und Bedienung; Layout überarbeitet	Datum: 31.08.2017</a:t>
          </a:r>
        </a:p>
      </xdr:txBody>
    </xdr:sp>
    <xdr:clientData/>
  </xdr:twoCellAnchor>
  <xdr:twoCellAnchor>
    <xdr:from>
      <xdr:col>3</xdr:col>
      <xdr:colOff>0</xdr:colOff>
      <xdr:row>5</xdr:row>
      <xdr:rowOff>0</xdr:rowOff>
    </xdr:from>
    <xdr:to>
      <xdr:col>14</xdr:col>
      <xdr:colOff>0</xdr:colOff>
      <xdr:row>10</xdr:row>
      <xdr:rowOff>0</xdr:rowOff>
    </xdr:to>
    <xdr:sp macro="" textlink="">
      <xdr:nvSpPr>
        <xdr:cNvPr id="2" name="Abgerundetes Rechteck 1"/>
        <xdr:cNvSpPr/>
      </xdr:nvSpPr>
      <xdr:spPr>
        <a:xfrm>
          <a:off x="571500" y="638175"/>
          <a:ext cx="5448300" cy="809625"/>
        </a:xfrm>
        <a:prstGeom prst="roundRect">
          <a:avLst>
            <a:gd name="adj" fmla="val 6471"/>
          </a:avLst>
        </a:prstGeom>
        <a:solidFill>
          <a:schemeClr val="bg1">
            <a:lumMod val="85000"/>
          </a:schemeClr>
        </a:solidFill>
        <a:ln w="7620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AT" sz="6000" b="1">
              <a:solidFill>
                <a:srgbClr val="C00000"/>
              </a:solidFill>
              <a:latin typeface="+mn-lt"/>
              <a:cs typeface="Arial" panose="020B0604020202020204" pitchFamily="34" charset="0"/>
            </a:rPr>
            <a:t>econ calc</a:t>
          </a:r>
        </a:p>
      </xdr:txBody>
    </xdr:sp>
    <xdr:clientData/>
  </xdr:twoCellAnchor>
  <xdr:twoCellAnchor>
    <xdr:from>
      <xdr:col>0</xdr:col>
      <xdr:colOff>94768</xdr:colOff>
      <xdr:row>26</xdr:row>
      <xdr:rowOff>200025</xdr:rowOff>
    </xdr:from>
    <xdr:to>
      <xdr:col>11</xdr:col>
      <xdr:colOff>54890</xdr:colOff>
      <xdr:row>28</xdr:row>
      <xdr:rowOff>62279</xdr:rowOff>
    </xdr:to>
    <xdr:grpSp>
      <xdr:nvGrpSpPr>
        <xdr:cNvPr id="16" name="Gruppieren 15"/>
        <xdr:cNvGrpSpPr/>
      </xdr:nvGrpSpPr>
      <xdr:grpSpPr>
        <a:xfrm>
          <a:off x="189536" y="5076825"/>
          <a:ext cx="4454144" cy="357554"/>
          <a:chOff x="189536" y="4410075"/>
          <a:chExt cx="4454144" cy="357554"/>
        </a:xfrm>
      </xdr:grpSpPr>
      <xdr:sp macro="" textlink="">
        <xdr:nvSpPr>
          <xdr:cNvPr id="13" name="Auf der gleichen Seite des Rechtecks liegende Ecken abrunden 12"/>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Kurze Zusammenfassung "econ calc"</a:t>
            </a:r>
          </a:p>
        </xdr:txBody>
      </xdr:sp>
      <xdr:sp macro="" textlink="">
        <xdr:nvSpPr>
          <xdr:cNvPr id="14" name="Freihandform 13"/>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12</xdr:row>
      <xdr:rowOff>223471</xdr:rowOff>
    </xdr:from>
    <xdr:to>
      <xdr:col>11</xdr:col>
      <xdr:colOff>55372</xdr:colOff>
      <xdr:row>14</xdr:row>
      <xdr:rowOff>85725</xdr:rowOff>
    </xdr:to>
    <xdr:grpSp>
      <xdr:nvGrpSpPr>
        <xdr:cNvPr id="17" name="Gruppieren 16"/>
        <xdr:cNvGrpSpPr/>
      </xdr:nvGrpSpPr>
      <xdr:grpSpPr>
        <a:xfrm>
          <a:off x="190500" y="2661871"/>
          <a:ext cx="4454144" cy="357554"/>
          <a:chOff x="189536" y="4410075"/>
          <a:chExt cx="4454144" cy="357554"/>
        </a:xfrm>
      </xdr:grpSpPr>
      <xdr:sp macro="" textlink="">
        <xdr:nvSpPr>
          <xdr:cNvPr id="18" name="Auf der gleichen Seite des Rechtecks liegende Ecken abrunden 17"/>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Versionsinformation</a:t>
            </a:r>
          </a:p>
        </xdr:txBody>
      </xdr:sp>
      <xdr:sp macro="" textlink="">
        <xdr:nvSpPr>
          <xdr:cNvPr id="19" name="Freihandform 18"/>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110</xdr:row>
      <xdr:rowOff>213946</xdr:rowOff>
    </xdr:from>
    <xdr:to>
      <xdr:col>11</xdr:col>
      <xdr:colOff>55372</xdr:colOff>
      <xdr:row>112</xdr:row>
      <xdr:rowOff>76200</xdr:rowOff>
    </xdr:to>
    <xdr:grpSp>
      <xdr:nvGrpSpPr>
        <xdr:cNvPr id="20" name="Gruppieren 19"/>
        <xdr:cNvGrpSpPr/>
      </xdr:nvGrpSpPr>
      <xdr:grpSpPr>
        <a:xfrm>
          <a:off x="190500" y="20035471"/>
          <a:ext cx="4454144" cy="357554"/>
          <a:chOff x="189536" y="4410075"/>
          <a:chExt cx="4454144" cy="357554"/>
        </a:xfrm>
      </xdr:grpSpPr>
      <xdr:sp macro="" textlink="">
        <xdr:nvSpPr>
          <xdr:cNvPr id="21" name="Auf der gleichen Seite des Rechtecks liegende Ecken abrunden 20"/>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Navigation</a:t>
            </a:r>
          </a:p>
        </xdr:txBody>
      </xdr:sp>
      <xdr:sp macro="" textlink="">
        <xdr:nvSpPr>
          <xdr:cNvPr id="22" name="Freihandform 21"/>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xdr:row>
      <xdr:rowOff>223471</xdr:rowOff>
    </xdr:from>
    <xdr:to>
      <xdr:col>11</xdr:col>
      <xdr:colOff>55372</xdr:colOff>
      <xdr:row>3</xdr:row>
      <xdr:rowOff>85725</xdr:rowOff>
    </xdr:to>
    <xdr:grpSp>
      <xdr:nvGrpSpPr>
        <xdr:cNvPr id="23" name="Gruppieren 22"/>
        <xdr:cNvGrpSpPr/>
      </xdr:nvGrpSpPr>
      <xdr:grpSpPr>
        <a:xfrm>
          <a:off x="190500" y="537796"/>
          <a:ext cx="4454144" cy="529004"/>
          <a:chOff x="189536" y="4410075"/>
          <a:chExt cx="4454144" cy="357554"/>
        </a:xfrm>
      </xdr:grpSpPr>
      <xdr:sp macro="" textlink="">
        <xdr:nvSpPr>
          <xdr:cNvPr id="24" name="Auf der gleichen Seite des Rechtecks liegende Ecken abrunden 23"/>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econ calc</a:t>
            </a:r>
          </a:p>
        </xdr:txBody>
      </xdr:sp>
      <xdr:sp macro="" textlink="">
        <xdr:nvSpPr>
          <xdr:cNvPr id="25" name="Freihandform 24"/>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4</xdr:col>
          <xdr:colOff>9525</xdr:colOff>
          <xdr:row>127</xdr:row>
          <xdr:rowOff>19050</xdr:rowOff>
        </xdr:from>
        <xdr:to>
          <xdr:col>8</xdr:col>
          <xdr:colOff>238125</xdr:colOff>
          <xdr:row>127</xdr:row>
          <xdr:rowOff>200025</xdr:rowOff>
        </xdr:to>
        <xdr:sp macro="" textlink="">
          <xdr:nvSpPr>
            <xdr:cNvPr id="1031" name="Drop Down 7" descr="Auswahlfeld" hidden="1">
              <a:extLst>
                <a:ext uri="{63B3BB69-23CF-44E3-9099-C40C66FF867C}">
                  <a14:compatExt spid="_x0000_s1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238125</xdr:colOff>
      <xdr:row>1</xdr:row>
      <xdr:rowOff>76200</xdr:rowOff>
    </xdr:from>
    <xdr:to>
      <xdr:col>27</xdr:col>
      <xdr:colOff>14287</xdr:colOff>
      <xdr:row>2</xdr:row>
      <xdr:rowOff>134626</xdr:rowOff>
    </xdr:to>
    <xdr:grpSp>
      <xdr:nvGrpSpPr>
        <xdr:cNvPr id="26" name="Gruppieren 25"/>
        <xdr:cNvGrpSpPr/>
      </xdr:nvGrpSpPr>
      <xdr:grpSpPr>
        <a:xfrm>
          <a:off x="4514850" y="390525"/>
          <a:ext cx="7839074" cy="477526"/>
          <a:chOff x="4878917" y="378882"/>
          <a:chExt cx="7833783" cy="477526"/>
        </a:xfrm>
      </xdr:grpSpPr>
      <xdr:sp macro="" textlink="">
        <xdr:nvSpPr>
          <xdr:cNvPr id="27" name="Abgerundetes Rechteck 26">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28" name="Abgerundetes Rechteck 27">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29" name="Abgerundetes Rechteck 28">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30" name="Abgerundetes Rechteck 29">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31" name="Abgerundetes Rechteck 30">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32" name="Abgerundetes Rechteck 31">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33" name="Abgerundetes Rechteck 32">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34" name="Abgerundetes Rechteck 33">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35" name="Abgerundetes Rechteck 34">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36" name="Abgerundetes Rechteck 35">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37" name="Abgerundetes Rechteck 36">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38" name="Abgerundetes Rechteck 37">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39" name="Abgerundetes Rechteck 38">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40" name="Abgerundetes Rechteck 39">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xdr:from>
      <xdr:col>3</xdr:col>
      <xdr:colOff>242887</xdr:colOff>
      <xdr:row>133</xdr:row>
      <xdr:rowOff>95250</xdr:rowOff>
    </xdr:from>
    <xdr:to>
      <xdr:col>19</xdr:col>
      <xdr:colOff>200024</xdr:colOff>
      <xdr:row>136</xdr:row>
      <xdr:rowOff>1276</xdr:rowOff>
    </xdr:to>
    <xdr:grpSp>
      <xdr:nvGrpSpPr>
        <xdr:cNvPr id="41" name="Gruppieren 40"/>
        <xdr:cNvGrpSpPr/>
      </xdr:nvGrpSpPr>
      <xdr:grpSpPr>
        <a:xfrm>
          <a:off x="1057274" y="24784050"/>
          <a:ext cx="7839074" cy="477526"/>
          <a:chOff x="4878917" y="378882"/>
          <a:chExt cx="7833783" cy="477526"/>
        </a:xfrm>
      </xdr:grpSpPr>
      <xdr:sp macro="" textlink="">
        <xdr:nvSpPr>
          <xdr:cNvPr id="42" name="Abgerundetes Rechteck 41">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43" name="Abgerundetes Rechteck 42">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44" name="Abgerundetes Rechteck 43">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45" name="Abgerundetes Rechteck 44">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46" name="Abgerundetes Rechteck 45">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47" name="Abgerundetes Rechteck 46">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48" name="Abgerundetes Rechteck 47">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49" name="Abgerundetes Rechteck 48">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50" name="Abgerundetes Rechteck 49">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51" name="Abgerundetes Rechteck 50">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52" name="Abgerundetes Rechteck 51">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53" name="Abgerundetes Rechteck 52">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54" name="Abgerundetes Rechteck 53">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55" name="Abgerundetes Rechteck 54">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xdr:from>
      <xdr:col>3</xdr:col>
      <xdr:colOff>223837</xdr:colOff>
      <xdr:row>131</xdr:row>
      <xdr:rowOff>85725</xdr:rowOff>
    </xdr:from>
    <xdr:to>
      <xdr:col>8</xdr:col>
      <xdr:colOff>152400</xdr:colOff>
      <xdr:row>136</xdr:row>
      <xdr:rowOff>76200</xdr:rowOff>
    </xdr:to>
    <xdr:sp macro="" textlink="">
      <xdr:nvSpPr>
        <xdr:cNvPr id="3" name="Abgerundetes Rechteck 2"/>
        <xdr:cNvSpPr/>
      </xdr:nvSpPr>
      <xdr:spPr>
        <a:xfrm>
          <a:off x="1019174" y="24364950"/>
          <a:ext cx="2333626" cy="942975"/>
        </a:xfrm>
        <a:prstGeom prst="roundRect">
          <a:avLst/>
        </a:prstGeom>
        <a:noFill/>
        <a:ln>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8</xdr:col>
      <xdr:colOff>157162</xdr:colOff>
      <xdr:row>131</xdr:row>
      <xdr:rowOff>85725</xdr:rowOff>
    </xdr:from>
    <xdr:to>
      <xdr:col>16</xdr:col>
      <xdr:colOff>57150</xdr:colOff>
      <xdr:row>136</xdr:row>
      <xdr:rowOff>76200</xdr:rowOff>
    </xdr:to>
    <xdr:sp macro="" textlink="">
      <xdr:nvSpPr>
        <xdr:cNvPr id="56" name="Abgerundetes Rechteck 55"/>
        <xdr:cNvSpPr/>
      </xdr:nvSpPr>
      <xdr:spPr>
        <a:xfrm>
          <a:off x="3362324" y="24364950"/>
          <a:ext cx="3762376" cy="942975"/>
        </a:xfrm>
        <a:prstGeom prst="roundRect">
          <a:avLst/>
        </a:prstGeom>
        <a:noFill/>
        <a:ln>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16</xdr:col>
      <xdr:colOff>57150</xdr:colOff>
      <xdr:row>131</xdr:row>
      <xdr:rowOff>95250</xdr:rowOff>
    </xdr:from>
    <xdr:to>
      <xdr:col>19</xdr:col>
      <xdr:colOff>228600</xdr:colOff>
      <xdr:row>136</xdr:row>
      <xdr:rowOff>85725</xdr:rowOff>
    </xdr:to>
    <xdr:sp macro="" textlink="">
      <xdr:nvSpPr>
        <xdr:cNvPr id="57" name="Abgerundetes Rechteck 56"/>
        <xdr:cNvSpPr/>
      </xdr:nvSpPr>
      <xdr:spPr>
        <a:xfrm>
          <a:off x="7124700" y="24374475"/>
          <a:ext cx="1828800" cy="942975"/>
        </a:xfrm>
        <a:prstGeom prst="roundRect">
          <a:avLst/>
        </a:prstGeom>
        <a:noFill/>
        <a:ln>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4</xdr:col>
      <xdr:colOff>209550</xdr:colOff>
      <xdr:row>131</xdr:row>
      <xdr:rowOff>171450</xdr:rowOff>
    </xdr:from>
    <xdr:ext cx="1506503" cy="280205"/>
    <xdr:sp macro="" textlink="">
      <xdr:nvSpPr>
        <xdr:cNvPr id="5" name="Textfeld 4"/>
        <xdr:cNvSpPr txBox="1"/>
      </xdr:nvSpPr>
      <xdr:spPr>
        <a:xfrm>
          <a:off x="1485900" y="24479250"/>
          <a:ext cx="150650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200" b="1"/>
            <a:t>Allgemeine</a:t>
          </a:r>
          <a:r>
            <a:rPr lang="de-DE" sz="1200" b="1" baseline="0"/>
            <a:t> Angaben</a:t>
          </a:r>
          <a:endParaRPr lang="de-DE" sz="1200" b="1"/>
        </a:p>
      </xdr:txBody>
    </xdr:sp>
    <xdr:clientData/>
  </xdr:oneCellAnchor>
  <xdr:oneCellAnchor>
    <xdr:from>
      <xdr:col>10</xdr:col>
      <xdr:colOff>4761</xdr:colOff>
      <xdr:row>132</xdr:row>
      <xdr:rowOff>0</xdr:rowOff>
    </xdr:from>
    <xdr:ext cx="2669898" cy="280205"/>
    <xdr:sp macro="" textlink="">
      <xdr:nvSpPr>
        <xdr:cNvPr id="58" name="Textfeld 57"/>
        <xdr:cNvSpPr txBox="1"/>
      </xdr:nvSpPr>
      <xdr:spPr>
        <a:xfrm>
          <a:off x="4048122" y="24498300"/>
          <a:ext cx="266989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200" b="1"/>
            <a:t>Varianten Investition und Finanzierung</a:t>
          </a:r>
        </a:p>
      </xdr:txBody>
    </xdr:sp>
    <xdr:clientData/>
  </xdr:oneCellAnchor>
  <xdr:oneCellAnchor>
    <xdr:from>
      <xdr:col>17</xdr:col>
      <xdr:colOff>80945</xdr:colOff>
      <xdr:row>131</xdr:row>
      <xdr:rowOff>171450</xdr:rowOff>
    </xdr:from>
    <xdr:ext cx="867995" cy="280205"/>
    <xdr:sp macro="" textlink="">
      <xdr:nvSpPr>
        <xdr:cNvPr id="59" name="Textfeld 58"/>
        <xdr:cNvSpPr txBox="1"/>
      </xdr:nvSpPr>
      <xdr:spPr>
        <a:xfrm>
          <a:off x="7667590" y="24479250"/>
          <a:ext cx="86799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200" b="1"/>
            <a:t>Ergebnisse</a:t>
          </a:r>
        </a:p>
      </xdr:txBody>
    </xdr:sp>
    <xdr:clientData/>
  </xdr:oneCellAnchor>
  <xdr:twoCellAnchor editAs="oneCell">
    <xdr:from>
      <xdr:col>15</xdr:col>
      <xdr:colOff>176212</xdr:colOff>
      <xdr:row>5</xdr:row>
      <xdr:rowOff>28575</xdr:rowOff>
    </xdr:from>
    <xdr:to>
      <xdr:col>26</xdr:col>
      <xdr:colOff>44062</xdr:colOff>
      <xdr:row>9</xdr:row>
      <xdr:rowOff>59033</xdr:rowOff>
    </xdr:to>
    <xdr:pic>
      <xdr:nvPicPr>
        <xdr:cNvPr id="7" name="Grafik 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867524" y="1333500"/>
          <a:ext cx="5184000" cy="6781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247650</xdr:rowOff>
    </xdr:from>
    <xdr:to>
      <xdr:col>7</xdr:col>
      <xdr:colOff>548894</xdr:colOff>
      <xdr:row>2</xdr:row>
      <xdr:rowOff>47625</xdr:rowOff>
    </xdr:to>
    <xdr:grpSp>
      <xdr:nvGrpSpPr>
        <xdr:cNvPr id="5" name="Gruppieren 4"/>
        <xdr:cNvGrpSpPr/>
      </xdr:nvGrpSpPr>
      <xdr:grpSpPr>
        <a:xfrm>
          <a:off x="285750" y="561975"/>
          <a:ext cx="2406269" cy="428625"/>
          <a:chOff x="189536" y="4410075"/>
          <a:chExt cx="4454144" cy="357554"/>
        </a:xfrm>
      </xdr:grpSpPr>
      <xdr:sp macro="" textlink="">
        <xdr:nvSpPr>
          <xdr:cNvPr id="6" name="Auf der gleichen Seite des Rechtecks liegende Ecken abrunden 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7" name="Freihandform 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0</xdr:col>
      <xdr:colOff>285749</xdr:colOff>
      <xdr:row>1</xdr:row>
      <xdr:rowOff>247650</xdr:rowOff>
    </xdr:from>
    <xdr:to>
      <xdr:col>13</xdr:col>
      <xdr:colOff>19049</xdr:colOff>
      <xdr:row>2</xdr:row>
      <xdr:rowOff>47625</xdr:rowOff>
    </xdr:to>
    <xdr:grpSp>
      <xdr:nvGrpSpPr>
        <xdr:cNvPr id="11" name="Gruppieren 10"/>
        <xdr:cNvGrpSpPr/>
      </xdr:nvGrpSpPr>
      <xdr:grpSpPr>
        <a:xfrm>
          <a:off x="285749" y="561975"/>
          <a:ext cx="4238625" cy="428625"/>
          <a:chOff x="189536" y="4410075"/>
          <a:chExt cx="4454144" cy="357554"/>
        </a:xfrm>
      </xdr:grpSpPr>
      <xdr:sp macro="" textlink="">
        <xdr:nvSpPr>
          <xdr:cNvPr id="12" name="Auf der gleichen Seite des Rechtecks liegende Ecken abrunden 1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13" name="Freihandform 1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10</xdr:row>
      <xdr:rowOff>238125</xdr:rowOff>
    </xdr:from>
    <xdr:to>
      <xdr:col>13</xdr:col>
      <xdr:colOff>19050</xdr:colOff>
      <xdr:row>11</xdr:row>
      <xdr:rowOff>38100</xdr:rowOff>
    </xdr:to>
    <xdr:grpSp>
      <xdr:nvGrpSpPr>
        <xdr:cNvPr id="14" name="Gruppieren 13"/>
        <xdr:cNvGrpSpPr/>
      </xdr:nvGrpSpPr>
      <xdr:grpSpPr>
        <a:xfrm>
          <a:off x="285750" y="2476500"/>
          <a:ext cx="4238625" cy="304800"/>
          <a:chOff x="189536" y="4410075"/>
          <a:chExt cx="4454144" cy="357554"/>
        </a:xfrm>
      </xdr:grpSpPr>
      <xdr:sp macro="" textlink="">
        <xdr:nvSpPr>
          <xdr:cNvPr id="15" name="Auf der gleichen Seite des Rechtecks liegende Ecken abrunden 14"/>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Übernahme der Daten aus einer anderen Variante</a:t>
            </a:r>
          </a:p>
        </xdr:txBody>
      </xdr:sp>
      <xdr:sp macro="" textlink="">
        <xdr:nvSpPr>
          <xdr:cNvPr id="16" name="Freihandform 15"/>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16</xdr:row>
      <xdr:rowOff>238125</xdr:rowOff>
    </xdr:from>
    <xdr:to>
      <xdr:col>13</xdr:col>
      <xdr:colOff>19050</xdr:colOff>
      <xdr:row>17</xdr:row>
      <xdr:rowOff>38100</xdr:rowOff>
    </xdr:to>
    <xdr:grpSp>
      <xdr:nvGrpSpPr>
        <xdr:cNvPr id="17" name="Gruppieren 16"/>
        <xdr:cNvGrpSpPr/>
      </xdr:nvGrpSpPr>
      <xdr:grpSpPr>
        <a:xfrm>
          <a:off x="285750" y="3790950"/>
          <a:ext cx="4238625" cy="304800"/>
          <a:chOff x="189536" y="4410075"/>
          <a:chExt cx="4454144" cy="357554"/>
        </a:xfrm>
      </xdr:grpSpPr>
      <xdr:sp macro="" textlink="">
        <xdr:nvSpPr>
          <xdr:cNvPr id="18" name="Auf der gleichen Seite des Rechtecks liegende Ecken abrunden 17"/>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Kosten nach ÖNORM B 1801-1 Baugliederung</a:t>
            </a:r>
          </a:p>
        </xdr:txBody>
      </xdr:sp>
      <xdr:sp macro="" textlink="">
        <xdr:nvSpPr>
          <xdr:cNvPr id="19" name="Freihandform 18"/>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35</xdr:row>
      <xdr:rowOff>238130</xdr:rowOff>
    </xdr:from>
    <xdr:to>
      <xdr:col>13</xdr:col>
      <xdr:colOff>19050</xdr:colOff>
      <xdr:row>36</xdr:row>
      <xdr:rowOff>38099</xdr:rowOff>
    </xdr:to>
    <xdr:grpSp>
      <xdr:nvGrpSpPr>
        <xdr:cNvPr id="20" name="Gruppieren 19"/>
        <xdr:cNvGrpSpPr/>
      </xdr:nvGrpSpPr>
      <xdr:grpSpPr>
        <a:xfrm>
          <a:off x="285750" y="7162805"/>
          <a:ext cx="4238625" cy="304794"/>
          <a:chOff x="189536" y="4410082"/>
          <a:chExt cx="4454144" cy="357547"/>
        </a:xfrm>
      </xdr:grpSpPr>
      <xdr:sp macro="" textlink="">
        <xdr:nvSpPr>
          <xdr:cNvPr id="21" name="Auf der gleichen Seite des Rechtecks liegende Ecken abrunden 20"/>
          <xdr:cNvSpPr/>
        </xdr:nvSpPr>
        <xdr:spPr>
          <a:xfrm>
            <a:off x="189536" y="4410082"/>
            <a:ext cx="4058381"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Unterbrechung der Norm (einfachere Eingabe)</a:t>
            </a:r>
          </a:p>
        </xdr:txBody>
      </xdr:sp>
      <xdr:sp macro="" textlink="">
        <xdr:nvSpPr>
          <xdr:cNvPr id="22" name="Freihandform 21"/>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111</xdr:row>
      <xdr:rowOff>238125</xdr:rowOff>
    </xdr:from>
    <xdr:to>
      <xdr:col>13</xdr:col>
      <xdr:colOff>19050</xdr:colOff>
      <xdr:row>112</xdr:row>
      <xdr:rowOff>38094</xdr:rowOff>
    </xdr:to>
    <xdr:grpSp>
      <xdr:nvGrpSpPr>
        <xdr:cNvPr id="23" name="Gruppieren 22"/>
        <xdr:cNvGrpSpPr/>
      </xdr:nvGrpSpPr>
      <xdr:grpSpPr>
        <a:xfrm>
          <a:off x="285750" y="19297650"/>
          <a:ext cx="4238625" cy="304794"/>
          <a:chOff x="189536" y="4410082"/>
          <a:chExt cx="4454144" cy="357547"/>
        </a:xfrm>
      </xdr:grpSpPr>
      <xdr:sp macro="" textlink="">
        <xdr:nvSpPr>
          <xdr:cNvPr id="24" name="Auf der gleichen Seite des Rechtecks liegende Ecken abrunden 23"/>
          <xdr:cNvSpPr/>
        </xdr:nvSpPr>
        <xdr:spPr>
          <a:xfrm>
            <a:off x="189536" y="4410082"/>
            <a:ext cx="4058381"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Fortführen der Kostengliederung ÖNORM B1801</a:t>
            </a:r>
          </a:p>
        </xdr:txBody>
      </xdr:sp>
      <xdr:sp macro="" textlink="">
        <xdr:nvSpPr>
          <xdr:cNvPr id="25" name="Freihandform 24"/>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12</xdr:col>
          <xdr:colOff>0</xdr:colOff>
          <xdr:row>11</xdr:row>
          <xdr:rowOff>142875</xdr:rowOff>
        </xdr:from>
        <xdr:to>
          <xdr:col>15</xdr:col>
          <xdr:colOff>57150</xdr:colOff>
          <xdr:row>13</xdr:row>
          <xdr:rowOff>19050</xdr:rowOff>
        </xdr:to>
        <xdr:sp macro="" textlink="">
          <xdr:nvSpPr>
            <xdr:cNvPr id="412710" name="Drop Down 38" hidden="1">
              <a:extLst>
                <a:ext uri="{63B3BB69-23CF-44E3-9099-C40C66FF867C}">
                  <a14:compatExt spid="_x0000_s412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295275</xdr:colOff>
      <xdr:row>1</xdr:row>
      <xdr:rowOff>57150</xdr:rowOff>
    </xdr:from>
    <xdr:to>
      <xdr:col>35</xdr:col>
      <xdr:colOff>161925</xdr:colOff>
      <xdr:row>1</xdr:row>
      <xdr:rowOff>534676</xdr:rowOff>
    </xdr:to>
    <xdr:grpSp>
      <xdr:nvGrpSpPr>
        <xdr:cNvPr id="26" name="Gruppieren 25"/>
        <xdr:cNvGrpSpPr/>
      </xdr:nvGrpSpPr>
      <xdr:grpSpPr>
        <a:xfrm>
          <a:off x="6296025" y="371475"/>
          <a:ext cx="7839075" cy="477526"/>
          <a:chOff x="4878917" y="378882"/>
          <a:chExt cx="7833783" cy="477526"/>
        </a:xfrm>
      </xdr:grpSpPr>
      <xdr:sp macro="" textlink="">
        <xdr:nvSpPr>
          <xdr:cNvPr id="27" name="Abgerundetes Rechteck 26">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28" name="Abgerundetes Rechteck 27">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29" name="Abgerundetes Rechteck 28">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30" name="Abgerundetes Rechteck 29">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31" name="Abgerundetes Rechteck 30">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32" name="Abgerundetes Rechteck 31">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33" name="Abgerundetes Rechteck 32">
            <a:hlinkClick xmlns:r="http://schemas.openxmlformats.org/officeDocument/2006/relationships" r:id="rId7"/>
          </xdr:cNvPr>
          <xdr:cNvSpPr/>
        </xdr:nvSpPr>
        <xdr:spPr>
          <a:xfrm>
            <a:off x="7941731" y="388408"/>
            <a:ext cx="717884" cy="216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34" name="Abgerundetes Rechteck 33">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35" name="Abgerundetes Rechteck 34">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36" name="Abgerundetes Rechteck 35">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37" name="Abgerundetes Rechteck 36">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38" name="Abgerundetes Rechteck 37">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39" name="Abgerundetes Rechteck 38">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40" name="Abgerundetes Rechteck 39">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21</xdr:col>
      <xdr:colOff>9525</xdr:colOff>
      <xdr:row>2</xdr:row>
      <xdr:rowOff>142875</xdr:rowOff>
    </xdr:from>
    <xdr:to>
      <xdr:col>34</xdr:col>
      <xdr:colOff>250050</xdr:colOff>
      <xdr:row>7</xdr:row>
      <xdr:rowOff>11408</xdr:rowOff>
    </xdr:to>
    <xdr:pic>
      <xdr:nvPicPr>
        <xdr:cNvPr id="8" name="Grafik 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686800" y="1085850"/>
          <a:ext cx="5184000" cy="67815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247650</xdr:rowOff>
    </xdr:from>
    <xdr:to>
      <xdr:col>7</xdr:col>
      <xdr:colOff>548894</xdr:colOff>
      <xdr:row>2</xdr:row>
      <xdr:rowOff>47625</xdr:rowOff>
    </xdr:to>
    <xdr:grpSp>
      <xdr:nvGrpSpPr>
        <xdr:cNvPr id="5" name="Gruppieren 4"/>
        <xdr:cNvGrpSpPr/>
      </xdr:nvGrpSpPr>
      <xdr:grpSpPr>
        <a:xfrm>
          <a:off x="285750" y="561975"/>
          <a:ext cx="4454144" cy="428625"/>
          <a:chOff x="189536" y="4410075"/>
          <a:chExt cx="4454144" cy="357554"/>
        </a:xfrm>
      </xdr:grpSpPr>
      <xdr:sp macro="" textlink="">
        <xdr:nvSpPr>
          <xdr:cNvPr id="6" name="Auf der gleichen Seite des Rechtecks liegende Ecken abrunden 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7" name="Freihandform 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9</xdr:row>
      <xdr:rowOff>238125</xdr:rowOff>
    </xdr:from>
    <xdr:to>
      <xdr:col>7</xdr:col>
      <xdr:colOff>548894</xdr:colOff>
      <xdr:row>10</xdr:row>
      <xdr:rowOff>38100</xdr:rowOff>
    </xdr:to>
    <xdr:grpSp>
      <xdr:nvGrpSpPr>
        <xdr:cNvPr id="8" name="Gruppieren 7"/>
        <xdr:cNvGrpSpPr/>
      </xdr:nvGrpSpPr>
      <xdr:grpSpPr>
        <a:xfrm>
          <a:off x="285750" y="2314575"/>
          <a:ext cx="4454144" cy="304800"/>
          <a:chOff x="189536" y="4410075"/>
          <a:chExt cx="4454144" cy="357554"/>
        </a:xfrm>
      </xdr:grpSpPr>
      <xdr:sp macro="" textlink="">
        <xdr:nvSpPr>
          <xdr:cNvPr id="9" name="Auf der gleichen Seite des Rechtecks liegende Ecken abrunden 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Angaben zur Finanzierung</a:t>
            </a:r>
          </a:p>
        </xdr:txBody>
      </xdr:sp>
      <xdr:sp macro="" textlink="">
        <xdr:nvSpPr>
          <xdr:cNvPr id="10" name="Freihandform 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42</xdr:row>
      <xdr:rowOff>228600</xdr:rowOff>
    </xdr:from>
    <xdr:to>
      <xdr:col>7</xdr:col>
      <xdr:colOff>548894</xdr:colOff>
      <xdr:row>43</xdr:row>
      <xdr:rowOff>28575</xdr:rowOff>
    </xdr:to>
    <xdr:grpSp>
      <xdr:nvGrpSpPr>
        <xdr:cNvPr id="11" name="Gruppieren 10"/>
        <xdr:cNvGrpSpPr/>
      </xdr:nvGrpSpPr>
      <xdr:grpSpPr>
        <a:xfrm>
          <a:off x="285750" y="8924925"/>
          <a:ext cx="4454144" cy="304800"/>
          <a:chOff x="189536" y="4410075"/>
          <a:chExt cx="4454144" cy="357554"/>
        </a:xfrm>
      </xdr:grpSpPr>
      <xdr:sp macro="" textlink="">
        <xdr:nvSpPr>
          <xdr:cNvPr id="12" name="Auf der gleichen Seite des Rechtecks liegende Ecken abrunden 1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Objekt-Folgekosten nach ÖNORM B 1801-2</a:t>
            </a:r>
          </a:p>
        </xdr:txBody>
      </xdr:sp>
      <xdr:sp macro="" textlink="">
        <xdr:nvSpPr>
          <xdr:cNvPr id="13" name="Freihandform 1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9</xdr:col>
      <xdr:colOff>219075</xdr:colOff>
      <xdr:row>1</xdr:row>
      <xdr:rowOff>66675</xdr:rowOff>
    </xdr:from>
    <xdr:to>
      <xdr:col>17</xdr:col>
      <xdr:colOff>752475</xdr:colOff>
      <xdr:row>1</xdr:row>
      <xdr:rowOff>544201</xdr:rowOff>
    </xdr:to>
    <xdr:grpSp>
      <xdr:nvGrpSpPr>
        <xdr:cNvPr id="14" name="Gruppieren 13"/>
        <xdr:cNvGrpSpPr/>
      </xdr:nvGrpSpPr>
      <xdr:grpSpPr>
        <a:xfrm>
          <a:off x="6429375" y="381000"/>
          <a:ext cx="7839075" cy="477526"/>
          <a:chOff x="4878917" y="378882"/>
          <a:chExt cx="7833783" cy="477526"/>
        </a:xfrm>
      </xdr:grpSpPr>
      <xdr:sp macro="" textlink="">
        <xdr:nvSpPr>
          <xdr:cNvPr id="15" name="Abgerundetes Rechteck 14">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16" name="Abgerundetes Rechteck 15">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17" name="Abgerundetes Rechteck 16">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18" name="Abgerundetes Rechteck 17">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19" name="Abgerundetes Rechteck 18">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20" name="Abgerundetes Rechteck 19">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21" name="Abgerundetes Rechteck 20">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22" name="Abgerundetes Rechteck 21">
            <a:hlinkClick xmlns:r="http://schemas.openxmlformats.org/officeDocument/2006/relationships" r:id="rId8"/>
          </xdr:cNvPr>
          <xdr:cNvSpPr/>
        </xdr:nvSpPr>
        <xdr:spPr>
          <a:xfrm>
            <a:off x="7941731" y="626533"/>
            <a:ext cx="717884" cy="216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23" name="Abgerundetes Rechteck 22">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24" name="Abgerundetes Rechteck 23">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25" name="Abgerundetes Rechteck 24">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26" name="Abgerundetes Rechteck 25">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27" name="Abgerundetes Rechteck 26">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28" name="Abgerundetes Rechteck 27">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10</xdr:col>
      <xdr:colOff>800100</xdr:colOff>
      <xdr:row>3</xdr:row>
      <xdr:rowOff>0</xdr:rowOff>
    </xdr:from>
    <xdr:to>
      <xdr:col>16</xdr:col>
      <xdr:colOff>602475</xdr:colOff>
      <xdr:row>7</xdr:row>
      <xdr:rowOff>30458</xdr:rowOff>
    </xdr:to>
    <xdr:pic>
      <xdr:nvPicPr>
        <xdr:cNvPr id="30" name="Grafik 2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172450" y="1104900"/>
          <a:ext cx="5184000" cy="67815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247650</xdr:rowOff>
    </xdr:from>
    <xdr:to>
      <xdr:col>7</xdr:col>
      <xdr:colOff>548894</xdr:colOff>
      <xdr:row>2</xdr:row>
      <xdr:rowOff>47625</xdr:rowOff>
    </xdr:to>
    <xdr:grpSp>
      <xdr:nvGrpSpPr>
        <xdr:cNvPr id="5" name="Gruppieren 4"/>
        <xdr:cNvGrpSpPr/>
      </xdr:nvGrpSpPr>
      <xdr:grpSpPr>
        <a:xfrm>
          <a:off x="285750" y="561975"/>
          <a:ext cx="2406269" cy="428625"/>
          <a:chOff x="189536" y="4410075"/>
          <a:chExt cx="4454144" cy="357554"/>
        </a:xfrm>
      </xdr:grpSpPr>
      <xdr:sp macro="" textlink="">
        <xdr:nvSpPr>
          <xdr:cNvPr id="6" name="Auf der gleichen Seite des Rechtecks liegende Ecken abrunden 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7" name="Freihandform 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0</xdr:col>
      <xdr:colOff>285749</xdr:colOff>
      <xdr:row>1</xdr:row>
      <xdr:rowOff>247650</xdr:rowOff>
    </xdr:from>
    <xdr:to>
      <xdr:col>13</xdr:col>
      <xdr:colOff>19049</xdr:colOff>
      <xdr:row>2</xdr:row>
      <xdr:rowOff>47625</xdr:rowOff>
    </xdr:to>
    <xdr:grpSp>
      <xdr:nvGrpSpPr>
        <xdr:cNvPr id="8" name="Gruppieren 7"/>
        <xdr:cNvGrpSpPr/>
      </xdr:nvGrpSpPr>
      <xdr:grpSpPr>
        <a:xfrm>
          <a:off x="285749" y="561975"/>
          <a:ext cx="4238625" cy="428625"/>
          <a:chOff x="189536" y="4410075"/>
          <a:chExt cx="4454144" cy="357554"/>
        </a:xfrm>
      </xdr:grpSpPr>
      <xdr:sp macro="" textlink="">
        <xdr:nvSpPr>
          <xdr:cNvPr id="9" name="Auf der gleichen Seite des Rechtecks liegende Ecken abrunden 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10" name="Freihandform 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10</xdr:row>
      <xdr:rowOff>238125</xdr:rowOff>
    </xdr:from>
    <xdr:to>
      <xdr:col>13</xdr:col>
      <xdr:colOff>19050</xdr:colOff>
      <xdr:row>11</xdr:row>
      <xdr:rowOff>38100</xdr:rowOff>
    </xdr:to>
    <xdr:grpSp>
      <xdr:nvGrpSpPr>
        <xdr:cNvPr id="11" name="Gruppieren 10"/>
        <xdr:cNvGrpSpPr/>
      </xdr:nvGrpSpPr>
      <xdr:grpSpPr>
        <a:xfrm>
          <a:off x="285750" y="2476500"/>
          <a:ext cx="4238625" cy="304800"/>
          <a:chOff x="189536" y="4410075"/>
          <a:chExt cx="4454144" cy="357554"/>
        </a:xfrm>
      </xdr:grpSpPr>
      <xdr:sp macro="" textlink="">
        <xdr:nvSpPr>
          <xdr:cNvPr id="12" name="Auf der gleichen Seite des Rechtecks liegende Ecken abrunden 1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Übernahme der Daten aus einer anderen Variante</a:t>
            </a:r>
          </a:p>
        </xdr:txBody>
      </xdr:sp>
      <xdr:sp macro="" textlink="">
        <xdr:nvSpPr>
          <xdr:cNvPr id="13" name="Freihandform 1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16</xdr:row>
      <xdr:rowOff>238125</xdr:rowOff>
    </xdr:from>
    <xdr:to>
      <xdr:col>13</xdr:col>
      <xdr:colOff>19050</xdr:colOff>
      <xdr:row>17</xdr:row>
      <xdr:rowOff>38100</xdr:rowOff>
    </xdr:to>
    <xdr:grpSp>
      <xdr:nvGrpSpPr>
        <xdr:cNvPr id="14" name="Gruppieren 13"/>
        <xdr:cNvGrpSpPr/>
      </xdr:nvGrpSpPr>
      <xdr:grpSpPr>
        <a:xfrm>
          <a:off x="285750" y="3790950"/>
          <a:ext cx="4238625" cy="304800"/>
          <a:chOff x="189536" y="4410075"/>
          <a:chExt cx="4454144" cy="357554"/>
        </a:xfrm>
      </xdr:grpSpPr>
      <xdr:sp macro="" textlink="">
        <xdr:nvSpPr>
          <xdr:cNvPr id="15" name="Auf der gleichen Seite des Rechtecks liegende Ecken abrunden 14"/>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Kosten nach ÖNORM B 1801-1 Baugliederung</a:t>
            </a:r>
          </a:p>
        </xdr:txBody>
      </xdr:sp>
      <xdr:sp macro="" textlink="">
        <xdr:nvSpPr>
          <xdr:cNvPr id="16" name="Freihandform 15"/>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35</xdr:row>
      <xdr:rowOff>247655</xdr:rowOff>
    </xdr:from>
    <xdr:to>
      <xdr:col>13</xdr:col>
      <xdr:colOff>19050</xdr:colOff>
      <xdr:row>36</xdr:row>
      <xdr:rowOff>47624</xdr:rowOff>
    </xdr:to>
    <xdr:grpSp>
      <xdr:nvGrpSpPr>
        <xdr:cNvPr id="17" name="Gruppieren 16"/>
        <xdr:cNvGrpSpPr/>
      </xdr:nvGrpSpPr>
      <xdr:grpSpPr>
        <a:xfrm>
          <a:off x="285750" y="7162805"/>
          <a:ext cx="4238625" cy="304794"/>
          <a:chOff x="189536" y="4410082"/>
          <a:chExt cx="4454144" cy="357547"/>
        </a:xfrm>
      </xdr:grpSpPr>
      <xdr:sp macro="" textlink="">
        <xdr:nvSpPr>
          <xdr:cNvPr id="18" name="Auf der gleichen Seite des Rechtecks liegende Ecken abrunden 17"/>
          <xdr:cNvSpPr/>
        </xdr:nvSpPr>
        <xdr:spPr>
          <a:xfrm>
            <a:off x="189536" y="4410082"/>
            <a:ext cx="4058381"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Unterbrechung der Norm (einfachere Eingabe)</a:t>
            </a:r>
          </a:p>
        </xdr:txBody>
      </xdr:sp>
      <xdr:sp macro="" textlink="">
        <xdr:nvSpPr>
          <xdr:cNvPr id="19" name="Freihandform 18"/>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111</xdr:row>
      <xdr:rowOff>247650</xdr:rowOff>
    </xdr:from>
    <xdr:to>
      <xdr:col>13</xdr:col>
      <xdr:colOff>19050</xdr:colOff>
      <xdr:row>112</xdr:row>
      <xdr:rowOff>47619</xdr:rowOff>
    </xdr:to>
    <xdr:grpSp>
      <xdr:nvGrpSpPr>
        <xdr:cNvPr id="20" name="Gruppieren 19"/>
        <xdr:cNvGrpSpPr/>
      </xdr:nvGrpSpPr>
      <xdr:grpSpPr>
        <a:xfrm>
          <a:off x="285750" y="19297650"/>
          <a:ext cx="4238625" cy="304794"/>
          <a:chOff x="189536" y="4410082"/>
          <a:chExt cx="4454144" cy="357547"/>
        </a:xfrm>
      </xdr:grpSpPr>
      <xdr:sp macro="" textlink="">
        <xdr:nvSpPr>
          <xdr:cNvPr id="21" name="Auf der gleichen Seite des Rechtecks liegende Ecken abrunden 20"/>
          <xdr:cNvSpPr/>
        </xdr:nvSpPr>
        <xdr:spPr>
          <a:xfrm>
            <a:off x="189536" y="4410082"/>
            <a:ext cx="4058381"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Fortführen der Kostengliederung ÖNORM B1801</a:t>
            </a:r>
          </a:p>
        </xdr:txBody>
      </xdr:sp>
      <xdr:sp macro="" textlink="">
        <xdr:nvSpPr>
          <xdr:cNvPr id="22" name="Freihandform 21"/>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12</xdr:col>
          <xdr:colOff>0</xdr:colOff>
          <xdr:row>11</xdr:row>
          <xdr:rowOff>152400</xdr:rowOff>
        </xdr:from>
        <xdr:to>
          <xdr:col>15</xdr:col>
          <xdr:colOff>57150</xdr:colOff>
          <xdr:row>13</xdr:row>
          <xdr:rowOff>28575</xdr:rowOff>
        </xdr:to>
        <xdr:sp macro="" textlink="">
          <xdr:nvSpPr>
            <xdr:cNvPr id="414842" name="Drop Down 122" hidden="1">
              <a:extLst>
                <a:ext uri="{63B3BB69-23CF-44E3-9099-C40C66FF867C}">
                  <a14:compatExt spid="_x0000_s414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285750</xdr:colOff>
      <xdr:row>1</xdr:row>
      <xdr:rowOff>66675</xdr:rowOff>
    </xdr:from>
    <xdr:to>
      <xdr:col>35</xdr:col>
      <xdr:colOff>152400</xdr:colOff>
      <xdr:row>1</xdr:row>
      <xdr:rowOff>544201</xdr:rowOff>
    </xdr:to>
    <xdr:grpSp>
      <xdr:nvGrpSpPr>
        <xdr:cNvPr id="24" name="Gruppieren 23"/>
        <xdr:cNvGrpSpPr/>
      </xdr:nvGrpSpPr>
      <xdr:grpSpPr>
        <a:xfrm>
          <a:off x="6286500" y="381000"/>
          <a:ext cx="7839075" cy="477526"/>
          <a:chOff x="4878917" y="378882"/>
          <a:chExt cx="7833783" cy="477526"/>
        </a:xfrm>
      </xdr:grpSpPr>
      <xdr:sp macro="" textlink="">
        <xdr:nvSpPr>
          <xdr:cNvPr id="25" name="Abgerundetes Rechteck 24">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26" name="Abgerundetes Rechteck 25">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27" name="Abgerundetes Rechteck 26">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28" name="Abgerundetes Rechteck 27">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29" name="Abgerundetes Rechteck 28">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30" name="Abgerundetes Rechteck 29">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31" name="Abgerundetes Rechteck 30">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32" name="Abgerundetes Rechteck 31">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33" name="Abgerundetes Rechteck 32">
            <a:hlinkClick xmlns:r="http://schemas.openxmlformats.org/officeDocument/2006/relationships" r:id="rId9"/>
          </xdr:cNvPr>
          <xdr:cNvSpPr/>
        </xdr:nvSpPr>
        <xdr:spPr>
          <a:xfrm>
            <a:off x="8692090" y="388408"/>
            <a:ext cx="717883" cy="216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34" name="Abgerundetes Rechteck 33">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35" name="Abgerundetes Rechteck 34">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36" name="Abgerundetes Rechteck 35">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37" name="Abgerundetes Rechteck 36">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38" name="Abgerundetes Rechteck 37">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20</xdr:col>
      <xdr:colOff>247650</xdr:colOff>
      <xdr:row>2</xdr:row>
      <xdr:rowOff>152400</xdr:rowOff>
    </xdr:from>
    <xdr:to>
      <xdr:col>34</xdr:col>
      <xdr:colOff>88125</xdr:colOff>
      <xdr:row>7</xdr:row>
      <xdr:rowOff>20933</xdr:rowOff>
    </xdr:to>
    <xdr:pic>
      <xdr:nvPicPr>
        <xdr:cNvPr id="23" name="Grafik 22"/>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524875" y="1095375"/>
          <a:ext cx="5184000" cy="67815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247650</xdr:rowOff>
    </xdr:from>
    <xdr:to>
      <xdr:col>7</xdr:col>
      <xdr:colOff>548894</xdr:colOff>
      <xdr:row>2</xdr:row>
      <xdr:rowOff>47625</xdr:rowOff>
    </xdr:to>
    <xdr:grpSp>
      <xdr:nvGrpSpPr>
        <xdr:cNvPr id="5" name="Gruppieren 4"/>
        <xdr:cNvGrpSpPr/>
      </xdr:nvGrpSpPr>
      <xdr:grpSpPr>
        <a:xfrm>
          <a:off x="285750" y="561975"/>
          <a:ext cx="4454144" cy="428625"/>
          <a:chOff x="189536" y="4410075"/>
          <a:chExt cx="4454144" cy="357554"/>
        </a:xfrm>
      </xdr:grpSpPr>
      <xdr:sp macro="" textlink="">
        <xdr:nvSpPr>
          <xdr:cNvPr id="6" name="Auf der gleichen Seite des Rechtecks liegende Ecken abrunden 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7" name="Freihandform 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9</xdr:row>
      <xdr:rowOff>247650</xdr:rowOff>
    </xdr:from>
    <xdr:to>
      <xdr:col>7</xdr:col>
      <xdr:colOff>548894</xdr:colOff>
      <xdr:row>10</xdr:row>
      <xdr:rowOff>47625</xdr:rowOff>
    </xdr:to>
    <xdr:grpSp>
      <xdr:nvGrpSpPr>
        <xdr:cNvPr id="8" name="Gruppieren 7"/>
        <xdr:cNvGrpSpPr/>
      </xdr:nvGrpSpPr>
      <xdr:grpSpPr>
        <a:xfrm>
          <a:off x="285750" y="2324100"/>
          <a:ext cx="4454144" cy="304800"/>
          <a:chOff x="189536" y="4410075"/>
          <a:chExt cx="4454144" cy="357554"/>
        </a:xfrm>
      </xdr:grpSpPr>
      <xdr:sp macro="" textlink="">
        <xdr:nvSpPr>
          <xdr:cNvPr id="9" name="Auf der gleichen Seite des Rechtecks liegende Ecken abrunden 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Angaben zur Finanzierung</a:t>
            </a:r>
          </a:p>
        </xdr:txBody>
      </xdr:sp>
      <xdr:sp macro="" textlink="">
        <xdr:nvSpPr>
          <xdr:cNvPr id="10" name="Freihandform 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42</xdr:row>
      <xdr:rowOff>238125</xdr:rowOff>
    </xdr:from>
    <xdr:to>
      <xdr:col>7</xdr:col>
      <xdr:colOff>548894</xdr:colOff>
      <xdr:row>43</xdr:row>
      <xdr:rowOff>38100</xdr:rowOff>
    </xdr:to>
    <xdr:grpSp>
      <xdr:nvGrpSpPr>
        <xdr:cNvPr id="11" name="Gruppieren 10"/>
        <xdr:cNvGrpSpPr/>
      </xdr:nvGrpSpPr>
      <xdr:grpSpPr>
        <a:xfrm>
          <a:off x="285750" y="8934450"/>
          <a:ext cx="4454144" cy="304800"/>
          <a:chOff x="189536" y="4410075"/>
          <a:chExt cx="4454144" cy="357554"/>
        </a:xfrm>
      </xdr:grpSpPr>
      <xdr:sp macro="" textlink="">
        <xdr:nvSpPr>
          <xdr:cNvPr id="12" name="Auf der gleichen Seite des Rechtecks liegende Ecken abrunden 1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Objekt-Folgekosten nach ÖNORM B 1801-2</a:t>
            </a:r>
          </a:p>
        </xdr:txBody>
      </xdr:sp>
      <xdr:sp macro="" textlink="">
        <xdr:nvSpPr>
          <xdr:cNvPr id="13" name="Freihandform 1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9</xdr:col>
      <xdr:colOff>209550</xdr:colOff>
      <xdr:row>1</xdr:row>
      <xdr:rowOff>66675</xdr:rowOff>
    </xdr:from>
    <xdr:to>
      <xdr:col>17</xdr:col>
      <xdr:colOff>742950</xdr:colOff>
      <xdr:row>1</xdr:row>
      <xdr:rowOff>544201</xdr:rowOff>
    </xdr:to>
    <xdr:grpSp>
      <xdr:nvGrpSpPr>
        <xdr:cNvPr id="14" name="Gruppieren 13"/>
        <xdr:cNvGrpSpPr/>
      </xdr:nvGrpSpPr>
      <xdr:grpSpPr>
        <a:xfrm>
          <a:off x="6419850" y="381000"/>
          <a:ext cx="7839075" cy="477526"/>
          <a:chOff x="4878917" y="378882"/>
          <a:chExt cx="7833783" cy="477526"/>
        </a:xfrm>
      </xdr:grpSpPr>
      <xdr:sp macro="" textlink="">
        <xdr:nvSpPr>
          <xdr:cNvPr id="15" name="Abgerundetes Rechteck 14">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16" name="Abgerundetes Rechteck 15">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17" name="Abgerundetes Rechteck 16">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18" name="Abgerundetes Rechteck 17">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19" name="Abgerundetes Rechteck 18">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20" name="Abgerundetes Rechteck 19">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21" name="Abgerundetes Rechteck 20">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22" name="Abgerundetes Rechteck 21">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23" name="Abgerundetes Rechteck 22">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24" name="Abgerundetes Rechteck 23">
            <a:hlinkClick xmlns:r="http://schemas.openxmlformats.org/officeDocument/2006/relationships" r:id="rId10"/>
          </xdr:cNvPr>
          <xdr:cNvSpPr/>
        </xdr:nvSpPr>
        <xdr:spPr>
          <a:xfrm>
            <a:off x="8692090" y="626533"/>
            <a:ext cx="717883" cy="216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25" name="Abgerundetes Rechteck 24">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26" name="Abgerundetes Rechteck 25">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27" name="Abgerundetes Rechteck 26">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28" name="Abgerundetes Rechteck 27">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10</xdr:col>
      <xdr:colOff>742950</xdr:colOff>
      <xdr:row>3</xdr:row>
      <xdr:rowOff>0</xdr:rowOff>
    </xdr:from>
    <xdr:to>
      <xdr:col>16</xdr:col>
      <xdr:colOff>545325</xdr:colOff>
      <xdr:row>7</xdr:row>
      <xdr:rowOff>30458</xdr:rowOff>
    </xdr:to>
    <xdr:pic>
      <xdr:nvPicPr>
        <xdr:cNvPr id="30" name="Grafik 2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115300" y="1104900"/>
          <a:ext cx="5184000" cy="67815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xdr:row>
      <xdr:rowOff>247650</xdr:rowOff>
    </xdr:from>
    <xdr:to>
      <xdr:col>7</xdr:col>
      <xdr:colOff>548894</xdr:colOff>
      <xdr:row>2</xdr:row>
      <xdr:rowOff>47625</xdr:rowOff>
    </xdr:to>
    <xdr:grpSp>
      <xdr:nvGrpSpPr>
        <xdr:cNvPr id="5" name="Gruppieren 4"/>
        <xdr:cNvGrpSpPr/>
      </xdr:nvGrpSpPr>
      <xdr:grpSpPr>
        <a:xfrm>
          <a:off x="285750" y="561975"/>
          <a:ext cx="2406269" cy="428625"/>
          <a:chOff x="189536" y="4410075"/>
          <a:chExt cx="4454144" cy="357554"/>
        </a:xfrm>
      </xdr:grpSpPr>
      <xdr:sp macro="" textlink="">
        <xdr:nvSpPr>
          <xdr:cNvPr id="6" name="Auf der gleichen Seite des Rechtecks liegende Ecken abrunden 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7" name="Freihandform 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0</xdr:col>
      <xdr:colOff>285749</xdr:colOff>
      <xdr:row>1</xdr:row>
      <xdr:rowOff>247650</xdr:rowOff>
    </xdr:from>
    <xdr:to>
      <xdr:col>13</xdr:col>
      <xdr:colOff>19049</xdr:colOff>
      <xdr:row>2</xdr:row>
      <xdr:rowOff>47625</xdr:rowOff>
    </xdr:to>
    <xdr:grpSp>
      <xdr:nvGrpSpPr>
        <xdr:cNvPr id="8" name="Gruppieren 7"/>
        <xdr:cNvGrpSpPr/>
      </xdr:nvGrpSpPr>
      <xdr:grpSpPr>
        <a:xfrm>
          <a:off x="285749" y="561975"/>
          <a:ext cx="4238625" cy="428625"/>
          <a:chOff x="189536" y="4410075"/>
          <a:chExt cx="4454144" cy="357554"/>
        </a:xfrm>
      </xdr:grpSpPr>
      <xdr:sp macro="" textlink="">
        <xdr:nvSpPr>
          <xdr:cNvPr id="9" name="Auf der gleichen Seite des Rechtecks liegende Ecken abrunden 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10" name="Freihandform 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10</xdr:row>
      <xdr:rowOff>238125</xdr:rowOff>
    </xdr:from>
    <xdr:to>
      <xdr:col>13</xdr:col>
      <xdr:colOff>19050</xdr:colOff>
      <xdr:row>11</xdr:row>
      <xdr:rowOff>38100</xdr:rowOff>
    </xdr:to>
    <xdr:grpSp>
      <xdr:nvGrpSpPr>
        <xdr:cNvPr id="11" name="Gruppieren 10"/>
        <xdr:cNvGrpSpPr/>
      </xdr:nvGrpSpPr>
      <xdr:grpSpPr>
        <a:xfrm>
          <a:off x="285750" y="2476500"/>
          <a:ext cx="4238625" cy="304800"/>
          <a:chOff x="189536" y="4410075"/>
          <a:chExt cx="4454144" cy="357554"/>
        </a:xfrm>
      </xdr:grpSpPr>
      <xdr:sp macro="" textlink="">
        <xdr:nvSpPr>
          <xdr:cNvPr id="12" name="Auf der gleichen Seite des Rechtecks liegende Ecken abrunden 1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Übernahme der Daten aus einer anderen Variante</a:t>
            </a:r>
          </a:p>
        </xdr:txBody>
      </xdr:sp>
      <xdr:sp macro="" textlink="">
        <xdr:nvSpPr>
          <xdr:cNvPr id="13" name="Freihandform 1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16</xdr:row>
      <xdr:rowOff>228600</xdr:rowOff>
    </xdr:from>
    <xdr:to>
      <xdr:col>13</xdr:col>
      <xdr:colOff>19050</xdr:colOff>
      <xdr:row>17</xdr:row>
      <xdr:rowOff>28575</xdr:rowOff>
    </xdr:to>
    <xdr:grpSp>
      <xdr:nvGrpSpPr>
        <xdr:cNvPr id="14" name="Gruppieren 13"/>
        <xdr:cNvGrpSpPr/>
      </xdr:nvGrpSpPr>
      <xdr:grpSpPr>
        <a:xfrm>
          <a:off x="285750" y="3781425"/>
          <a:ext cx="4238625" cy="304800"/>
          <a:chOff x="189536" y="4410075"/>
          <a:chExt cx="4454144" cy="357554"/>
        </a:xfrm>
      </xdr:grpSpPr>
      <xdr:sp macro="" textlink="">
        <xdr:nvSpPr>
          <xdr:cNvPr id="15" name="Auf der gleichen Seite des Rechtecks liegende Ecken abrunden 14"/>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Kosten nach ÖNORM B 1801-1 Baugliederung</a:t>
            </a:r>
          </a:p>
        </xdr:txBody>
      </xdr:sp>
      <xdr:sp macro="" textlink="">
        <xdr:nvSpPr>
          <xdr:cNvPr id="16" name="Freihandform 15"/>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35</xdr:row>
      <xdr:rowOff>238130</xdr:rowOff>
    </xdr:from>
    <xdr:to>
      <xdr:col>13</xdr:col>
      <xdr:colOff>19050</xdr:colOff>
      <xdr:row>36</xdr:row>
      <xdr:rowOff>38099</xdr:rowOff>
    </xdr:to>
    <xdr:grpSp>
      <xdr:nvGrpSpPr>
        <xdr:cNvPr id="17" name="Gruppieren 16"/>
        <xdr:cNvGrpSpPr/>
      </xdr:nvGrpSpPr>
      <xdr:grpSpPr>
        <a:xfrm>
          <a:off x="285750" y="7153280"/>
          <a:ext cx="4238625" cy="304794"/>
          <a:chOff x="189536" y="4410082"/>
          <a:chExt cx="4454144" cy="357547"/>
        </a:xfrm>
      </xdr:grpSpPr>
      <xdr:sp macro="" textlink="">
        <xdr:nvSpPr>
          <xdr:cNvPr id="18" name="Auf der gleichen Seite des Rechtecks liegende Ecken abrunden 17"/>
          <xdr:cNvSpPr/>
        </xdr:nvSpPr>
        <xdr:spPr>
          <a:xfrm>
            <a:off x="189536" y="4410082"/>
            <a:ext cx="4058381"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Unterbrechung der Norm (einfachere Eingabe)</a:t>
            </a:r>
          </a:p>
        </xdr:txBody>
      </xdr:sp>
      <xdr:sp macro="" textlink="">
        <xdr:nvSpPr>
          <xdr:cNvPr id="19" name="Freihandform 18"/>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111</xdr:row>
      <xdr:rowOff>238125</xdr:rowOff>
    </xdr:from>
    <xdr:to>
      <xdr:col>13</xdr:col>
      <xdr:colOff>19050</xdr:colOff>
      <xdr:row>112</xdr:row>
      <xdr:rowOff>38094</xdr:rowOff>
    </xdr:to>
    <xdr:grpSp>
      <xdr:nvGrpSpPr>
        <xdr:cNvPr id="20" name="Gruppieren 19"/>
        <xdr:cNvGrpSpPr/>
      </xdr:nvGrpSpPr>
      <xdr:grpSpPr>
        <a:xfrm>
          <a:off x="285750" y="19288125"/>
          <a:ext cx="4238625" cy="304794"/>
          <a:chOff x="189536" y="4410082"/>
          <a:chExt cx="4454144" cy="357547"/>
        </a:xfrm>
      </xdr:grpSpPr>
      <xdr:sp macro="" textlink="">
        <xdr:nvSpPr>
          <xdr:cNvPr id="21" name="Auf der gleichen Seite des Rechtecks liegende Ecken abrunden 20"/>
          <xdr:cNvSpPr/>
        </xdr:nvSpPr>
        <xdr:spPr>
          <a:xfrm>
            <a:off x="189536" y="4410082"/>
            <a:ext cx="4058381"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Fortführen der Kostengliederung ÖNORM B1801</a:t>
            </a:r>
          </a:p>
        </xdr:txBody>
      </xdr:sp>
      <xdr:sp macro="" textlink="">
        <xdr:nvSpPr>
          <xdr:cNvPr id="22" name="Freihandform 21"/>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12</xdr:col>
          <xdr:colOff>0</xdr:colOff>
          <xdr:row>11</xdr:row>
          <xdr:rowOff>152400</xdr:rowOff>
        </xdr:from>
        <xdr:to>
          <xdr:col>15</xdr:col>
          <xdr:colOff>57150</xdr:colOff>
          <xdr:row>13</xdr:row>
          <xdr:rowOff>28575</xdr:rowOff>
        </xdr:to>
        <xdr:sp macro="" textlink="">
          <xdr:nvSpPr>
            <xdr:cNvPr id="417884" name="Drop Down 92" hidden="1">
              <a:extLst>
                <a:ext uri="{63B3BB69-23CF-44E3-9099-C40C66FF867C}">
                  <a14:compatExt spid="_x0000_s417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304800</xdr:colOff>
      <xdr:row>1</xdr:row>
      <xdr:rowOff>66675</xdr:rowOff>
    </xdr:from>
    <xdr:to>
      <xdr:col>35</xdr:col>
      <xdr:colOff>171450</xdr:colOff>
      <xdr:row>1</xdr:row>
      <xdr:rowOff>544201</xdr:rowOff>
    </xdr:to>
    <xdr:grpSp>
      <xdr:nvGrpSpPr>
        <xdr:cNvPr id="24" name="Gruppieren 23"/>
        <xdr:cNvGrpSpPr/>
      </xdr:nvGrpSpPr>
      <xdr:grpSpPr>
        <a:xfrm>
          <a:off x="6305550" y="381000"/>
          <a:ext cx="7839075" cy="477526"/>
          <a:chOff x="4878917" y="378882"/>
          <a:chExt cx="7833783" cy="477526"/>
        </a:xfrm>
      </xdr:grpSpPr>
      <xdr:sp macro="" textlink="">
        <xdr:nvSpPr>
          <xdr:cNvPr id="25" name="Abgerundetes Rechteck 24">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26" name="Abgerundetes Rechteck 25">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27" name="Abgerundetes Rechteck 26">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28" name="Abgerundetes Rechteck 27">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29" name="Abgerundetes Rechteck 28">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30" name="Abgerundetes Rechteck 29">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31" name="Abgerundetes Rechteck 30">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32" name="Abgerundetes Rechteck 31">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33" name="Abgerundetes Rechteck 32">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34" name="Abgerundetes Rechteck 33">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35" name="Abgerundetes Rechteck 34">
            <a:hlinkClick xmlns:r="http://schemas.openxmlformats.org/officeDocument/2006/relationships" r:id="rId11"/>
          </xdr:cNvPr>
          <xdr:cNvSpPr/>
        </xdr:nvSpPr>
        <xdr:spPr>
          <a:xfrm>
            <a:off x="9442448" y="388408"/>
            <a:ext cx="722117" cy="216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36" name="Abgerundetes Rechteck 35">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37" name="Abgerundetes Rechteck 36">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38" name="Abgerundetes Rechteck 37">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20</xdr:col>
      <xdr:colOff>371475</xdr:colOff>
      <xdr:row>3</xdr:row>
      <xdr:rowOff>0</xdr:rowOff>
    </xdr:from>
    <xdr:to>
      <xdr:col>34</xdr:col>
      <xdr:colOff>211950</xdr:colOff>
      <xdr:row>7</xdr:row>
      <xdr:rowOff>30458</xdr:rowOff>
    </xdr:to>
    <xdr:pic>
      <xdr:nvPicPr>
        <xdr:cNvPr id="23" name="Grafik 22"/>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648700" y="1104900"/>
          <a:ext cx="5184000" cy="67815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247650</xdr:rowOff>
    </xdr:from>
    <xdr:to>
      <xdr:col>7</xdr:col>
      <xdr:colOff>548894</xdr:colOff>
      <xdr:row>2</xdr:row>
      <xdr:rowOff>47625</xdr:rowOff>
    </xdr:to>
    <xdr:grpSp>
      <xdr:nvGrpSpPr>
        <xdr:cNvPr id="5" name="Gruppieren 4"/>
        <xdr:cNvGrpSpPr/>
      </xdr:nvGrpSpPr>
      <xdr:grpSpPr>
        <a:xfrm>
          <a:off x="285750" y="561975"/>
          <a:ext cx="4454144" cy="428625"/>
          <a:chOff x="189536" y="4410075"/>
          <a:chExt cx="4454144" cy="357554"/>
        </a:xfrm>
      </xdr:grpSpPr>
      <xdr:sp macro="" textlink="">
        <xdr:nvSpPr>
          <xdr:cNvPr id="6" name="Auf der gleichen Seite des Rechtecks liegende Ecken abrunden 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7" name="Freihandform 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9</xdr:row>
      <xdr:rowOff>247650</xdr:rowOff>
    </xdr:from>
    <xdr:to>
      <xdr:col>7</xdr:col>
      <xdr:colOff>548894</xdr:colOff>
      <xdr:row>10</xdr:row>
      <xdr:rowOff>47625</xdr:rowOff>
    </xdr:to>
    <xdr:grpSp>
      <xdr:nvGrpSpPr>
        <xdr:cNvPr id="8" name="Gruppieren 7"/>
        <xdr:cNvGrpSpPr/>
      </xdr:nvGrpSpPr>
      <xdr:grpSpPr>
        <a:xfrm>
          <a:off x="285750" y="2324100"/>
          <a:ext cx="4454144" cy="304800"/>
          <a:chOff x="189536" y="4410075"/>
          <a:chExt cx="4454144" cy="357554"/>
        </a:xfrm>
      </xdr:grpSpPr>
      <xdr:sp macro="" textlink="">
        <xdr:nvSpPr>
          <xdr:cNvPr id="9" name="Auf der gleichen Seite des Rechtecks liegende Ecken abrunden 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Angaben zur Finanzierung</a:t>
            </a:r>
          </a:p>
        </xdr:txBody>
      </xdr:sp>
      <xdr:sp macro="" textlink="">
        <xdr:nvSpPr>
          <xdr:cNvPr id="10" name="Freihandform 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42</xdr:row>
      <xdr:rowOff>238125</xdr:rowOff>
    </xdr:from>
    <xdr:to>
      <xdr:col>7</xdr:col>
      <xdr:colOff>548894</xdr:colOff>
      <xdr:row>43</xdr:row>
      <xdr:rowOff>38100</xdr:rowOff>
    </xdr:to>
    <xdr:grpSp>
      <xdr:nvGrpSpPr>
        <xdr:cNvPr id="11" name="Gruppieren 10"/>
        <xdr:cNvGrpSpPr/>
      </xdr:nvGrpSpPr>
      <xdr:grpSpPr>
        <a:xfrm>
          <a:off x="285750" y="8934450"/>
          <a:ext cx="4454144" cy="304800"/>
          <a:chOff x="189536" y="4410075"/>
          <a:chExt cx="4454144" cy="357554"/>
        </a:xfrm>
      </xdr:grpSpPr>
      <xdr:sp macro="" textlink="">
        <xdr:nvSpPr>
          <xdr:cNvPr id="12" name="Auf der gleichen Seite des Rechtecks liegende Ecken abrunden 1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Objekt-Folgekosten nach ÖNORM B 1801-2</a:t>
            </a:r>
          </a:p>
        </xdr:txBody>
      </xdr:sp>
      <xdr:sp macro="" textlink="">
        <xdr:nvSpPr>
          <xdr:cNvPr id="13" name="Freihandform 1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9</xdr:col>
      <xdr:colOff>209550</xdr:colOff>
      <xdr:row>1</xdr:row>
      <xdr:rowOff>66675</xdr:rowOff>
    </xdr:from>
    <xdr:to>
      <xdr:col>17</xdr:col>
      <xdr:colOff>742950</xdr:colOff>
      <xdr:row>1</xdr:row>
      <xdr:rowOff>544201</xdr:rowOff>
    </xdr:to>
    <xdr:grpSp>
      <xdr:nvGrpSpPr>
        <xdr:cNvPr id="14" name="Gruppieren 13"/>
        <xdr:cNvGrpSpPr/>
      </xdr:nvGrpSpPr>
      <xdr:grpSpPr>
        <a:xfrm>
          <a:off x="6419850" y="381000"/>
          <a:ext cx="7839075" cy="477526"/>
          <a:chOff x="4878917" y="378882"/>
          <a:chExt cx="7833783" cy="477526"/>
        </a:xfrm>
      </xdr:grpSpPr>
      <xdr:sp macro="" textlink="">
        <xdr:nvSpPr>
          <xdr:cNvPr id="15" name="Abgerundetes Rechteck 14">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16" name="Abgerundetes Rechteck 15">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17" name="Abgerundetes Rechteck 16">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18" name="Abgerundetes Rechteck 17">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19" name="Abgerundetes Rechteck 18">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20" name="Abgerundetes Rechteck 19">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21" name="Abgerundetes Rechteck 20">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22" name="Abgerundetes Rechteck 21">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23" name="Abgerundetes Rechteck 22">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24" name="Abgerundetes Rechteck 23">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25" name="Abgerundetes Rechteck 24">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26" name="Abgerundetes Rechteck 25">
            <a:hlinkClick xmlns:r="http://schemas.openxmlformats.org/officeDocument/2006/relationships" r:id="rId12"/>
          </xdr:cNvPr>
          <xdr:cNvSpPr/>
        </xdr:nvSpPr>
        <xdr:spPr>
          <a:xfrm>
            <a:off x="9442448" y="626533"/>
            <a:ext cx="722117" cy="216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27" name="Abgerundetes Rechteck 26">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28" name="Abgerundetes Rechteck 27">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11</xdr:col>
      <xdr:colOff>76200</xdr:colOff>
      <xdr:row>3</xdr:row>
      <xdr:rowOff>9525</xdr:rowOff>
    </xdr:from>
    <xdr:to>
      <xdr:col>17</xdr:col>
      <xdr:colOff>192900</xdr:colOff>
      <xdr:row>7</xdr:row>
      <xdr:rowOff>39983</xdr:rowOff>
    </xdr:to>
    <xdr:pic>
      <xdr:nvPicPr>
        <xdr:cNvPr id="30" name="Grafik 2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524875" y="1114425"/>
          <a:ext cx="5184000" cy="67815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xdr:row>
      <xdr:rowOff>247650</xdr:rowOff>
    </xdr:from>
    <xdr:to>
      <xdr:col>7</xdr:col>
      <xdr:colOff>548894</xdr:colOff>
      <xdr:row>2</xdr:row>
      <xdr:rowOff>47625</xdr:rowOff>
    </xdr:to>
    <xdr:grpSp>
      <xdr:nvGrpSpPr>
        <xdr:cNvPr id="5" name="Gruppieren 4"/>
        <xdr:cNvGrpSpPr/>
      </xdr:nvGrpSpPr>
      <xdr:grpSpPr>
        <a:xfrm>
          <a:off x="285750" y="561975"/>
          <a:ext cx="2406269" cy="428625"/>
          <a:chOff x="189536" y="4410075"/>
          <a:chExt cx="4454144" cy="357554"/>
        </a:xfrm>
      </xdr:grpSpPr>
      <xdr:sp macro="" textlink="">
        <xdr:nvSpPr>
          <xdr:cNvPr id="6" name="Auf der gleichen Seite des Rechtecks liegende Ecken abrunden 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7" name="Freihandform 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0</xdr:col>
      <xdr:colOff>285749</xdr:colOff>
      <xdr:row>1</xdr:row>
      <xdr:rowOff>247650</xdr:rowOff>
    </xdr:from>
    <xdr:to>
      <xdr:col>13</xdr:col>
      <xdr:colOff>19049</xdr:colOff>
      <xdr:row>2</xdr:row>
      <xdr:rowOff>47625</xdr:rowOff>
    </xdr:to>
    <xdr:grpSp>
      <xdr:nvGrpSpPr>
        <xdr:cNvPr id="8" name="Gruppieren 7"/>
        <xdr:cNvGrpSpPr/>
      </xdr:nvGrpSpPr>
      <xdr:grpSpPr>
        <a:xfrm>
          <a:off x="285749" y="561975"/>
          <a:ext cx="4238625" cy="428625"/>
          <a:chOff x="189536" y="4410075"/>
          <a:chExt cx="4454144" cy="357554"/>
        </a:xfrm>
      </xdr:grpSpPr>
      <xdr:sp macro="" textlink="">
        <xdr:nvSpPr>
          <xdr:cNvPr id="9" name="Auf der gleichen Seite des Rechtecks liegende Ecken abrunden 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10" name="Freihandform 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10</xdr:row>
      <xdr:rowOff>238125</xdr:rowOff>
    </xdr:from>
    <xdr:to>
      <xdr:col>13</xdr:col>
      <xdr:colOff>19050</xdr:colOff>
      <xdr:row>11</xdr:row>
      <xdr:rowOff>38100</xdr:rowOff>
    </xdr:to>
    <xdr:grpSp>
      <xdr:nvGrpSpPr>
        <xdr:cNvPr id="11" name="Gruppieren 10"/>
        <xdr:cNvGrpSpPr/>
      </xdr:nvGrpSpPr>
      <xdr:grpSpPr>
        <a:xfrm>
          <a:off x="285750" y="2476500"/>
          <a:ext cx="4238625" cy="304800"/>
          <a:chOff x="189536" y="4410075"/>
          <a:chExt cx="4454144" cy="357554"/>
        </a:xfrm>
      </xdr:grpSpPr>
      <xdr:sp macro="" textlink="">
        <xdr:nvSpPr>
          <xdr:cNvPr id="12" name="Auf der gleichen Seite des Rechtecks liegende Ecken abrunden 1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Übernahme der Daten aus einer anderen Variante</a:t>
            </a:r>
          </a:p>
        </xdr:txBody>
      </xdr:sp>
      <xdr:sp macro="" textlink="">
        <xdr:nvSpPr>
          <xdr:cNvPr id="13" name="Freihandform 1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16</xdr:row>
      <xdr:rowOff>228600</xdr:rowOff>
    </xdr:from>
    <xdr:to>
      <xdr:col>13</xdr:col>
      <xdr:colOff>19050</xdr:colOff>
      <xdr:row>17</xdr:row>
      <xdr:rowOff>28575</xdr:rowOff>
    </xdr:to>
    <xdr:grpSp>
      <xdr:nvGrpSpPr>
        <xdr:cNvPr id="14" name="Gruppieren 13"/>
        <xdr:cNvGrpSpPr/>
      </xdr:nvGrpSpPr>
      <xdr:grpSpPr>
        <a:xfrm>
          <a:off x="285750" y="3781425"/>
          <a:ext cx="4238625" cy="304800"/>
          <a:chOff x="189536" y="4410075"/>
          <a:chExt cx="4454144" cy="357554"/>
        </a:xfrm>
      </xdr:grpSpPr>
      <xdr:sp macro="" textlink="">
        <xdr:nvSpPr>
          <xdr:cNvPr id="15" name="Auf der gleichen Seite des Rechtecks liegende Ecken abrunden 14"/>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Kosten nach ÖNORM B 1801-1 Baugliederung</a:t>
            </a:r>
          </a:p>
        </xdr:txBody>
      </xdr:sp>
      <xdr:sp macro="" textlink="">
        <xdr:nvSpPr>
          <xdr:cNvPr id="16" name="Freihandform 15"/>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35</xdr:row>
      <xdr:rowOff>238130</xdr:rowOff>
    </xdr:from>
    <xdr:to>
      <xdr:col>13</xdr:col>
      <xdr:colOff>19050</xdr:colOff>
      <xdr:row>36</xdr:row>
      <xdr:rowOff>38099</xdr:rowOff>
    </xdr:to>
    <xdr:grpSp>
      <xdr:nvGrpSpPr>
        <xdr:cNvPr id="17" name="Gruppieren 16"/>
        <xdr:cNvGrpSpPr/>
      </xdr:nvGrpSpPr>
      <xdr:grpSpPr>
        <a:xfrm>
          <a:off x="285750" y="7153280"/>
          <a:ext cx="4238625" cy="304794"/>
          <a:chOff x="189536" y="4410082"/>
          <a:chExt cx="4454144" cy="357547"/>
        </a:xfrm>
      </xdr:grpSpPr>
      <xdr:sp macro="" textlink="">
        <xdr:nvSpPr>
          <xdr:cNvPr id="18" name="Auf der gleichen Seite des Rechtecks liegende Ecken abrunden 17"/>
          <xdr:cNvSpPr/>
        </xdr:nvSpPr>
        <xdr:spPr>
          <a:xfrm>
            <a:off x="189536" y="4410082"/>
            <a:ext cx="4058381"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Unterbrechung der Norm (einfachere Eingabe)</a:t>
            </a:r>
          </a:p>
        </xdr:txBody>
      </xdr:sp>
      <xdr:sp macro="" textlink="">
        <xdr:nvSpPr>
          <xdr:cNvPr id="19" name="Freihandform 18"/>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111</xdr:row>
      <xdr:rowOff>238125</xdr:rowOff>
    </xdr:from>
    <xdr:to>
      <xdr:col>13</xdr:col>
      <xdr:colOff>19050</xdr:colOff>
      <xdr:row>112</xdr:row>
      <xdr:rowOff>38094</xdr:rowOff>
    </xdr:to>
    <xdr:grpSp>
      <xdr:nvGrpSpPr>
        <xdr:cNvPr id="20" name="Gruppieren 19"/>
        <xdr:cNvGrpSpPr/>
      </xdr:nvGrpSpPr>
      <xdr:grpSpPr>
        <a:xfrm>
          <a:off x="285750" y="19288125"/>
          <a:ext cx="4238625" cy="304794"/>
          <a:chOff x="189536" y="4410082"/>
          <a:chExt cx="4454144" cy="357547"/>
        </a:xfrm>
      </xdr:grpSpPr>
      <xdr:sp macro="" textlink="">
        <xdr:nvSpPr>
          <xdr:cNvPr id="21" name="Auf der gleichen Seite des Rechtecks liegende Ecken abrunden 20"/>
          <xdr:cNvSpPr/>
        </xdr:nvSpPr>
        <xdr:spPr>
          <a:xfrm>
            <a:off x="189536" y="4410082"/>
            <a:ext cx="4058381"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Fortführen der Kostengliederung ÖNORM B1801</a:t>
            </a:r>
          </a:p>
        </xdr:txBody>
      </xdr:sp>
      <xdr:sp macro="" textlink="">
        <xdr:nvSpPr>
          <xdr:cNvPr id="22" name="Freihandform 21"/>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12</xdr:col>
          <xdr:colOff>0</xdr:colOff>
          <xdr:row>12</xdr:row>
          <xdr:rowOff>0</xdr:rowOff>
        </xdr:from>
        <xdr:to>
          <xdr:col>15</xdr:col>
          <xdr:colOff>57150</xdr:colOff>
          <xdr:row>13</xdr:row>
          <xdr:rowOff>38100</xdr:rowOff>
        </xdr:to>
        <xdr:sp macro="" textlink="">
          <xdr:nvSpPr>
            <xdr:cNvPr id="418910" name="Drop Down 94" hidden="1">
              <a:extLst>
                <a:ext uri="{63B3BB69-23CF-44E3-9099-C40C66FF867C}">
                  <a14:compatExt spid="_x0000_s4189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304800</xdr:colOff>
      <xdr:row>1</xdr:row>
      <xdr:rowOff>66675</xdr:rowOff>
    </xdr:from>
    <xdr:to>
      <xdr:col>35</xdr:col>
      <xdr:colOff>171450</xdr:colOff>
      <xdr:row>1</xdr:row>
      <xdr:rowOff>544201</xdr:rowOff>
    </xdr:to>
    <xdr:grpSp>
      <xdr:nvGrpSpPr>
        <xdr:cNvPr id="24" name="Gruppieren 23"/>
        <xdr:cNvGrpSpPr/>
      </xdr:nvGrpSpPr>
      <xdr:grpSpPr>
        <a:xfrm>
          <a:off x="6305550" y="381000"/>
          <a:ext cx="7839075" cy="477526"/>
          <a:chOff x="4878917" y="378882"/>
          <a:chExt cx="7833783" cy="477526"/>
        </a:xfrm>
      </xdr:grpSpPr>
      <xdr:sp macro="" textlink="">
        <xdr:nvSpPr>
          <xdr:cNvPr id="25" name="Abgerundetes Rechteck 24">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26" name="Abgerundetes Rechteck 25">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27" name="Abgerundetes Rechteck 26">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28" name="Abgerundetes Rechteck 27">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29" name="Abgerundetes Rechteck 28">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30" name="Abgerundetes Rechteck 29">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31" name="Abgerundetes Rechteck 30">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32" name="Abgerundetes Rechteck 31">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33" name="Abgerundetes Rechteck 32">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34" name="Abgerundetes Rechteck 33">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35" name="Abgerundetes Rechteck 34">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36" name="Abgerundetes Rechteck 35">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37" name="Abgerundetes Rechteck 36">
            <a:hlinkClick xmlns:r="http://schemas.openxmlformats.org/officeDocument/2006/relationships" r:id="rId13"/>
          </xdr:cNvPr>
          <xdr:cNvSpPr/>
        </xdr:nvSpPr>
        <xdr:spPr>
          <a:xfrm>
            <a:off x="10197040" y="378883"/>
            <a:ext cx="717883" cy="216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38" name="Abgerundetes Rechteck 37">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20</xdr:col>
      <xdr:colOff>76200</xdr:colOff>
      <xdr:row>3</xdr:row>
      <xdr:rowOff>0</xdr:rowOff>
    </xdr:from>
    <xdr:to>
      <xdr:col>33</xdr:col>
      <xdr:colOff>97650</xdr:colOff>
      <xdr:row>7</xdr:row>
      <xdr:rowOff>30458</xdr:rowOff>
    </xdr:to>
    <xdr:pic>
      <xdr:nvPicPr>
        <xdr:cNvPr id="23" name="Grafik 22"/>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353425" y="1104900"/>
          <a:ext cx="5184000" cy="67815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xdr:row>
      <xdr:rowOff>247650</xdr:rowOff>
    </xdr:from>
    <xdr:to>
      <xdr:col>7</xdr:col>
      <xdr:colOff>548894</xdr:colOff>
      <xdr:row>2</xdr:row>
      <xdr:rowOff>47625</xdr:rowOff>
    </xdr:to>
    <xdr:grpSp>
      <xdr:nvGrpSpPr>
        <xdr:cNvPr id="5" name="Gruppieren 4"/>
        <xdr:cNvGrpSpPr/>
      </xdr:nvGrpSpPr>
      <xdr:grpSpPr>
        <a:xfrm>
          <a:off x="285750" y="561975"/>
          <a:ext cx="4454144" cy="428625"/>
          <a:chOff x="189536" y="4410075"/>
          <a:chExt cx="4454144" cy="357554"/>
        </a:xfrm>
      </xdr:grpSpPr>
      <xdr:sp macro="" textlink="">
        <xdr:nvSpPr>
          <xdr:cNvPr id="6" name="Auf der gleichen Seite des Rechtecks liegende Ecken abrunden 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7" name="Freihandform 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9</xdr:row>
      <xdr:rowOff>247650</xdr:rowOff>
    </xdr:from>
    <xdr:to>
      <xdr:col>7</xdr:col>
      <xdr:colOff>548894</xdr:colOff>
      <xdr:row>10</xdr:row>
      <xdr:rowOff>47625</xdr:rowOff>
    </xdr:to>
    <xdr:grpSp>
      <xdr:nvGrpSpPr>
        <xdr:cNvPr id="8" name="Gruppieren 7"/>
        <xdr:cNvGrpSpPr/>
      </xdr:nvGrpSpPr>
      <xdr:grpSpPr>
        <a:xfrm>
          <a:off x="285750" y="2324100"/>
          <a:ext cx="4454144" cy="304800"/>
          <a:chOff x="189536" y="4410075"/>
          <a:chExt cx="4454144" cy="357554"/>
        </a:xfrm>
      </xdr:grpSpPr>
      <xdr:sp macro="" textlink="">
        <xdr:nvSpPr>
          <xdr:cNvPr id="9" name="Auf der gleichen Seite des Rechtecks liegende Ecken abrunden 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Angaben zur Finanzierung</a:t>
            </a:r>
          </a:p>
        </xdr:txBody>
      </xdr:sp>
      <xdr:sp macro="" textlink="">
        <xdr:nvSpPr>
          <xdr:cNvPr id="10" name="Freihandform 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42</xdr:row>
      <xdr:rowOff>238125</xdr:rowOff>
    </xdr:from>
    <xdr:to>
      <xdr:col>7</xdr:col>
      <xdr:colOff>548894</xdr:colOff>
      <xdr:row>43</xdr:row>
      <xdr:rowOff>38100</xdr:rowOff>
    </xdr:to>
    <xdr:grpSp>
      <xdr:nvGrpSpPr>
        <xdr:cNvPr id="11" name="Gruppieren 10"/>
        <xdr:cNvGrpSpPr/>
      </xdr:nvGrpSpPr>
      <xdr:grpSpPr>
        <a:xfrm>
          <a:off x="285750" y="8934450"/>
          <a:ext cx="4454144" cy="304800"/>
          <a:chOff x="189536" y="4410075"/>
          <a:chExt cx="4454144" cy="357554"/>
        </a:xfrm>
      </xdr:grpSpPr>
      <xdr:sp macro="" textlink="">
        <xdr:nvSpPr>
          <xdr:cNvPr id="12" name="Auf der gleichen Seite des Rechtecks liegende Ecken abrunden 1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Objekt-Folgekosten nach ÖNORM B 1801-2</a:t>
            </a:r>
          </a:p>
        </xdr:txBody>
      </xdr:sp>
      <xdr:sp macro="" textlink="">
        <xdr:nvSpPr>
          <xdr:cNvPr id="13" name="Freihandform 1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9</xdr:col>
      <xdr:colOff>209550</xdr:colOff>
      <xdr:row>1</xdr:row>
      <xdr:rowOff>66675</xdr:rowOff>
    </xdr:from>
    <xdr:to>
      <xdr:col>17</xdr:col>
      <xdr:colOff>742950</xdr:colOff>
      <xdr:row>1</xdr:row>
      <xdr:rowOff>544201</xdr:rowOff>
    </xdr:to>
    <xdr:grpSp>
      <xdr:nvGrpSpPr>
        <xdr:cNvPr id="14" name="Gruppieren 13"/>
        <xdr:cNvGrpSpPr/>
      </xdr:nvGrpSpPr>
      <xdr:grpSpPr>
        <a:xfrm>
          <a:off x="6419850" y="381000"/>
          <a:ext cx="7839075" cy="477526"/>
          <a:chOff x="4878917" y="378882"/>
          <a:chExt cx="7833783" cy="477526"/>
        </a:xfrm>
      </xdr:grpSpPr>
      <xdr:sp macro="" textlink="">
        <xdr:nvSpPr>
          <xdr:cNvPr id="15" name="Abgerundetes Rechteck 14">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16" name="Abgerundetes Rechteck 15">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17" name="Abgerundetes Rechteck 16">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18" name="Abgerundetes Rechteck 17">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19" name="Abgerundetes Rechteck 18">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20" name="Abgerundetes Rechteck 19">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21" name="Abgerundetes Rechteck 20">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22" name="Abgerundetes Rechteck 21">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23" name="Abgerundetes Rechteck 22">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24" name="Abgerundetes Rechteck 23">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25" name="Abgerundetes Rechteck 24">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26" name="Abgerundetes Rechteck 25">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27" name="Abgerundetes Rechteck 26">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28" name="Abgerundetes Rechteck 27">
            <a:hlinkClick xmlns:r="http://schemas.openxmlformats.org/officeDocument/2006/relationships" r:id="rId14"/>
          </xdr:cNvPr>
          <xdr:cNvSpPr/>
        </xdr:nvSpPr>
        <xdr:spPr>
          <a:xfrm>
            <a:off x="10197040" y="617008"/>
            <a:ext cx="717883" cy="216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10</xdr:col>
      <xdr:colOff>828675</xdr:colOff>
      <xdr:row>2</xdr:row>
      <xdr:rowOff>142875</xdr:rowOff>
    </xdr:from>
    <xdr:to>
      <xdr:col>16</xdr:col>
      <xdr:colOff>631050</xdr:colOff>
      <xdr:row>7</xdr:row>
      <xdr:rowOff>11408</xdr:rowOff>
    </xdr:to>
    <xdr:pic>
      <xdr:nvPicPr>
        <xdr:cNvPr id="30" name="Grafik 2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201025" y="1085850"/>
          <a:ext cx="5184000" cy="6781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19050</xdr:colOff>
      <xdr:row>2</xdr:row>
      <xdr:rowOff>180975</xdr:rowOff>
    </xdr:from>
    <xdr:to>
      <xdr:col>18</xdr:col>
      <xdr:colOff>371475</xdr:colOff>
      <xdr:row>4</xdr:row>
      <xdr:rowOff>28575</xdr:rowOff>
    </xdr:to>
    <xdr:sp macro="" textlink="">
      <xdr:nvSpPr>
        <xdr:cNvPr id="2" name="Pfeil nach unten 1"/>
        <xdr:cNvSpPr/>
      </xdr:nvSpPr>
      <xdr:spPr>
        <a:xfrm rot="16200000">
          <a:off x="4572000" y="5133975"/>
          <a:ext cx="238125" cy="352425"/>
        </a:xfrm>
        <a:prstGeom prst="downArrow">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endParaRPr lang="de-DE" sz="1100"/>
        </a:p>
      </xdr:txBody>
    </xdr:sp>
    <xdr:clientData/>
  </xdr:twoCellAnchor>
  <xdr:twoCellAnchor>
    <xdr:from>
      <xdr:col>20</xdr:col>
      <xdr:colOff>28575</xdr:colOff>
      <xdr:row>2</xdr:row>
      <xdr:rowOff>161925</xdr:rowOff>
    </xdr:from>
    <xdr:to>
      <xdr:col>20</xdr:col>
      <xdr:colOff>381000</xdr:colOff>
      <xdr:row>4</xdr:row>
      <xdr:rowOff>9525</xdr:rowOff>
    </xdr:to>
    <xdr:sp macro="" textlink="">
      <xdr:nvSpPr>
        <xdr:cNvPr id="3" name="Pfeil nach unten 2"/>
        <xdr:cNvSpPr/>
      </xdr:nvSpPr>
      <xdr:spPr>
        <a:xfrm rot="16200000">
          <a:off x="5734050" y="5114925"/>
          <a:ext cx="238125" cy="352425"/>
        </a:xfrm>
        <a:prstGeom prst="downArrow">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endParaRPr lang="de-DE"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75</xdr:col>
      <xdr:colOff>660254</xdr:colOff>
      <xdr:row>70</xdr:row>
      <xdr:rowOff>65809</xdr:rowOff>
    </xdr:from>
    <xdr:to>
      <xdr:col>81</xdr:col>
      <xdr:colOff>712209</xdr:colOff>
      <xdr:row>84</xdr:row>
      <xdr:rowOff>118196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75</xdr:col>
      <xdr:colOff>348095</xdr:colOff>
      <xdr:row>87</xdr:row>
      <xdr:rowOff>181839</xdr:rowOff>
    </xdr:from>
    <xdr:to>
      <xdr:col>88</xdr:col>
      <xdr:colOff>299606</xdr:colOff>
      <xdr:row>121</xdr:row>
      <xdr:rowOff>90054</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83</xdr:col>
      <xdr:colOff>577128</xdr:colOff>
      <xdr:row>55</xdr:row>
      <xdr:rowOff>557210</xdr:rowOff>
    </xdr:from>
    <xdr:to>
      <xdr:col>94</xdr:col>
      <xdr:colOff>95249</xdr:colOff>
      <xdr:row>78</xdr:row>
      <xdr:rowOff>39483</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75</xdr:col>
      <xdr:colOff>740606</xdr:colOff>
      <xdr:row>125</xdr:row>
      <xdr:rowOff>98152</xdr:rowOff>
    </xdr:from>
    <xdr:to>
      <xdr:col>85</xdr:col>
      <xdr:colOff>22031</xdr:colOff>
      <xdr:row>146</xdr:row>
      <xdr:rowOff>116770</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75</xdr:col>
      <xdr:colOff>642937</xdr:colOff>
      <xdr:row>55</xdr:row>
      <xdr:rowOff>592931</xdr:rowOff>
    </xdr:from>
    <xdr:to>
      <xdr:col>81</xdr:col>
      <xdr:colOff>642938</xdr:colOff>
      <xdr:row>68</xdr:row>
      <xdr:rowOff>97631</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87</xdr:col>
      <xdr:colOff>371195</xdr:colOff>
      <xdr:row>123</xdr:row>
      <xdr:rowOff>188117</xdr:rowOff>
    </xdr:from>
    <xdr:to>
      <xdr:col>93</xdr:col>
      <xdr:colOff>371195</xdr:colOff>
      <xdr:row>138</xdr:row>
      <xdr:rowOff>73817</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75</xdr:col>
      <xdr:colOff>660254</xdr:colOff>
      <xdr:row>204</xdr:row>
      <xdr:rowOff>65809</xdr:rowOff>
    </xdr:from>
    <xdr:to>
      <xdr:col>81</xdr:col>
      <xdr:colOff>712209</xdr:colOff>
      <xdr:row>218</xdr:row>
      <xdr:rowOff>118196</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75</xdr:col>
      <xdr:colOff>348095</xdr:colOff>
      <xdr:row>221</xdr:row>
      <xdr:rowOff>181839</xdr:rowOff>
    </xdr:from>
    <xdr:to>
      <xdr:col>88</xdr:col>
      <xdr:colOff>299606</xdr:colOff>
      <xdr:row>255</xdr:row>
      <xdr:rowOff>90054</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83</xdr:col>
      <xdr:colOff>577128</xdr:colOff>
      <xdr:row>189</xdr:row>
      <xdr:rowOff>557210</xdr:rowOff>
    </xdr:from>
    <xdr:to>
      <xdr:col>94</xdr:col>
      <xdr:colOff>95249</xdr:colOff>
      <xdr:row>212</xdr:row>
      <xdr:rowOff>39483</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75</xdr:col>
      <xdr:colOff>740606</xdr:colOff>
      <xdr:row>259</xdr:row>
      <xdr:rowOff>98152</xdr:rowOff>
    </xdr:from>
    <xdr:to>
      <xdr:col>85</xdr:col>
      <xdr:colOff>22031</xdr:colOff>
      <xdr:row>280</xdr:row>
      <xdr:rowOff>116770</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75</xdr:col>
      <xdr:colOff>642937</xdr:colOff>
      <xdr:row>189</xdr:row>
      <xdr:rowOff>592931</xdr:rowOff>
    </xdr:from>
    <xdr:to>
      <xdr:col>81</xdr:col>
      <xdr:colOff>642938</xdr:colOff>
      <xdr:row>202</xdr:row>
      <xdr:rowOff>97631</xdr:rowOff>
    </xdr:to>
    <xdr:graphicFrame macro="">
      <xdr:nvGraphicFramePr>
        <xdr:cNvPr id="12"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87</xdr:col>
      <xdr:colOff>371195</xdr:colOff>
      <xdr:row>257</xdr:row>
      <xdr:rowOff>188117</xdr:rowOff>
    </xdr:from>
    <xdr:to>
      <xdr:col>93</xdr:col>
      <xdr:colOff>371195</xdr:colOff>
      <xdr:row>272</xdr:row>
      <xdr:rowOff>73817</xdr:rowOff>
    </xdr:to>
    <xdr:graphicFrame macro="">
      <xdr:nvGraphicFramePr>
        <xdr:cNvPr id="13"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75</xdr:col>
      <xdr:colOff>660254</xdr:colOff>
      <xdr:row>338</xdr:row>
      <xdr:rowOff>65809</xdr:rowOff>
    </xdr:from>
    <xdr:to>
      <xdr:col>81</xdr:col>
      <xdr:colOff>712209</xdr:colOff>
      <xdr:row>352</xdr:row>
      <xdr:rowOff>118196</xdr:rowOff>
    </xdr:to>
    <xdr:graphicFrame macro="">
      <xdr:nvGraphicFramePr>
        <xdr:cNvPr id="14"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75</xdr:col>
      <xdr:colOff>348095</xdr:colOff>
      <xdr:row>355</xdr:row>
      <xdr:rowOff>181839</xdr:rowOff>
    </xdr:from>
    <xdr:to>
      <xdr:col>88</xdr:col>
      <xdr:colOff>299606</xdr:colOff>
      <xdr:row>389</xdr:row>
      <xdr:rowOff>90054</xdr:rowOff>
    </xdr:to>
    <xdr:graphicFrame macro="">
      <xdr:nvGraphicFramePr>
        <xdr:cNvPr id="15" name="Diagram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83</xdr:col>
      <xdr:colOff>577128</xdr:colOff>
      <xdr:row>323</xdr:row>
      <xdr:rowOff>557210</xdr:rowOff>
    </xdr:from>
    <xdr:to>
      <xdr:col>94</xdr:col>
      <xdr:colOff>95249</xdr:colOff>
      <xdr:row>346</xdr:row>
      <xdr:rowOff>39483</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75</xdr:col>
      <xdr:colOff>740606</xdr:colOff>
      <xdr:row>393</xdr:row>
      <xdr:rowOff>98152</xdr:rowOff>
    </xdr:from>
    <xdr:to>
      <xdr:col>85</xdr:col>
      <xdr:colOff>22031</xdr:colOff>
      <xdr:row>414</xdr:row>
      <xdr:rowOff>116770</xdr:rowOff>
    </xdr:to>
    <xdr:graphicFrame macro="">
      <xdr:nvGraphicFramePr>
        <xdr:cNvPr id="17"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75</xdr:col>
      <xdr:colOff>642937</xdr:colOff>
      <xdr:row>323</xdr:row>
      <xdr:rowOff>592931</xdr:rowOff>
    </xdr:from>
    <xdr:to>
      <xdr:col>81</xdr:col>
      <xdr:colOff>642938</xdr:colOff>
      <xdr:row>336</xdr:row>
      <xdr:rowOff>97631</xdr:rowOff>
    </xdr:to>
    <xdr:graphicFrame macro="">
      <xdr:nvGraphicFramePr>
        <xdr:cNvPr id="18"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87</xdr:col>
      <xdr:colOff>371195</xdr:colOff>
      <xdr:row>391</xdr:row>
      <xdr:rowOff>188117</xdr:rowOff>
    </xdr:from>
    <xdr:to>
      <xdr:col>93</xdr:col>
      <xdr:colOff>371195</xdr:colOff>
      <xdr:row>406</xdr:row>
      <xdr:rowOff>73817</xdr:rowOff>
    </xdr:to>
    <xdr:graphicFrame macro="">
      <xdr:nvGraphicFramePr>
        <xdr:cNvPr id="19" name="Diagram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75</xdr:col>
      <xdr:colOff>660254</xdr:colOff>
      <xdr:row>472</xdr:row>
      <xdr:rowOff>65809</xdr:rowOff>
    </xdr:from>
    <xdr:to>
      <xdr:col>81</xdr:col>
      <xdr:colOff>712209</xdr:colOff>
      <xdr:row>486</xdr:row>
      <xdr:rowOff>118196</xdr:rowOff>
    </xdr:to>
    <xdr:graphicFrame macro="">
      <xdr:nvGraphicFramePr>
        <xdr:cNvPr id="20" name="Diagram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75</xdr:col>
      <xdr:colOff>348095</xdr:colOff>
      <xdr:row>489</xdr:row>
      <xdr:rowOff>181839</xdr:rowOff>
    </xdr:from>
    <xdr:to>
      <xdr:col>88</xdr:col>
      <xdr:colOff>299606</xdr:colOff>
      <xdr:row>523</xdr:row>
      <xdr:rowOff>90054</xdr:rowOff>
    </xdr:to>
    <xdr:graphicFrame macro="">
      <xdr:nvGraphicFramePr>
        <xdr:cNvPr id="21" name="Diagram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83</xdr:col>
      <xdr:colOff>577128</xdr:colOff>
      <xdr:row>457</xdr:row>
      <xdr:rowOff>557210</xdr:rowOff>
    </xdr:from>
    <xdr:to>
      <xdr:col>94</xdr:col>
      <xdr:colOff>95249</xdr:colOff>
      <xdr:row>480</xdr:row>
      <xdr:rowOff>39483</xdr:rowOff>
    </xdr:to>
    <xdr:graphicFrame macro="">
      <xdr:nvGraphicFramePr>
        <xdr:cNvPr id="22" name="Diagram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75</xdr:col>
      <xdr:colOff>740606</xdr:colOff>
      <xdr:row>527</xdr:row>
      <xdr:rowOff>98152</xdr:rowOff>
    </xdr:from>
    <xdr:to>
      <xdr:col>85</xdr:col>
      <xdr:colOff>22031</xdr:colOff>
      <xdr:row>548</xdr:row>
      <xdr:rowOff>116770</xdr:rowOff>
    </xdr:to>
    <xdr:graphicFrame macro="">
      <xdr:nvGraphicFramePr>
        <xdr:cNvPr id="23" name="Diagramm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75</xdr:col>
      <xdr:colOff>642937</xdr:colOff>
      <xdr:row>457</xdr:row>
      <xdr:rowOff>592931</xdr:rowOff>
    </xdr:from>
    <xdr:to>
      <xdr:col>81</xdr:col>
      <xdr:colOff>642938</xdr:colOff>
      <xdr:row>470</xdr:row>
      <xdr:rowOff>97631</xdr:rowOff>
    </xdr:to>
    <xdr:graphicFrame macro="">
      <xdr:nvGraphicFramePr>
        <xdr:cNvPr id="24" name="Diagram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87</xdr:col>
      <xdr:colOff>371195</xdr:colOff>
      <xdr:row>525</xdr:row>
      <xdr:rowOff>188117</xdr:rowOff>
    </xdr:from>
    <xdr:to>
      <xdr:col>93</xdr:col>
      <xdr:colOff>371195</xdr:colOff>
      <xdr:row>540</xdr:row>
      <xdr:rowOff>73817</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75</xdr:col>
      <xdr:colOff>660254</xdr:colOff>
      <xdr:row>607</xdr:row>
      <xdr:rowOff>65809</xdr:rowOff>
    </xdr:from>
    <xdr:to>
      <xdr:col>81</xdr:col>
      <xdr:colOff>712209</xdr:colOff>
      <xdr:row>621</xdr:row>
      <xdr:rowOff>118196</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75</xdr:col>
      <xdr:colOff>348095</xdr:colOff>
      <xdr:row>624</xdr:row>
      <xdr:rowOff>181839</xdr:rowOff>
    </xdr:from>
    <xdr:to>
      <xdr:col>88</xdr:col>
      <xdr:colOff>299606</xdr:colOff>
      <xdr:row>658</xdr:row>
      <xdr:rowOff>90054</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83</xdr:col>
      <xdr:colOff>577128</xdr:colOff>
      <xdr:row>592</xdr:row>
      <xdr:rowOff>557210</xdr:rowOff>
    </xdr:from>
    <xdr:to>
      <xdr:col>94</xdr:col>
      <xdr:colOff>95249</xdr:colOff>
      <xdr:row>615</xdr:row>
      <xdr:rowOff>39483</xdr:rowOff>
    </xdr:to>
    <xdr:graphicFrame macro="">
      <xdr:nvGraphicFramePr>
        <xdr:cNvPr id="28" name="Diagramm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75</xdr:col>
      <xdr:colOff>740606</xdr:colOff>
      <xdr:row>662</xdr:row>
      <xdr:rowOff>98152</xdr:rowOff>
    </xdr:from>
    <xdr:to>
      <xdr:col>85</xdr:col>
      <xdr:colOff>22031</xdr:colOff>
      <xdr:row>683</xdr:row>
      <xdr:rowOff>116770</xdr:rowOff>
    </xdr:to>
    <xdr:graphicFrame macro="">
      <xdr:nvGraphicFramePr>
        <xdr:cNvPr id="29" name="Diagramm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75</xdr:col>
      <xdr:colOff>642937</xdr:colOff>
      <xdr:row>592</xdr:row>
      <xdr:rowOff>592931</xdr:rowOff>
    </xdr:from>
    <xdr:to>
      <xdr:col>81</xdr:col>
      <xdr:colOff>642938</xdr:colOff>
      <xdr:row>605</xdr:row>
      <xdr:rowOff>97631</xdr:rowOff>
    </xdr:to>
    <xdr:graphicFrame macro="">
      <xdr:nvGraphicFramePr>
        <xdr:cNvPr id="30" name="Diagramm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87</xdr:col>
      <xdr:colOff>371195</xdr:colOff>
      <xdr:row>660</xdr:row>
      <xdr:rowOff>188117</xdr:rowOff>
    </xdr:from>
    <xdr:to>
      <xdr:col>93</xdr:col>
      <xdr:colOff>371195</xdr:colOff>
      <xdr:row>675</xdr:row>
      <xdr:rowOff>73817</xdr:rowOff>
    </xdr:to>
    <xdr:graphicFrame macro="">
      <xdr:nvGraphicFramePr>
        <xdr:cNvPr id="31" name="Diagramm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11</xdr:row>
      <xdr:rowOff>156796</xdr:rowOff>
    </xdr:from>
    <xdr:to>
      <xdr:col>6</xdr:col>
      <xdr:colOff>282194</xdr:colOff>
      <xdr:row>13</xdr:row>
      <xdr:rowOff>57150</xdr:rowOff>
    </xdr:to>
    <xdr:grpSp>
      <xdr:nvGrpSpPr>
        <xdr:cNvPr id="6" name="Gruppieren 5"/>
        <xdr:cNvGrpSpPr/>
      </xdr:nvGrpSpPr>
      <xdr:grpSpPr>
        <a:xfrm>
          <a:off x="285750" y="2328496"/>
          <a:ext cx="4454144" cy="357554"/>
          <a:chOff x="189536" y="4410075"/>
          <a:chExt cx="4454144" cy="357554"/>
        </a:xfrm>
      </xdr:grpSpPr>
      <xdr:sp macro="" textlink="">
        <xdr:nvSpPr>
          <xdr:cNvPr id="7" name="Auf der gleichen Seite des Rechtecks liegende Ecken abrunden 6"/>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Allgemeine</a:t>
            </a:r>
            <a:r>
              <a:rPr lang="de-DE" sz="1200" b="1" baseline="0">
                <a:solidFill>
                  <a:sysClr val="windowText" lastClr="000000"/>
                </a:solidFill>
                <a:latin typeface="Arial" panose="020B0604020202020204" pitchFamily="34" charset="0"/>
                <a:cs typeface="Arial" panose="020B0604020202020204" pitchFamily="34" charset="0"/>
              </a:rPr>
              <a:t> Angaben</a:t>
            </a:r>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11" name="Freihandform 10"/>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28</xdr:row>
      <xdr:rowOff>123825</xdr:rowOff>
    </xdr:from>
    <xdr:to>
      <xdr:col>6</xdr:col>
      <xdr:colOff>282194</xdr:colOff>
      <xdr:row>30</xdr:row>
      <xdr:rowOff>47625</xdr:rowOff>
    </xdr:to>
    <xdr:grpSp>
      <xdr:nvGrpSpPr>
        <xdr:cNvPr id="12" name="Gruppieren 11"/>
        <xdr:cNvGrpSpPr/>
      </xdr:nvGrpSpPr>
      <xdr:grpSpPr>
        <a:xfrm>
          <a:off x="285750" y="5553075"/>
          <a:ext cx="4454144" cy="381000"/>
          <a:chOff x="189536" y="4410075"/>
          <a:chExt cx="4454144" cy="357554"/>
        </a:xfrm>
      </xdr:grpSpPr>
      <xdr:sp macro="" textlink="">
        <xdr:nvSpPr>
          <xdr:cNvPr id="13" name="Auf der gleichen Seite des Rechtecks liegende Ecken abrunden 12"/>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Investitionskosten ÖN B 1801-1</a:t>
            </a:r>
          </a:p>
        </xdr:txBody>
      </xdr:sp>
      <xdr:sp macro="" textlink="">
        <xdr:nvSpPr>
          <xdr:cNvPr id="14" name="Freihandform 13"/>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2</xdr:row>
      <xdr:rowOff>0</xdr:rowOff>
    </xdr:from>
    <xdr:to>
      <xdr:col>6</xdr:col>
      <xdr:colOff>282194</xdr:colOff>
      <xdr:row>3</xdr:row>
      <xdr:rowOff>76200</xdr:rowOff>
    </xdr:to>
    <xdr:grpSp>
      <xdr:nvGrpSpPr>
        <xdr:cNvPr id="15" name="Gruppieren 14"/>
        <xdr:cNvGrpSpPr/>
      </xdr:nvGrpSpPr>
      <xdr:grpSpPr>
        <a:xfrm>
          <a:off x="285750" y="685800"/>
          <a:ext cx="4454144" cy="304800"/>
          <a:chOff x="189536" y="4410075"/>
          <a:chExt cx="4454144" cy="357554"/>
        </a:xfrm>
      </xdr:grpSpPr>
      <xdr:sp macro="" textlink="">
        <xdr:nvSpPr>
          <xdr:cNvPr id="16" name="Auf der gleichen Seite des Rechtecks liegende Ecken abrunden 1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17" name="Freihandform 1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46</xdr:row>
      <xdr:rowOff>175846</xdr:rowOff>
    </xdr:from>
    <xdr:to>
      <xdr:col>6</xdr:col>
      <xdr:colOff>282194</xdr:colOff>
      <xdr:row>48</xdr:row>
      <xdr:rowOff>76200</xdr:rowOff>
    </xdr:to>
    <xdr:grpSp>
      <xdr:nvGrpSpPr>
        <xdr:cNvPr id="18" name="Gruppieren 17"/>
        <xdr:cNvGrpSpPr/>
      </xdr:nvGrpSpPr>
      <xdr:grpSpPr>
        <a:xfrm>
          <a:off x="285750" y="8957896"/>
          <a:ext cx="4454144" cy="300404"/>
          <a:chOff x="189536" y="4410075"/>
          <a:chExt cx="4454144" cy="357554"/>
        </a:xfrm>
      </xdr:grpSpPr>
      <xdr:sp macro="" textlink="">
        <xdr:nvSpPr>
          <xdr:cNvPr id="19" name="Auf der gleichen Seite des Rechtecks liegende Ecken abrunden 1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Kaufpreis</a:t>
            </a:r>
          </a:p>
        </xdr:txBody>
      </xdr:sp>
      <xdr:sp macro="" textlink="">
        <xdr:nvSpPr>
          <xdr:cNvPr id="20" name="Freihandform 1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55</xdr:row>
      <xdr:rowOff>0</xdr:rowOff>
    </xdr:from>
    <xdr:to>
      <xdr:col>6</xdr:col>
      <xdr:colOff>282194</xdr:colOff>
      <xdr:row>56</xdr:row>
      <xdr:rowOff>76200</xdr:rowOff>
    </xdr:to>
    <xdr:grpSp>
      <xdr:nvGrpSpPr>
        <xdr:cNvPr id="21" name="Gruppieren 20"/>
        <xdr:cNvGrpSpPr/>
      </xdr:nvGrpSpPr>
      <xdr:grpSpPr>
        <a:xfrm>
          <a:off x="285750" y="10687050"/>
          <a:ext cx="4454144" cy="304800"/>
          <a:chOff x="189536" y="4410075"/>
          <a:chExt cx="4454144" cy="357554"/>
        </a:xfrm>
      </xdr:grpSpPr>
      <xdr:sp macro="" textlink="">
        <xdr:nvSpPr>
          <xdr:cNvPr id="22" name="Auf der gleichen Seite des Rechtecks liegende Ecken abrunden 2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Folgekosten bei heutigen Preisen; ÖN B 1801-2</a:t>
            </a:r>
          </a:p>
        </xdr:txBody>
      </xdr:sp>
      <xdr:sp macro="" textlink="">
        <xdr:nvSpPr>
          <xdr:cNvPr id="23" name="Freihandform 2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67</xdr:row>
      <xdr:rowOff>156796</xdr:rowOff>
    </xdr:from>
    <xdr:to>
      <xdr:col>6</xdr:col>
      <xdr:colOff>282194</xdr:colOff>
      <xdr:row>69</xdr:row>
      <xdr:rowOff>57150</xdr:rowOff>
    </xdr:to>
    <xdr:grpSp>
      <xdr:nvGrpSpPr>
        <xdr:cNvPr id="24" name="Gruppieren 23"/>
        <xdr:cNvGrpSpPr/>
      </xdr:nvGrpSpPr>
      <xdr:grpSpPr>
        <a:xfrm>
          <a:off x="285750" y="13044121"/>
          <a:ext cx="4454144" cy="357554"/>
          <a:chOff x="189536" y="4410075"/>
          <a:chExt cx="4454144" cy="357554"/>
        </a:xfrm>
      </xdr:grpSpPr>
      <xdr:sp macro="" textlink="">
        <xdr:nvSpPr>
          <xdr:cNvPr id="25" name="Auf der gleichen Seite des Rechtecks liegende Ecken abrunden 24"/>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Flächenverluste</a:t>
            </a:r>
          </a:p>
        </xdr:txBody>
      </xdr:sp>
      <xdr:sp macro="" textlink="">
        <xdr:nvSpPr>
          <xdr:cNvPr id="26" name="Freihandform 25"/>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8</xdr:col>
      <xdr:colOff>190500</xdr:colOff>
      <xdr:row>1</xdr:row>
      <xdr:rowOff>57150</xdr:rowOff>
    </xdr:from>
    <xdr:to>
      <xdr:col>19</xdr:col>
      <xdr:colOff>547158</xdr:colOff>
      <xdr:row>2</xdr:row>
      <xdr:rowOff>163201</xdr:rowOff>
    </xdr:to>
    <xdr:grpSp>
      <xdr:nvGrpSpPr>
        <xdr:cNvPr id="42" name="Gruppieren 41"/>
        <xdr:cNvGrpSpPr/>
      </xdr:nvGrpSpPr>
      <xdr:grpSpPr>
        <a:xfrm>
          <a:off x="6067425" y="371475"/>
          <a:ext cx="7833783" cy="477526"/>
          <a:chOff x="4878917" y="378882"/>
          <a:chExt cx="7833783" cy="477526"/>
        </a:xfrm>
      </xdr:grpSpPr>
      <xdr:sp macro="" textlink="">
        <xdr:nvSpPr>
          <xdr:cNvPr id="43" name="Abgerundetes Rechteck 42">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44" name="Abgerundetes Rechteck 43">
            <a:hlinkClick xmlns:r="http://schemas.openxmlformats.org/officeDocument/2006/relationships" r:id="rId2"/>
          </xdr:cNvPr>
          <xdr:cNvSpPr/>
        </xdr:nvSpPr>
        <xdr:spPr>
          <a:xfrm>
            <a:off x="10947400" y="378882"/>
            <a:ext cx="592666" cy="468000"/>
          </a:xfrm>
          <a:prstGeom prst="roundRect">
            <a:avLst/>
          </a:prstGeom>
          <a:ln w="28575">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45" name="Abgerundetes Rechteck 44">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46" name="Abgerundetes Rechteck 45">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47" name="Abgerundetes Rechteck 46">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48" name="Abgerundetes Rechteck 47">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49" name="Abgerundetes Rechteck 48">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50" name="Abgerundetes Rechteck 49">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51" name="Abgerundetes Rechteck 50">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52" name="Abgerundetes Rechteck 51">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53" name="Abgerundetes Rechteck 52">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54" name="Abgerundetes Rechteck 53">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55" name="Abgerundetes Rechteck 54">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56" name="Abgerundetes Rechteck 55">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10</xdr:col>
      <xdr:colOff>609600</xdr:colOff>
      <xdr:row>3</xdr:row>
      <xdr:rowOff>152400</xdr:rowOff>
    </xdr:from>
    <xdr:to>
      <xdr:col>19</xdr:col>
      <xdr:colOff>316725</xdr:colOff>
      <xdr:row>8</xdr:row>
      <xdr:rowOff>20933</xdr:rowOff>
    </xdr:to>
    <xdr:pic>
      <xdr:nvPicPr>
        <xdr:cNvPr id="3" name="Grafik 2"/>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486775" y="1066800"/>
          <a:ext cx="5184000" cy="6781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510988</xdr:colOff>
      <xdr:row>21</xdr:row>
      <xdr:rowOff>76200</xdr:rowOff>
    </xdr:from>
    <xdr:to>
      <xdr:col>18</xdr:col>
      <xdr:colOff>485775</xdr:colOff>
      <xdr:row>72</xdr:row>
      <xdr:rowOff>21572</xdr:rowOff>
    </xdr:to>
    <xdr:graphicFrame macro="">
      <xdr:nvGraphicFramePr>
        <xdr:cNvPr id="12" name="DAnnuitätenvergleichL"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10</xdr:col>
      <xdr:colOff>138603</xdr:colOff>
      <xdr:row>24</xdr:row>
      <xdr:rowOff>77445</xdr:rowOff>
    </xdr:from>
    <xdr:to>
      <xdr:col>19</xdr:col>
      <xdr:colOff>1333500</xdr:colOff>
      <xdr:row>51</xdr:row>
      <xdr:rowOff>47625</xdr:rowOff>
    </xdr:to>
    <xdr:graphicFrame macro="">
      <xdr:nvGraphicFramePr>
        <xdr:cNvPr id="8" name="DKapitalwertmethode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523875</xdr:colOff>
      <xdr:row>21</xdr:row>
      <xdr:rowOff>119062</xdr:rowOff>
    </xdr:from>
    <xdr:to>
      <xdr:col>18</xdr:col>
      <xdr:colOff>500062</xdr:colOff>
      <xdr:row>72</xdr:row>
      <xdr:rowOff>52385</xdr:rowOff>
    </xdr:to>
    <xdr:graphicFrame macro="">
      <xdr:nvGraphicFramePr>
        <xdr:cNvPr id="11" name="DKapitalwertmethodeL"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2</xdr:col>
      <xdr:colOff>502103</xdr:colOff>
      <xdr:row>21</xdr:row>
      <xdr:rowOff>99332</xdr:rowOff>
    </xdr:from>
    <xdr:to>
      <xdr:col>18</xdr:col>
      <xdr:colOff>487815</xdr:colOff>
      <xdr:row>72</xdr:row>
      <xdr:rowOff>80283</xdr:rowOff>
    </xdr:to>
    <xdr:graphicFrame macro="">
      <xdr:nvGraphicFramePr>
        <xdr:cNvPr id="14" name="DAnnuitätischerGewinnL"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2</xdr:col>
      <xdr:colOff>495300</xdr:colOff>
      <xdr:row>21</xdr:row>
      <xdr:rowOff>76200</xdr:rowOff>
    </xdr:from>
    <xdr:to>
      <xdr:col>18</xdr:col>
      <xdr:colOff>497031</xdr:colOff>
      <xdr:row>72</xdr:row>
      <xdr:rowOff>26842</xdr:rowOff>
    </xdr:to>
    <xdr:graphicFrame macro="">
      <xdr:nvGraphicFramePr>
        <xdr:cNvPr id="13" name="DPreisdereingespartenKilowattstundeL" hidden="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6</xdr:col>
      <xdr:colOff>552449</xdr:colOff>
      <xdr:row>56</xdr:row>
      <xdr:rowOff>95250</xdr:rowOff>
    </xdr:from>
    <xdr:to>
      <xdr:col>19</xdr:col>
      <xdr:colOff>1333499</xdr:colOff>
      <xdr:row>85</xdr:row>
      <xdr:rowOff>47625</xdr:rowOff>
    </xdr:to>
    <xdr:graphicFrame macro="">
      <xdr:nvGraphicFramePr>
        <xdr:cNvPr id="15" name="Diagram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15</xdr:col>
      <xdr:colOff>657656</xdr:colOff>
      <xdr:row>12</xdr:row>
      <xdr:rowOff>0</xdr:rowOff>
    </xdr:from>
    <xdr:ext cx="1348390" cy="465571"/>
    <xdr:sp macro="" textlink="">
      <xdr:nvSpPr>
        <xdr:cNvPr id="16" name="OptionButton7" hidden="1">
          <a:extLst>
            <a:ext uri="{63B3BB69-23CF-44E3-9099-C40C66FF867C}">
              <a14:compatExt xmlns:a14="http://schemas.microsoft.com/office/drawing/2010/main" spid="_x0000_s19536"/>
            </a:ext>
          </a:extLst>
        </xdr:cNvPr>
        <xdr:cNvSpPr/>
      </xdr:nvSpPr>
      <xdr:spPr>
        <a:xfrm>
          <a:off x="6067856" y="15344775"/>
          <a:ext cx="1348390" cy="465571"/>
        </a:xfrm>
        <a:prstGeom prst="rect">
          <a:avLst/>
        </a:prstGeom>
      </xdr:spPr>
    </xdr:sp>
    <xdr:clientData/>
  </xdr:oneCellAnchor>
  <xdr:oneCellAnchor>
    <xdr:from>
      <xdr:col>15</xdr:col>
      <xdr:colOff>657656</xdr:colOff>
      <xdr:row>13</xdr:row>
      <xdr:rowOff>0</xdr:rowOff>
    </xdr:from>
    <xdr:ext cx="1348390" cy="465571"/>
    <xdr:sp macro="" textlink="">
      <xdr:nvSpPr>
        <xdr:cNvPr id="18" name="OptionButton7" hidden="1">
          <a:extLst>
            <a:ext uri="{63B3BB69-23CF-44E3-9099-C40C66FF867C}">
              <a14:compatExt xmlns:a14="http://schemas.microsoft.com/office/drawing/2010/main" spid="_x0000_s19536"/>
            </a:ext>
          </a:extLst>
        </xdr:cNvPr>
        <xdr:cNvSpPr/>
      </xdr:nvSpPr>
      <xdr:spPr>
        <a:xfrm>
          <a:off x="10403972" y="2510118"/>
          <a:ext cx="1348390" cy="465571"/>
        </a:xfrm>
        <a:prstGeom prst="rect">
          <a:avLst/>
        </a:prstGeom>
      </xdr:spPr>
    </xdr:sp>
    <xdr:clientData/>
  </xdr:oneCellAnchor>
  <xdr:oneCellAnchor>
    <xdr:from>
      <xdr:col>15</xdr:col>
      <xdr:colOff>657656</xdr:colOff>
      <xdr:row>14</xdr:row>
      <xdr:rowOff>0</xdr:rowOff>
    </xdr:from>
    <xdr:ext cx="1348390" cy="465571"/>
    <xdr:sp macro="" textlink="">
      <xdr:nvSpPr>
        <xdr:cNvPr id="19" name="OptionButton7" hidden="1">
          <a:extLst>
            <a:ext uri="{63B3BB69-23CF-44E3-9099-C40C66FF867C}">
              <a14:compatExt xmlns:a14="http://schemas.microsoft.com/office/drawing/2010/main" spid="_x0000_s19536"/>
            </a:ext>
          </a:extLst>
        </xdr:cNvPr>
        <xdr:cNvSpPr/>
      </xdr:nvSpPr>
      <xdr:spPr>
        <a:xfrm>
          <a:off x="10403972" y="2510118"/>
          <a:ext cx="1348390" cy="465571"/>
        </a:xfrm>
        <a:prstGeom prst="rect">
          <a:avLst/>
        </a:prstGeom>
      </xdr:spPr>
    </xdr:sp>
    <xdr:clientData/>
  </xdr:oneCellAnchor>
  <xdr:oneCellAnchor>
    <xdr:from>
      <xdr:col>15</xdr:col>
      <xdr:colOff>657656</xdr:colOff>
      <xdr:row>15</xdr:row>
      <xdr:rowOff>0</xdr:rowOff>
    </xdr:from>
    <xdr:ext cx="1348390" cy="465571"/>
    <xdr:sp macro="" textlink="">
      <xdr:nvSpPr>
        <xdr:cNvPr id="20" name="OptionButton7" hidden="1">
          <a:extLst>
            <a:ext uri="{63B3BB69-23CF-44E3-9099-C40C66FF867C}">
              <a14:compatExt xmlns:a14="http://schemas.microsoft.com/office/drawing/2010/main" spid="_x0000_s19536"/>
            </a:ext>
          </a:extLst>
        </xdr:cNvPr>
        <xdr:cNvSpPr/>
      </xdr:nvSpPr>
      <xdr:spPr>
        <a:xfrm>
          <a:off x="10403972" y="2510118"/>
          <a:ext cx="1348390" cy="465571"/>
        </a:xfrm>
        <a:prstGeom prst="rect">
          <a:avLst/>
        </a:prstGeom>
      </xdr:spPr>
    </xdr:sp>
    <xdr:clientData/>
  </xdr:oneCellAnchor>
  <xdr:oneCellAnchor>
    <xdr:from>
      <xdr:col>15</xdr:col>
      <xdr:colOff>657656</xdr:colOff>
      <xdr:row>16</xdr:row>
      <xdr:rowOff>0</xdr:rowOff>
    </xdr:from>
    <xdr:ext cx="1348390" cy="465571"/>
    <xdr:sp macro="" textlink="">
      <xdr:nvSpPr>
        <xdr:cNvPr id="21" name="OptionButton7" hidden="1">
          <a:extLst>
            <a:ext uri="{63B3BB69-23CF-44E3-9099-C40C66FF867C}">
              <a14:compatExt xmlns:a14="http://schemas.microsoft.com/office/drawing/2010/main" spid="_x0000_s19536"/>
            </a:ext>
          </a:extLst>
        </xdr:cNvPr>
        <xdr:cNvSpPr/>
      </xdr:nvSpPr>
      <xdr:spPr>
        <a:xfrm>
          <a:off x="10403972" y="2510118"/>
          <a:ext cx="1348390" cy="465571"/>
        </a:xfrm>
        <a:prstGeom prst="rect">
          <a:avLst/>
        </a:prstGeom>
      </xdr:spPr>
    </xdr:sp>
    <xdr:clientData/>
  </xdr:oneCellAnchor>
  <xdr:oneCellAnchor>
    <xdr:from>
      <xdr:col>15</xdr:col>
      <xdr:colOff>657656</xdr:colOff>
      <xdr:row>12</xdr:row>
      <xdr:rowOff>0</xdr:rowOff>
    </xdr:from>
    <xdr:ext cx="1348390" cy="465571"/>
    <xdr:sp macro="" textlink="">
      <xdr:nvSpPr>
        <xdr:cNvPr id="22" name="OptionButton7" hidden="1">
          <a:extLst>
            <a:ext uri="{63B3BB69-23CF-44E3-9099-C40C66FF867C}">
              <a14:compatExt xmlns:a14="http://schemas.microsoft.com/office/drawing/2010/main" spid="_x0000_s19536"/>
            </a:ext>
          </a:extLst>
        </xdr:cNvPr>
        <xdr:cNvSpPr/>
      </xdr:nvSpPr>
      <xdr:spPr>
        <a:xfrm>
          <a:off x="10403972" y="3361765"/>
          <a:ext cx="1348390" cy="465571"/>
        </a:xfrm>
        <a:prstGeom prst="rect">
          <a:avLst/>
        </a:prstGeom>
      </xdr:spPr>
    </xdr:sp>
    <xdr:clientData/>
  </xdr:oneCellAnchor>
  <xdr:oneCellAnchor>
    <xdr:from>
      <xdr:col>15</xdr:col>
      <xdr:colOff>657656</xdr:colOff>
      <xdr:row>13</xdr:row>
      <xdr:rowOff>0</xdr:rowOff>
    </xdr:from>
    <xdr:ext cx="1348390" cy="465571"/>
    <xdr:sp macro="" textlink="">
      <xdr:nvSpPr>
        <xdr:cNvPr id="23" name="OptionButton7" hidden="1">
          <a:extLst>
            <a:ext uri="{63B3BB69-23CF-44E3-9099-C40C66FF867C}">
              <a14:compatExt xmlns:a14="http://schemas.microsoft.com/office/drawing/2010/main" spid="_x0000_s19536"/>
            </a:ext>
          </a:extLst>
        </xdr:cNvPr>
        <xdr:cNvSpPr/>
      </xdr:nvSpPr>
      <xdr:spPr>
        <a:xfrm>
          <a:off x="10403972" y="3361765"/>
          <a:ext cx="1348390" cy="465571"/>
        </a:xfrm>
        <a:prstGeom prst="rect">
          <a:avLst/>
        </a:prstGeom>
      </xdr:spPr>
    </xdr:sp>
    <xdr:clientData/>
  </xdr:oneCellAnchor>
  <xdr:oneCellAnchor>
    <xdr:from>
      <xdr:col>15</xdr:col>
      <xdr:colOff>657656</xdr:colOff>
      <xdr:row>14</xdr:row>
      <xdr:rowOff>0</xdr:rowOff>
    </xdr:from>
    <xdr:ext cx="1348390" cy="465571"/>
    <xdr:sp macro="" textlink="">
      <xdr:nvSpPr>
        <xdr:cNvPr id="24" name="OptionButton7" hidden="1">
          <a:extLst>
            <a:ext uri="{63B3BB69-23CF-44E3-9099-C40C66FF867C}">
              <a14:compatExt xmlns:a14="http://schemas.microsoft.com/office/drawing/2010/main" spid="_x0000_s19536"/>
            </a:ext>
          </a:extLst>
        </xdr:cNvPr>
        <xdr:cNvSpPr/>
      </xdr:nvSpPr>
      <xdr:spPr>
        <a:xfrm>
          <a:off x="10403972" y="3361765"/>
          <a:ext cx="1348390" cy="465571"/>
        </a:xfrm>
        <a:prstGeom prst="rect">
          <a:avLst/>
        </a:prstGeom>
      </xdr:spPr>
    </xdr:sp>
    <xdr:clientData/>
  </xdr:oneCellAnchor>
  <xdr:oneCellAnchor>
    <xdr:from>
      <xdr:col>15</xdr:col>
      <xdr:colOff>657656</xdr:colOff>
      <xdr:row>15</xdr:row>
      <xdr:rowOff>0</xdr:rowOff>
    </xdr:from>
    <xdr:ext cx="1348390" cy="465571"/>
    <xdr:sp macro="" textlink="">
      <xdr:nvSpPr>
        <xdr:cNvPr id="25" name="OptionButton7" hidden="1">
          <a:extLst>
            <a:ext uri="{63B3BB69-23CF-44E3-9099-C40C66FF867C}">
              <a14:compatExt xmlns:a14="http://schemas.microsoft.com/office/drawing/2010/main" spid="_x0000_s19536"/>
            </a:ext>
          </a:extLst>
        </xdr:cNvPr>
        <xdr:cNvSpPr/>
      </xdr:nvSpPr>
      <xdr:spPr>
        <a:xfrm>
          <a:off x="10403972" y="3361765"/>
          <a:ext cx="1348390" cy="465571"/>
        </a:xfrm>
        <a:prstGeom prst="rect">
          <a:avLst/>
        </a:prstGeom>
      </xdr:spPr>
    </xdr:sp>
    <xdr:clientData/>
  </xdr:oneCellAnchor>
  <xdr:oneCellAnchor>
    <xdr:from>
      <xdr:col>15</xdr:col>
      <xdr:colOff>657656</xdr:colOff>
      <xdr:row>13</xdr:row>
      <xdr:rowOff>0</xdr:rowOff>
    </xdr:from>
    <xdr:ext cx="1348390" cy="465571"/>
    <xdr:sp macro="" textlink="">
      <xdr:nvSpPr>
        <xdr:cNvPr id="26"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13</xdr:row>
      <xdr:rowOff>0</xdr:rowOff>
    </xdr:from>
    <xdr:ext cx="1348390" cy="465571"/>
    <xdr:sp macro="" textlink="">
      <xdr:nvSpPr>
        <xdr:cNvPr id="27"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14</xdr:row>
      <xdr:rowOff>0</xdr:rowOff>
    </xdr:from>
    <xdr:ext cx="1348390" cy="465571"/>
    <xdr:sp macro="" textlink="">
      <xdr:nvSpPr>
        <xdr:cNvPr id="28"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14</xdr:row>
      <xdr:rowOff>0</xdr:rowOff>
    </xdr:from>
    <xdr:ext cx="1348390" cy="465571"/>
    <xdr:sp macro="" textlink="">
      <xdr:nvSpPr>
        <xdr:cNvPr id="29"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15</xdr:row>
      <xdr:rowOff>0</xdr:rowOff>
    </xdr:from>
    <xdr:ext cx="1348390" cy="465571"/>
    <xdr:sp macro="" textlink="">
      <xdr:nvSpPr>
        <xdr:cNvPr id="30"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15</xdr:row>
      <xdr:rowOff>0</xdr:rowOff>
    </xdr:from>
    <xdr:ext cx="1348390" cy="465571"/>
    <xdr:sp macro="" textlink="">
      <xdr:nvSpPr>
        <xdr:cNvPr id="31"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16</xdr:row>
      <xdr:rowOff>0</xdr:rowOff>
    </xdr:from>
    <xdr:ext cx="1348390" cy="465571"/>
    <xdr:sp macro="" textlink="">
      <xdr:nvSpPr>
        <xdr:cNvPr id="32"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16</xdr:row>
      <xdr:rowOff>0</xdr:rowOff>
    </xdr:from>
    <xdr:ext cx="1348390" cy="465571"/>
    <xdr:sp macro="" textlink="">
      <xdr:nvSpPr>
        <xdr:cNvPr id="33"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13</xdr:row>
      <xdr:rowOff>0</xdr:rowOff>
    </xdr:from>
    <xdr:ext cx="1348390" cy="465571"/>
    <xdr:sp macro="" textlink="">
      <xdr:nvSpPr>
        <xdr:cNvPr id="34"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13</xdr:row>
      <xdr:rowOff>0</xdr:rowOff>
    </xdr:from>
    <xdr:ext cx="1348390" cy="465571"/>
    <xdr:sp macro="" textlink="">
      <xdr:nvSpPr>
        <xdr:cNvPr id="35"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14</xdr:row>
      <xdr:rowOff>0</xdr:rowOff>
    </xdr:from>
    <xdr:ext cx="1348390" cy="465571"/>
    <xdr:sp macro="" textlink="">
      <xdr:nvSpPr>
        <xdr:cNvPr id="36"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14</xdr:row>
      <xdr:rowOff>0</xdr:rowOff>
    </xdr:from>
    <xdr:ext cx="1348390" cy="465571"/>
    <xdr:sp macro="" textlink="">
      <xdr:nvSpPr>
        <xdr:cNvPr id="37"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15</xdr:row>
      <xdr:rowOff>0</xdr:rowOff>
    </xdr:from>
    <xdr:ext cx="1348390" cy="465571"/>
    <xdr:sp macro="" textlink="">
      <xdr:nvSpPr>
        <xdr:cNvPr id="38"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15</xdr:row>
      <xdr:rowOff>0</xdr:rowOff>
    </xdr:from>
    <xdr:ext cx="1348390" cy="465571"/>
    <xdr:sp macro="" textlink="">
      <xdr:nvSpPr>
        <xdr:cNvPr id="39"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16</xdr:row>
      <xdr:rowOff>0</xdr:rowOff>
    </xdr:from>
    <xdr:ext cx="1348390" cy="465571"/>
    <xdr:sp macro="" textlink="">
      <xdr:nvSpPr>
        <xdr:cNvPr id="40"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16</xdr:row>
      <xdr:rowOff>0</xdr:rowOff>
    </xdr:from>
    <xdr:ext cx="1348390" cy="465571"/>
    <xdr:sp macro="" textlink="">
      <xdr:nvSpPr>
        <xdr:cNvPr id="41"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16</xdr:col>
      <xdr:colOff>657656</xdr:colOff>
      <xdr:row>12</xdr:row>
      <xdr:rowOff>0</xdr:rowOff>
    </xdr:from>
    <xdr:ext cx="1348390" cy="465571"/>
    <xdr:sp macro="" textlink="">
      <xdr:nvSpPr>
        <xdr:cNvPr id="42"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16</xdr:col>
      <xdr:colOff>657656</xdr:colOff>
      <xdr:row>12</xdr:row>
      <xdr:rowOff>0</xdr:rowOff>
    </xdr:from>
    <xdr:ext cx="1348390" cy="465571"/>
    <xdr:sp macro="" textlink="">
      <xdr:nvSpPr>
        <xdr:cNvPr id="43"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13</xdr:row>
      <xdr:rowOff>0</xdr:rowOff>
    </xdr:from>
    <xdr:ext cx="1348390" cy="465571"/>
    <xdr:sp macro="" textlink="">
      <xdr:nvSpPr>
        <xdr:cNvPr id="44"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13</xdr:row>
      <xdr:rowOff>0</xdr:rowOff>
    </xdr:from>
    <xdr:ext cx="1348390" cy="465571"/>
    <xdr:sp macro="" textlink="">
      <xdr:nvSpPr>
        <xdr:cNvPr id="45"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14</xdr:row>
      <xdr:rowOff>0</xdr:rowOff>
    </xdr:from>
    <xdr:ext cx="1348390" cy="465571"/>
    <xdr:sp macro="" textlink="">
      <xdr:nvSpPr>
        <xdr:cNvPr id="46"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14</xdr:row>
      <xdr:rowOff>0</xdr:rowOff>
    </xdr:from>
    <xdr:ext cx="1348390" cy="465571"/>
    <xdr:sp macro="" textlink="">
      <xdr:nvSpPr>
        <xdr:cNvPr id="47"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15</xdr:row>
      <xdr:rowOff>0</xdr:rowOff>
    </xdr:from>
    <xdr:ext cx="1348390" cy="465571"/>
    <xdr:sp macro="" textlink="">
      <xdr:nvSpPr>
        <xdr:cNvPr id="48"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15</xdr:row>
      <xdr:rowOff>0</xdr:rowOff>
    </xdr:from>
    <xdr:ext cx="1348390" cy="465571"/>
    <xdr:sp macro="" textlink="">
      <xdr:nvSpPr>
        <xdr:cNvPr id="49"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16</xdr:row>
      <xdr:rowOff>0</xdr:rowOff>
    </xdr:from>
    <xdr:ext cx="1348390" cy="465571"/>
    <xdr:sp macro="" textlink="">
      <xdr:nvSpPr>
        <xdr:cNvPr id="50"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xdr:oneCellAnchor>
    <xdr:from>
      <xdr:col>15</xdr:col>
      <xdr:colOff>657656</xdr:colOff>
      <xdr:row>16</xdr:row>
      <xdr:rowOff>0</xdr:rowOff>
    </xdr:from>
    <xdr:ext cx="1348390" cy="465571"/>
    <xdr:sp macro="" textlink="">
      <xdr:nvSpPr>
        <xdr:cNvPr id="54" name="OptionButton7" hidden="1">
          <a:extLst>
            <a:ext uri="{63B3BB69-23CF-44E3-9099-C40C66FF867C}">
              <a14:compatExt xmlns:a14="http://schemas.microsoft.com/office/drawing/2010/main" spid="_x0000_s19536"/>
            </a:ext>
          </a:extLst>
        </xdr:cNvPr>
        <xdr:cNvSpPr/>
      </xdr:nvSpPr>
      <xdr:spPr>
        <a:xfrm>
          <a:off x="9798855" y="2510118"/>
          <a:ext cx="1348390" cy="465571"/>
        </a:xfrm>
        <a:prstGeom prst="rect">
          <a:avLst/>
        </a:prstGeom>
      </xdr:spPr>
    </xdr:sp>
    <xdr:clientData/>
  </xdr:oneCellAnchor>
  <mc:AlternateContent xmlns:mc="http://schemas.openxmlformats.org/markup-compatibility/2006">
    <mc:Choice xmlns:a14="http://schemas.microsoft.com/office/drawing/2010/main" Requires="a14">
      <xdr:twoCellAnchor>
        <xdr:from>
          <xdr:col>2</xdr:col>
          <xdr:colOff>0</xdr:colOff>
          <xdr:row>63</xdr:row>
          <xdr:rowOff>0</xdr:rowOff>
        </xdr:from>
        <xdr:to>
          <xdr:col>5</xdr:col>
          <xdr:colOff>57150</xdr:colOff>
          <xdr:row>82</xdr:row>
          <xdr:rowOff>9525</xdr:rowOff>
        </xdr:to>
        <xdr:grpSp>
          <xdr:nvGrpSpPr>
            <xdr:cNvPr id="2" name="Gruppieren 1"/>
            <xdr:cNvGrpSpPr/>
          </xdr:nvGrpSpPr>
          <xdr:grpSpPr>
            <a:xfrm>
              <a:off x="942975" y="12153900"/>
              <a:ext cx="1981200" cy="3086100"/>
              <a:chOff x="1438275" y="11306194"/>
              <a:chExt cx="1981200" cy="3086102"/>
            </a:xfrm>
          </xdr:grpSpPr>
          <xdr:sp macro="" textlink="">
            <xdr:nvSpPr>
              <xdr:cNvPr id="256075" name="Check Box 75" hidden="1">
                <a:extLst>
                  <a:ext uri="{63B3BB69-23CF-44E3-9099-C40C66FF867C}">
                    <a14:compatExt spid="_x0000_s256075"/>
                  </a:ext>
                </a:extLst>
              </xdr:cNvPr>
              <xdr:cNvSpPr/>
            </xdr:nvSpPr>
            <xdr:spPr bwMode="auto">
              <a:xfrm>
                <a:off x="1438275" y="11306194"/>
                <a:ext cx="19812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Restwerte</a:t>
                </a:r>
              </a:p>
            </xdr:txBody>
          </xdr:sp>
          <xdr:sp macro="" textlink="">
            <xdr:nvSpPr>
              <xdr:cNvPr id="256079" name="Check Box 79" hidden="1">
                <a:extLst>
                  <a:ext uri="{63B3BB69-23CF-44E3-9099-C40C66FF867C}">
                    <a14:compatExt spid="_x0000_s256079"/>
                  </a:ext>
                </a:extLst>
              </xdr:cNvPr>
              <xdr:cNvSpPr/>
            </xdr:nvSpPr>
            <xdr:spPr bwMode="auto">
              <a:xfrm>
                <a:off x="1438275" y="11610975"/>
                <a:ext cx="17621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Ersatzinvestition</a:t>
                </a:r>
              </a:p>
            </xdr:txBody>
          </xdr:sp>
          <xdr:sp macro="" textlink="">
            <xdr:nvSpPr>
              <xdr:cNvPr id="256080" name="Check Box 80" hidden="1">
                <a:extLst>
                  <a:ext uri="{63B3BB69-23CF-44E3-9099-C40C66FF867C}">
                    <a14:compatExt spid="_x0000_s256080"/>
                  </a:ext>
                </a:extLst>
              </xdr:cNvPr>
              <xdr:cNvSpPr/>
            </xdr:nvSpPr>
            <xdr:spPr bwMode="auto">
              <a:xfrm>
                <a:off x="1457325" y="11906250"/>
                <a:ext cx="1666875" cy="2762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CO2 Folgekosten</a:t>
                </a:r>
              </a:p>
            </xdr:txBody>
          </xdr:sp>
          <xdr:sp macro="" textlink="">
            <xdr:nvSpPr>
              <xdr:cNvPr id="256081" name="Check Box 81" hidden="1">
                <a:extLst>
                  <a:ext uri="{63B3BB69-23CF-44E3-9099-C40C66FF867C}">
                    <a14:compatExt spid="_x0000_s256081"/>
                  </a:ext>
                </a:extLst>
              </xdr:cNvPr>
              <xdr:cNvSpPr/>
            </xdr:nvSpPr>
            <xdr:spPr bwMode="auto">
              <a:xfrm>
                <a:off x="1447800" y="12268200"/>
                <a:ext cx="15525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Verkaufserlösschmälerungen</a:t>
                </a:r>
              </a:p>
            </xdr:txBody>
          </xdr:sp>
          <xdr:sp macro="" textlink="">
            <xdr:nvSpPr>
              <xdr:cNvPr id="256082" name="Check Box 82" hidden="1">
                <a:extLst>
                  <a:ext uri="{63B3BB69-23CF-44E3-9099-C40C66FF867C}">
                    <a14:compatExt spid="_x0000_s256082"/>
                  </a:ext>
                </a:extLst>
              </xdr:cNvPr>
              <xdr:cNvSpPr/>
            </xdr:nvSpPr>
            <xdr:spPr bwMode="auto">
              <a:xfrm>
                <a:off x="1438275" y="12611100"/>
                <a:ext cx="18002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PV Eigennutzung</a:t>
                </a:r>
              </a:p>
            </xdr:txBody>
          </xdr:sp>
          <xdr:sp macro="" textlink="">
            <xdr:nvSpPr>
              <xdr:cNvPr id="256083" name="Check Box 83" hidden="1">
                <a:extLst>
                  <a:ext uri="{63B3BB69-23CF-44E3-9099-C40C66FF867C}">
                    <a14:compatExt spid="_x0000_s256083"/>
                  </a:ext>
                </a:extLst>
              </xdr:cNvPr>
              <xdr:cNvSpPr/>
            </xdr:nvSpPr>
            <xdr:spPr bwMode="auto">
              <a:xfrm>
                <a:off x="1438275" y="12934950"/>
                <a:ext cx="18097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PV Einspeisung</a:t>
                </a:r>
              </a:p>
            </xdr:txBody>
          </xdr:sp>
          <xdr:sp macro="" textlink="">
            <xdr:nvSpPr>
              <xdr:cNvPr id="256084" name="Check Box 84" hidden="1">
                <a:extLst>
                  <a:ext uri="{63B3BB69-23CF-44E3-9099-C40C66FF867C}">
                    <a14:compatExt spid="_x0000_s256084"/>
                  </a:ext>
                </a:extLst>
              </xdr:cNvPr>
              <xdr:cNvSpPr/>
            </xdr:nvSpPr>
            <xdr:spPr bwMode="auto">
              <a:xfrm>
                <a:off x="1457325" y="13192125"/>
                <a:ext cx="1695450"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Verbrauchsgebundene Zahlungen</a:t>
                </a:r>
              </a:p>
            </xdr:txBody>
          </xdr:sp>
          <xdr:sp macro="" textlink="">
            <xdr:nvSpPr>
              <xdr:cNvPr id="256085" name="Check Box 85" hidden="1">
                <a:extLst>
                  <a:ext uri="{63B3BB69-23CF-44E3-9099-C40C66FF867C}">
                    <a14:compatExt spid="_x0000_s256085"/>
                  </a:ext>
                </a:extLst>
              </xdr:cNvPr>
              <xdr:cNvSpPr/>
            </xdr:nvSpPr>
            <xdr:spPr bwMode="auto">
              <a:xfrm>
                <a:off x="1438275" y="13525500"/>
                <a:ext cx="1828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Betriebsgebundene Zahlungen</a:t>
                </a:r>
              </a:p>
            </xdr:txBody>
          </xdr:sp>
          <xdr:sp macro="" textlink="">
            <xdr:nvSpPr>
              <xdr:cNvPr id="256086" name="Check Box 86" hidden="1">
                <a:extLst>
                  <a:ext uri="{63B3BB69-23CF-44E3-9099-C40C66FF867C}">
                    <a14:compatExt spid="_x0000_s256086"/>
                  </a:ext>
                </a:extLst>
              </xdr:cNvPr>
              <xdr:cNvSpPr/>
            </xdr:nvSpPr>
            <xdr:spPr bwMode="auto">
              <a:xfrm>
                <a:off x="1438275" y="13849350"/>
                <a:ext cx="19145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Instandsetzungskosten</a:t>
                </a:r>
              </a:p>
            </xdr:txBody>
          </xdr:sp>
          <xdr:sp macro="" textlink="">
            <xdr:nvSpPr>
              <xdr:cNvPr id="256087" name="Check Box 87" hidden="1">
                <a:extLst>
                  <a:ext uri="{63B3BB69-23CF-44E3-9099-C40C66FF867C}">
                    <a14:compatExt spid="_x0000_s256087"/>
                  </a:ext>
                </a:extLst>
              </xdr:cNvPr>
              <xdr:cNvSpPr/>
            </xdr:nvSpPr>
            <xdr:spPr bwMode="auto">
              <a:xfrm>
                <a:off x="1438275" y="14173221"/>
                <a:ext cx="1828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Finanzierungskosten</a:t>
                </a:r>
              </a:p>
            </xdr:txBody>
          </xdr:sp>
        </xdr:grpSp>
        <xdr:clientData/>
      </xdr:twoCellAnchor>
    </mc:Choice>
    <mc:Fallback/>
  </mc:AlternateContent>
  <xdr:twoCellAnchor>
    <xdr:from>
      <xdr:col>1</xdr:col>
      <xdr:colOff>0</xdr:colOff>
      <xdr:row>1</xdr:row>
      <xdr:rowOff>247650</xdr:rowOff>
    </xdr:from>
    <xdr:to>
      <xdr:col>7</xdr:col>
      <xdr:colOff>558419</xdr:colOff>
      <xdr:row>2</xdr:row>
      <xdr:rowOff>47625</xdr:rowOff>
    </xdr:to>
    <xdr:grpSp>
      <xdr:nvGrpSpPr>
        <xdr:cNvPr id="58" name="Gruppieren 57"/>
        <xdr:cNvGrpSpPr/>
      </xdr:nvGrpSpPr>
      <xdr:grpSpPr>
        <a:xfrm>
          <a:off x="285750" y="561975"/>
          <a:ext cx="4854194" cy="428625"/>
          <a:chOff x="189536" y="4410075"/>
          <a:chExt cx="4454144" cy="357554"/>
        </a:xfrm>
      </xdr:grpSpPr>
      <xdr:sp macro="" textlink="">
        <xdr:nvSpPr>
          <xdr:cNvPr id="59" name="Auf der gleichen Seite des Rechtecks liegende Ecken abrunden 5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60" name="Freihandform 5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9</xdr:row>
      <xdr:rowOff>228600</xdr:rowOff>
    </xdr:from>
    <xdr:to>
      <xdr:col>7</xdr:col>
      <xdr:colOff>558419</xdr:colOff>
      <xdr:row>10</xdr:row>
      <xdr:rowOff>28575</xdr:rowOff>
    </xdr:to>
    <xdr:grpSp>
      <xdr:nvGrpSpPr>
        <xdr:cNvPr id="61" name="Gruppieren 60"/>
        <xdr:cNvGrpSpPr/>
      </xdr:nvGrpSpPr>
      <xdr:grpSpPr>
        <a:xfrm>
          <a:off x="285750" y="2305050"/>
          <a:ext cx="4854194" cy="304800"/>
          <a:chOff x="189536" y="4410075"/>
          <a:chExt cx="4454144" cy="357554"/>
        </a:xfrm>
      </xdr:grpSpPr>
      <xdr:sp macro="" textlink="$B$10">
        <xdr:nvSpPr>
          <xdr:cNvPr id="62" name="Auf der gleichen Seite des Rechtecks liegende Ecken abrunden 6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513878CC-D5C5-4655-A79A-A6ABAF48B745}" type="TxLink">
              <a:rPr lang="en-US" sz="1200" b="1" i="0" u="none" strike="noStrike">
                <a:solidFill>
                  <a:sysClr val="windowText" lastClr="000000"/>
                </a:solidFill>
                <a:latin typeface="Arial"/>
                <a:cs typeface="Arial"/>
              </a:rPr>
              <a:pPr algn="l"/>
              <a:t>Zusammenfassung der Randbedingungen</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63" name="Freihandform 6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20</xdr:row>
      <xdr:rowOff>238125</xdr:rowOff>
    </xdr:from>
    <xdr:to>
      <xdr:col>7</xdr:col>
      <xdr:colOff>558419</xdr:colOff>
      <xdr:row>21</xdr:row>
      <xdr:rowOff>38100</xdr:rowOff>
    </xdr:to>
    <xdr:grpSp>
      <xdr:nvGrpSpPr>
        <xdr:cNvPr id="64" name="Gruppieren 63"/>
        <xdr:cNvGrpSpPr/>
      </xdr:nvGrpSpPr>
      <xdr:grpSpPr>
        <a:xfrm>
          <a:off x="285750" y="4762500"/>
          <a:ext cx="4854194" cy="304800"/>
          <a:chOff x="189536" y="4410075"/>
          <a:chExt cx="4454144" cy="357554"/>
        </a:xfrm>
      </xdr:grpSpPr>
      <xdr:sp macro="" textlink="$B$21">
        <xdr:nvSpPr>
          <xdr:cNvPr id="65" name="Auf der gleichen Seite des Rechtecks liegende Ecken abrunden 64"/>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B4A75DA6-FFEE-4629-9304-C33740DB3D5E}" type="TxLink">
              <a:rPr lang="en-US" sz="1200" b="1" i="0" u="none" strike="noStrike">
                <a:solidFill>
                  <a:sysClr val="windowText" lastClr="000000"/>
                </a:solidFill>
                <a:latin typeface="Arial"/>
                <a:cs typeface="Arial"/>
              </a:rPr>
              <a:pPr algn="l"/>
              <a:t>Kapitalwertvergleich (Bauherr/Eigentümer)</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66" name="Freihandform 65"/>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52</xdr:row>
      <xdr:rowOff>238125</xdr:rowOff>
    </xdr:from>
    <xdr:to>
      <xdr:col>7</xdr:col>
      <xdr:colOff>558419</xdr:colOff>
      <xdr:row>53</xdr:row>
      <xdr:rowOff>38100</xdr:rowOff>
    </xdr:to>
    <xdr:grpSp>
      <xdr:nvGrpSpPr>
        <xdr:cNvPr id="70" name="Gruppieren 69"/>
        <xdr:cNvGrpSpPr/>
      </xdr:nvGrpSpPr>
      <xdr:grpSpPr>
        <a:xfrm>
          <a:off x="285750" y="10267950"/>
          <a:ext cx="4854194" cy="304800"/>
          <a:chOff x="189536" y="4410075"/>
          <a:chExt cx="4454144" cy="357554"/>
        </a:xfrm>
      </xdr:grpSpPr>
      <xdr:sp macro="" textlink="$B$53">
        <xdr:nvSpPr>
          <xdr:cNvPr id="71" name="Auf der gleichen Seite des Rechtecks liegende Ecken abrunden 70"/>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4A44EB78-900A-4D69-B4DE-680BB7C8E452}" type="TxLink">
              <a:rPr lang="en-US" sz="1200" b="1" i="0" u="none" strike="noStrike">
                <a:solidFill>
                  <a:sysClr val="windowText" lastClr="000000"/>
                </a:solidFill>
                <a:latin typeface="Arial"/>
                <a:cs typeface="Arial"/>
              </a:rPr>
              <a:pPr algn="l"/>
              <a:t>Zahlungsströme über die Jahre</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72" name="Freihandform 71"/>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2</xdr:col>
          <xdr:colOff>9525</xdr:colOff>
          <xdr:row>25</xdr:row>
          <xdr:rowOff>19050</xdr:rowOff>
        </xdr:from>
        <xdr:to>
          <xdr:col>4</xdr:col>
          <xdr:colOff>304800</xdr:colOff>
          <xdr:row>29</xdr:row>
          <xdr:rowOff>0</xdr:rowOff>
        </xdr:to>
        <xdr:sp macro="" textlink="">
          <xdr:nvSpPr>
            <xdr:cNvPr id="256097" name="Group Box 97" hidden="1">
              <a:extLst>
                <a:ext uri="{63B3BB69-23CF-44E3-9099-C40C66FF867C}">
                  <a14:compatExt spid="_x0000_s2560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25</xdr:row>
          <xdr:rowOff>66675</xdr:rowOff>
        </xdr:from>
        <xdr:to>
          <xdr:col>4</xdr:col>
          <xdr:colOff>247650</xdr:colOff>
          <xdr:row>26</xdr:row>
          <xdr:rowOff>123825</xdr:rowOff>
        </xdr:to>
        <xdr:sp macro="" textlink="">
          <xdr:nvSpPr>
            <xdr:cNvPr id="256098" name="Option Button 98" hidden="1">
              <a:extLst>
                <a:ext uri="{63B3BB69-23CF-44E3-9099-C40C66FF867C}">
                  <a14:compatExt spid="_x0000_s256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Kapitalwertvergleich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27</xdr:row>
          <xdr:rowOff>0</xdr:rowOff>
        </xdr:from>
        <xdr:to>
          <xdr:col>4</xdr:col>
          <xdr:colOff>238125</xdr:colOff>
          <xdr:row>28</xdr:row>
          <xdr:rowOff>76200</xdr:rowOff>
        </xdr:to>
        <xdr:sp macro="" textlink="">
          <xdr:nvSpPr>
            <xdr:cNvPr id="256099" name="Option Button 99" hidden="1">
              <a:extLst>
                <a:ext uri="{63B3BB69-23CF-44E3-9099-C40C66FF867C}">
                  <a14:compatExt spid="_x0000_s256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Annuitätenvergleich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742950</xdr:colOff>
          <xdr:row>21</xdr:row>
          <xdr:rowOff>133350</xdr:rowOff>
        </xdr:from>
        <xdr:to>
          <xdr:col>14</xdr:col>
          <xdr:colOff>142875</xdr:colOff>
          <xdr:row>23</xdr:row>
          <xdr:rowOff>9525</xdr:rowOff>
        </xdr:to>
        <xdr:sp macro="" textlink="">
          <xdr:nvSpPr>
            <xdr:cNvPr id="256110" name="Drop Down 110" hidden="1">
              <a:extLst>
                <a:ext uri="{63B3BB69-23CF-44E3-9099-C40C66FF867C}">
                  <a14:compatExt spid="_x0000_s256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21</xdr:row>
          <xdr:rowOff>123825</xdr:rowOff>
        </xdr:from>
        <xdr:to>
          <xdr:col>15</xdr:col>
          <xdr:colOff>438150</xdr:colOff>
          <xdr:row>23</xdr:row>
          <xdr:rowOff>0</xdr:rowOff>
        </xdr:to>
        <xdr:sp macro="" textlink="">
          <xdr:nvSpPr>
            <xdr:cNvPr id="256111" name="Drop Down 111" hidden="1">
              <a:extLst>
                <a:ext uri="{63B3BB69-23CF-44E3-9099-C40C66FF867C}">
                  <a14:compatExt spid="_x0000_s256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447675</xdr:colOff>
          <xdr:row>21</xdr:row>
          <xdr:rowOff>123825</xdr:rowOff>
        </xdr:from>
        <xdr:to>
          <xdr:col>17</xdr:col>
          <xdr:colOff>123825</xdr:colOff>
          <xdr:row>23</xdr:row>
          <xdr:rowOff>0</xdr:rowOff>
        </xdr:to>
        <xdr:sp macro="" textlink="">
          <xdr:nvSpPr>
            <xdr:cNvPr id="256112" name="Drop Down 112" hidden="1">
              <a:extLst>
                <a:ext uri="{63B3BB69-23CF-44E3-9099-C40C66FF867C}">
                  <a14:compatExt spid="_x0000_s256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21</xdr:row>
          <xdr:rowOff>123825</xdr:rowOff>
        </xdr:from>
        <xdr:to>
          <xdr:col>18</xdr:col>
          <xdr:colOff>409575</xdr:colOff>
          <xdr:row>23</xdr:row>
          <xdr:rowOff>0</xdr:rowOff>
        </xdr:to>
        <xdr:sp macro="" textlink="">
          <xdr:nvSpPr>
            <xdr:cNvPr id="256113" name="Drop Down 113" hidden="1">
              <a:extLst>
                <a:ext uri="{63B3BB69-23CF-44E3-9099-C40C66FF867C}">
                  <a14:compatExt spid="_x0000_s256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xdr:colOff>
          <xdr:row>56</xdr:row>
          <xdr:rowOff>152400</xdr:rowOff>
        </xdr:from>
        <xdr:to>
          <xdr:col>5</xdr:col>
          <xdr:colOff>76200</xdr:colOff>
          <xdr:row>58</xdr:row>
          <xdr:rowOff>9525</xdr:rowOff>
        </xdr:to>
        <xdr:sp macro="" textlink="">
          <xdr:nvSpPr>
            <xdr:cNvPr id="256116" name="Drop Down 116" hidden="1">
              <a:extLst>
                <a:ext uri="{63B3BB69-23CF-44E3-9099-C40C66FF867C}">
                  <a14:compatExt spid="_x0000_s256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733425</xdr:colOff>
      <xdr:row>1</xdr:row>
      <xdr:rowOff>57150</xdr:rowOff>
    </xdr:from>
    <xdr:to>
      <xdr:col>19</xdr:col>
      <xdr:colOff>1404408</xdr:colOff>
      <xdr:row>1</xdr:row>
      <xdr:rowOff>534676</xdr:rowOff>
    </xdr:to>
    <xdr:grpSp>
      <xdr:nvGrpSpPr>
        <xdr:cNvPr id="77" name="Gruppieren 76"/>
        <xdr:cNvGrpSpPr/>
      </xdr:nvGrpSpPr>
      <xdr:grpSpPr>
        <a:xfrm>
          <a:off x="6172200" y="371475"/>
          <a:ext cx="7833783" cy="477526"/>
          <a:chOff x="4878917" y="378882"/>
          <a:chExt cx="7833783" cy="477526"/>
        </a:xfrm>
      </xdr:grpSpPr>
      <xdr:sp macro="" textlink="">
        <xdr:nvSpPr>
          <xdr:cNvPr id="78" name="Abgerundetes Rechteck 77">
            <a:hlinkClick xmlns:r="http://schemas.openxmlformats.org/officeDocument/2006/relationships" r:id="rId7"/>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79" name="Abgerundetes Rechteck 78">
            <a:hlinkClick xmlns:r="http://schemas.openxmlformats.org/officeDocument/2006/relationships" r:id="rId8"/>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80" name="Abgerundetes Rechteck 79">
            <a:hlinkClick xmlns:r="http://schemas.openxmlformats.org/officeDocument/2006/relationships" r:id="rId9"/>
          </xdr:cNvPr>
          <xdr:cNvSpPr/>
        </xdr:nvSpPr>
        <xdr:spPr>
          <a:xfrm>
            <a:off x="11568642" y="378882"/>
            <a:ext cx="1144058" cy="468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81" name="Abgerundetes Rechteck 80">
            <a:hlinkClick xmlns:r="http://schemas.openxmlformats.org/officeDocument/2006/relationships" r:id="rId10"/>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82" name="Abgerundetes Rechteck 81">
            <a:hlinkClick xmlns:r="http://schemas.openxmlformats.org/officeDocument/2006/relationships" r:id="rId11"/>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83" name="Abgerundetes Rechteck 82">
            <a:hlinkClick xmlns:r="http://schemas.openxmlformats.org/officeDocument/2006/relationships" r:id="rId12"/>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84" name="Abgerundetes Rechteck 83">
            <a:hlinkClick xmlns:r="http://schemas.openxmlformats.org/officeDocument/2006/relationships" r:id="rId13"/>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85" name="Abgerundetes Rechteck 84">
            <a:hlinkClick xmlns:r="http://schemas.openxmlformats.org/officeDocument/2006/relationships" r:id="rId14"/>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86" name="Abgerundetes Rechteck 85">
            <a:hlinkClick xmlns:r="http://schemas.openxmlformats.org/officeDocument/2006/relationships" r:id="rId15"/>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87" name="Abgerundetes Rechteck 86">
            <a:hlinkClick xmlns:r="http://schemas.openxmlformats.org/officeDocument/2006/relationships" r:id="rId16"/>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88" name="Abgerundetes Rechteck 87">
            <a:hlinkClick xmlns:r="http://schemas.openxmlformats.org/officeDocument/2006/relationships" r:id="rId17"/>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89" name="Abgerundetes Rechteck 88">
            <a:hlinkClick xmlns:r="http://schemas.openxmlformats.org/officeDocument/2006/relationships" r:id="rId18"/>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90" name="Abgerundetes Rechteck 89">
            <a:hlinkClick xmlns:r="http://schemas.openxmlformats.org/officeDocument/2006/relationships" r:id="rId19"/>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91" name="Abgerundetes Rechteck 90">
            <a:hlinkClick xmlns:r="http://schemas.openxmlformats.org/officeDocument/2006/relationships" r:id="rId20"/>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12</xdr:col>
      <xdr:colOff>704850</xdr:colOff>
      <xdr:row>3</xdr:row>
      <xdr:rowOff>9525</xdr:rowOff>
    </xdr:from>
    <xdr:to>
      <xdr:col>19</xdr:col>
      <xdr:colOff>1345425</xdr:colOff>
      <xdr:row>7</xdr:row>
      <xdr:rowOff>39983</xdr:rowOff>
    </xdr:to>
    <xdr:pic>
      <xdr:nvPicPr>
        <xdr:cNvPr id="4" name="Grafik 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763000" y="1114425"/>
          <a:ext cx="5184000" cy="678158"/>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0.01952</cdr:x>
      <cdr:y>0.88838</cdr:y>
    </cdr:from>
    <cdr:to>
      <cdr:x>0.20224</cdr:x>
      <cdr:y>0.94589</cdr:y>
    </cdr:to>
    <cdr:sp macro="" textlink="">
      <cdr:nvSpPr>
        <cdr:cNvPr id="3" name="Textfeld 2"/>
        <cdr:cNvSpPr txBox="1"/>
      </cdr:nvSpPr>
      <cdr:spPr>
        <a:xfrm xmlns:a="http://schemas.openxmlformats.org/drawingml/2006/main">
          <a:off x="111673" y="3666748"/>
          <a:ext cx="1045171" cy="2373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DE" sz="900"/>
        </a:p>
      </cdr:txBody>
    </cdr:sp>
  </cdr:relSizeAnchor>
  <cdr:relSizeAnchor xmlns:cdr="http://schemas.openxmlformats.org/drawingml/2006/chartDrawing">
    <cdr:from>
      <cdr:x>0.08495</cdr:x>
      <cdr:y>0.94249</cdr:y>
    </cdr:from>
    <cdr:to>
      <cdr:x>0.2667</cdr:x>
      <cdr:y>1</cdr:y>
    </cdr:to>
    <cdr:sp macro="" textlink="LISTEN!$E$28">
      <cdr:nvSpPr>
        <cdr:cNvPr id="5" name="Textfeld 1"/>
        <cdr:cNvSpPr txBox="1"/>
      </cdr:nvSpPr>
      <cdr:spPr>
        <a:xfrm xmlns:a="http://schemas.openxmlformats.org/drawingml/2006/main">
          <a:off x="520615" y="4092438"/>
          <a:ext cx="1113918" cy="2497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3BEC68-172D-44C6-A72A-A4797F89AF67}" type="TxLink">
            <a:rPr lang="en-US" sz="800" b="0" i="0" u="none" strike="noStrike">
              <a:solidFill>
                <a:srgbClr val="000000"/>
              </a:solidFill>
              <a:latin typeface="Arial"/>
              <a:cs typeface="Arial"/>
            </a:rPr>
            <a:pPr/>
            <a:t>(econ calc V3) Betrachtungszeitraum 35 a / Kalkulationsszinssatz 2% / Eigenkapitalzinssatz 2% / Inflation 1,6%</a:t>
          </a:fld>
          <a:endParaRPr lang="de-DE" sz="900"/>
        </a:p>
      </cdr:txBody>
    </cdr:sp>
  </cdr:relSizeAnchor>
  <cdr:relSizeAnchor xmlns:cdr="http://schemas.openxmlformats.org/drawingml/2006/chartDrawing">
    <cdr:from>
      <cdr:x>0.01538</cdr:x>
      <cdr:y>0.94457</cdr:y>
    </cdr:from>
    <cdr:to>
      <cdr:x>0.98377</cdr:x>
      <cdr:y>0.94457</cdr:y>
    </cdr:to>
    <cdr:cxnSp macro="">
      <cdr:nvCxnSpPr>
        <cdr:cNvPr id="12" name="Gerade Verbindung 11"/>
        <cdr:cNvCxnSpPr/>
      </cdr:nvCxnSpPr>
      <cdr:spPr>
        <a:xfrm xmlns:a="http://schemas.openxmlformats.org/drawingml/2006/main">
          <a:off x="87975" y="3898677"/>
          <a:ext cx="5539258" cy="0"/>
        </a:xfrm>
        <a:prstGeom xmlns:a="http://schemas.openxmlformats.org/drawingml/2006/main" prst="line">
          <a:avLst/>
        </a:prstGeom>
        <a:ln xmlns:a="http://schemas.openxmlformats.org/drawingml/2006/main">
          <a:solidFill>
            <a:sysClr val="windowText" lastClr="0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0.72614</cdr:x>
      <cdr:y>0.58656</cdr:y>
    </cdr:from>
    <cdr:to>
      <cdr:x>0.99511</cdr:x>
      <cdr:y>0.65292</cdr:y>
    </cdr:to>
    <cdr:sp macro="" textlink="">
      <cdr:nvSpPr>
        <cdr:cNvPr id="13" name="Abgerundetes Rechteck 12"/>
        <cdr:cNvSpPr/>
      </cdr:nvSpPr>
      <cdr:spPr>
        <a:xfrm xmlns:a="http://schemas.openxmlformats.org/drawingml/2006/main">
          <a:off x="4242895" y="2446368"/>
          <a:ext cx="1571625" cy="276768"/>
        </a:xfrm>
        <a:prstGeom xmlns:a="http://schemas.openxmlformats.org/drawingml/2006/main" prst="roundRect">
          <a:avLst/>
        </a:prstGeom>
        <a:noFill xmlns:a="http://schemas.openxmlformats.org/drawingml/2006/main"/>
        <a:ln xmlns:a="http://schemas.openxmlformats.org/drawingml/2006/main" w="22225">
          <a:solidFill>
            <a:sysClr val="windowText" lastClr="000000"/>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userShapes>
</file>

<file path=xl/drawings/drawing5.xml><?xml version="1.0" encoding="utf-8"?>
<c:userShapes xmlns:c="http://schemas.openxmlformats.org/drawingml/2006/chart">
  <cdr:relSizeAnchor xmlns:cdr="http://schemas.openxmlformats.org/drawingml/2006/chartDrawing">
    <cdr:from>
      <cdr:x>0.00676</cdr:x>
      <cdr:y>0.9371</cdr:y>
    </cdr:from>
    <cdr:to>
      <cdr:x>0.98103</cdr:x>
      <cdr:y>0.9371</cdr:y>
    </cdr:to>
    <cdr:cxnSp macro="">
      <cdr:nvCxnSpPr>
        <cdr:cNvPr id="2" name="Gerade Verbindung 1"/>
        <cdr:cNvCxnSpPr/>
      </cdr:nvCxnSpPr>
      <cdr:spPr>
        <a:xfrm xmlns:a="http://schemas.openxmlformats.org/drawingml/2006/main">
          <a:off x="60140" y="4672577"/>
          <a:ext cx="8671963" cy="0"/>
        </a:xfrm>
        <a:prstGeom xmlns:a="http://schemas.openxmlformats.org/drawingml/2006/main" prst="line">
          <a:avLst/>
        </a:prstGeom>
        <a:ln xmlns:a="http://schemas.openxmlformats.org/drawingml/2006/main">
          <a:solidFill>
            <a:sysClr val="windowText" lastClr="0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0.22418</cdr:x>
      <cdr:y>0.94876</cdr:y>
    </cdr:from>
    <cdr:to>
      <cdr:x>0.34072</cdr:x>
      <cdr:y>0.99425</cdr:y>
    </cdr:to>
    <cdr:sp macro="" textlink="LISTEN!$XEA$1048561">
      <cdr:nvSpPr>
        <cdr:cNvPr id="4" name="Textfeld 1"/>
        <cdr:cNvSpPr txBox="1"/>
      </cdr:nvSpPr>
      <cdr:spPr>
        <a:xfrm xmlns:a="http://schemas.openxmlformats.org/drawingml/2006/main">
          <a:off x="2037100" y="4453921"/>
          <a:ext cx="1058982" cy="2135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9DB7DB8-0B86-43DC-B104-3DD1D2B4FA83}" type="TxLink">
            <a:rPr lang="en-US" sz="800" b="0" i="0" u="none" strike="noStrike">
              <a:solidFill>
                <a:sysClr val="windowText" lastClr="000000"/>
              </a:solidFill>
              <a:latin typeface="Arial"/>
              <a:cs typeface="Arial"/>
            </a:rPr>
            <a:pPr/>
            <a:t> </a:t>
          </a:fld>
          <a:endParaRPr lang="de-DE" sz="900">
            <a:solidFill>
              <a:sysClr val="windowText" lastClr="000000"/>
            </a:solidFill>
          </a:endParaRPr>
        </a:p>
      </cdr:txBody>
    </cdr:sp>
  </cdr:relSizeAnchor>
  <cdr:relSizeAnchor xmlns:cdr="http://schemas.openxmlformats.org/drawingml/2006/chartDrawing">
    <cdr:from>
      <cdr:x>0.21215</cdr:x>
      <cdr:y>0.94536</cdr:y>
    </cdr:from>
    <cdr:to>
      <cdr:x>0.33161</cdr:x>
      <cdr:y>0.99908</cdr:y>
    </cdr:to>
    <cdr:sp macro="" textlink="">
      <cdr:nvSpPr>
        <cdr:cNvPr id="5" name="Textfeld 1"/>
        <cdr:cNvSpPr txBox="1"/>
      </cdr:nvSpPr>
      <cdr:spPr>
        <a:xfrm xmlns:a="http://schemas.openxmlformats.org/drawingml/2006/main">
          <a:off x="1984375" y="4394200"/>
          <a:ext cx="1117380" cy="2497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3BEC68-172D-44C6-A72A-A4797F89AF67}" type="TxLink">
            <a:rPr lang="en-US" sz="800" b="0" i="0" u="none" strike="noStrike">
              <a:solidFill>
                <a:srgbClr val="000000"/>
              </a:solidFill>
              <a:latin typeface="Arial"/>
              <a:cs typeface="Arial"/>
            </a:rPr>
            <a:pPr/>
            <a:t>(econ calc V3) Betrachtungszeitraum 50 a / Kalkulationsszinssatz 2% / Eigenkapitalzinssatz 2% / Inflation 1,6%</a:t>
          </a:fld>
          <a:endParaRPr lang="de-DE" sz="9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4</xdr:col>
      <xdr:colOff>714375</xdr:colOff>
      <xdr:row>28</xdr:row>
      <xdr:rowOff>0</xdr:rowOff>
    </xdr:from>
    <xdr:to>
      <xdr:col>5</xdr:col>
      <xdr:colOff>13430</xdr:colOff>
      <xdr:row>28</xdr:row>
      <xdr:rowOff>19050</xdr:rowOff>
    </xdr:to>
    <xdr:pic>
      <xdr:nvPicPr>
        <xdr:cNvPr id="3" name="Gerade Verbindung 26"/>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4" name="Picture 78"/>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5" name="Picture 90"/>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6" name="Picture 102"/>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73382</xdr:colOff>
      <xdr:row>10</xdr:row>
      <xdr:rowOff>114424</xdr:rowOff>
    </xdr:from>
    <xdr:to>
      <xdr:col>5</xdr:col>
      <xdr:colOff>243084</xdr:colOff>
      <xdr:row>12</xdr:row>
      <xdr:rowOff>174296</xdr:rowOff>
    </xdr:to>
    <xdr:sp macro="" textlink="">
      <xdr:nvSpPr>
        <xdr:cNvPr id="42" name="OptionButton4" hidden="1">
          <a:extLst>
            <a:ext uri="{63B3BB69-23CF-44E3-9099-C40C66FF867C}">
              <a14:compatExt xmlns:a14="http://schemas.microsoft.com/office/drawing/2010/main" spid="_x0000_s19535"/>
            </a:ext>
          </a:extLst>
        </xdr:cNvPr>
        <xdr:cNvSpPr/>
      </xdr:nvSpPr>
      <xdr:spPr>
        <a:xfrm>
          <a:off x="1073507" y="2562349"/>
          <a:ext cx="1788952" cy="488497"/>
        </a:xfrm>
        <a:prstGeom prst="rect">
          <a:avLst/>
        </a:prstGeom>
      </xdr:spPr>
    </xdr:sp>
    <xdr:clientData/>
  </xdr:twoCellAnchor>
  <xdr:twoCellAnchor editAs="oneCell">
    <xdr:from>
      <xdr:col>9</xdr:col>
      <xdr:colOff>657656</xdr:colOff>
      <xdr:row>11</xdr:row>
      <xdr:rowOff>128032</xdr:rowOff>
    </xdr:from>
    <xdr:to>
      <xdr:col>12</xdr:col>
      <xdr:colOff>320121</xdr:colOff>
      <xdr:row>14</xdr:row>
      <xdr:rowOff>107414</xdr:rowOff>
    </xdr:to>
    <xdr:sp macro="" textlink="">
      <xdr:nvSpPr>
        <xdr:cNvPr id="43" name="OptionButton7" hidden="1">
          <a:extLst>
            <a:ext uri="{63B3BB69-23CF-44E3-9099-C40C66FF867C}">
              <a14:compatExt xmlns:a14="http://schemas.microsoft.com/office/drawing/2010/main" spid="_x0000_s19536"/>
            </a:ext>
          </a:extLst>
        </xdr:cNvPr>
        <xdr:cNvSpPr/>
      </xdr:nvSpPr>
      <xdr:spPr>
        <a:xfrm>
          <a:off x="3277031" y="2575957"/>
          <a:ext cx="1688258" cy="499380"/>
        </a:xfrm>
        <a:prstGeom prst="rect">
          <a:avLst/>
        </a:prstGeom>
      </xdr:spPr>
    </xdr:sp>
    <xdr:clientData/>
  </xdr:twoCellAnchor>
  <xdr:twoCellAnchor editAs="oneCell">
    <xdr:from>
      <xdr:col>4</xdr:col>
      <xdr:colOff>714375</xdr:colOff>
      <xdr:row>28</xdr:row>
      <xdr:rowOff>0</xdr:rowOff>
    </xdr:from>
    <xdr:to>
      <xdr:col>5</xdr:col>
      <xdr:colOff>13430</xdr:colOff>
      <xdr:row>28</xdr:row>
      <xdr:rowOff>19050</xdr:rowOff>
    </xdr:to>
    <xdr:pic>
      <xdr:nvPicPr>
        <xdr:cNvPr id="46" name="Gerade Verbindung 26"/>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47" name="Picture 90"/>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48" name="Picture 7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49" name="Picture 90"/>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50" name="Picture 102"/>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51" name="Picture 106"/>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52" name="Picture 107"/>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53" name="Picture 10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54" name="Picture 10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714375</xdr:colOff>
      <xdr:row>28</xdr:row>
      <xdr:rowOff>0</xdr:rowOff>
    </xdr:from>
    <xdr:to>
      <xdr:col>5</xdr:col>
      <xdr:colOff>13430</xdr:colOff>
      <xdr:row>28</xdr:row>
      <xdr:rowOff>19050</xdr:rowOff>
    </xdr:to>
    <xdr:pic>
      <xdr:nvPicPr>
        <xdr:cNvPr id="55" name="Picture 110"/>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0" y="7305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10</xdr:row>
      <xdr:rowOff>114424</xdr:rowOff>
    </xdr:from>
    <xdr:to>
      <xdr:col>2</xdr:col>
      <xdr:colOff>243084</xdr:colOff>
      <xdr:row>12</xdr:row>
      <xdr:rowOff>174296</xdr:rowOff>
    </xdr:to>
    <xdr:sp macro="" textlink="">
      <xdr:nvSpPr>
        <xdr:cNvPr id="151" name="OptionButton4" hidden="1">
          <a:extLst>
            <a:ext uri="{63B3BB69-23CF-44E3-9099-C40C66FF867C}">
              <a14:compatExt xmlns:a14="http://schemas.microsoft.com/office/drawing/2010/main" spid="_x0000_s19535"/>
            </a:ext>
          </a:extLst>
        </xdr:cNvPr>
        <xdr:cNvSpPr/>
      </xdr:nvSpPr>
      <xdr:spPr>
        <a:xfrm>
          <a:off x="1801489" y="2713388"/>
          <a:ext cx="3231309" cy="563337"/>
        </a:xfrm>
        <a:prstGeom prst="rect">
          <a:avLst/>
        </a:prstGeom>
      </xdr:spPr>
    </xdr:sp>
    <xdr:clientData/>
  </xdr:twoCellAnchor>
  <xdr:twoCellAnchor editAs="oneCell">
    <xdr:from>
      <xdr:col>24</xdr:col>
      <xdr:colOff>657656</xdr:colOff>
      <xdr:row>13</xdr:row>
      <xdr:rowOff>128032</xdr:rowOff>
    </xdr:from>
    <xdr:to>
      <xdr:col>31</xdr:col>
      <xdr:colOff>163588</xdr:colOff>
      <xdr:row>16</xdr:row>
      <xdr:rowOff>102541</xdr:rowOff>
    </xdr:to>
    <xdr:sp macro="" textlink="">
      <xdr:nvSpPr>
        <xdr:cNvPr id="152" name="OptionButton7" hidden="1">
          <a:extLst>
            <a:ext uri="{63B3BB69-23CF-44E3-9099-C40C66FF867C}">
              <a14:compatExt xmlns:a14="http://schemas.microsoft.com/office/drawing/2010/main" spid="_x0000_s19536"/>
            </a:ext>
          </a:extLst>
        </xdr:cNvPr>
        <xdr:cNvSpPr/>
      </xdr:nvSpPr>
      <xdr:spPr>
        <a:xfrm>
          <a:off x="3828120" y="2726996"/>
          <a:ext cx="1693700" cy="506184"/>
        </a:xfrm>
        <a:prstGeom prst="rect">
          <a:avLst/>
        </a:prstGeom>
      </xdr:spPr>
    </xdr:sp>
    <xdr:clientData/>
  </xdr:twoCellAnchor>
  <xdr:twoCellAnchor>
    <xdr:from>
      <xdr:col>3</xdr:col>
      <xdr:colOff>73382</xdr:colOff>
      <xdr:row>12</xdr:row>
      <xdr:rowOff>114424</xdr:rowOff>
    </xdr:from>
    <xdr:to>
      <xdr:col>5</xdr:col>
      <xdr:colOff>243084</xdr:colOff>
      <xdr:row>14</xdr:row>
      <xdr:rowOff>174296</xdr:rowOff>
    </xdr:to>
    <xdr:sp macro="" textlink="">
      <xdr:nvSpPr>
        <xdr:cNvPr id="153" name="OptionButton4" hidden="1">
          <a:extLst>
            <a:ext uri="{63B3BB69-23CF-44E3-9099-C40C66FF867C}">
              <a14:compatExt xmlns:a14="http://schemas.microsoft.com/office/drawing/2010/main" spid="_x0000_s19535"/>
            </a:ext>
          </a:extLst>
        </xdr:cNvPr>
        <xdr:cNvSpPr/>
      </xdr:nvSpPr>
      <xdr:spPr>
        <a:xfrm>
          <a:off x="1801489" y="2713388"/>
          <a:ext cx="3231309" cy="563337"/>
        </a:xfrm>
        <a:prstGeom prst="rect">
          <a:avLst/>
        </a:prstGeom>
      </xdr:spPr>
    </xdr:sp>
    <xdr:clientData/>
  </xdr:twoCellAnchor>
  <xdr:twoCellAnchor editAs="oneCell">
    <xdr:from>
      <xdr:col>24</xdr:col>
      <xdr:colOff>657656</xdr:colOff>
      <xdr:row>13</xdr:row>
      <xdr:rowOff>128032</xdr:rowOff>
    </xdr:from>
    <xdr:to>
      <xdr:col>31</xdr:col>
      <xdr:colOff>163588</xdr:colOff>
      <xdr:row>16</xdr:row>
      <xdr:rowOff>102541</xdr:rowOff>
    </xdr:to>
    <xdr:sp macro="" textlink="">
      <xdr:nvSpPr>
        <xdr:cNvPr id="154" name="OptionButton7" hidden="1">
          <a:extLst>
            <a:ext uri="{63B3BB69-23CF-44E3-9099-C40C66FF867C}">
              <a14:compatExt xmlns:a14="http://schemas.microsoft.com/office/drawing/2010/main" spid="_x0000_s19536"/>
            </a:ext>
          </a:extLst>
        </xdr:cNvPr>
        <xdr:cNvSpPr/>
      </xdr:nvSpPr>
      <xdr:spPr>
        <a:xfrm>
          <a:off x="3828120" y="2726996"/>
          <a:ext cx="1693700" cy="506184"/>
        </a:xfrm>
        <a:prstGeom prst="rect">
          <a:avLst/>
        </a:prstGeom>
      </xdr:spPr>
    </xdr:sp>
    <xdr:clientData/>
  </xdr:twoCellAnchor>
  <xdr:twoCellAnchor editAs="oneCell">
    <xdr:from>
      <xdr:col>24</xdr:col>
      <xdr:colOff>657656</xdr:colOff>
      <xdr:row>13</xdr:row>
      <xdr:rowOff>128032</xdr:rowOff>
    </xdr:from>
    <xdr:to>
      <xdr:col>31</xdr:col>
      <xdr:colOff>149980</xdr:colOff>
      <xdr:row>16</xdr:row>
      <xdr:rowOff>102541</xdr:rowOff>
    </xdr:to>
    <xdr:sp macro="" textlink="">
      <xdr:nvSpPr>
        <xdr:cNvPr id="155" name="OptionButton7" hidden="1">
          <a:extLst>
            <a:ext uri="{63B3BB69-23CF-44E3-9099-C40C66FF867C}">
              <a14:compatExt xmlns:a14="http://schemas.microsoft.com/office/drawing/2010/main" spid="_x0000_s19536"/>
            </a:ext>
          </a:extLst>
        </xdr:cNvPr>
        <xdr:cNvSpPr/>
      </xdr:nvSpPr>
      <xdr:spPr>
        <a:xfrm>
          <a:off x="3828120" y="2726996"/>
          <a:ext cx="1693700" cy="506184"/>
        </a:xfrm>
        <a:prstGeom prst="rect">
          <a:avLst/>
        </a:prstGeom>
      </xdr:spPr>
    </xdr:sp>
    <xdr:clientData/>
  </xdr:twoCellAnchor>
  <xdr:twoCellAnchor editAs="oneCell">
    <xdr:from>
      <xdr:col>4</xdr:col>
      <xdr:colOff>657656</xdr:colOff>
      <xdr:row>20</xdr:row>
      <xdr:rowOff>128032</xdr:rowOff>
    </xdr:from>
    <xdr:to>
      <xdr:col>7</xdr:col>
      <xdr:colOff>518060</xdr:colOff>
      <xdr:row>22</xdr:row>
      <xdr:rowOff>118009</xdr:rowOff>
    </xdr:to>
    <xdr:sp macro="" textlink="">
      <xdr:nvSpPr>
        <xdr:cNvPr id="156" name="OptionButton7" hidden="1">
          <a:extLst>
            <a:ext uri="{63B3BB69-23CF-44E3-9099-C40C66FF867C}">
              <a14:compatExt xmlns:a14="http://schemas.microsoft.com/office/drawing/2010/main" spid="_x0000_s19536"/>
            </a:ext>
          </a:extLst>
        </xdr:cNvPr>
        <xdr:cNvSpPr/>
      </xdr:nvSpPr>
      <xdr:spPr>
        <a:xfrm>
          <a:off x="14223977" y="3039961"/>
          <a:ext cx="1693700" cy="506184"/>
        </a:xfrm>
        <a:prstGeom prst="rect">
          <a:avLst/>
        </a:prstGeom>
      </xdr:spPr>
    </xdr:sp>
    <xdr:clientData/>
  </xdr:twoCellAnchor>
  <xdr:twoCellAnchor>
    <xdr:from>
      <xdr:col>4</xdr:col>
      <xdr:colOff>73382</xdr:colOff>
      <xdr:row>10</xdr:row>
      <xdr:rowOff>114424</xdr:rowOff>
    </xdr:from>
    <xdr:to>
      <xdr:col>5</xdr:col>
      <xdr:colOff>0</xdr:colOff>
      <xdr:row>12</xdr:row>
      <xdr:rowOff>174296</xdr:rowOff>
    </xdr:to>
    <xdr:sp macro="" textlink="">
      <xdr:nvSpPr>
        <xdr:cNvPr id="27" name="OptionButton4" hidden="1">
          <a:extLst>
            <a:ext uri="{63B3BB69-23CF-44E3-9099-C40C66FF867C}">
              <a14:compatExt xmlns:a14="http://schemas.microsoft.com/office/drawing/2010/main" spid="_x0000_s19535"/>
            </a:ext>
          </a:extLst>
        </xdr:cNvPr>
        <xdr:cNvSpPr/>
      </xdr:nvSpPr>
      <xdr:spPr>
        <a:xfrm>
          <a:off x="1995700" y="2989242"/>
          <a:ext cx="3650657" cy="596736"/>
        </a:xfrm>
        <a:prstGeom prst="rect">
          <a:avLst/>
        </a:prstGeom>
      </xdr:spPr>
    </xdr:sp>
    <xdr:clientData/>
  </xdr:twoCellAnchor>
  <xdr:oneCellAnchor>
    <xdr:from>
      <xdr:col>4</xdr:col>
      <xdr:colOff>0</xdr:colOff>
      <xdr:row>12</xdr:row>
      <xdr:rowOff>128032</xdr:rowOff>
    </xdr:from>
    <xdr:ext cx="1698285" cy="498763"/>
    <xdr:sp macro="" textlink="">
      <xdr:nvSpPr>
        <xdr:cNvPr id="28" name="OptionButton7" hidden="1">
          <a:extLst>
            <a:ext uri="{63B3BB69-23CF-44E3-9099-C40C66FF867C}">
              <a14:compatExt xmlns:a14="http://schemas.microsoft.com/office/drawing/2010/main" spid="_x0000_s19536"/>
            </a:ext>
          </a:extLst>
        </xdr:cNvPr>
        <xdr:cNvSpPr/>
      </xdr:nvSpPr>
      <xdr:spPr>
        <a:xfrm>
          <a:off x="4190565" y="3002850"/>
          <a:ext cx="1698285" cy="498763"/>
        </a:xfrm>
        <a:prstGeom prst="rect">
          <a:avLst/>
        </a:prstGeom>
      </xdr:spPr>
    </xdr:sp>
    <xdr:clientData/>
  </xdr:oneCellAnchor>
  <xdr:twoCellAnchor>
    <xdr:from>
      <xdr:col>2</xdr:col>
      <xdr:colOff>0</xdr:colOff>
      <xdr:row>10</xdr:row>
      <xdr:rowOff>114424</xdr:rowOff>
    </xdr:from>
    <xdr:to>
      <xdr:col>2</xdr:col>
      <xdr:colOff>243084</xdr:colOff>
      <xdr:row>12</xdr:row>
      <xdr:rowOff>174296</xdr:rowOff>
    </xdr:to>
    <xdr:sp macro="" textlink="">
      <xdr:nvSpPr>
        <xdr:cNvPr id="29" name="OptionButton4" hidden="1">
          <a:extLst>
            <a:ext uri="{63B3BB69-23CF-44E3-9099-C40C66FF867C}">
              <a14:compatExt xmlns:a14="http://schemas.microsoft.com/office/drawing/2010/main" spid="_x0000_s19535"/>
            </a:ext>
          </a:extLst>
        </xdr:cNvPr>
        <xdr:cNvSpPr/>
      </xdr:nvSpPr>
      <xdr:spPr>
        <a:xfrm>
          <a:off x="1995700" y="2989242"/>
          <a:ext cx="3650657" cy="596736"/>
        </a:xfrm>
        <a:prstGeom prst="rect">
          <a:avLst/>
        </a:prstGeom>
      </xdr:spPr>
    </xdr:sp>
    <xdr:clientData/>
  </xdr:twoCellAnchor>
  <xdr:oneCellAnchor>
    <xdr:from>
      <xdr:col>4</xdr:col>
      <xdr:colOff>0</xdr:colOff>
      <xdr:row>12</xdr:row>
      <xdr:rowOff>128032</xdr:rowOff>
    </xdr:from>
    <xdr:ext cx="1698285" cy="498763"/>
    <xdr:sp macro="" textlink="">
      <xdr:nvSpPr>
        <xdr:cNvPr id="30" name="OptionButton7" hidden="1">
          <a:extLst>
            <a:ext uri="{63B3BB69-23CF-44E3-9099-C40C66FF867C}">
              <a14:compatExt xmlns:a14="http://schemas.microsoft.com/office/drawing/2010/main" spid="_x0000_s19536"/>
            </a:ext>
          </a:extLst>
        </xdr:cNvPr>
        <xdr:cNvSpPr/>
      </xdr:nvSpPr>
      <xdr:spPr>
        <a:xfrm>
          <a:off x="4190565" y="3002850"/>
          <a:ext cx="1698285" cy="498763"/>
        </a:xfrm>
        <a:prstGeom prst="rect">
          <a:avLst/>
        </a:prstGeom>
      </xdr:spPr>
    </xdr:sp>
    <xdr:clientData/>
  </xdr:oneCellAnchor>
  <xdr:twoCellAnchor>
    <xdr:from>
      <xdr:col>8</xdr:col>
      <xdr:colOff>73382</xdr:colOff>
      <xdr:row>11</xdr:row>
      <xdr:rowOff>114424</xdr:rowOff>
    </xdr:from>
    <xdr:to>
      <xdr:col>9</xdr:col>
      <xdr:colOff>0</xdr:colOff>
      <xdr:row>13</xdr:row>
      <xdr:rowOff>0</xdr:rowOff>
    </xdr:to>
    <xdr:sp macro="" textlink="">
      <xdr:nvSpPr>
        <xdr:cNvPr id="31" name="OptionButton4" hidden="1">
          <a:extLst>
            <a:ext uri="{63B3BB69-23CF-44E3-9099-C40C66FF867C}">
              <a14:compatExt xmlns:a14="http://schemas.microsoft.com/office/drawing/2010/main" spid="_x0000_s19535"/>
            </a:ext>
          </a:extLst>
        </xdr:cNvPr>
        <xdr:cNvSpPr/>
      </xdr:nvSpPr>
      <xdr:spPr>
        <a:xfrm>
          <a:off x="7381655" y="2989242"/>
          <a:ext cx="1104254" cy="596736"/>
        </a:xfrm>
        <a:prstGeom prst="rect">
          <a:avLst/>
        </a:prstGeom>
      </xdr:spPr>
    </xdr:sp>
    <xdr:clientData/>
  </xdr:twoCellAnchor>
  <xdr:twoCellAnchor>
    <xdr:from>
      <xdr:col>2</xdr:col>
      <xdr:colOff>73382</xdr:colOff>
      <xdr:row>10</xdr:row>
      <xdr:rowOff>114424</xdr:rowOff>
    </xdr:from>
    <xdr:to>
      <xdr:col>3</xdr:col>
      <xdr:colOff>0</xdr:colOff>
      <xdr:row>12</xdr:row>
      <xdr:rowOff>174296</xdr:rowOff>
    </xdr:to>
    <xdr:sp macro="" textlink="">
      <xdr:nvSpPr>
        <xdr:cNvPr id="32" name="OptionButton4" hidden="1">
          <a:extLst>
            <a:ext uri="{63B3BB69-23CF-44E3-9099-C40C66FF867C}">
              <a14:compatExt xmlns:a14="http://schemas.microsoft.com/office/drawing/2010/main" spid="_x0000_s19535"/>
            </a:ext>
          </a:extLst>
        </xdr:cNvPr>
        <xdr:cNvSpPr/>
      </xdr:nvSpPr>
      <xdr:spPr>
        <a:xfrm>
          <a:off x="7381655" y="2989242"/>
          <a:ext cx="1104254" cy="596736"/>
        </a:xfrm>
        <a:prstGeom prst="rect">
          <a:avLst/>
        </a:prstGeom>
      </xdr:spPr>
    </xdr:sp>
    <xdr:clientData/>
  </xdr:twoCellAnchor>
  <xdr:twoCellAnchor>
    <xdr:from>
      <xdr:col>3</xdr:col>
      <xdr:colOff>73382</xdr:colOff>
      <xdr:row>10</xdr:row>
      <xdr:rowOff>114424</xdr:rowOff>
    </xdr:from>
    <xdr:to>
      <xdr:col>4</xdr:col>
      <xdr:colOff>0</xdr:colOff>
      <xdr:row>12</xdr:row>
      <xdr:rowOff>174296</xdr:rowOff>
    </xdr:to>
    <xdr:sp macro="" textlink="">
      <xdr:nvSpPr>
        <xdr:cNvPr id="33" name="OptionButton4" hidden="1">
          <a:extLst>
            <a:ext uri="{63B3BB69-23CF-44E3-9099-C40C66FF867C}">
              <a14:compatExt xmlns:a14="http://schemas.microsoft.com/office/drawing/2010/main" spid="_x0000_s19535"/>
            </a:ext>
          </a:extLst>
        </xdr:cNvPr>
        <xdr:cNvSpPr/>
      </xdr:nvSpPr>
      <xdr:spPr>
        <a:xfrm>
          <a:off x="7381655" y="2989242"/>
          <a:ext cx="1104254" cy="596736"/>
        </a:xfrm>
        <a:prstGeom prst="rect">
          <a:avLst/>
        </a:prstGeom>
      </xdr:spPr>
    </xdr:sp>
    <xdr:clientData/>
  </xdr:twoCellAnchor>
  <xdr:twoCellAnchor>
    <xdr:from>
      <xdr:col>4</xdr:col>
      <xdr:colOff>73382</xdr:colOff>
      <xdr:row>10</xdr:row>
      <xdr:rowOff>114424</xdr:rowOff>
    </xdr:from>
    <xdr:to>
      <xdr:col>5</xdr:col>
      <xdr:colOff>0</xdr:colOff>
      <xdr:row>12</xdr:row>
      <xdr:rowOff>174296</xdr:rowOff>
    </xdr:to>
    <xdr:sp macro="" textlink="">
      <xdr:nvSpPr>
        <xdr:cNvPr id="34" name="OptionButton4" hidden="1">
          <a:extLst>
            <a:ext uri="{63B3BB69-23CF-44E3-9099-C40C66FF867C}">
              <a14:compatExt xmlns:a14="http://schemas.microsoft.com/office/drawing/2010/main" spid="_x0000_s19535"/>
            </a:ext>
          </a:extLst>
        </xdr:cNvPr>
        <xdr:cNvSpPr/>
      </xdr:nvSpPr>
      <xdr:spPr>
        <a:xfrm>
          <a:off x="7381655" y="2989242"/>
          <a:ext cx="1104254" cy="596736"/>
        </a:xfrm>
        <a:prstGeom prst="rect">
          <a:avLst/>
        </a:prstGeom>
      </xdr:spPr>
    </xdr:sp>
    <xdr:clientData/>
  </xdr:twoCellAnchor>
  <xdr:twoCellAnchor>
    <xdr:from>
      <xdr:col>2</xdr:col>
      <xdr:colOff>73382</xdr:colOff>
      <xdr:row>9</xdr:row>
      <xdr:rowOff>114424</xdr:rowOff>
    </xdr:from>
    <xdr:to>
      <xdr:col>3</xdr:col>
      <xdr:colOff>0</xdr:colOff>
      <xdr:row>11</xdr:row>
      <xdr:rowOff>174296</xdr:rowOff>
    </xdr:to>
    <xdr:sp macro="" textlink="">
      <xdr:nvSpPr>
        <xdr:cNvPr id="35" name="OptionButton4" hidden="1">
          <a:extLst>
            <a:ext uri="{63B3BB69-23CF-44E3-9099-C40C66FF867C}">
              <a14:compatExt xmlns:a14="http://schemas.microsoft.com/office/drawing/2010/main" spid="_x0000_s19535"/>
            </a:ext>
          </a:extLst>
        </xdr:cNvPr>
        <xdr:cNvSpPr/>
      </xdr:nvSpPr>
      <xdr:spPr>
        <a:xfrm>
          <a:off x="7381655" y="2989242"/>
          <a:ext cx="1104254" cy="596736"/>
        </a:xfrm>
        <a:prstGeom prst="rect">
          <a:avLst/>
        </a:prstGeom>
      </xdr:spPr>
    </xdr:sp>
    <xdr:clientData/>
  </xdr:twoCellAnchor>
  <xdr:twoCellAnchor>
    <xdr:from>
      <xdr:col>10</xdr:col>
      <xdr:colOff>73382</xdr:colOff>
      <xdr:row>10</xdr:row>
      <xdr:rowOff>114424</xdr:rowOff>
    </xdr:from>
    <xdr:to>
      <xdr:col>12</xdr:col>
      <xdr:colOff>243084</xdr:colOff>
      <xdr:row>12</xdr:row>
      <xdr:rowOff>174296</xdr:rowOff>
    </xdr:to>
    <xdr:sp macro="" textlink="">
      <xdr:nvSpPr>
        <xdr:cNvPr id="36" name="OptionButton4" hidden="1">
          <a:extLst>
            <a:ext uri="{63B3BB69-23CF-44E3-9099-C40C66FF867C}">
              <a14:compatExt xmlns:a14="http://schemas.microsoft.com/office/drawing/2010/main" spid="_x0000_s19535"/>
            </a:ext>
          </a:extLst>
        </xdr:cNvPr>
        <xdr:cNvSpPr/>
      </xdr:nvSpPr>
      <xdr:spPr>
        <a:xfrm>
          <a:off x="6446473" y="2989242"/>
          <a:ext cx="2282520" cy="596736"/>
        </a:xfrm>
        <a:prstGeom prst="rect">
          <a:avLst/>
        </a:prstGeom>
      </xdr:spPr>
    </xdr:sp>
    <xdr:clientData/>
  </xdr:twoCellAnchor>
  <xdr:oneCellAnchor>
    <xdr:from>
      <xdr:col>10</xdr:col>
      <xdr:colOff>657656</xdr:colOff>
      <xdr:row>10</xdr:row>
      <xdr:rowOff>128032</xdr:rowOff>
    </xdr:from>
    <xdr:ext cx="1698285" cy="498763"/>
    <xdr:sp macro="" textlink="">
      <xdr:nvSpPr>
        <xdr:cNvPr id="37" name="OptionButton7" hidden="1">
          <a:extLst>
            <a:ext uri="{63B3BB69-23CF-44E3-9099-C40C66FF867C}">
              <a14:compatExt xmlns:a14="http://schemas.microsoft.com/office/drawing/2010/main" spid="_x0000_s19536"/>
            </a:ext>
          </a:extLst>
        </xdr:cNvPr>
        <xdr:cNvSpPr/>
      </xdr:nvSpPr>
      <xdr:spPr>
        <a:xfrm>
          <a:off x="7030747" y="3002850"/>
          <a:ext cx="1698285" cy="498763"/>
        </a:xfrm>
        <a:prstGeom prst="rect">
          <a:avLst/>
        </a:prstGeom>
      </xdr:spPr>
    </xdr:sp>
    <xdr:clientData/>
  </xdr:oneCellAnchor>
  <xdr:twoCellAnchor>
    <xdr:from>
      <xdr:col>11</xdr:col>
      <xdr:colOff>73382</xdr:colOff>
      <xdr:row>10</xdr:row>
      <xdr:rowOff>114424</xdr:rowOff>
    </xdr:from>
    <xdr:to>
      <xdr:col>12</xdr:col>
      <xdr:colOff>0</xdr:colOff>
      <xdr:row>12</xdr:row>
      <xdr:rowOff>174296</xdr:rowOff>
    </xdr:to>
    <xdr:sp macro="" textlink="">
      <xdr:nvSpPr>
        <xdr:cNvPr id="38" name="OptionButton4" hidden="1">
          <a:extLst>
            <a:ext uri="{63B3BB69-23CF-44E3-9099-C40C66FF867C}">
              <a14:compatExt xmlns:a14="http://schemas.microsoft.com/office/drawing/2010/main" spid="_x0000_s19535"/>
            </a:ext>
          </a:extLst>
        </xdr:cNvPr>
        <xdr:cNvSpPr/>
      </xdr:nvSpPr>
      <xdr:spPr>
        <a:xfrm>
          <a:off x="7381655" y="2989242"/>
          <a:ext cx="1104254" cy="596736"/>
        </a:xfrm>
        <a:prstGeom prst="rect">
          <a:avLst/>
        </a:prstGeom>
      </xdr:spPr>
    </xdr:sp>
    <xdr:clientData/>
  </xdr:twoCellAnchor>
  <xdr:twoCellAnchor>
    <xdr:from>
      <xdr:col>11</xdr:col>
      <xdr:colOff>73382</xdr:colOff>
      <xdr:row>10</xdr:row>
      <xdr:rowOff>114424</xdr:rowOff>
    </xdr:from>
    <xdr:to>
      <xdr:col>12</xdr:col>
      <xdr:colOff>0</xdr:colOff>
      <xdr:row>12</xdr:row>
      <xdr:rowOff>174296</xdr:rowOff>
    </xdr:to>
    <xdr:sp macro="" textlink="">
      <xdr:nvSpPr>
        <xdr:cNvPr id="39" name="OptionButton4" hidden="1">
          <a:extLst>
            <a:ext uri="{63B3BB69-23CF-44E3-9099-C40C66FF867C}">
              <a14:compatExt xmlns:a14="http://schemas.microsoft.com/office/drawing/2010/main" spid="_x0000_s19535"/>
            </a:ext>
          </a:extLst>
        </xdr:cNvPr>
        <xdr:cNvSpPr/>
      </xdr:nvSpPr>
      <xdr:spPr>
        <a:xfrm>
          <a:off x="7381655" y="2989242"/>
          <a:ext cx="1104254" cy="596736"/>
        </a:xfrm>
        <a:prstGeom prst="rect">
          <a:avLst/>
        </a:prstGeom>
      </xdr:spPr>
    </xdr:sp>
    <xdr:clientData/>
  </xdr:twoCellAnchor>
  <xdr:twoCellAnchor>
    <xdr:from>
      <xdr:col>10</xdr:col>
      <xdr:colOff>73382</xdr:colOff>
      <xdr:row>12</xdr:row>
      <xdr:rowOff>114424</xdr:rowOff>
    </xdr:from>
    <xdr:to>
      <xdr:col>12</xdr:col>
      <xdr:colOff>243084</xdr:colOff>
      <xdr:row>14</xdr:row>
      <xdr:rowOff>174296</xdr:rowOff>
    </xdr:to>
    <xdr:sp macro="" textlink="">
      <xdr:nvSpPr>
        <xdr:cNvPr id="40" name="OptionButton4" hidden="1">
          <a:extLst>
            <a:ext uri="{63B3BB69-23CF-44E3-9099-C40C66FF867C}">
              <a14:compatExt xmlns:a14="http://schemas.microsoft.com/office/drawing/2010/main" spid="_x0000_s19535"/>
            </a:ext>
          </a:extLst>
        </xdr:cNvPr>
        <xdr:cNvSpPr/>
      </xdr:nvSpPr>
      <xdr:spPr>
        <a:xfrm>
          <a:off x="6446473" y="2989242"/>
          <a:ext cx="2282520" cy="596736"/>
        </a:xfrm>
        <a:prstGeom prst="rect">
          <a:avLst/>
        </a:prstGeom>
      </xdr:spPr>
    </xdr:sp>
    <xdr:clientData/>
  </xdr:twoCellAnchor>
  <xdr:oneCellAnchor>
    <xdr:from>
      <xdr:col>10</xdr:col>
      <xdr:colOff>657656</xdr:colOff>
      <xdr:row>12</xdr:row>
      <xdr:rowOff>128032</xdr:rowOff>
    </xdr:from>
    <xdr:ext cx="1698285" cy="498763"/>
    <xdr:sp macro="" textlink="">
      <xdr:nvSpPr>
        <xdr:cNvPr id="41" name="OptionButton7" hidden="1">
          <a:extLst>
            <a:ext uri="{63B3BB69-23CF-44E3-9099-C40C66FF867C}">
              <a14:compatExt xmlns:a14="http://schemas.microsoft.com/office/drawing/2010/main" spid="_x0000_s19536"/>
            </a:ext>
          </a:extLst>
        </xdr:cNvPr>
        <xdr:cNvSpPr/>
      </xdr:nvSpPr>
      <xdr:spPr>
        <a:xfrm>
          <a:off x="7030747" y="3002850"/>
          <a:ext cx="1698285" cy="498763"/>
        </a:xfrm>
        <a:prstGeom prst="rect">
          <a:avLst/>
        </a:prstGeom>
      </xdr:spPr>
    </xdr:sp>
    <xdr:clientData/>
  </xdr:oneCellAnchor>
  <xdr:twoCellAnchor>
    <xdr:from>
      <xdr:col>11</xdr:col>
      <xdr:colOff>73382</xdr:colOff>
      <xdr:row>12</xdr:row>
      <xdr:rowOff>114424</xdr:rowOff>
    </xdr:from>
    <xdr:to>
      <xdr:col>12</xdr:col>
      <xdr:colOff>0</xdr:colOff>
      <xdr:row>14</xdr:row>
      <xdr:rowOff>174296</xdr:rowOff>
    </xdr:to>
    <xdr:sp macro="" textlink="">
      <xdr:nvSpPr>
        <xdr:cNvPr id="44" name="OptionButton4" hidden="1">
          <a:extLst>
            <a:ext uri="{63B3BB69-23CF-44E3-9099-C40C66FF867C}">
              <a14:compatExt xmlns:a14="http://schemas.microsoft.com/office/drawing/2010/main" spid="_x0000_s19535"/>
            </a:ext>
          </a:extLst>
        </xdr:cNvPr>
        <xdr:cNvSpPr/>
      </xdr:nvSpPr>
      <xdr:spPr>
        <a:xfrm>
          <a:off x="7381655" y="2989242"/>
          <a:ext cx="1104254" cy="596736"/>
        </a:xfrm>
        <a:prstGeom prst="rect">
          <a:avLst/>
        </a:prstGeom>
      </xdr:spPr>
    </xdr:sp>
    <xdr:clientData/>
  </xdr:twoCellAnchor>
  <xdr:twoCellAnchor>
    <xdr:from>
      <xdr:col>11</xdr:col>
      <xdr:colOff>73382</xdr:colOff>
      <xdr:row>12</xdr:row>
      <xdr:rowOff>114424</xdr:rowOff>
    </xdr:from>
    <xdr:to>
      <xdr:col>12</xdr:col>
      <xdr:colOff>0</xdr:colOff>
      <xdr:row>14</xdr:row>
      <xdr:rowOff>174296</xdr:rowOff>
    </xdr:to>
    <xdr:sp macro="" textlink="">
      <xdr:nvSpPr>
        <xdr:cNvPr id="45" name="OptionButton4" hidden="1">
          <a:extLst>
            <a:ext uri="{63B3BB69-23CF-44E3-9099-C40C66FF867C}">
              <a14:compatExt xmlns:a14="http://schemas.microsoft.com/office/drawing/2010/main" spid="_x0000_s19535"/>
            </a:ext>
          </a:extLst>
        </xdr:cNvPr>
        <xdr:cNvSpPr/>
      </xdr:nvSpPr>
      <xdr:spPr>
        <a:xfrm>
          <a:off x="7381655" y="2989242"/>
          <a:ext cx="1104254" cy="596736"/>
        </a:xfrm>
        <a:prstGeom prst="rect">
          <a:avLst/>
        </a:prstGeom>
      </xdr:spPr>
    </xdr:sp>
    <xdr:clientData/>
  </xdr:twoCellAnchor>
  <xdr:twoCellAnchor>
    <xdr:from>
      <xdr:col>7</xdr:col>
      <xdr:colOff>73382</xdr:colOff>
      <xdr:row>10</xdr:row>
      <xdr:rowOff>114424</xdr:rowOff>
    </xdr:from>
    <xdr:to>
      <xdr:col>8</xdr:col>
      <xdr:colOff>0</xdr:colOff>
      <xdr:row>12</xdr:row>
      <xdr:rowOff>174296</xdr:rowOff>
    </xdr:to>
    <xdr:sp macro="" textlink="">
      <xdr:nvSpPr>
        <xdr:cNvPr id="56" name="OptionButton4" hidden="1">
          <a:extLst>
            <a:ext uri="{63B3BB69-23CF-44E3-9099-C40C66FF867C}">
              <a14:compatExt xmlns:a14="http://schemas.microsoft.com/office/drawing/2010/main" spid="_x0000_s19535"/>
            </a:ext>
          </a:extLst>
        </xdr:cNvPr>
        <xdr:cNvSpPr/>
      </xdr:nvSpPr>
      <xdr:spPr>
        <a:xfrm>
          <a:off x="8567441" y="2949512"/>
          <a:ext cx="1204088" cy="586549"/>
        </a:xfrm>
        <a:prstGeom prst="rect">
          <a:avLst/>
        </a:prstGeom>
      </xdr:spPr>
    </xdr:sp>
    <xdr:clientData/>
  </xdr:twoCellAnchor>
  <xdr:oneCellAnchor>
    <xdr:from>
      <xdr:col>5</xdr:col>
      <xdr:colOff>657656</xdr:colOff>
      <xdr:row>64</xdr:row>
      <xdr:rowOff>0</xdr:rowOff>
    </xdr:from>
    <xdr:ext cx="1348390" cy="465571"/>
    <xdr:sp macro="" textlink="">
      <xdr:nvSpPr>
        <xdr:cNvPr id="57" name="OptionButton7" hidden="1">
          <a:extLst>
            <a:ext uri="{63B3BB69-23CF-44E3-9099-C40C66FF867C}">
              <a14:compatExt xmlns:a14="http://schemas.microsoft.com/office/drawing/2010/main" spid="_x0000_s19536"/>
            </a:ext>
          </a:extLst>
        </xdr:cNvPr>
        <xdr:cNvSpPr/>
      </xdr:nvSpPr>
      <xdr:spPr>
        <a:xfrm>
          <a:off x="3458006" y="3886200"/>
          <a:ext cx="1348390" cy="465571"/>
        </a:xfrm>
        <a:prstGeom prst="rect">
          <a:avLst/>
        </a:prstGeom>
      </xdr:spPr>
    </xdr:sp>
    <xdr:clientData/>
  </xdr:oneCellAnchor>
  <xdr:oneCellAnchor>
    <xdr:from>
      <xdr:col>2</xdr:col>
      <xdr:colOff>657656</xdr:colOff>
      <xdr:row>64</xdr:row>
      <xdr:rowOff>0</xdr:rowOff>
    </xdr:from>
    <xdr:ext cx="1698285" cy="498763"/>
    <xdr:sp macro="" textlink="">
      <xdr:nvSpPr>
        <xdr:cNvPr id="59" name="OptionButton7" hidden="1">
          <a:extLst>
            <a:ext uri="{63B3BB69-23CF-44E3-9099-C40C66FF867C}">
              <a14:compatExt xmlns:a14="http://schemas.microsoft.com/office/drawing/2010/main" spid="_x0000_s19536"/>
            </a:ext>
          </a:extLst>
        </xdr:cNvPr>
        <xdr:cNvSpPr/>
      </xdr:nvSpPr>
      <xdr:spPr>
        <a:xfrm>
          <a:off x="2143556" y="3852307"/>
          <a:ext cx="1698285" cy="498763"/>
        </a:xfrm>
        <a:prstGeom prst="rect">
          <a:avLst/>
        </a:prstGeom>
      </xdr:spPr>
    </xdr:sp>
    <xdr:clientData/>
  </xdr:oneCellAnchor>
  <xdr:oneCellAnchor>
    <xdr:from>
      <xdr:col>12</xdr:col>
      <xdr:colOff>657656</xdr:colOff>
      <xdr:row>64</xdr:row>
      <xdr:rowOff>0</xdr:rowOff>
    </xdr:from>
    <xdr:ext cx="1348390" cy="467228"/>
    <xdr:sp macro="" textlink="">
      <xdr:nvSpPr>
        <xdr:cNvPr id="65" name="OptionButton7" hidden="1">
          <a:extLst>
            <a:ext uri="{63B3BB69-23CF-44E3-9099-C40C66FF867C}">
              <a14:compatExt xmlns:a14="http://schemas.microsoft.com/office/drawing/2010/main" spid="_x0000_s19536"/>
            </a:ext>
          </a:extLst>
        </xdr:cNvPr>
        <xdr:cNvSpPr/>
      </xdr:nvSpPr>
      <xdr:spPr>
        <a:xfrm>
          <a:off x="8058581" y="4014232"/>
          <a:ext cx="1348390" cy="467228"/>
        </a:xfrm>
        <a:prstGeom prst="rect">
          <a:avLst/>
        </a:prstGeom>
      </xdr:spPr>
    </xdr:sp>
    <xdr:clientData/>
  </xdr:oneCellAnchor>
  <xdr:oneCellAnchor>
    <xdr:from>
      <xdr:col>13</xdr:col>
      <xdr:colOff>657656</xdr:colOff>
      <xdr:row>64</xdr:row>
      <xdr:rowOff>0</xdr:rowOff>
    </xdr:from>
    <xdr:ext cx="1698285" cy="498763"/>
    <xdr:sp macro="" textlink="">
      <xdr:nvSpPr>
        <xdr:cNvPr id="67" name="OptionButton7" hidden="1">
          <a:extLst>
            <a:ext uri="{63B3BB69-23CF-44E3-9099-C40C66FF867C}">
              <a14:compatExt xmlns:a14="http://schemas.microsoft.com/office/drawing/2010/main" spid="_x0000_s19536"/>
            </a:ext>
          </a:extLst>
        </xdr:cNvPr>
        <xdr:cNvSpPr/>
      </xdr:nvSpPr>
      <xdr:spPr>
        <a:xfrm>
          <a:off x="8715806" y="3852307"/>
          <a:ext cx="1698285" cy="498763"/>
        </a:xfrm>
        <a:prstGeom prst="rect">
          <a:avLst/>
        </a:prstGeom>
      </xdr:spPr>
    </xdr:sp>
    <xdr:clientData/>
  </xdr:oneCellAnchor>
  <xdr:oneCellAnchor>
    <xdr:from>
      <xdr:col>8</xdr:col>
      <xdr:colOff>657656</xdr:colOff>
      <xdr:row>64</xdr:row>
      <xdr:rowOff>0</xdr:rowOff>
    </xdr:from>
    <xdr:ext cx="1342592" cy="463086"/>
    <xdr:sp macro="" textlink="">
      <xdr:nvSpPr>
        <xdr:cNvPr id="73" name="OptionButton7" hidden="1">
          <a:extLst>
            <a:ext uri="{63B3BB69-23CF-44E3-9099-C40C66FF867C}">
              <a14:compatExt xmlns:a14="http://schemas.microsoft.com/office/drawing/2010/main" spid="_x0000_s19536"/>
            </a:ext>
          </a:extLst>
        </xdr:cNvPr>
        <xdr:cNvSpPr/>
      </xdr:nvSpPr>
      <xdr:spPr>
        <a:xfrm>
          <a:off x="5429681" y="3886200"/>
          <a:ext cx="1342592" cy="463086"/>
        </a:xfrm>
        <a:prstGeom prst="rect">
          <a:avLst/>
        </a:prstGeom>
      </xdr:spPr>
    </xdr:sp>
    <xdr:clientData/>
  </xdr:oneCellAnchor>
  <xdr:oneCellAnchor>
    <xdr:from>
      <xdr:col>11</xdr:col>
      <xdr:colOff>657656</xdr:colOff>
      <xdr:row>64</xdr:row>
      <xdr:rowOff>0</xdr:rowOff>
    </xdr:from>
    <xdr:ext cx="1342592" cy="463086"/>
    <xdr:sp macro="" textlink="">
      <xdr:nvSpPr>
        <xdr:cNvPr id="77" name="OptionButton7" hidden="1">
          <a:extLst>
            <a:ext uri="{63B3BB69-23CF-44E3-9099-C40C66FF867C}">
              <a14:compatExt xmlns:a14="http://schemas.microsoft.com/office/drawing/2010/main" spid="_x0000_s19536"/>
            </a:ext>
          </a:extLst>
        </xdr:cNvPr>
        <xdr:cNvSpPr/>
      </xdr:nvSpPr>
      <xdr:spPr>
        <a:xfrm>
          <a:off x="7401356" y="3886200"/>
          <a:ext cx="1342592" cy="463086"/>
        </a:xfrm>
        <a:prstGeom prst="rect">
          <a:avLst/>
        </a:prstGeom>
      </xdr:spPr>
    </xdr:sp>
    <xdr:clientData/>
  </xdr:oneCellAnchor>
  <xdr:twoCellAnchor>
    <xdr:from>
      <xdr:col>13</xdr:col>
      <xdr:colOff>73382</xdr:colOff>
      <xdr:row>59</xdr:row>
      <xdr:rowOff>114424</xdr:rowOff>
    </xdr:from>
    <xdr:to>
      <xdr:col>15</xdr:col>
      <xdr:colOff>243084</xdr:colOff>
      <xdr:row>64</xdr:row>
      <xdr:rowOff>0</xdr:rowOff>
    </xdr:to>
    <xdr:sp macro="" textlink="">
      <xdr:nvSpPr>
        <xdr:cNvPr id="78" name="OptionButton4" hidden="1">
          <a:extLst>
            <a:ext uri="{63B3BB69-23CF-44E3-9099-C40C66FF867C}">
              <a14:compatExt xmlns:a14="http://schemas.microsoft.com/office/drawing/2010/main" spid="_x0000_s19535"/>
            </a:ext>
          </a:extLst>
        </xdr:cNvPr>
        <xdr:cNvSpPr/>
      </xdr:nvSpPr>
      <xdr:spPr>
        <a:xfrm>
          <a:off x="8131532" y="3514849"/>
          <a:ext cx="1484152" cy="374197"/>
        </a:xfrm>
        <a:prstGeom prst="rect">
          <a:avLst/>
        </a:prstGeom>
      </xdr:spPr>
    </xdr:sp>
    <xdr:clientData/>
  </xdr:twoCellAnchor>
  <xdr:twoCellAnchor>
    <xdr:from>
      <xdr:col>14</xdr:col>
      <xdr:colOff>73382</xdr:colOff>
      <xdr:row>59</xdr:row>
      <xdr:rowOff>114424</xdr:rowOff>
    </xdr:from>
    <xdr:to>
      <xdr:col>15</xdr:col>
      <xdr:colOff>0</xdr:colOff>
      <xdr:row>64</xdr:row>
      <xdr:rowOff>0</xdr:rowOff>
    </xdr:to>
    <xdr:sp macro="" textlink="">
      <xdr:nvSpPr>
        <xdr:cNvPr id="79" name="OptionButton4" hidden="1">
          <a:extLst>
            <a:ext uri="{63B3BB69-23CF-44E3-9099-C40C66FF867C}">
              <a14:compatExt xmlns:a14="http://schemas.microsoft.com/office/drawing/2010/main" spid="_x0000_s19535"/>
            </a:ext>
          </a:extLst>
        </xdr:cNvPr>
        <xdr:cNvSpPr/>
      </xdr:nvSpPr>
      <xdr:spPr>
        <a:xfrm>
          <a:off x="8788757" y="3514849"/>
          <a:ext cx="583843" cy="374197"/>
        </a:xfrm>
        <a:prstGeom prst="rect">
          <a:avLst/>
        </a:prstGeom>
      </xdr:spPr>
    </xdr:sp>
    <xdr:clientData/>
  </xdr:twoCellAnchor>
  <xdr:twoCellAnchor>
    <xdr:from>
      <xdr:col>14</xdr:col>
      <xdr:colOff>73382</xdr:colOff>
      <xdr:row>59</xdr:row>
      <xdr:rowOff>114424</xdr:rowOff>
    </xdr:from>
    <xdr:to>
      <xdr:col>15</xdr:col>
      <xdr:colOff>0</xdr:colOff>
      <xdr:row>64</xdr:row>
      <xdr:rowOff>0</xdr:rowOff>
    </xdr:to>
    <xdr:sp macro="" textlink="">
      <xdr:nvSpPr>
        <xdr:cNvPr id="80" name="OptionButton4" hidden="1">
          <a:extLst>
            <a:ext uri="{63B3BB69-23CF-44E3-9099-C40C66FF867C}">
              <a14:compatExt xmlns:a14="http://schemas.microsoft.com/office/drawing/2010/main" spid="_x0000_s19535"/>
            </a:ext>
          </a:extLst>
        </xdr:cNvPr>
        <xdr:cNvSpPr/>
      </xdr:nvSpPr>
      <xdr:spPr>
        <a:xfrm>
          <a:off x="8788757" y="3514849"/>
          <a:ext cx="583843" cy="374197"/>
        </a:xfrm>
        <a:prstGeom prst="rect">
          <a:avLst/>
        </a:prstGeom>
      </xdr:spPr>
    </xdr:sp>
    <xdr:clientData/>
  </xdr:twoCellAnchor>
  <xdr:oneCellAnchor>
    <xdr:from>
      <xdr:col>6</xdr:col>
      <xdr:colOff>657656</xdr:colOff>
      <xdr:row>64</xdr:row>
      <xdr:rowOff>0</xdr:rowOff>
    </xdr:from>
    <xdr:ext cx="1348390" cy="465571"/>
    <xdr:sp macro="" textlink="">
      <xdr:nvSpPr>
        <xdr:cNvPr id="84" name="OptionButton7" hidden="1">
          <a:extLst>
            <a:ext uri="{63B3BB69-23CF-44E3-9099-C40C66FF867C}">
              <a14:compatExt xmlns:a14="http://schemas.microsoft.com/office/drawing/2010/main" spid="_x0000_s19536"/>
            </a:ext>
          </a:extLst>
        </xdr:cNvPr>
        <xdr:cNvSpPr/>
      </xdr:nvSpPr>
      <xdr:spPr>
        <a:xfrm>
          <a:off x="4772456" y="4457700"/>
          <a:ext cx="1348390" cy="465571"/>
        </a:xfrm>
        <a:prstGeom prst="rect">
          <a:avLst/>
        </a:prstGeom>
      </xdr:spPr>
    </xdr:sp>
    <xdr:clientData/>
  </xdr:oneCellAnchor>
  <xdr:twoCellAnchor>
    <xdr:from>
      <xdr:col>3</xdr:col>
      <xdr:colOff>73382</xdr:colOff>
      <xdr:row>64</xdr:row>
      <xdr:rowOff>114424</xdr:rowOff>
    </xdr:from>
    <xdr:to>
      <xdr:col>5</xdr:col>
      <xdr:colOff>243084</xdr:colOff>
      <xdr:row>66</xdr:row>
      <xdr:rowOff>0</xdr:rowOff>
    </xdr:to>
    <xdr:sp macro="" textlink="">
      <xdr:nvSpPr>
        <xdr:cNvPr id="85" name="OptionButton4" hidden="1">
          <a:extLst>
            <a:ext uri="{63B3BB69-23CF-44E3-9099-C40C66FF867C}">
              <a14:compatExt xmlns:a14="http://schemas.microsoft.com/office/drawing/2010/main" spid="_x0000_s19535"/>
            </a:ext>
          </a:extLst>
        </xdr:cNvPr>
        <xdr:cNvSpPr/>
      </xdr:nvSpPr>
      <xdr:spPr>
        <a:xfrm>
          <a:off x="2216507" y="4572124"/>
          <a:ext cx="1484152" cy="304676"/>
        </a:xfrm>
        <a:prstGeom prst="rect">
          <a:avLst/>
        </a:prstGeom>
      </xdr:spPr>
    </xdr:sp>
    <xdr:clientData/>
  </xdr:twoCellAnchor>
  <xdr:oneCellAnchor>
    <xdr:from>
      <xdr:col>4</xdr:col>
      <xdr:colOff>657656</xdr:colOff>
      <xdr:row>64</xdr:row>
      <xdr:rowOff>128032</xdr:rowOff>
    </xdr:from>
    <xdr:ext cx="1698285" cy="498763"/>
    <xdr:sp macro="" textlink="">
      <xdr:nvSpPr>
        <xdr:cNvPr id="86" name="OptionButton7" hidden="1">
          <a:extLst>
            <a:ext uri="{63B3BB69-23CF-44E3-9099-C40C66FF867C}">
              <a14:compatExt xmlns:a14="http://schemas.microsoft.com/office/drawing/2010/main" spid="_x0000_s19536"/>
            </a:ext>
          </a:extLst>
        </xdr:cNvPr>
        <xdr:cNvSpPr/>
      </xdr:nvSpPr>
      <xdr:spPr>
        <a:xfrm>
          <a:off x="2800781" y="4585732"/>
          <a:ext cx="1698285" cy="498763"/>
        </a:xfrm>
        <a:prstGeom prst="rect">
          <a:avLst/>
        </a:prstGeom>
      </xdr:spPr>
    </xdr:sp>
    <xdr:clientData/>
  </xdr:oneCellAnchor>
  <xdr:twoCellAnchor>
    <xdr:from>
      <xdr:col>4</xdr:col>
      <xdr:colOff>73382</xdr:colOff>
      <xdr:row>64</xdr:row>
      <xdr:rowOff>114424</xdr:rowOff>
    </xdr:from>
    <xdr:to>
      <xdr:col>5</xdr:col>
      <xdr:colOff>0</xdr:colOff>
      <xdr:row>66</xdr:row>
      <xdr:rowOff>0</xdr:rowOff>
    </xdr:to>
    <xdr:sp macro="" textlink="">
      <xdr:nvSpPr>
        <xdr:cNvPr id="87" name="OptionButton4" hidden="1">
          <a:extLst>
            <a:ext uri="{63B3BB69-23CF-44E3-9099-C40C66FF867C}">
              <a14:compatExt xmlns:a14="http://schemas.microsoft.com/office/drawing/2010/main" spid="_x0000_s19535"/>
            </a:ext>
          </a:extLst>
        </xdr:cNvPr>
        <xdr:cNvSpPr/>
      </xdr:nvSpPr>
      <xdr:spPr>
        <a:xfrm>
          <a:off x="2873732" y="4572124"/>
          <a:ext cx="583843" cy="304676"/>
        </a:xfrm>
        <a:prstGeom prst="rect">
          <a:avLst/>
        </a:prstGeom>
      </xdr:spPr>
    </xdr:sp>
    <xdr:clientData/>
  </xdr:twoCellAnchor>
  <xdr:twoCellAnchor>
    <xdr:from>
      <xdr:col>4</xdr:col>
      <xdr:colOff>73382</xdr:colOff>
      <xdr:row>64</xdr:row>
      <xdr:rowOff>114424</xdr:rowOff>
    </xdr:from>
    <xdr:to>
      <xdr:col>5</xdr:col>
      <xdr:colOff>0</xdr:colOff>
      <xdr:row>66</xdr:row>
      <xdr:rowOff>0</xdr:rowOff>
    </xdr:to>
    <xdr:sp macro="" textlink="">
      <xdr:nvSpPr>
        <xdr:cNvPr id="88" name="OptionButton4" hidden="1">
          <a:extLst>
            <a:ext uri="{63B3BB69-23CF-44E3-9099-C40C66FF867C}">
              <a14:compatExt xmlns:a14="http://schemas.microsoft.com/office/drawing/2010/main" spid="_x0000_s19535"/>
            </a:ext>
          </a:extLst>
        </xdr:cNvPr>
        <xdr:cNvSpPr/>
      </xdr:nvSpPr>
      <xdr:spPr>
        <a:xfrm>
          <a:off x="2873732" y="4572124"/>
          <a:ext cx="583843" cy="304676"/>
        </a:xfrm>
        <a:prstGeom prst="rect">
          <a:avLst/>
        </a:prstGeom>
      </xdr:spPr>
    </xdr:sp>
    <xdr:clientData/>
  </xdr:twoCellAnchor>
  <xdr:twoCellAnchor>
    <xdr:from>
      <xdr:col>6</xdr:col>
      <xdr:colOff>73382</xdr:colOff>
      <xdr:row>64</xdr:row>
      <xdr:rowOff>114424</xdr:rowOff>
    </xdr:from>
    <xdr:to>
      <xdr:col>8</xdr:col>
      <xdr:colOff>243084</xdr:colOff>
      <xdr:row>66</xdr:row>
      <xdr:rowOff>0</xdr:rowOff>
    </xdr:to>
    <xdr:sp macro="" textlink="">
      <xdr:nvSpPr>
        <xdr:cNvPr id="89" name="OptionButton4" hidden="1">
          <a:extLst>
            <a:ext uri="{63B3BB69-23CF-44E3-9099-C40C66FF867C}">
              <a14:compatExt xmlns:a14="http://schemas.microsoft.com/office/drawing/2010/main" spid="_x0000_s19535"/>
            </a:ext>
          </a:extLst>
        </xdr:cNvPr>
        <xdr:cNvSpPr/>
      </xdr:nvSpPr>
      <xdr:spPr>
        <a:xfrm>
          <a:off x="4188182" y="4572124"/>
          <a:ext cx="1484152" cy="304676"/>
        </a:xfrm>
        <a:prstGeom prst="rect">
          <a:avLst/>
        </a:prstGeom>
      </xdr:spPr>
    </xdr:sp>
    <xdr:clientData/>
  </xdr:twoCellAnchor>
  <xdr:twoCellAnchor>
    <xdr:from>
      <xdr:col>7</xdr:col>
      <xdr:colOff>73382</xdr:colOff>
      <xdr:row>64</xdr:row>
      <xdr:rowOff>114424</xdr:rowOff>
    </xdr:from>
    <xdr:to>
      <xdr:col>8</xdr:col>
      <xdr:colOff>0</xdr:colOff>
      <xdr:row>66</xdr:row>
      <xdr:rowOff>0</xdr:rowOff>
    </xdr:to>
    <xdr:sp macro="" textlink="">
      <xdr:nvSpPr>
        <xdr:cNvPr id="90" name="OptionButton4" hidden="1">
          <a:extLst>
            <a:ext uri="{63B3BB69-23CF-44E3-9099-C40C66FF867C}">
              <a14:compatExt xmlns:a14="http://schemas.microsoft.com/office/drawing/2010/main" spid="_x0000_s19535"/>
            </a:ext>
          </a:extLst>
        </xdr:cNvPr>
        <xdr:cNvSpPr/>
      </xdr:nvSpPr>
      <xdr:spPr>
        <a:xfrm>
          <a:off x="4845407" y="4572124"/>
          <a:ext cx="583843" cy="304676"/>
        </a:xfrm>
        <a:prstGeom prst="rect">
          <a:avLst/>
        </a:prstGeom>
      </xdr:spPr>
    </xdr:sp>
    <xdr:clientData/>
  </xdr:twoCellAnchor>
  <xdr:twoCellAnchor>
    <xdr:from>
      <xdr:col>7</xdr:col>
      <xdr:colOff>73382</xdr:colOff>
      <xdr:row>64</xdr:row>
      <xdr:rowOff>114424</xdr:rowOff>
    </xdr:from>
    <xdr:to>
      <xdr:col>8</xdr:col>
      <xdr:colOff>0</xdr:colOff>
      <xdr:row>66</xdr:row>
      <xdr:rowOff>0</xdr:rowOff>
    </xdr:to>
    <xdr:sp macro="" textlink="">
      <xdr:nvSpPr>
        <xdr:cNvPr id="91" name="OptionButton4" hidden="1">
          <a:extLst>
            <a:ext uri="{63B3BB69-23CF-44E3-9099-C40C66FF867C}">
              <a14:compatExt xmlns:a14="http://schemas.microsoft.com/office/drawing/2010/main" spid="_x0000_s19535"/>
            </a:ext>
          </a:extLst>
        </xdr:cNvPr>
        <xdr:cNvSpPr/>
      </xdr:nvSpPr>
      <xdr:spPr>
        <a:xfrm>
          <a:off x="4845407" y="4572124"/>
          <a:ext cx="583843" cy="304676"/>
        </a:xfrm>
        <a:prstGeom prst="rect">
          <a:avLst/>
        </a:prstGeom>
      </xdr:spPr>
    </xdr:sp>
    <xdr:clientData/>
  </xdr:twoCellAnchor>
  <xdr:oneCellAnchor>
    <xdr:from>
      <xdr:col>12</xdr:col>
      <xdr:colOff>657656</xdr:colOff>
      <xdr:row>65</xdr:row>
      <xdr:rowOff>128032</xdr:rowOff>
    </xdr:from>
    <xdr:ext cx="1348390" cy="467228"/>
    <xdr:sp macro="" textlink="">
      <xdr:nvSpPr>
        <xdr:cNvPr id="92" name="OptionButton7" hidden="1">
          <a:extLst>
            <a:ext uri="{63B3BB69-23CF-44E3-9099-C40C66FF867C}">
              <a14:compatExt xmlns:a14="http://schemas.microsoft.com/office/drawing/2010/main" spid="_x0000_s19536"/>
            </a:ext>
          </a:extLst>
        </xdr:cNvPr>
        <xdr:cNvSpPr/>
      </xdr:nvSpPr>
      <xdr:spPr>
        <a:xfrm>
          <a:off x="8058581" y="4795282"/>
          <a:ext cx="1348390" cy="467228"/>
        </a:xfrm>
        <a:prstGeom prst="rect">
          <a:avLst/>
        </a:prstGeom>
      </xdr:spPr>
    </xdr:sp>
    <xdr:clientData/>
  </xdr:oneCellAnchor>
  <xdr:twoCellAnchor>
    <xdr:from>
      <xdr:col>12</xdr:col>
      <xdr:colOff>73382</xdr:colOff>
      <xdr:row>64</xdr:row>
      <xdr:rowOff>114424</xdr:rowOff>
    </xdr:from>
    <xdr:to>
      <xdr:col>14</xdr:col>
      <xdr:colOff>243084</xdr:colOff>
      <xdr:row>66</xdr:row>
      <xdr:rowOff>0</xdr:rowOff>
    </xdr:to>
    <xdr:sp macro="" textlink="">
      <xdr:nvSpPr>
        <xdr:cNvPr id="93" name="OptionButton4" hidden="1">
          <a:extLst>
            <a:ext uri="{63B3BB69-23CF-44E3-9099-C40C66FF867C}">
              <a14:compatExt xmlns:a14="http://schemas.microsoft.com/office/drawing/2010/main" spid="_x0000_s19535"/>
            </a:ext>
          </a:extLst>
        </xdr:cNvPr>
        <xdr:cNvSpPr/>
      </xdr:nvSpPr>
      <xdr:spPr>
        <a:xfrm>
          <a:off x="7474307" y="4572124"/>
          <a:ext cx="1484152" cy="304676"/>
        </a:xfrm>
        <a:prstGeom prst="rect">
          <a:avLst/>
        </a:prstGeom>
      </xdr:spPr>
    </xdr:sp>
    <xdr:clientData/>
  </xdr:twoCellAnchor>
  <xdr:oneCellAnchor>
    <xdr:from>
      <xdr:col>13</xdr:col>
      <xdr:colOff>657656</xdr:colOff>
      <xdr:row>64</xdr:row>
      <xdr:rowOff>128032</xdr:rowOff>
    </xdr:from>
    <xdr:ext cx="1698285" cy="498763"/>
    <xdr:sp macro="" textlink="">
      <xdr:nvSpPr>
        <xdr:cNvPr id="94" name="OptionButton7" hidden="1">
          <a:extLst>
            <a:ext uri="{63B3BB69-23CF-44E3-9099-C40C66FF867C}">
              <a14:compatExt xmlns:a14="http://schemas.microsoft.com/office/drawing/2010/main" spid="_x0000_s19536"/>
            </a:ext>
          </a:extLst>
        </xdr:cNvPr>
        <xdr:cNvSpPr/>
      </xdr:nvSpPr>
      <xdr:spPr>
        <a:xfrm>
          <a:off x="8715806" y="4585732"/>
          <a:ext cx="1698285" cy="498763"/>
        </a:xfrm>
        <a:prstGeom prst="rect">
          <a:avLst/>
        </a:prstGeom>
      </xdr:spPr>
    </xdr:sp>
    <xdr:clientData/>
  </xdr:oneCellAnchor>
  <xdr:twoCellAnchor>
    <xdr:from>
      <xdr:col>13</xdr:col>
      <xdr:colOff>73382</xdr:colOff>
      <xdr:row>64</xdr:row>
      <xdr:rowOff>114424</xdr:rowOff>
    </xdr:from>
    <xdr:to>
      <xdr:col>14</xdr:col>
      <xdr:colOff>0</xdr:colOff>
      <xdr:row>66</xdr:row>
      <xdr:rowOff>0</xdr:rowOff>
    </xdr:to>
    <xdr:sp macro="" textlink="">
      <xdr:nvSpPr>
        <xdr:cNvPr id="95" name="OptionButton4" hidden="1">
          <a:extLst>
            <a:ext uri="{63B3BB69-23CF-44E3-9099-C40C66FF867C}">
              <a14:compatExt xmlns:a14="http://schemas.microsoft.com/office/drawing/2010/main" spid="_x0000_s19535"/>
            </a:ext>
          </a:extLst>
        </xdr:cNvPr>
        <xdr:cNvSpPr/>
      </xdr:nvSpPr>
      <xdr:spPr>
        <a:xfrm>
          <a:off x="8131532" y="4572124"/>
          <a:ext cx="583843" cy="304676"/>
        </a:xfrm>
        <a:prstGeom prst="rect">
          <a:avLst/>
        </a:prstGeom>
      </xdr:spPr>
    </xdr:sp>
    <xdr:clientData/>
  </xdr:twoCellAnchor>
  <xdr:twoCellAnchor>
    <xdr:from>
      <xdr:col>13</xdr:col>
      <xdr:colOff>73382</xdr:colOff>
      <xdr:row>64</xdr:row>
      <xdr:rowOff>114424</xdr:rowOff>
    </xdr:from>
    <xdr:to>
      <xdr:col>14</xdr:col>
      <xdr:colOff>0</xdr:colOff>
      <xdr:row>66</xdr:row>
      <xdr:rowOff>0</xdr:rowOff>
    </xdr:to>
    <xdr:sp macro="" textlink="">
      <xdr:nvSpPr>
        <xdr:cNvPr id="96" name="OptionButton4" hidden="1">
          <a:extLst>
            <a:ext uri="{63B3BB69-23CF-44E3-9099-C40C66FF867C}">
              <a14:compatExt xmlns:a14="http://schemas.microsoft.com/office/drawing/2010/main" spid="_x0000_s19535"/>
            </a:ext>
          </a:extLst>
        </xdr:cNvPr>
        <xdr:cNvSpPr/>
      </xdr:nvSpPr>
      <xdr:spPr>
        <a:xfrm>
          <a:off x="8131532" y="4572124"/>
          <a:ext cx="583843" cy="304676"/>
        </a:xfrm>
        <a:prstGeom prst="rect">
          <a:avLst/>
        </a:prstGeom>
      </xdr:spPr>
    </xdr:sp>
    <xdr:clientData/>
  </xdr:twoCellAnchor>
  <xdr:twoCellAnchor>
    <xdr:from>
      <xdr:col>13</xdr:col>
      <xdr:colOff>73382</xdr:colOff>
      <xdr:row>66</xdr:row>
      <xdr:rowOff>0</xdr:rowOff>
    </xdr:from>
    <xdr:to>
      <xdr:col>15</xdr:col>
      <xdr:colOff>243084</xdr:colOff>
      <xdr:row>83</xdr:row>
      <xdr:rowOff>0</xdr:rowOff>
    </xdr:to>
    <xdr:sp macro="" textlink="">
      <xdr:nvSpPr>
        <xdr:cNvPr id="97" name="OptionButton4" hidden="1">
          <a:extLst>
            <a:ext uri="{63B3BB69-23CF-44E3-9099-C40C66FF867C}">
              <a14:compatExt xmlns:a14="http://schemas.microsoft.com/office/drawing/2010/main" spid="_x0000_s19535"/>
            </a:ext>
          </a:extLst>
        </xdr:cNvPr>
        <xdr:cNvSpPr/>
      </xdr:nvSpPr>
      <xdr:spPr>
        <a:xfrm>
          <a:off x="8131532" y="4876800"/>
          <a:ext cx="1484152" cy="3629025"/>
        </a:xfrm>
        <a:prstGeom prst="rect">
          <a:avLst/>
        </a:prstGeom>
      </xdr:spPr>
    </xdr:sp>
    <xdr:clientData/>
  </xdr:twoCellAnchor>
  <xdr:twoCellAnchor>
    <xdr:from>
      <xdr:col>14</xdr:col>
      <xdr:colOff>73382</xdr:colOff>
      <xdr:row>66</xdr:row>
      <xdr:rowOff>0</xdr:rowOff>
    </xdr:from>
    <xdr:to>
      <xdr:col>15</xdr:col>
      <xdr:colOff>0</xdr:colOff>
      <xdr:row>83</xdr:row>
      <xdr:rowOff>0</xdr:rowOff>
    </xdr:to>
    <xdr:sp macro="" textlink="">
      <xdr:nvSpPr>
        <xdr:cNvPr id="98" name="OptionButton4" hidden="1">
          <a:extLst>
            <a:ext uri="{63B3BB69-23CF-44E3-9099-C40C66FF867C}">
              <a14:compatExt xmlns:a14="http://schemas.microsoft.com/office/drawing/2010/main" spid="_x0000_s19535"/>
            </a:ext>
          </a:extLst>
        </xdr:cNvPr>
        <xdr:cNvSpPr/>
      </xdr:nvSpPr>
      <xdr:spPr>
        <a:xfrm>
          <a:off x="8788757" y="4876800"/>
          <a:ext cx="583843" cy="3629025"/>
        </a:xfrm>
        <a:prstGeom prst="rect">
          <a:avLst/>
        </a:prstGeom>
      </xdr:spPr>
    </xdr:sp>
    <xdr:clientData/>
  </xdr:twoCellAnchor>
  <xdr:twoCellAnchor>
    <xdr:from>
      <xdr:col>14</xdr:col>
      <xdr:colOff>73382</xdr:colOff>
      <xdr:row>66</xdr:row>
      <xdr:rowOff>0</xdr:rowOff>
    </xdr:from>
    <xdr:to>
      <xdr:col>15</xdr:col>
      <xdr:colOff>0</xdr:colOff>
      <xdr:row>83</xdr:row>
      <xdr:rowOff>0</xdr:rowOff>
    </xdr:to>
    <xdr:sp macro="" textlink="">
      <xdr:nvSpPr>
        <xdr:cNvPr id="99" name="OptionButton4" hidden="1">
          <a:extLst>
            <a:ext uri="{63B3BB69-23CF-44E3-9099-C40C66FF867C}">
              <a14:compatExt xmlns:a14="http://schemas.microsoft.com/office/drawing/2010/main" spid="_x0000_s19535"/>
            </a:ext>
          </a:extLst>
        </xdr:cNvPr>
        <xdr:cNvSpPr/>
      </xdr:nvSpPr>
      <xdr:spPr>
        <a:xfrm>
          <a:off x="8788757" y="4876800"/>
          <a:ext cx="583843" cy="3629025"/>
        </a:xfrm>
        <a:prstGeom prst="rect">
          <a:avLst/>
        </a:prstGeom>
      </xdr:spPr>
    </xdr:sp>
    <xdr:clientData/>
  </xdr:twoCellAnchor>
  <xdr:oneCellAnchor>
    <xdr:from>
      <xdr:col>10</xdr:col>
      <xdr:colOff>657656</xdr:colOff>
      <xdr:row>64</xdr:row>
      <xdr:rowOff>0</xdr:rowOff>
    </xdr:from>
    <xdr:ext cx="1342592" cy="463086"/>
    <xdr:sp macro="" textlink="">
      <xdr:nvSpPr>
        <xdr:cNvPr id="100" name="OptionButton7" hidden="1">
          <a:extLst>
            <a:ext uri="{63B3BB69-23CF-44E3-9099-C40C66FF867C}">
              <a14:compatExt xmlns:a14="http://schemas.microsoft.com/office/drawing/2010/main" spid="_x0000_s19536"/>
            </a:ext>
          </a:extLst>
        </xdr:cNvPr>
        <xdr:cNvSpPr/>
      </xdr:nvSpPr>
      <xdr:spPr>
        <a:xfrm>
          <a:off x="6744131" y="4457700"/>
          <a:ext cx="1342592" cy="463086"/>
        </a:xfrm>
        <a:prstGeom prst="rect">
          <a:avLst/>
        </a:prstGeom>
      </xdr:spPr>
    </xdr:sp>
    <xdr:clientData/>
  </xdr:oneCellAnchor>
  <xdr:twoCellAnchor>
    <xdr:from>
      <xdr:col>7</xdr:col>
      <xdr:colOff>73382</xdr:colOff>
      <xdr:row>66</xdr:row>
      <xdr:rowOff>114424</xdr:rowOff>
    </xdr:from>
    <xdr:to>
      <xdr:col>9</xdr:col>
      <xdr:colOff>243084</xdr:colOff>
      <xdr:row>83</xdr:row>
      <xdr:rowOff>0</xdr:rowOff>
    </xdr:to>
    <xdr:sp macro="" textlink="">
      <xdr:nvSpPr>
        <xdr:cNvPr id="101" name="OptionButton4" hidden="1">
          <a:extLst>
            <a:ext uri="{63B3BB69-23CF-44E3-9099-C40C66FF867C}">
              <a14:compatExt xmlns:a14="http://schemas.microsoft.com/office/drawing/2010/main" spid="_x0000_s19535"/>
            </a:ext>
          </a:extLst>
        </xdr:cNvPr>
        <xdr:cNvSpPr/>
      </xdr:nvSpPr>
      <xdr:spPr>
        <a:xfrm>
          <a:off x="4188182" y="4991224"/>
          <a:ext cx="1484152" cy="3514601"/>
        </a:xfrm>
        <a:prstGeom prst="rect">
          <a:avLst/>
        </a:prstGeom>
      </xdr:spPr>
    </xdr:sp>
    <xdr:clientData/>
  </xdr:twoCellAnchor>
  <xdr:twoCellAnchor>
    <xdr:from>
      <xdr:col>8</xdr:col>
      <xdr:colOff>73382</xdr:colOff>
      <xdr:row>66</xdr:row>
      <xdr:rowOff>114424</xdr:rowOff>
    </xdr:from>
    <xdr:to>
      <xdr:col>9</xdr:col>
      <xdr:colOff>0</xdr:colOff>
      <xdr:row>83</xdr:row>
      <xdr:rowOff>0</xdr:rowOff>
    </xdr:to>
    <xdr:sp macro="" textlink="">
      <xdr:nvSpPr>
        <xdr:cNvPr id="102" name="OptionButton4" hidden="1">
          <a:extLst>
            <a:ext uri="{63B3BB69-23CF-44E3-9099-C40C66FF867C}">
              <a14:compatExt xmlns:a14="http://schemas.microsoft.com/office/drawing/2010/main" spid="_x0000_s19535"/>
            </a:ext>
          </a:extLst>
        </xdr:cNvPr>
        <xdr:cNvSpPr/>
      </xdr:nvSpPr>
      <xdr:spPr>
        <a:xfrm>
          <a:off x="4845407" y="4991224"/>
          <a:ext cx="583843" cy="3514601"/>
        </a:xfrm>
        <a:prstGeom prst="rect">
          <a:avLst/>
        </a:prstGeom>
      </xdr:spPr>
    </xdr:sp>
    <xdr:clientData/>
  </xdr:twoCellAnchor>
  <xdr:twoCellAnchor>
    <xdr:from>
      <xdr:col>8</xdr:col>
      <xdr:colOff>73382</xdr:colOff>
      <xdr:row>66</xdr:row>
      <xdr:rowOff>114424</xdr:rowOff>
    </xdr:from>
    <xdr:to>
      <xdr:col>9</xdr:col>
      <xdr:colOff>0</xdr:colOff>
      <xdr:row>83</xdr:row>
      <xdr:rowOff>0</xdr:rowOff>
    </xdr:to>
    <xdr:sp macro="" textlink="">
      <xdr:nvSpPr>
        <xdr:cNvPr id="103" name="OptionButton4" hidden="1">
          <a:extLst>
            <a:ext uri="{63B3BB69-23CF-44E3-9099-C40C66FF867C}">
              <a14:compatExt xmlns:a14="http://schemas.microsoft.com/office/drawing/2010/main" spid="_x0000_s19535"/>
            </a:ext>
          </a:extLst>
        </xdr:cNvPr>
        <xdr:cNvSpPr/>
      </xdr:nvSpPr>
      <xdr:spPr>
        <a:xfrm>
          <a:off x="4845407" y="4991224"/>
          <a:ext cx="583843" cy="3514601"/>
        </a:xfrm>
        <a:prstGeom prst="rect">
          <a:avLst/>
        </a:prstGeom>
      </xdr:spPr>
    </xdr:sp>
    <xdr:clientData/>
  </xdr:twoCellAnchor>
  <xdr:oneCellAnchor>
    <xdr:from>
      <xdr:col>13</xdr:col>
      <xdr:colOff>657656</xdr:colOff>
      <xdr:row>64</xdr:row>
      <xdr:rowOff>0</xdr:rowOff>
    </xdr:from>
    <xdr:ext cx="1342592" cy="463086"/>
    <xdr:sp macro="" textlink="">
      <xdr:nvSpPr>
        <xdr:cNvPr id="104" name="OptionButton7" hidden="1">
          <a:extLst>
            <a:ext uri="{63B3BB69-23CF-44E3-9099-C40C66FF867C}">
              <a14:compatExt xmlns:a14="http://schemas.microsoft.com/office/drawing/2010/main" spid="_x0000_s19536"/>
            </a:ext>
          </a:extLst>
        </xdr:cNvPr>
        <xdr:cNvSpPr/>
      </xdr:nvSpPr>
      <xdr:spPr>
        <a:xfrm>
          <a:off x="8715806" y="4457700"/>
          <a:ext cx="1342592" cy="463086"/>
        </a:xfrm>
        <a:prstGeom prst="rect">
          <a:avLst/>
        </a:prstGeom>
      </xdr:spPr>
    </xdr:sp>
    <xdr:clientData/>
  </xdr:oneCellAnchor>
  <xdr:twoCellAnchor>
    <xdr:from>
      <xdr:col>13</xdr:col>
      <xdr:colOff>73382</xdr:colOff>
      <xdr:row>64</xdr:row>
      <xdr:rowOff>0</xdr:rowOff>
    </xdr:from>
    <xdr:to>
      <xdr:col>15</xdr:col>
      <xdr:colOff>243084</xdr:colOff>
      <xdr:row>64</xdr:row>
      <xdr:rowOff>174296</xdr:rowOff>
    </xdr:to>
    <xdr:sp macro="" textlink="">
      <xdr:nvSpPr>
        <xdr:cNvPr id="105" name="OptionButton4" hidden="1">
          <a:extLst>
            <a:ext uri="{63B3BB69-23CF-44E3-9099-C40C66FF867C}">
              <a14:compatExt xmlns:a14="http://schemas.microsoft.com/office/drawing/2010/main" spid="_x0000_s19535"/>
            </a:ext>
          </a:extLst>
        </xdr:cNvPr>
        <xdr:cNvSpPr/>
      </xdr:nvSpPr>
      <xdr:spPr>
        <a:xfrm>
          <a:off x="8131532" y="4219699"/>
          <a:ext cx="1484152" cy="412297"/>
        </a:xfrm>
        <a:prstGeom prst="rect">
          <a:avLst/>
        </a:prstGeom>
      </xdr:spPr>
    </xdr:sp>
    <xdr:clientData/>
  </xdr:twoCellAnchor>
  <xdr:twoCellAnchor>
    <xdr:from>
      <xdr:col>14</xdr:col>
      <xdr:colOff>73382</xdr:colOff>
      <xdr:row>64</xdr:row>
      <xdr:rowOff>0</xdr:rowOff>
    </xdr:from>
    <xdr:to>
      <xdr:col>15</xdr:col>
      <xdr:colOff>0</xdr:colOff>
      <xdr:row>64</xdr:row>
      <xdr:rowOff>174296</xdr:rowOff>
    </xdr:to>
    <xdr:sp macro="" textlink="">
      <xdr:nvSpPr>
        <xdr:cNvPr id="106" name="OptionButton4" hidden="1">
          <a:extLst>
            <a:ext uri="{63B3BB69-23CF-44E3-9099-C40C66FF867C}">
              <a14:compatExt xmlns:a14="http://schemas.microsoft.com/office/drawing/2010/main" spid="_x0000_s19535"/>
            </a:ext>
          </a:extLst>
        </xdr:cNvPr>
        <xdr:cNvSpPr/>
      </xdr:nvSpPr>
      <xdr:spPr>
        <a:xfrm>
          <a:off x="8788757" y="4219699"/>
          <a:ext cx="583843" cy="412297"/>
        </a:xfrm>
        <a:prstGeom prst="rect">
          <a:avLst/>
        </a:prstGeom>
      </xdr:spPr>
    </xdr:sp>
    <xdr:clientData/>
  </xdr:twoCellAnchor>
  <xdr:twoCellAnchor>
    <xdr:from>
      <xdr:col>14</xdr:col>
      <xdr:colOff>73382</xdr:colOff>
      <xdr:row>64</xdr:row>
      <xdr:rowOff>0</xdr:rowOff>
    </xdr:from>
    <xdr:to>
      <xdr:col>15</xdr:col>
      <xdr:colOff>0</xdr:colOff>
      <xdr:row>64</xdr:row>
      <xdr:rowOff>174296</xdr:rowOff>
    </xdr:to>
    <xdr:sp macro="" textlink="">
      <xdr:nvSpPr>
        <xdr:cNvPr id="107" name="OptionButton4" hidden="1">
          <a:extLst>
            <a:ext uri="{63B3BB69-23CF-44E3-9099-C40C66FF867C}">
              <a14:compatExt xmlns:a14="http://schemas.microsoft.com/office/drawing/2010/main" spid="_x0000_s19535"/>
            </a:ext>
          </a:extLst>
        </xdr:cNvPr>
        <xdr:cNvSpPr/>
      </xdr:nvSpPr>
      <xdr:spPr>
        <a:xfrm>
          <a:off x="8788757" y="4219699"/>
          <a:ext cx="583843" cy="412297"/>
        </a:xfrm>
        <a:prstGeom prst="rect">
          <a:avLst/>
        </a:prstGeom>
      </xdr:spPr>
    </xdr:sp>
    <xdr:clientData/>
  </xdr:twoCellAnchor>
  <xdr:twoCellAnchor>
    <xdr:from>
      <xdr:col>12</xdr:col>
      <xdr:colOff>73382</xdr:colOff>
      <xdr:row>64</xdr:row>
      <xdr:rowOff>114424</xdr:rowOff>
    </xdr:from>
    <xdr:to>
      <xdr:col>14</xdr:col>
      <xdr:colOff>243084</xdr:colOff>
      <xdr:row>66</xdr:row>
      <xdr:rowOff>0</xdr:rowOff>
    </xdr:to>
    <xdr:sp macro="" textlink="">
      <xdr:nvSpPr>
        <xdr:cNvPr id="108" name="OptionButton4" hidden="1">
          <a:extLst>
            <a:ext uri="{63B3BB69-23CF-44E3-9099-C40C66FF867C}">
              <a14:compatExt xmlns:a14="http://schemas.microsoft.com/office/drawing/2010/main" spid="_x0000_s19535"/>
            </a:ext>
          </a:extLst>
        </xdr:cNvPr>
        <xdr:cNvSpPr/>
      </xdr:nvSpPr>
      <xdr:spPr>
        <a:xfrm>
          <a:off x="7474307" y="4572124"/>
          <a:ext cx="1484152" cy="304676"/>
        </a:xfrm>
        <a:prstGeom prst="rect">
          <a:avLst/>
        </a:prstGeom>
      </xdr:spPr>
    </xdr:sp>
    <xdr:clientData/>
  </xdr:twoCellAnchor>
  <xdr:twoCellAnchor>
    <xdr:from>
      <xdr:col>13</xdr:col>
      <xdr:colOff>73382</xdr:colOff>
      <xdr:row>64</xdr:row>
      <xdr:rowOff>114424</xdr:rowOff>
    </xdr:from>
    <xdr:to>
      <xdr:col>14</xdr:col>
      <xdr:colOff>0</xdr:colOff>
      <xdr:row>66</xdr:row>
      <xdr:rowOff>0</xdr:rowOff>
    </xdr:to>
    <xdr:sp macro="" textlink="">
      <xdr:nvSpPr>
        <xdr:cNvPr id="109" name="OptionButton4" hidden="1">
          <a:extLst>
            <a:ext uri="{63B3BB69-23CF-44E3-9099-C40C66FF867C}">
              <a14:compatExt xmlns:a14="http://schemas.microsoft.com/office/drawing/2010/main" spid="_x0000_s19535"/>
            </a:ext>
          </a:extLst>
        </xdr:cNvPr>
        <xdr:cNvSpPr/>
      </xdr:nvSpPr>
      <xdr:spPr>
        <a:xfrm>
          <a:off x="8131532" y="4572124"/>
          <a:ext cx="583843" cy="304676"/>
        </a:xfrm>
        <a:prstGeom prst="rect">
          <a:avLst/>
        </a:prstGeom>
      </xdr:spPr>
    </xdr:sp>
    <xdr:clientData/>
  </xdr:twoCellAnchor>
  <xdr:twoCellAnchor>
    <xdr:from>
      <xdr:col>13</xdr:col>
      <xdr:colOff>73382</xdr:colOff>
      <xdr:row>64</xdr:row>
      <xdr:rowOff>114424</xdr:rowOff>
    </xdr:from>
    <xdr:to>
      <xdr:col>14</xdr:col>
      <xdr:colOff>0</xdr:colOff>
      <xdr:row>66</xdr:row>
      <xdr:rowOff>0</xdr:rowOff>
    </xdr:to>
    <xdr:sp macro="" textlink="">
      <xdr:nvSpPr>
        <xdr:cNvPr id="110" name="OptionButton4" hidden="1">
          <a:extLst>
            <a:ext uri="{63B3BB69-23CF-44E3-9099-C40C66FF867C}">
              <a14:compatExt xmlns:a14="http://schemas.microsoft.com/office/drawing/2010/main" spid="_x0000_s19535"/>
            </a:ext>
          </a:extLst>
        </xdr:cNvPr>
        <xdr:cNvSpPr/>
      </xdr:nvSpPr>
      <xdr:spPr>
        <a:xfrm>
          <a:off x="8131532" y="4572124"/>
          <a:ext cx="583843" cy="304676"/>
        </a:xfrm>
        <a:prstGeom prst="rect">
          <a:avLst/>
        </a:prstGeom>
      </xdr:spPr>
    </xdr:sp>
    <xdr:clientData/>
  </xdr:twoCellAnchor>
  <xdr:twoCellAnchor>
    <xdr:from>
      <xdr:col>13</xdr:col>
      <xdr:colOff>73382</xdr:colOff>
      <xdr:row>66</xdr:row>
      <xdr:rowOff>0</xdr:rowOff>
    </xdr:from>
    <xdr:to>
      <xdr:col>15</xdr:col>
      <xdr:colOff>243084</xdr:colOff>
      <xdr:row>67</xdr:row>
      <xdr:rowOff>174296</xdr:rowOff>
    </xdr:to>
    <xdr:sp macro="" textlink="">
      <xdr:nvSpPr>
        <xdr:cNvPr id="111" name="OptionButton4" hidden="1">
          <a:extLst>
            <a:ext uri="{63B3BB69-23CF-44E3-9099-C40C66FF867C}">
              <a14:compatExt xmlns:a14="http://schemas.microsoft.com/office/drawing/2010/main" spid="_x0000_s19535"/>
            </a:ext>
          </a:extLst>
        </xdr:cNvPr>
        <xdr:cNvSpPr/>
      </xdr:nvSpPr>
      <xdr:spPr>
        <a:xfrm>
          <a:off x="8131532" y="4876800"/>
          <a:ext cx="1484152" cy="383846"/>
        </a:xfrm>
        <a:prstGeom prst="rect">
          <a:avLst/>
        </a:prstGeom>
      </xdr:spPr>
    </xdr:sp>
    <xdr:clientData/>
  </xdr:twoCellAnchor>
  <xdr:twoCellAnchor>
    <xdr:from>
      <xdr:col>14</xdr:col>
      <xdr:colOff>73382</xdr:colOff>
      <xdr:row>66</xdr:row>
      <xdr:rowOff>0</xdr:rowOff>
    </xdr:from>
    <xdr:to>
      <xdr:col>15</xdr:col>
      <xdr:colOff>0</xdr:colOff>
      <xdr:row>67</xdr:row>
      <xdr:rowOff>174296</xdr:rowOff>
    </xdr:to>
    <xdr:sp macro="" textlink="">
      <xdr:nvSpPr>
        <xdr:cNvPr id="112" name="OptionButton4" hidden="1">
          <a:extLst>
            <a:ext uri="{63B3BB69-23CF-44E3-9099-C40C66FF867C}">
              <a14:compatExt xmlns:a14="http://schemas.microsoft.com/office/drawing/2010/main" spid="_x0000_s19535"/>
            </a:ext>
          </a:extLst>
        </xdr:cNvPr>
        <xdr:cNvSpPr/>
      </xdr:nvSpPr>
      <xdr:spPr>
        <a:xfrm>
          <a:off x="8788757" y="4876800"/>
          <a:ext cx="583843" cy="383846"/>
        </a:xfrm>
        <a:prstGeom prst="rect">
          <a:avLst/>
        </a:prstGeom>
      </xdr:spPr>
    </xdr:sp>
    <xdr:clientData/>
  </xdr:twoCellAnchor>
  <xdr:twoCellAnchor>
    <xdr:from>
      <xdr:col>14</xdr:col>
      <xdr:colOff>73382</xdr:colOff>
      <xdr:row>66</xdr:row>
      <xdr:rowOff>0</xdr:rowOff>
    </xdr:from>
    <xdr:to>
      <xdr:col>15</xdr:col>
      <xdr:colOff>0</xdr:colOff>
      <xdr:row>67</xdr:row>
      <xdr:rowOff>174296</xdr:rowOff>
    </xdr:to>
    <xdr:sp macro="" textlink="">
      <xdr:nvSpPr>
        <xdr:cNvPr id="113" name="OptionButton4" hidden="1">
          <a:extLst>
            <a:ext uri="{63B3BB69-23CF-44E3-9099-C40C66FF867C}">
              <a14:compatExt xmlns:a14="http://schemas.microsoft.com/office/drawing/2010/main" spid="_x0000_s19535"/>
            </a:ext>
          </a:extLst>
        </xdr:cNvPr>
        <xdr:cNvSpPr/>
      </xdr:nvSpPr>
      <xdr:spPr>
        <a:xfrm>
          <a:off x="8788757" y="4876800"/>
          <a:ext cx="583843" cy="383846"/>
        </a:xfrm>
        <a:prstGeom prst="rect">
          <a:avLst/>
        </a:prstGeom>
      </xdr:spPr>
    </xdr:sp>
    <xdr:clientData/>
  </xdr:twoCellAnchor>
  <xdr:twoCellAnchor>
    <xdr:from>
      <xdr:col>8</xdr:col>
      <xdr:colOff>73382</xdr:colOff>
      <xdr:row>66</xdr:row>
      <xdr:rowOff>114424</xdr:rowOff>
    </xdr:from>
    <xdr:to>
      <xdr:col>10</xdr:col>
      <xdr:colOff>243084</xdr:colOff>
      <xdr:row>68</xdr:row>
      <xdr:rowOff>0</xdr:rowOff>
    </xdr:to>
    <xdr:sp macro="" textlink="">
      <xdr:nvSpPr>
        <xdr:cNvPr id="114" name="OptionButton4" hidden="1">
          <a:extLst>
            <a:ext uri="{63B3BB69-23CF-44E3-9099-C40C66FF867C}">
              <a14:compatExt xmlns:a14="http://schemas.microsoft.com/office/drawing/2010/main" spid="_x0000_s19535"/>
            </a:ext>
          </a:extLst>
        </xdr:cNvPr>
        <xdr:cNvSpPr/>
      </xdr:nvSpPr>
      <xdr:spPr>
        <a:xfrm>
          <a:off x="4845407" y="4991224"/>
          <a:ext cx="1484152" cy="304676"/>
        </a:xfrm>
        <a:prstGeom prst="rect">
          <a:avLst/>
        </a:prstGeom>
      </xdr:spPr>
    </xdr:sp>
    <xdr:clientData/>
  </xdr:twoCellAnchor>
  <xdr:twoCellAnchor>
    <xdr:from>
      <xdr:col>9</xdr:col>
      <xdr:colOff>73382</xdr:colOff>
      <xdr:row>66</xdr:row>
      <xdr:rowOff>114424</xdr:rowOff>
    </xdr:from>
    <xdr:to>
      <xdr:col>10</xdr:col>
      <xdr:colOff>0</xdr:colOff>
      <xdr:row>68</xdr:row>
      <xdr:rowOff>0</xdr:rowOff>
    </xdr:to>
    <xdr:sp macro="" textlink="">
      <xdr:nvSpPr>
        <xdr:cNvPr id="115" name="OptionButton4" hidden="1">
          <a:extLst>
            <a:ext uri="{63B3BB69-23CF-44E3-9099-C40C66FF867C}">
              <a14:compatExt xmlns:a14="http://schemas.microsoft.com/office/drawing/2010/main" spid="_x0000_s19535"/>
            </a:ext>
          </a:extLst>
        </xdr:cNvPr>
        <xdr:cNvSpPr/>
      </xdr:nvSpPr>
      <xdr:spPr>
        <a:xfrm>
          <a:off x="5502632" y="4991224"/>
          <a:ext cx="583843" cy="304676"/>
        </a:xfrm>
        <a:prstGeom prst="rect">
          <a:avLst/>
        </a:prstGeom>
      </xdr:spPr>
    </xdr:sp>
    <xdr:clientData/>
  </xdr:twoCellAnchor>
  <xdr:twoCellAnchor>
    <xdr:from>
      <xdr:col>9</xdr:col>
      <xdr:colOff>73382</xdr:colOff>
      <xdr:row>66</xdr:row>
      <xdr:rowOff>114424</xdr:rowOff>
    </xdr:from>
    <xdr:to>
      <xdr:col>10</xdr:col>
      <xdr:colOff>0</xdr:colOff>
      <xdr:row>68</xdr:row>
      <xdr:rowOff>0</xdr:rowOff>
    </xdr:to>
    <xdr:sp macro="" textlink="">
      <xdr:nvSpPr>
        <xdr:cNvPr id="116" name="OptionButton4" hidden="1">
          <a:extLst>
            <a:ext uri="{63B3BB69-23CF-44E3-9099-C40C66FF867C}">
              <a14:compatExt xmlns:a14="http://schemas.microsoft.com/office/drawing/2010/main" spid="_x0000_s19535"/>
            </a:ext>
          </a:extLst>
        </xdr:cNvPr>
        <xdr:cNvSpPr/>
      </xdr:nvSpPr>
      <xdr:spPr>
        <a:xfrm>
          <a:off x="5502632" y="4991224"/>
          <a:ext cx="583843" cy="304676"/>
        </a:xfrm>
        <a:prstGeom prst="rect">
          <a:avLst/>
        </a:prstGeom>
      </xdr:spPr>
    </xdr:sp>
    <xdr:clientData/>
  </xdr:twoCellAnchor>
  <xdr:oneCellAnchor>
    <xdr:from>
      <xdr:col>8</xdr:col>
      <xdr:colOff>657656</xdr:colOff>
      <xdr:row>67</xdr:row>
      <xdr:rowOff>0</xdr:rowOff>
    </xdr:from>
    <xdr:ext cx="1348390" cy="465571"/>
    <xdr:sp macro="" textlink="">
      <xdr:nvSpPr>
        <xdr:cNvPr id="117" name="OptionButton7" hidden="1">
          <a:extLst>
            <a:ext uri="{63B3BB69-23CF-44E3-9099-C40C66FF867C}">
              <a14:compatExt xmlns:a14="http://schemas.microsoft.com/office/drawing/2010/main" spid="_x0000_s19536"/>
            </a:ext>
          </a:extLst>
        </xdr:cNvPr>
        <xdr:cNvSpPr/>
      </xdr:nvSpPr>
      <xdr:spPr>
        <a:xfrm>
          <a:off x="5429681" y="5086350"/>
          <a:ext cx="1348390" cy="465571"/>
        </a:xfrm>
        <a:prstGeom prst="rect">
          <a:avLst/>
        </a:prstGeom>
      </xdr:spPr>
    </xdr:sp>
    <xdr:clientData/>
  </xdr:oneCellAnchor>
  <xdr:twoCellAnchor>
    <xdr:from>
      <xdr:col>3</xdr:col>
      <xdr:colOff>73382</xdr:colOff>
      <xdr:row>68</xdr:row>
      <xdr:rowOff>114424</xdr:rowOff>
    </xdr:from>
    <xdr:to>
      <xdr:col>5</xdr:col>
      <xdr:colOff>243084</xdr:colOff>
      <xdr:row>70</xdr:row>
      <xdr:rowOff>0</xdr:rowOff>
    </xdr:to>
    <xdr:sp macro="" textlink="">
      <xdr:nvSpPr>
        <xdr:cNvPr id="118" name="OptionButton4" hidden="1">
          <a:extLst>
            <a:ext uri="{63B3BB69-23CF-44E3-9099-C40C66FF867C}">
              <a14:compatExt xmlns:a14="http://schemas.microsoft.com/office/drawing/2010/main" spid="_x0000_s19535"/>
            </a:ext>
          </a:extLst>
        </xdr:cNvPr>
        <xdr:cNvSpPr/>
      </xdr:nvSpPr>
      <xdr:spPr>
        <a:xfrm>
          <a:off x="1559282" y="5410324"/>
          <a:ext cx="1484152" cy="304676"/>
        </a:xfrm>
        <a:prstGeom prst="rect">
          <a:avLst/>
        </a:prstGeom>
      </xdr:spPr>
    </xdr:sp>
    <xdr:clientData/>
  </xdr:twoCellAnchor>
  <xdr:oneCellAnchor>
    <xdr:from>
      <xdr:col>3</xdr:col>
      <xdr:colOff>657656</xdr:colOff>
      <xdr:row>68</xdr:row>
      <xdr:rowOff>128032</xdr:rowOff>
    </xdr:from>
    <xdr:ext cx="1698285" cy="498763"/>
    <xdr:sp macro="" textlink="">
      <xdr:nvSpPr>
        <xdr:cNvPr id="119" name="OptionButton7" hidden="1">
          <a:extLst>
            <a:ext uri="{63B3BB69-23CF-44E3-9099-C40C66FF867C}">
              <a14:compatExt xmlns:a14="http://schemas.microsoft.com/office/drawing/2010/main" spid="_x0000_s19536"/>
            </a:ext>
          </a:extLst>
        </xdr:cNvPr>
        <xdr:cNvSpPr/>
      </xdr:nvSpPr>
      <xdr:spPr>
        <a:xfrm>
          <a:off x="2143556" y="5423932"/>
          <a:ext cx="1698285" cy="498763"/>
        </a:xfrm>
        <a:prstGeom prst="rect">
          <a:avLst/>
        </a:prstGeom>
      </xdr:spPr>
    </xdr:sp>
    <xdr:clientData/>
  </xdr:oneCellAnchor>
  <xdr:twoCellAnchor>
    <xdr:from>
      <xdr:col>4</xdr:col>
      <xdr:colOff>73382</xdr:colOff>
      <xdr:row>68</xdr:row>
      <xdr:rowOff>114424</xdr:rowOff>
    </xdr:from>
    <xdr:to>
      <xdr:col>5</xdr:col>
      <xdr:colOff>0</xdr:colOff>
      <xdr:row>70</xdr:row>
      <xdr:rowOff>0</xdr:rowOff>
    </xdr:to>
    <xdr:sp macro="" textlink="">
      <xdr:nvSpPr>
        <xdr:cNvPr id="120" name="OptionButton4" hidden="1">
          <a:extLst>
            <a:ext uri="{63B3BB69-23CF-44E3-9099-C40C66FF867C}">
              <a14:compatExt xmlns:a14="http://schemas.microsoft.com/office/drawing/2010/main" spid="_x0000_s19535"/>
            </a:ext>
          </a:extLst>
        </xdr:cNvPr>
        <xdr:cNvSpPr/>
      </xdr:nvSpPr>
      <xdr:spPr>
        <a:xfrm>
          <a:off x="2216507" y="5410324"/>
          <a:ext cx="583843" cy="304676"/>
        </a:xfrm>
        <a:prstGeom prst="rect">
          <a:avLst/>
        </a:prstGeom>
      </xdr:spPr>
    </xdr:sp>
    <xdr:clientData/>
  </xdr:twoCellAnchor>
  <xdr:twoCellAnchor>
    <xdr:from>
      <xdr:col>4</xdr:col>
      <xdr:colOff>73382</xdr:colOff>
      <xdr:row>68</xdr:row>
      <xdr:rowOff>114424</xdr:rowOff>
    </xdr:from>
    <xdr:to>
      <xdr:col>5</xdr:col>
      <xdr:colOff>0</xdr:colOff>
      <xdr:row>70</xdr:row>
      <xdr:rowOff>0</xdr:rowOff>
    </xdr:to>
    <xdr:sp macro="" textlink="">
      <xdr:nvSpPr>
        <xdr:cNvPr id="121" name="OptionButton4" hidden="1">
          <a:extLst>
            <a:ext uri="{63B3BB69-23CF-44E3-9099-C40C66FF867C}">
              <a14:compatExt xmlns:a14="http://schemas.microsoft.com/office/drawing/2010/main" spid="_x0000_s19535"/>
            </a:ext>
          </a:extLst>
        </xdr:cNvPr>
        <xdr:cNvSpPr/>
      </xdr:nvSpPr>
      <xdr:spPr>
        <a:xfrm>
          <a:off x="2216507" y="5410324"/>
          <a:ext cx="583843" cy="304676"/>
        </a:xfrm>
        <a:prstGeom prst="rect">
          <a:avLst/>
        </a:prstGeom>
      </xdr:spPr>
    </xdr:sp>
    <xdr:clientData/>
  </xdr:twoCellAnchor>
  <xdr:twoCellAnchor>
    <xdr:from>
      <xdr:col>3</xdr:col>
      <xdr:colOff>73382</xdr:colOff>
      <xdr:row>68</xdr:row>
      <xdr:rowOff>114424</xdr:rowOff>
    </xdr:from>
    <xdr:to>
      <xdr:col>5</xdr:col>
      <xdr:colOff>243084</xdr:colOff>
      <xdr:row>70</xdr:row>
      <xdr:rowOff>0</xdr:rowOff>
    </xdr:to>
    <xdr:sp macro="" textlink="">
      <xdr:nvSpPr>
        <xdr:cNvPr id="122" name="OptionButton4" hidden="1">
          <a:extLst>
            <a:ext uri="{63B3BB69-23CF-44E3-9099-C40C66FF867C}">
              <a14:compatExt xmlns:a14="http://schemas.microsoft.com/office/drawing/2010/main" spid="_x0000_s19535"/>
            </a:ext>
          </a:extLst>
        </xdr:cNvPr>
        <xdr:cNvSpPr/>
      </xdr:nvSpPr>
      <xdr:spPr>
        <a:xfrm>
          <a:off x="1559282" y="5410324"/>
          <a:ext cx="1484152" cy="304676"/>
        </a:xfrm>
        <a:prstGeom prst="rect">
          <a:avLst/>
        </a:prstGeom>
      </xdr:spPr>
    </xdr:sp>
    <xdr:clientData/>
  </xdr:twoCellAnchor>
  <xdr:twoCellAnchor>
    <xdr:from>
      <xdr:col>4</xdr:col>
      <xdr:colOff>73382</xdr:colOff>
      <xdr:row>68</xdr:row>
      <xdr:rowOff>114424</xdr:rowOff>
    </xdr:from>
    <xdr:to>
      <xdr:col>5</xdr:col>
      <xdr:colOff>0</xdr:colOff>
      <xdr:row>70</xdr:row>
      <xdr:rowOff>0</xdr:rowOff>
    </xdr:to>
    <xdr:sp macro="" textlink="">
      <xdr:nvSpPr>
        <xdr:cNvPr id="123" name="OptionButton4" hidden="1">
          <a:extLst>
            <a:ext uri="{63B3BB69-23CF-44E3-9099-C40C66FF867C}">
              <a14:compatExt xmlns:a14="http://schemas.microsoft.com/office/drawing/2010/main" spid="_x0000_s19535"/>
            </a:ext>
          </a:extLst>
        </xdr:cNvPr>
        <xdr:cNvSpPr/>
      </xdr:nvSpPr>
      <xdr:spPr>
        <a:xfrm>
          <a:off x="2216507" y="5410324"/>
          <a:ext cx="583843" cy="304676"/>
        </a:xfrm>
        <a:prstGeom prst="rect">
          <a:avLst/>
        </a:prstGeom>
      </xdr:spPr>
    </xdr:sp>
    <xdr:clientData/>
  </xdr:twoCellAnchor>
  <xdr:twoCellAnchor>
    <xdr:from>
      <xdr:col>4</xdr:col>
      <xdr:colOff>73382</xdr:colOff>
      <xdr:row>68</xdr:row>
      <xdr:rowOff>114424</xdr:rowOff>
    </xdr:from>
    <xdr:to>
      <xdr:col>5</xdr:col>
      <xdr:colOff>0</xdr:colOff>
      <xdr:row>70</xdr:row>
      <xdr:rowOff>0</xdr:rowOff>
    </xdr:to>
    <xdr:sp macro="" textlink="">
      <xdr:nvSpPr>
        <xdr:cNvPr id="124" name="OptionButton4" hidden="1">
          <a:extLst>
            <a:ext uri="{63B3BB69-23CF-44E3-9099-C40C66FF867C}">
              <a14:compatExt xmlns:a14="http://schemas.microsoft.com/office/drawing/2010/main" spid="_x0000_s19535"/>
            </a:ext>
          </a:extLst>
        </xdr:cNvPr>
        <xdr:cNvSpPr/>
      </xdr:nvSpPr>
      <xdr:spPr>
        <a:xfrm>
          <a:off x="2216507" y="5410324"/>
          <a:ext cx="583843" cy="304676"/>
        </a:xfrm>
        <a:prstGeom prst="rect">
          <a:avLst/>
        </a:prstGeom>
      </xdr:spPr>
    </xdr:sp>
    <xdr:clientData/>
  </xdr:twoCellAnchor>
  <xdr:oneCellAnchor>
    <xdr:from>
      <xdr:col>12</xdr:col>
      <xdr:colOff>657656</xdr:colOff>
      <xdr:row>69</xdr:row>
      <xdr:rowOff>128032</xdr:rowOff>
    </xdr:from>
    <xdr:ext cx="1348390" cy="467228"/>
    <xdr:sp macro="" textlink="">
      <xdr:nvSpPr>
        <xdr:cNvPr id="125" name="OptionButton7" hidden="1">
          <a:extLst>
            <a:ext uri="{63B3BB69-23CF-44E3-9099-C40C66FF867C}">
              <a14:compatExt xmlns:a14="http://schemas.microsoft.com/office/drawing/2010/main" spid="_x0000_s19536"/>
            </a:ext>
          </a:extLst>
        </xdr:cNvPr>
        <xdr:cNvSpPr/>
      </xdr:nvSpPr>
      <xdr:spPr>
        <a:xfrm>
          <a:off x="8058581" y="5633482"/>
          <a:ext cx="1348390" cy="467228"/>
        </a:xfrm>
        <a:prstGeom prst="rect">
          <a:avLst/>
        </a:prstGeom>
      </xdr:spPr>
    </xdr:sp>
    <xdr:clientData/>
  </xdr:oneCellAnchor>
  <xdr:twoCellAnchor>
    <xdr:from>
      <xdr:col>12</xdr:col>
      <xdr:colOff>73382</xdr:colOff>
      <xdr:row>68</xdr:row>
      <xdr:rowOff>114424</xdr:rowOff>
    </xdr:from>
    <xdr:to>
      <xdr:col>14</xdr:col>
      <xdr:colOff>243084</xdr:colOff>
      <xdr:row>70</xdr:row>
      <xdr:rowOff>0</xdr:rowOff>
    </xdr:to>
    <xdr:sp macro="" textlink="">
      <xdr:nvSpPr>
        <xdr:cNvPr id="126" name="OptionButton4" hidden="1">
          <a:extLst>
            <a:ext uri="{63B3BB69-23CF-44E3-9099-C40C66FF867C}">
              <a14:compatExt xmlns:a14="http://schemas.microsoft.com/office/drawing/2010/main" spid="_x0000_s19535"/>
            </a:ext>
          </a:extLst>
        </xdr:cNvPr>
        <xdr:cNvSpPr/>
      </xdr:nvSpPr>
      <xdr:spPr>
        <a:xfrm>
          <a:off x="7474307" y="5410324"/>
          <a:ext cx="1484152" cy="304676"/>
        </a:xfrm>
        <a:prstGeom prst="rect">
          <a:avLst/>
        </a:prstGeom>
      </xdr:spPr>
    </xdr:sp>
    <xdr:clientData/>
  </xdr:twoCellAnchor>
  <xdr:oneCellAnchor>
    <xdr:from>
      <xdr:col>13</xdr:col>
      <xdr:colOff>657656</xdr:colOff>
      <xdr:row>68</xdr:row>
      <xdr:rowOff>128032</xdr:rowOff>
    </xdr:from>
    <xdr:ext cx="1698285" cy="498763"/>
    <xdr:sp macro="" textlink="">
      <xdr:nvSpPr>
        <xdr:cNvPr id="127" name="OptionButton7" hidden="1">
          <a:extLst>
            <a:ext uri="{63B3BB69-23CF-44E3-9099-C40C66FF867C}">
              <a14:compatExt xmlns:a14="http://schemas.microsoft.com/office/drawing/2010/main" spid="_x0000_s19536"/>
            </a:ext>
          </a:extLst>
        </xdr:cNvPr>
        <xdr:cNvSpPr/>
      </xdr:nvSpPr>
      <xdr:spPr>
        <a:xfrm>
          <a:off x="8715806" y="5423932"/>
          <a:ext cx="1698285" cy="498763"/>
        </a:xfrm>
        <a:prstGeom prst="rect">
          <a:avLst/>
        </a:prstGeom>
      </xdr:spPr>
    </xdr:sp>
    <xdr:clientData/>
  </xdr:oneCellAnchor>
  <xdr:twoCellAnchor>
    <xdr:from>
      <xdr:col>13</xdr:col>
      <xdr:colOff>73382</xdr:colOff>
      <xdr:row>68</xdr:row>
      <xdr:rowOff>114424</xdr:rowOff>
    </xdr:from>
    <xdr:to>
      <xdr:col>14</xdr:col>
      <xdr:colOff>0</xdr:colOff>
      <xdr:row>70</xdr:row>
      <xdr:rowOff>0</xdr:rowOff>
    </xdr:to>
    <xdr:sp macro="" textlink="">
      <xdr:nvSpPr>
        <xdr:cNvPr id="128" name="OptionButton4" hidden="1">
          <a:extLst>
            <a:ext uri="{63B3BB69-23CF-44E3-9099-C40C66FF867C}">
              <a14:compatExt xmlns:a14="http://schemas.microsoft.com/office/drawing/2010/main" spid="_x0000_s19535"/>
            </a:ext>
          </a:extLst>
        </xdr:cNvPr>
        <xdr:cNvSpPr/>
      </xdr:nvSpPr>
      <xdr:spPr>
        <a:xfrm>
          <a:off x="8131532" y="5410324"/>
          <a:ext cx="583843" cy="304676"/>
        </a:xfrm>
        <a:prstGeom prst="rect">
          <a:avLst/>
        </a:prstGeom>
      </xdr:spPr>
    </xdr:sp>
    <xdr:clientData/>
  </xdr:twoCellAnchor>
  <xdr:twoCellAnchor>
    <xdr:from>
      <xdr:col>13</xdr:col>
      <xdr:colOff>73382</xdr:colOff>
      <xdr:row>68</xdr:row>
      <xdr:rowOff>114424</xdr:rowOff>
    </xdr:from>
    <xdr:to>
      <xdr:col>14</xdr:col>
      <xdr:colOff>0</xdr:colOff>
      <xdr:row>70</xdr:row>
      <xdr:rowOff>0</xdr:rowOff>
    </xdr:to>
    <xdr:sp macro="" textlink="">
      <xdr:nvSpPr>
        <xdr:cNvPr id="129" name="OptionButton4" hidden="1">
          <a:extLst>
            <a:ext uri="{63B3BB69-23CF-44E3-9099-C40C66FF867C}">
              <a14:compatExt xmlns:a14="http://schemas.microsoft.com/office/drawing/2010/main" spid="_x0000_s19535"/>
            </a:ext>
          </a:extLst>
        </xdr:cNvPr>
        <xdr:cNvSpPr/>
      </xdr:nvSpPr>
      <xdr:spPr>
        <a:xfrm>
          <a:off x="8131532" y="5410324"/>
          <a:ext cx="583843" cy="304676"/>
        </a:xfrm>
        <a:prstGeom prst="rect">
          <a:avLst/>
        </a:prstGeom>
      </xdr:spPr>
    </xdr:sp>
    <xdr:clientData/>
  </xdr:twoCellAnchor>
  <xdr:oneCellAnchor>
    <xdr:from>
      <xdr:col>9</xdr:col>
      <xdr:colOff>657656</xdr:colOff>
      <xdr:row>67</xdr:row>
      <xdr:rowOff>0</xdr:rowOff>
    </xdr:from>
    <xdr:ext cx="1342592" cy="463086"/>
    <xdr:sp macro="" textlink="">
      <xdr:nvSpPr>
        <xdr:cNvPr id="130" name="OptionButton7" hidden="1">
          <a:extLst>
            <a:ext uri="{63B3BB69-23CF-44E3-9099-C40C66FF867C}">
              <a14:compatExt xmlns:a14="http://schemas.microsoft.com/office/drawing/2010/main" spid="_x0000_s19536"/>
            </a:ext>
          </a:extLst>
        </xdr:cNvPr>
        <xdr:cNvSpPr/>
      </xdr:nvSpPr>
      <xdr:spPr>
        <a:xfrm>
          <a:off x="6086906" y="5086350"/>
          <a:ext cx="1342592" cy="463086"/>
        </a:xfrm>
        <a:prstGeom prst="rect">
          <a:avLst/>
        </a:prstGeom>
      </xdr:spPr>
    </xdr:sp>
    <xdr:clientData/>
  </xdr:oneCellAnchor>
  <xdr:oneCellAnchor>
    <xdr:from>
      <xdr:col>13</xdr:col>
      <xdr:colOff>657656</xdr:colOff>
      <xdr:row>68</xdr:row>
      <xdr:rowOff>0</xdr:rowOff>
    </xdr:from>
    <xdr:ext cx="1342592" cy="463086"/>
    <xdr:sp macro="" textlink="">
      <xdr:nvSpPr>
        <xdr:cNvPr id="131" name="OptionButton7" hidden="1">
          <a:extLst>
            <a:ext uri="{63B3BB69-23CF-44E3-9099-C40C66FF867C}">
              <a14:compatExt xmlns:a14="http://schemas.microsoft.com/office/drawing/2010/main" spid="_x0000_s19536"/>
            </a:ext>
          </a:extLst>
        </xdr:cNvPr>
        <xdr:cNvSpPr/>
      </xdr:nvSpPr>
      <xdr:spPr>
        <a:xfrm>
          <a:off x="8715806" y="5295900"/>
          <a:ext cx="1342592" cy="463086"/>
        </a:xfrm>
        <a:prstGeom prst="rect">
          <a:avLst/>
        </a:prstGeom>
      </xdr:spPr>
    </xdr:sp>
    <xdr:clientData/>
  </xdr:oneCellAnchor>
  <xdr:twoCellAnchor>
    <xdr:from>
      <xdr:col>13</xdr:col>
      <xdr:colOff>73382</xdr:colOff>
      <xdr:row>66</xdr:row>
      <xdr:rowOff>114424</xdr:rowOff>
    </xdr:from>
    <xdr:to>
      <xdr:col>15</xdr:col>
      <xdr:colOff>243084</xdr:colOff>
      <xdr:row>68</xdr:row>
      <xdr:rowOff>174296</xdr:rowOff>
    </xdr:to>
    <xdr:sp macro="" textlink="">
      <xdr:nvSpPr>
        <xdr:cNvPr id="132" name="OptionButton4" hidden="1">
          <a:extLst>
            <a:ext uri="{63B3BB69-23CF-44E3-9099-C40C66FF867C}">
              <a14:compatExt xmlns:a14="http://schemas.microsoft.com/office/drawing/2010/main" spid="_x0000_s19535"/>
            </a:ext>
          </a:extLst>
        </xdr:cNvPr>
        <xdr:cNvSpPr/>
      </xdr:nvSpPr>
      <xdr:spPr>
        <a:xfrm>
          <a:off x="8131532" y="4991224"/>
          <a:ext cx="1484152" cy="478972"/>
        </a:xfrm>
        <a:prstGeom prst="rect">
          <a:avLst/>
        </a:prstGeom>
      </xdr:spPr>
    </xdr:sp>
    <xdr:clientData/>
  </xdr:twoCellAnchor>
  <xdr:twoCellAnchor>
    <xdr:from>
      <xdr:col>14</xdr:col>
      <xdr:colOff>73382</xdr:colOff>
      <xdr:row>66</xdr:row>
      <xdr:rowOff>114424</xdr:rowOff>
    </xdr:from>
    <xdr:to>
      <xdr:col>15</xdr:col>
      <xdr:colOff>0</xdr:colOff>
      <xdr:row>68</xdr:row>
      <xdr:rowOff>174296</xdr:rowOff>
    </xdr:to>
    <xdr:sp macro="" textlink="">
      <xdr:nvSpPr>
        <xdr:cNvPr id="133" name="OptionButton4" hidden="1">
          <a:extLst>
            <a:ext uri="{63B3BB69-23CF-44E3-9099-C40C66FF867C}">
              <a14:compatExt xmlns:a14="http://schemas.microsoft.com/office/drawing/2010/main" spid="_x0000_s19535"/>
            </a:ext>
          </a:extLst>
        </xdr:cNvPr>
        <xdr:cNvSpPr/>
      </xdr:nvSpPr>
      <xdr:spPr>
        <a:xfrm>
          <a:off x="8788757" y="4991224"/>
          <a:ext cx="583843" cy="478972"/>
        </a:xfrm>
        <a:prstGeom prst="rect">
          <a:avLst/>
        </a:prstGeom>
      </xdr:spPr>
    </xdr:sp>
    <xdr:clientData/>
  </xdr:twoCellAnchor>
  <xdr:twoCellAnchor>
    <xdr:from>
      <xdr:col>14</xdr:col>
      <xdr:colOff>73382</xdr:colOff>
      <xdr:row>66</xdr:row>
      <xdr:rowOff>114424</xdr:rowOff>
    </xdr:from>
    <xdr:to>
      <xdr:col>15</xdr:col>
      <xdr:colOff>0</xdr:colOff>
      <xdr:row>68</xdr:row>
      <xdr:rowOff>174296</xdr:rowOff>
    </xdr:to>
    <xdr:sp macro="" textlink="">
      <xdr:nvSpPr>
        <xdr:cNvPr id="134" name="OptionButton4" hidden="1">
          <a:extLst>
            <a:ext uri="{63B3BB69-23CF-44E3-9099-C40C66FF867C}">
              <a14:compatExt xmlns:a14="http://schemas.microsoft.com/office/drawing/2010/main" spid="_x0000_s19535"/>
            </a:ext>
          </a:extLst>
        </xdr:cNvPr>
        <xdr:cNvSpPr/>
      </xdr:nvSpPr>
      <xdr:spPr>
        <a:xfrm>
          <a:off x="8788757" y="4991224"/>
          <a:ext cx="583843" cy="478972"/>
        </a:xfrm>
        <a:prstGeom prst="rect">
          <a:avLst/>
        </a:prstGeom>
      </xdr:spPr>
    </xdr:sp>
    <xdr:clientData/>
  </xdr:twoCellAnchor>
  <xdr:twoCellAnchor>
    <xdr:from>
      <xdr:col>12</xdr:col>
      <xdr:colOff>73382</xdr:colOff>
      <xdr:row>68</xdr:row>
      <xdr:rowOff>114424</xdr:rowOff>
    </xdr:from>
    <xdr:to>
      <xdr:col>14</xdr:col>
      <xdr:colOff>243084</xdr:colOff>
      <xdr:row>70</xdr:row>
      <xdr:rowOff>0</xdr:rowOff>
    </xdr:to>
    <xdr:sp macro="" textlink="">
      <xdr:nvSpPr>
        <xdr:cNvPr id="135" name="OptionButton4" hidden="1">
          <a:extLst>
            <a:ext uri="{63B3BB69-23CF-44E3-9099-C40C66FF867C}">
              <a14:compatExt xmlns:a14="http://schemas.microsoft.com/office/drawing/2010/main" spid="_x0000_s19535"/>
            </a:ext>
          </a:extLst>
        </xdr:cNvPr>
        <xdr:cNvSpPr/>
      </xdr:nvSpPr>
      <xdr:spPr>
        <a:xfrm>
          <a:off x="7474307" y="5410324"/>
          <a:ext cx="1484152" cy="304676"/>
        </a:xfrm>
        <a:prstGeom prst="rect">
          <a:avLst/>
        </a:prstGeom>
      </xdr:spPr>
    </xdr:sp>
    <xdr:clientData/>
  </xdr:twoCellAnchor>
  <xdr:twoCellAnchor>
    <xdr:from>
      <xdr:col>13</xdr:col>
      <xdr:colOff>73382</xdr:colOff>
      <xdr:row>68</xdr:row>
      <xdr:rowOff>114424</xdr:rowOff>
    </xdr:from>
    <xdr:to>
      <xdr:col>14</xdr:col>
      <xdr:colOff>0</xdr:colOff>
      <xdr:row>70</xdr:row>
      <xdr:rowOff>0</xdr:rowOff>
    </xdr:to>
    <xdr:sp macro="" textlink="">
      <xdr:nvSpPr>
        <xdr:cNvPr id="136" name="OptionButton4" hidden="1">
          <a:extLst>
            <a:ext uri="{63B3BB69-23CF-44E3-9099-C40C66FF867C}">
              <a14:compatExt xmlns:a14="http://schemas.microsoft.com/office/drawing/2010/main" spid="_x0000_s19535"/>
            </a:ext>
          </a:extLst>
        </xdr:cNvPr>
        <xdr:cNvSpPr/>
      </xdr:nvSpPr>
      <xdr:spPr>
        <a:xfrm>
          <a:off x="8131532" y="5410324"/>
          <a:ext cx="583843" cy="304676"/>
        </a:xfrm>
        <a:prstGeom prst="rect">
          <a:avLst/>
        </a:prstGeom>
      </xdr:spPr>
    </xdr:sp>
    <xdr:clientData/>
  </xdr:twoCellAnchor>
  <xdr:twoCellAnchor>
    <xdr:from>
      <xdr:col>13</xdr:col>
      <xdr:colOff>73382</xdr:colOff>
      <xdr:row>68</xdr:row>
      <xdr:rowOff>114424</xdr:rowOff>
    </xdr:from>
    <xdr:to>
      <xdr:col>14</xdr:col>
      <xdr:colOff>0</xdr:colOff>
      <xdr:row>70</xdr:row>
      <xdr:rowOff>0</xdr:rowOff>
    </xdr:to>
    <xdr:sp macro="" textlink="">
      <xdr:nvSpPr>
        <xdr:cNvPr id="137" name="OptionButton4" hidden="1">
          <a:extLst>
            <a:ext uri="{63B3BB69-23CF-44E3-9099-C40C66FF867C}">
              <a14:compatExt xmlns:a14="http://schemas.microsoft.com/office/drawing/2010/main" spid="_x0000_s19535"/>
            </a:ext>
          </a:extLst>
        </xdr:cNvPr>
        <xdr:cNvSpPr/>
      </xdr:nvSpPr>
      <xdr:spPr>
        <a:xfrm>
          <a:off x="8131532" y="5410324"/>
          <a:ext cx="583843" cy="304676"/>
        </a:xfrm>
        <a:prstGeom prst="rect">
          <a:avLst/>
        </a:prstGeom>
      </xdr:spPr>
    </xdr:sp>
    <xdr:clientData/>
  </xdr:twoCellAnchor>
  <xdr:twoCellAnchor>
    <xdr:from>
      <xdr:col>8</xdr:col>
      <xdr:colOff>73382</xdr:colOff>
      <xdr:row>66</xdr:row>
      <xdr:rowOff>114424</xdr:rowOff>
    </xdr:from>
    <xdr:to>
      <xdr:col>10</xdr:col>
      <xdr:colOff>243084</xdr:colOff>
      <xdr:row>68</xdr:row>
      <xdr:rowOff>0</xdr:rowOff>
    </xdr:to>
    <xdr:sp macro="" textlink="">
      <xdr:nvSpPr>
        <xdr:cNvPr id="138" name="OptionButton4" hidden="1">
          <a:extLst>
            <a:ext uri="{63B3BB69-23CF-44E3-9099-C40C66FF867C}">
              <a14:compatExt xmlns:a14="http://schemas.microsoft.com/office/drawing/2010/main" spid="_x0000_s19535"/>
            </a:ext>
          </a:extLst>
        </xdr:cNvPr>
        <xdr:cNvSpPr/>
      </xdr:nvSpPr>
      <xdr:spPr>
        <a:xfrm>
          <a:off x="4845407" y="4991224"/>
          <a:ext cx="1484152" cy="304676"/>
        </a:xfrm>
        <a:prstGeom prst="rect">
          <a:avLst/>
        </a:prstGeom>
      </xdr:spPr>
    </xdr:sp>
    <xdr:clientData/>
  </xdr:twoCellAnchor>
  <xdr:twoCellAnchor>
    <xdr:from>
      <xdr:col>9</xdr:col>
      <xdr:colOff>73382</xdr:colOff>
      <xdr:row>66</xdr:row>
      <xdr:rowOff>114424</xdr:rowOff>
    </xdr:from>
    <xdr:to>
      <xdr:col>10</xdr:col>
      <xdr:colOff>0</xdr:colOff>
      <xdr:row>68</xdr:row>
      <xdr:rowOff>0</xdr:rowOff>
    </xdr:to>
    <xdr:sp macro="" textlink="">
      <xdr:nvSpPr>
        <xdr:cNvPr id="139" name="OptionButton4" hidden="1">
          <a:extLst>
            <a:ext uri="{63B3BB69-23CF-44E3-9099-C40C66FF867C}">
              <a14:compatExt xmlns:a14="http://schemas.microsoft.com/office/drawing/2010/main" spid="_x0000_s19535"/>
            </a:ext>
          </a:extLst>
        </xdr:cNvPr>
        <xdr:cNvSpPr/>
      </xdr:nvSpPr>
      <xdr:spPr>
        <a:xfrm>
          <a:off x="5502632" y="4991224"/>
          <a:ext cx="583843" cy="304676"/>
        </a:xfrm>
        <a:prstGeom prst="rect">
          <a:avLst/>
        </a:prstGeom>
      </xdr:spPr>
    </xdr:sp>
    <xdr:clientData/>
  </xdr:twoCellAnchor>
  <xdr:twoCellAnchor>
    <xdr:from>
      <xdr:col>9</xdr:col>
      <xdr:colOff>73382</xdr:colOff>
      <xdr:row>66</xdr:row>
      <xdr:rowOff>114424</xdr:rowOff>
    </xdr:from>
    <xdr:to>
      <xdr:col>10</xdr:col>
      <xdr:colOff>0</xdr:colOff>
      <xdr:row>68</xdr:row>
      <xdr:rowOff>0</xdr:rowOff>
    </xdr:to>
    <xdr:sp macro="" textlink="">
      <xdr:nvSpPr>
        <xdr:cNvPr id="140" name="OptionButton4" hidden="1">
          <a:extLst>
            <a:ext uri="{63B3BB69-23CF-44E3-9099-C40C66FF867C}">
              <a14:compatExt xmlns:a14="http://schemas.microsoft.com/office/drawing/2010/main" spid="_x0000_s19535"/>
            </a:ext>
          </a:extLst>
        </xdr:cNvPr>
        <xdr:cNvSpPr/>
      </xdr:nvSpPr>
      <xdr:spPr>
        <a:xfrm>
          <a:off x="5502632" y="4991224"/>
          <a:ext cx="583843" cy="304676"/>
        </a:xfrm>
        <a:prstGeom prst="rect">
          <a:avLst/>
        </a:prstGeom>
      </xdr:spPr>
    </xdr:sp>
    <xdr:clientData/>
  </xdr:twoCellAnchor>
  <xdr:twoCellAnchor>
    <xdr:from>
      <xdr:col>9</xdr:col>
      <xdr:colOff>73382</xdr:colOff>
      <xdr:row>66</xdr:row>
      <xdr:rowOff>114424</xdr:rowOff>
    </xdr:from>
    <xdr:to>
      <xdr:col>11</xdr:col>
      <xdr:colOff>243084</xdr:colOff>
      <xdr:row>68</xdr:row>
      <xdr:rowOff>0</xdr:rowOff>
    </xdr:to>
    <xdr:sp macro="" textlink="">
      <xdr:nvSpPr>
        <xdr:cNvPr id="141" name="OptionButton4" hidden="1">
          <a:extLst>
            <a:ext uri="{63B3BB69-23CF-44E3-9099-C40C66FF867C}">
              <a14:compatExt xmlns:a14="http://schemas.microsoft.com/office/drawing/2010/main" spid="_x0000_s19535"/>
            </a:ext>
          </a:extLst>
        </xdr:cNvPr>
        <xdr:cNvSpPr/>
      </xdr:nvSpPr>
      <xdr:spPr>
        <a:xfrm>
          <a:off x="5502632" y="4991224"/>
          <a:ext cx="1484152" cy="304676"/>
        </a:xfrm>
        <a:prstGeom prst="rect">
          <a:avLst/>
        </a:prstGeom>
      </xdr:spPr>
    </xdr:sp>
    <xdr:clientData/>
  </xdr:twoCellAnchor>
  <xdr:twoCellAnchor>
    <xdr:from>
      <xdr:col>10</xdr:col>
      <xdr:colOff>73382</xdr:colOff>
      <xdr:row>66</xdr:row>
      <xdr:rowOff>114424</xdr:rowOff>
    </xdr:from>
    <xdr:to>
      <xdr:col>11</xdr:col>
      <xdr:colOff>0</xdr:colOff>
      <xdr:row>68</xdr:row>
      <xdr:rowOff>0</xdr:rowOff>
    </xdr:to>
    <xdr:sp macro="" textlink="">
      <xdr:nvSpPr>
        <xdr:cNvPr id="142" name="OptionButton4" hidden="1">
          <a:extLst>
            <a:ext uri="{63B3BB69-23CF-44E3-9099-C40C66FF867C}">
              <a14:compatExt xmlns:a14="http://schemas.microsoft.com/office/drawing/2010/main" spid="_x0000_s19535"/>
            </a:ext>
          </a:extLst>
        </xdr:cNvPr>
        <xdr:cNvSpPr/>
      </xdr:nvSpPr>
      <xdr:spPr>
        <a:xfrm>
          <a:off x="6159857" y="4991224"/>
          <a:ext cx="583843" cy="304676"/>
        </a:xfrm>
        <a:prstGeom prst="rect">
          <a:avLst/>
        </a:prstGeom>
      </xdr:spPr>
    </xdr:sp>
    <xdr:clientData/>
  </xdr:twoCellAnchor>
  <xdr:twoCellAnchor>
    <xdr:from>
      <xdr:col>10</xdr:col>
      <xdr:colOff>73382</xdr:colOff>
      <xdr:row>66</xdr:row>
      <xdr:rowOff>114424</xdr:rowOff>
    </xdr:from>
    <xdr:to>
      <xdr:col>11</xdr:col>
      <xdr:colOff>0</xdr:colOff>
      <xdr:row>68</xdr:row>
      <xdr:rowOff>0</xdr:rowOff>
    </xdr:to>
    <xdr:sp macro="" textlink="">
      <xdr:nvSpPr>
        <xdr:cNvPr id="143" name="OptionButton4" hidden="1">
          <a:extLst>
            <a:ext uri="{63B3BB69-23CF-44E3-9099-C40C66FF867C}">
              <a14:compatExt xmlns:a14="http://schemas.microsoft.com/office/drawing/2010/main" spid="_x0000_s19535"/>
            </a:ext>
          </a:extLst>
        </xdr:cNvPr>
        <xdr:cNvSpPr/>
      </xdr:nvSpPr>
      <xdr:spPr>
        <a:xfrm>
          <a:off x="6159857" y="4991224"/>
          <a:ext cx="583843" cy="304676"/>
        </a:xfrm>
        <a:prstGeom prst="rect">
          <a:avLst/>
        </a:prstGeom>
      </xdr:spPr>
    </xdr:sp>
    <xdr:clientData/>
  </xdr:twoCellAnchor>
  <xdr:twoCellAnchor>
    <xdr:from>
      <xdr:col>10</xdr:col>
      <xdr:colOff>73382</xdr:colOff>
      <xdr:row>66</xdr:row>
      <xdr:rowOff>114424</xdr:rowOff>
    </xdr:from>
    <xdr:to>
      <xdr:col>12</xdr:col>
      <xdr:colOff>243084</xdr:colOff>
      <xdr:row>68</xdr:row>
      <xdr:rowOff>0</xdr:rowOff>
    </xdr:to>
    <xdr:sp macro="" textlink="">
      <xdr:nvSpPr>
        <xdr:cNvPr id="144" name="OptionButton4" hidden="1">
          <a:extLst>
            <a:ext uri="{63B3BB69-23CF-44E3-9099-C40C66FF867C}">
              <a14:compatExt xmlns:a14="http://schemas.microsoft.com/office/drawing/2010/main" spid="_x0000_s19535"/>
            </a:ext>
          </a:extLst>
        </xdr:cNvPr>
        <xdr:cNvSpPr/>
      </xdr:nvSpPr>
      <xdr:spPr>
        <a:xfrm>
          <a:off x="6159857" y="4991224"/>
          <a:ext cx="1484152" cy="304676"/>
        </a:xfrm>
        <a:prstGeom prst="rect">
          <a:avLst/>
        </a:prstGeom>
      </xdr:spPr>
    </xdr:sp>
    <xdr:clientData/>
  </xdr:twoCellAnchor>
  <xdr:twoCellAnchor>
    <xdr:from>
      <xdr:col>11</xdr:col>
      <xdr:colOff>73382</xdr:colOff>
      <xdr:row>66</xdr:row>
      <xdr:rowOff>114424</xdr:rowOff>
    </xdr:from>
    <xdr:to>
      <xdr:col>12</xdr:col>
      <xdr:colOff>0</xdr:colOff>
      <xdr:row>68</xdr:row>
      <xdr:rowOff>0</xdr:rowOff>
    </xdr:to>
    <xdr:sp macro="" textlink="">
      <xdr:nvSpPr>
        <xdr:cNvPr id="145" name="OptionButton4" hidden="1">
          <a:extLst>
            <a:ext uri="{63B3BB69-23CF-44E3-9099-C40C66FF867C}">
              <a14:compatExt xmlns:a14="http://schemas.microsoft.com/office/drawing/2010/main" spid="_x0000_s19535"/>
            </a:ext>
          </a:extLst>
        </xdr:cNvPr>
        <xdr:cNvSpPr/>
      </xdr:nvSpPr>
      <xdr:spPr>
        <a:xfrm>
          <a:off x="6817082" y="4991224"/>
          <a:ext cx="583843" cy="304676"/>
        </a:xfrm>
        <a:prstGeom prst="rect">
          <a:avLst/>
        </a:prstGeom>
      </xdr:spPr>
    </xdr:sp>
    <xdr:clientData/>
  </xdr:twoCellAnchor>
  <xdr:twoCellAnchor>
    <xdr:from>
      <xdr:col>11</xdr:col>
      <xdr:colOff>73382</xdr:colOff>
      <xdr:row>66</xdr:row>
      <xdr:rowOff>114424</xdr:rowOff>
    </xdr:from>
    <xdr:to>
      <xdr:col>12</xdr:col>
      <xdr:colOff>0</xdr:colOff>
      <xdr:row>68</xdr:row>
      <xdr:rowOff>0</xdr:rowOff>
    </xdr:to>
    <xdr:sp macro="" textlink="">
      <xdr:nvSpPr>
        <xdr:cNvPr id="146" name="OptionButton4" hidden="1">
          <a:extLst>
            <a:ext uri="{63B3BB69-23CF-44E3-9099-C40C66FF867C}">
              <a14:compatExt xmlns:a14="http://schemas.microsoft.com/office/drawing/2010/main" spid="_x0000_s19535"/>
            </a:ext>
          </a:extLst>
        </xdr:cNvPr>
        <xdr:cNvSpPr/>
      </xdr:nvSpPr>
      <xdr:spPr>
        <a:xfrm>
          <a:off x="6817082" y="4991224"/>
          <a:ext cx="583843" cy="304676"/>
        </a:xfrm>
        <a:prstGeom prst="rect">
          <a:avLst/>
        </a:prstGeom>
      </xdr:spPr>
    </xdr:sp>
    <xdr:clientData/>
  </xdr:twoCellAnchor>
  <xdr:twoCellAnchor>
    <xdr:from>
      <xdr:col>11</xdr:col>
      <xdr:colOff>73382</xdr:colOff>
      <xdr:row>66</xdr:row>
      <xdr:rowOff>114424</xdr:rowOff>
    </xdr:from>
    <xdr:to>
      <xdr:col>13</xdr:col>
      <xdr:colOff>243084</xdr:colOff>
      <xdr:row>68</xdr:row>
      <xdr:rowOff>0</xdr:rowOff>
    </xdr:to>
    <xdr:sp macro="" textlink="">
      <xdr:nvSpPr>
        <xdr:cNvPr id="147" name="OptionButton4" hidden="1">
          <a:extLst>
            <a:ext uri="{63B3BB69-23CF-44E3-9099-C40C66FF867C}">
              <a14:compatExt xmlns:a14="http://schemas.microsoft.com/office/drawing/2010/main" spid="_x0000_s19535"/>
            </a:ext>
          </a:extLst>
        </xdr:cNvPr>
        <xdr:cNvSpPr/>
      </xdr:nvSpPr>
      <xdr:spPr>
        <a:xfrm>
          <a:off x="6817082" y="4991224"/>
          <a:ext cx="1484152" cy="304676"/>
        </a:xfrm>
        <a:prstGeom prst="rect">
          <a:avLst/>
        </a:prstGeom>
      </xdr:spPr>
    </xdr:sp>
    <xdr:clientData/>
  </xdr:twoCellAnchor>
  <xdr:twoCellAnchor>
    <xdr:from>
      <xdr:col>12</xdr:col>
      <xdr:colOff>73382</xdr:colOff>
      <xdr:row>66</xdr:row>
      <xdr:rowOff>114424</xdr:rowOff>
    </xdr:from>
    <xdr:to>
      <xdr:col>13</xdr:col>
      <xdr:colOff>0</xdr:colOff>
      <xdr:row>68</xdr:row>
      <xdr:rowOff>0</xdr:rowOff>
    </xdr:to>
    <xdr:sp macro="" textlink="">
      <xdr:nvSpPr>
        <xdr:cNvPr id="148" name="OptionButton4" hidden="1">
          <a:extLst>
            <a:ext uri="{63B3BB69-23CF-44E3-9099-C40C66FF867C}">
              <a14:compatExt xmlns:a14="http://schemas.microsoft.com/office/drawing/2010/main" spid="_x0000_s19535"/>
            </a:ext>
          </a:extLst>
        </xdr:cNvPr>
        <xdr:cNvSpPr/>
      </xdr:nvSpPr>
      <xdr:spPr>
        <a:xfrm>
          <a:off x="7474307" y="4991224"/>
          <a:ext cx="583843" cy="304676"/>
        </a:xfrm>
        <a:prstGeom prst="rect">
          <a:avLst/>
        </a:prstGeom>
      </xdr:spPr>
    </xdr:sp>
    <xdr:clientData/>
  </xdr:twoCellAnchor>
  <xdr:twoCellAnchor>
    <xdr:from>
      <xdr:col>12</xdr:col>
      <xdr:colOff>73382</xdr:colOff>
      <xdr:row>66</xdr:row>
      <xdr:rowOff>114424</xdr:rowOff>
    </xdr:from>
    <xdr:to>
      <xdr:col>13</xdr:col>
      <xdr:colOff>0</xdr:colOff>
      <xdr:row>68</xdr:row>
      <xdr:rowOff>0</xdr:rowOff>
    </xdr:to>
    <xdr:sp macro="" textlink="">
      <xdr:nvSpPr>
        <xdr:cNvPr id="149" name="OptionButton4" hidden="1">
          <a:extLst>
            <a:ext uri="{63B3BB69-23CF-44E3-9099-C40C66FF867C}">
              <a14:compatExt xmlns:a14="http://schemas.microsoft.com/office/drawing/2010/main" spid="_x0000_s19535"/>
            </a:ext>
          </a:extLst>
        </xdr:cNvPr>
        <xdr:cNvSpPr/>
      </xdr:nvSpPr>
      <xdr:spPr>
        <a:xfrm>
          <a:off x="7474307" y="4991224"/>
          <a:ext cx="583843" cy="304676"/>
        </a:xfrm>
        <a:prstGeom prst="rect">
          <a:avLst/>
        </a:prstGeom>
      </xdr:spPr>
    </xdr:sp>
    <xdr:clientData/>
  </xdr:twoCellAnchor>
  <xdr:twoCellAnchor>
    <xdr:from>
      <xdr:col>12</xdr:col>
      <xdr:colOff>73382</xdr:colOff>
      <xdr:row>66</xdr:row>
      <xdr:rowOff>114424</xdr:rowOff>
    </xdr:from>
    <xdr:to>
      <xdr:col>14</xdr:col>
      <xdr:colOff>243084</xdr:colOff>
      <xdr:row>68</xdr:row>
      <xdr:rowOff>0</xdr:rowOff>
    </xdr:to>
    <xdr:sp macro="" textlink="">
      <xdr:nvSpPr>
        <xdr:cNvPr id="150" name="OptionButton4" hidden="1">
          <a:extLst>
            <a:ext uri="{63B3BB69-23CF-44E3-9099-C40C66FF867C}">
              <a14:compatExt xmlns:a14="http://schemas.microsoft.com/office/drawing/2010/main" spid="_x0000_s19535"/>
            </a:ext>
          </a:extLst>
        </xdr:cNvPr>
        <xdr:cNvSpPr/>
      </xdr:nvSpPr>
      <xdr:spPr>
        <a:xfrm>
          <a:off x="7474307" y="4991224"/>
          <a:ext cx="1484152" cy="304676"/>
        </a:xfrm>
        <a:prstGeom prst="rect">
          <a:avLst/>
        </a:prstGeom>
      </xdr:spPr>
    </xdr:sp>
    <xdr:clientData/>
  </xdr:twoCellAnchor>
  <xdr:twoCellAnchor>
    <xdr:from>
      <xdr:col>13</xdr:col>
      <xdr:colOff>73382</xdr:colOff>
      <xdr:row>66</xdr:row>
      <xdr:rowOff>114424</xdr:rowOff>
    </xdr:from>
    <xdr:to>
      <xdr:col>14</xdr:col>
      <xdr:colOff>0</xdr:colOff>
      <xdr:row>68</xdr:row>
      <xdr:rowOff>0</xdr:rowOff>
    </xdr:to>
    <xdr:sp macro="" textlink="">
      <xdr:nvSpPr>
        <xdr:cNvPr id="160" name="OptionButton4" hidden="1">
          <a:extLst>
            <a:ext uri="{63B3BB69-23CF-44E3-9099-C40C66FF867C}">
              <a14:compatExt xmlns:a14="http://schemas.microsoft.com/office/drawing/2010/main" spid="_x0000_s19535"/>
            </a:ext>
          </a:extLst>
        </xdr:cNvPr>
        <xdr:cNvSpPr/>
      </xdr:nvSpPr>
      <xdr:spPr>
        <a:xfrm>
          <a:off x="8131532" y="4991224"/>
          <a:ext cx="583843" cy="304676"/>
        </a:xfrm>
        <a:prstGeom prst="rect">
          <a:avLst/>
        </a:prstGeom>
      </xdr:spPr>
    </xdr:sp>
    <xdr:clientData/>
  </xdr:twoCellAnchor>
  <xdr:twoCellAnchor>
    <xdr:from>
      <xdr:col>13</xdr:col>
      <xdr:colOff>73382</xdr:colOff>
      <xdr:row>66</xdr:row>
      <xdr:rowOff>114424</xdr:rowOff>
    </xdr:from>
    <xdr:to>
      <xdr:col>14</xdr:col>
      <xdr:colOff>0</xdr:colOff>
      <xdr:row>68</xdr:row>
      <xdr:rowOff>0</xdr:rowOff>
    </xdr:to>
    <xdr:sp macro="" textlink="">
      <xdr:nvSpPr>
        <xdr:cNvPr id="161" name="OptionButton4" hidden="1">
          <a:extLst>
            <a:ext uri="{63B3BB69-23CF-44E3-9099-C40C66FF867C}">
              <a14:compatExt xmlns:a14="http://schemas.microsoft.com/office/drawing/2010/main" spid="_x0000_s19535"/>
            </a:ext>
          </a:extLst>
        </xdr:cNvPr>
        <xdr:cNvSpPr/>
      </xdr:nvSpPr>
      <xdr:spPr>
        <a:xfrm>
          <a:off x="8131532" y="4991224"/>
          <a:ext cx="583843" cy="304676"/>
        </a:xfrm>
        <a:prstGeom prst="rect">
          <a:avLst/>
        </a:prstGeom>
      </xdr:spPr>
    </xdr:sp>
    <xdr:clientData/>
  </xdr:twoCellAnchor>
  <xdr:twoCellAnchor>
    <xdr:from>
      <xdr:col>13</xdr:col>
      <xdr:colOff>73382</xdr:colOff>
      <xdr:row>66</xdr:row>
      <xdr:rowOff>114424</xdr:rowOff>
    </xdr:from>
    <xdr:to>
      <xdr:col>15</xdr:col>
      <xdr:colOff>243084</xdr:colOff>
      <xdr:row>68</xdr:row>
      <xdr:rowOff>0</xdr:rowOff>
    </xdr:to>
    <xdr:sp macro="" textlink="">
      <xdr:nvSpPr>
        <xdr:cNvPr id="162" name="OptionButton4" hidden="1">
          <a:extLst>
            <a:ext uri="{63B3BB69-23CF-44E3-9099-C40C66FF867C}">
              <a14:compatExt xmlns:a14="http://schemas.microsoft.com/office/drawing/2010/main" spid="_x0000_s19535"/>
            </a:ext>
          </a:extLst>
        </xdr:cNvPr>
        <xdr:cNvSpPr/>
      </xdr:nvSpPr>
      <xdr:spPr>
        <a:xfrm>
          <a:off x="8131532" y="4991224"/>
          <a:ext cx="1484152" cy="304676"/>
        </a:xfrm>
        <a:prstGeom prst="rect">
          <a:avLst/>
        </a:prstGeom>
      </xdr:spPr>
    </xdr:sp>
    <xdr:clientData/>
  </xdr:twoCellAnchor>
  <xdr:twoCellAnchor>
    <xdr:from>
      <xdr:col>14</xdr:col>
      <xdr:colOff>73382</xdr:colOff>
      <xdr:row>66</xdr:row>
      <xdr:rowOff>114424</xdr:rowOff>
    </xdr:from>
    <xdr:to>
      <xdr:col>15</xdr:col>
      <xdr:colOff>0</xdr:colOff>
      <xdr:row>68</xdr:row>
      <xdr:rowOff>0</xdr:rowOff>
    </xdr:to>
    <xdr:sp macro="" textlink="">
      <xdr:nvSpPr>
        <xdr:cNvPr id="163" name="OptionButton4" hidden="1">
          <a:extLst>
            <a:ext uri="{63B3BB69-23CF-44E3-9099-C40C66FF867C}">
              <a14:compatExt xmlns:a14="http://schemas.microsoft.com/office/drawing/2010/main" spid="_x0000_s19535"/>
            </a:ext>
          </a:extLst>
        </xdr:cNvPr>
        <xdr:cNvSpPr/>
      </xdr:nvSpPr>
      <xdr:spPr>
        <a:xfrm>
          <a:off x="8788757" y="4991224"/>
          <a:ext cx="583843" cy="304676"/>
        </a:xfrm>
        <a:prstGeom prst="rect">
          <a:avLst/>
        </a:prstGeom>
      </xdr:spPr>
    </xdr:sp>
    <xdr:clientData/>
  </xdr:twoCellAnchor>
  <xdr:twoCellAnchor>
    <xdr:from>
      <xdr:col>14</xdr:col>
      <xdr:colOff>73382</xdr:colOff>
      <xdr:row>66</xdr:row>
      <xdr:rowOff>114424</xdr:rowOff>
    </xdr:from>
    <xdr:to>
      <xdr:col>15</xdr:col>
      <xdr:colOff>0</xdr:colOff>
      <xdr:row>68</xdr:row>
      <xdr:rowOff>0</xdr:rowOff>
    </xdr:to>
    <xdr:sp macro="" textlink="">
      <xdr:nvSpPr>
        <xdr:cNvPr id="164" name="OptionButton4" hidden="1">
          <a:extLst>
            <a:ext uri="{63B3BB69-23CF-44E3-9099-C40C66FF867C}">
              <a14:compatExt xmlns:a14="http://schemas.microsoft.com/office/drawing/2010/main" spid="_x0000_s19535"/>
            </a:ext>
          </a:extLst>
        </xdr:cNvPr>
        <xdr:cNvSpPr/>
      </xdr:nvSpPr>
      <xdr:spPr>
        <a:xfrm>
          <a:off x="8788757" y="4991224"/>
          <a:ext cx="583843" cy="304676"/>
        </a:xfrm>
        <a:prstGeom prst="rect">
          <a:avLst/>
        </a:prstGeom>
      </xdr:spPr>
    </xdr:sp>
    <xdr:clientData/>
  </xdr:twoCellAnchor>
  <xdr:twoCellAnchor>
    <xdr:from>
      <xdr:col>14</xdr:col>
      <xdr:colOff>73382</xdr:colOff>
      <xdr:row>66</xdr:row>
      <xdr:rowOff>114424</xdr:rowOff>
    </xdr:from>
    <xdr:to>
      <xdr:col>16</xdr:col>
      <xdr:colOff>243084</xdr:colOff>
      <xdr:row>68</xdr:row>
      <xdr:rowOff>0</xdr:rowOff>
    </xdr:to>
    <xdr:sp macro="" textlink="">
      <xdr:nvSpPr>
        <xdr:cNvPr id="165" name="OptionButton4" hidden="1">
          <a:extLst>
            <a:ext uri="{63B3BB69-23CF-44E3-9099-C40C66FF867C}">
              <a14:compatExt xmlns:a14="http://schemas.microsoft.com/office/drawing/2010/main" spid="_x0000_s19535"/>
            </a:ext>
          </a:extLst>
        </xdr:cNvPr>
        <xdr:cNvSpPr/>
      </xdr:nvSpPr>
      <xdr:spPr>
        <a:xfrm>
          <a:off x="8788757" y="4991224"/>
          <a:ext cx="1474627" cy="304676"/>
        </a:xfrm>
        <a:prstGeom prst="rect">
          <a:avLst/>
        </a:prstGeom>
      </xdr:spPr>
    </xdr:sp>
    <xdr:clientData/>
  </xdr:twoCellAnchor>
  <xdr:twoCellAnchor>
    <xdr:from>
      <xdr:col>15</xdr:col>
      <xdr:colOff>73382</xdr:colOff>
      <xdr:row>66</xdr:row>
      <xdr:rowOff>114424</xdr:rowOff>
    </xdr:from>
    <xdr:to>
      <xdr:col>16</xdr:col>
      <xdr:colOff>0</xdr:colOff>
      <xdr:row>68</xdr:row>
      <xdr:rowOff>0</xdr:rowOff>
    </xdr:to>
    <xdr:sp macro="" textlink="">
      <xdr:nvSpPr>
        <xdr:cNvPr id="166" name="OptionButton4" hidden="1">
          <a:extLst>
            <a:ext uri="{63B3BB69-23CF-44E3-9099-C40C66FF867C}">
              <a14:compatExt xmlns:a14="http://schemas.microsoft.com/office/drawing/2010/main" spid="_x0000_s19535"/>
            </a:ext>
          </a:extLst>
        </xdr:cNvPr>
        <xdr:cNvSpPr/>
      </xdr:nvSpPr>
      <xdr:spPr>
        <a:xfrm>
          <a:off x="9445982" y="4991224"/>
          <a:ext cx="583843" cy="304676"/>
        </a:xfrm>
        <a:prstGeom prst="rect">
          <a:avLst/>
        </a:prstGeom>
      </xdr:spPr>
    </xdr:sp>
    <xdr:clientData/>
  </xdr:twoCellAnchor>
  <xdr:twoCellAnchor>
    <xdr:from>
      <xdr:col>15</xdr:col>
      <xdr:colOff>73382</xdr:colOff>
      <xdr:row>66</xdr:row>
      <xdr:rowOff>114424</xdr:rowOff>
    </xdr:from>
    <xdr:to>
      <xdr:col>16</xdr:col>
      <xdr:colOff>0</xdr:colOff>
      <xdr:row>68</xdr:row>
      <xdr:rowOff>0</xdr:rowOff>
    </xdr:to>
    <xdr:sp macro="" textlink="">
      <xdr:nvSpPr>
        <xdr:cNvPr id="167" name="OptionButton4" hidden="1">
          <a:extLst>
            <a:ext uri="{63B3BB69-23CF-44E3-9099-C40C66FF867C}">
              <a14:compatExt xmlns:a14="http://schemas.microsoft.com/office/drawing/2010/main" spid="_x0000_s19535"/>
            </a:ext>
          </a:extLst>
        </xdr:cNvPr>
        <xdr:cNvSpPr/>
      </xdr:nvSpPr>
      <xdr:spPr>
        <a:xfrm>
          <a:off x="9445982" y="4991224"/>
          <a:ext cx="583843" cy="304676"/>
        </a:xfrm>
        <a:prstGeom prst="rect">
          <a:avLst/>
        </a:prstGeom>
      </xdr:spPr>
    </xdr:sp>
    <xdr:clientData/>
  </xdr:twoCellAnchor>
  <xdr:twoCellAnchor>
    <xdr:from>
      <xdr:col>15</xdr:col>
      <xdr:colOff>73382</xdr:colOff>
      <xdr:row>66</xdr:row>
      <xdr:rowOff>114424</xdr:rowOff>
    </xdr:from>
    <xdr:to>
      <xdr:col>17</xdr:col>
      <xdr:colOff>243084</xdr:colOff>
      <xdr:row>68</xdr:row>
      <xdr:rowOff>0</xdr:rowOff>
    </xdr:to>
    <xdr:sp macro="" textlink="">
      <xdr:nvSpPr>
        <xdr:cNvPr id="168" name="OptionButton4" hidden="1">
          <a:extLst>
            <a:ext uri="{63B3BB69-23CF-44E3-9099-C40C66FF867C}">
              <a14:compatExt xmlns:a14="http://schemas.microsoft.com/office/drawing/2010/main" spid="_x0000_s19535"/>
            </a:ext>
          </a:extLst>
        </xdr:cNvPr>
        <xdr:cNvSpPr/>
      </xdr:nvSpPr>
      <xdr:spPr>
        <a:xfrm>
          <a:off x="9445982" y="4991224"/>
          <a:ext cx="1065052" cy="304676"/>
        </a:xfrm>
        <a:prstGeom prst="rect">
          <a:avLst/>
        </a:prstGeom>
      </xdr:spPr>
    </xdr:sp>
    <xdr:clientData/>
  </xdr:twoCellAnchor>
  <xdr:twoCellAnchor>
    <xdr:from>
      <xdr:col>16</xdr:col>
      <xdr:colOff>73382</xdr:colOff>
      <xdr:row>66</xdr:row>
      <xdr:rowOff>114424</xdr:rowOff>
    </xdr:from>
    <xdr:to>
      <xdr:col>17</xdr:col>
      <xdr:colOff>0</xdr:colOff>
      <xdr:row>68</xdr:row>
      <xdr:rowOff>0</xdr:rowOff>
    </xdr:to>
    <xdr:sp macro="" textlink="">
      <xdr:nvSpPr>
        <xdr:cNvPr id="169" name="OptionButton4" hidden="1">
          <a:extLst>
            <a:ext uri="{63B3BB69-23CF-44E3-9099-C40C66FF867C}">
              <a14:compatExt xmlns:a14="http://schemas.microsoft.com/office/drawing/2010/main" spid="_x0000_s19535"/>
            </a:ext>
          </a:extLst>
        </xdr:cNvPr>
        <xdr:cNvSpPr/>
      </xdr:nvSpPr>
      <xdr:spPr>
        <a:xfrm>
          <a:off x="10103207" y="4991224"/>
          <a:ext cx="164743" cy="304676"/>
        </a:xfrm>
        <a:prstGeom prst="rect">
          <a:avLst/>
        </a:prstGeom>
      </xdr:spPr>
    </xdr:sp>
    <xdr:clientData/>
  </xdr:twoCellAnchor>
  <xdr:twoCellAnchor>
    <xdr:from>
      <xdr:col>16</xdr:col>
      <xdr:colOff>73382</xdr:colOff>
      <xdr:row>66</xdr:row>
      <xdr:rowOff>114424</xdr:rowOff>
    </xdr:from>
    <xdr:to>
      <xdr:col>17</xdr:col>
      <xdr:colOff>0</xdr:colOff>
      <xdr:row>68</xdr:row>
      <xdr:rowOff>0</xdr:rowOff>
    </xdr:to>
    <xdr:sp macro="" textlink="">
      <xdr:nvSpPr>
        <xdr:cNvPr id="170" name="OptionButton4" hidden="1">
          <a:extLst>
            <a:ext uri="{63B3BB69-23CF-44E3-9099-C40C66FF867C}">
              <a14:compatExt xmlns:a14="http://schemas.microsoft.com/office/drawing/2010/main" spid="_x0000_s19535"/>
            </a:ext>
          </a:extLst>
        </xdr:cNvPr>
        <xdr:cNvSpPr/>
      </xdr:nvSpPr>
      <xdr:spPr>
        <a:xfrm>
          <a:off x="10103207" y="4991224"/>
          <a:ext cx="164743" cy="304676"/>
        </a:xfrm>
        <a:prstGeom prst="rect">
          <a:avLst/>
        </a:prstGeom>
      </xdr:spPr>
    </xdr:sp>
    <xdr:clientData/>
  </xdr:twoCellAnchor>
  <xdr:twoCellAnchor>
    <xdr:from>
      <xdr:col>16</xdr:col>
      <xdr:colOff>73382</xdr:colOff>
      <xdr:row>66</xdr:row>
      <xdr:rowOff>114424</xdr:rowOff>
    </xdr:from>
    <xdr:to>
      <xdr:col>18</xdr:col>
      <xdr:colOff>243084</xdr:colOff>
      <xdr:row>68</xdr:row>
      <xdr:rowOff>0</xdr:rowOff>
    </xdr:to>
    <xdr:sp macro="" textlink="">
      <xdr:nvSpPr>
        <xdr:cNvPr id="171" name="OptionButton4" hidden="1">
          <a:extLst>
            <a:ext uri="{63B3BB69-23CF-44E3-9099-C40C66FF867C}">
              <a14:compatExt xmlns:a14="http://schemas.microsoft.com/office/drawing/2010/main" spid="_x0000_s19535"/>
            </a:ext>
          </a:extLst>
        </xdr:cNvPr>
        <xdr:cNvSpPr/>
      </xdr:nvSpPr>
      <xdr:spPr>
        <a:xfrm>
          <a:off x="10103207" y="4991224"/>
          <a:ext cx="1160302" cy="304676"/>
        </a:xfrm>
        <a:prstGeom prst="rect">
          <a:avLst/>
        </a:prstGeom>
      </xdr:spPr>
    </xdr:sp>
    <xdr:clientData/>
  </xdr:twoCellAnchor>
  <xdr:twoCellAnchor>
    <xdr:from>
      <xdr:col>17</xdr:col>
      <xdr:colOff>73382</xdr:colOff>
      <xdr:row>66</xdr:row>
      <xdr:rowOff>114424</xdr:rowOff>
    </xdr:from>
    <xdr:to>
      <xdr:col>18</xdr:col>
      <xdr:colOff>0</xdr:colOff>
      <xdr:row>68</xdr:row>
      <xdr:rowOff>0</xdr:rowOff>
    </xdr:to>
    <xdr:sp macro="" textlink="">
      <xdr:nvSpPr>
        <xdr:cNvPr id="172" name="OptionButton4" hidden="1">
          <a:extLst>
            <a:ext uri="{63B3BB69-23CF-44E3-9099-C40C66FF867C}">
              <a14:compatExt xmlns:a14="http://schemas.microsoft.com/office/drawing/2010/main" spid="_x0000_s19535"/>
            </a:ext>
          </a:extLst>
        </xdr:cNvPr>
        <xdr:cNvSpPr/>
      </xdr:nvSpPr>
      <xdr:spPr>
        <a:xfrm>
          <a:off x="10341332" y="4991224"/>
          <a:ext cx="679093" cy="304676"/>
        </a:xfrm>
        <a:prstGeom prst="rect">
          <a:avLst/>
        </a:prstGeom>
      </xdr:spPr>
    </xdr:sp>
    <xdr:clientData/>
  </xdr:twoCellAnchor>
  <xdr:twoCellAnchor>
    <xdr:from>
      <xdr:col>17</xdr:col>
      <xdr:colOff>73382</xdr:colOff>
      <xdr:row>66</xdr:row>
      <xdr:rowOff>114424</xdr:rowOff>
    </xdr:from>
    <xdr:to>
      <xdr:col>18</xdr:col>
      <xdr:colOff>0</xdr:colOff>
      <xdr:row>68</xdr:row>
      <xdr:rowOff>0</xdr:rowOff>
    </xdr:to>
    <xdr:sp macro="" textlink="">
      <xdr:nvSpPr>
        <xdr:cNvPr id="173" name="OptionButton4" hidden="1">
          <a:extLst>
            <a:ext uri="{63B3BB69-23CF-44E3-9099-C40C66FF867C}">
              <a14:compatExt xmlns:a14="http://schemas.microsoft.com/office/drawing/2010/main" spid="_x0000_s19535"/>
            </a:ext>
          </a:extLst>
        </xdr:cNvPr>
        <xdr:cNvSpPr/>
      </xdr:nvSpPr>
      <xdr:spPr>
        <a:xfrm>
          <a:off x="10341332" y="4991224"/>
          <a:ext cx="679093" cy="304676"/>
        </a:xfrm>
        <a:prstGeom prst="rect">
          <a:avLst/>
        </a:prstGeom>
      </xdr:spPr>
    </xdr:sp>
    <xdr:clientData/>
  </xdr:twoCellAnchor>
  <xdr:twoCellAnchor>
    <xdr:from>
      <xdr:col>17</xdr:col>
      <xdr:colOff>73382</xdr:colOff>
      <xdr:row>66</xdr:row>
      <xdr:rowOff>114424</xdr:rowOff>
    </xdr:from>
    <xdr:to>
      <xdr:col>19</xdr:col>
      <xdr:colOff>243084</xdr:colOff>
      <xdr:row>68</xdr:row>
      <xdr:rowOff>0</xdr:rowOff>
    </xdr:to>
    <xdr:sp macro="" textlink="">
      <xdr:nvSpPr>
        <xdr:cNvPr id="174" name="OptionButton4" hidden="1">
          <a:extLst>
            <a:ext uri="{63B3BB69-23CF-44E3-9099-C40C66FF867C}">
              <a14:compatExt xmlns:a14="http://schemas.microsoft.com/office/drawing/2010/main" spid="_x0000_s19535"/>
            </a:ext>
          </a:extLst>
        </xdr:cNvPr>
        <xdr:cNvSpPr/>
      </xdr:nvSpPr>
      <xdr:spPr>
        <a:xfrm>
          <a:off x="10341332" y="4991224"/>
          <a:ext cx="1579402" cy="304676"/>
        </a:xfrm>
        <a:prstGeom prst="rect">
          <a:avLst/>
        </a:prstGeom>
      </xdr:spPr>
    </xdr:sp>
    <xdr:clientData/>
  </xdr:twoCellAnchor>
  <xdr:twoCellAnchor>
    <xdr:from>
      <xdr:col>18</xdr:col>
      <xdr:colOff>73382</xdr:colOff>
      <xdr:row>66</xdr:row>
      <xdr:rowOff>114424</xdr:rowOff>
    </xdr:from>
    <xdr:to>
      <xdr:col>19</xdr:col>
      <xdr:colOff>0</xdr:colOff>
      <xdr:row>68</xdr:row>
      <xdr:rowOff>0</xdr:rowOff>
    </xdr:to>
    <xdr:sp macro="" textlink="">
      <xdr:nvSpPr>
        <xdr:cNvPr id="175" name="OptionButton4" hidden="1">
          <a:extLst>
            <a:ext uri="{63B3BB69-23CF-44E3-9099-C40C66FF867C}">
              <a14:compatExt xmlns:a14="http://schemas.microsoft.com/office/drawing/2010/main" spid="_x0000_s19535"/>
            </a:ext>
          </a:extLst>
        </xdr:cNvPr>
        <xdr:cNvSpPr/>
      </xdr:nvSpPr>
      <xdr:spPr>
        <a:xfrm>
          <a:off x="11093807" y="4991224"/>
          <a:ext cx="583843" cy="304676"/>
        </a:xfrm>
        <a:prstGeom prst="rect">
          <a:avLst/>
        </a:prstGeom>
      </xdr:spPr>
    </xdr:sp>
    <xdr:clientData/>
  </xdr:twoCellAnchor>
  <xdr:twoCellAnchor>
    <xdr:from>
      <xdr:col>18</xdr:col>
      <xdr:colOff>73382</xdr:colOff>
      <xdr:row>66</xdr:row>
      <xdr:rowOff>114424</xdr:rowOff>
    </xdr:from>
    <xdr:to>
      <xdr:col>19</xdr:col>
      <xdr:colOff>0</xdr:colOff>
      <xdr:row>68</xdr:row>
      <xdr:rowOff>0</xdr:rowOff>
    </xdr:to>
    <xdr:sp macro="" textlink="">
      <xdr:nvSpPr>
        <xdr:cNvPr id="176" name="OptionButton4" hidden="1">
          <a:extLst>
            <a:ext uri="{63B3BB69-23CF-44E3-9099-C40C66FF867C}">
              <a14:compatExt xmlns:a14="http://schemas.microsoft.com/office/drawing/2010/main" spid="_x0000_s19535"/>
            </a:ext>
          </a:extLst>
        </xdr:cNvPr>
        <xdr:cNvSpPr/>
      </xdr:nvSpPr>
      <xdr:spPr>
        <a:xfrm>
          <a:off x="11093807" y="4991224"/>
          <a:ext cx="583843" cy="304676"/>
        </a:xfrm>
        <a:prstGeom prst="rect">
          <a:avLst/>
        </a:prstGeom>
      </xdr:spPr>
    </xdr:sp>
    <xdr:clientData/>
  </xdr:twoCellAnchor>
  <xdr:twoCellAnchor>
    <xdr:from>
      <xdr:col>12</xdr:col>
      <xdr:colOff>73382</xdr:colOff>
      <xdr:row>66</xdr:row>
      <xdr:rowOff>114424</xdr:rowOff>
    </xdr:from>
    <xdr:to>
      <xdr:col>14</xdr:col>
      <xdr:colOff>243084</xdr:colOff>
      <xdr:row>68</xdr:row>
      <xdr:rowOff>0</xdr:rowOff>
    </xdr:to>
    <xdr:sp macro="" textlink="">
      <xdr:nvSpPr>
        <xdr:cNvPr id="177" name="OptionButton4" hidden="1">
          <a:extLst>
            <a:ext uri="{63B3BB69-23CF-44E3-9099-C40C66FF867C}">
              <a14:compatExt xmlns:a14="http://schemas.microsoft.com/office/drawing/2010/main" spid="_x0000_s19535"/>
            </a:ext>
          </a:extLst>
        </xdr:cNvPr>
        <xdr:cNvSpPr/>
      </xdr:nvSpPr>
      <xdr:spPr>
        <a:xfrm>
          <a:off x="7474307" y="4991224"/>
          <a:ext cx="1484152" cy="304676"/>
        </a:xfrm>
        <a:prstGeom prst="rect">
          <a:avLst/>
        </a:prstGeom>
      </xdr:spPr>
    </xdr:sp>
    <xdr:clientData/>
  </xdr:twoCellAnchor>
  <xdr:twoCellAnchor>
    <xdr:from>
      <xdr:col>13</xdr:col>
      <xdr:colOff>73382</xdr:colOff>
      <xdr:row>66</xdr:row>
      <xdr:rowOff>114424</xdr:rowOff>
    </xdr:from>
    <xdr:to>
      <xdr:col>14</xdr:col>
      <xdr:colOff>0</xdr:colOff>
      <xdr:row>68</xdr:row>
      <xdr:rowOff>0</xdr:rowOff>
    </xdr:to>
    <xdr:sp macro="" textlink="">
      <xdr:nvSpPr>
        <xdr:cNvPr id="178" name="OptionButton4" hidden="1">
          <a:extLst>
            <a:ext uri="{63B3BB69-23CF-44E3-9099-C40C66FF867C}">
              <a14:compatExt xmlns:a14="http://schemas.microsoft.com/office/drawing/2010/main" spid="_x0000_s19535"/>
            </a:ext>
          </a:extLst>
        </xdr:cNvPr>
        <xdr:cNvSpPr/>
      </xdr:nvSpPr>
      <xdr:spPr>
        <a:xfrm>
          <a:off x="8131532" y="4991224"/>
          <a:ext cx="583843" cy="304676"/>
        </a:xfrm>
        <a:prstGeom prst="rect">
          <a:avLst/>
        </a:prstGeom>
      </xdr:spPr>
    </xdr:sp>
    <xdr:clientData/>
  </xdr:twoCellAnchor>
  <xdr:twoCellAnchor>
    <xdr:from>
      <xdr:col>13</xdr:col>
      <xdr:colOff>73382</xdr:colOff>
      <xdr:row>66</xdr:row>
      <xdr:rowOff>114424</xdr:rowOff>
    </xdr:from>
    <xdr:to>
      <xdr:col>14</xdr:col>
      <xdr:colOff>0</xdr:colOff>
      <xdr:row>68</xdr:row>
      <xdr:rowOff>0</xdr:rowOff>
    </xdr:to>
    <xdr:sp macro="" textlink="">
      <xdr:nvSpPr>
        <xdr:cNvPr id="179" name="OptionButton4" hidden="1">
          <a:extLst>
            <a:ext uri="{63B3BB69-23CF-44E3-9099-C40C66FF867C}">
              <a14:compatExt xmlns:a14="http://schemas.microsoft.com/office/drawing/2010/main" spid="_x0000_s19535"/>
            </a:ext>
          </a:extLst>
        </xdr:cNvPr>
        <xdr:cNvSpPr/>
      </xdr:nvSpPr>
      <xdr:spPr>
        <a:xfrm>
          <a:off x="8131532" y="4991224"/>
          <a:ext cx="583843" cy="304676"/>
        </a:xfrm>
        <a:prstGeom prst="rect">
          <a:avLst/>
        </a:prstGeom>
      </xdr:spPr>
    </xdr:sp>
    <xdr:clientData/>
  </xdr:twoCellAnchor>
  <xdr:twoCellAnchor>
    <xdr:from>
      <xdr:col>13</xdr:col>
      <xdr:colOff>73382</xdr:colOff>
      <xdr:row>66</xdr:row>
      <xdr:rowOff>114424</xdr:rowOff>
    </xdr:from>
    <xdr:to>
      <xdr:col>15</xdr:col>
      <xdr:colOff>243084</xdr:colOff>
      <xdr:row>68</xdr:row>
      <xdr:rowOff>0</xdr:rowOff>
    </xdr:to>
    <xdr:sp macro="" textlink="">
      <xdr:nvSpPr>
        <xdr:cNvPr id="180" name="OptionButton4" hidden="1">
          <a:extLst>
            <a:ext uri="{63B3BB69-23CF-44E3-9099-C40C66FF867C}">
              <a14:compatExt xmlns:a14="http://schemas.microsoft.com/office/drawing/2010/main" spid="_x0000_s19535"/>
            </a:ext>
          </a:extLst>
        </xdr:cNvPr>
        <xdr:cNvSpPr/>
      </xdr:nvSpPr>
      <xdr:spPr>
        <a:xfrm>
          <a:off x="8131532" y="4991224"/>
          <a:ext cx="1484152" cy="304676"/>
        </a:xfrm>
        <a:prstGeom prst="rect">
          <a:avLst/>
        </a:prstGeom>
      </xdr:spPr>
    </xdr:sp>
    <xdr:clientData/>
  </xdr:twoCellAnchor>
  <xdr:twoCellAnchor>
    <xdr:from>
      <xdr:col>14</xdr:col>
      <xdr:colOff>73382</xdr:colOff>
      <xdr:row>66</xdr:row>
      <xdr:rowOff>114424</xdr:rowOff>
    </xdr:from>
    <xdr:to>
      <xdr:col>15</xdr:col>
      <xdr:colOff>0</xdr:colOff>
      <xdr:row>68</xdr:row>
      <xdr:rowOff>0</xdr:rowOff>
    </xdr:to>
    <xdr:sp macro="" textlink="">
      <xdr:nvSpPr>
        <xdr:cNvPr id="181" name="OptionButton4" hidden="1">
          <a:extLst>
            <a:ext uri="{63B3BB69-23CF-44E3-9099-C40C66FF867C}">
              <a14:compatExt xmlns:a14="http://schemas.microsoft.com/office/drawing/2010/main" spid="_x0000_s19535"/>
            </a:ext>
          </a:extLst>
        </xdr:cNvPr>
        <xdr:cNvSpPr/>
      </xdr:nvSpPr>
      <xdr:spPr>
        <a:xfrm>
          <a:off x="8788757" y="4991224"/>
          <a:ext cx="583843" cy="304676"/>
        </a:xfrm>
        <a:prstGeom prst="rect">
          <a:avLst/>
        </a:prstGeom>
      </xdr:spPr>
    </xdr:sp>
    <xdr:clientData/>
  </xdr:twoCellAnchor>
  <xdr:twoCellAnchor>
    <xdr:from>
      <xdr:col>14</xdr:col>
      <xdr:colOff>73382</xdr:colOff>
      <xdr:row>66</xdr:row>
      <xdr:rowOff>114424</xdr:rowOff>
    </xdr:from>
    <xdr:to>
      <xdr:col>15</xdr:col>
      <xdr:colOff>0</xdr:colOff>
      <xdr:row>68</xdr:row>
      <xdr:rowOff>0</xdr:rowOff>
    </xdr:to>
    <xdr:sp macro="" textlink="">
      <xdr:nvSpPr>
        <xdr:cNvPr id="182" name="OptionButton4" hidden="1">
          <a:extLst>
            <a:ext uri="{63B3BB69-23CF-44E3-9099-C40C66FF867C}">
              <a14:compatExt xmlns:a14="http://schemas.microsoft.com/office/drawing/2010/main" spid="_x0000_s19535"/>
            </a:ext>
          </a:extLst>
        </xdr:cNvPr>
        <xdr:cNvSpPr/>
      </xdr:nvSpPr>
      <xdr:spPr>
        <a:xfrm>
          <a:off x="8788757" y="4991224"/>
          <a:ext cx="583843" cy="304676"/>
        </a:xfrm>
        <a:prstGeom prst="rect">
          <a:avLst/>
        </a:prstGeom>
      </xdr:spPr>
    </xdr:sp>
    <xdr:clientData/>
  </xdr:twoCellAnchor>
  <xdr:oneCellAnchor>
    <xdr:from>
      <xdr:col>7</xdr:col>
      <xdr:colOff>657656</xdr:colOff>
      <xdr:row>68</xdr:row>
      <xdr:rowOff>0</xdr:rowOff>
    </xdr:from>
    <xdr:ext cx="1348390" cy="465571"/>
    <xdr:sp macro="" textlink="">
      <xdr:nvSpPr>
        <xdr:cNvPr id="183" name="OptionButton7" hidden="1">
          <a:extLst>
            <a:ext uri="{63B3BB69-23CF-44E3-9099-C40C66FF867C}">
              <a14:compatExt xmlns:a14="http://schemas.microsoft.com/office/drawing/2010/main" spid="_x0000_s19536"/>
            </a:ext>
          </a:extLst>
        </xdr:cNvPr>
        <xdr:cNvSpPr/>
      </xdr:nvSpPr>
      <xdr:spPr>
        <a:xfrm>
          <a:off x="4772456" y="5295900"/>
          <a:ext cx="1348390" cy="465571"/>
        </a:xfrm>
        <a:prstGeom prst="rect">
          <a:avLst/>
        </a:prstGeom>
      </xdr:spPr>
    </xdr:sp>
    <xdr:clientData/>
  </xdr:oneCellAnchor>
  <xdr:oneCellAnchor>
    <xdr:from>
      <xdr:col>6</xdr:col>
      <xdr:colOff>657656</xdr:colOff>
      <xdr:row>65</xdr:row>
      <xdr:rowOff>0</xdr:rowOff>
    </xdr:from>
    <xdr:ext cx="1348390" cy="465571"/>
    <xdr:sp macro="" textlink="">
      <xdr:nvSpPr>
        <xdr:cNvPr id="184" name="OptionButton7" hidden="1">
          <a:extLst>
            <a:ext uri="{63B3BB69-23CF-44E3-9099-C40C66FF867C}">
              <a14:compatExt xmlns:a14="http://schemas.microsoft.com/office/drawing/2010/main" spid="_x0000_s19536"/>
            </a:ext>
          </a:extLst>
        </xdr:cNvPr>
        <xdr:cNvSpPr/>
      </xdr:nvSpPr>
      <xdr:spPr>
        <a:xfrm>
          <a:off x="4115231" y="4667250"/>
          <a:ext cx="1348390" cy="465571"/>
        </a:xfrm>
        <a:prstGeom prst="rect">
          <a:avLst/>
        </a:prstGeom>
      </xdr:spPr>
    </xdr:sp>
    <xdr:clientData/>
  </xdr:oneCellAnchor>
  <xdr:oneCellAnchor>
    <xdr:from>
      <xdr:col>8</xdr:col>
      <xdr:colOff>657656</xdr:colOff>
      <xdr:row>69</xdr:row>
      <xdr:rowOff>0</xdr:rowOff>
    </xdr:from>
    <xdr:ext cx="1348390" cy="465571"/>
    <xdr:sp macro="" textlink="">
      <xdr:nvSpPr>
        <xdr:cNvPr id="185" name="OptionButton7" hidden="1">
          <a:extLst>
            <a:ext uri="{63B3BB69-23CF-44E3-9099-C40C66FF867C}">
              <a14:compatExt xmlns:a14="http://schemas.microsoft.com/office/drawing/2010/main" spid="_x0000_s19536"/>
            </a:ext>
          </a:extLst>
        </xdr:cNvPr>
        <xdr:cNvSpPr/>
      </xdr:nvSpPr>
      <xdr:spPr>
        <a:xfrm>
          <a:off x="5429681" y="5505450"/>
          <a:ext cx="1348390" cy="465571"/>
        </a:xfrm>
        <a:prstGeom prst="rect">
          <a:avLst/>
        </a:prstGeom>
      </xdr:spPr>
    </xdr:sp>
    <xdr:clientData/>
  </xdr:oneCellAnchor>
  <xdr:oneCellAnchor>
    <xdr:from>
      <xdr:col>5</xdr:col>
      <xdr:colOff>657656</xdr:colOff>
      <xdr:row>69</xdr:row>
      <xdr:rowOff>0</xdr:rowOff>
    </xdr:from>
    <xdr:ext cx="1348390" cy="465571"/>
    <xdr:sp macro="" textlink="">
      <xdr:nvSpPr>
        <xdr:cNvPr id="186" name="OptionButton7" hidden="1">
          <a:extLst>
            <a:ext uri="{63B3BB69-23CF-44E3-9099-C40C66FF867C}">
              <a14:compatExt xmlns:a14="http://schemas.microsoft.com/office/drawing/2010/main" spid="_x0000_s19536"/>
            </a:ext>
          </a:extLst>
        </xdr:cNvPr>
        <xdr:cNvSpPr/>
      </xdr:nvSpPr>
      <xdr:spPr>
        <a:xfrm>
          <a:off x="3458006" y="5505450"/>
          <a:ext cx="1348390" cy="465571"/>
        </a:xfrm>
        <a:prstGeom prst="rect">
          <a:avLst/>
        </a:prstGeom>
      </xdr:spPr>
    </xdr:sp>
    <xdr:clientData/>
  </xdr:oneCellAnchor>
  <xdr:oneCellAnchor>
    <xdr:from>
      <xdr:col>9</xdr:col>
      <xdr:colOff>657656</xdr:colOff>
      <xdr:row>69</xdr:row>
      <xdr:rowOff>128032</xdr:rowOff>
    </xdr:from>
    <xdr:ext cx="1348390" cy="467228"/>
    <xdr:sp macro="" textlink="">
      <xdr:nvSpPr>
        <xdr:cNvPr id="187" name="OptionButton7" hidden="1">
          <a:extLst>
            <a:ext uri="{63B3BB69-23CF-44E3-9099-C40C66FF867C}">
              <a14:compatExt xmlns:a14="http://schemas.microsoft.com/office/drawing/2010/main" spid="_x0000_s19536"/>
            </a:ext>
          </a:extLst>
        </xdr:cNvPr>
        <xdr:cNvSpPr/>
      </xdr:nvSpPr>
      <xdr:spPr>
        <a:xfrm>
          <a:off x="6086906" y="5633482"/>
          <a:ext cx="1348390" cy="467228"/>
        </a:xfrm>
        <a:prstGeom prst="rect">
          <a:avLst/>
        </a:prstGeom>
      </xdr:spPr>
    </xdr:sp>
    <xdr:clientData/>
  </xdr:oneCellAnchor>
  <xdr:oneCellAnchor>
    <xdr:from>
      <xdr:col>10</xdr:col>
      <xdr:colOff>657656</xdr:colOff>
      <xdr:row>69</xdr:row>
      <xdr:rowOff>128032</xdr:rowOff>
    </xdr:from>
    <xdr:ext cx="1348390" cy="467228"/>
    <xdr:sp macro="" textlink="">
      <xdr:nvSpPr>
        <xdr:cNvPr id="188" name="OptionButton7" hidden="1">
          <a:extLst>
            <a:ext uri="{63B3BB69-23CF-44E3-9099-C40C66FF867C}">
              <a14:compatExt xmlns:a14="http://schemas.microsoft.com/office/drawing/2010/main" spid="_x0000_s19536"/>
            </a:ext>
          </a:extLst>
        </xdr:cNvPr>
        <xdr:cNvSpPr/>
      </xdr:nvSpPr>
      <xdr:spPr>
        <a:xfrm>
          <a:off x="6744131" y="5633482"/>
          <a:ext cx="1348390" cy="467228"/>
        </a:xfrm>
        <a:prstGeom prst="rect">
          <a:avLst/>
        </a:prstGeom>
      </xdr:spPr>
    </xdr:sp>
    <xdr:clientData/>
  </xdr:oneCellAnchor>
  <xdr:oneCellAnchor>
    <xdr:from>
      <xdr:col>11</xdr:col>
      <xdr:colOff>657656</xdr:colOff>
      <xdr:row>69</xdr:row>
      <xdr:rowOff>128032</xdr:rowOff>
    </xdr:from>
    <xdr:ext cx="1348390" cy="467228"/>
    <xdr:sp macro="" textlink="">
      <xdr:nvSpPr>
        <xdr:cNvPr id="189" name="OptionButton7" hidden="1">
          <a:extLst>
            <a:ext uri="{63B3BB69-23CF-44E3-9099-C40C66FF867C}">
              <a14:compatExt xmlns:a14="http://schemas.microsoft.com/office/drawing/2010/main" spid="_x0000_s19536"/>
            </a:ext>
          </a:extLst>
        </xdr:cNvPr>
        <xdr:cNvSpPr/>
      </xdr:nvSpPr>
      <xdr:spPr>
        <a:xfrm>
          <a:off x="7401356" y="5633482"/>
          <a:ext cx="1348390" cy="467228"/>
        </a:xfrm>
        <a:prstGeom prst="rect">
          <a:avLst/>
        </a:prstGeom>
      </xdr:spPr>
    </xdr:sp>
    <xdr:clientData/>
  </xdr:oneCellAnchor>
  <xdr:twoCellAnchor>
    <xdr:from>
      <xdr:col>8</xdr:col>
      <xdr:colOff>73382</xdr:colOff>
      <xdr:row>70</xdr:row>
      <xdr:rowOff>114424</xdr:rowOff>
    </xdr:from>
    <xdr:to>
      <xdr:col>10</xdr:col>
      <xdr:colOff>243084</xdr:colOff>
      <xdr:row>72</xdr:row>
      <xdr:rowOff>0</xdr:rowOff>
    </xdr:to>
    <xdr:sp macro="" textlink="">
      <xdr:nvSpPr>
        <xdr:cNvPr id="190" name="OptionButton4" hidden="1">
          <a:extLst>
            <a:ext uri="{63B3BB69-23CF-44E3-9099-C40C66FF867C}">
              <a14:compatExt xmlns:a14="http://schemas.microsoft.com/office/drawing/2010/main" spid="_x0000_s19535"/>
            </a:ext>
          </a:extLst>
        </xdr:cNvPr>
        <xdr:cNvSpPr/>
      </xdr:nvSpPr>
      <xdr:spPr>
        <a:xfrm>
          <a:off x="4845407" y="5829424"/>
          <a:ext cx="1484152" cy="304676"/>
        </a:xfrm>
        <a:prstGeom prst="rect">
          <a:avLst/>
        </a:prstGeom>
      </xdr:spPr>
    </xdr:sp>
    <xdr:clientData/>
  </xdr:twoCellAnchor>
  <xdr:twoCellAnchor>
    <xdr:from>
      <xdr:col>9</xdr:col>
      <xdr:colOff>73382</xdr:colOff>
      <xdr:row>70</xdr:row>
      <xdr:rowOff>114424</xdr:rowOff>
    </xdr:from>
    <xdr:to>
      <xdr:col>10</xdr:col>
      <xdr:colOff>0</xdr:colOff>
      <xdr:row>72</xdr:row>
      <xdr:rowOff>0</xdr:rowOff>
    </xdr:to>
    <xdr:sp macro="" textlink="">
      <xdr:nvSpPr>
        <xdr:cNvPr id="191" name="OptionButton4" hidden="1">
          <a:extLst>
            <a:ext uri="{63B3BB69-23CF-44E3-9099-C40C66FF867C}">
              <a14:compatExt xmlns:a14="http://schemas.microsoft.com/office/drawing/2010/main" spid="_x0000_s19535"/>
            </a:ext>
          </a:extLst>
        </xdr:cNvPr>
        <xdr:cNvSpPr/>
      </xdr:nvSpPr>
      <xdr:spPr>
        <a:xfrm>
          <a:off x="5502632" y="5829424"/>
          <a:ext cx="583843" cy="304676"/>
        </a:xfrm>
        <a:prstGeom prst="rect">
          <a:avLst/>
        </a:prstGeom>
      </xdr:spPr>
    </xdr:sp>
    <xdr:clientData/>
  </xdr:twoCellAnchor>
  <xdr:twoCellAnchor>
    <xdr:from>
      <xdr:col>9</xdr:col>
      <xdr:colOff>73382</xdr:colOff>
      <xdr:row>70</xdr:row>
      <xdr:rowOff>114424</xdr:rowOff>
    </xdr:from>
    <xdr:to>
      <xdr:col>10</xdr:col>
      <xdr:colOff>0</xdr:colOff>
      <xdr:row>72</xdr:row>
      <xdr:rowOff>0</xdr:rowOff>
    </xdr:to>
    <xdr:sp macro="" textlink="">
      <xdr:nvSpPr>
        <xdr:cNvPr id="192" name="OptionButton4" hidden="1">
          <a:extLst>
            <a:ext uri="{63B3BB69-23CF-44E3-9099-C40C66FF867C}">
              <a14:compatExt xmlns:a14="http://schemas.microsoft.com/office/drawing/2010/main" spid="_x0000_s19535"/>
            </a:ext>
          </a:extLst>
        </xdr:cNvPr>
        <xdr:cNvSpPr/>
      </xdr:nvSpPr>
      <xdr:spPr>
        <a:xfrm>
          <a:off x="5502632" y="5829424"/>
          <a:ext cx="583843" cy="304676"/>
        </a:xfrm>
        <a:prstGeom prst="rect">
          <a:avLst/>
        </a:prstGeom>
      </xdr:spPr>
    </xdr:sp>
    <xdr:clientData/>
  </xdr:twoCellAnchor>
  <xdr:oneCellAnchor>
    <xdr:from>
      <xdr:col>8</xdr:col>
      <xdr:colOff>657656</xdr:colOff>
      <xdr:row>71</xdr:row>
      <xdr:rowOff>0</xdr:rowOff>
    </xdr:from>
    <xdr:ext cx="1348390" cy="465571"/>
    <xdr:sp macro="" textlink="">
      <xdr:nvSpPr>
        <xdr:cNvPr id="193" name="OptionButton7" hidden="1">
          <a:extLst>
            <a:ext uri="{63B3BB69-23CF-44E3-9099-C40C66FF867C}">
              <a14:compatExt xmlns:a14="http://schemas.microsoft.com/office/drawing/2010/main" spid="_x0000_s19536"/>
            </a:ext>
          </a:extLst>
        </xdr:cNvPr>
        <xdr:cNvSpPr/>
      </xdr:nvSpPr>
      <xdr:spPr>
        <a:xfrm>
          <a:off x="5429681" y="5924550"/>
          <a:ext cx="1348390" cy="465571"/>
        </a:xfrm>
        <a:prstGeom prst="rect">
          <a:avLst/>
        </a:prstGeom>
      </xdr:spPr>
    </xdr:sp>
    <xdr:clientData/>
  </xdr:oneCellAnchor>
  <xdr:twoCellAnchor>
    <xdr:from>
      <xdr:col>3</xdr:col>
      <xdr:colOff>73382</xdr:colOff>
      <xdr:row>72</xdr:row>
      <xdr:rowOff>114424</xdr:rowOff>
    </xdr:from>
    <xdr:to>
      <xdr:col>5</xdr:col>
      <xdr:colOff>243084</xdr:colOff>
      <xdr:row>74</xdr:row>
      <xdr:rowOff>0</xdr:rowOff>
    </xdr:to>
    <xdr:sp macro="" textlink="">
      <xdr:nvSpPr>
        <xdr:cNvPr id="194" name="OptionButton4" hidden="1">
          <a:extLst>
            <a:ext uri="{63B3BB69-23CF-44E3-9099-C40C66FF867C}">
              <a14:compatExt xmlns:a14="http://schemas.microsoft.com/office/drawing/2010/main" spid="_x0000_s19535"/>
            </a:ext>
          </a:extLst>
        </xdr:cNvPr>
        <xdr:cNvSpPr/>
      </xdr:nvSpPr>
      <xdr:spPr>
        <a:xfrm>
          <a:off x="2216507" y="6248524"/>
          <a:ext cx="1484152" cy="304676"/>
        </a:xfrm>
        <a:prstGeom prst="rect">
          <a:avLst/>
        </a:prstGeom>
      </xdr:spPr>
    </xdr:sp>
    <xdr:clientData/>
  </xdr:twoCellAnchor>
  <xdr:oneCellAnchor>
    <xdr:from>
      <xdr:col>4</xdr:col>
      <xdr:colOff>657656</xdr:colOff>
      <xdr:row>72</xdr:row>
      <xdr:rowOff>128032</xdr:rowOff>
    </xdr:from>
    <xdr:ext cx="1698285" cy="498763"/>
    <xdr:sp macro="" textlink="">
      <xdr:nvSpPr>
        <xdr:cNvPr id="195" name="OptionButton7" hidden="1">
          <a:extLst>
            <a:ext uri="{63B3BB69-23CF-44E3-9099-C40C66FF867C}">
              <a14:compatExt xmlns:a14="http://schemas.microsoft.com/office/drawing/2010/main" spid="_x0000_s19536"/>
            </a:ext>
          </a:extLst>
        </xdr:cNvPr>
        <xdr:cNvSpPr/>
      </xdr:nvSpPr>
      <xdr:spPr>
        <a:xfrm>
          <a:off x="2800781" y="6262132"/>
          <a:ext cx="1698285" cy="498763"/>
        </a:xfrm>
        <a:prstGeom prst="rect">
          <a:avLst/>
        </a:prstGeom>
      </xdr:spPr>
    </xdr:sp>
    <xdr:clientData/>
  </xdr:oneCellAnchor>
  <xdr:twoCellAnchor>
    <xdr:from>
      <xdr:col>4</xdr:col>
      <xdr:colOff>73382</xdr:colOff>
      <xdr:row>72</xdr:row>
      <xdr:rowOff>114424</xdr:rowOff>
    </xdr:from>
    <xdr:to>
      <xdr:col>5</xdr:col>
      <xdr:colOff>0</xdr:colOff>
      <xdr:row>74</xdr:row>
      <xdr:rowOff>0</xdr:rowOff>
    </xdr:to>
    <xdr:sp macro="" textlink="">
      <xdr:nvSpPr>
        <xdr:cNvPr id="196" name="OptionButton4" hidden="1">
          <a:extLst>
            <a:ext uri="{63B3BB69-23CF-44E3-9099-C40C66FF867C}">
              <a14:compatExt xmlns:a14="http://schemas.microsoft.com/office/drawing/2010/main" spid="_x0000_s19535"/>
            </a:ext>
          </a:extLst>
        </xdr:cNvPr>
        <xdr:cNvSpPr/>
      </xdr:nvSpPr>
      <xdr:spPr>
        <a:xfrm>
          <a:off x="2873732" y="6248524"/>
          <a:ext cx="583843" cy="304676"/>
        </a:xfrm>
        <a:prstGeom prst="rect">
          <a:avLst/>
        </a:prstGeom>
      </xdr:spPr>
    </xdr:sp>
    <xdr:clientData/>
  </xdr:twoCellAnchor>
  <xdr:twoCellAnchor>
    <xdr:from>
      <xdr:col>4</xdr:col>
      <xdr:colOff>73382</xdr:colOff>
      <xdr:row>72</xdr:row>
      <xdr:rowOff>114424</xdr:rowOff>
    </xdr:from>
    <xdr:to>
      <xdr:col>5</xdr:col>
      <xdr:colOff>0</xdr:colOff>
      <xdr:row>74</xdr:row>
      <xdr:rowOff>0</xdr:rowOff>
    </xdr:to>
    <xdr:sp macro="" textlink="">
      <xdr:nvSpPr>
        <xdr:cNvPr id="197" name="OptionButton4" hidden="1">
          <a:extLst>
            <a:ext uri="{63B3BB69-23CF-44E3-9099-C40C66FF867C}">
              <a14:compatExt xmlns:a14="http://schemas.microsoft.com/office/drawing/2010/main" spid="_x0000_s19535"/>
            </a:ext>
          </a:extLst>
        </xdr:cNvPr>
        <xdr:cNvSpPr/>
      </xdr:nvSpPr>
      <xdr:spPr>
        <a:xfrm>
          <a:off x="2873732" y="6248524"/>
          <a:ext cx="583843" cy="304676"/>
        </a:xfrm>
        <a:prstGeom prst="rect">
          <a:avLst/>
        </a:prstGeom>
      </xdr:spPr>
    </xdr:sp>
    <xdr:clientData/>
  </xdr:twoCellAnchor>
  <xdr:twoCellAnchor>
    <xdr:from>
      <xdr:col>3</xdr:col>
      <xdr:colOff>73382</xdr:colOff>
      <xdr:row>72</xdr:row>
      <xdr:rowOff>114424</xdr:rowOff>
    </xdr:from>
    <xdr:to>
      <xdr:col>5</xdr:col>
      <xdr:colOff>243084</xdr:colOff>
      <xdr:row>74</xdr:row>
      <xdr:rowOff>0</xdr:rowOff>
    </xdr:to>
    <xdr:sp macro="" textlink="">
      <xdr:nvSpPr>
        <xdr:cNvPr id="198" name="OptionButton4" hidden="1">
          <a:extLst>
            <a:ext uri="{63B3BB69-23CF-44E3-9099-C40C66FF867C}">
              <a14:compatExt xmlns:a14="http://schemas.microsoft.com/office/drawing/2010/main" spid="_x0000_s19535"/>
            </a:ext>
          </a:extLst>
        </xdr:cNvPr>
        <xdr:cNvSpPr/>
      </xdr:nvSpPr>
      <xdr:spPr>
        <a:xfrm>
          <a:off x="2216507" y="6248524"/>
          <a:ext cx="1484152" cy="304676"/>
        </a:xfrm>
        <a:prstGeom prst="rect">
          <a:avLst/>
        </a:prstGeom>
      </xdr:spPr>
    </xdr:sp>
    <xdr:clientData/>
  </xdr:twoCellAnchor>
  <xdr:twoCellAnchor>
    <xdr:from>
      <xdr:col>4</xdr:col>
      <xdr:colOff>73382</xdr:colOff>
      <xdr:row>72</xdr:row>
      <xdr:rowOff>114424</xdr:rowOff>
    </xdr:from>
    <xdr:to>
      <xdr:col>5</xdr:col>
      <xdr:colOff>0</xdr:colOff>
      <xdr:row>74</xdr:row>
      <xdr:rowOff>0</xdr:rowOff>
    </xdr:to>
    <xdr:sp macro="" textlink="">
      <xdr:nvSpPr>
        <xdr:cNvPr id="199" name="OptionButton4" hidden="1">
          <a:extLst>
            <a:ext uri="{63B3BB69-23CF-44E3-9099-C40C66FF867C}">
              <a14:compatExt xmlns:a14="http://schemas.microsoft.com/office/drawing/2010/main" spid="_x0000_s19535"/>
            </a:ext>
          </a:extLst>
        </xdr:cNvPr>
        <xdr:cNvSpPr/>
      </xdr:nvSpPr>
      <xdr:spPr>
        <a:xfrm>
          <a:off x="2873732" y="6248524"/>
          <a:ext cx="583843" cy="304676"/>
        </a:xfrm>
        <a:prstGeom prst="rect">
          <a:avLst/>
        </a:prstGeom>
      </xdr:spPr>
    </xdr:sp>
    <xdr:clientData/>
  </xdr:twoCellAnchor>
  <xdr:twoCellAnchor>
    <xdr:from>
      <xdr:col>4</xdr:col>
      <xdr:colOff>73382</xdr:colOff>
      <xdr:row>72</xdr:row>
      <xdr:rowOff>114424</xdr:rowOff>
    </xdr:from>
    <xdr:to>
      <xdr:col>5</xdr:col>
      <xdr:colOff>0</xdr:colOff>
      <xdr:row>74</xdr:row>
      <xdr:rowOff>0</xdr:rowOff>
    </xdr:to>
    <xdr:sp macro="" textlink="">
      <xdr:nvSpPr>
        <xdr:cNvPr id="200" name="OptionButton4" hidden="1">
          <a:extLst>
            <a:ext uri="{63B3BB69-23CF-44E3-9099-C40C66FF867C}">
              <a14:compatExt xmlns:a14="http://schemas.microsoft.com/office/drawing/2010/main" spid="_x0000_s19535"/>
            </a:ext>
          </a:extLst>
        </xdr:cNvPr>
        <xdr:cNvSpPr/>
      </xdr:nvSpPr>
      <xdr:spPr>
        <a:xfrm>
          <a:off x="2873732" y="6248524"/>
          <a:ext cx="583843" cy="304676"/>
        </a:xfrm>
        <a:prstGeom prst="rect">
          <a:avLst/>
        </a:prstGeom>
      </xdr:spPr>
    </xdr:sp>
    <xdr:clientData/>
  </xdr:twoCellAnchor>
  <xdr:oneCellAnchor>
    <xdr:from>
      <xdr:col>9</xdr:col>
      <xdr:colOff>657656</xdr:colOff>
      <xdr:row>71</xdr:row>
      <xdr:rowOff>0</xdr:rowOff>
    </xdr:from>
    <xdr:ext cx="1342592" cy="463086"/>
    <xdr:sp macro="" textlink="">
      <xdr:nvSpPr>
        <xdr:cNvPr id="201" name="OptionButton7" hidden="1">
          <a:extLst>
            <a:ext uri="{63B3BB69-23CF-44E3-9099-C40C66FF867C}">
              <a14:compatExt xmlns:a14="http://schemas.microsoft.com/office/drawing/2010/main" spid="_x0000_s19536"/>
            </a:ext>
          </a:extLst>
        </xdr:cNvPr>
        <xdr:cNvSpPr/>
      </xdr:nvSpPr>
      <xdr:spPr>
        <a:xfrm>
          <a:off x="6086906" y="5924550"/>
          <a:ext cx="1342592" cy="463086"/>
        </a:xfrm>
        <a:prstGeom prst="rect">
          <a:avLst/>
        </a:prstGeom>
      </xdr:spPr>
    </xdr:sp>
    <xdr:clientData/>
  </xdr:oneCellAnchor>
  <xdr:twoCellAnchor>
    <xdr:from>
      <xdr:col>8</xdr:col>
      <xdr:colOff>73382</xdr:colOff>
      <xdr:row>70</xdr:row>
      <xdr:rowOff>114424</xdr:rowOff>
    </xdr:from>
    <xdr:to>
      <xdr:col>10</xdr:col>
      <xdr:colOff>243084</xdr:colOff>
      <xdr:row>72</xdr:row>
      <xdr:rowOff>0</xdr:rowOff>
    </xdr:to>
    <xdr:sp macro="" textlink="">
      <xdr:nvSpPr>
        <xdr:cNvPr id="202" name="OptionButton4" hidden="1">
          <a:extLst>
            <a:ext uri="{63B3BB69-23CF-44E3-9099-C40C66FF867C}">
              <a14:compatExt xmlns:a14="http://schemas.microsoft.com/office/drawing/2010/main" spid="_x0000_s19535"/>
            </a:ext>
          </a:extLst>
        </xdr:cNvPr>
        <xdr:cNvSpPr/>
      </xdr:nvSpPr>
      <xdr:spPr>
        <a:xfrm>
          <a:off x="4845407" y="5829424"/>
          <a:ext cx="1484152" cy="304676"/>
        </a:xfrm>
        <a:prstGeom prst="rect">
          <a:avLst/>
        </a:prstGeom>
      </xdr:spPr>
    </xdr:sp>
    <xdr:clientData/>
  </xdr:twoCellAnchor>
  <xdr:twoCellAnchor>
    <xdr:from>
      <xdr:col>9</xdr:col>
      <xdr:colOff>73382</xdr:colOff>
      <xdr:row>70</xdr:row>
      <xdr:rowOff>114424</xdr:rowOff>
    </xdr:from>
    <xdr:to>
      <xdr:col>10</xdr:col>
      <xdr:colOff>0</xdr:colOff>
      <xdr:row>72</xdr:row>
      <xdr:rowOff>0</xdr:rowOff>
    </xdr:to>
    <xdr:sp macro="" textlink="">
      <xdr:nvSpPr>
        <xdr:cNvPr id="203" name="OptionButton4" hidden="1">
          <a:extLst>
            <a:ext uri="{63B3BB69-23CF-44E3-9099-C40C66FF867C}">
              <a14:compatExt xmlns:a14="http://schemas.microsoft.com/office/drawing/2010/main" spid="_x0000_s19535"/>
            </a:ext>
          </a:extLst>
        </xdr:cNvPr>
        <xdr:cNvSpPr/>
      </xdr:nvSpPr>
      <xdr:spPr>
        <a:xfrm>
          <a:off x="5502632" y="5829424"/>
          <a:ext cx="583843" cy="304676"/>
        </a:xfrm>
        <a:prstGeom prst="rect">
          <a:avLst/>
        </a:prstGeom>
      </xdr:spPr>
    </xdr:sp>
    <xdr:clientData/>
  </xdr:twoCellAnchor>
  <xdr:twoCellAnchor>
    <xdr:from>
      <xdr:col>9</xdr:col>
      <xdr:colOff>73382</xdr:colOff>
      <xdr:row>70</xdr:row>
      <xdr:rowOff>114424</xdr:rowOff>
    </xdr:from>
    <xdr:to>
      <xdr:col>10</xdr:col>
      <xdr:colOff>0</xdr:colOff>
      <xdr:row>72</xdr:row>
      <xdr:rowOff>0</xdr:rowOff>
    </xdr:to>
    <xdr:sp macro="" textlink="">
      <xdr:nvSpPr>
        <xdr:cNvPr id="204" name="OptionButton4" hidden="1">
          <a:extLst>
            <a:ext uri="{63B3BB69-23CF-44E3-9099-C40C66FF867C}">
              <a14:compatExt xmlns:a14="http://schemas.microsoft.com/office/drawing/2010/main" spid="_x0000_s19535"/>
            </a:ext>
          </a:extLst>
        </xdr:cNvPr>
        <xdr:cNvSpPr/>
      </xdr:nvSpPr>
      <xdr:spPr>
        <a:xfrm>
          <a:off x="5502632" y="5829424"/>
          <a:ext cx="583843" cy="304676"/>
        </a:xfrm>
        <a:prstGeom prst="rect">
          <a:avLst/>
        </a:prstGeom>
      </xdr:spPr>
    </xdr:sp>
    <xdr:clientData/>
  </xdr:twoCellAnchor>
  <xdr:twoCellAnchor>
    <xdr:from>
      <xdr:col>9</xdr:col>
      <xdr:colOff>73382</xdr:colOff>
      <xdr:row>70</xdr:row>
      <xdr:rowOff>114424</xdr:rowOff>
    </xdr:from>
    <xdr:to>
      <xdr:col>11</xdr:col>
      <xdr:colOff>243084</xdr:colOff>
      <xdr:row>72</xdr:row>
      <xdr:rowOff>0</xdr:rowOff>
    </xdr:to>
    <xdr:sp macro="" textlink="">
      <xdr:nvSpPr>
        <xdr:cNvPr id="205" name="OptionButton4" hidden="1">
          <a:extLst>
            <a:ext uri="{63B3BB69-23CF-44E3-9099-C40C66FF867C}">
              <a14:compatExt xmlns:a14="http://schemas.microsoft.com/office/drawing/2010/main" spid="_x0000_s19535"/>
            </a:ext>
          </a:extLst>
        </xdr:cNvPr>
        <xdr:cNvSpPr/>
      </xdr:nvSpPr>
      <xdr:spPr>
        <a:xfrm>
          <a:off x="5502632" y="5829424"/>
          <a:ext cx="1484152" cy="304676"/>
        </a:xfrm>
        <a:prstGeom prst="rect">
          <a:avLst/>
        </a:prstGeom>
      </xdr:spPr>
    </xdr:sp>
    <xdr:clientData/>
  </xdr:twoCellAnchor>
  <xdr:twoCellAnchor>
    <xdr:from>
      <xdr:col>10</xdr:col>
      <xdr:colOff>73382</xdr:colOff>
      <xdr:row>70</xdr:row>
      <xdr:rowOff>114424</xdr:rowOff>
    </xdr:from>
    <xdr:to>
      <xdr:col>11</xdr:col>
      <xdr:colOff>0</xdr:colOff>
      <xdr:row>72</xdr:row>
      <xdr:rowOff>0</xdr:rowOff>
    </xdr:to>
    <xdr:sp macro="" textlink="">
      <xdr:nvSpPr>
        <xdr:cNvPr id="206" name="OptionButton4" hidden="1">
          <a:extLst>
            <a:ext uri="{63B3BB69-23CF-44E3-9099-C40C66FF867C}">
              <a14:compatExt xmlns:a14="http://schemas.microsoft.com/office/drawing/2010/main" spid="_x0000_s19535"/>
            </a:ext>
          </a:extLst>
        </xdr:cNvPr>
        <xdr:cNvSpPr/>
      </xdr:nvSpPr>
      <xdr:spPr>
        <a:xfrm>
          <a:off x="6159857" y="5829424"/>
          <a:ext cx="583843" cy="304676"/>
        </a:xfrm>
        <a:prstGeom prst="rect">
          <a:avLst/>
        </a:prstGeom>
      </xdr:spPr>
    </xdr:sp>
    <xdr:clientData/>
  </xdr:twoCellAnchor>
  <xdr:twoCellAnchor>
    <xdr:from>
      <xdr:col>10</xdr:col>
      <xdr:colOff>73382</xdr:colOff>
      <xdr:row>70</xdr:row>
      <xdr:rowOff>114424</xdr:rowOff>
    </xdr:from>
    <xdr:to>
      <xdr:col>11</xdr:col>
      <xdr:colOff>0</xdr:colOff>
      <xdr:row>72</xdr:row>
      <xdr:rowOff>0</xdr:rowOff>
    </xdr:to>
    <xdr:sp macro="" textlink="">
      <xdr:nvSpPr>
        <xdr:cNvPr id="207" name="OptionButton4" hidden="1">
          <a:extLst>
            <a:ext uri="{63B3BB69-23CF-44E3-9099-C40C66FF867C}">
              <a14:compatExt xmlns:a14="http://schemas.microsoft.com/office/drawing/2010/main" spid="_x0000_s19535"/>
            </a:ext>
          </a:extLst>
        </xdr:cNvPr>
        <xdr:cNvSpPr/>
      </xdr:nvSpPr>
      <xdr:spPr>
        <a:xfrm>
          <a:off x="6159857" y="5829424"/>
          <a:ext cx="583843" cy="304676"/>
        </a:xfrm>
        <a:prstGeom prst="rect">
          <a:avLst/>
        </a:prstGeom>
      </xdr:spPr>
    </xdr:sp>
    <xdr:clientData/>
  </xdr:twoCellAnchor>
  <xdr:twoCellAnchor>
    <xdr:from>
      <xdr:col>8</xdr:col>
      <xdr:colOff>73382</xdr:colOff>
      <xdr:row>70</xdr:row>
      <xdr:rowOff>114424</xdr:rowOff>
    </xdr:from>
    <xdr:to>
      <xdr:col>10</xdr:col>
      <xdr:colOff>243084</xdr:colOff>
      <xdr:row>72</xdr:row>
      <xdr:rowOff>0</xdr:rowOff>
    </xdr:to>
    <xdr:sp macro="" textlink="">
      <xdr:nvSpPr>
        <xdr:cNvPr id="208" name="OptionButton4" hidden="1">
          <a:extLst>
            <a:ext uri="{63B3BB69-23CF-44E3-9099-C40C66FF867C}">
              <a14:compatExt xmlns:a14="http://schemas.microsoft.com/office/drawing/2010/main" spid="_x0000_s19535"/>
            </a:ext>
          </a:extLst>
        </xdr:cNvPr>
        <xdr:cNvSpPr/>
      </xdr:nvSpPr>
      <xdr:spPr>
        <a:xfrm>
          <a:off x="4845407" y="5829424"/>
          <a:ext cx="1484152" cy="304676"/>
        </a:xfrm>
        <a:prstGeom prst="rect">
          <a:avLst/>
        </a:prstGeom>
      </xdr:spPr>
    </xdr:sp>
    <xdr:clientData/>
  </xdr:twoCellAnchor>
  <xdr:twoCellAnchor>
    <xdr:from>
      <xdr:col>9</xdr:col>
      <xdr:colOff>73382</xdr:colOff>
      <xdr:row>70</xdr:row>
      <xdr:rowOff>114424</xdr:rowOff>
    </xdr:from>
    <xdr:to>
      <xdr:col>10</xdr:col>
      <xdr:colOff>0</xdr:colOff>
      <xdr:row>72</xdr:row>
      <xdr:rowOff>0</xdr:rowOff>
    </xdr:to>
    <xdr:sp macro="" textlink="">
      <xdr:nvSpPr>
        <xdr:cNvPr id="209" name="OptionButton4" hidden="1">
          <a:extLst>
            <a:ext uri="{63B3BB69-23CF-44E3-9099-C40C66FF867C}">
              <a14:compatExt xmlns:a14="http://schemas.microsoft.com/office/drawing/2010/main" spid="_x0000_s19535"/>
            </a:ext>
          </a:extLst>
        </xdr:cNvPr>
        <xdr:cNvSpPr/>
      </xdr:nvSpPr>
      <xdr:spPr>
        <a:xfrm>
          <a:off x="5502632" y="5829424"/>
          <a:ext cx="583843" cy="304676"/>
        </a:xfrm>
        <a:prstGeom prst="rect">
          <a:avLst/>
        </a:prstGeom>
      </xdr:spPr>
    </xdr:sp>
    <xdr:clientData/>
  </xdr:twoCellAnchor>
  <xdr:twoCellAnchor>
    <xdr:from>
      <xdr:col>9</xdr:col>
      <xdr:colOff>73382</xdr:colOff>
      <xdr:row>70</xdr:row>
      <xdr:rowOff>114424</xdr:rowOff>
    </xdr:from>
    <xdr:to>
      <xdr:col>10</xdr:col>
      <xdr:colOff>0</xdr:colOff>
      <xdr:row>72</xdr:row>
      <xdr:rowOff>0</xdr:rowOff>
    </xdr:to>
    <xdr:sp macro="" textlink="">
      <xdr:nvSpPr>
        <xdr:cNvPr id="210" name="OptionButton4" hidden="1">
          <a:extLst>
            <a:ext uri="{63B3BB69-23CF-44E3-9099-C40C66FF867C}">
              <a14:compatExt xmlns:a14="http://schemas.microsoft.com/office/drawing/2010/main" spid="_x0000_s19535"/>
            </a:ext>
          </a:extLst>
        </xdr:cNvPr>
        <xdr:cNvSpPr/>
      </xdr:nvSpPr>
      <xdr:spPr>
        <a:xfrm>
          <a:off x="5502632" y="5829424"/>
          <a:ext cx="583843" cy="304676"/>
        </a:xfrm>
        <a:prstGeom prst="rect">
          <a:avLst/>
        </a:prstGeom>
      </xdr:spPr>
    </xdr:sp>
    <xdr:clientData/>
  </xdr:twoCellAnchor>
  <xdr:oneCellAnchor>
    <xdr:from>
      <xdr:col>6</xdr:col>
      <xdr:colOff>657656</xdr:colOff>
      <xdr:row>72</xdr:row>
      <xdr:rowOff>0</xdr:rowOff>
    </xdr:from>
    <xdr:ext cx="1348390" cy="465571"/>
    <xdr:sp macro="" textlink="">
      <xdr:nvSpPr>
        <xdr:cNvPr id="211" name="OptionButton7" hidden="1">
          <a:extLst>
            <a:ext uri="{63B3BB69-23CF-44E3-9099-C40C66FF867C}">
              <a14:compatExt xmlns:a14="http://schemas.microsoft.com/office/drawing/2010/main" spid="_x0000_s19536"/>
            </a:ext>
          </a:extLst>
        </xdr:cNvPr>
        <xdr:cNvSpPr/>
      </xdr:nvSpPr>
      <xdr:spPr>
        <a:xfrm>
          <a:off x="4772456" y="6134100"/>
          <a:ext cx="1348390" cy="465571"/>
        </a:xfrm>
        <a:prstGeom prst="rect">
          <a:avLst/>
        </a:prstGeom>
      </xdr:spPr>
    </xdr:sp>
    <xdr:clientData/>
  </xdr:oneCellAnchor>
  <xdr:oneCellAnchor>
    <xdr:from>
      <xdr:col>8</xdr:col>
      <xdr:colOff>657656</xdr:colOff>
      <xdr:row>73</xdr:row>
      <xdr:rowOff>0</xdr:rowOff>
    </xdr:from>
    <xdr:ext cx="1348390" cy="465571"/>
    <xdr:sp macro="" textlink="">
      <xdr:nvSpPr>
        <xdr:cNvPr id="212" name="OptionButton7" hidden="1">
          <a:extLst>
            <a:ext uri="{63B3BB69-23CF-44E3-9099-C40C66FF867C}">
              <a14:compatExt xmlns:a14="http://schemas.microsoft.com/office/drawing/2010/main" spid="_x0000_s19536"/>
            </a:ext>
          </a:extLst>
        </xdr:cNvPr>
        <xdr:cNvSpPr/>
      </xdr:nvSpPr>
      <xdr:spPr>
        <a:xfrm>
          <a:off x="5429681" y="6343650"/>
          <a:ext cx="1348390" cy="465571"/>
        </a:xfrm>
        <a:prstGeom prst="rect">
          <a:avLst/>
        </a:prstGeom>
      </xdr:spPr>
    </xdr:sp>
    <xdr:clientData/>
  </xdr:oneCellAnchor>
  <xdr:oneCellAnchor>
    <xdr:from>
      <xdr:col>6</xdr:col>
      <xdr:colOff>657656</xdr:colOff>
      <xdr:row>73</xdr:row>
      <xdr:rowOff>0</xdr:rowOff>
    </xdr:from>
    <xdr:ext cx="1348390" cy="465571"/>
    <xdr:sp macro="" textlink="">
      <xdr:nvSpPr>
        <xdr:cNvPr id="213" name="OptionButton7" hidden="1">
          <a:extLst>
            <a:ext uri="{63B3BB69-23CF-44E3-9099-C40C66FF867C}">
              <a14:compatExt xmlns:a14="http://schemas.microsoft.com/office/drawing/2010/main" spid="_x0000_s19536"/>
            </a:ext>
          </a:extLst>
        </xdr:cNvPr>
        <xdr:cNvSpPr/>
      </xdr:nvSpPr>
      <xdr:spPr>
        <a:xfrm>
          <a:off x="4115231" y="6343650"/>
          <a:ext cx="1348390" cy="465571"/>
        </a:xfrm>
        <a:prstGeom prst="rect">
          <a:avLst/>
        </a:prstGeom>
      </xdr:spPr>
    </xdr:sp>
    <xdr:clientData/>
  </xdr:oneCellAnchor>
  <xdr:oneCellAnchor>
    <xdr:from>
      <xdr:col>9</xdr:col>
      <xdr:colOff>657656</xdr:colOff>
      <xdr:row>73</xdr:row>
      <xdr:rowOff>128032</xdr:rowOff>
    </xdr:from>
    <xdr:ext cx="1348390" cy="467228"/>
    <xdr:sp macro="" textlink="">
      <xdr:nvSpPr>
        <xdr:cNvPr id="214" name="OptionButton7" hidden="1">
          <a:extLst>
            <a:ext uri="{63B3BB69-23CF-44E3-9099-C40C66FF867C}">
              <a14:compatExt xmlns:a14="http://schemas.microsoft.com/office/drawing/2010/main" spid="_x0000_s19536"/>
            </a:ext>
          </a:extLst>
        </xdr:cNvPr>
        <xdr:cNvSpPr/>
      </xdr:nvSpPr>
      <xdr:spPr>
        <a:xfrm>
          <a:off x="6086906" y="6471682"/>
          <a:ext cx="1348390" cy="467228"/>
        </a:xfrm>
        <a:prstGeom prst="rect">
          <a:avLst/>
        </a:prstGeom>
      </xdr:spPr>
    </xdr:sp>
    <xdr:clientData/>
  </xdr:oneCellAnchor>
  <xdr:twoCellAnchor>
    <xdr:from>
      <xdr:col>8</xdr:col>
      <xdr:colOff>73382</xdr:colOff>
      <xdr:row>74</xdr:row>
      <xdr:rowOff>114424</xdr:rowOff>
    </xdr:from>
    <xdr:to>
      <xdr:col>10</xdr:col>
      <xdr:colOff>243084</xdr:colOff>
      <xdr:row>76</xdr:row>
      <xdr:rowOff>0</xdr:rowOff>
    </xdr:to>
    <xdr:sp macro="" textlink="">
      <xdr:nvSpPr>
        <xdr:cNvPr id="215" name="OptionButton4" hidden="1">
          <a:extLst>
            <a:ext uri="{63B3BB69-23CF-44E3-9099-C40C66FF867C}">
              <a14:compatExt xmlns:a14="http://schemas.microsoft.com/office/drawing/2010/main" spid="_x0000_s19535"/>
            </a:ext>
          </a:extLst>
        </xdr:cNvPr>
        <xdr:cNvSpPr/>
      </xdr:nvSpPr>
      <xdr:spPr>
        <a:xfrm>
          <a:off x="4845407" y="6667624"/>
          <a:ext cx="1484152"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216"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217"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oneCellAnchor>
    <xdr:from>
      <xdr:col>8</xdr:col>
      <xdr:colOff>657656</xdr:colOff>
      <xdr:row>75</xdr:row>
      <xdr:rowOff>0</xdr:rowOff>
    </xdr:from>
    <xdr:ext cx="1348390" cy="465571"/>
    <xdr:sp macro="" textlink="">
      <xdr:nvSpPr>
        <xdr:cNvPr id="218" name="OptionButton7" hidden="1">
          <a:extLst>
            <a:ext uri="{63B3BB69-23CF-44E3-9099-C40C66FF867C}">
              <a14:compatExt xmlns:a14="http://schemas.microsoft.com/office/drawing/2010/main" spid="_x0000_s19536"/>
            </a:ext>
          </a:extLst>
        </xdr:cNvPr>
        <xdr:cNvSpPr/>
      </xdr:nvSpPr>
      <xdr:spPr>
        <a:xfrm>
          <a:off x="5429681" y="6762750"/>
          <a:ext cx="1348390" cy="465571"/>
        </a:xfrm>
        <a:prstGeom prst="rect">
          <a:avLst/>
        </a:prstGeom>
      </xdr:spPr>
    </xdr:sp>
    <xdr:clientData/>
  </xdr:oneCellAnchor>
  <xdr:twoCellAnchor>
    <xdr:from>
      <xdr:col>3</xdr:col>
      <xdr:colOff>73382</xdr:colOff>
      <xdr:row>76</xdr:row>
      <xdr:rowOff>114424</xdr:rowOff>
    </xdr:from>
    <xdr:to>
      <xdr:col>5</xdr:col>
      <xdr:colOff>243084</xdr:colOff>
      <xdr:row>78</xdr:row>
      <xdr:rowOff>0</xdr:rowOff>
    </xdr:to>
    <xdr:sp macro="" textlink="">
      <xdr:nvSpPr>
        <xdr:cNvPr id="219" name="OptionButton4" hidden="1">
          <a:extLst>
            <a:ext uri="{63B3BB69-23CF-44E3-9099-C40C66FF867C}">
              <a14:compatExt xmlns:a14="http://schemas.microsoft.com/office/drawing/2010/main" spid="_x0000_s19535"/>
            </a:ext>
          </a:extLst>
        </xdr:cNvPr>
        <xdr:cNvSpPr/>
      </xdr:nvSpPr>
      <xdr:spPr>
        <a:xfrm>
          <a:off x="1559282" y="7086724"/>
          <a:ext cx="1484152" cy="304676"/>
        </a:xfrm>
        <a:prstGeom prst="rect">
          <a:avLst/>
        </a:prstGeom>
      </xdr:spPr>
    </xdr:sp>
    <xdr:clientData/>
  </xdr:twoCellAnchor>
  <xdr:oneCellAnchor>
    <xdr:from>
      <xdr:col>3</xdr:col>
      <xdr:colOff>657656</xdr:colOff>
      <xdr:row>76</xdr:row>
      <xdr:rowOff>128032</xdr:rowOff>
    </xdr:from>
    <xdr:ext cx="1698285" cy="498763"/>
    <xdr:sp macro="" textlink="">
      <xdr:nvSpPr>
        <xdr:cNvPr id="220" name="OptionButton7" hidden="1">
          <a:extLst>
            <a:ext uri="{63B3BB69-23CF-44E3-9099-C40C66FF867C}">
              <a14:compatExt xmlns:a14="http://schemas.microsoft.com/office/drawing/2010/main" spid="_x0000_s19536"/>
            </a:ext>
          </a:extLst>
        </xdr:cNvPr>
        <xdr:cNvSpPr/>
      </xdr:nvSpPr>
      <xdr:spPr>
        <a:xfrm>
          <a:off x="2143556" y="7100332"/>
          <a:ext cx="1698285" cy="498763"/>
        </a:xfrm>
        <a:prstGeom prst="rect">
          <a:avLst/>
        </a:prstGeom>
      </xdr:spPr>
    </xdr:sp>
    <xdr:clientData/>
  </xdr:oneCellAnchor>
  <xdr:twoCellAnchor>
    <xdr:from>
      <xdr:col>4</xdr:col>
      <xdr:colOff>73382</xdr:colOff>
      <xdr:row>76</xdr:row>
      <xdr:rowOff>114424</xdr:rowOff>
    </xdr:from>
    <xdr:to>
      <xdr:col>5</xdr:col>
      <xdr:colOff>0</xdr:colOff>
      <xdr:row>78</xdr:row>
      <xdr:rowOff>0</xdr:rowOff>
    </xdr:to>
    <xdr:sp macro="" textlink="">
      <xdr:nvSpPr>
        <xdr:cNvPr id="221" name="OptionButton4" hidden="1">
          <a:extLst>
            <a:ext uri="{63B3BB69-23CF-44E3-9099-C40C66FF867C}">
              <a14:compatExt xmlns:a14="http://schemas.microsoft.com/office/drawing/2010/main" spid="_x0000_s19535"/>
            </a:ext>
          </a:extLst>
        </xdr:cNvPr>
        <xdr:cNvSpPr/>
      </xdr:nvSpPr>
      <xdr:spPr>
        <a:xfrm>
          <a:off x="2216507" y="7086724"/>
          <a:ext cx="583843" cy="304676"/>
        </a:xfrm>
        <a:prstGeom prst="rect">
          <a:avLst/>
        </a:prstGeom>
      </xdr:spPr>
    </xdr:sp>
    <xdr:clientData/>
  </xdr:twoCellAnchor>
  <xdr:twoCellAnchor>
    <xdr:from>
      <xdr:col>4</xdr:col>
      <xdr:colOff>73382</xdr:colOff>
      <xdr:row>76</xdr:row>
      <xdr:rowOff>114424</xdr:rowOff>
    </xdr:from>
    <xdr:to>
      <xdr:col>5</xdr:col>
      <xdr:colOff>0</xdr:colOff>
      <xdr:row>78</xdr:row>
      <xdr:rowOff>0</xdr:rowOff>
    </xdr:to>
    <xdr:sp macro="" textlink="">
      <xdr:nvSpPr>
        <xdr:cNvPr id="222" name="OptionButton4" hidden="1">
          <a:extLst>
            <a:ext uri="{63B3BB69-23CF-44E3-9099-C40C66FF867C}">
              <a14:compatExt xmlns:a14="http://schemas.microsoft.com/office/drawing/2010/main" spid="_x0000_s19535"/>
            </a:ext>
          </a:extLst>
        </xdr:cNvPr>
        <xdr:cNvSpPr/>
      </xdr:nvSpPr>
      <xdr:spPr>
        <a:xfrm>
          <a:off x="2216507" y="7086724"/>
          <a:ext cx="583843" cy="304676"/>
        </a:xfrm>
        <a:prstGeom prst="rect">
          <a:avLst/>
        </a:prstGeom>
      </xdr:spPr>
    </xdr:sp>
    <xdr:clientData/>
  </xdr:twoCellAnchor>
  <xdr:twoCellAnchor>
    <xdr:from>
      <xdr:col>3</xdr:col>
      <xdr:colOff>73382</xdr:colOff>
      <xdr:row>76</xdr:row>
      <xdr:rowOff>114424</xdr:rowOff>
    </xdr:from>
    <xdr:to>
      <xdr:col>5</xdr:col>
      <xdr:colOff>243084</xdr:colOff>
      <xdr:row>78</xdr:row>
      <xdr:rowOff>0</xdr:rowOff>
    </xdr:to>
    <xdr:sp macro="" textlink="">
      <xdr:nvSpPr>
        <xdr:cNvPr id="223" name="OptionButton4" hidden="1">
          <a:extLst>
            <a:ext uri="{63B3BB69-23CF-44E3-9099-C40C66FF867C}">
              <a14:compatExt xmlns:a14="http://schemas.microsoft.com/office/drawing/2010/main" spid="_x0000_s19535"/>
            </a:ext>
          </a:extLst>
        </xdr:cNvPr>
        <xdr:cNvSpPr/>
      </xdr:nvSpPr>
      <xdr:spPr>
        <a:xfrm>
          <a:off x="1559282" y="7086724"/>
          <a:ext cx="1484152" cy="304676"/>
        </a:xfrm>
        <a:prstGeom prst="rect">
          <a:avLst/>
        </a:prstGeom>
      </xdr:spPr>
    </xdr:sp>
    <xdr:clientData/>
  </xdr:twoCellAnchor>
  <xdr:twoCellAnchor>
    <xdr:from>
      <xdr:col>4</xdr:col>
      <xdr:colOff>73382</xdr:colOff>
      <xdr:row>76</xdr:row>
      <xdr:rowOff>114424</xdr:rowOff>
    </xdr:from>
    <xdr:to>
      <xdr:col>5</xdr:col>
      <xdr:colOff>0</xdr:colOff>
      <xdr:row>78</xdr:row>
      <xdr:rowOff>0</xdr:rowOff>
    </xdr:to>
    <xdr:sp macro="" textlink="">
      <xdr:nvSpPr>
        <xdr:cNvPr id="224" name="OptionButton4" hidden="1">
          <a:extLst>
            <a:ext uri="{63B3BB69-23CF-44E3-9099-C40C66FF867C}">
              <a14:compatExt xmlns:a14="http://schemas.microsoft.com/office/drawing/2010/main" spid="_x0000_s19535"/>
            </a:ext>
          </a:extLst>
        </xdr:cNvPr>
        <xdr:cNvSpPr/>
      </xdr:nvSpPr>
      <xdr:spPr>
        <a:xfrm>
          <a:off x="2216507" y="7086724"/>
          <a:ext cx="583843" cy="304676"/>
        </a:xfrm>
        <a:prstGeom prst="rect">
          <a:avLst/>
        </a:prstGeom>
      </xdr:spPr>
    </xdr:sp>
    <xdr:clientData/>
  </xdr:twoCellAnchor>
  <xdr:twoCellAnchor>
    <xdr:from>
      <xdr:col>4</xdr:col>
      <xdr:colOff>73382</xdr:colOff>
      <xdr:row>76</xdr:row>
      <xdr:rowOff>114424</xdr:rowOff>
    </xdr:from>
    <xdr:to>
      <xdr:col>5</xdr:col>
      <xdr:colOff>0</xdr:colOff>
      <xdr:row>78</xdr:row>
      <xdr:rowOff>0</xdr:rowOff>
    </xdr:to>
    <xdr:sp macro="" textlink="">
      <xdr:nvSpPr>
        <xdr:cNvPr id="225" name="OptionButton4" hidden="1">
          <a:extLst>
            <a:ext uri="{63B3BB69-23CF-44E3-9099-C40C66FF867C}">
              <a14:compatExt xmlns:a14="http://schemas.microsoft.com/office/drawing/2010/main" spid="_x0000_s19535"/>
            </a:ext>
          </a:extLst>
        </xdr:cNvPr>
        <xdr:cNvSpPr/>
      </xdr:nvSpPr>
      <xdr:spPr>
        <a:xfrm>
          <a:off x="2216507" y="7086724"/>
          <a:ext cx="583843" cy="304676"/>
        </a:xfrm>
        <a:prstGeom prst="rect">
          <a:avLst/>
        </a:prstGeom>
      </xdr:spPr>
    </xdr:sp>
    <xdr:clientData/>
  </xdr:twoCellAnchor>
  <xdr:oneCellAnchor>
    <xdr:from>
      <xdr:col>9</xdr:col>
      <xdr:colOff>657656</xdr:colOff>
      <xdr:row>75</xdr:row>
      <xdr:rowOff>0</xdr:rowOff>
    </xdr:from>
    <xdr:ext cx="1342592" cy="463086"/>
    <xdr:sp macro="" textlink="">
      <xdr:nvSpPr>
        <xdr:cNvPr id="226" name="OptionButton7" hidden="1">
          <a:extLst>
            <a:ext uri="{63B3BB69-23CF-44E3-9099-C40C66FF867C}">
              <a14:compatExt xmlns:a14="http://schemas.microsoft.com/office/drawing/2010/main" spid="_x0000_s19536"/>
            </a:ext>
          </a:extLst>
        </xdr:cNvPr>
        <xdr:cNvSpPr/>
      </xdr:nvSpPr>
      <xdr:spPr>
        <a:xfrm>
          <a:off x="6086906" y="6762750"/>
          <a:ext cx="1342592" cy="463086"/>
        </a:xfrm>
        <a:prstGeom prst="rect">
          <a:avLst/>
        </a:prstGeom>
      </xdr:spPr>
    </xdr:sp>
    <xdr:clientData/>
  </xdr:oneCellAnchor>
  <xdr:twoCellAnchor>
    <xdr:from>
      <xdr:col>8</xdr:col>
      <xdr:colOff>73382</xdr:colOff>
      <xdr:row>74</xdr:row>
      <xdr:rowOff>114424</xdr:rowOff>
    </xdr:from>
    <xdr:to>
      <xdr:col>10</xdr:col>
      <xdr:colOff>243084</xdr:colOff>
      <xdr:row>76</xdr:row>
      <xdr:rowOff>0</xdr:rowOff>
    </xdr:to>
    <xdr:sp macro="" textlink="">
      <xdr:nvSpPr>
        <xdr:cNvPr id="227" name="OptionButton4" hidden="1">
          <a:extLst>
            <a:ext uri="{63B3BB69-23CF-44E3-9099-C40C66FF867C}">
              <a14:compatExt xmlns:a14="http://schemas.microsoft.com/office/drawing/2010/main" spid="_x0000_s19535"/>
            </a:ext>
          </a:extLst>
        </xdr:cNvPr>
        <xdr:cNvSpPr/>
      </xdr:nvSpPr>
      <xdr:spPr>
        <a:xfrm>
          <a:off x="4845407" y="6667624"/>
          <a:ext cx="1484152"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228"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229"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twoCellAnchor>
    <xdr:from>
      <xdr:col>9</xdr:col>
      <xdr:colOff>73382</xdr:colOff>
      <xdr:row>74</xdr:row>
      <xdr:rowOff>114424</xdr:rowOff>
    </xdr:from>
    <xdr:to>
      <xdr:col>11</xdr:col>
      <xdr:colOff>243084</xdr:colOff>
      <xdr:row>76</xdr:row>
      <xdr:rowOff>0</xdr:rowOff>
    </xdr:to>
    <xdr:sp macro="" textlink="">
      <xdr:nvSpPr>
        <xdr:cNvPr id="230" name="OptionButton4" hidden="1">
          <a:extLst>
            <a:ext uri="{63B3BB69-23CF-44E3-9099-C40C66FF867C}">
              <a14:compatExt xmlns:a14="http://schemas.microsoft.com/office/drawing/2010/main" spid="_x0000_s19535"/>
            </a:ext>
          </a:extLst>
        </xdr:cNvPr>
        <xdr:cNvSpPr/>
      </xdr:nvSpPr>
      <xdr:spPr>
        <a:xfrm>
          <a:off x="5502632" y="6667624"/>
          <a:ext cx="1484152" cy="304676"/>
        </a:xfrm>
        <a:prstGeom prst="rect">
          <a:avLst/>
        </a:prstGeom>
      </xdr:spPr>
    </xdr:sp>
    <xdr:clientData/>
  </xdr:twoCellAnchor>
  <xdr:twoCellAnchor>
    <xdr:from>
      <xdr:col>10</xdr:col>
      <xdr:colOff>73382</xdr:colOff>
      <xdr:row>74</xdr:row>
      <xdr:rowOff>114424</xdr:rowOff>
    </xdr:from>
    <xdr:to>
      <xdr:col>11</xdr:col>
      <xdr:colOff>0</xdr:colOff>
      <xdr:row>76</xdr:row>
      <xdr:rowOff>0</xdr:rowOff>
    </xdr:to>
    <xdr:sp macro="" textlink="">
      <xdr:nvSpPr>
        <xdr:cNvPr id="231" name="OptionButton4" hidden="1">
          <a:extLst>
            <a:ext uri="{63B3BB69-23CF-44E3-9099-C40C66FF867C}">
              <a14:compatExt xmlns:a14="http://schemas.microsoft.com/office/drawing/2010/main" spid="_x0000_s19535"/>
            </a:ext>
          </a:extLst>
        </xdr:cNvPr>
        <xdr:cNvSpPr/>
      </xdr:nvSpPr>
      <xdr:spPr>
        <a:xfrm>
          <a:off x="6159857" y="6667624"/>
          <a:ext cx="583843" cy="304676"/>
        </a:xfrm>
        <a:prstGeom prst="rect">
          <a:avLst/>
        </a:prstGeom>
      </xdr:spPr>
    </xdr:sp>
    <xdr:clientData/>
  </xdr:twoCellAnchor>
  <xdr:twoCellAnchor>
    <xdr:from>
      <xdr:col>10</xdr:col>
      <xdr:colOff>73382</xdr:colOff>
      <xdr:row>74</xdr:row>
      <xdr:rowOff>114424</xdr:rowOff>
    </xdr:from>
    <xdr:to>
      <xdr:col>11</xdr:col>
      <xdr:colOff>0</xdr:colOff>
      <xdr:row>76</xdr:row>
      <xdr:rowOff>0</xdr:rowOff>
    </xdr:to>
    <xdr:sp macro="" textlink="">
      <xdr:nvSpPr>
        <xdr:cNvPr id="232" name="OptionButton4" hidden="1">
          <a:extLst>
            <a:ext uri="{63B3BB69-23CF-44E3-9099-C40C66FF867C}">
              <a14:compatExt xmlns:a14="http://schemas.microsoft.com/office/drawing/2010/main" spid="_x0000_s19535"/>
            </a:ext>
          </a:extLst>
        </xdr:cNvPr>
        <xdr:cNvSpPr/>
      </xdr:nvSpPr>
      <xdr:spPr>
        <a:xfrm>
          <a:off x="6159857" y="6667624"/>
          <a:ext cx="583843" cy="304676"/>
        </a:xfrm>
        <a:prstGeom prst="rect">
          <a:avLst/>
        </a:prstGeom>
      </xdr:spPr>
    </xdr:sp>
    <xdr:clientData/>
  </xdr:twoCellAnchor>
  <xdr:twoCellAnchor>
    <xdr:from>
      <xdr:col>8</xdr:col>
      <xdr:colOff>73382</xdr:colOff>
      <xdr:row>74</xdr:row>
      <xdr:rowOff>114424</xdr:rowOff>
    </xdr:from>
    <xdr:to>
      <xdr:col>10</xdr:col>
      <xdr:colOff>243084</xdr:colOff>
      <xdr:row>76</xdr:row>
      <xdr:rowOff>0</xdr:rowOff>
    </xdr:to>
    <xdr:sp macro="" textlink="">
      <xdr:nvSpPr>
        <xdr:cNvPr id="233" name="OptionButton4" hidden="1">
          <a:extLst>
            <a:ext uri="{63B3BB69-23CF-44E3-9099-C40C66FF867C}">
              <a14:compatExt xmlns:a14="http://schemas.microsoft.com/office/drawing/2010/main" spid="_x0000_s19535"/>
            </a:ext>
          </a:extLst>
        </xdr:cNvPr>
        <xdr:cNvSpPr/>
      </xdr:nvSpPr>
      <xdr:spPr>
        <a:xfrm>
          <a:off x="4845407" y="6667624"/>
          <a:ext cx="1484152"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234"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235"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oneCellAnchor>
    <xdr:from>
      <xdr:col>7</xdr:col>
      <xdr:colOff>657656</xdr:colOff>
      <xdr:row>76</xdr:row>
      <xdr:rowOff>0</xdr:rowOff>
    </xdr:from>
    <xdr:ext cx="1348390" cy="465571"/>
    <xdr:sp macro="" textlink="">
      <xdr:nvSpPr>
        <xdr:cNvPr id="236" name="OptionButton7" hidden="1">
          <a:extLst>
            <a:ext uri="{63B3BB69-23CF-44E3-9099-C40C66FF867C}">
              <a14:compatExt xmlns:a14="http://schemas.microsoft.com/office/drawing/2010/main" spid="_x0000_s19536"/>
            </a:ext>
          </a:extLst>
        </xdr:cNvPr>
        <xdr:cNvSpPr/>
      </xdr:nvSpPr>
      <xdr:spPr>
        <a:xfrm>
          <a:off x="4772456" y="6972300"/>
          <a:ext cx="1348390" cy="465571"/>
        </a:xfrm>
        <a:prstGeom prst="rect">
          <a:avLst/>
        </a:prstGeom>
      </xdr:spPr>
    </xdr:sp>
    <xdr:clientData/>
  </xdr:oneCellAnchor>
  <xdr:oneCellAnchor>
    <xdr:from>
      <xdr:col>8</xdr:col>
      <xdr:colOff>657656</xdr:colOff>
      <xdr:row>77</xdr:row>
      <xdr:rowOff>0</xdr:rowOff>
    </xdr:from>
    <xdr:ext cx="1348390" cy="465571"/>
    <xdr:sp macro="" textlink="">
      <xdr:nvSpPr>
        <xdr:cNvPr id="237" name="OptionButton7" hidden="1">
          <a:extLst>
            <a:ext uri="{63B3BB69-23CF-44E3-9099-C40C66FF867C}">
              <a14:compatExt xmlns:a14="http://schemas.microsoft.com/office/drawing/2010/main" spid="_x0000_s19536"/>
            </a:ext>
          </a:extLst>
        </xdr:cNvPr>
        <xdr:cNvSpPr/>
      </xdr:nvSpPr>
      <xdr:spPr>
        <a:xfrm>
          <a:off x="5429681" y="7181850"/>
          <a:ext cx="1348390" cy="465571"/>
        </a:xfrm>
        <a:prstGeom prst="rect">
          <a:avLst/>
        </a:prstGeom>
      </xdr:spPr>
    </xdr:sp>
    <xdr:clientData/>
  </xdr:oneCellAnchor>
  <xdr:oneCellAnchor>
    <xdr:from>
      <xdr:col>2</xdr:col>
      <xdr:colOff>657656</xdr:colOff>
      <xdr:row>77</xdr:row>
      <xdr:rowOff>0</xdr:rowOff>
    </xdr:from>
    <xdr:ext cx="1348390" cy="465571"/>
    <xdr:sp macro="" textlink="">
      <xdr:nvSpPr>
        <xdr:cNvPr id="238" name="OptionButton7" hidden="1">
          <a:extLst>
            <a:ext uri="{63B3BB69-23CF-44E3-9099-C40C66FF867C}">
              <a14:compatExt xmlns:a14="http://schemas.microsoft.com/office/drawing/2010/main" spid="_x0000_s19536"/>
            </a:ext>
          </a:extLst>
        </xdr:cNvPr>
        <xdr:cNvSpPr/>
      </xdr:nvSpPr>
      <xdr:spPr>
        <a:xfrm>
          <a:off x="3458006" y="7181850"/>
          <a:ext cx="1348390" cy="465571"/>
        </a:xfrm>
        <a:prstGeom prst="rect">
          <a:avLst/>
        </a:prstGeom>
      </xdr:spPr>
    </xdr:sp>
    <xdr:clientData/>
  </xdr:oneCellAnchor>
  <xdr:oneCellAnchor>
    <xdr:from>
      <xdr:col>9</xdr:col>
      <xdr:colOff>657656</xdr:colOff>
      <xdr:row>77</xdr:row>
      <xdr:rowOff>128032</xdr:rowOff>
    </xdr:from>
    <xdr:ext cx="1348390" cy="467228"/>
    <xdr:sp macro="" textlink="">
      <xdr:nvSpPr>
        <xdr:cNvPr id="239" name="OptionButton7" hidden="1">
          <a:extLst>
            <a:ext uri="{63B3BB69-23CF-44E3-9099-C40C66FF867C}">
              <a14:compatExt xmlns:a14="http://schemas.microsoft.com/office/drawing/2010/main" spid="_x0000_s19536"/>
            </a:ext>
          </a:extLst>
        </xdr:cNvPr>
        <xdr:cNvSpPr/>
      </xdr:nvSpPr>
      <xdr:spPr>
        <a:xfrm>
          <a:off x="6086906" y="7309882"/>
          <a:ext cx="1348390" cy="467228"/>
        </a:xfrm>
        <a:prstGeom prst="rect">
          <a:avLst/>
        </a:prstGeom>
      </xdr:spPr>
    </xdr:sp>
    <xdr:clientData/>
  </xdr:oneCellAnchor>
  <xdr:twoCellAnchor>
    <xdr:from>
      <xdr:col>9</xdr:col>
      <xdr:colOff>73382</xdr:colOff>
      <xdr:row>71</xdr:row>
      <xdr:rowOff>114424</xdr:rowOff>
    </xdr:from>
    <xdr:to>
      <xdr:col>11</xdr:col>
      <xdr:colOff>243084</xdr:colOff>
      <xdr:row>73</xdr:row>
      <xdr:rowOff>0</xdr:rowOff>
    </xdr:to>
    <xdr:sp macro="" textlink="">
      <xdr:nvSpPr>
        <xdr:cNvPr id="240" name="OptionButton4" hidden="1">
          <a:extLst>
            <a:ext uri="{63B3BB69-23CF-44E3-9099-C40C66FF867C}">
              <a14:compatExt xmlns:a14="http://schemas.microsoft.com/office/drawing/2010/main" spid="_x0000_s19535"/>
            </a:ext>
          </a:extLst>
        </xdr:cNvPr>
        <xdr:cNvSpPr/>
      </xdr:nvSpPr>
      <xdr:spPr>
        <a:xfrm>
          <a:off x="5502632" y="6038974"/>
          <a:ext cx="1484152" cy="304676"/>
        </a:xfrm>
        <a:prstGeom prst="rect">
          <a:avLst/>
        </a:prstGeom>
      </xdr:spPr>
    </xdr:sp>
    <xdr:clientData/>
  </xdr:twoCellAnchor>
  <xdr:twoCellAnchor>
    <xdr:from>
      <xdr:col>10</xdr:col>
      <xdr:colOff>73382</xdr:colOff>
      <xdr:row>71</xdr:row>
      <xdr:rowOff>114424</xdr:rowOff>
    </xdr:from>
    <xdr:to>
      <xdr:col>11</xdr:col>
      <xdr:colOff>0</xdr:colOff>
      <xdr:row>73</xdr:row>
      <xdr:rowOff>0</xdr:rowOff>
    </xdr:to>
    <xdr:sp macro="" textlink="">
      <xdr:nvSpPr>
        <xdr:cNvPr id="241" name="OptionButton4" hidden="1">
          <a:extLst>
            <a:ext uri="{63B3BB69-23CF-44E3-9099-C40C66FF867C}">
              <a14:compatExt xmlns:a14="http://schemas.microsoft.com/office/drawing/2010/main" spid="_x0000_s19535"/>
            </a:ext>
          </a:extLst>
        </xdr:cNvPr>
        <xdr:cNvSpPr/>
      </xdr:nvSpPr>
      <xdr:spPr>
        <a:xfrm>
          <a:off x="6159857" y="6038974"/>
          <a:ext cx="583843" cy="304676"/>
        </a:xfrm>
        <a:prstGeom prst="rect">
          <a:avLst/>
        </a:prstGeom>
      </xdr:spPr>
    </xdr:sp>
    <xdr:clientData/>
  </xdr:twoCellAnchor>
  <xdr:twoCellAnchor>
    <xdr:from>
      <xdr:col>10</xdr:col>
      <xdr:colOff>73382</xdr:colOff>
      <xdr:row>71</xdr:row>
      <xdr:rowOff>114424</xdr:rowOff>
    </xdr:from>
    <xdr:to>
      <xdr:col>11</xdr:col>
      <xdr:colOff>0</xdr:colOff>
      <xdr:row>73</xdr:row>
      <xdr:rowOff>0</xdr:rowOff>
    </xdr:to>
    <xdr:sp macro="" textlink="">
      <xdr:nvSpPr>
        <xdr:cNvPr id="242" name="OptionButton4" hidden="1">
          <a:extLst>
            <a:ext uri="{63B3BB69-23CF-44E3-9099-C40C66FF867C}">
              <a14:compatExt xmlns:a14="http://schemas.microsoft.com/office/drawing/2010/main" spid="_x0000_s19535"/>
            </a:ext>
          </a:extLst>
        </xdr:cNvPr>
        <xdr:cNvSpPr/>
      </xdr:nvSpPr>
      <xdr:spPr>
        <a:xfrm>
          <a:off x="6159857" y="6038974"/>
          <a:ext cx="583843" cy="304676"/>
        </a:xfrm>
        <a:prstGeom prst="rect">
          <a:avLst/>
        </a:prstGeom>
      </xdr:spPr>
    </xdr:sp>
    <xdr:clientData/>
  </xdr:twoCellAnchor>
  <xdr:twoCellAnchor>
    <xdr:from>
      <xdr:col>9</xdr:col>
      <xdr:colOff>73382</xdr:colOff>
      <xdr:row>72</xdr:row>
      <xdr:rowOff>114424</xdr:rowOff>
    </xdr:from>
    <xdr:to>
      <xdr:col>11</xdr:col>
      <xdr:colOff>243084</xdr:colOff>
      <xdr:row>74</xdr:row>
      <xdr:rowOff>0</xdr:rowOff>
    </xdr:to>
    <xdr:sp macro="" textlink="">
      <xdr:nvSpPr>
        <xdr:cNvPr id="243" name="OptionButton4" hidden="1">
          <a:extLst>
            <a:ext uri="{63B3BB69-23CF-44E3-9099-C40C66FF867C}">
              <a14:compatExt xmlns:a14="http://schemas.microsoft.com/office/drawing/2010/main" spid="_x0000_s19535"/>
            </a:ext>
          </a:extLst>
        </xdr:cNvPr>
        <xdr:cNvSpPr/>
      </xdr:nvSpPr>
      <xdr:spPr>
        <a:xfrm>
          <a:off x="5502632" y="6248524"/>
          <a:ext cx="1484152" cy="304676"/>
        </a:xfrm>
        <a:prstGeom prst="rect">
          <a:avLst/>
        </a:prstGeom>
      </xdr:spPr>
    </xdr:sp>
    <xdr:clientData/>
  </xdr:twoCellAnchor>
  <xdr:twoCellAnchor>
    <xdr:from>
      <xdr:col>10</xdr:col>
      <xdr:colOff>73382</xdr:colOff>
      <xdr:row>72</xdr:row>
      <xdr:rowOff>114424</xdr:rowOff>
    </xdr:from>
    <xdr:to>
      <xdr:col>11</xdr:col>
      <xdr:colOff>0</xdr:colOff>
      <xdr:row>74</xdr:row>
      <xdr:rowOff>0</xdr:rowOff>
    </xdr:to>
    <xdr:sp macro="" textlink="">
      <xdr:nvSpPr>
        <xdr:cNvPr id="244" name="OptionButton4" hidden="1">
          <a:extLst>
            <a:ext uri="{63B3BB69-23CF-44E3-9099-C40C66FF867C}">
              <a14:compatExt xmlns:a14="http://schemas.microsoft.com/office/drawing/2010/main" spid="_x0000_s19535"/>
            </a:ext>
          </a:extLst>
        </xdr:cNvPr>
        <xdr:cNvSpPr/>
      </xdr:nvSpPr>
      <xdr:spPr>
        <a:xfrm>
          <a:off x="6159857" y="6248524"/>
          <a:ext cx="583843" cy="304676"/>
        </a:xfrm>
        <a:prstGeom prst="rect">
          <a:avLst/>
        </a:prstGeom>
      </xdr:spPr>
    </xdr:sp>
    <xdr:clientData/>
  </xdr:twoCellAnchor>
  <xdr:twoCellAnchor>
    <xdr:from>
      <xdr:col>10</xdr:col>
      <xdr:colOff>73382</xdr:colOff>
      <xdr:row>72</xdr:row>
      <xdr:rowOff>114424</xdr:rowOff>
    </xdr:from>
    <xdr:to>
      <xdr:col>11</xdr:col>
      <xdr:colOff>0</xdr:colOff>
      <xdr:row>74</xdr:row>
      <xdr:rowOff>0</xdr:rowOff>
    </xdr:to>
    <xdr:sp macro="" textlink="">
      <xdr:nvSpPr>
        <xdr:cNvPr id="245" name="OptionButton4" hidden="1">
          <a:extLst>
            <a:ext uri="{63B3BB69-23CF-44E3-9099-C40C66FF867C}">
              <a14:compatExt xmlns:a14="http://schemas.microsoft.com/office/drawing/2010/main" spid="_x0000_s19535"/>
            </a:ext>
          </a:extLst>
        </xdr:cNvPr>
        <xdr:cNvSpPr/>
      </xdr:nvSpPr>
      <xdr:spPr>
        <a:xfrm>
          <a:off x="6159857" y="6248524"/>
          <a:ext cx="583843" cy="304676"/>
        </a:xfrm>
        <a:prstGeom prst="rect">
          <a:avLst/>
        </a:prstGeom>
      </xdr:spPr>
    </xdr:sp>
    <xdr:clientData/>
  </xdr:twoCellAnchor>
  <xdr:twoCellAnchor>
    <xdr:from>
      <xdr:col>9</xdr:col>
      <xdr:colOff>73382</xdr:colOff>
      <xdr:row>73</xdr:row>
      <xdr:rowOff>114424</xdr:rowOff>
    </xdr:from>
    <xdr:to>
      <xdr:col>11</xdr:col>
      <xdr:colOff>243084</xdr:colOff>
      <xdr:row>75</xdr:row>
      <xdr:rowOff>0</xdr:rowOff>
    </xdr:to>
    <xdr:sp macro="" textlink="">
      <xdr:nvSpPr>
        <xdr:cNvPr id="246" name="OptionButton4" hidden="1">
          <a:extLst>
            <a:ext uri="{63B3BB69-23CF-44E3-9099-C40C66FF867C}">
              <a14:compatExt xmlns:a14="http://schemas.microsoft.com/office/drawing/2010/main" spid="_x0000_s19535"/>
            </a:ext>
          </a:extLst>
        </xdr:cNvPr>
        <xdr:cNvSpPr/>
      </xdr:nvSpPr>
      <xdr:spPr>
        <a:xfrm>
          <a:off x="5502632" y="6458074"/>
          <a:ext cx="1484152" cy="304676"/>
        </a:xfrm>
        <a:prstGeom prst="rect">
          <a:avLst/>
        </a:prstGeom>
      </xdr:spPr>
    </xdr:sp>
    <xdr:clientData/>
  </xdr:twoCellAnchor>
  <xdr:twoCellAnchor>
    <xdr:from>
      <xdr:col>10</xdr:col>
      <xdr:colOff>73382</xdr:colOff>
      <xdr:row>73</xdr:row>
      <xdr:rowOff>114424</xdr:rowOff>
    </xdr:from>
    <xdr:to>
      <xdr:col>11</xdr:col>
      <xdr:colOff>0</xdr:colOff>
      <xdr:row>75</xdr:row>
      <xdr:rowOff>0</xdr:rowOff>
    </xdr:to>
    <xdr:sp macro="" textlink="">
      <xdr:nvSpPr>
        <xdr:cNvPr id="247" name="OptionButton4" hidden="1">
          <a:extLst>
            <a:ext uri="{63B3BB69-23CF-44E3-9099-C40C66FF867C}">
              <a14:compatExt xmlns:a14="http://schemas.microsoft.com/office/drawing/2010/main" spid="_x0000_s19535"/>
            </a:ext>
          </a:extLst>
        </xdr:cNvPr>
        <xdr:cNvSpPr/>
      </xdr:nvSpPr>
      <xdr:spPr>
        <a:xfrm>
          <a:off x="6159857" y="6458074"/>
          <a:ext cx="583843" cy="304676"/>
        </a:xfrm>
        <a:prstGeom prst="rect">
          <a:avLst/>
        </a:prstGeom>
      </xdr:spPr>
    </xdr:sp>
    <xdr:clientData/>
  </xdr:twoCellAnchor>
  <xdr:twoCellAnchor>
    <xdr:from>
      <xdr:col>10</xdr:col>
      <xdr:colOff>73382</xdr:colOff>
      <xdr:row>73</xdr:row>
      <xdr:rowOff>114424</xdr:rowOff>
    </xdr:from>
    <xdr:to>
      <xdr:col>11</xdr:col>
      <xdr:colOff>0</xdr:colOff>
      <xdr:row>75</xdr:row>
      <xdr:rowOff>0</xdr:rowOff>
    </xdr:to>
    <xdr:sp macro="" textlink="">
      <xdr:nvSpPr>
        <xdr:cNvPr id="248" name="OptionButton4" hidden="1">
          <a:extLst>
            <a:ext uri="{63B3BB69-23CF-44E3-9099-C40C66FF867C}">
              <a14:compatExt xmlns:a14="http://schemas.microsoft.com/office/drawing/2010/main" spid="_x0000_s19535"/>
            </a:ext>
          </a:extLst>
        </xdr:cNvPr>
        <xdr:cNvSpPr/>
      </xdr:nvSpPr>
      <xdr:spPr>
        <a:xfrm>
          <a:off x="6159857" y="6458074"/>
          <a:ext cx="583843" cy="304676"/>
        </a:xfrm>
        <a:prstGeom prst="rect">
          <a:avLst/>
        </a:prstGeom>
      </xdr:spPr>
    </xdr:sp>
    <xdr:clientData/>
  </xdr:twoCellAnchor>
  <xdr:twoCellAnchor>
    <xdr:from>
      <xdr:col>9</xdr:col>
      <xdr:colOff>73382</xdr:colOff>
      <xdr:row>71</xdr:row>
      <xdr:rowOff>114424</xdr:rowOff>
    </xdr:from>
    <xdr:to>
      <xdr:col>11</xdr:col>
      <xdr:colOff>243084</xdr:colOff>
      <xdr:row>73</xdr:row>
      <xdr:rowOff>0</xdr:rowOff>
    </xdr:to>
    <xdr:sp macro="" textlink="">
      <xdr:nvSpPr>
        <xdr:cNvPr id="249" name="OptionButton4" hidden="1">
          <a:extLst>
            <a:ext uri="{63B3BB69-23CF-44E3-9099-C40C66FF867C}">
              <a14:compatExt xmlns:a14="http://schemas.microsoft.com/office/drawing/2010/main" spid="_x0000_s19535"/>
            </a:ext>
          </a:extLst>
        </xdr:cNvPr>
        <xdr:cNvSpPr/>
      </xdr:nvSpPr>
      <xdr:spPr>
        <a:xfrm>
          <a:off x="5502632" y="6038974"/>
          <a:ext cx="1484152" cy="304676"/>
        </a:xfrm>
        <a:prstGeom prst="rect">
          <a:avLst/>
        </a:prstGeom>
      </xdr:spPr>
    </xdr:sp>
    <xdr:clientData/>
  </xdr:twoCellAnchor>
  <xdr:twoCellAnchor>
    <xdr:from>
      <xdr:col>10</xdr:col>
      <xdr:colOff>73382</xdr:colOff>
      <xdr:row>71</xdr:row>
      <xdr:rowOff>114424</xdr:rowOff>
    </xdr:from>
    <xdr:to>
      <xdr:col>11</xdr:col>
      <xdr:colOff>0</xdr:colOff>
      <xdr:row>73</xdr:row>
      <xdr:rowOff>0</xdr:rowOff>
    </xdr:to>
    <xdr:sp macro="" textlink="">
      <xdr:nvSpPr>
        <xdr:cNvPr id="250" name="OptionButton4" hidden="1">
          <a:extLst>
            <a:ext uri="{63B3BB69-23CF-44E3-9099-C40C66FF867C}">
              <a14:compatExt xmlns:a14="http://schemas.microsoft.com/office/drawing/2010/main" spid="_x0000_s19535"/>
            </a:ext>
          </a:extLst>
        </xdr:cNvPr>
        <xdr:cNvSpPr/>
      </xdr:nvSpPr>
      <xdr:spPr>
        <a:xfrm>
          <a:off x="6159857" y="6038974"/>
          <a:ext cx="583843" cy="304676"/>
        </a:xfrm>
        <a:prstGeom prst="rect">
          <a:avLst/>
        </a:prstGeom>
      </xdr:spPr>
    </xdr:sp>
    <xdr:clientData/>
  </xdr:twoCellAnchor>
  <xdr:twoCellAnchor>
    <xdr:from>
      <xdr:col>10</xdr:col>
      <xdr:colOff>73382</xdr:colOff>
      <xdr:row>71</xdr:row>
      <xdr:rowOff>114424</xdr:rowOff>
    </xdr:from>
    <xdr:to>
      <xdr:col>11</xdr:col>
      <xdr:colOff>0</xdr:colOff>
      <xdr:row>73</xdr:row>
      <xdr:rowOff>0</xdr:rowOff>
    </xdr:to>
    <xdr:sp macro="" textlink="">
      <xdr:nvSpPr>
        <xdr:cNvPr id="251" name="OptionButton4" hidden="1">
          <a:extLst>
            <a:ext uri="{63B3BB69-23CF-44E3-9099-C40C66FF867C}">
              <a14:compatExt xmlns:a14="http://schemas.microsoft.com/office/drawing/2010/main" spid="_x0000_s19535"/>
            </a:ext>
          </a:extLst>
        </xdr:cNvPr>
        <xdr:cNvSpPr/>
      </xdr:nvSpPr>
      <xdr:spPr>
        <a:xfrm>
          <a:off x="6159857" y="6038974"/>
          <a:ext cx="583843" cy="304676"/>
        </a:xfrm>
        <a:prstGeom prst="rect">
          <a:avLst/>
        </a:prstGeom>
      </xdr:spPr>
    </xdr:sp>
    <xdr:clientData/>
  </xdr:twoCellAnchor>
  <xdr:twoCellAnchor>
    <xdr:from>
      <xdr:col>9</xdr:col>
      <xdr:colOff>73382</xdr:colOff>
      <xdr:row>72</xdr:row>
      <xdr:rowOff>114424</xdr:rowOff>
    </xdr:from>
    <xdr:to>
      <xdr:col>11</xdr:col>
      <xdr:colOff>243084</xdr:colOff>
      <xdr:row>74</xdr:row>
      <xdr:rowOff>0</xdr:rowOff>
    </xdr:to>
    <xdr:sp macro="" textlink="">
      <xdr:nvSpPr>
        <xdr:cNvPr id="252" name="OptionButton4" hidden="1">
          <a:extLst>
            <a:ext uri="{63B3BB69-23CF-44E3-9099-C40C66FF867C}">
              <a14:compatExt xmlns:a14="http://schemas.microsoft.com/office/drawing/2010/main" spid="_x0000_s19535"/>
            </a:ext>
          </a:extLst>
        </xdr:cNvPr>
        <xdr:cNvSpPr/>
      </xdr:nvSpPr>
      <xdr:spPr>
        <a:xfrm>
          <a:off x="5502632" y="6248524"/>
          <a:ext cx="1484152" cy="304676"/>
        </a:xfrm>
        <a:prstGeom prst="rect">
          <a:avLst/>
        </a:prstGeom>
      </xdr:spPr>
    </xdr:sp>
    <xdr:clientData/>
  </xdr:twoCellAnchor>
  <xdr:twoCellAnchor>
    <xdr:from>
      <xdr:col>10</xdr:col>
      <xdr:colOff>73382</xdr:colOff>
      <xdr:row>72</xdr:row>
      <xdr:rowOff>114424</xdr:rowOff>
    </xdr:from>
    <xdr:to>
      <xdr:col>11</xdr:col>
      <xdr:colOff>0</xdr:colOff>
      <xdr:row>74</xdr:row>
      <xdr:rowOff>0</xdr:rowOff>
    </xdr:to>
    <xdr:sp macro="" textlink="">
      <xdr:nvSpPr>
        <xdr:cNvPr id="253" name="OptionButton4" hidden="1">
          <a:extLst>
            <a:ext uri="{63B3BB69-23CF-44E3-9099-C40C66FF867C}">
              <a14:compatExt xmlns:a14="http://schemas.microsoft.com/office/drawing/2010/main" spid="_x0000_s19535"/>
            </a:ext>
          </a:extLst>
        </xdr:cNvPr>
        <xdr:cNvSpPr/>
      </xdr:nvSpPr>
      <xdr:spPr>
        <a:xfrm>
          <a:off x="6159857" y="6248524"/>
          <a:ext cx="583843" cy="304676"/>
        </a:xfrm>
        <a:prstGeom prst="rect">
          <a:avLst/>
        </a:prstGeom>
      </xdr:spPr>
    </xdr:sp>
    <xdr:clientData/>
  </xdr:twoCellAnchor>
  <xdr:twoCellAnchor>
    <xdr:from>
      <xdr:col>10</xdr:col>
      <xdr:colOff>73382</xdr:colOff>
      <xdr:row>72</xdr:row>
      <xdr:rowOff>114424</xdr:rowOff>
    </xdr:from>
    <xdr:to>
      <xdr:col>11</xdr:col>
      <xdr:colOff>0</xdr:colOff>
      <xdr:row>74</xdr:row>
      <xdr:rowOff>0</xdr:rowOff>
    </xdr:to>
    <xdr:sp macro="" textlink="">
      <xdr:nvSpPr>
        <xdr:cNvPr id="254" name="OptionButton4" hidden="1">
          <a:extLst>
            <a:ext uri="{63B3BB69-23CF-44E3-9099-C40C66FF867C}">
              <a14:compatExt xmlns:a14="http://schemas.microsoft.com/office/drawing/2010/main" spid="_x0000_s19535"/>
            </a:ext>
          </a:extLst>
        </xdr:cNvPr>
        <xdr:cNvSpPr/>
      </xdr:nvSpPr>
      <xdr:spPr>
        <a:xfrm>
          <a:off x="6159857" y="6248524"/>
          <a:ext cx="583843" cy="304676"/>
        </a:xfrm>
        <a:prstGeom prst="rect">
          <a:avLst/>
        </a:prstGeom>
      </xdr:spPr>
    </xdr:sp>
    <xdr:clientData/>
  </xdr:twoCellAnchor>
  <xdr:twoCellAnchor>
    <xdr:from>
      <xdr:col>9</xdr:col>
      <xdr:colOff>73382</xdr:colOff>
      <xdr:row>72</xdr:row>
      <xdr:rowOff>114424</xdr:rowOff>
    </xdr:from>
    <xdr:to>
      <xdr:col>11</xdr:col>
      <xdr:colOff>243084</xdr:colOff>
      <xdr:row>74</xdr:row>
      <xdr:rowOff>0</xdr:rowOff>
    </xdr:to>
    <xdr:sp macro="" textlink="">
      <xdr:nvSpPr>
        <xdr:cNvPr id="255" name="OptionButton4" hidden="1">
          <a:extLst>
            <a:ext uri="{63B3BB69-23CF-44E3-9099-C40C66FF867C}">
              <a14:compatExt xmlns:a14="http://schemas.microsoft.com/office/drawing/2010/main" spid="_x0000_s19535"/>
            </a:ext>
          </a:extLst>
        </xdr:cNvPr>
        <xdr:cNvSpPr/>
      </xdr:nvSpPr>
      <xdr:spPr>
        <a:xfrm>
          <a:off x="5502632" y="6248524"/>
          <a:ext cx="1484152" cy="304676"/>
        </a:xfrm>
        <a:prstGeom prst="rect">
          <a:avLst/>
        </a:prstGeom>
      </xdr:spPr>
    </xdr:sp>
    <xdr:clientData/>
  </xdr:twoCellAnchor>
  <xdr:twoCellAnchor>
    <xdr:from>
      <xdr:col>10</xdr:col>
      <xdr:colOff>73382</xdr:colOff>
      <xdr:row>72</xdr:row>
      <xdr:rowOff>114424</xdr:rowOff>
    </xdr:from>
    <xdr:to>
      <xdr:col>11</xdr:col>
      <xdr:colOff>0</xdr:colOff>
      <xdr:row>74</xdr:row>
      <xdr:rowOff>0</xdr:rowOff>
    </xdr:to>
    <xdr:sp macro="" textlink="">
      <xdr:nvSpPr>
        <xdr:cNvPr id="256" name="OptionButton4" hidden="1">
          <a:extLst>
            <a:ext uri="{63B3BB69-23CF-44E3-9099-C40C66FF867C}">
              <a14:compatExt xmlns:a14="http://schemas.microsoft.com/office/drawing/2010/main" spid="_x0000_s19535"/>
            </a:ext>
          </a:extLst>
        </xdr:cNvPr>
        <xdr:cNvSpPr/>
      </xdr:nvSpPr>
      <xdr:spPr>
        <a:xfrm>
          <a:off x="6159857" y="6248524"/>
          <a:ext cx="583843" cy="304676"/>
        </a:xfrm>
        <a:prstGeom prst="rect">
          <a:avLst/>
        </a:prstGeom>
      </xdr:spPr>
    </xdr:sp>
    <xdr:clientData/>
  </xdr:twoCellAnchor>
  <xdr:twoCellAnchor>
    <xdr:from>
      <xdr:col>10</xdr:col>
      <xdr:colOff>73382</xdr:colOff>
      <xdr:row>72</xdr:row>
      <xdr:rowOff>114424</xdr:rowOff>
    </xdr:from>
    <xdr:to>
      <xdr:col>11</xdr:col>
      <xdr:colOff>0</xdr:colOff>
      <xdr:row>74</xdr:row>
      <xdr:rowOff>0</xdr:rowOff>
    </xdr:to>
    <xdr:sp macro="" textlink="">
      <xdr:nvSpPr>
        <xdr:cNvPr id="257" name="OptionButton4" hidden="1">
          <a:extLst>
            <a:ext uri="{63B3BB69-23CF-44E3-9099-C40C66FF867C}">
              <a14:compatExt xmlns:a14="http://schemas.microsoft.com/office/drawing/2010/main" spid="_x0000_s19535"/>
            </a:ext>
          </a:extLst>
        </xdr:cNvPr>
        <xdr:cNvSpPr/>
      </xdr:nvSpPr>
      <xdr:spPr>
        <a:xfrm>
          <a:off x="6159857" y="6248524"/>
          <a:ext cx="583843" cy="304676"/>
        </a:xfrm>
        <a:prstGeom prst="rect">
          <a:avLst/>
        </a:prstGeom>
      </xdr:spPr>
    </xdr:sp>
    <xdr:clientData/>
  </xdr:twoCellAnchor>
  <xdr:twoCellAnchor>
    <xdr:from>
      <xdr:col>9</xdr:col>
      <xdr:colOff>73382</xdr:colOff>
      <xdr:row>73</xdr:row>
      <xdr:rowOff>114424</xdr:rowOff>
    </xdr:from>
    <xdr:to>
      <xdr:col>11</xdr:col>
      <xdr:colOff>243084</xdr:colOff>
      <xdr:row>75</xdr:row>
      <xdr:rowOff>0</xdr:rowOff>
    </xdr:to>
    <xdr:sp macro="" textlink="">
      <xdr:nvSpPr>
        <xdr:cNvPr id="258" name="OptionButton4" hidden="1">
          <a:extLst>
            <a:ext uri="{63B3BB69-23CF-44E3-9099-C40C66FF867C}">
              <a14:compatExt xmlns:a14="http://schemas.microsoft.com/office/drawing/2010/main" spid="_x0000_s19535"/>
            </a:ext>
          </a:extLst>
        </xdr:cNvPr>
        <xdr:cNvSpPr/>
      </xdr:nvSpPr>
      <xdr:spPr>
        <a:xfrm>
          <a:off x="5502632" y="6458074"/>
          <a:ext cx="1484152" cy="304676"/>
        </a:xfrm>
        <a:prstGeom prst="rect">
          <a:avLst/>
        </a:prstGeom>
      </xdr:spPr>
    </xdr:sp>
    <xdr:clientData/>
  </xdr:twoCellAnchor>
  <xdr:twoCellAnchor>
    <xdr:from>
      <xdr:col>10</xdr:col>
      <xdr:colOff>73382</xdr:colOff>
      <xdr:row>73</xdr:row>
      <xdr:rowOff>114424</xdr:rowOff>
    </xdr:from>
    <xdr:to>
      <xdr:col>11</xdr:col>
      <xdr:colOff>0</xdr:colOff>
      <xdr:row>75</xdr:row>
      <xdr:rowOff>0</xdr:rowOff>
    </xdr:to>
    <xdr:sp macro="" textlink="">
      <xdr:nvSpPr>
        <xdr:cNvPr id="259" name="OptionButton4" hidden="1">
          <a:extLst>
            <a:ext uri="{63B3BB69-23CF-44E3-9099-C40C66FF867C}">
              <a14:compatExt xmlns:a14="http://schemas.microsoft.com/office/drawing/2010/main" spid="_x0000_s19535"/>
            </a:ext>
          </a:extLst>
        </xdr:cNvPr>
        <xdr:cNvSpPr/>
      </xdr:nvSpPr>
      <xdr:spPr>
        <a:xfrm>
          <a:off x="6159857" y="6458074"/>
          <a:ext cx="583843" cy="304676"/>
        </a:xfrm>
        <a:prstGeom prst="rect">
          <a:avLst/>
        </a:prstGeom>
      </xdr:spPr>
    </xdr:sp>
    <xdr:clientData/>
  </xdr:twoCellAnchor>
  <xdr:twoCellAnchor>
    <xdr:from>
      <xdr:col>10</xdr:col>
      <xdr:colOff>73382</xdr:colOff>
      <xdr:row>73</xdr:row>
      <xdr:rowOff>114424</xdr:rowOff>
    </xdr:from>
    <xdr:to>
      <xdr:col>11</xdr:col>
      <xdr:colOff>0</xdr:colOff>
      <xdr:row>75</xdr:row>
      <xdr:rowOff>0</xdr:rowOff>
    </xdr:to>
    <xdr:sp macro="" textlink="">
      <xdr:nvSpPr>
        <xdr:cNvPr id="260" name="OptionButton4" hidden="1">
          <a:extLst>
            <a:ext uri="{63B3BB69-23CF-44E3-9099-C40C66FF867C}">
              <a14:compatExt xmlns:a14="http://schemas.microsoft.com/office/drawing/2010/main" spid="_x0000_s19535"/>
            </a:ext>
          </a:extLst>
        </xdr:cNvPr>
        <xdr:cNvSpPr/>
      </xdr:nvSpPr>
      <xdr:spPr>
        <a:xfrm>
          <a:off x="6159857" y="6458074"/>
          <a:ext cx="583843" cy="304676"/>
        </a:xfrm>
        <a:prstGeom prst="rect">
          <a:avLst/>
        </a:prstGeom>
      </xdr:spPr>
    </xdr:sp>
    <xdr:clientData/>
  </xdr:twoCellAnchor>
  <xdr:twoCellAnchor>
    <xdr:from>
      <xdr:col>9</xdr:col>
      <xdr:colOff>73382</xdr:colOff>
      <xdr:row>73</xdr:row>
      <xdr:rowOff>114424</xdr:rowOff>
    </xdr:from>
    <xdr:to>
      <xdr:col>11</xdr:col>
      <xdr:colOff>243084</xdr:colOff>
      <xdr:row>75</xdr:row>
      <xdr:rowOff>0</xdr:rowOff>
    </xdr:to>
    <xdr:sp macro="" textlink="">
      <xdr:nvSpPr>
        <xdr:cNvPr id="261" name="OptionButton4" hidden="1">
          <a:extLst>
            <a:ext uri="{63B3BB69-23CF-44E3-9099-C40C66FF867C}">
              <a14:compatExt xmlns:a14="http://schemas.microsoft.com/office/drawing/2010/main" spid="_x0000_s19535"/>
            </a:ext>
          </a:extLst>
        </xdr:cNvPr>
        <xdr:cNvSpPr/>
      </xdr:nvSpPr>
      <xdr:spPr>
        <a:xfrm>
          <a:off x="5502632" y="6458074"/>
          <a:ext cx="1484152" cy="304676"/>
        </a:xfrm>
        <a:prstGeom prst="rect">
          <a:avLst/>
        </a:prstGeom>
      </xdr:spPr>
    </xdr:sp>
    <xdr:clientData/>
  </xdr:twoCellAnchor>
  <xdr:twoCellAnchor>
    <xdr:from>
      <xdr:col>10</xdr:col>
      <xdr:colOff>73382</xdr:colOff>
      <xdr:row>73</xdr:row>
      <xdr:rowOff>114424</xdr:rowOff>
    </xdr:from>
    <xdr:to>
      <xdr:col>11</xdr:col>
      <xdr:colOff>0</xdr:colOff>
      <xdr:row>75</xdr:row>
      <xdr:rowOff>0</xdr:rowOff>
    </xdr:to>
    <xdr:sp macro="" textlink="">
      <xdr:nvSpPr>
        <xdr:cNvPr id="262" name="OptionButton4" hidden="1">
          <a:extLst>
            <a:ext uri="{63B3BB69-23CF-44E3-9099-C40C66FF867C}">
              <a14:compatExt xmlns:a14="http://schemas.microsoft.com/office/drawing/2010/main" spid="_x0000_s19535"/>
            </a:ext>
          </a:extLst>
        </xdr:cNvPr>
        <xdr:cNvSpPr/>
      </xdr:nvSpPr>
      <xdr:spPr>
        <a:xfrm>
          <a:off x="6159857" y="6458074"/>
          <a:ext cx="583843" cy="304676"/>
        </a:xfrm>
        <a:prstGeom prst="rect">
          <a:avLst/>
        </a:prstGeom>
      </xdr:spPr>
    </xdr:sp>
    <xdr:clientData/>
  </xdr:twoCellAnchor>
  <xdr:twoCellAnchor>
    <xdr:from>
      <xdr:col>10</xdr:col>
      <xdr:colOff>73382</xdr:colOff>
      <xdr:row>73</xdr:row>
      <xdr:rowOff>114424</xdr:rowOff>
    </xdr:from>
    <xdr:to>
      <xdr:col>11</xdr:col>
      <xdr:colOff>0</xdr:colOff>
      <xdr:row>75</xdr:row>
      <xdr:rowOff>0</xdr:rowOff>
    </xdr:to>
    <xdr:sp macro="" textlink="">
      <xdr:nvSpPr>
        <xdr:cNvPr id="263" name="OptionButton4" hidden="1">
          <a:extLst>
            <a:ext uri="{63B3BB69-23CF-44E3-9099-C40C66FF867C}">
              <a14:compatExt xmlns:a14="http://schemas.microsoft.com/office/drawing/2010/main" spid="_x0000_s19535"/>
            </a:ext>
          </a:extLst>
        </xdr:cNvPr>
        <xdr:cNvSpPr/>
      </xdr:nvSpPr>
      <xdr:spPr>
        <a:xfrm>
          <a:off x="6159857" y="6458074"/>
          <a:ext cx="583843" cy="304676"/>
        </a:xfrm>
        <a:prstGeom prst="rect">
          <a:avLst/>
        </a:prstGeom>
      </xdr:spPr>
    </xdr:sp>
    <xdr:clientData/>
  </xdr:twoCellAnchor>
  <xdr:twoCellAnchor>
    <xdr:from>
      <xdr:col>9</xdr:col>
      <xdr:colOff>73382</xdr:colOff>
      <xdr:row>73</xdr:row>
      <xdr:rowOff>114424</xdr:rowOff>
    </xdr:from>
    <xdr:to>
      <xdr:col>11</xdr:col>
      <xdr:colOff>243084</xdr:colOff>
      <xdr:row>75</xdr:row>
      <xdr:rowOff>0</xdr:rowOff>
    </xdr:to>
    <xdr:sp macro="" textlink="">
      <xdr:nvSpPr>
        <xdr:cNvPr id="264" name="OptionButton4" hidden="1">
          <a:extLst>
            <a:ext uri="{63B3BB69-23CF-44E3-9099-C40C66FF867C}">
              <a14:compatExt xmlns:a14="http://schemas.microsoft.com/office/drawing/2010/main" spid="_x0000_s19535"/>
            </a:ext>
          </a:extLst>
        </xdr:cNvPr>
        <xdr:cNvSpPr/>
      </xdr:nvSpPr>
      <xdr:spPr>
        <a:xfrm>
          <a:off x="5502632" y="6458074"/>
          <a:ext cx="1484152" cy="304676"/>
        </a:xfrm>
        <a:prstGeom prst="rect">
          <a:avLst/>
        </a:prstGeom>
      </xdr:spPr>
    </xdr:sp>
    <xdr:clientData/>
  </xdr:twoCellAnchor>
  <xdr:twoCellAnchor>
    <xdr:from>
      <xdr:col>10</xdr:col>
      <xdr:colOff>73382</xdr:colOff>
      <xdr:row>73</xdr:row>
      <xdr:rowOff>114424</xdr:rowOff>
    </xdr:from>
    <xdr:to>
      <xdr:col>11</xdr:col>
      <xdr:colOff>0</xdr:colOff>
      <xdr:row>75</xdr:row>
      <xdr:rowOff>0</xdr:rowOff>
    </xdr:to>
    <xdr:sp macro="" textlink="">
      <xdr:nvSpPr>
        <xdr:cNvPr id="265" name="OptionButton4" hidden="1">
          <a:extLst>
            <a:ext uri="{63B3BB69-23CF-44E3-9099-C40C66FF867C}">
              <a14:compatExt xmlns:a14="http://schemas.microsoft.com/office/drawing/2010/main" spid="_x0000_s19535"/>
            </a:ext>
          </a:extLst>
        </xdr:cNvPr>
        <xdr:cNvSpPr/>
      </xdr:nvSpPr>
      <xdr:spPr>
        <a:xfrm>
          <a:off x="6159857" y="6458074"/>
          <a:ext cx="583843" cy="304676"/>
        </a:xfrm>
        <a:prstGeom prst="rect">
          <a:avLst/>
        </a:prstGeom>
      </xdr:spPr>
    </xdr:sp>
    <xdr:clientData/>
  </xdr:twoCellAnchor>
  <xdr:twoCellAnchor>
    <xdr:from>
      <xdr:col>10</xdr:col>
      <xdr:colOff>73382</xdr:colOff>
      <xdr:row>73</xdr:row>
      <xdr:rowOff>114424</xdr:rowOff>
    </xdr:from>
    <xdr:to>
      <xdr:col>11</xdr:col>
      <xdr:colOff>0</xdr:colOff>
      <xdr:row>75</xdr:row>
      <xdr:rowOff>0</xdr:rowOff>
    </xdr:to>
    <xdr:sp macro="" textlink="">
      <xdr:nvSpPr>
        <xdr:cNvPr id="266" name="OptionButton4" hidden="1">
          <a:extLst>
            <a:ext uri="{63B3BB69-23CF-44E3-9099-C40C66FF867C}">
              <a14:compatExt xmlns:a14="http://schemas.microsoft.com/office/drawing/2010/main" spid="_x0000_s19535"/>
            </a:ext>
          </a:extLst>
        </xdr:cNvPr>
        <xdr:cNvSpPr/>
      </xdr:nvSpPr>
      <xdr:spPr>
        <a:xfrm>
          <a:off x="6159857" y="6458074"/>
          <a:ext cx="583843" cy="304676"/>
        </a:xfrm>
        <a:prstGeom prst="rect">
          <a:avLst/>
        </a:prstGeom>
      </xdr:spPr>
    </xdr:sp>
    <xdr:clientData/>
  </xdr:twoCellAnchor>
  <xdr:twoCellAnchor>
    <xdr:from>
      <xdr:col>9</xdr:col>
      <xdr:colOff>73382</xdr:colOff>
      <xdr:row>74</xdr:row>
      <xdr:rowOff>114424</xdr:rowOff>
    </xdr:from>
    <xdr:to>
      <xdr:col>11</xdr:col>
      <xdr:colOff>243084</xdr:colOff>
      <xdr:row>76</xdr:row>
      <xdr:rowOff>0</xdr:rowOff>
    </xdr:to>
    <xdr:sp macro="" textlink="">
      <xdr:nvSpPr>
        <xdr:cNvPr id="267" name="OptionButton4" hidden="1">
          <a:extLst>
            <a:ext uri="{63B3BB69-23CF-44E3-9099-C40C66FF867C}">
              <a14:compatExt xmlns:a14="http://schemas.microsoft.com/office/drawing/2010/main" spid="_x0000_s19535"/>
            </a:ext>
          </a:extLst>
        </xdr:cNvPr>
        <xdr:cNvSpPr/>
      </xdr:nvSpPr>
      <xdr:spPr>
        <a:xfrm>
          <a:off x="5502632" y="6667624"/>
          <a:ext cx="1484152" cy="304676"/>
        </a:xfrm>
        <a:prstGeom prst="rect">
          <a:avLst/>
        </a:prstGeom>
      </xdr:spPr>
    </xdr:sp>
    <xdr:clientData/>
  </xdr:twoCellAnchor>
  <xdr:twoCellAnchor>
    <xdr:from>
      <xdr:col>10</xdr:col>
      <xdr:colOff>73382</xdr:colOff>
      <xdr:row>74</xdr:row>
      <xdr:rowOff>114424</xdr:rowOff>
    </xdr:from>
    <xdr:to>
      <xdr:col>11</xdr:col>
      <xdr:colOff>0</xdr:colOff>
      <xdr:row>76</xdr:row>
      <xdr:rowOff>0</xdr:rowOff>
    </xdr:to>
    <xdr:sp macro="" textlink="">
      <xdr:nvSpPr>
        <xdr:cNvPr id="268" name="OptionButton4" hidden="1">
          <a:extLst>
            <a:ext uri="{63B3BB69-23CF-44E3-9099-C40C66FF867C}">
              <a14:compatExt xmlns:a14="http://schemas.microsoft.com/office/drawing/2010/main" spid="_x0000_s19535"/>
            </a:ext>
          </a:extLst>
        </xdr:cNvPr>
        <xdr:cNvSpPr/>
      </xdr:nvSpPr>
      <xdr:spPr>
        <a:xfrm>
          <a:off x="6159857" y="6667624"/>
          <a:ext cx="583843" cy="304676"/>
        </a:xfrm>
        <a:prstGeom prst="rect">
          <a:avLst/>
        </a:prstGeom>
      </xdr:spPr>
    </xdr:sp>
    <xdr:clientData/>
  </xdr:twoCellAnchor>
  <xdr:twoCellAnchor>
    <xdr:from>
      <xdr:col>10</xdr:col>
      <xdr:colOff>73382</xdr:colOff>
      <xdr:row>74</xdr:row>
      <xdr:rowOff>114424</xdr:rowOff>
    </xdr:from>
    <xdr:to>
      <xdr:col>11</xdr:col>
      <xdr:colOff>0</xdr:colOff>
      <xdr:row>76</xdr:row>
      <xdr:rowOff>0</xdr:rowOff>
    </xdr:to>
    <xdr:sp macro="" textlink="">
      <xdr:nvSpPr>
        <xdr:cNvPr id="269" name="OptionButton4" hidden="1">
          <a:extLst>
            <a:ext uri="{63B3BB69-23CF-44E3-9099-C40C66FF867C}">
              <a14:compatExt xmlns:a14="http://schemas.microsoft.com/office/drawing/2010/main" spid="_x0000_s19535"/>
            </a:ext>
          </a:extLst>
        </xdr:cNvPr>
        <xdr:cNvSpPr/>
      </xdr:nvSpPr>
      <xdr:spPr>
        <a:xfrm>
          <a:off x="6159857" y="6667624"/>
          <a:ext cx="583843" cy="304676"/>
        </a:xfrm>
        <a:prstGeom prst="rect">
          <a:avLst/>
        </a:prstGeom>
      </xdr:spPr>
    </xdr:sp>
    <xdr:clientData/>
  </xdr:twoCellAnchor>
  <xdr:twoCellAnchor>
    <xdr:from>
      <xdr:col>9</xdr:col>
      <xdr:colOff>73382</xdr:colOff>
      <xdr:row>74</xdr:row>
      <xdr:rowOff>114424</xdr:rowOff>
    </xdr:from>
    <xdr:to>
      <xdr:col>11</xdr:col>
      <xdr:colOff>243084</xdr:colOff>
      <xdr:row>76</xdr:row>
      <xdr:rowOff>0</xdr:rowOff>
    </xdr:to>
    <xdr:sp macro="" textlink="">
      <xdr:nvSpPr>
        <xdr:cNvPr id="270" name="OptionButton4" hidden="1">
          <a:extLst>
            <a:ext uri="{63B3BB69-23CF-44E3-9099-C40C66FF867C}">
              <a14:compatExt xmlns:a14="http://schemas.microsoft.com/office/drawing/2010/main" spid="_x0000_s19535"/>
            </a:ext>
          </a:extLst>
        </xdr:cNvPr>
        <xdr:cNvSpPr/>
      </xdr:nvSpPr>
      <xdr:spPr>
        <a:xfrm>
          <a:off x="5502632" y="6667624"/>
          <a:ext cx="1484152" cy="304676"/>
        </a:xfrm>
        <a:prstGeom prst="rect">
          <a:avLst/>
        </a:prstGeom>
      </xdr:spPr>
    </xdr:sp>
    <xdr:clientData/>
  </xdr:twoCellAnchor>
  <xdr:twoCellAnchor>
    <xdr:from>
      <xdr:col>10</xdr:col>
      <xdr:colOff>73382</xdr:colOff>
      <xdr:row>74</xdr:row>
      <xdr:rowOff>114424</xdr:rowOff>
    </xdr:from>
    <xdr:to>
      <xdr:col>11</xdr:col>
      <xdr:colOff>0</xdr:colOff>
      <xdr:row>76</xdr:row>
      <xdr:rowOff>0</xdr:rowOff>
    </xdr:to>
    <xdr:sp macro="" textlink="">
      <xdr:nvSpPr>
        <xdr:cNvPr id="271" name="OptionButton4" hidden="1">
          <a:extLst>
            <a:ext uri="{63B3BB69-23CF-44E3-9099-C40C66FF867C}">
              <a14:compatExt xmlns:a14="http://schemas.microsoft.com/office/drawing/2010/main" spid="_x0000_s19535"/>
            </a:ext>
          </a:extLst>
        </xdr:cNvPr>
        <xdr:cNvSpPr/>
      </xdr:nvSpPr>
      <xdr:spPr>
        <a:xfrm>
          <a:off x="6159857" y="6667624"/>
          <a:ext cx="583843" cy="304676"/>
        </a:xfrm>
        <a:prstGeom prst="rect">
          <a:avLst/>
        </a:prstGeom>
      </xdr:spPr>
    </xdr:sp>
    <xdr:clientData/>
  </xdr:twoCellAnchor>
  <xdr:twoCellAnchor>
    <xdr:from>
      <xdr:col>10</xdr:col>
      <xdr:colOff>73382</xdr:colOff>
      <xdr:row>74</xdr:row>
      <xdr:rowOff>114424</xdr:rowOff>
    </xdr:from>
    <xdr:to>
      <xdr:col>11</xdr:col>
      <xdr:colOff>0</xdr:colOff>
      <xdr:row>76</xdr:row>
      <xdr:rowOff>0</xdr:rowOff>
    </xdr:to>
    <xdr:sp macro="" textlink="">
      <xdr:nvSpPr>
        <xdr:cNvPr id="272" name="OptionButton4" hidden="1">
          <a:extLst>
            <a:ext uri="{63B3BB69-23CF-44E3-9099-C40C66FF867C}">
              <a14:compatExt xmlns:a14="http://schemas.microsoft.com/office/drawing/2010/main" spid="_x0000_s19535"/>
            </a:ext>
          </a:extLst>
        </xdr:cNvPr>
        <xdr:cNvSpPr/>
      </xdr:nvSpPr>
      <xdr:spPr>
        <a:xfrm>
          <a:off x="6159857" y="66676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273"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274"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275"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oneCellAnchor>
    <xdr:from>
      <xdr:col>9</xdr:col>
      <xdr:colOff>657656</xdr:colOff>
      <xdr:row>79</xdr:row>
      <xdr:rowOff>0</xdr:rowOff>
    </xdr:from>
    <xdr:ext cx="1348390" cy="465571"/>
    <xdr:sp macro="" textlink="">
      <xdr:nvSpPr>
        <xdr:cNvPr id="276" name="OptionButton7" hidden="1">
          <a:extLst>
            <a:ext uri="{63B3BB69-23CF-44E3-9099-C40C66FF867C}">
              <a14:compatExt xmlns:a14="http://schemas.microsoft.com/office/drawing/2010/main" spid="_x0000_s19536"/>
            </a:ext>
          </a:extLst>
        </xdr:cNvPr>
        <xdr:cNvSpPr/>
      </xdr:nvSpPr>
      <xdr:spPr>
        <a:xfrm>
          <a:off x="6086906" y="7600950"/>
          <a:ext cx="1348390" cy="465571"/>
        </a:xfrm>
        <a:prstGeom prst="rect">
          <a:avLst/>
        </a:prstGeom>
      </xdr:spPr>
    </xdr:sp>
    <xdr:clientData/>
  </xdr:oneCellAnchor>
  <xdr:twoCellAnchor>
    <xdr:from>
      <xdr:col>3</xdr:col>
      <xdr:colOff>73382</xdr:colOff>
      <xdr:row>80</xdr:row>
      <xdr:rowOff>114424</xdr:rowOff>
    </xdr:from>
    <xdr:to>
      <xdr:col>5</xdr:col>
      <xdr:colOff>243084</xdr:colOff>
      <xdr:row>82</xdr:row>
      <xdr:rowOff>0</xdr:rowOff>
    </xdr:to>
    <xdr:sp macro="" textlink="">
      <xdr:nvSpPr>
        <xdr:cNvPr id="277" name="OptionButton4" hidden="1">
          <a:extLst>
            <a:ext uri="{63B3BB69-23CF-44E3-9099-C40C66FF867C}">
              <a14:compatExt xmlns:a14="http://schemas.microsoft.com/office/drawing/2010/main" spid="_x0000_s19535"/>
            </a:ext>
          </a:extLst>
        </xdr:cNvPr>
        <xdr:cNvSpPr/>
      </xdr:nvSpPr>
      <xdr:spPr>
        <a:xfrm>
          <a:off x="2216507" y="7924924"/>
          <a:ext cx="1484152" cy="257051"/>
        </a:xfrm>
        <a:prstGeom prst="rect">
          <a:avLst/>
        </a:prstGeom>
      </xdr:spPr>
    </xdr:sp>
    <xdr:clientData/>
  </xdr:twoCellAnchor>
  <xdr:oneCellAnchor>
    <xdr:from>
      <xdr:col>4</xdr:col>
      <xdr:colOff>657656</xdr:colOff>
      <xdr:row>80</xdr:row>
      <xdr:rowOff>128032</xdr:rowOff>
    </xdr:from>
    <xdr:ext cx="1698285" cy="498763"/>
    <xdr:sp macro="" textlink="">
      <xdr:nvSpPr>
        <xdr:cNvPr id="278" name="OptionButton7" hidden="1">
          <a:extLst>
            <a:ext uri="{63B3BB69-23CF-44E3-9099-C40C66FF867C}">
              <a14:compatExt xmlns:a14="http://schemas.microsoft.com/office/drawing/2010/main" spid="_x0000_s19536"/>
            </a:ext>
          </a:extLst>
        </xdr:cNvPr>
        <xdr:cNvSpPr/>
      </xdr:nvSpPr>
      <xdr:spPr>
        <a:xfrm>
          <a:off x="2800781" y="7938532"/>
          <a:ext cx="1698285" cy="498763"/>
        </a:xfrm>
        <a:prstGeom prst="rect">
          <a:avLst/>
        </a:prstGeom>
      </xdr:spPr>
    </xdr:sp>
    <xdr:clientData/>
  </xdr:oneCellAnchor>
  <xdr:twoCellAnchor>
    <xdr:from>
      <xdr:col>4</xdr:col>
      <xdr:colOff>73382</xdr:colOff>
      <xdr:row>80</xdr:row>
      <xdr:rowOff>114424</xdr:rowOff>
    </xdr:from>
    <xdr:to>
      <xdr:col>5</xdr:col>
      <xdr:colOff>0</xdr:colOff>
      <xdr:row>82</xdr:row>
      <xdr:rowOff>0</xdr:rowOff>
    </xdr:to>
    <xdr:sp macro="" textlink="">
      <xdr:nvSpPr>
        <xdr:cNvPr id="279" name="OptionButton4" hidden="1">
          <a:extLst>
            <a:ext uri="{63B3BB69-23CF-44E3-9099-C40C66FF867C}">
              <a14:compatExt xmlns:a14="http://schemas.microsoft.com/office/drawing/2010/main" spid="_x0000_s19535"/>
            </a:ext>
          </a:extLst>
        </xdr:cNvPr>
        <xdr:cNvSpPr/>
      </xdr:nvSpPr>
      <xdr:spPr>
        <a:xfrm>
          <a:off x="2873732" y="7924924"/>
          <a:ext cx="583843" cy="257051"/>
        </a:xfrm>
        <a:prstGeom prst="rect">
          <a:avLst/>
        </a:prstGeom>
      </xdr:spPr>
    </xdr:sp>
    <xdr:clientData/>
  </xdr:twoCellAnchor>
  <xdr:twoCellAnchor>
    <xdr:from>
      <xdr:col>4</xdr:col>
      <xdr:colOff>73382</xdr:colOff>
      <xdr:row>80</xdr:row>
      <xdr:rowOff>114424</xdr:rowOff>
    </xdr:from>
    <xdr:to>
      <xdr:col>5</xdr:col>
      <xdr:colOff>0</xdr:colOff>
      <xdr:row>82</xdr:row>
      <xdr:rowOff>0</xdr:rowOff>
    </xdr:to>
    <xdr:sp macro="" textlink="">
      <xdr:nvSpPr>
        <xdr:cNvPr id="280" name="OptionButton4" hidden="1">
          <a:extLst>
            <a:ext uri="{63B3BB69-23CF-44E3-9099-C40C66FF867C}">
              <a14:compatExt xmlns:a14="http://schemas.microsoft.com/office/drawing/2010/main" spid="_x0000_s19535"/>
            </a:ext>
          </a:extLst>
        </xdr:cNvPr>
        <xdr:cNvSpPr/>
      </xdr:nvSpPr>
      <xdr:spPr>
        <a:xfrm>
          <a:off x="2873732" y="7924924"/>
          <a:ext cx="583843" cy="257051"/>
        </a:xfrm>
        <a:prstGeom prst="rect">
          <a:avLst/>
        </a:prstGeom>
      </xdr:spPr>
    </xdr:sp>
    <xdr:clientData/>
  </xdr:twoCellAnchor>
  <xdr:twoCellAnchor>
    <xdr:from>
      <xdr:col>3</xdr:col>
      <xdr:colOff>73382</xdr:colOff>
      <xdr:row>80</xdr:row>
      <xdr:rowOff>114424</xdr:rowOff>
    </xdr:from>
    <xdr:to>
      <xdr:col>5</xdr:col>
      <xdr:colOff>243084</xdr:colOff>
      <xdr:row>82</xdr:row>
      <xdr:rowOff>0</xdr:rowOff>
    </xdr:to>
    <xdr:sp macro="" textlink="">
      <xdr:nvSpPr>
        <xdr:cNvPr id="281" name="OptionButton4" hidden="1">
          <a:extLst>
            <a:ext uri="{63B3BB69-23CF-44E3-9099-C40C66FF867C}">
              <a14:compatExt xmlns:a14="http://schemas.microsoft.com/office/drawing/2010/main" spid="_x0000_s19535"/>
            </a:ext>
          </a:extLst>
        </xdr:cNvPr>
        <xdr:cNvSpPr/>
      </xdr:nvSpPr>
      <xdr:spPr>
        <a:xfrm>
          <a:off x="2216507" y="7924924"/>
          <a:ext cx="1484152" cy="257051"/>
        </a:xfrm>
        <a:prstGeom prst="rect">
          <a:avLst/>
        </a:prstGeom>
      </xdr:spPr>
    </xdr:sp>
    <xdr:clientData/>
  </xdr:twoCellAnchor>
  <xdr:twoCellAnchor>
    <xdr:from>
      <xdr:col>4</xdr:col>
      <xdr:colOff>73382</xdr:colOff>
      <xdr:row>80</xdr:row>
      <xdr:rowOff>114424</xdr:rowOff>
    </xdr:from>
    <xdr:to>
      <xdr:col>5</xdr:col>
      <xdr:colOff>0</xdr:colOff>
      <xdr:row>82</xdr:row>
      <xdr:rowOff>0</xdr:rowOff>
    </xdr:to>
    <xdr:sp macro="" textlink="">
      <xdr:nvSpPr>
        <xdr:cNvPr id="282" name="OptionButton4" hidden="1">
          <a:extLst>
            <a:ext uri="{63B3BB69-23CF-44E3-9099-C40C66FF867C}">
              <a14:compatExt xmlns:a14="http://schemas.microsoft.com/office/drawing/2010/main" spid="_x0000_s19535"/>
            </a:ext>
          </a:extLst>
        </xdr:cNvPr>
        <xdr:cNvSpPr/>
      </xdr:nvSpPr>
      <xdr:spPr>
        <a:xfrm>
          <a:off x="2873732" y="7924924"/>
          <a:ext cx="583843" cy="257051"/>
        </a:xfrm>
        <a:prstGeom prst="rect">
          <a:avLst/>
        </a:prstGeom>
      </xdr:spPr>
    </xdr:sp>
    <xdr:clientData/>
  </xdr:twoCellAnchor>
  <xdr:twoCellAnchor>
    <xdr:from>
      <xdr:col>4</xdr:col>
      <xdr:colOff>73382</xdr:colOff>
      <xdr:row>80</xdr:row>
      <xdr:rowOff>114424</xdr:rowOff>
    </xdr:from>
    <xdr:to>
      <xdr:col>5</xdr:col>
      <xdr:colOff>0</xdr:colOff>
      <xdr:row>82</xdr:row>
      <xdr:rowOff>0</xdr:rowOff>
    </xdr:to>
    <xdr:sp macro="" textlink="">
      <xdr:nvSpPr>
        <xdr:cNvPr id="283" name="OptionButton4" hidden="1">
          <a:extLst>
            <a:ext uri="{63B3BB69-23CF-44E3-9099-C40C66FF867C}">
              <a14:compatExt xmlns:a14="http://schemas.microsoft.com/office/drawing/2010/main" spid="_x0000_s19535"/>
            </a:ext>
          </a:extLst>
        </xdr:cNvPr>
        <xdr:cNvSpPr/>
      </xdr:nvSpPr>
      <xdr:spPr>
        <a:xfrm>
          <a:off x="2873732" y="7924924"/>
          <a:ext cx="583843" cy="257051"/>
        </a:xfrm>
        <a:prstGeom prst="rect">
          <a:avLst/>
        </a:prstGeom>
      </xdr:spPr>
    </xdr:sp>
    <xdr:clientData/>
  </xdr:twoCellAnchor>
  <xdr:oneCellAnchor>
    <xdr:from>
      <xdr:col>10</xdr:col>
      <xdr:colOff>657656</xdr:colOff>
      <xdr:row>79</xdr:row>
      <xdr:rowOff>0</xdr:rowOff>
    </xdr:from>
    <xdr:ext cx="1342592" cy="463086"/>
    <xdr:sp macro="" textlink="">
      <xdr:nvSpPr>
        <xdr:cNvPr id="284" name="OptionButton7" hidden="1">
          <a:extLst>
            <a:ext uri="{63B3BB69-23CF-44E3-9099-C40C66FF867C}">
              <a14:compatExt xmlns:a14="http://schemas.microsoft.com/office/drawing/2010/main" spid="_x0000_s19536"/>
            </a:ext>
          </a:extLst>
        </xdr:cNvPr>
        <xdr:cNvSpPr/>
      </xdr:nvSpPr>
      <xdr:spPr>
        <a:xfrm>
          <a:off x="6744131" y="7600950"/>
          <a:ext cx="1342592" cy="463086"/>
        </a:xfrm>
        <a:prstGeom prst="rect">
          <a:avLst/>
        </a:prstGeom>
      </xdr:spPr>
    </xdr:sp>
    <xdr:clientData/>
  </xdr:oneCellAnchor>
  <xdr:twoCellAnchor>
    <xdr:from>
      <xdr:col>9</xdr:col>
      <xdr:colOff>73382</xdr:colOff>
      <xdr:row>78</xdr:row>
      <xdr:rowOff>114424</xdr:rowOff>
    </xdr:from>
    <xdr:to>
      <xdr:col>11</xdr:col>
      <xdr:colOff>243084</xdr:colOff>
      <xdr:row>80</xdr:row>
      <xdr:rowOff>0</xdr:rowOff>
    </xdr:to>
    <xdr:sp macro="" textlink="">
      <xdr:nvSpPr>
        <xdr:cNvPr id="285"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286"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287"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12</xdr:col>
      <xdr:colOff>243084</xdr:colOff>
      <xdr:row>80</xdr:row>
      <xdr:rowOff>0</xdr:rowOff>
    </xdr:to>
    <xdr:sp macro="" textlink="">
      <xdr:nvSpPr>
        <xdr:cNvPr id="288" name="OptionButton4" hidden="1">
          <a:extLst>
            <a:ext uri="{63B3BB69-23CF-44E3-9099-C40C66FF867C}">
              <a14:compatExt xmlns:a14="http://schemas.microsoft.com/office/drawing/2010/main" spid="_x0000_s19535"/>
            </a:ext>
          </a:extLst>
        </xdr:cNvPr>
        <xdr:cNvSpPr/>
      </xdr:nvSpPr>
      <xdr:spPr>
        <a:xfrm>
          <a:off x="6159857" y="7505824"/>
          <a:ext cx="1484152"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289"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290"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291"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292"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293"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oneCellAnchor>
    <xdr:from>
      <xdr:col>9</xdr:col>
      <xdr:colOff>657656</xdr:colOff>
      <xdr:row>80</xdr:row>
      <xdr:rowOff>0</xdr:rowOff>
    </xdr:from>
    <xdr:ext cx="1348390" cy="465571"/>
    <xdr:sp macro="" textlink="">
      <xdr:nvSpPr>
        <xdr:cNvPr id="294" name="OptionButton7" hidden="1">
          <a:extLst>
            <a:ext uri="{63B3BB69-23CF-44E3-9099-C40C66FF867C}">
              <a14:compatExt xmlns:a14="http://schemas.microsoft.com/office/drawing/2010/main" spid="_x0000_s19536"/>
            </a:ext>
          </a:extLst>
        </xdr:cNvPr>
        <xdr:cNvSpPr/>
      </xdr:nvSpPr>
      <xdr:spPr>
        <a:xfrm>
          <a:off x="5429681" y="7810500"/>
          <a:ext cx="1348390" cy="465571"/>
        </a:xfrm>
        <a:prstGeom prst="rect">
          <a:avLst/>
        </a:prstGeom>
      </xdr:spPr>
    </xdr:sp>
    <xdr:clientData/>
  </xdr:oneCellAnchor>
  <xdr:oneCellAnchor>
    <xdr:from>
      <xdr:col>9</xdr:col>
      <xdr:colOff>657656</xdr:colOff>
      <xdr:row>81</xdr:row>
      <xdr:rowOff>0</xdr:rowOff>
    </xdr:from>
    <xdr:ext cx="1348390" cy="465571"/>
    <xdr:sp macro="" textlink="">
      <xdr:nvSpPr>
        <xdr:cNvPr id="295" name="OptionButton7" hidden="1">
          <a:extLst>
            <a:ext uri="{63B3BB69-23CF-44E3-9099-C40C66FF867C}">
              <a14:compatExt xmlns:a14="http://schemas.microsoft.com/office/drawing/2010/main" spid="_x0000_s19536"/>
            </a:ext>
          </a:extLst>
        </xdr:cNvPr>
        <xdr:cNvSpPr/>
      </xdr:nvSpPr>
      <xdr:spPr>
        <a:xfrm>
          <a:off x="6086906" y="8020050"/>
          <a:ext cx="1348390" cy="465571"/>
        </a:xfrm>
        <a:prstGeom prst="rect">
          <a:avLst/>
        </a:prstGeom>
      </xdr:spPr>
    </xdr:sp>
    <xdr:clientData/>
  </xdr:oneCellAnchor>
  <xdr:oneCellAnchor>
    <xdr:from>
      <xdr:col>6</xdr:col>
      <xdr:colOff>657656</xdr:colOff>
      <xdr:row>81</xdr:row>
      <xdr:rowOff>0</xdr:rowOff>
    </xdr:from>
    <xdr:ext cx="1348390" cy="465571"/>
    <xdr:sp macro="" textlink="">
      <xdr:nvSpPr>
        <xdr:cNvPr id="296" name="OptionButton7" hidden="1">
          <a:extLst>
            <a:ext uri="{63B3BB69-23CF-44E3-9099-C40C66FF867C}">
              <a14:compatExt xmlns:a14="http://schemas.microsoft.com/office/drawing/2010/main" spid="_x0000_s19536"/>
            </a:ext>
          </a:extLst>
        </xdr:cNvPr>
        <xdr:cNvSpPr/>
      </xdr:nvSpPr>
      <xdr:spPr>
        <a:xfrm>
          <a:off x="4115231" y="8020050"/>
          <a:ext cx="1348390" cy="465571"/>
        </a:xfrm>
        <a:prstGeom prst="rect">
          <a:avLst/>
        </a:prstGeom>
      </xdr:spPr>
    </xdr:sp>
    <xdr:clientData/>
  </xdr:oneCellAnchor>
  <xdr:oneCellAnchor>
    <xdr:from>
      <xdr:col>9</xdr:col>
      <xdr:colOff>657656</xdr:colOff>
      <xdr:row>81</xdr:row>
      <xdr:rowOff>128032</xdr:rowOff>
    </xdr:from>
    <xdr:ext cx="1348390" cy="467228"/>
    <xdr:sp macro="" textlink="">
      <xdr:nvSpPr>
        <xdr:cNvPr id="297" name="OptionButton7" hidden="1">
          <a:extLst>
            <a:ext uri="{63B3BB69-23CF-44E3-9099-C40C66FF867C}">
              <a14:compatExt xmlns:a14="http://schemas.microsoft.com/office/drawing/2010/main" spid="_x0000_s19536"/>
            </a:ext>
          </a:extLst>
        </xdr:cNvPr>
        <xdr:cNvSpPr/>
      </xdr:nvSpPr>
      <xdr:spPr>
        <a:xfrm>
          <a:off x="6086906" y="8148082"/>
          <a:ext cx="1348390" cy="467228"/>
        </a:xfrm>
        <a:prstGeom prst="rect">
          <a:avLst/>
        </a:prstGeom>
      </xdr:spPr>
    </xdr:sp>
    <xdr:clientData/>
  </xdr:oneCellAnchor>
  <xdr:twoCellAnchor>
    <xdr:from>
      <xdr:col>10</xdr:col>
      <xdr:colOff>73382</xdr:colOff>
      <xdr:row>78</xdr:row>
      <xdr:rowOff>114424</xdr:rowOff>
    </xdr:from>
    <xdr:to>
      <xdr:col>12</xdr:col>
      <xdr:colOff>243084</xdr:colOff>
      <xdr:row>80</xdr:row>
      <xdr:rowOff>0</xdr:rowOff>
    </xdr:to>
    <xdr:sp macro="" textlink="">
      <xdr:nvSpPr>
        <xdr:cNvPr id="298" name="OptionButton4" hidden="1">
          <a:extLst>
            <a:ext uri="{63B3BB69-23CF-44E3-9099-C40C66FF867C}">
              <a14:compatExt xmlns:a14="http://schemas.microsoft.com/office/drawing/2010/main" spid="_x0000_s19535"/>
            </a:ext>
          </a:extLst>
        </xdr:cNvPr>
        <xdr:cNvSpPr/>
      </xdr:nvSpPr>
      <xdr:spPr>
        <a:xfrm>
          <a:off x="6159857" y="7505824"/>
          <a:ext cx="1484152"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299"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300"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10</xdr:col>
      <xdr:colOff>73382</xdr:colOff>
      <xdr:row>78</xdr:row>
      <xdr:rowOff>114424</xdr:rowOff>
    </xdr:from>
    <xdr:to>
      <xdr:col>12</xdr:col>
      <xdr:colOff>243084</xdr:colOff>
      <xdr:row>80</xdr:row>
      <xdr:rowOff>0</xdr:rowOff>
    </xdr:to>
    <xdr:sp macro="" textlink="">
      <xdr:nvSpPr>
        <xdr:cNvPr id="301" name="OptionButton4" hidden="1">
          <a:extLst>
            <a:ext uri="{63B3BB69-23CF-44E3-9099-C40C66FF867C}">
              <a14:compatExt xmlns:a14="http://schemas.microsoft.com/office/drawing/2010/main" spid="_x0000_s19535"/>
            </a:ext>
          </a:extLst>
        </xdr:cNvPr>
        <xdr:cNvSpPr/>
      </xdr:nvSpPr>
      <xdr:spPr>
        <a:xfrm>
          <a:off x="6159857" y="7505824"/>
          <a:ext cx="1484152"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302"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303"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8</xdr:col>
      <xdr:colOff>73382</xdr:colOff>
      <xdr:row>74</xdr:row>
      <xdr:rowOff>114424</xdr:rowOff>
    </xdr:from>
    <xdr:to>
      <xdr:col>10</xdr:col>
      <xdr:colOff>243084</xdr:colOff>
      <xdr:row>76</xdr:row>
      <xdr:rowOff>0</xdr:rowOff>
    </xdr:to>
    <xdr:sp macro="" textlink="">
      <xdr:nvSpPr>
        <xdr:cNvPr id="304" name="OptionButton4" hidden="1">
          <a:extLst>
            <a:ext uri="{63B3BB69-23CF-44E3-9099-C40C66FF867C}">
              <a14:compatExt xmlns:a14="http://schemas.microsoft.com/office/drawing/2010/main" spid="_x0000_s19535"/>
            </a:ext>
          </a:extLst>
        </xdr:cNvPr>
        <xdr:cNvSpPr/>
      </xdr:nvSpPr>
      <xdr:spPr>
        <a:xfrm>
          <a:off x="4845407" y="6667624"/>
          <a:ext cx="1484152"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305"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306"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oneCellAnchor>
    <xdr:from>
      <xdr:col>8</xdr:col>
      <xdr:colOff>657656</xdr:colOff>
      <xdr:row>75</xdr:row>
      <xdr:rowOff>0</xdr:rowOff>
    </xdr:from>
    <xdr:ext cx="1348390" cy="465571"/>
    <xdr:sp macro="" textlink="">
      <xdr:nvSpPr>
        <xdr:cNvPr id="307" name="OptionButton7" hidden="1">
          <a:extLst>
            <a:ext uri="{63B3BB69-23CF-44E3-9099-C40C66FF867C}">
              <a14:compatExt xmlns:a14="http://schemas.microsoft.com/office/drawing/2010/main" spid="_x0000_s19536"/>
            </a:ext>
          </a:extLst>
        </xdr:cNvPr>
        <xdr:cNvSpPr/>
      </xdr:nvSpPr>
      <xdr:spPr>
        <a:xfrm>
          <a:off x="5429681" y="6762750"/>
          <a:ext cx="1348390" cy="465571"/>
        </a:xfrm>
        <a:prstGeom prst="rect">
          <a:avLst/>
        </a:prstGeom>
      </xdr:spPr>
    </xdr:sp>
    <xdr:clientData/>
  </xdr:oneCellAnchor>
  <xdr:twoCellAnchor>
    <xdr:from>
      <xdr:col>8</xdr:col>
      <xdr:colOff>73382</xdr:colOff>
      <xdr:row>74</xdr:row>
      <xdr:rowOff>114424</xdr:rowOff>
    </xdr:from>
    <xdr:to>
      <xdr:col>10</xdr:col>
      <xdr:colOff>243084</xdr:colOff>
      <xdr:row>76</xdr:row>
      <xdr:rowOff>0</xdr:rowOff>
    </xdr:to>
    <xdr:sp macro="" textlink="">
      <xdr:nvSpPr>
        <xdr:cNvPr id="308" name="OptionButton4" hidden="1">
          <a:extLst>
            <a:ext uri="{63B3BB69-23CF-44E3-9099-C40C66FF867C}">
              <a14:compatExt xmlns:a14="http://schemas.microsoft.com/office/drawing/2010/main" spid="_x0000_s19535"/>
            </a:ext>
          </a:extLst>
        </xdr:cNvPr>
        <xdr:cNvSpPr/>
      </xdr:nvSpPr>
      <xdr:spPr>
        <a:xfrm>
          <a:off x="4845407" y="6667624"/>
          <a:ext cx="1484152"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309"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310"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twoCellAnchor>
    <xdr:from>
      <xdr:col>9</xdr:col>
      <xdr:colOff>73382</xdr:colOff>
      <xdr:row>74</xdr:row>
      <xdr:rowOff>114424</xdr:rowOff>
    </xdr:from>
    <xdr:to>
      <xdr:col>11</xdr:col>
      <xdr:colOff>243084</xdr:colOff>
      <xdr:row>76</xdr:row>
      <xdr:rowOff>0</xdr:rowOff>
    </xdr:to>
    <xdr:sp macro="" textlink="">
      <xdr:nvSpPr>
        <xdr:cNvPr id="311" name="OptionButton4" hidden="1">
          <a:extLst>
            <a:ext uri="{63B3BB69-23CF-44E3-9099-C40C66FF867C}">
              <a14:compatExt xmlns:a14="http://schemas.microsoft.com/office/drawing/2010/main" spid="_x0000_s19535"/>
            </a:ext>
          </a:extLst>
        </xdr:cNvPr>
        <xdr:cNvSpPr/>
      </xdr:nvSpPr>
      <xdr:spPr>
        <a:xfrm>
          <a:off x="5502632" y="6667624"/>
          <a:ext cx="1484152" cy="304676"/>
        </a:xfrm>
        <a:prstGeom prst="rect">
          <a:avLst/>
        </a:prstGeom>
      </xdr:spPr>
    </xdr:sp>
    <xdr:clientData/>
  </xdr:twoCellAnchor>
  <xdr:twoCellAnchor>
    <xdr:from>
      <xdr:col>10</xdr:col>
      <xdr:colOff>73382</xdr:colOff>
      <xdr:row>74</xdr:row>
      <xdr:rowOff>114424</xdr:rowOff>
    </xdr:from>
    <xdr:to>
      <xdr:col>11</xdr:col>
      <xdr:colOff>0</xdr:colOff>
      <xdr:row>76</xdr:row>
      <xdr:rowOff>0</xdr:rowOff>
    </xdr:to>
    <xdr:sp macro="" textlink="">
      <xdr:nvSpPr>
        <xdr:cNvPr id="312" name="OptionButton4" hidden="1">
          <a:extLst>
            <a:ext uri="{63B3BB69-23CF-44E3-9099-C40C66FF867C}">
              <a14:compatExt xmlns:a14="http://schemas.microsoft.com/office/drawing/2010/main" spid="_x0000_s19535"/>
            </a:ext>
          </a:extLst>
        </xdr:cNvPr>
        <xdr:cNvSpPr/>
      </xdr:nvSpPr>
      <xdr:spPr>
        <a:xfrm>
          <a:off x="6159857" y="6667624"/>
          <a:ext cx="583843" cy="304676"/>
        </a:xfrm>
        <a:prstGeom prst="rect">
          <a:avLst/>
        </a:prstGeom>
      </xdr:spPr>
    </xdr:sp>
    <xdr:clientData/>
  </xdr:twoCellAnchor>
  <xdr:twoCellAnchor>
    <xdr:from>
      <xdr:col>10</xdr:col>
      <xdr:colOff>73382</xdr:colOff>
      <xdr:row>74</xdr:row>
      <xdr:rowOff>114424</xdr:rowOff>
    </xdr:from>
    <xdr:to>
      <xdr:col>11</xdr:col>
      <xdr:colOff>0</xdr:colOff>
      <xdr:row>76</xdr:row>
      <xdr:rowOff>0</xdr:rowOff>
    </xdr:to>
    <xdr:sp macro="" textlink="">
      <xdr:nvSpPr>
        <xdr:cNvPr id="313" name="OptionButton4" hidden="1">
          <a:extLst>
            <a:ext uri="{63B3BB69-23CF-44E3-9099-C40C66FF867C}">
              <a14:compatExt xmlns:a14="http://schemas.microsoft.com/office/drawing/2010/main" spid="_x0000_s19535"/>
            </a:ext>
          </a:extLst>
        </xdr:cNvPr>
        <xdr:cNvSpPr/>
      </xdr:nvSpPr>
      <xdr:spPr>
        <a:xfrm>
          <a:off x="6159857" y="6667624"/>
          <a:ext cx="583843" cy="304676"/>
        </a:xfrm>
        <a:prstGeom prst="rect">
          <a:avLst/>
        </a:prstGeom>
      </xdr:spPr>
    </xdr:sp>
    <xdr:clientData/>
  </xdr:twoCellAnchor>
  <xdr:twoCellAnchor>
    <xdr:from>
      <xdr:col>8</xdr:col>
      <xdr:colOff>73382</xdr:colOff>
      <xdr:row>74</xdr:row>
      <xdr:rowOff>114424</xdr:rowOff>
    </xdr:from>
    <xdr:to>
      <xdr:col>10</xdr:col>
      <xdr:colOff>243084</xdr:colOff>
      <xdr:row>76</xdr:row>
      <xdr:rowOff>0</xdr:rowOff>
    </xdr:to>
    <xdr:sp macro="" textlink="">
      <xdr:nvSpPr>
        <xdr:cNvPr id="314" name="OptionButton4" hidden="1">
          <a:extLst>
            <a:ext uri="{63B3BB69-23CF-44E3-9099-C40C66FF867C}">
              <a14:compatExt xmlns:a14="http://schemas.microsoft.com/office/drawing/2010/main" spid="_x0000_s19535"/>
            </a:ext>
          </a:extLst>
        </xdr:cNvPr>
        <xdr:cNvSpPr/>
      </xdr:nvSpPr>
      <xdr:spPr>
        <a:xfrm>
          <a:off x="4845407" y="6667624"/>
          <a:ext cx="1484152"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315"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twoCellAnchor>
    <xdr:from>
      <xdr:col>9</xdr:col>
      <xdr:colOff>73382</xdr:colOff>
      <xdr:row>74</xdr:row>
      <xdr:rowOff>114424</xdr:rowOff>
    </xdr:from>
    <xdr:to>
      <xdr:col>10</xdr:col>
      <xdr:colOff>0</xdr:colOff>
      <xdr:row>76</xdr:row>
      <xdr:rowOff>0</xdr:rowOff>
    </xdr:to>
    <xdr:sp macro="" textlink="">
      <xdr:nvSpPr>
        <xdr:cNvPr id="316" name="OptionButton4" hidden="1">
          <a:extLst>
            <a:ext uri="{63B3BB69-23CF-44E3-9099-C40C66FF867C}">
              <a14:compatExt xmlns:a14="http://schemas.microsoft.com/office/drawing/2010/main" spid="_x0000_s19535"/>
            </a:ext>
          </a:extLst>
        </xdr:cNvPr>
        <xdr:cNvSpPr/>
      </xdr:nvSpPr>
      <xdr:spPr>
        <a:xfrm>
          <a:off x="5502632" y="6667624"/>
          <a:ext cx="583843" cy="304676"/>
        </a:xfrm>
        <a:prstGeom prst="rect">
          <a:avLst/>
        </a:prstGeom>
      </xdr:spPr>
    </xdr:sp>
    <xdr:clientData/>
  </xdr:twoCellAnchor>
  <xdr:oneCellAnchor>
    <xdr:from>
      <xdr:col>7</xdr:col>
      <xdr:colOff>657656</xdr:colOff>
      <xdr:row>76</xdr:row>
      <xdr:rowOff>0</xdr:rowOff>
    </xdr:from>
    <xdr:ext cx="1348390" cy="465571"/>
    <xdr:sp macro="" textlink="">
      <xdr:nvSpPr>
        <xdr:cNvPr id="317" name="OptionButton7" hidden="1">
          <a:extLst>
            <a:ext uri="{63B3BB69-23CF-44E3-9099-C40C66FF867C}">
              <a14:compatExt xmlns:a14="http://schemas.microsoft.com/office/drawing/2010/main" spid="_x0000_s19536"/>
            </a:ext>
          </a:extLst>
        </xdr:cNvPr>
        <xdr:cNvSpPr/>
      </xdr:nvSpPr>
      <xdr:spPr>
        <a:xfrm>
          <a:off x="4772456" y="6972300"/>
          <a:ext cx="1348390" cy="465571"/>
        </a:xfrm>
        <a:prstGeom prst="rect">
          <a:avLst/>
        </a:prstGeom>
      </xdr:spPr>
    </xdr:sp>
    <xdr:clientData/>
  </xdr:oneCellAnchor>
  <xdr:oneCellAnchor>
    <xdr:from>
      <xdr:col>8</xdr:col>
      <xdr:colOff>657656</xdr:colOff>
      <xdr:row>77</xdr:row>
      <xdr:rowOff>0</xdr:rowOff>
    </xdr:from>
    <xdr:ext cx="1348390" cy="465571"/>
    <xdr:sp macro="" textlink="">
      <xdr:nvSpPr>
        <xdr:cNvPr id="318" name="OptionButton7" hidden="1">
          <a:extLst>
            <a:ext uri="{63B3BB69-23CF-44E3-9099-C40C66FF867C}">
              <a14:compatExt xmlns:a14="http://schemas.microsoft.com/office/drawing/2010/main" spid="_x0000_s19536"/>
            </a:ext>
          </a:extLst>
        </xdr:cNvPr>
        <xdr:cNvSpPr/>
      </xdr:nvSpPr>
      <xdr:spPr>
        <a:xfrm>
          <a:off x="5429681" y="7181850"/>
          <a:ext cx="1348390" cy="465571"/>
        </a:xfrm>
        <a:prstGeom prst="rect">
          <a:avLst/>
        </a:prstGeom>
      </xdr:spPr>
    </xdr:sp>
    <xdr:clientData/>
  </xdr:oneCellAnchor>
  <xdr:twoCellAnchor>
    <xdr:from>
      <xdr:col>9</xdr:col>
      <xdr:colOff>73382</xdr:colOff>
      <xdr:row>78</xdr:row>
      <xdr:rowOff>114424</xdr:rowOff>
    </xdr:from>
    <xdr:to>
      <xdr:col>11</xdr:col>
      <xdr:colOff>243084</xdr:colOff>
      <xdr:row>80</xdr:row>
      <xdr:rowOff>0</xdr:rowOff>
    </xdr:to>
    <xdr:sp macro="" textlink="">
      <xdr:nvSpPr>
        <xdr:cNvPr id="319"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20"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21"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322"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23"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24"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12</xdr:col>
      <xdr:colOff>243084</xdr:colOff>
      <xdr:row>80</xdr:row>
      <xdr:rowOff>0</xdr:rowOff>
    </xdr:to>
    <xdr:sp macro="" textlink="">
      <xdr:nvSpPr>
        <xdr:cNvPr id="325" name="OptionButton4" hidden="1">
          <a:extLst>
            <a:ext uri="{63B3BB69-23CF-44E3-9099-C40C66FF867C}">
              <a14:compatExt xmlns:a14="http://schemas.microsoft.com/office/drawing/2010/main" spid="_x0000_s19535"/>
            </a:ext>
          </a:extLst>
        </xdr:cNvPr>
        <xdr:cNvSpPr/>
      </xdr:nvSpPr>
      <xdr:spPr>
        <a:xfrm>
          <a:off x="6159857" y="7505824"/>
          <a:ext cx="1484152"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326"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327"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328"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29"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30"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9</xdr:col>
      <xdr:colOff>73382</xdr:colOff>
      <xdr:row>75</xdr:row>
      <xdr:rowOff>114424</xdr:rowOff>
    </xdr:from>
    <xdr:to>
      <xdr:col>11</xdr:col>
      <xdr:colOff>243084</xdr:colOff>
      <xdr:row>77</xdr:row>
      <xdr:rowOff>0</xdr:rowOff>
    </xdr:to>
    <xdr:sp macro="" textlink="">
      <xdr:nvSpPr>
        <xdr:cNvPr id="331" name="OptionButton4" hidden="1">
          <a:extLst>
            <a:ext uri="{63B3BB69-23CF-44E3-9099-C40C66FF867C}">
              <a14:compatExt xmlns:a14="http://schemas.microsoft.com/office/drawing/2010/main" spid="_x0000_s19535"/>
            </a:ext>
          </a:extLst>
        </xdr:cNvPr>
        <xdr:cNvSpPr/>
      </xdr:nvSpPr>
      <xdr:spPr>
        <a:xfrm>
          <a:off x="5502632" y="6877174"/>
          <a:ext cx="1484152" cy="304676"/>
        </a:xfrm>
        <a:prstGeom prst="rect">
          <a:avLst/>
        </a:prstGeom>
      </xdr:spPr>
    </xdr:sp>
    <xdr:clientData/>
  </xdr:twoCellAnchor>
  <xdr:twoCellAnchor>
    <xdr:from>
      <xdr:col>10</xdr:col>
      <xdr:colOff>73382</xdr:colOff>
      <xdr:row>75</xdr:row>
      <xdr:rowOff>114424</xdr:rowOff>
    </xdr:from>
    <xdr:to>
      <xdr:col>11</xdr:col>
      <xdr:colOff>0</xdr:colOff>
      <xdr:row>77</xdr:row>
      <xdr:rowOff>0</xdr:rowOff>
    </xdr:to>
    <xdr:sp macro="" textlink="">
      <xdr:nvSpPr>
        <xdr:cNvPr id="332" name="OptionButton4" hidden="1">
          <a:extLst>
            <a:ext uri="{63B3BB69-23CF-44E3-9099-C40C66FF867C}">
              <a14:compatExt xmlns:a14="http://schemas.microsoft.com/office/drawing/2010/main" spid="_x0000_s19535"/>
            </a:ext>
          </a:extLst>
        </xdr:cNvPr>
        <xdr:cNvSpPr/>
      </xdr:nvSpPr>
      <xdr:spPr>
        <a:xfrm>
          <a:off x="6159857" y="6877174"/>
          <a:ext cx="583843" cy="304676"/>
        </a:xfrm>
        <a:prstGeom prst="rect">
          <a:avLst/>
        </a:prstGeom>
      </xdr:spPr>
    </xdr:sp>
    <xdr:clientData/>
  </xdr:twoCellAnchor>
  <xdr:twoCellAnchor>
    <xdr:from>
      <xdr:col>10</xdr:col>
      <xdr:colOff>73382</xdr:colOff>
      <xdr:row>75</xdr:row>
      <xdr:rowOff>114424</xdr:rowOff>
    </xdr:from>
    <xdr:to>
      <xdr:col>11</xdr:col>
      <xdr:colOff>0</xdr:colOff>
      <xdr:row>77</xdr:row>
      <xdr:rowOff>0</xdr:rowOff>
    </xdr:to>
    <xdr:sp macro="" textlink="">
      <xdr:nvSpPr>
        <xdr:cNvPr id="333" name="OptionButton4" hidden="1">
          <a:extLst>
            <a:ext uri="{63B3BB69-23CF-44E3-9099-C40C66FF867C}">
              <a14:compatExt xmlns:a14="http://schemas.microsoft.com/office/drawing/2010/main" spid="_x0000_s19535"/>
            </a:ext>
          </a:extLst>
        </xdr:cNvPr>
        <xdr:cNvSpPr/>
      </xdr:nvSpPr>
      <xdr:spPr>
        <a:xfrm>
          <a:off x="6159857" y="6877174"/>
          <a:ext cx="583843" cy="304676"/>
        </a:xfrm>
        <a:prstGeom prst="rect">
          <a:avLst/>
        </a:prstGeom>
      </xdr:spPr>
    </xdr:sp>
    <xdr:clientData/>
  </xdr:twoCellAnchor>
  <xdr:twoCellAnchor>
    <xdr:from>
      <xdr:col>9</xdr:col>
      <xdr:colOff>73382</xdr:colOff>
      <xdr:row>76</xdr:row>
      <xdr:rowOff>114424</xdr:rowOff>
    </xdr:from>
    <xdr:to>
      <xdr:col>11</xdr:col>
      <xdr:colOff>243084</xdr:colOff>
      <xdr:row>78</xdr:row>
      <xdr:rowOff>0</xdr:rowOff>
    </xdr:to>
    <xdr:sp macro="" textlink="">
      <xdr:nvSpPr>
        <xdr:cNvPr id="334" name="OptionButton4" hidden="1">
          <a:extLst>
            <a:ext uri="{63B3BB69-23CF-44E3-9099-C40C66FF867C}">
              <a14:compatExt xmlns:a14="http://schemas.microsoft.com/office/drawing/2010/main" spid="_x0000_s19535"/>
            </a:ext>
          </a:extLst>
        </xdr:cNvPr>
        <xdr:cNvSpPr/>
      </xdr:nvSpPr>
      <xdr:spPr>
        <a:xfrm>
          <a:off x="5502632" y="7086724"/>
          <a:ext cx="1484152" cy="304676"/>
        </a:xfrm>
        <a:prstGeom prst="rect">
          <a:avLst/>
        </a:prstGeom>
      </xdr:spPr>
    </xdr:sp>
    <xdr:clientData/>
  </xdr:twoCellAnchor>
  <xdr:twoCellAnchor>
    <xdr:from>
      <xdr:col>10</xdr:col>
      <xdr:colOff>73382</xdr:colOff>
      <xdr:row>76</xdr:row>
      <xdr:rowOff>114424</xdr:rowOff>
    </xdr:from>
    <xdr:to>
      <xdr:col>11</xdr:col>
      <xdr:colOff>0</xdr:colOff>
      <xdr:row>78</xdr:row>
      <xdr:rowOff>0</xdr:rowOff>
    </xdr:to>
    <xdr:sp macro="" textlink="">
      <xdr:nvSpPr>
        <xdr:cNvPr id="335" name="OptionButton4" hidden="1">
          <a:extLst>
            <a:ext uri="{63B3BB69-23CF-44E3-9099-C40C66FF867C}">
              <a14:compatExt xmlns:a14="http://schemas.microsoft.com/office/drawing/2010/main" spid="_x0000_s19535"/>
            </a:ext>
          </a:extLst>
        </xdr:cNvPr>
        <xdr:cNvSpPr/>
      </xdr:nvSpPr>
      <xdr:spPr>
        <a:xfrm>
          <a:off x="6159857" y="7086724"/>
          <a:ext cx="583843" cy="304676"/>
        </a:xfrm>
        <a:prstGeom prst="rect">
          <a:avLst/>
        </a:prstGeom>
      </xdr:spPr>
    </xdr:sp>
    <xdr:clientData/>
  </xdr:twoCellAnchor>
  <xdr:twoCellAnchor>
    <xdr:from>
      <xdr:col>10</xdr:col>
      <xdr:colOff>73382</xdr:colOff>
      <xdr:row>76</xdr:row>
      <xdr:rowOff>114424</xdr:rowOff>
    </xdr:from>
    <xdr:to>
      <xdr:col>11</xdr:col>
      <xdr:colOff>0</xdr:colOff>
      <xdr:row>78</xdr:row>
      <xdr:rowOff>0</xdr:rowOff>
    </xdr:to>
    <xdr:sp macro="" textlink="">
      <xdr:nvSpPr>
        <xdr:cNvPr id="336" name="OptionButton4" hidden="1">
          <a:extLst>
            <a:ext uri="{63B3BB69-23CF-44E3-9099-C40C66FF867C}">
              <a14:compatExt xmlns:a14="http://schemas.microsoft.com/office/drawing/2010/main" spid="_x0000_s19535"/>
            </a:ext>
          </a:extLst>
        </xdr:cNvPr>
        <xdr:cNvSpPr/>
      </xdr:nvSpPr>
      <xdr:spPr>
        <a:xfrm>
          <a:off x="6159857" y="7086724"/>
          <a:ext cx="583843" cy="304676"/>
        </a:xfrm>
        <a:prstGeom prst="rect">
          <a:avLst/>
        </a:prstGeom>
      </xdr:spPr>
    </xdr:sp>
    <xdr:clientData/>
  </xdr:twoCellAnchor>
  <xdr:twoCellAnchor>
    <xdr:from>
      <xdr:col>9</xdr:col>
      <xdr:colOff>73382</xdr:colOff>
      <xdr:row>77</xdr:row>
      <xdr:rowOff>114424</xdr:rowOff>
    </xdr:from>
    <xdr:to>
      <xdr:col>11</xdr:col>
      <xdr:colOff>243084</xdr:colOff>
      <xdr:row>79</xdr:row>
      <xdr:rowOff>0</xdr:rowOff>
    </xdr:to>
    <xdr:sp macro="" textlink="">
      <xdr:nvSpPr>
        <xdr:cNvPr id="337" name="OptionButton4" hidden="1">
          <a:extLst>
            <a:ext uri="{63B3BB69-23CF-44E3-9099-C40C66FF867C}">
              <a14:compatExt xmlns:a14="http://schemas.microsoft.com/office/drawing/2010/main" spid="_x0000_s19535"/>
            </a:ext>
          </a:extLst>
        </xdr:cNvPr>
        <xdr:cNvSpPr/>
      </xdr:nvSpPr>
      <xdr:spPr>
        <a:xfrm>
          <a:off x="5502632" y="7296274"/>
          <a:ext cx="1484152"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38"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39"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9</xdr:col>
      <xdr:colOff>73382</xdr:colOff>
      <xdr:row>75</xdr:row>
      <xdr:rowOff>114424</xdr:rowOff>
    </xdr:from>
    <xdr:to>
      <xdr:col>11</xdr:col>
      <xdr:colOff>243084</xdr:colOff>
      <xdr:row>77</xdr:row>
      <xdr:rowOff>0</xdr:rowOff>
    </xdr:to>
    <xdr:sp macro="" textlink="">
      <xdr:nvSpPr>
        <xdr:cNvPr id="340" name="OptionButton4" hidden="1">
          <a:extLst>
            <a:ext uri="{63B3BB69-23CF-44E3-9099-C40C66FF867C}">
              <a14:compatExt xmlns:a14="http://schemas.microsoft.com/office/drawing/2010/main" spid="_x0000_s19535"/>
            </a:ext>
          </a:extLst>
        </xdr:cNvPr>
        <xdr:cNvSpPr/>
      </xdr:nvSpPr>
      <xdr:spPr>
        <a:xfrm>
          <a:off x="5502632" y="6877174"/>
          <a:ext cx="1484152" cy="304676"/>
        </a:xfrm>
        <a:prstGeom prst="rect">
          <a:avLst/>
        </a:prstGeom>
      </xdr:spPr>
    </xdr:sp>
    <xdr:clientData/>
  </xdr:twoCellAnchor>
  <xdr:twoCellAnchor>
    <xdr:from>
      <xdr:col>10</xdr:col>
      <xdr:colOff>73382</xdr:colOff>
      <xdr:row>75</xdr:row>
      <xdr:rowOff>114424</xdr:rowOff>
    </xdr:from>
    <xdr:to>
      <xdr:col>11</xdr:col>
      <xdr:colOff>0</xdr:colOff>
      <xdr:row>77</xdr:row>
      <xdr:rowOff>0</xdr:rowOff>
    </xdr:to>
    <xdr:sp macro="" textlink="">
      <xdr:nvSpPr>
        <xdr:cNvPr id="341" name="OptionButton4" hidden="1">
          <a:extLst>
            <a:ext uri="{63B3BB69-23CF-44E3-9099-C40C66FF867C}">
              <a14:compatExt xmlns:a14="http://schemas.microsoft.com/office/drawing/2010/main" spid="_x0000_s19535"/>
            </a:ext>
          </a:extLst>
        </xdr:cNvPr>
        <xdr:cNvSpPr/>
      </xdr:nvSpPr>
      <xdr:spPr>
        <a:xfrm>
          <a:off x="6159857" y="6877174"/>
          <a:ext cx="583843" cy="304676"/>
        </a:xfrm>
        <a:prstGeom prst="rect">
          <a:avLst/>
        </a:prstGeom>
      </xdr:spPr>
    </xdr:sp>
    <xdr:clientData/>
  </xdr:twoCellAnchor>
  <xdr:twoCellAnchor>
    <xdr:from>
      <xdr:col>10</xdr:col>
      <xdr:colOff>73382</xdr:colOff>
      <xdr:row>75</xdr:row>
      <xdr:rowOff>114424</xdr:rowOff>
    </xdr:from>
    <xdr:to>
      <xdr:col>11</xdr:col>
      <xdr:colOff>0</xdr:colOff>
      <xdr:row>77</xdr:row>
      <xdr:rowOff>0</xdr:rowOff>
    </xdr:to>
    <xdr:sp macro="" textlink="">
      <xdr:nvSpPr>
        <xdr:cNvPr id="342" name="OptionButton4" hidden="1">
          <a:extLst>
            <a:ext uri="{63B3BB69-23CF-44E3-9099-C40C66FF867C}">
              <a14:compatExt xmlns:a14="http://schemas.microsoft.com/office/drawing/2010/main" spid="_x0000_s19535"/>
            </a:ext>
          </a:extLst>
        </xdr:cNvPr>
        <xdr:cNvSpPr/>
      </xdr:nvSpPr>
      <xdr:spPr>
        <a:xfrm>
          <a:off x="6159857" y="6877174"/>
          <a:ext cx="583843" cy="304676"/>
        </a:xfrm>
        <a:prstGeom prst="rect">
          <a:avLst/>
        </a:prstGeom>
      </xdr:spPr>
    </xdr:sp>
    <xdr:clientData/>
  </xdr:twoCellAnchor>
  <xdr:twoCellAnchor>
    <xdr:from>
      <xdr:col>9</xdr:col>
      <xdr:colOff>73382</xdr:colOff>
      <xdr:row>76</xdr:row>
      <xdr:rowOff>114424</xdr:rowOff>
    </xdr:from>
    <xdr:to>
      <xdr:col>11</xdr:col>
      <xdr:colOff>243084</xdr:colOff>
      <xdr:row>78</xdr:row>
      <xdr:rowOff>0</xdr:rowOff>
    </xdr:to>
    <xdr:sp macro="" textlink="">
      <xdr:nvSpPr>
        <xdr:cNvPr id="343" name="OptionButton4" hidden="1">
          <a:extLst>
            <a:ext uri="{63B3BB69-23CF-44E3-9099-C40C66FF867C}">
              <a14:compatExt xmlns:a14="http://schemas.microsoft.com/office/drawing/2010/main" spid="_x0000_s19535"/>
            </a:ext>
          </a:extLst>
        </xdr:cNvPr>
        <xdr:cNvSpPr/>
      </xdr:nvSpPr>
      <xdr:spPr>
        <a:xfrm>
          <a:off x="5502632" y="7086724"/>
          <a:ext cx="1484152" cy="304676"/>
        </a:xfrm>
        <a:prstGeom prst="rect">
          <a:avLst/>
        </a:prstGeom>
      </xdr:spPr>
    </xdr:sp>
    <xdr:clientData/>
  </xdr:twoCellAnchor>
  <xdr:twoCellAnchor>
    <xdr:from>
      <xdr:col>10</xdr:col>
      <xdr:colOff>73382</xdr:colOff>
      <xdr:row>76</xdr:row>
      <xdr:rowOff>114424</xdr:rowOff>
    </xdr:from>
    <xdr:to>
      <xdr:col>11</xdr:col>
      <xdr:colOff>0</xdr:colOff>
      <xdr:row>78</xdr:row>
      <xdr:rowOff>0</xdr:rowOff>
    </xdr:to>
    <xdr:sp macro="" textlink="">
      <xdr:nvSpPr>
        <xdr:cNvPr id="344" name="OptionButton4" hidden="1">
          <a:extLst>
            <a:ext uri="{63B3BB69-23CF-44E3-9099-C40C66FF867C}">
              <a14:compatExt xmlns:a14="http://schemas.microsoft.com/office/drawing/2010/main" spid="_x0000_s19535"/>
            </a:ext>
          </a:extLst>
        </xdr:cNvPr>
        <xdr:cNvSpPr/>
      </xdr:nvSpPr>
      <xdr:spPr>
        <a:xfrm>
          <a:off x="6159857" y="7086724"/>
          <a:ext cx="583843" cy="304676"/>
        </a:xfrm>
        <a:prstGeom prst="rect">
          <a:avLst/>
        </a:prstGeom>
      </xdr:spPr>
    </xdr:sp>
    <xdr:clientData/>
  </xdr:twoCellAnchor>
  <xdr:twoCellAnchor>
    <xdr:from>
      <xdr:col>10</xdr:col>
      <xdr:colOff>73382</xdr:colOff>
      <xdr:row>76</xdr:row>
      <xdr:rowOff>114424</xdr:rowOff>
    </xdr:from>
    <xdr:to>
      <xdr:col>11</xdr:col>
      <xdr:colOff>0</xdr:colOff>
      <xdr:row>78</xdr:row>
      <xdr:rowOff>0</xdr:rowOff>
    </xdr:to>
    <xdr:sp macro="" textlink="">
      <xdr:nvSpPr>
        <xdr:cNvPr id="345" name="OptionButton4" hidden="1">
          <a:extLst>
            <a:ext uri="{63B3BB69-23CF-44E3-9099-C40C66FF867C}">
              <a14:compatExt xmlns:a14="http://schemas.microsoft.com/office/drawing/2010/main" spid="_x0000_s19535"/>
            </a:ext>
          </a:extLst>
        </xdr:cNvPr>
        <xdr:cNvSpPr/>
      </xdr:nvSpPr>
      <xdr:spPr>
        <a:xfrm>
          <a:off x="6159857" y="7086724"/>
          <a:ext cx="583843" cy="304676"/>
        </a:xfrm>
        <a:prstGeom prst="rect">
          <a:avLst/>
        </a:prstGeom>
      </xdr:spPr>
    </xdr:sp>
    <xdr:clientData/>
  </xdr:twoCellAnchor>
  <xdr:twoCellAnchor>
    <xdr:from>
      <xdr:col>9</xdr:col>
      <xdr:colOff>73382</xdr:colOff>
      <xdr:row>76</xdr:row>
      <xdr:rowOff>114424</xdr:rowOff>
    </xdr:from>
    <xdr:to>
      <xdr:col>11</xdr:col>
      <xdr:colOff>243084</xdr:colOff>
      <xdr:row>78</xdr:row>
      <xdr:rowOff>0</xdr:rowOff>
    </xdr:to>
    <xdr:sp macro="" textlink="">
      <xdr:nvSpPr>
        <xdr:cNvPr id="346" name="OptionButton4" hidden="1">
          <a:extLst>
            <a:ext uri="{63B3BB69-23CF-44E3-9099-C40C66FF867C}">
              <a14:compatExt xmlns:a14="http://schemas.microsoft.com/office/drawing/2010/main" spid="_x0000_s19535"/>
            </a:ext>
          </a:extLst>
        </xdr:cNvPr>
        <xdr:cNvSpPr/>
      </xdr:nvSpPr>
      <xdr:spPr>
        <a:xfrm>
          <a:off x="5502632" y="7086724"/>
          <a:ext cx="1484152" cy="304676"/>
        </a:xfrm>
        <a:prstGeom prst="rect">
          <a:avLst/>
        </a:prstGeom>
      </xdr:spPr>
    </xdr:sp>
    <xdr:clientData/>
  </xdr:twoCellAnchor>
  <xdr:twoCellAnchor>
    <xdr:from>
      <xdr:col>10</xdr:col>
      <xdr:colOff>73382</xdr:colOff>
      <xdr:row>76</xdr:row>
      <xdr:rowOff>114424</xdr:rowOff>
    </xdr:from>
    <xdr:to>
      <xdr:col>11</xdr:col>
      <xdr:colOff>0</xdr:colOff>
      <xdr:row>78</xdr:row>
      <xdr:rowOff>0</xdr:rowOff>
    </xdr:to>
    <xdr:sp macro="" textlink="">
      <xdr:nvSpPr>
        <xdr:cNvPr id="347" name="OptionButton4" hidden="1">
          <a:extLst>
            <a:ext uri="{63B3BB69-23CF-44E3-9099-C40C66FF867C}">
              <a14:compatExt xmlns:a14="http://schemas.microsoft.com/office/drawing/2010/main" spid="_x0000_s19535"/>
            </a:ext>
          </a:extLst>
        </xdr:cNvPr>
        <xdr:cNvSpPr/>
      </xdr:nvSpPr>
      <xdr:spPr>
        <a:xfrm>
          <a:off x="6159857" y="7086724"/>
          <a:ext cx="583843" cy="304676"/>
        </a:xfrm>
        <a:prstGeom prst="rect">
          <a:avLst/>
        </a:prstGeom>
      </xdr:spPr>
    </xdr:sp>
    <xdr:clientData/>
  </xdr:twoCellAnchor>
  <xdr:twoCellAnchor>
    <xdr:from>
      <xdr:col>10</xdr:col>
      <xdr:colOff>73382</xdr:colOff>
      <xdr:row>76</xdr:row>
      <xdr:rowOff>114424</xdr:rowOff>
    </xdr:from>
    <xdr:to>
      <xdr:col>11</xdr:col>
      <xdr:colOff>0</xdr:colOff>
      <xdr:row>78</xdr:row>
      <xdr:rowOff>0</xdr:rowOff>
    </xdr:to>
    <xdr:sp macro="" textlink="">
      <xdr:nvSpPr>
        <xdr:cNvPr id="348" name="OptionButton4" hidden="1">
          <a:extLst>
            <a:ext uri="{63B3BB69-23CF-44E3-9099-C40C66FF867C}">
              <a14:compatExt xmlns:a14="http://schemas.microsoft.com/office/drawing/2010/main" spid="_x0000_s19535"/>
            </a:ext>
          </a:extLst>
        </xdr:cNvPr>
        <xdr:cNvSpPr/>
      </xdr:nvSpPr>
      <xdr:spPr>
        <a:xfrm>
          <a:off x="6159857" y="7086724"/>
          <a:ext cx="583843" cy="304676"/>
        </a:xfrm>
        <a:prstGeom prst="rect">
          <a:avLst/>
        </a:prstGeom>
      </xdr:spPr>
    </xdr:sp>
    <xdr:clientData/>
  </xdr:twoCellAnchor>
  <xdr:twoCellAnchor>
    <xdr:from>
      <xdr:col>9</xdr:col>
      <xdr:colOff>73382</xdr:colOff>
      <xdr:row>77</xdr:row>
      <xdr:rowOff>114424</xdr:rowOff>
    </xdr:from>
    <xdr:to>
      <xdr:col>11</xdr:col>
      <xdr:colOff>243084</xdr:colOff>
      <xdr:row>79</xdr:row>
      <xdr:rowOff>0</xdr:rowOff>
    </xdr:to>
    <xdr:sp macro="" textlink="">
      <xdr:nvSpPr>
        <xdr:cNvPr id="349" name="OptionButton4" hidden="1">
          <a:extLst>
            <a:ext uri="{63B3BB69-23CF-44E3-9099-C40C66FF867C}">
              <a14:compatExt xmlns:a14="http://schemas.microsoft.com/office/drawing/2010/main" spid="_x0000_s19535"/>
            </a:ext>
          </a:extLst>
        </xdr:cNvPr>
        <xdr:cNvSpPr/>
      </xdr:nvSpPr>
      <xdr:spPr>
        <a:xfrm>
          <a:off x="5502632" y="7296274"/>
          <a:ext cx="1484152"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50"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51"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9</xdr:col>
      <xdr:colOff>73382</xdr:colOff>
      <xdr:row>77</xdr:row>
      <xdr:rowOff>114424</xdr:rowOff>
    </xdr:from>
    <xdr:to>
      <xdr:col>11</xdr:col>
      <xdr:colOff>243084</xdr:colOff>
      <xdr:row>79</xdr:row>
      <xdr:rowOff>0</xdr:rowOff>
    </xdr:to>
    <xdr:sp macro="" textlink="">
      <xdr:nvSpPr>
        <xdr:cNvPr id="352" name="OptionButton4" hidden="1">
          <a:extLst>
            <a:ext uri="{63B3BB69-23CF-44E3-9099-C40C66FF867C}">
              <a14:compatExt xmlns:a14="http://schemas.microsoft.com/office/drawing/2010/main" spid="_x0000_s19535"/>
            </a:ext>
          </a:extLst>
        </xdr:cNvPr>
        <xdr:cNvSpPr/>
      </xdr:nvSpPr>
      <xdr:spPr>
        <a:xfrm>
          <a:off x="5502632" y="7296274"/>
          <a:ext cx="1484152"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53"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54"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9</xdr:col>
      <xdr:colOff>73382</xdr:colOff>
      <xdr:row>77</xdr:row>
      <xdr:rowOff>114424</xdr:rowOff>
    </xdr:from>
    <xdr:to>
      <xdr:col>11</xdr:col>
      <xdr:colOff>243084</xdr:colOff>
      <xdr:row>79</xdr:row>
      <xdr:rowOff>0</xdr:rowOff>
    </xdr:to>
    <xdr:sp macro="" textlink="">
      <xdr:nvSpPr>
        <xdr:cNvPr id="355" name="OptionButton4" hidden="1">
          <a:extLst>
            <a:ext uri="{63B3BB69-23CF-44E3-9099-C40C66FF867C}">
              <a14:compatExt xmlns:a14="http://schemas.microsoft.com/office/drawing/2010/main" spid="_x0000_s19535"/>
            </a:ext>
          </a:extLst>
        </xdr:cNvPr>
        <xdr:cNvSpPr/>
      </xdr:nvSpPr>
      <xdr:spPr>
        <a:xfrm>
          <a:off x="5502632" y="7296274"/>
          <a:ext cx="1484152"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56"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57"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10</xdr:col>
      <xdr:colOff>73382</xdr:colOff>
      <xdr:row>78</xdr:row>
      <xdr:rowOff>114424</xdr:rowOff>
    </xdr:from>
    <xdr:to>
      <xdr:col>12</xdr:col>
      <xdr:colOff>243084</xdr:colOff>
      <xdr:row>80</xdr:row>
      <xdr:rowOff>0</xdr:rowOff>
    </xdr:to>
    <xdr:sp macro="" textlink="">
      <xdr:nvSpPr>
        <xdr:cNvPr id="358" name="OptionButton4" hidden="1">
          <a:extLst>
            <a:ext uri="{63B3BB69-23CF-44E3-9099-C40C66FF867C}">
              <a14:compatExt xmlns:a14="http://schemas.microsoft.com/office/drawing/2010/main" spid="_x0000_s19535"/>
            </a:ext>
          </a:extLst>
        </xdr:cNvPr>
        <xdr:cNvSpPr/>
      </xdr:nvSpPr>
      <xdr:spPr>
        <a:xfrm>
          <a:off x="6159857" y="7505824"/>
          <a:ext cx="1484152"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359"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360"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10</xdr:col>
      <xdr:colOff>73382</xdr:colOff>
      <xdr:row>78</xdr:row>
      <xdr:rowOff>114424</xdr:rowOff>
    </xdr:from>
    <xdr:to>
      <xdr:col>12</xdr:col>
      <xdr:colOff>243084</xdr:colOff>
      <xdr:row>80</xdr:row>
      <xdr:rowOff>0</xdr:rowOff>
    </xdr:to>
    <xdr:sp macro="" textlink="">
      <xdr:nvSpPr>
        <xdr:cNvPr id="361" name="OptionButton4" hidden="1">
          <a:extLst>
            <a:ext uri="{63B3BB69-23CF-44E3-9099-C40C66FF867C}">
              <a14:compatExt xmlns:a14="http://schemas.microsoft.com/office/drawing/2010/main" spid="_x0000_s19535"/>
            </a:ext>
          </a:extLst>
        </xdr:cNvPr>
        <xdr:cNvSpPr/>
      </xdr:nvSpPr>
      <xdr:spPr>
        <a:xfrm>
          <a:off x="6159857" y="7505824"/>
          <a:ext cx="1484152"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362"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twoCellAnchor>
    <xdr:from>
      <xdr:col>11</xdr:col>
      <xdr:colOff>73382</xdr:colOff>
      <xdr:row>78</xdr:row>
      <xdr:rowOff>114424</xdr:rowOff>
    </xdr:from>
    <xdr:to>
      <xdr:col>12</xdr:col>
      <xdr:colOff>0</xdr:colOff>
      <xdr:row>80</xdr:row>
      <xdr:rowOff>0</xdr:rowOff>
    </xdr:to>
    <xdr:sp macro="" textlink="">
      <xdr:nvSpPr>
        <xdr:cNvPr id="363" name="OptionButton4" hidden="1">
          <a:extLst>
            <a:ext uri="{63B3BB69-23CF-44E3-9099-C40C66FF867C}">
              <a14:compatExt xmlns:a14="http://schemas.microsoft.com/office/drawing/2010/main" spid="_x0000_s19535"/>
            </a:ext>
          </a:extLst>
        </xdr:cNvPr>
        <xdr:cNvSpPr/>
      </xdr:nvSpPr>
      <xdr:spPr>
        <a:xfrm>
          <a:off x="6817082" y="7505824"/>
          <a:ext cx="583843" cy="304676"/>
        </a:xfrm>
        <a:prstGeom prst="rect">
          <a:avLst/>
        </a:prstGeom>
      </xdr:spPr>
    </xdr:sp>
    <xdr:clientData/>
  </xdr:twoCellAnchor>
  <xdr:oneCellAnchor>
    <xdr:from>
      <xdr:col>9</xdr:col>
      <xdr:colOff>657656</xdr:colOff>
      <xdr:row>74</xdr:row>
      <xdr:rowOff>128032</xdr:rowOff>
    </xdr:from>
    <xdr:ext cx="1348390" cy="467228"/>
    <xdr:sp macro="" textlink="">
      <xdr:nvSpPr>
        <xdr:cNvPr id="364" name="OptionButton7" hidden="1">
          <a:extLst>
            <a:ext uri="{63B3BB69-23CF-44E3-9099-C40C66FF867C}">
              <a14:compatExt xmlns:a14="http://schemas.microsoft.com/office/drawing/2010/main" spid="_x0000_s19536"/>
            </a:ext>
          </a:extLst>
        </xdr:cNvPr>
        <xdr:cNvSpPr/>
      </xdr:nvSpPr>
      <xdr:spPr>
        <a:xfrm>
          <a:off x="6086906" y="6681232"/>
          <a:ext cx="1348390" cy="467228"/>
        </a:xfrm>
        <a:prstGeom prst="rect">
          <a:avLst/>
        </a:prstGeom>
      </xdr:spPr>
    </xdr:sp>
    <xdr:clientData/>
  </xdr:oneCellAnchor>
  <xdr:oneCellAnchor>
    <xdr:from>
      <xdr:col>9</xdr:col>
      <xdr:colOff>657656</xdr:colOff>
      <xdr:row>75</xdr:row>
      <xdr:rowOff>128032</xdr:rowOff>
    </xdr:from>
    <xdr:ext cx="1348390" cy="467228"/>
    <xdr:sp macro="" textlink="">
      <xdr:nvSpPr>
        <xdr:cNvPr id="365" name="OptionButton7" hidden="1">
          <a:extLst>
            <a:ext uri="{63B3BB69-23CF-44E3-9099-C40C66FF867C}">
              <a14:compatExt xmlns:a14="http://schemas.microsoft.com/office/drawing/2010/main" spid="_x0000_s19536"/>
            </a:ext>
          </a:extLst>
        </xdr:cNvPr>
        <xdr:cNvSpPr/>
      </xdr:nvSpPr>
      <xdr:spPr>
        <a:xfrm>
          <a:off x="6086906" y="6890782"/>
          <a:ext cx="1348390" cy="467228"/>
        </a:xfrm>
        <a:prstGeom prst="rect">
          <a:avLst/>
        </a:prstGeom>
      </xdr:spPr>
    </xdr:sp>
    <xdr:clientData/>
  </xdr:oneCellAnchor>
  <xdr:oneCellAnchor>
    <xdr:from>
      <xdr:col>9</xdr:col>
      <xdr:colOff>657656</xdr:colOff>
      <xdr:row>76</xdr:row>
      <xdr:rowOff>128032</xdr:rowOff>
    </xdr:from>
    <xdr:ext cx="1348390" cy="467228"/>
    <xdr:sp macro="" textlink="">
      <xdr:nvSpPr>
        <xdr:cNvPr id="366" name="OptionButton7" hidden="1">
          <a:extLst>
            <a:ext uri="{63B3BB69-23CF-44E3-9099-C40C66FF867C}">
              <a14:compatExt xmlns:a14="http://schemas.microsoft.com/office/drawing/2010/main" spid="_x0000_s19536"/>
            </a:ext>
          </a:extLst>
        </xdr:cNvPr>
        <xdr:cNvSpPr/>
      </xdr:nvSpPr>
      <xdr:spPr>
        <a:xfrm>
          <a:off x="6086906" y="7100332"/>
          <a:ext cx="1348390" cy="467228"/>
        </a:xfrm>
        <a:prstGeom prst="rect">
          <a:avLst/>
        </a:prstGeom>
      </xdr:spPr>
    </xdr:sp>
    <xdr:clientData/>
  </xdr:oneCellAnchor>
  <xdr:oneCellAnchor>
    <xdr:from>
      <xdr:col>9</xdr:col>
      <xdr:colOff>657656</xdr:colOff>
      <xdr:row>77</xdr:row>
      <xdr:rowOff>128032</xdr:rowOff>
    </xdr:from>
    <xdr:ext cx="1348390" cy="467228"/>
    <xdr:sp macro="" textlink="">
      <xdr:nvSpPr>
        <xdr:cNvPr id="367" name="OptionButton7" hidden="1">
          <a:extLst>
            <a:ext uri="{63B3BB69-23CF-44E3-9099-C40C66FF867C}">
              <a14:compatExt xmlns:a14="http://schemas.microsoft.com/office/drawing/2010/main" spid="_x0000_s19536"/>
            </a:ext>
          </a:extLst>
        </xdr:cNvPr>
        <xdr:cNvSpPr/>
      </xdr:nvSpPr>
      <xdr:spPr>
        <a:xfrm>
          <a:off x="6086906" y="7309882"/>
          <a:ext cx="1348390" cy="467228"/>
        </a:xfrm>
        <a:prstGeom prst="rect">
          <a:avLst/>
        </a:prstGeom>
      </xdr:spPr>
    </xdr:sp>
    <xdr:clientData/>
  </xdr:oneCellAnchor>
  <xdr:oneCellAnchor>
    <xdr:from>
      <xdr:col>12</xdr:col>
      <xdr:colOff>657656</xdr:colOff>
      <xdr:row>79</xdr:row>
      <xdr:rowOff>0</xdr:rowOff>
    </xdr:from>
    <xdr:ext cx="1348390" cy="465571"/>
    <xdr:sp macro="" textlink="">
      <xdr:nvSpPr>
        <xdr:cNvPr id="368" name="OptionButton7" hidden="1">
          <a:extLst>
            <a:ext uri="{63B3BB69-23CF-44E3-9099-C40C66FF867C}">
              <a14:compatExt xmlns:a14="http://schemas.microsoft.com/office/drawing/2010/main" spid="_x0000_s19536"/>
            </a:ext>
          </a:extLst>
        </xdr:cNvPr>
        <xdr:cNvSpPr/>
      </xdr:nvSpPr>
      <xdr:spPr>
        <a:xfrm>
          <a:off x="8058581" y="7600950"/>
          <a:ext cx="1348390" cy="465571"/>
        </a:xfrm>
        <a:prstGeom prst="rect">
          <a:avLst/>
        </a:prstGeom>
      </xdr:spPr>
    </xdr:sp>
    <xdr:clientData/>
  </xdr:oneCellAnchor>
  <xdr:oneCellAnchor>
    <xdr:from>
      <xdr:col>13</xdr:col>
      <xdr:colOff>657656</xdr:colOff>
      <xdr:row>79</xdr:row>
      <xdr:rowOff>0</xdr:rowOff>
    </xdr:from>
    <xdr:ext cx="1342592" cy="463086"/>
    <xdr:sp macro="" textlink="">
      <xdr:nvSpPr>
        <xdr:cNvPr id="369" name="OptionButton7" hidden="1">
          <a:extLst>
            <a:ext uri="{63B3BB69-23CF-44E3-9099-C40C66FF867C}">
              <a14:compatExt xmlns:a14="http://schemas.microsoft.com/office/drawing/2010/main" spid="_x0000_s19536"/>
            </a:ext>
          </a:extLst>
        </xdr:cNvPr>
        <xdr:cNvSpPr/>
      </xdr:nvSpPr>
      <xdr:spPr>
        <a:xfrm>
          <a:off x="8715806" y="7600950"/>
          <a:ext cx="1342592" cy="463086"/>
        </a:xfrm>
        <a:prstGeom prst="rect">
          <a:avLst/>
        </a:prstGeom>
      </xdr:spPr>
    </xdr:sp>
    <xdr:clientData/>
  </xdr:oneCellAnchor>
  <xdr:oneCellAnchor>
    <xdr:from>
      <xdr:col>11</xdr:col>
      <xdr:colOff>657656</xdr:colOff>
      <xdr:row>81</xdr:row>
      <xdr:rowOff>0</xdr:rowOff>
    </xdr:from>
    <xdr:ext cx="1348390" cy="465571"/>
    <xdr:sp macro="" textlink="">
      <xdr:nvSpPr>
        <xdr:cNvPr id="370" name="OptionButton7" hidden="1">
          <a:extLst>
            <a:ext uri="{63B3BB69-23CF-44E3-9099-C40C66FF867C}">
              <a14:compatExt xmlns:a14="http://schemas.microsoft.com/office/drawing/2010/main" spid="_x0000_s19536"/>
            </a:ext>
          </a:extLst>
        </xdr:cNvPr>
        <xdr:cNvSpPr/>
      </xdr:nvSpPr>
      <xdr:spPr>
        <a:xfrm>
          <a:off x="7401356" y="8020050"/>
          <a:ext cx="1348390" cy="465571"/>
        </a:xfrm>
        <a:prstGeom prst="rect">
          <a:avLst/>
        </a:prstGeom>
      </xdr:spPr>
    </xdr:sp>
    <xdr:clientData/>
  </xdr:oneCellAnchor>
  <xdr:oneCellAnchor>
    <xdr:from>
      <xdr:col>8</xdr:col>
      <xdr:colOff>657656</xdr:colOff>
      <xdr:row>77</xdr:row>
      <xdr:rowOff>128032</xdr:rowOff>
    </xdr:from>
    <xdr:ext cx="1348390" cy="467228"/>
    <xdr:sp macro="" textlink="">
      <xdr:nvSpPr>
        <xdr:cNvPr id="371" name="OptionButton7" hidden="1">
          <a:extLst>
            <a:ext uri="{63B3BB69-23CF-44E3-9099-C40C66FF867C}">
              <a14:compatExt xmlns:a14="http://schemas.microsoft.com/office/drawing/2010/main" spid="_x0000_s19536"/>
            </a:ext>
          </a:extLst>
        </xdr:cNvPr>
        <xdr:cNvSpPr/>
      </xdr:nvSpPr>
      <xdr:spPr>
        <a:xfrm>
          <a:off x="5429681" y="7309882"/>
          <a:ext cx="1348390" cy="467228"/>
        </a:xfrm>
        <a:prstGeom prst="rect">
          <a:avLst/>
        </a:prstGeom>
      </xdr:spPr>
    </xdr:sp>
    <xdr:clientData/>
  </xdr:oneCellAnchor>
  <xdr:twoCellAnchor>
    <xdr:from>
      <xdr:col>9</xdr:col>
      <xdr:colOff>73382</xdr:colOff>
      <xdr:row>78</xdr:row>
      <xdr:rowOff>114424</xdr:rowOff>
    </xdr:from>
    <xdr:to>
      <xdr:col>11</xdr:col>
      <xdr:colOff>243084</xdr:colOff>
      <xdr:row>80</xdr:row>
      <xdr:rowOff>0</xdr:rowOff>
    </xdr:to>
    <xdr:sp macro="" textlink="">
      <xdr:nvSpPr>
        <xdr:cNvPr id="372"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73"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74"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375"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76"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77"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378"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79"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80"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381"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82"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83"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384"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85"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86"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387"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88"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89"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oneCellAnchor>
    <xdr:from>
      <xdr:col>8</xdr:col>
      <xdr:colOff>657656</xdr:colOff>
      <xdr:row>77</xdr:row>
      <xdr:rowOff>128032</xdr:rowOff>
    </xdr:from>
    <xdr:ext cx="1348390" cy="467228"/>
    <xdr:sp macro="" textlink="">
      <xdr:nvSpPr>
        <xdr:cNvPr id="390" name="OptionButton7" hidden="1">
          <a:extLst>
            <a:ext uri="{63B3BB69-23CF-44E3-9099-C40C66FF867C}">
              <a14:compatExt xmlns:a14="http://schemas.microsoft.com/office/drawing/2010/main" spid="_x0000_s19536"/>
            </a:ext>
          </a:extLst>
        </xdr:cNvPr>
        <xdr:cNvSpPr/>
      </xdr:nvSpPr>
      <xdr:spPr>
        <a:xfrm>
          <a:off x="5429681" y="7309882"/>
          <a:ext cx="1348390" cy="467228"/>
        </a:xfrm>
        <a:prstGeom prst="rect">
          <a:avLst/>
        </a:prstGeom>
      </xdr:spPr>
    </xdr:sp>
    <xdr:clientData/>
  </xdr:oneCellAnchor>
  <xdr:twoCellAnchor>
    <xdr:from>
      <xdr:col>9</xdr:col>
      <xdr:colOff>73382</xdr:colOff>
      <xdr:row>77</xdr:row>
      <xdr:rowOff>114424</xdr:rowOff>
    </xdr:from>
    <xdr:to>
      <xdr:col>11</xdr:col>
      <xdr:colOff>243084</xdr:colOff>
      <xdr:row>79</xdr:row>
      <xdr:rowOff>0</xdr:rowOff>
    </xdr:to>
    <xdr:sp macro="" textlink="">
      <xdr:nvSpPr>
        <xdr:cNvPr id="391" name="OptionButton4" hidden="1">
          <a:extLst>
            <a:ext uri="{63B3BB69-23CF-44E3-9099-C40C66FF867C}">
              <a14:compatExt xmlns:a14="http://schemas.microsoft.com/office/drawing/2010/main" spid="_x0000_s19535"/>
            </a:ext>
          </a:extLst>
        </xdr:cNvPr>
        <xdr:cNvSpPr/>
      </xdr:nvSpPr>
      <xdr:spPr>
        <a:xfrm>
          <a:off x="5502632" y="7296274"/>
          <a:ext cx="1484152"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92"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93"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394"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95"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396"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9</xdr:col>
      <xdr:colOff>73382</xdr:colOff>
      <xdr:row>77</xdr:row>
      <xdr:rowOff>114424</xdr:rowOff>
    </xdr:from>
    <xdr:to>
      <xdr:col>11</xdr:col>
      <xdr:colOff>243084</xdr:colOff>
      <xdr:row>79</xdr:row>
      <xdr:rowOff>0</xdr:rowOff>
    </xdr:to>
    <xdr:sp macro="" textlink="">
      <xdr:nvSpPr>
        <xdr:cNvPr id="397" name="OptionButton4" hidden="1">
          <a:extLst>
            <a:ext uri="{63B3BB69-23CF-44E3-9099-C40C66FF867C}">
              <a14:compatExt xmlns:a14="http://schemas.microsoft.com/office/drawing/2010/main" spid="_x0000_s19535"/>
            </a:ext>
          </a:extLst>
        </xdr:cNvPr>
        <xdr:cNvSpPr/>
      </xdr:nvSpPr>
      <xdr:spPr>
        <a:xfrm>
          <a:off x="5502632" y="7296274"/>
          <a:ext cx="1484152"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98"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399"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9</xdr:col>
      <xdr:colOff>73382</xdr:colOff>
      <xdr:row>77</xdr:row>
      <xdr:rowOff>114424</xdr:rowOff>
    </xdr:from>
    <xdr:to>
      <xdr:col>11</xdr:col>
      <xdr:colOff>243084</xdr:colOff>
      <xdr:row>79</xdr:row>
      <xdr:rowOff>0</xdr:rowOff>
    </xdr:to>
    <xdr:sp macro="" textlink="">
      <xdr:nvSpPr>
        <xdr:cNvPr id="400" name="OptionButton4" hidden="1">
          <a:extLst>
            <a:ext uri="{63B3BB69-23CF-44E3-9099-C40C66FF867C}">
              <a14:compatExt xmlns:a14="http://schemas.microsoft.com/office/drawing/2010/main" spid="_x0000_s19535"/>
            </a:ext>
          </a:extLst>
        </xdr:cNvPr>
        <xdr:cNvSpPr/>
      </xdr:nvSpPr>
      <xdr:spPr>
        <a:xfrm>
          <a:off x="5502632" y="7296274"/>
          <a:ext cx="1484152"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401"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10</xdr:col>
      <xdr:colOff>73382</xdr:colOff>
      <xdr:row>77</xdr:row>
      <xdr:rowOff>114424</xdr:rowOff>
    </xdr:from>
    <xdr:to>
      <xdr:col>11</xdr:col>
      <xdr:colOff>0</xdr:colOff>
      <xdr:row>79</xdr:row>
      <xdr:rowOff>0</xdr:rowOff>
    </xdr:to>
    <xdr:sp macro="" textlink="">
      <xdr:nvSpPr>
        <xdr:cNvPr id="402" name="OptionButton4" hidden="1">
          <a:extLst>
            <a:ext uri="{63B3BB69-23CF-44E3-9099-C40C66FF867C}">
              <a14:compatExt xmlns:a14="http://schemas.microsoft.com/office/drawing/2010/main" spid="_x0000_s19535"/>
            </a:ext>
          </a:extLst>
        </xdr:cNvPr>
        <xdr:cNvSpPr/>
      </xdr:nvSpPr>
      <xdr:spPr>
        <a:xfrm>
          <a:off x="6159857" y="729627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403"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404"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405"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406"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407"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408"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9</xdr:col>
      <xdr:colOff>73382</xdr:colOff>
      <xdr:row>78</xdr:row>
      <xdr:rowOff>114424</xdr:rowOff>
    </xdr:from>
    <xdr:to>
      <xdr:col>11</xdr:col>
      <xdr:colOff>243084</xdr:colOff>
      <xdr:row>80</xdr:row>
      <xdr:rowOff>0</xdr:rowOff>
    </xdr:to>
    <xdr:sp macro="" textlink="">
      <xdr:nvSpPr>
        <xdr:cNvPr id="409" name="OptionButton4" hidden="1">
          <a:extLst>
            <a:ext uri="{63B3BB69-23CF-44E3-9099-C40C66FF867C}">
              <a14:compatExt xmlns:a14="http://schemas.microsoft.com/office/drawing/2010/main" spid="_x0000_s19535"/>
            </a:ext>
          </a:extLst>
        </xdr:cNvPr>
        <xdr:cNvSpPr/>
      </xdr:nvSpPr>
      <xdr:spPr>
        <a:xfrm>
          <a:off x="5502632" y="7505824"/>
          <a:ext cx="1484152"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410"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10</xdr:col>
      <xdr:colOff>73382</xdr:colOff>
      <xdr:row>78</xdr:row>
      <xdr:rowOff>114424</xdr:rowOff>
    </xdr:from>
    <xdr:to>
      <xdr:col>11</xdr:col>
      <xdr:colOff>0</xdr:colOff>
      <xdr:row>80</xdr:row>
      <xdr:rowOff>0</xdr:rowOff>
    </xdr:to>
    <xdr:sp macro="" textlink="">
      <xdr:nvSpPr>
        <xdr:cNvPr id="411" name="OptionButton4" hidden="1">
          <a:extLst>
            <a:ext uri="{63B3BB69-23CF-44E3-9099-C40C66FF867C}">
              <a14:compatExt xmlns:a14="http://schemas.microsoft.com/office/drawing/2010/main" spid="_x0000_s19535"/>
            </a:ext>
          </a:extLst>
        </xdr:cNvPr>
        <xdr:cNvSpPr/>
      </xdr:nvSpPr>
      <xdr:spPr>
        <a:xfrm>
          <a:off x="6159857" y="7505824"/>
          <a:ext cx="583843" cy="304676"/>
        </a:xfrm>
        <a:prstGeom prst="rect">
          <a:avLst/>
        </a:prstGeom>
      </xdr:spPr>
    </xdr:sp>
    <xdr:clientData/>
  </xdr:twoCellAnchor>
  <xdr:twoCellAnchor>
    <xdr:from>
      <xdr:col>11</xdr:col>
      <xdr:colOff>73382</xdr:colOff>
      <xdr:row>78</xdr:row>
      <xdr:rowOff>114424</xdr:rowOff>
    </xdr:from>
    <xdr:to>
      <xdr:col>13</xdr:col>
      <xdr:colOff>243084</xdr:colOff>
      <xdr:row>80</xdr:row>
      <xdr:rowOff>0</xdr:rowOff>
    </xdr:to>
    <xdr:sp macro="" textlink="">
      <xdr:nvSpPr>
        <xdr:cNvPr id="412" name="OptionButton4" hidden="1">
          <a:extLst>
            <a:ext uri="{63B3BB69-23CF-44E3-9099-C40C66FF867C}">
              <a14:compatExt xmlns:a14="http://schemas.microsoft.com/office/drawing/2010/main" spid="_x0000_s19535"/>
            </a:ext>
          </a:extLst>
        </xdr:cNvPr>
        <xdr:cNvSpPr/>
      </xdr:nvSpPr>
      <xdr:spPr>
        <a:xfrm>
          <a:off x="6817082" y="7505824"/>
          <a:ext cx="1484152"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13"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14"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11</xdr:col>
      <xdr:colOff>73382</xdr:colOff>
      <xdr:row>78</xdr:row>
      <xdr:rowOff>114424</xdr:rowOff>
    </xdr:from>
    <xdr:to>
      <xdr:col>13</xdr:col>
      <xdr:colOff>243084</xdr:colOff>
      <xdr:row>80</xdr:row>
      <xdr:rowOff>0</xdr:rowOff>
    </xdr:to>
    <xdr:sp macro="" textlink="">
      <xdr:nvSpPr>
        <xdr:cNvPr id="415" name="OptionButton4" hidden="1">
          <a:extLst>
            <a:ext uri="{63B3BB69-23CF-44E3-9099-C40C66FF867C}">
              <a14:compatExt xmlns:a14="http://schemas.microsoft.com/office/drawing/2010/main" spid="_x0000_s19535"/>
            </a:ext>
          </a:extLst>
        </xdr:cNvPr>
        <xdr:cNvSpPr/>
      </xdr:nvSpPr>
      <xdr:spPr>
        <a:xfrm>
          <a:off x="6817082" y="7505824"/>
          <a:ext cx="1484152"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16"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17"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11</xdr:col>
      <xdr:colOff>73382</xdr:colOff>
      <xdr:row>78</xdr:row>
      <xdr:rowOff>114424</xdr:rowOff>
    </xdr:from>
    <xdr:to>
      <xdr:col>13</xdr:col>
      <xdr:colOff>243084</xdr:colOff>
      <xdr:row>80</xdr:row>
      <xdr:rowOff>0</xdr:rowOff>
    </xdr:to>
    <xdr:sp macro="" textlink="">
      <xdr:nvSpPr>
        <xdr:cNvPr id="418" name="OptionButton4" hidden="1">
          <a:extLst>
            <a:ext uri="{63B3BB69-23CF-44E3-9099-C40C66FF867C}">
              <a14:compatExt xmlns:a14="http://schemas.microsoft.com/office/drawing/2010/main" spid="_x0000_s19535"/>
            </a:ext>
          </a:extLst>
        </xdr:cNvPr>
        <xdr:cNvSpPr/>
      </xdr:nvSpPr>
      <xdr:spPr>
        <a:xfrm>
          <a:off x="6817082" y="7505824"/>
          <a:ext cx="1484152"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19"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20"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11</xdr:col>
      <xdr:colOff>73382</xdr:colOff>
      <xdr:row>78</xdr:row>
      <xdr:rowOff>114424</xdr:rowOff>
    </xdr:from>
    <xdr:to>
      <xdr:col>13</xdr:col>
      <xdr:colOff>243084</xdr:colOff>
      <xdr:row>80</xdr:row>
      <xdr:rowOff>0</xdr:rowOff>
    </xdr:to>
    <xdr:sp macro="" textlink="">
      <xdr:nvSpPr>
        <xdr:cNvPr id="421" name="OptionButton4" hidden="1">
          <a:extLst>
            <a:ext uri="{63B3BB69-23CF-44E3-9099-C40C66FF867C}">
              <a14:compatExt xmlns:a14="http://schemas.microsoft.com/office/drawing/2010/main" spid="_x0000_s19535"/>
            </a:ext>
          </a:extLst>
        </xdr:cNvPr>
        <xdr:cNvSpPr/>
      </xdr:nvSpPr>
      <xdr:spPr>
        <a:xfrm>
          <a:off x="6817082" y="7505824"/>
          <a:ext cx="1484152"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22"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23"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11</xdr:col>
      <xdr:colOff>73382</xdr:colOff>
      <xdr:row>78</xdr:row>
      <xdr:rowOff>114424</xdr:rowOff>
    </xdr:from>
    <xdr:to>
      <xdr:col>13</xdr:col>
      <xdr:colOff>243084</xdr:colOff>
      <xdr:row>80</xdr:row>
      <xdr:rowOff>0</xdr:rowOff>
    </xdr:to>
    <xdr:sp macro="" textlink="">
      <xdr:nvSpPr>
        <xdr:cNvPr id="424" name="OptionButton4" hidden="1">
          <a:extLst>
            <a:ext uri="{63B3BB69-23CF-44E3-9099-C40C66FF867C}">
              <a14:compatExt xmlns:a14="http://schemas.microsoft.com/office/drawing/2010/main" spid="_x0000_s19535"/>
            </a:ext>
          </a:extLst>
        </xdr:cNvPr>
        <xdr:cNvSpPr/>
      </xdr:nvSpPr>
      <xdr:spPr>
        <a:xfrm>
          <a:off x="6817082" y="7505824"/>
          <a:ext cx="1484152"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25"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26"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11</xdr:col>
      <xdr:colOff>73382</xdr:colOff>
      <xdr:row>78</xdr:row>
      <xdr:rowOff>114424</xdr:rowOff>
    </xdr:from>
    <xdr:to>
      <xdr:col>13</xdr:col>
      <xdr:colOff>243084</xdr:colOff>
      <xdr:row>80</xdr:row>
      <xdr:rowOff>0</xdr:rowOff>
    </xdr:to>
    <xdr:sp macro="" textlink="">
      <xdr:nvSpPr>
        <xdr:cNvPr id="427" name="OptionButton4" hidden="1">
          <a:extLst>
            <a:ext uri="{63B3BB69-23CF-44E3-9099-C40C66FF867C}">
              <a14:compatExt xmlns:a14="http://schemas.microsoft.com/office/drawing/2010/main" spid="_x0000_s19535"/>
            </a:ext>
          </a:extLst>
        </xdr:cNvPr>
        <xdr:cNvSpPr/>
      </xdr:nvSpPr>
      <xdr:spPr>
        <a:xfrm>
          <a:off x="6817082" y="7505824"/>
          <a:ext cx="1484152"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28"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12</xdr:col>
      <xdr:colOff>73382</xdr:colOff>
      <xdr:row>78</xdr:row>
      <xdr:rowOff>114424</xdr:rowOff>
    </xdr:from>
    <xdr:to>
      <xdr:col>13</xdr:col>
      <xdr:colOff>0</xdr:colOff>
      <xdr:row>80</xdr:row>
      <xdr:rowOff>0</xdr:rowOff>
    </xdr:to>
    <xdr:sp macro="" textlink="">
      <xdr:nvSpPr>
        <xdr:cNvPr id="429" name="OptionButton4" hidden="1">
          <a:extLst>
            <a:ext uri="{63B3BB69-23CF-44E3-9099-C40C66FF867C}">
              <a14:compatExt xmlns:a14="http://schemas.microsoft.com/office/drawing/2010/main" spid="_x0000_s19535"/>
            </a:ext>
          </a:extLst>
        </xdr:cNvPr>
        <xdr:cNvSpPr/>
      </xdr:nvSpPr>
      <xdr:spPr>
        <a:xfrm>
          <a:off x="7474307" y="7505824"/>
          <a:ext cx="583843" cy="304676"/>
        </a:xfrm>
        <a:prstGeom prst="rect">
          <a:avLst/>
        </a:prstGeom>
      </xdr:spPr>
    </xdr:sp>
    <xdr:clientData/>
  </xdr:twoCellAnchor>
  <xdr:twoCellAnchor>
    <xdr:from>
      <xdr:col>12</xdr:col>
      <xdr:colOff>73382</xdr:colOff>
      <xdr:row>78</xdr:row>
      <xdr:rowOff>114424</xdr:rowOff>
    </xdr:from>
    <xdr:to>
      <xdr:col>14</xdr:col>
      <xdr:colOff>243084</xdr:colOff>
      <xdr:row>80</xdr:row>
      <xdr:rowOff>0</xdr:rowOff>
    </xdr:to>
    <xdr:sp macro="" textlink="">
      <xdr:nvSpPr>
        <xdr:cNvPr id="430" name="OptionButton4" hidden="1">
          <a:extLst>
            <a:ext uri="{63B3BB69-23CF-44E3-9099-C40C66FF867C}">
              <a14:compatExt xmlns:a14="http://schemas.microsoft.com/office/drawing/2010/main" spid="_x0000_s19535"/>
            </a:ext>
          </a:extLst>
        </xdr:cNvPr>
        <xdr:cNvSpPr/>
      </xdr:nvSpPr>
      <xdr:spPr>
        <a:xfrm>
          <a:off x="7474307" y="7505824"/>
          <a:ext cx="1484152"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31"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32"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12</xdr:col>
      <xdr:colOff>73382</xdr:colOff>
      <xdr:row>78</xdr:row>
      <xdr:rowOff>114424</xdr:rowOff>
    </xdr:from>
    <xdr:to>
      <xdr:col>14</xdr:col>
      <xdr:colOff>243084</xdr:colOff>
      <xdr:row>80</xdr:row>
      <xdr:rowOff>0</xdr:rowOff>
    </xdr:to>
    <xdr:sp macro="" textlink="">
      <xdr:nvSpPr>
        <xdr:cNvPr id="433" name="OptionButton4" hidden="1">
          <a:extLst>
            <a:ext uri="{63B3BB69-23CF-44E3-9099-C40C66FF867C}">
              <a14:compatExt xmlns:a14="http://schemas.microsoft.com/office/drawing/2010/main" spid="_x0000_s19535"/>
            </a:ext>
          </a:extLst>
        </xdr:cNvPr>
        <xdr:cNvSpPr/>
      </xdr:nvSpPr>
      <xdr:spPr>
        <a:xfrm>
          <a:off x="7474307" y="7505824"/>
          <a:ext cx="1484152"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34"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35"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12</xdr:col>
      <xdr:colOff>73382</xdr:colOff>
      <xdr:row>78</xdr:row>
      <xdr:rowOff>114424</xdr:rowOff>
    </xdr:from>
    <xdr:to>
      <xdr:col>14</xdr:col>
      <xdr:colOff>243084</xdr:colOff>
      <xdr:row>80</xdr:row>
      <xdr:rowOff>0</xdr:rowOff>
    </xdr:to>
    <xdr:sp macro="" textlink="">
      <xdr:nvSpPr>
        <xdr:cNvPr id="436" name="OptionButton4" hidden="1">
          <a:extLst>
            <a:ext uri="{63B3BB69-23CF-44E3-9099-C40C66FF867C}">
              <a14:compatExt xmlns:a14="http://schemas.microsoft.com/office/drawing/2010/main" spid="_x0000_s19535"/>
            </a:ext>
          </a:extLst>
        </xdr:cNvPr>
        <xdr:cNvSpPr/>
      </xdr:nvSpPr>
      <xdr:spPr>
        <a:xfrm>
          <a:off x="7474307" y="7505824"/>
          <a:ext cx="1484152"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37"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38"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12</xdr:col>
      <xdr:colOff>73382</xdr:colOff>
      <xdr:row>78</xdr:row>
      <xdr:rowOff>114424</xdr:rowOff>
    </xdr:from>
    <xdr:to>
      <xdr:col>14</xdr:col>
      <xdr:colOff>243084</xdr:colOff>
      <xdr:row>80</xdr:row>
      <xdr:rowOff>0</xdr:rowOff>
    </xdr:to>
    <xdr:sp macro="" textlink="">
      <xdr:nvSpPr>
        <xdr:cNvPr id="439" name="OptionButton4" hidden="1">
          <a:extLst>
            <a:ext uri="{63B3BB69-23CF-44E3-9099-C40C66FF867C}">
              <a14:compatExt xmlns:a14="http://schemas.microsoft.com/office/drawing/2010/main" spid="_x0000_s19535"/>
            </a:ext>
          </a:extLst>
        </xdr:cNvPr>
        <xdr:cNvSpPr/>
      </xdr:nvSpPr>
      <xdr:spPr>
        <a:xfrm>
          <a:off x="7474307" y="7505824"/>
          <a:ext cx="1484152"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40"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41"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12</xdr:col>
      <xdr:colOff>73382</xdr:colOff>
      <xdr:row>78</xdr:row>
      <xdr:rowOff>114424</xdr:rowOff>
    </xdr:from>
    <xdr:to>
      <xdr:col>14</xdr:col>
      <xdr:colOff>243084</xdr:colOff>
      <xdr:row>80</xdr:row>
      <xdr:rowOff>0</xdr:rowOff>
    </xdr:to>
    <xdr:sp macro="" textlink="">
      <xdr:nvSpPr>
        <xdr:cNvPr id="442" name="OptionButton4" hidden="1">
          <a:extLst>
            <a:ext uri="{63B3BB69-23CF-44E3-9099-C40C66FF867C}">
              <a14:compatExt xmlns:a14="http://schemas.microsoft.com/office/drawing/2010/main" spid="_x0000_s19535"/>
            </a:ext>
          </a:extLst>
        </xdr:cNvPr>
        <xdr:cNvSpPr/>
      </xdr:nvSpPr>
      <xdr:spPr>
        <a:xfrm>
          <a:off x="7474307" y="7505824"/>
          <a:ext cx="1484152"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43"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44"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12</xdr:col>
      <xdr:colOff>73382</xdr:colOff>
      <xdr:row>78</xdr:row>
      <xdr:rowOff>114424</xdr:rowOff>
    </xdr:from>
    <xdr:to>
      <xdr:col>14</xdr:col>
      <xdr:colOff>243084</xdr:colOff>
      <xdr:row>80</xdr:row>
      <xdr:rowOff>0</xdr:rowOff>
    </xdr:to>
    <xdr:sp macro="" textlink="">
      <xdr:nvSpPr>
        <xdr:cNvPr id="445" name="OptionButton4" hidden="1">
          <a:extLst>
            <a:ext uri="{63B3BB69-23CF-44E3-9099-C40C66FF867C}">
              <a14:compatExt xmlns:a14="http://schemas.microsoft.com/office/drawing/2010/main" spid="_x0000_s19535"/>
            </a:ext>
          </a:extLst>
        </xdr:cNvPr>
        <xdr:cNvSpPr/>
      </xdr:nvSpPr>
      <xdr:spPr>
        <a:xfrm>
          <a:off x="7474307" y="7505824"/>
          <a:ext cx="1484152"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46"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13</xdr:col>
      <xdr:colOff>73382</xdr:colOff>
      <xdr:row>78</xdr:row>
      <xdr:rowOff>114424</xdr:rowOff>
    </xdr:from>
    <xdr:to>
      <xdr:col>14</xdr:col>
      <xdr:colOff>0</xdr:colOff>
      <xdr:row>80</xdr:row>
      <xdr:rowOff>0</xdr:rowOff>
    </xdr:to>
    <xdr:sp macro="" textlink="">
      <xdr:nvSpPr>
        <xdr:cNvPr id="447" name="OptionButton4" hidden="1">
          <a:extLst>
            <a:ext uri="{63B3BB69-23CF-44E3-9099-C40C66FF867C}">
              <a14:compatExt xmlns:a14="http://schemas.microsoft.com/office/drawing/2010/main" spid="_x0000_s19535"/>
            </a:ext>
          </a:extLst>
        </xdr:cNvPr>
        <xdr:cNvSpPr/>
      </xdr:nvSpPr>
      <xdr:spPr>
        <a:xfrm>
          <a:off x="8131532" y="7505824"/>
          <a:ext cx="583843" cy="304676"/>
        </a:xfrm>
        <a:prstGeom prst="rect">
          <a:avLst/>
        </a:prstGeom>
      </xdr:spPr>
    </xdr:sp>
    <xdr:clientData/>
  </xdr:twoCellAnchor>
  <xdr:twoCellAnchor>
    <xdr:from>
      <xdr:col>13</xdr:col>
      <xdr:colOff>73382</xdr:colOff>
      <xdr:row>78</xdr:row>
      <xdr:rowOff>114424</xdr:rowOff>
    </xdr:from>
    <xdr:to>
      <xdr:col>15</xdr:col>
      <xdr:colOff>243084</xdr:colOff>
      <xdr:row>80</xdr:row>
      <xdr:rowOff>0</xdr:rowOff>
    </xdr:to>
    <xdr:sp macro="" textlink="">
      <xdr:nvSpPr>
        <xdr:cNvPr id="448" name="OptionButton4" hidden="1">
          <a:extLst>
            <a:ext uri="{63B3BB69-23CF-44E3-9099-C40C66FF867C}">
              <a14:compatExt xmlns:a14="http://schemas.microsoft.com/office/drawing/2010/main" spid="_x0000_s19535"/>
            </a:ext>
          </a:extLst>
        </xdr:cNvPr>
        <xdr:cNvSpPr/>
      </xdr:nvSpPr>
      <xdr:spPr>
        <a:xfrm>
          <a:off x="8131532" y="7505824"/>
          <a:ext cx="1484152"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49"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50"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13</xdr:col>
      <xdr:colOff>73382</xdr:colOff>
      <xdr:row>78</xdr:row>
      <xdr:rowOff>114424</xdr:rowOff>
    </xdr:from>
    <xdr:to>
      <xdr:col>15</xdr:col>
      <xdr:colOff>243084</xdr:colOff>
      <xdr:row>80</xdr:row>
      <xdr:rowOff>0</xdr:rowOff>
    </xdr:to>
    <xdr:sp macro="" textlink="">
      <xdr:nvSpPr>
        <xdr:cNvPr id="451" name="OptionButton4" hidden="1">
          <a:extLst>
            <a:ext uri="{63B3BB69-23CF-44E3-9099-C40C66FF867C}">
              <a14:compatExt xmlns:a14="http://schemas.microsoft.com/office/drawing/2010/main" spid="_x0000_s19535"/>
            </a:ext>
          </a:extLst>
        </xdr:cNvPr>
        <xdr:cNvSpPr/>
      </xdr:nvSpPr>
      <xdr:spPr>
        <a:xfrm>
          <a:off x="8131532" y="7505824"/>
          <a:ext cx="1484152"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52"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53"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13</xdr:col>
      <xdr:colOff>73382</xdr:colOff>
      <xdr:row>78</xdr:row>
      <xdr:rowOff>114424</xdr:rowOff>
    </xdr:from>
    <xdr:to>
      <xdr:col>15</xdr:col>
      <xdr:colOff>243084</xdr:colOff>
      <xdr:row>80</xdr:row>
      <xdr:rowOff>0</xdr:rowOff>
    </xdr:to>
    <xdr:sp macro="" textlink="">
      <xdr:nvSpPr>
        <xdr:cNvPr id="454" name="OptionButton4" hidden="1">
          <a:extLst>
            <a:ext uri="{63B3BB69-23CF-44E3-9099-C40C66FF867C}">
              <a14:compatExt xmlns:a14="http://schemas.microsoft.com/office/drawing/2010/main" spid="_x0000_s19535"/>
            </a:ext>
          </a:extLst>
        </xdr:cNvPr>
        <xdr:cNvSpPr/>
      </xdr:nvSpPr>
      <xdr:spPr>
        <a:xfrm>
          <a:off x="8131532" y="7505824"/>
          <a:ext cx="1484152"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55"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56"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13</xdr:col>
      <xdr:colOff>73382</xdr:colOff>
      <xdr:row>78</xdr:row>
      <xdr:rowOff>114424</xdr:rowOff>
    </xdr:from>
    <xdr:to>
      <xdr:col>15</xdr:col>
      <xdr:colOff>243084</xdr:colOff>
      <xdr:row>80</xdr:row>
      <xdr:rowOff>0</xdr:rowOff>
    </xdr:to>
    <xdr:sp macro="" textlink="">
      <xdr:nvSpPr>
        <xdr:cNvPr id="457" name="OptionButton4" hidden="1">
          <a:extLst>
            <a:ext uri="{63B3BB69-23CF-44E3-9099-C40C66FF867C}">
              <a14:compatExt xmlns:a14="http://schemas.microsoft.com/office/drawing/2010/main" spid="_x0000_s19535"/>
            </a:ext>
          </a:extLst>
        </xdr:cNvPr>
        <xdr:cNvSpPr/>
      </xdr:nvSpPr>
      <xdr:spPr>
        <a:xfrm>
          <a:off x="8131532" y="7505824"/>
          <a:ext cx="1484152"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58"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59"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13</xdr:col>
      <xdr:colOff>73382</xdr:colOff>
      <xdr:row>78</xdr:row>
      <xdr:rowOff>114424</xdr:rowOff>
    </xdr:from>
    <xdr:to>
      <xdr:col>15</xdr:col>
      <xdr:colOff>243084</xdr:colOff>
      <xdr:row>80</xdr:row>
      <xdr:rowOff>0</xdr:rowOff>
    </xdr:to>
    <xdr:sp macro="" textlink="">
      <xdr:nvSpPr>
        <xdr:cNvPr id="460" name="OptionButton4" hidden="1">
          <a:extLst>
            <a:ext uri="{63B3BB69-23CF-44E3-9099-C40C66FF867C}">
              <a14:compatExt xmlns:a14="http://schemas.microsoft.com/office/drawing/2010/main" spid="_x0000_s19535"/>
            </a:ext>
          </a:extLst>
        </xdr:cNvPr>
        <xdr:cNvSpPr/>
      </xdr:nvSpPr>
      <xdr:spPr>
        <a:xfrm>
          <a:off x="8131532" y="7505824"/>
          <a:ext cx="1484152"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61"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62"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13</xdr:col>
      <xdr:colOff>73382</xdr:colOff>
      <xdr:row>78</xdr:row>
      <xdr:rowOff>114424</xdr:rowOff>
    </xdr:from>
    <xdr:to>
      <xdr:col>15</xdr:col>
      <xdr:colOff>243084</xdr:colOff>
      <xdr:row>80</xdr:row>
      <xdr:rowOff>0</xdr:rowOff>
    </xdr:to>
    <xdr:sp macro="" textlink="">
      <xdr:nvSpPr>
        <xdr:cNvPr id="463" name="OptionButton4" hidden="1">
          <a:extLst>
            <a:ext uri="{63B3BB69-23CF-44E3-9099-C40C66FF867C}">
              <a14:compatExt xmlns:a14="http://schemas.microsoft.com/office/drawing/2010/main" spid="_x0000_s19535"/>
            </a:ext>
          </a:extLst>
        </xdr:cNvPr>
        <xdr:cNvSpPr/>
      </xdr:nvSpPr>
      <xdr:spPr>
        <a:xfrm>
          <a:off x="8131532" y="7505824"/>
          <a:ext cx="1484152"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64"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14</xdr:col>
      <xdr:colOff>73382</xdr:colOff>
      <xdr:row>78</xdr:row>
      <xdr:rowOff>114424</xdr:rowOff>
    </xdr:from>
    <xdr:to>
      <xdr:col>15</xdr:col>
      <xdr:colOff>0</xdr:colOff>
      <xdr:row>80</xdr:row>
      <xdr:rowOff>0</xdr:rowOff>
    </xdr:to>
    <xdr:sp macro="" textlink="">
      <xdr:nvSpPr>
        <xdr:cNvPr id="465" name="OptionButton4" hidden="1">
          <a:extLst>
            <a:ext uri="{63B3BB69-23CF-44E3-9099-C40C66FF867C}">
              <a14:compatExt xmlns:a14="http://schemas.microsoft.com/office/drawing/2010/main" spid="_x0000_s19535"/>
            </a:ext>
          </a:extLst>
        </xdr:cNvPr>
        <xdr:cNvSpPr/>
      </xdr:nvSpPr>
      <xdr:spPr>
        <a:xfrm>
          <a:off x="8788757" y="7505824"/>
          <a:ext cx="583843" cy="304676"/>
        </a:xfrm>
        <a:prstGeom prst="rect">
          <a:avLst/>
        </a:prstGeom>
      </xdr:spPr>
    </xdr:sp>
    <xdr:clientData/>
  </xdr:twoCellAnchor>
  <xdr:twoCellAnchor>
    <xdr:from>
      <xdr:col>12</xdr:col>
      <xdr:colOff>73382</xdr:colOff>
      <xdr:row>79</xdr:row>
      <xdr:rowOff>114424</xdr:rowOff>
    </xdr:from>
    <xdr:to>
      <xdr:col>14</xdr:col>
      <xdr:colOff>243084</xdr:colOff>
      <xdr:row>81</xdr:row>
      <xdr:rowOff>0</xdr:rowOff>
    </xdr:to>
    <xdr:sp macro="" textlink="">
      <xdr:nvSpPr>
        <xdr:cNvPr id="466" name="OptionButton4" hidden="1">
          <a:extLst>
            <a:ext uri="{63B3BB69-23CF-44E3-9099-C40C66FF867C}">
              <a14:compatExt xmlns:a14="http://schemas.microsoft.com/office/drawing/2010/main" spid="_x0000_s19535"/>
            </a:ext>
          </a:extLst>
        </xdr:cNvPr>
        <xdr:cNvSpPr/>
      </xdr:nvSpPr>
      <xdr:spPr>
        <a:xfrm>
          <a:off x="7474307" y="7715374"/>
          <a:ext cx="1484152"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67"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68"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12</xdr:col>
      <xdr:colOff>73382</xdr:colOff>
      <xdr:row>79</xdr:row>
      <xdr:rowOff>114424</xdr:rowOff>
    </xdr:from>
    <xdr:to>
      <xdr:col>14</xdr:col>
      <xdr:colOff>243084</xdr:colOff>
      <xdr:row>81</xdr:row>
      <xdr:rowOff>0</xdr:rowOff>
    </xdr:to>
    <xdr:sp macro="" textlink="">
      <xdr:nvSpPr>
        <xdr:cNvPr id="469" name="OptionButton4" hidden="1">
          <a:extLst>
            <a:ext uri="{63B3BB69-23CF-44E3-9099-C40C66FF867C}">
              <a14:compatExt xmlns:a14="http://schemas.microsoft.com/office/drawing/2010/main" spid="_x0000_s19535"/>
            </a:ext>
          </a:extLst>
        </xdr:cNvPr>
        <xdr:cNvSpPr/>
      </xdr:nvSpPr>
      <xdr:spPr>
        <a:xfrm>
          <a:off x="7474307" y="7715374"/>
          <a:ext cx="1484152"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70"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71"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12</xdr:col>
      <xdr:colOff>73382</xdr:colOff>
      <xdr:row>79</xdr:row>
      <xdr:rowOff>114424</xdr:rowOff>
    </xdr:from>
    <xdr:to>
      <xdr:col>14</xdr:col>
      <xdr:colOff>243084</xdr:colOff>
      <xdr:row>81</xdr:row>
      <xdr:rowOff>0</xdr:rowOff>
    </xdr:to>
    <xdr:sp macro="" textlink="">
      <xdr:nvSpPr>
        <xdr:cNvPr id="472" name="OptionButton4" hidden="1">
          <a:extLst>
            <a:ext uri="{63B3BB69-23CF-44E3-9099-C40C66FF867C}">
              <a14:compatExt xmlns:a14="http://schemas.microsoft.com/office/drawing/2010/main" spid="_x0000_s19535"/>
            </a:ext>
          </a:extLst>
        </xdr:cNvPr>
        <xdr:cNvSpPr/>
      </xdr:nvSpPr>
      <xdr:spPr>
        <a:xfrm>
          <a:off x="7474307" y="7715374"/>
          <a:ext cx="1484152"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73"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74"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12</xdr:col>
      <xdr:colOff>73382</xdr:colOff>
      <xdr:row>79</xdr:row>
      <xdr:rowOff>114424</xdr:rowOff>
    </xdr:from>
    <xdr:to>
      <xdr:col>14</xdr:col>
      <xdr:colOff>243084</xdr:colOff>
      <xdr:row>81</xdr:row>
      <xdr:rowOff>0</xdr:rowOff>
    </xdr:to>
    <xdr:sp macro="" textlink="">
      <xdr:nvSpPr>
        <xdr:cNvPr id="475" name="OptionButton4" hidden="1">
          <a:extLst>
            <a:ext uri="{63B3BB69-23CF-44E3-9099-C40C66FF867C}">
              <a14:compatExt xmlns:a14="http://schemas.microsoft.com/office/drawing/2010/main" spid="_x0000_s19535"/>
            </a:ext>
          </a:extLst>
        </xdr:cNvPr>
        <xdr:cNvSpPr/>
      </xdr:nvSpPr>
      <xdr:spPr>
        <a:xfrm>
          <a:off x="7474307" y="7715374"/>
          <a:ext cx="1484152"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76"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77"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12</xdr:col>
      <xdr:colOff>73382</xdr:colOff>
      <xdr:row>79</xdr:row>
      <xdr:rowOff>114424</xdr:rowOff>
    </xdr:from>
    <xdr:to>
      <xdr:col>14</xdr:col>
      <xdr:colOff>243084</xdr:colOff>
      <xdr:row>81</xdr:row>
      <xdr:rowOff>0</xdr:rowOff>
    </xdr:to>
    <xdr:sp macro="" textlink="">
      <xdr:nvSpPr>
        <xdr:cNvPr id="478" name="OptionButton4" hidden="1">
          <a:extLst>
            <a:ext uri="{63B3BB69-23CF-44E3-9099-C40C66FF867C}">
              <a14:compatExt xmlns:a14="http://schemas.microsoft.com/office/drawing/2010/main" spid="_x0000_s19535"/>
            </a:ext>
          </a:extLst>
        </xdr:cNvPr>
        <xdr:cNvSpPr/>
      </xdr:nvSpPr>
      <xdr:spPr>
        <a:xfrm>
          <a:off x="7474307" y="7715374"/>
          <a:ext cx="1484152"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79"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80"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12</xdr:col>
      <xdr:colOff>73382</xdr:colOff>
      <xdr:row>79</xdr:row>
      <xdr:rowOff>114424</xdr:rowOff>
    </xdr:from>
    <xdr:to>
      <xdr:col>14</xdr:col>
      <xdr:colOff>243084</xdr:colOff>
      <xdr:row>81</xdr:row>
      <xdr:rowOff>0</xdr:rowOff>
    </xdr:to>
    <xdr:sp macro="" textlink="">
      <xdr:nvSpPr>
        <xdr:cNvPr id="481" name="OptionButton4" hidden="1">
          <a:extLst>
            <a:ext uri="{63B3BB69-23CF-44E3-9099-C40C66FF867C}">
              <a14:compatExt xmlns:a14="http://schemas.microsoft.com/office/drawing/2010/main" spid="_x0000_s19535"/>
            </a:ext>
          </a:extLst>
        </xdr:cNvPr>
        <xdr:cNvSpPr/>
      </xdr:nvSpPr>
      <xdr:spPr>
        <a:xfrm>
          <a:off x="7474307" y="7715374"/>
          <a:ext cx="1484152"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82"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13</xdr:col>
      <xdr:colOff>73382</xdr:colOff>
      <xdr:row>79</xdr:row>
      <xdr:rowOff>114424</xdr:rowOff>
    </xdr:from>
    <xdr:to>
      <xdr:col>14</xdr:col>
      <xdr:colOff>0</xdr:colOff>
      <xdr:row>81</xdr:row>
      <xdr:rowOff>0</xdr:rowOff>
    </xdr:to>
    <xdr:sp macro="" textlink="">
      <xdr:nvSpPr>
        <xdr:cNvPr id="483" name="OptionButton4" hidden="1">
          <a:extLst>
            <a:ext uri="{63B3BB69-23CF-44E3-9099-C40C66FF867C}">
              <a14:compatExt xmlns:a14="http://schemas.microsoft.com/office/drawing/2010/main" spid="_x0000_s19535"/>
            </a:ext>
          </a:extLst>
        </xdr:cNvPr>
        <xdr:cNvSpPr/>
      </xdr:nvSpPr>
      <xdr:spPr>
        <a:xfrm>
          <a:off x="8131532" y="7715374"/>
          <a:ext cx="583843" cy="304676"/>
        </a:xfrm>
        <a:prstGeom prst="rect">
          <a:avLst/>
        </a:prstGeom>
      </xdr:spPr>
    </xdr:sp>
    <xdr:clientData/>
  </xdr:twoCellAnchor>
  <xdr:twoCellAnchor>
    <xdr:from>
      <xdr:col>12</xdr:col>
      <xdr:colOff>73382</xdr:colOff>
      <xdr:row>80</xdr:row>
      <xdr:rowOff>114424</xdr:rowOff>
    </xdr:from>
    <xdr:to>
      <xdr:col>14</xdr:col>
      <xdr:colOff>243084</xdr:colOff>
      <xdr:row>82</xdr:row>
      <xdr:rowOff>0</xdr:rowOff>
    </xdr:to>
    <xdr:sp macro="" textlink="">
      <xdr:nvSpPr>
        <xdr:cNvPr id="484" name="OptionButton4" hidden="1">
          <a:extLst>
            <a:ext uri="{63B3BB69-23CF-44E3-9099-C40C66FF867C}">
              <a14:compatExt xmlns:a14="http://schemas.microsoft.com/office/drawing/2010/main" spid="_x0000_s19535"/>
            </a:ext>
          </a:extLst>
        </xdr:cNvPr>
        <xdr:cNvSpPr/>
      </xdr:nvSpPr>
      <xdr:spPr>
        <a:xfrm>
          <a:off x="7474307" y="7924924"/>
          <a:ext cx="1484152"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485"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486"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12</xdr:col>
      <xdr:colOff>73382</xdr:colOff>
      <xdr:row>80</xdr:row>
      <xdr:rowOff>114424</xdr:rowOff>
    </xdr:from>
    <xdr:to>
      <xdr:col>14</xdr:col>
      <xdr:colOff>243084</xdr:colOff>
      <xdr:row>82</xdr:row>
      <xdr:rowOff>0</xdr:rowOff>
    </xdr:to>
    <xdr:sp macro="" textlink="">
      <xdr:nvSpPr>
        <xdr:cNvPr id="487" name="OptionButton4" hidden="1">
          <a:extLst>
            <a:ext uri="{63B3BB69-23CF-44E3-9099-C40C66FF867C}">
              <a14:compatExt xmlns:a14="http://schemas.microsoft.com/office/drawing/2010/main" spid="_x0000_s19535"/>
            </a:ext>
          </a:extLst>
        </xdr:cNvPr>
        <xdr:cNvSpPr/>
      </xdr:nvSpPr>
      <xdr:spPr>
        <a:xfrm>
          <a:off x="7474307" y="7924924"/>
          <a:ext cx="1484152"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488"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489"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12</xdr:col>
      <xdr:colOff>73382</xdr:colOff>
      <xdr:row>80</xdr:row>
      <xdr:rowOff>114424</xdr:rowOff>
    </xdr:from>
    <xdr:to>
      <xdr:col>14</xdr:col>
      <xdr:colOff>243084</xdr:colOff>
      <xdr:row>82</xdr:row>
      <xdr:rowOff>0</xdr:rowOff>
    </xdr:to>
    <xdr:sp macro="" textlink="">
      <xdr:nvSpPr>
        <xdr:cNvPr id="490" name="OptionButton4" hidden="1">
          <a:extLst>
            <a:ext uri="{63B3BB69-23CF-44E3-9099-C40C66FF867C}">
              <a14:compatExt xmlns:a14="http://schemas.microsoft.com/office/drawing/2010/main" spid="_x0000_s19535"/>
            </a:ext>
          </a:extLst>
        </xdr:cNvPr>
        <xdr:cNvSpPr/>
      </xdr:nvSpPr>
      <xdr:spPr>
        <a:xfrm>
          <a:off x="7474307" y="7924924"/>
          <a:ext cx="1484152"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491"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492"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12</xdr:col>
      <xdr:colOff>73382</xdr:colOff>
      <xdr:row>80</xdr:row>
      <xdr:rowOff>114424</xdr:rowOff>
    </xdr:from>
    <xdr:to>
      <xdr:col>14</xdr:col>
      <xdr:colOff>243084</xdr:colOff>
      <xdr:row>82</xdr:row>
      <xdr:rowOff>0</xdr:rowOff>
    </xdr:to>
    <xdr:sp macro="" textlink="">
      <xdr:nvSpPr>
        <xdr:cNvPr id="493" name="OptionButton4" hidden="1">
          <a:extLst>
            <a:ext uri="{63B3BB69-23CF-44E3-9099-C40C66FF867C}">
              <a14:compatExt xmlns:a14="http://schemas.microsoft.com/office/drawing/2010/main" spid="_x0000_s19535"/>
            </a:ext>
          </a:extLst>
        </xdr:cNvPr>
        <xdr:cNvSpPr/>
      </xdr:nvSpPr>
      <xdr:spPr>
        <a:xfrm>
          <a:off x="7474307" y="7924924"/>
          <a:ext cx="1484152"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494"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495"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12</xdr:col>
      <xdr:colOff>73382</xdr:colOff>
      <xdr:row>80</xdr:row>
      <xdr:rowOff>114424</xdr:rowOff>
    </xdr:from>
    <xdr:to>
      <xdr:col>14</xdr:col>
      <xdr:colOff>243084</xdr:colOff>
      <xdr:row>82</xdr:row>
      <xdr:rowOff>0</xdr:rowOff>
    </xdr:to>
    <xdr:sp macro="" textlink="">
      <xdr:nvSpPr>
        <xdr:cNvPr id="496" name="OptionButton4" hidden="1">
          <a:extLst>
            <a:ext uri="{63B3BB69-23CF-44E3-9099-C40C66FF867C}">
              <a14:compatExt xmlns:a14="http://schemas.microsoft.com/office/drawing/2010/main" spid="_x0000_s19535"/>
            </a:ext>
          </a:extLst>
        </xdr:cNvPr>
        <xdr:cNvSpPr/>
      </xdr:nvSpPr>
      <xdr:spPr>
        <a:xfrm>
          <a:off x="7474307" y="7924924"/>
          <a:ext cx="1484152"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497"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498"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12</xdr:col>
      <xdr:colOff>73382</xdr:colOff>
      <xdr:row>80</xdr:row>
      <xdr:rowOff>114424</xdr:rowOff>
    </xdr:from>
    <xdr:to>
      <xdr:col>14</xdr:col>
      <xdr:colOff>243084</xdr:colOff>
      <xdr:row>82</xdr:row>
      <xdr:rowOff>0</xdr:rowOff>
    </xdr:to>
    <xdr:sp macro="" textlink="">
      <xdr:nvSpPr>
        <xdr:cNvPr id="499" name="OptionButton4" hidden="1">
          <a:extLst>
            <a:ext uri="{63B3BB69-23CF-44E3-9099-C40C66FF867C}">
              <a14:compatExt xmlns:a14="http://schemas.microsoft.com/office/drawing/2010/main" spid="_x0000_s19535"/>
            </a:ext>
          </a:extLst>
        </xdr:cNvPr>
        <xdr:cNvSpPr/>
      </xdr:nvSpPr>
      <xdr:spPr>
        <a:xfrm>
          <a:off x="7474307" y="7924924"/>
          <a:ext cx="1484152"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500"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13</xdr:col>
      <xdr:colOff>73382</xdr:colOff>
      <xdr:row>80</xdr:row>
      <xdr:rowOff>114424</xdr:rowOff>
    </xdr:from>
    <xdr:to>
      <xdr:col>14</xdr:col>
      <xdr:colOff>0</xdr:colOff>
      <xdr:row>82</xdr:row>
      <xdr:rowOff>0</xdr:rowOff>
    </xdr:to>
    <xdr:sp macro="" textlink="">
      <xdr:nvSpPr>
        <xdr:cNvPr id="501" name="OptionButton4" hidden="1">
          <a:extLst>
            <a:ext uri="{63B3BB69-23CF-44E3-9099-C40C66FF867C}">
              <a14:compatExt xmlns:a14="http://schemas.microsoft.com/office/drawing/2010/main" spid="_x0000_s19535"/>
            </a:ext>
          </a:extLst>
        </xdr:cNvPr>
        <xdr:cNvSpPr/>
      </xdr:nvSpPr>
      <xdr:spPr>
        <a:xfrm>
          <a:off x="8131532" y="7924924"/>
          <a:ext cx="583843" cy="257051"/>
        </a:xfrm>
        <a:prstGeom prst="rect">
          <a:avLst/>
        </a:prstGeom>
      </xdr:spPr>
    </xdr:sp>
    <xdr:clientData/>
  </xdr:twoCellAnchor>
  <xdr:twoCellAnchor>
    <xdr:from>
      <xdr:col>12</xdr:col>
      <xdr:colOff>73382</xdr:colOff>
      <xdr:row>81</xdr:row>
      <xdr:rowOff>114424</xdr:rowOff>
    </xdr:from>
    <xdr:to>
      <xdr:col>14</xdr:col>
      <xdr:colOff>243084</xdr:colOff>
      <xdr:row>83</xdr:row>
      <xdr:rowOff>0</xdr:rowOff>
    </xdr:to>
    <xdr:sp macro="" textlink="">
      <xdr:nvSpPr>
        <xdr:cNvPr id="502" name="OptionButton4" hidden="1">
          <a:extLst>
            <a:ext uri="{63B3BB69-23CF-44E3-9099-C40C66FF867C}">
              <a14:compatExt xmlns:a14="http://schemas.microsoft.com/office/drawing/2010/main" spid="_x0000_s19535"/>
            </a:ext>
          </a:extLst>
        </xdr:cNvPr>
        <xdr:cNvSpPr/>
      </xdr:nvSpPr>
      <xdr:spPr>
        <a:xfrm>
          <a:off x="7474307" y="8134474"/>
          <a:ext cx="1484152"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03"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04"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12</xdr:col>
      <xdr:colOff>73382</xdr:colOff>
      <xdr:row>81</xdr:row>
      <xdr:rowOff>114424</xdr:rowOff>
    </xdr:from>
    <xdr:to>
      <xdr:col>14</xdr:col>
      <xdr:colOff>243084</xdr:colOff>
      <xdr:row>83</xdr:row>
      <xdr:rowOff>0</xdr:rowOff>
    </xdr:to>
    <xdr:sp macro="" textlink="">
      <xdr:nvSpPr>
        <xdr:cNvPr id="505" name="OptionButton4" hidden="1">
          <a:extLst>
            <a:ext uri="{63B3BB69-23CF-44E3-9099-C40C66FF867C}">
              <a14:compatExt xmlns:a14="http://schemas.microsoft.com/office/drawing/2010/main" spid="_x0000_s19535"/>
            </a:ext>
          </a:extLst>
        </xdr:cNvPr>
        <xdr:cNvSpPr/>
      </xdr:nvSpPr>
      <xdr:spPr>
        <a:xfrm>
          <a:off x="7474307" y="8134474"/>
          <a:ext cx="1484152"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06"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07"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12</xdr:col>
      <xdr:colOff>73382</xdr:colOff>
      <xdr:row>81</xdr:row>
      <xdr:rowOff>114424</xdr:rowOff>
    </xdr:from>
    <xdr:to>
      <xdr:col>14</xdr:col>
      <xdr:colOff>243084</xdr:colOff>
      <xdr:row>83</xdr:row>
      <xdr:rowOff>0</xdr:rowOff>
    </xdr:to>
    <xdr:sp macro="" textlink="">
      <xdr:nvSpPr>
        <xdr:cNvPr id="508" name="OptionButton4" hidden="1">
          <a:extLst>
            <a:ext uri="{63B3BB69-23CF-44E3-9099-C40C66FF867C}">
              <a14:compatExt xmlns:a14="http://schemas.microsoft.com/office/drawing/2010/main" spid="_x0000_s19535"/>
            </a:ext>
          </a:extLst>
        </xdr:cNvPr>
        <xdr:cNvSpPr/>
      </xdr:nvSpPr>
      <xdr:spPr>
        <a:xfrm>
          <a:off x="7474307" y="8134474"/>
          <a:ext cx="1484152"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09"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10"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12</xdr:col>
      <xdr:colOff>73382</xdr:colOff>
      <xdr:row>81</xdr:row>
      <xdr:rowOff>114424</xdr:rowOff>
    </xdr:from>
    <xdr:to>
      <xdr:col>14</xdr:col>
      <xdr:colOff>243084</xdr:colOff>
      <xdr:row>83</xdr:row>
      <xdr:rowOff>0</xdr:rowOff>
    </xdr:to>
    <xdr:sp macro="" textlink="">
      <xdr:nvSpPr>
        <xdr:cNvPr id="511" name="OptionButton4" hidden="1">
          <a:extLst>
            <a:ext uri="{63B3BB69-23CF-44E3-9099-C40C66FF867C}">
              <a14:compatExt xmlns:a14="http://schemas.microsoft.com/office/drawing/2010/main" spid="_x0000_s19535"/>
            </a:ext>
          </a:extLst>
        </xdr:cNvPr>
        <xdr:cNvSpPr/>
      </xdr:nvSpPr>
      <xdr:spPr>
        <a:xfrm>
          <a:off x="7474307" y="8134474"/>
          <a:ext cx="1484152"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12"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13"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12</xdr:col>
      <xdr:colOff>73382</xdr:colOff>
      <xdr:row>81</xdr:row>
      <xdr:rowOff>114424</xdr:rowOff>
    </xdr:from>
    <xdr:to>
      <xdr:col>14</xdr:col>
      <xdr:colOff>243084</xdr:colOff>
      <xdr:row>83</xdr:row>
      <xdr:rowOff>0</xdr:rowOff>
    </xdr:to>
    <xdr:sp macro="" textlink="">
      <xdr:nvSpPr>
        <xdr:cNvPr id="514" name="OptionButton4" hidden="1">
          <a:extLst>
            <a:ext uri="{63B3BB69-23CF-44E3-9099-C40C66FF867C}">
              <a14:compatExt xmlns:a14="http://schemas.microsoft.com/office/drawing/2010/main" spid="_x0000_s19535"/>
            </a:ext>
          </a:extLst>
        </xdr:cNvPr>
        <xdr:cNvSpPr/>
      </xdr:nvSpPr>
      <xdr:spPr>
        <a:xfrm>
          <a:off x="7474307" y="8134474"/>
          <a:ext cx="1484152"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15"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16"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12</xdr:col>
      <xdr:colOff>73382</xdr:colOff>
      <xdr:row>81</xdr:row>
      <xdr:rowOff>114424</xdr:rowOff>
    </xdr:from>
    <xdr:to>
      <xdr:col>14</xdr:col>
      <xdr:colOff>243084</xdr:colOff>
      <xdr:row>83</xdr:row>
      <xdr:rowOff>0</xdr:rowOff>
    </xdr:to>
    <xdr:sp macro="" textlink="">
      <xdr:nvSpPr>
        <xdr:cNvPr id="517" name="OptionButton4" hidden="1">
          <a:extLst>
            <a:ext uri="{63B3BB69-23CF-44E3-9099-C40C66FF867C}">
              <a14:compatExt xmlns:a14="http://schemas.microsoft.com/office/drawing/2010/main" spid="_x0000_s19535"/>
            </a:ext>
          </a:extLst>
        </xdr:cNvPr>
        <xdr:cNvSpPr/>
      </xdr:nvSpPr>
      <xdr:spPr>
        <a:xfrm>
          <a:off x="7474307" y="8134474"/>
          <a:ext cx="1484152"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18"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13</xdr:col>
      <xdr:colOff>73382</xdr:colOff>
      <xdr:row>81</xdr:row>
      <xdr:rowOff>114424</xdr:rowOff>
    </xdr:from>
    <xdr:to>
      <xdr:col>14</xdr:col>
      <xdr:colOff>0</xdr:colOff>
      <xdr:row>83</xdr:row>
      <xdr:rowOff>0</xdr:rowOff>
    </xdr:to>
    <xdr:sp macro="" textlink="">
      <xdr:nvSpPr>
        <xdr:cNvPr id="519" name="OptionButton4" hidden="1">
          <a:extLst>
            <a:ext uri="{63B3BB69-23CF-44E3-9099-C40C66FF867C}">
              <a14:compatExt xmlns:a14="http://schemas.microsoft.com/office/drawing/2010/main" spid="_x0000_s19535"/>
            </a:ext>
          </a:extLst>
        </xdr:cNvPr>
        <xdr:cNvSpPr/>
      </xdr:nvSpPr>
      <xdr:spPr>
        <a:xfrm>
          <a:off x="8131532" y="8134474"/>
          <a:ext cx="583843" cy="209426"/>
        </a:xfrm>
        <a:prstGeom prst="rect">
          <a:avLst/>
        </a:prstGeom>
      </xdr:spPr>
    </xdr:sp>
    <xdr:clientData/>
  </xdr:twoCellAnchor>
  <xdr:twoCellAnchor>
    <xdr:from>
      <xdr:col>7</xdr:col>
      <xdr:colOff>73382</xdr:colOff>
      <xdr:row>80</xdr:row>
      <xdr:rowOff>114424</xdr:rowOff>
    </xdr:from>
    <xdr:to>
      <xdr:col>9</xdr:col>
      <xdr:colOff>243084</xdr:colOff>
      <xdr:row>82</xdr:row>
      <xdr:rowOff>0</xdr:rowOff>
    </xdr:to>
    <xdr:sp macro="" textlink="">
      <xdr:nvSpPr>
        <xdr:cNvPr id="520" name="OptionButton4" hidden="1">
          <a:extLst>
            <a:ext uri="{63B3BB69-23CF-44E3-9099-C40C66FF867C}">
              <a14:compatExt xmlns:a14="http://schemas.microsoft.com/office/drawing/2010/main" spid="_x0000_s19535"/>
            </a:ext>
          </a:extLst>
        </xdr:cNvPr>
        <xdr:cNvSpPr/>
      </xdr:nvSpPr>
      <xdr:spPr>
        <a:xfrm>
          <a:off x="4188182" y="7924924"/>
          <a:ext cx="1484152" cy="257051"/>
        </a:xfrm>
        <a:prstGeom prst="rect">
          <a:avLst/>
        </a:prstGeom>
      </xdr:spPr>
    </xdr:sp>
    <xdr:clientData/>
  </xdr:twoCellAnchor>
  <xdr:twoCellAnchor>
    <xdr:from>
      <xdr:col>8</xdr:col>
      <xdr:colOff>73382</xdr:colOff>
      <xdr:row>80</xdr:row>
      <xdr:rowOff>114424</xdr:rowOff>
    </xdr:from>
    <xdr:to>
      <xdr:col>9</xdr:col>
      <xdr:colOff>0</xdr:colOff>
      <xdr:row>82</xdr:row>
      <xdr:rowOff>0</xdr:rowOff>
    </xdr:to>
    <xdr:sp macro="" textlink="">
      <xdr:nvSpPr>
        <xdr:cNvPr id="521" name="OptionButton4" hidden="1">
          <a:extLst>
            <a:ext uri="{63B3BB69-23CF-44E3-9099-C40C66FF867C}">
              <a14:compatExt xmlns:a14="http://schemas.microsoft.com/office/drawing/2010/main" spid="_x0000_s19535"/>
            </a:ext>
          </a:extLst>
        </xdr:cNvPr>
        <xdr:cNvSpPr/>
      </xdr:nvSpPr>
      <xdr:spPr>
        <a:xfrm>
          <a:off x="4845407" y="7924924"/>
          <a:ext cx="583843" cy="257051"/>
        </a:xfrm>
        <a:prstGeom prst="rect">
          <a:avLst/>
        </a:prstGeom>
      </xdr:spPr>
    </xdr:sp>
    <xdr:clientData/>
  </xdr:twoCellAnchor>
  <xdr:twoCellAnchor>
    <xdr:from>
      <xdr:col>8</xdr:col>
      <xdr:colOff>73382</xdr:colOff>
      <xdr:row>80</xdr:row>
      <xdr:rowOff>114424</xdr:rowOff>
    </xdr:from>
    <xdr:to>
      <xdr:col>9</xdr:col>
      <xdr:colOff>0</xdr:colOff>
      <xdr:row>82</xdr:row>
      <xdr:rowOff>0</xdr:rowOff>
    </xdr:to>
    <xdr:sp macro="" textlink="">
      <xdr:nvSpPr>
        <xdr:cNvPr id="522" name="OptionButton4" hidden="1">
          <a:extLst>
            <a:ext uri="{63B3BB69-23CF-44E3-9099-C40C66FF867C}">
              <a14:compatExt xmlns:a14="http://schemas.microsoft.com/office/drawing/2010/main" spid="_x0000_s19535"/>
            </a:ext>
          </a:extLst>
        </xdr:cNvPr>
        <xdr:cNvSpPr/>
      </xdr:nvSpPr>
      <xdr:spPr>
        <a:xfrm>
          <a:off x="4845407" y="7924924"/>
          <a:ext cx="583843" cy="257051"/>
        </a:xfrm>
        <a:prstGeom prst="rect">
          <a:avLst/>
        </a:prstGeom>
      </xdr:spPr>
    </xdr:sp>
    <xdr:clientData/>
  </xdr:twoCellAnchor>
  <xdr:twoCellAnchor>
    <xdr:from>
      <xdr:col>7</xdr:col>
      <xdr:colOff>73382</xdr:colOff>
      <xdr:row>80</xdr:row>
      <xdr:rowOff>114424</xdr:rowOff>
    </xdr:from>
    <xdr:to>
      <xdr:col>9</xdr:col>
      <xdr:colOff>243084</xdr:colOff>
      <xdr:row>82</xdr:row>
      <xdr:rowOff>0</xdr:rowOff>
    </xdr:to>
    <xdr:sp macro="" textlink="">
      <xdr:nvSpPr>
        <xdr:cNvPr id="523" name="OptionButton4" hidden="1">
          <a:extLst>
            <a:ext uri="{63B3BB69-23CF-44E3-9099-C40C66FF867C}">
              <a14:compatExt xmlns:a14="http://schemas.microsoft.com/office/drawing/2010/main" spid="_x0000_s19535"/>
            </a:ext>
          </a:extLst>
        </xdr:cNvPr>
        <xdr:cNvSpPr/>
      </xdr:nvSpPr>
      <xdr:spPr>
        <a:xfrm>
          <a:off x="4188182" y="7924924"/>
          <a:ext cx="1484152" cy="257051"/>
        </a:xfrm>
        <a:prstGeom prst="rect">
          <a:avLst/>
        </a:prstGeom>
      </xdr:spPr>
    </xdr:sp>
    <xdr:clientData/>
  </xdr:twoCellAnchor>
  <xdr:twoCellAnchor>
    <xdr:from>
      <xdr:col>8</xdr:col>
      <xdr:colOff>73382</xdr:colOff>
      <xdr:row>80</xdr:row>
      <xdr:rowOff>114424</xdr:rowOff>
    </xdr:from>
    <xdr:to>
      <xdr:col>9</xdr:col>
      <xdr:colOff>0</xdr:colOff>
      <xdr:row>82</xdr:row>
      <xdr:rowOff>0</xdr:rowOff>
    </xdr:to>
    <xdr:sp macro="" textlink="">
      <xdr:nvSpPr>
        <xdr:cNvPr id="524" name="OptionButton4" hidden="1">
          <a:extLst>
            <a:ext uri="{63B3BB69-23CF-44E3-9099-C40C66FF867C}">
              <a14:compatExt xmlns:a14="http://schemas.microsoft.com/office/drawing/2010/main" spid="_x0000_s19535"/>
            </a:ext>
          </a:extLst>
        </xdr:cNvPr>
        <xdr:cNvSpPr/>
      </xdr:nvSpPr>
      <xdr:spPr>
        <a:xfrm>
          <a:off x="4845407" y="7924924"/>
          <a:ext cx="583843" cy="257051"/>
        </a:xfrm>
        <a:prstGeom prst="rect">
          <a:avLst/>
        </a:prstGeom>
      </xdr:spPr>
    </xdr:sp>
    <xdr:clientData/>
  </xdr:twoCellAnchor>
  <xdr:twoCellAnchor>
    <xdr:from>
      <xdr:col>8</xdr:col>
      <xdr:colOff>73382</xdr:colOff>
      <xdr:row>80</xdr:row>
      <xdr:rowOff>114424</xdr:rowOff>
    </xdr:from>
    <xdr:to>
      <xdr:col>9</xdr:col>
      <xdr:colOff>0</xdr:colOff>
      <xdr:row>82</xdr:row>
      <xdr:rowOff>0</xdr:rowOff>
    </xdr:to>
    <xdr:sp macro="" textlink="">
      <xdr:nvSpPr>
        <xdr:cNvPr id="525" name="OptionButton4" hidden="1">
          <a:extLst>
            <a:ext uri="{63B3BB69-23CF-44E3-9099-C40C66FF867C}">
              <a14:compatExt xmlns:a14="http://schemas.microsoft.com/office/drawing/2010/main" spid="_x0000_s19535"/>
            </a:ext>
          </a:extLst>
        </xdr:cNvPr>
        <xdr:cNvSpPr/>
      </xdr:nvSpPr>
      <xdr:spPr>
        <a:xfrm>
          <a:off x="4845407" y="7924924"/>
          <a:ext cx="583843" cy="257051"/>
        </a:xfrm>
        <a:prstGeom prst="rect">
          <a:avLst/>
        </a:prstGeom>
      </xdr:spPr>
    </xdr:sp>
    <xdr:clientData/>
  </xdr:twoCellAnchor>
  <xdr:twoCellAnchor>
    <xdr:from>
      <xdr:col>10</xdr:col>
      <xdr:colOff>73382</xdr:colOff>
      <xdr:row>80</xdr:row>
      <xdr:rowOff>114424</xdr:rowOff>
    </xdr:from>
    <xdr:to>
      <xdr:col>12</xdr:col>
      <xdr:colOff>243084</xdr:colOff>
      <xdr:row>82</xdr:row>
      <xdr:rowOff>0</xdr:rowOff>
    </xdr:to>
    <xdr:sp macro="" textlink="">
      <xdr:nvSpPr>
        <xdr:cNvPr id="526" name="OptionButton4" hidden="1">
          <a:extLst>
            <a:ext uri="{63B3BB69-23CF-44E3-9099-C40C66FF867C}">
              <a14:compatExt xmlns:a14="http://schemas.microsoft.com/office/drawing/2010/main" spid="_x0000_s19535"/>
            </a:ext>
          </a:extLst>
        </xdr:cNvPr>
        <xdr:cNvSpPr/>
      </xdr:nvSpPr>
      <xdr:spPr>
        <a:xfrm>
          <a:off x="6159857" y="7924924"/>
          <a:ext cx="1484152" cy="257051"/>
        </a:xfrm>
        <a:prstGeom prst="rect">
          <a:avLst/>
        </a:prstGeom>
      </xdr:spPr>
    </xdr:sp>
    <xdr:clientData/>
  </xdr:twoCellAnchor>
  <xdr:twoCellAnchor>
    <xdr:from>
      <xdr:col>11</xdr:col>
      <xdr:colOff>73382</xdr:colOff>
      <xdr:row>80</xdr:row>
      <xdr:rowOff>114424</xdr:rowOff>
    </xdr:from>
    <xdr:to>
      <xdr:col>12</xdr:col>
      <xdr:colOff>0</xdr:colOff>
      <xdr:row>82</xdr:row>
      <xdr:rowOff>0</xdr:rowOff>
    </xdr:to>
    <xdr:sp macro="" textlink="">
      <xdr:nvSpPr>
        <xdr:cNvPr id="527" name="OptionButton4" hidden="1">
          <a:extLst>
            <a:ext uri="{63B3BB69-23CF-44E3-9099-C40C66FF867C}">
              <a14:compatExt xmlns:a14="http://schemas.microsoft.com/office/drawing/2010/main" spid="_x0000_s19535"/>
            </a:ext>
          </a:extLst>
        </xdr:cNvPr>
        <xdr:cNvSpPr/>
      </xdr:nvSpPr>
      <xdr:spPr>
        <a:xfrm>
          <a:off x="6817082" y="7924924"/>
          <a:ext cx="583843" cy="257051"/>
        </a:xfrm>
        <a:prstGeom prst="rect">
          <a:avLst/>
        </a:prstGeom>
      </xdr:spPr>
    </xdr:sp>
    <xdr:clientData/>
  </xdr:twoCellAnchor>
  <xdr:twoCellAnchor>
    <xdr:from>
      <xdr:col>11</xdr:col>
      <xdr:colOff>73382</xdr:colOff>
      <xdr:row>80</xdr:row>
      <xdr:rowOff>114424</xdr:rowOff>
    </xdr:from>
    <xdr:to>
      <xdr:col>12</xdr:col>
      <xdr:colOff>0</xdr:colOff>
      <xdr:row>82</xdr:row>
      <xdr:rowOff>0</xdr:rowOff>
    </xdr:to>
    <xdr:sp macro="" textlink="">
      <xdr:nvSpPr>
        <xdr:cNvPr id="528" name="OptionButton4" hidden="1">
          <a:extLst>
            <a:ext uri="{63B3BB69-23CF-44E3-9099-C40C66FF867C}">
              <a14:compatExt xmlns:a14="http://schemas.microsoft.com/office/drawing/2010/main" spid="_x0000_s19535"/>
            </a:ext>
          </a:extLst>
        </xdr:cNvPr>
        <xdr:cNvSpPr/>
      </xdr:nvSpPr>
      <xdr:spPr>
        <a:xfrm>
          <a:off x="6817082" y="7924924"/>
          <a:ext cx="583843" cy="257051"/>
        </a:xfrm>
        <a:prstGeom prst="rect">
          <a:avLst/>
        </a:prstGeom>
      </xdr:spPr>
    </xdr:sp>
    <xdr:clientData/>
  </xdr:twoCellAnchor>
  <xdr:twoCellAnchor>
    <xdr:from>
      <xdr:col>10</xdr:col>
      <xdr:colOff>73382</xdr:colOff>
      <xdr:row>80</xdr:row>
      <xdr:rowOff>114424</xdr:rowOff>
    </xdr:from>
    <xdr:to>
      <xdr:col>12</xdr:col>
      <xdr:colOff>243084</xdr:colOff>
      <xdr:row>82</xdr:row>
      <xdr:rowOff>0</xdr:rowOff>
    </xdr:to>
    <xdr:sp macro="" textlink="">
      <xdr:nvSpPr>
        <xdr:cNvPr id="529" name="OptionButton4" hidden="1">
          <a:extLst>
            <a:ext uri="{63B3BB69-23CF-44E3-9099-C40C66FF867C}">
              <a14:compatExt xmlns:a14="http://schemas.microsoft.com/office/drawing/2010/main" spid="_x0000_s19535"/>
            </a:ext>
          </a:extLst>
        </xdr:cNvPr>
        <xdr:cNvSpPr/>
      </xdr:nvSpPr>
      <xdr:spPr>
        <a:xfrm>
          <a:off x="6159857" y="7924924"/>
          <a:ext cx="1484152" cy="257051"/>
        </a:xfrm>
        <a:prstGeom prst="rect">
          <a:avLst/>
        </a:prstGeom>
      </xdr:spPr>
    </xdr:sp>
    <xdr:clientData/>
  </xdr:twoCellAnchor>
  <xdr:twoCellAnchor>
    <xdr:from>
      <xdr:col>11</xdr:col>
      <xdr:colOff>73382</xdr:colOff>
      <xdr:row>80</xdr:row>
      <xdr:rowOff>114424</xdr:rowOff>
    </xdr:from>
    <xdr:to>
      <xdr:col>12</xdr:col>
      <xdr:colOff>0</xdr:colOff>
      <xdr:row>82</xdr:row>
      <xdr:rowOff>0</xdr:rowOff>
    </xdr:to>
    <xdr:sp macro="" textlink="">
      <xdr:nvSpPr>
        <xdr:cNvPr id="530" name="OptionButton4" hidden="1">
          <a:extLst>
            <a:ext uri="{63B3BB69-23CF-44E3-9099-C40C66FF867C}">
              <a14:compatExt xmlns:a14="http://schemas.microsoft.com/office/drawing/2010/main" spid="_x0000_s19535"/>
            </a:ext>
          </a:extLst>
        </xdr:cNvPr>
        <xdr:cNvSpPr/>
      </xdr:nvSpPr>
      <xdr:spPr>
        <a:xfrm>
          <a:off x="6817082" y="7924924"/>
          <a:ext cx="583843" cy="257051"/>
        </a:xfrm>
        <a:prstGeom prst="rect">
          <a:avLst/>
        </a:prstGeom>
      </xdr:spPr>
    </xdr:sp>
    <xdr:clientData/>
  </xdr:twoCellAnchor>
  <xdr:twoCellAnchor>
    <xdr:from>
      <xdr:col>11</xdr:col>
      <xdr:colOff>73382</xdr:colOff>
      <xdr:row>80</xdr:row>
      <xdr:rowOff>114424</xdr:rowOff>
    </xdr:from>
    <xdr:to>
      <xdr:col>12</xdr:col>
      <xdr:colOff>0</xdr:colOff>
      <xdr:row>82</xdr:row>
      <xdr:rowOff>0</xdr:rowOff>
    </xdr:to>
    <xdr:sp macro="" textlink="">
      <xdr:nvSpPr>
        <xdr:cNvPr id="531" name="OptionButton4" hidden="1">
          <a:extLst>
            <a:ext uri="{63B3BB69-23CF-44E3-9099-C40C66FF867C}">
              <a14:compatExt xmlns:a14="http://schemas.microsoft.com/office/drawing/2010/main" spid="_x0000_s19535"/>
            </a:ext>
          </a:extLst>
        </xdr:cNvPr>
        <xdr:cNvSpPr/>
      </xdr:nvSpPr>
      <xdr:spPr>
        <a:xfrm>
          <a:off x="6817082" y="7924924"/>
          <a:ext cx="583843" cy="257051"/>
        </a:xfrm>
        <a:prstGeom prst="rect">
          <a:avLst/>
        </a:prstGeom>
      </xdr:spPr>
    </xdr:sp>
    <xdr:clientData/>
  </xdr:twoCellAnchor>
  <xdr:twoCellAnchor>
    <xdr:from>
      <xdr:col>13</xdr:col>
      <xdr:colOff>73382</xdr:colOff>
      <xdr:row>80</xdr:row>
      <xdr:rowOff>114424</xdr:rowOff>
    </xdr:from>
    <xdr:to>
      <xdr:col>15</xdr:col>
      <xdr:colOff>243084</xdr:colOff>
      <xdr:row>82</xdr:row>
      <xdr:rowOff>0</xdr:rowOff>
    </xdr:to>
    <xdr:sp macro="" textlink="">
      <xdr:nvSpPr>
        <xdr:cNvPr id="532" name="OptionButton4" hidden="1">
          <a:extLst>
            <a:ext uri="{63B3BB69-23CF-44E3-9099-C40C66FF867C}">
              <a14:compatExt xmlns:a14="http://schemas.microsoft.com/office/drawing/2010/main" spid="_x0000_s19535"/>
            </a:ext>
          </a:extLst>
        </xdr:cNvPr>
        <xdr:cNvSpPr/>
      </xdr:nvSpPr>
      <xdr:spPr>
        <a:xfrm>
          <a:off x="8131532" y="7924924"/>
          <a:ext cx="1484152" cy="257051"/>
        </a:xfrm>
        <a:prstGeom prst="rect">
          <a:avLst/>
        </a:prstGeom>
      </xdr:spPr>
    </xdr:sp>
    <xdr:clientData/>
  </xdr:twoCellAnchor>
  <xdr:twoCellAnchor>
    <xdr:from>
      <xdr:col>14</xdr:col>
      <xdr:colOff>73382</xdr:colOff>
      <xdr:row>80</xdr:row>
      <xdr:rowOff>114424</xdr:rowOff>
    </xdr:from>
    <xdr:to>
      <xdr:col>15</xdr:col>
      <xdr:colOff>0</xdr:colOff>
      <xdr:row>82</xdr:row>
      <xdr:rowOff>0</xdr:rowOff>
    </xdr:to>
    <xdr:sp macro="" textlink="">
      <xdr:nvSpPr>
        <xdr:cNvPr id="533" name="OptionButton4" hidden="1">
          <a:extLst>
            <a:ext uri="{63B3BB69-23CF-44E3-9099-C40C66FF867C}">
              <a14:compatExt xmlns:a14="http://schemas.microsoft.com/office/drawing/2010/main" spid="_x0000_s19535"/>
            </a:ext>
          </a:extLst>
        </xdr:cNvPr>
        <xdr:cNvSpPr/>
      </xdr:nvSpPr>
      <xdr:spPr>
        <a:xfrm>
          <a:off x="8788757" y="7924924"/>
          <a:ext cx="583843" cy="257051"/>
        </a:xfrm>
        <a:prstGeom prst="rect">
          <a:avLst/>
        </a:prstGeom>
      </xdr:spPr>
    </xdr:sp>
    <xdr:clientData/>
  </xdr:twoCellAnchor>
  <xdr:twoCellAnchor>
    <xdr:from>
      <xdr:col>14</xdr:col>
      <xdr:colOff>73382</xdr:colOff>
      <xdr:row>80</xdr:row>
      <xdr:rowOff>114424</xdr:rowOff>
    </xdr:from>
    <xdr:to>
      <xdr:col>15</xdr:col>
      <xdr:colOff>0</xdr:colOff>
      <xdr:row>82</xdr:row>
      <xdr:rowOff>0</xdr:rowOff>
    </xdr:to>
    <xdr:sp macro="" textlink="">
      <xdr:nvSpPr>
        <xdr:cNvPr id="534" name="OptionButton4" hidden="1">
          <a:extLst>
            <a:ext uri="{63B3BB69-23CF-44E3-9099-C40C66FF867C}">
              <a14:compatExt xmlns:a14="http://schemas.microsoft.com/office/drawing/2010/main" spid="_x0000_s19535"/>
            </a:ext>
          </a:extLst>
        </xdr:cNvPr>
        <xdr:cNvSpPr/>
      </xdr:nvSpPr>
      <xdr:spPr>
        <a:xfrm>
          <a:off x="8788757" y="7924924"/>
          <a:ext cx="583843" cy="257051"/>
        </a:xfrm>
        <a:prstGeom prst="rect">
          <a:avLst/>
        </a:prstGeom>
      </xdr:spPr>
    </xdr:sp>
    <xdr:clientData/>
  </xdr:twoCellAnchor>
  <xdr:twoCellAnchor>
    <xdr:from>
      <xdr:col>13</xdr:col>
      <xdr:colOff>73382</xdr:colOff>
      <xdr:row>80</xdr:row>
      <xdr:rowOff>114424</xdr:rowOff>
    </xdr:from>
    <xdr:to>
      <xdr:col>15</xdr:col>
      <xdr:colOff>243084</xdr:colOff>
      <xdr:row>82</xdr:row>
      <xdr:rowOff>0</xdr:rowOff>
    </xdr:to>
    <xdr:sp macro="" textlink="">
      <xdr:nvSpPr>
        <xdr:cNvPr id="535" name="OptionButton4" hidden="1">
          <a:extLst>
            <a:ext uri="{63B3BB69-23CF-44E3-9099-C40C66FF867C}">
              <a14:compatExt xmlns:a14="http://schemas.microsoft.com/office/drawing/2010/main" spid="_x0000_s19535"/>
            </a:ext>
          </a:extLst>
        </xdr:cNvPr>
        <xdr:cNvSpPr/>
      </xdr:nvSpPr>
      <xdr:spPr>
        <a:xfrm>
          <a:off x="8131532" y="7924924"/>
          <a:ext cx="1484152" cy="257051"/>
        </a:xfrm>
        <a:prstGeom prst="rect">
          <a:avLst/>
        </a:prstGeom>
      </xdr:spPr>
    </xdr:sp>
    <xdr:clientData/>
  </xdr:twoCellAnchor>
  <xdr:twoCellAnchor>
    <xdr:from>
      <xdr:col>14</xdr:col>
      <xdr:colOff>73382</xdr:colOff>
      <xdr:row>80</xdr:row>
      <xdr:rowOff>114424</xdr:rowOff>
    </xdr:from>
    <xdr:to>
      <xdr:col>15</xdr:col>
      <xdr:colOff>0</xdr:colOff>
      <xdr:row>82</xdr:row>
      <xdr:rowOff>0</xdr:rowOff>
    </xdr:to>
    <xdr:sp macro="" textlink="">
      <xdr:nvSpPr>
        <xdr:cNvPr id="536" name="OptionButton4" hidden="1">
          <a:extLst>
            <a:ext uri="{63B3BB69-23CF-44E3-9099-C40C66FF867C}">
              <a14:compatExt xmlns:a14="http://schemas.microsoft.com/office/drawing/2010/main" spid="_x0000_s19535"/>
            </a:ext>
          </a:extLst>
        </xdr:cNvPr>
        <xdr:cNvSpPr/>
      </xdr:nvSpPr>
      <xdr:spPr>
        <a:xfrm>
          <a:off x="8788757" y="7924924"/>
          <a:ext cx="583843" cy="257051"/>
        </a:xfrm>
        <a:prstGeom prst="rect">
          <a:avLst/>
        </a:prstGeom>
      </xdr:spPr>
    </xdr:sp>
    <xdr:clientData/>
  </xdr:twoCellAnchor>
  <xdr:twoCellAnchor>
    <xdr:from>
      <xdr:col>14</xdr:col>
      <xdr:colOff>73382</xdr:colOff>
      <xdr:row>80</xdr:row>
      <xdr:rowOff>114424</xdr:rowOff>
    </xdr:from>
    <xdr:to>
      <xdr:col>15</xdr:col>
      <xdr:colOff>0</xdr:colOff>
      <xdr:row>82</xdr:row>
      <xdr:rowOff>0</xdr:rowOff>
    </xdr:to>
    <xdr:sp macro="" textlink="">
      <xdr:nvSpPr>
        <xdr:cNvPr id="537" name="OptionButton4" hidden="1">
          <a:extLst>
            <a:ext uri="{63B3BB69-23CF-44E3-9099-C40C66FF867C}">
              <a14:compatExt xmlns:a14="http://schemas.microsoft.com/office/drawing/2010/main" spid="_x0000_s19535"/>
            </a:ext>
          </a:extLst>
        </xdr:cNvPr>
        <xdr:cNvSpPr/>
      </xdr:nvSpPr>
      <xdr:spPr>
        <a:xfrm>
          <a:off x="8788757" y="7924924"/>
          <a:ext cx="583843" cy="257051"/>
        </a:xfrm>
        <a:prstGeom prst="rect">
          <a:avLst/>
        </a:prstGeom>
      </xdr:spPr>
    </xdr:sp>
    <xdr:clientData/>
  </xdr:twoCellAnchor>
  <xdr:oneCellAnchor>
    <xdr:from>
      <xdr:col>2</xdr:col>
      <xdr:colOff>657656</xdr:colOff>
      <xdr:row>76</xdr:row>
      <xdr:rowOff>128032</xdr:rowOff>
    </xdr:from>
    <xdr:ext cx="1698285" cy="498763"/>
    <xdr:sp macro="" textlink="">
      <xdr:nvSpPr>
        <xdr:cNvPr id="538" name="OptionButton7" hidden="1">
          <a:extLst>
            <a:ext uri="{63B3BB69-23CF-44E3-9099-C40C66FF867C}">
              <a14:compatExt xmlns:a14="http://schemas.microsoft.com/office/drawing/2010/main" spid="_x0000_s19536"/>
            </a:ext>
          </a:extLst>
        </xdr:cNvPr>
        <xdr:cNvSpPr/>
      </xdr:nvSpPr>
      <xdr:spPr>
        <a:xfrm>
          <a:off x="2629331" y="13605907"/>
          <a:ext cx="1698285" cy="498763"/>
        </a:xfrm>
        <a:prstGeom prst="rect">
          <a:avLst/>
        </a:prstGeom>
      </xdr:spPr>
    </xdr:sp>
    <xdr:clientData/>
  </xdr:oneCellAnchor>
  <xdr:twoCellAnchor>
    <xdr:from>
      <xdr:col>1</xdr:col>
      <xdr:colOff>0</xdr:colOff>
      <xdr:row>1</xdr:row>
      <xdr:rowOff>247650</xdr:rowOff>
    </xdr:from>
    <xdr:to>
      <xdr:col>7</xdr:col>
      <xdr:colOff>558419</xdr:colOff>
      <xdr:row>2</xdr:row>
      <xdr:rowOff>47625</xdr:rowOff>
    </xdr:to>
    <xdr:grpSp>
      <xdr:nvGrpSpPr>
        <xdr:cNvPr id="539" name="Gruppieren 538"/>
        <xdr:cNvGrpSpPr/>
      </xdr:nvGrpSpPr>
      <xdr:grpSpPr>
        <a:xfrm>
          <a:off x="285750" y="561975"/>
          <a:ext cx="4768469" cy="428625"/>
          <a:chOff x="189536" y="4410075"/>
          <a:chExt cx="4454144" cy="357554"/>
        </a:xfrm>
      </xdr:grpSpPr>
      <xdr:sp macro="" textlink="">
        <xdr:nvSpPr>
          <xdr:cNvPr id="540" name="Auf der gleichen Seite des Rechtecks liegende Ecken abrunden 539"/>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541" name="Freihandform 540"/>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8</xdr:row>
      <xdr:rowOff>238125</xdr:rowOff>
    </xdr:from>
    <xdr:to>
      <xdr:col>7</xdr:col>
      <xdr:colOff>558419</xdr:colOff>
      <xdr:row>9</xdr:row>
      <xdr:rowOff>38100</xdr:rowOff>
    </xdr:to>
    <xdr:grpSp>
      <xdr:nvGrpSpPr>
        <xdr:cNvPr id="542" name="Gruppieren 541"/>
        <xdr:cNvGrpSpPr/>
      </xdr:nvGrpSpPr>
      <xdr:grpSpPr>
        <a:xfrm>
          <a:off x="285750" y="2152650"/>
          <a:ext cx="4768469" cy="304800"/>
          <a:chOff x="189536" y="4410075"/>
          <a:chExt cx="4454144" cy="357554"/>
        </a:xfrm>
      </xdr:grpSpPr>
      <xdr:sp macro="" textlink="$B$9">
        <xdr:nvSpPr>
          <xdr:cNvPr id="543" name="Auf der gleichen Seite des Rechtecks liegende Ecken abrunden 542"/>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F3EE4CE8-EBA2-415C-86EF-D528C831C458}" type="TxLink">
              <a:rPr lang="en-US" sz="1200" b="1" i="0" u="none" strike="noStrike">
                <a:solidFill>
                  <a:sysClr val="windowText" lastClr="000000"/>
                </a:solidFill>
                <a:latin typeface="Arial"/>
                <a:cs typeface="Arial"/>
              </a:rPr>
              <a:pPr algn="l"/>
              <a:t>Betrachtungsperspektive und Randbedingungen</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544" name="Freihandform 543"/>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16</xdr:row>
      <xdr:rowOff>247650</xdr:rowOff>
    </xdr:from>
    <xdr:to>
      <xdr:col>7</xdr:col>
      <xdr:colOff>558419</xdr:colOff>
      <xdr:row>17</xdr:row>
      <xdr:rowOff>47625</xdr:rowOff>
    </xdr:to>
    <xdr:grpSp>
      <xdr:nvGrpSpPr>
        <xdr:cNvPr id="545" name="Gruppieren 544"/>
        <xdr:cNvGrpSpPr/>
      </xdr:nvGrpSpPr>
      <xdr:grpSpPr>
        <a:xfrm>
          <a:off x="285750" y="3933825"/>
          <a:ext cx="4768469" cy="304800"/>
          <a:chOff x="189536" y="4410075"/>
          <a:chExt cx="4454144" cy="357554"/>
        </a:xfrm>
      </xdr:grpSpPr>
      <xdr:sp macro="" textlink="$B$17">
        <xdr:nvSpPr>
          <xdr:cNvPr id="546" name="Auf der gleichen Seite des Rechtecks liegende Ecken abrunden 54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0C7D833A-D8A4-44D5-8FE9-BFDA4EEB98CC}" type="TxLink">
              <a:rPr lang="en-US" sz="1200" b="1" i="0" u="none" strike="noStrike">
                <a:solidFill>
                  <a:sysClr val="windowText" lastClr="000000"/>
                </a:solidFill>
                <a:latin typeface="Arial"/>
                <a:cs typeface="Arial"/>
              </a:rPr>
              <a:pPr algn="l"/>
              <a:t>Spezifische Angaben zu den einzelnen Varianten</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547" name="Freihandform 54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29</xdr:row>
      <xdr:rowOff>247650</xdr:rowOff>
    </xdr:from>
    <xdr:to>
      <xdr:col>7</xdr:col>
      <xdr:colOff>558419</xdr:colOff>
      <xdr:row>30</xdr:row>
      <xdr:rowOff>47625</xdr:rowOff>
    </xdr:to>
    <xdr:grpSp>
      <xdr:nvGrpSpPr>
        <xdr:cNvPr id="548" name="Gruppieren 547"/>
        <xdr:cNvGrpSpPr/>
      </xdr:nvGrpSpPr>
      <xdr:grpSpPr>
        <a:xfrm>
          <a:off x="285750" y="6696075"/>
          <a:ext cx="4768469" cy="304800"/>
          <a:chOff x="189536" y="4410075"/>
          <a:chExt cx="4454144" cy="357554"/>
        </a:xfrm>
      </xdr:grpSpPr>
      <xdr:sp macro="" textlink="$B$30">
        <xdr:nvSpPr>
          <xdr:cNvPr id="549" name="Auf der gleichen Seite des Rechtecks liegende Ecken abrunden 54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33B537B3-1456-4D09-A94C-F58DE6E2A581}" type="TxLink">
              <a:rPr lang="en-US" sz="1200" b="1" i="0" u="none" strike="noStrike">
                <a:solidFill>
                  <a:sysClr val="windowText" lastClr="000000"/>
                </a:solidFill>
                <a:latin typeface="Arial"/>
                <a:cs typeface="Arial"/>
              </a:rPr>
              <a:pPr algn="l"/>
              <a:t>Heutige Energiepreise und Einspeisetarife</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550" name="Freihandform 54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59</xdr:row>
      <xdr:rowOff>238125</xdr:rowOff>
    </xdr:from>
    <xdr:to>
      <xdr:col>7</xdr:col>
      <xdr:colOff>558419</xdr:colOff>
      <xdr:row>60</xdr:row>
      <xdr:rowOff>38100</xdr:rowOff>
    </xdr:to>
    <xdr:grpSp>
      <xdr:nvGrpSpPr>
        <xdr:cNvPr id="551" name="Gruppieren 550"/>
        <xdr:cNvGrpSpPr/>
      </xdr:nvGrpSpPr>
      <xdr:grpSpPr>
        <a:xfrm>
          <a:off x="285750" y="12763500"/>
          <a:ext cx="4768469" cy="304800"/>
          <a:chOff x="189536" y="4410075"/>
          <a:chExt cx="4454144" cy="357555"/>
        </a:xfrm>
      </xdr:grpSpPr>
      <xdr:sp macro="" textlink="$B$60">
        <xdr:nvSpPr>
          <xdr:cNvPr id="552" name="Auf der gleichen Seite des Rechtecks liegende Ecken abrunden 55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0C9F7ED7-86B6-4F69-93AF-B264B986AFDB}" type="TxLink">
              <a:rPr lang="en-US" sz="1200" b="1" i="0" u="none" strike="noStrike">
                <a:solidFill>
                  <a:sysClr val="windowText" lastClr="000000"/>
                </a:solidFill>
                <a:latin typeface="Arial"/>
                <a:cs typeface="Arial"/>
              </a:rPr>
              <a:pPr algn="l"/>
              <a:t> </a:t>
            </a:fld>
            <a:endParaRPr lang="en-US" sz="2400" b="1" i="0" u="none" strike="noStrike">
              <a:solidFill>
                <a:sysClr val="windowText" lastClr="000000"/>
              </a:solidFill>
              <a:latin typeface="Arial"/>
              <a:cs typeface="Arial"/>
            </a:endParaRPr>
          </a:p>
        </xdr:txBody>
      </xdr:sp>
      <xdr:sp macro="" textlink="">
        <xdr:nvSpPr>
          <xdr:cNvPr id="553" name="Freihandform 552"/>
          <xdr:cNvSpPr/>
        </xdr:nvSpPr>
        <xdr:spPr>
          <a:xfrm>
            <a:off x="4217988" y="4523644"/>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8</xdr:col>
      <xdr:colOff>0</xdr:colOff>
      <xdr:row>21</xdr:row>
      <xdr:rowOff>0</xdr:rowOff>
    </xdr:from>
    <xdr:to>
      <xdr:col>8</xdr:col>
      <xdr:colOff>0</xdr:colOff>
      <xdr:row>27</xdr:row>
      <xdr:rowOff>9526</xdr:rowOff>
    </xdr:to>
    <xdr:cxnSp macro="">
      <xdr:nvCxnSpPr>
        <xdr:cNvPr id="7" name="Gerade Verbindung 6"/>
        <xdr:cNvCxnSpPr/>
      </xdr:nvCxnSpPr>
      <xdr:spPr>
        <a:xfrm flipV="1">
          <a:off x="5095875" y="4743450"/>
          <a:ext cx="0" cy="1228726"/>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0</xdr:colOff>
          <xdr:row>22</xdr:row>
          <xdr:rowOff>0</xdr:rowOff>
        </xdr:from>
        <xdr:to>
          <xdr:col>6</xdr:col>
          <xdr:colOff>0</xdr:colOff>
          <xdr:row>27</xdr:row>
          <xdr:rowOff>0</xdr:rowOff>
        </xdr:to>
        <xdr:sp macro="" textlink="">
          <xdr:nvSpPr>
            <xdr:cNvPr id="384152" name="Group Box 152" hidden="1">
              <a:extLst>
                <a:ext uri="{63B3BB69-23CF-44E3-9099-C40C66FF867C}">
                  <a14:compatExt spid="_x0000_s3841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22</xdr:row>
          <xdr:rowOff>9525</xdr:rowOff>
        </xdr:from>
        <xdr:to>
          <xdr:col>5</xdr:col>
          <xdr:colOff>466725</xdr:colOff>
          <xdr:row>22</xdr:row>
          <xdr:rowOff>152400</xdr:rowOff>
        </xdr:to>
        <xdr:sp macro="" textlink="">
          <xdr:nvSpPr>
            <xdr:cNvPr id="384153" name="Option Button 153" hidden="1">
              <a:extLst>
                <a:ext uri="{63B3BB69-23CF-44E3-9099-C40C66FF867C}">
                  <a14:compatExt spid="_x0000_s384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23</xdr:row>
          <xdr:rowOff>19050</xdr:rowOff>
        </xdr:from>
        <xdr:to>
          <xdr:col>5</xdr:col>
          <xdr:colOff>476250</xdr:colOff>
          <xdr:row>23</xdr:row>
          <xdr:rowOff>161925</xdr:rowOff>
        </xdr:to>
        <xdr:sp macro="" textlink="">
          <xdr:nvSpPr>
            <xdr:cNvPr id="384154" name="Option Button 154" hidden="1">
              <a:extLst>
                <a:ext uri="{63B3BB69-23CF-44E3-9099-C40C66FF867C}">
                  <a14:compatExt spid="_x0000_s384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24</xdr:row>
          <xdr:rowOff>28575</xdr:rowOff>
        </xdr:from>
        <xdr:to>
          <xdr:col>5</xdr:col>
          <xdr:colOff>476250</xdr:colOff>
          <xdr:row>24</xdr:row>
          <xdr:rowOff>171450</xdr:rowOff>
        </xdr:to>
        <xdr:sp macro="" textlink="">
          <xdr:nvSpPr>
            <xdr:cNvPr id="384155" name="Option Button 155" hidden="1">
              <a:extLst>
                <a:ext uri="{63B3BB69-23CF-44E3-9099-C40C66FF867C}">
                  <a14:compatExt spid="_x0000_s384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25</xdr:row>
          <xdr:rowOff>28575</xdr:rowOff>
        </xdr:from>
        <xdr:to>
          <xdr:col>5</xdr:col>
          <xdr:colOff>466725</xdr:colOff>
          <xdr:row>25</xdr:row>
          <xdr:rowOff>171450</xdr:rowOff>
        </xdr:to>
        <xdr:sp macro="" textlink="">
          <xdr:nvSpPr>
            <xdr:cNvPr id="384156" name="Option Button 156" hidden="1">
              <a:extLst>
                <a:ext uri="{63B3BB69-23CF-44E3-9099-C40C66FF867C}">
                  <a14:compatExt spid="_x0000_s384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26</xdr:row>
          <xdr:rowOff>9525</xdr:rowOff>
        </xdr:from>
        <xdr:to>
          <xdr:col>5</xdr:col>
          <xdr:colOff>390525</xdr:colOff>
          <xdr:row>26</xdr:row>
          <xdr:rowOff>171450</xdr:rowOff>
        </xdr:to>
        <xdr:sp macro="" textlink="">
          <xdr:nvSpPr>
            <xdr:cNvPr id="384159" name="Option Button 159" hidden="1">
              <a:extLst>
                <a:ext uri="{63B3BB69-23CF-44E3-9099-C40C66FF867C}">
                  <a14:compatExt spid="_x0000_s384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xdr:row>
          <xdr:rowOff>66675</xdr:rowOff>
        </xdr:from>
        <xdr:to>
          <xdr:col>8</xdr:col>
          <xdr:colOff>9525</xdr:colOff>
          <xdr:row>21</xdr:row>
          <xdr:rowOff>285750</xdr:rowOff>
        </xdr:to>
        <xdr:sp macro="" textlink="">
          <xdr:nvSpPr>
            <xdr:cNvPr id="384161" name="Drop Down 161" hidden="1">
              <a:extLst>
                <a:ext uri="{63B3BB69-23CF-44E3-9099-C40C66FF867C}">
                  <a14:compatExt spid="_x0000_s384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0</xdr:rowOff>
        </xdr:from>
        <xdr:to>
          <xdr:col>4</xdr:col>
          <xdr:colOff>38100</xdr:colOff>
          <xdr:row>12</xdr:row>
          <xdr:rowOff>9525</xdr:rowOff>
        </xdr:to>
        <xdr:sp macro="" textlink="">
          <xdr:nvSpPr>
            <xdr:cNvPr id="384180" name="Drop Down 180" hidden="1">
              <a:extLst>
                <a:ext uri="{63B3BB69-23CF-44E3-9099-C40C66FF867C}">
                  <a14:compatExt spid="_x0000_s3841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466725</xdr:colOff>
      <xdr:row>1</xdr:row>
      <xdr:rowOff>66674</xdr:rowOff>
    </xdr:from>
    <xdr:to>
      <xdr:col>19</xdr:col>
      <xdr:colOff>1047750</xdr:colOff>
      <xdr:row>1</xdr:row>
      <xdr:rowOff>544200</xdr:rowOff>
    </xdr:to>
    <xdr:grpSp>
      <xdr:nvGrpSpPr>
        <xdr:cNvPr id="8" name="Gruppieren 7"/>
        <xdr:cNvGrpSpPr/>
      </xdr:nvGrpSpPr>
      <xdr:grpSpPr>
        <a:xfrm>
          <a:off x="5562600" y="380999"/>
          <a:ext cx="7839075" cy="477526"/>
          <a:chOff x="4878917" y="378882"/>
          <a:chExt cx="7833783" cy="477526"/>
        </a:xfrm>
      </xdr:grpSpPr>
      <xdr:sp macro="" textlink="">
        <xdr:nvSpPr>
          <xdr:cNvPr id="2" name="Abgerundetes Rechteck 1">
            <a:hlinkClick xmlns:r="http://schemas.openxmlformats.org/officeDocument/2006/relationships" r:id="rId3"/>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554" name="Abgerundetes Rechteck 553">
            <a:hlinkClick xmlns:r="http://schemas.openxmlformats.org/officeDocument/2006/relationships" r:id="rId4"/>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555" name="Abgerundetes Rechteck 554">
            <a:hlinkClick xmlns:r="http://schemas.openxmlformats.org/officeDocument/2006/relationships" r:id="rId5"/>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556" name="Abgerundetes Rechteck 555">
            <a:hlinkClick xmlns:r="http://schemas.openxmlformats.org/officeDocument/2006/relationships" r:id="rId6"/>
          </xdr:cNvPr>
          <xdr:cNvSpPr/>
        </xdr:nvSpPr>
        <xdr:spPr>
          <a:xfrm>
            <a:off x="4878917" y="388407"/>
            <a:ext cx="1053041" cy="468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557" name="Abgerundetes Rechteck 556">
            <a:hlinkClick xmlns:r="http://schemas.openxmlformats.org/officeDocument/2006/relationships" r:id="rId7"/>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563" name="Abgerundetes Rechteck 562">
            <a:hlinkClick xmlns:r="http://schemas.openxmlformats.org/officeDocument/2006/relationships" r:id="rId8"/>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571" name="Abgerundetes Rechteck 570">
            <a:hlinkClick xmlns:r="http://schemas.openxmlformats.org/officeDocument/2006/relationships" r:id="rId9"/>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572" name="Abgerundetes Rechteck 571">
            <a:hlinkClick xmlns:r="http://schemas.openxmlformats.org/officeDocument/2006/relationships" r:id="rId10"/>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573" name="Abgerundetes Rechteck 572">
            <a:hlinkClick xmlns:r="http://schemas.openxmlformats.org/officeDocument/2006/relationships" r:id="rId11"/>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574" name="Abgerundetes Rechteck 573">
            <a:hlinkClick xmlns:r="http://schemas.openxmlformats.org/officeDocument/2006/relationships" r:id="rId12"/>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575" name="Abgerundetes Rechteck 574">
            <a:hlinkClick xmlns:r="http://schemas.openxmlformats.org/officeDocument/2006/relationships" r:id="rId13"/>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576" name="Abgerundetes Rechteck 575">
            <a:hlinkClick xmlns:r="http://schemas.openxmlformats.org/officeDocument/2006/relationships" r:id="rId14"/>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577" name="Abgerundetes Rechteck 576">
            <a:hlinkClick xmlns:r="http://schemas.openxmlformats.org/officeDocument/2006/relationships" r:id="rId15"/>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578" name="Abgerundetes Rechteck 577">
            <a:hlinkClick xmlns:r="http://schemas.openxmlformats.org/officeDocument/2006/relationships" r:id="rId16"/>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xdr:from>
      <xdr:col>13</xdr:col>
      <xdr:colOff>73382</xdr:colOff>
      <xdr:row>10</xdr:row>
      <xdr:rowOff>114424</xdr:rowOff>
    </xdr:from>
    <xdr:to>
      <xdr:col>15</xdr:col>
      <xdr:colOff>243084</xdr:colOff>
      <xdr:row>12</xdr:row>
      <xdr:rowOff>174296</xdr:rowOff>
    </xdr:to>
    <xdr:sp macro="" textlink="">
      <xdr:nvSpPr>
        <xdr:cNvPr id="558" name="OptionButton4" hidden="1">
          <a:extLst>
            <a:ext uri="{63B3BB69-23CF-44E3-9099-C40C66FF867C}">
              <a14:compatExt xmlns:a14="http://schemas.microsoft.com/office/drawing/2010/main" spid="_x0000_s19535"/>
            </a:ext>
          </a:extLst>
        </xdr:cNvPr>
        <xdr:cNvSpPr/>
      </xdr:nvSpPr>
      <xdr:spPr>
        <a:xfrm>
          <a:off x="6340832" y="2714749"/>
          <a:ext cx="1550827" cy="421822"/>
        </a:xfrm>
        <a:prstGeom prst="rect">
          <a:avLst/>
        </a:prstGeom>
      </xdr:spPr>
    </xdr:sp>
    <xdr:clientData/>
  </xdr:twoCellAnchor>
  <xdr:twoCellAnchor>
    <xdr:from>
      <xdr:col>14</xdr:col>
      <xdr:colOff>73382</xdr:colOff>
      <xdr:row>10</xdr:row>
      <xdr:rowOff>114424</xdr:rowOff>
    </xdr:from>
    <xdr:to>
      <xdr:col>15</xdr:col>
      <xdr:colOff>0</xdr:colOff>
      <xdr:row>12</xdr:row>
      <xdr:rowOff>174296</xdr:rowOff>
    </xdr:to>
    <xdr:sp macro="" textlink="">
      <xdr:nvSpPr>
        <xdr:cNvPr id="559" name="OptionButton4" hidden="1">
          <a:extLst>
            <a:ext uri="{63B3BB69-23CF-44E3-9099-C40C66FF867C}">
              <a14:compatExt xmlns:a14="http://schemas.microsoft.com/office/drawing/2010/main" spid="_x0000_s19535"/>
            </a:ext>
          </a:extLst>
        </xdr:cNvPr>
        <xdr:cNvSpPr/>
      </xdr:nvSpPr>
      <xdr:spPr>
        <a:xfrm>
          <a:off x="7017107" y="2714749"/>
          <a:ext cx="631468" cy="421822"/>
        </a:xfrm>
        <a:prstGeom prst="rect">
          <a:avLst/>
        </a:prstGeom>
      </xdr:spPr>
    </xdr:sp>
    <xdr:clientData/>
  </xdr:twoCellAnchor>
  <xdr:twoCellAnchor>
    <xdr:from>
      <xdr:col>14</xdr:col>
      <xdr:colOff>73382</xdr:colOff>
      <xdr:row>10</xdr:row>
      <xdr:rowOff>114424</xdr:rowOff>
    </xdr:from>
    <xdr:to>
      <xdr:col>15</xdr:col>
      <xdr:colOff>0</xdr:colOff>
      <xdr:row>12</xdr:row>
      <xdr:rowOff>174296</xdr:rowOff>
    </xdr:to>
    <xdr:sp macro="" textlink="">
      <xdr:nvSpPr>
        <xdr:cNvPr id="560" name="OptionButton4" hidden="1">
          <a:extLst>
            <a:ext uri="{63B3BB69-23CF-44E3-9099-C40C66FF867C}">
              <a14:compatExt xmlns:a14="http://schemas.microsoft.com/office/drawing/2010/main" spid="_x0000_s19535"/>
            </a:ext>
          </a:extLst>
        </xdr:cNvPr>
        <xdr:cNvSpPr/>
      </xdr:nvSpPr>
      <xdr:spPr>
        <a:xfrm>
          <a:off x="7017107" y="2714749"/>
          <a:ext cx="631468" cy="421822"/>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5</xdr:col>
          <xdr:colOff>19050</xdr:colOff>
          <xdr:row>81</xdr:row>
          <xdr:rowOff>0</xdr:rowOff>
        </xdr:from>
        <xdr:to>
          <xdr:col>7</xdr:col>
          <xdr:colOff>495300</xdr:colOff>
          <xdr:row>82</xdr:row>
          <xdr:rowOff>0</xdr:rowOff>
        </xdr:to>
        <xdr:sp macro="" textlink="">
          <xdr:nvSpPr>
            <xdr:cNvPr id="384184" name="Drop Down 184" hidden="1">
              <a:extLst>
                <a:ext uri="{63B3BB69-23CF-44E3-9099-C40C66FF867C}">
                  <a14:compatExt spid="_x0000_s384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352425</xdr:colOff>
      <xdr:row>2</xdr:row>
      <xdr:rowOff>123825</xdr:rowOff>
    </xdr:from>
    <xdr:to>
      <xdr:col>19</xdr:col>
      <xdr:colOff>831075</xdr:colOff>
      <xdr:row>7</xdr:row>
      <xdr:rowOff>11408</xdr:rowOff>
    </xdr:to>
    <xdr:pic>
      <xdr:nvPicPr>
        <xdr:cNvPr id="10" name="Grafik 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001000" y="1066800"/>
          <a:ext cx="5184000" cy="67815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247650</xdr:rowOff>
    </xdr:from>
    <xdr:to>
      <xdr:col>6</xdr:col>
      <xdr:colOff>819150</xdr:colOff>
      <xdr:row>2</xdr:row>
      <xdr:rowOff>47625</xdr:rowOff>
    </xdr:to>
    <xdr:grpSp>
      <xdr:nvGrpSpPr>
        <xdr:cNvPr id="7" name="Gruppieren 6"/>
        <xdr:cNvGrpSpPr/>
      </xdr:nvGrpSpPr>
      <xdr:grpSpPr>
        <a:xfrm>
          <a:off x="285750" y="561975"/>
          <a:ext cx="5057775" cy="428625"/>
          <a:chOff x="189536" y="4410075"/>
          <a:chExt cx="4454144" cy="357554"/>
        </a:xfrm>
      </xdr:grpSpPr>
      <xdr:sp macro="" textlink="">
        <xdr:nvSpPr>
          <xdr:cNvPr id="8" name="Auf der gleichen Seite des Rechtecks liegende Ecken abrunden 7"/>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9" name="Freihandform 8"/>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8</xdr:row>
      <xdr:rowOff>228595</xdr:rowOff>
    </xdr:from>
    <xdr:to>
      <xdr:col>6</xdr:col>
      <xdr:colOff>847725</xdr:colOff>
      <xdr:row>9</xdr:row>
      <xdr:rowOff>28555</xdr:rowOff>
    </xdr:to>
    <xdr:grpSp>
      <xdr:nvGrpSpPr>
        <xdr:cNvPr id="25" name="Gruppieren 24"/>
        <xdr:cNvGrpSpPr/>
      </xdr:nvGrpSpPr>
      <xdr:grpSpPr>
        <a:xfrm>
          <a:off x="285750" y="2143120"/>
          <a:ext cx="5086350" cy="304785"/>
          <a:chOff x="189536" y="4410091"/>
          <a:chExt cx="4454144" cy="357538"/>
        </a:xfrm>
      </xdr:grpSpPr>
      <xdr:sp macro="" textlink="$B$9">
        <xdr:nvSpPr>
          <xdr:cNvPr id="26" name="Auf der gleichen Seite des Rechtecks liegende Ecken abrunden 25"/>
          <xdr:cNvSpPr/>
        </xdr:nvSpPr>
        <xdr:spPr>
          <a:xfrm>
            <a:off x="189536" y="4410091"/>
            <a:ext cx="4058382" cy="333376"/>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BAADA55F-92EE-46F5-905C-1E793739D0D4}" type="TxLink">
              <a:rPr lang="en-US" sz="1200" b="1" i="0" u="none" strike="noStrike">
                <a:solidFill>
                  <a:sysClr val="windowText" lastClr="000000"/>
                </a:solidFill>
                <a:latin typeface="Arial"/>
                <a:cs typeface="Arial"/>
              </a:rPr>
              <a:pPr algn="l"/>
              <a:t>Energiekennwert Variante 1: BTV</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27" name="Freihandform 2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39</xdr:row>
      <xdr:rowOff>238125</xdr:rowOff>
    </xdr:from>
    <xdr:to>
      <xdr:col>6</xdr:col>
      <xdr:colOff>847725</xdr:colOff>
      <xdr:row>40</xdr:row>
      <xdr:rowOff>38085</xdr:rowOff>
    </xdr:to>
    <xdr:grpSp>
      <xdr:nvGrpSpPr>
        <xdr:cNvPr id="28" name="Gruppieren 27"/>
        <xdr:cNvGrpSpPr/>
      </xdr:nvGrpSpPr>
      <xdr:grpSpPr>
        <a:xfrm>
          <a:off x="285750" y="8058150"/>
          <a:ext cx="5086350" cy="304785"/>
          <a:chOff x="189536" y="4410091"/>
          <a:chExt cx="4454144" cy="357538"/>
        </a:xfrm>
      </xdr:grpSpPr>
      <xdr:sp macro="" textlink="$B$40">
        <xdr:nvSpPr>
          <xdr:cNvPr id="29" name="Auf der gleichen Seite des Rechtecks liegende Ecken abrunden 28"/>
          <xdr:cNvSpPr/>
        </xdr:nvSpPr>
        <xdr:spPr>
          <a:xfrm>
            <a:off x="189536" y="4410091"/>
            <a:ext cx="4058382" cy="333376"/>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B43814B5-A1E5-4F60-AFCC-A19F291DE13C}" type="TxLink">
              <a:rPr lang="en-US" sz="1200" b="1" i="0" u="none" strike="noStrike">
                <a:solidFill>
                  <a:sysClr val="windowText" lastClr="000000"/>
                </a:solidFill>
                <a:latin typeface="Arial"/>
                <a:cs typeface="Arial"/>
              </a:rPr>
              <a:pPr algn="l"/>
              <a:t>Energiekennwert Variante 2: PH</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30" name="Freihandform 2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70</xdr:row>
      <xdr:rowOff>238125</xdr:rowOff>
    </xdr:from>
    <xdr:to>
      <xdr:col>6</xdr:col>
      <xdr:colOff>733425</xdr:colOff>
      <xdr:row>71</xdr:row>
      <xdr:rowOff>38085</xdr:rowOff>
    </xdr:to>
    <xdr:grpSp>
      <xdr:nvGrpSpPr>
        <xdr:cNvPr id="31" name="Gruppieren 30"/>
        <xdr:cNvGrpSpPr/>
      </xdr:nvGrpSpPr>
      <xdr:grpSpPr>
        <a:xfrm>
          <a:off x="285750" y="14316075"/>
          <a:ext cx="4972050" cy="304785"/>
          <a:chOff x="189536" y="4410091"/>
          <a:chExt cx="4454144" cy="357538"/>
        </a:xfrm>
      </xdr:grpSpPr>
      <xdr:sp macro="" textlink="$B$71">
        <xdr:nvSpPr>
          <xdr:cNvPr id="32" name="Auf der gleichen Seite des Rechtecks liegende Ecken abrunden 31"/>
          <xdr:cNvSpPr/>
        </xdr:nvSpPr>
        <xdr:spPr>
          <a:xfrm>
            <a:off x="189536" y="4410091"/>
            <a:ext cx="4058382" cy="333376"/>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A8C456B3-3123-49AD-97F1-905C646EE6BB}" type="TxLink">
              <a:rPr lang="en-US" sz="1200" b="1" i="0" u="none" strike="noStrike">
                <a:solidFill>
                  <a:sysClr val="windowText" lastClr="000000"/>
                </a:solidFill>
                <a:latin typeface="Arial"/>
                <a:cs typeface="Arial"/>
              </a:rPr>
              <a:pPr algn="l"/>
              <a:t>Energiekennwert Variante 3: PHSol</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33" name="Freihandform 3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101</xdr:row>
      <xdr:rowOff>238125</xdr:rowOff>
    </xdr:from>
    <xdr:to>
      <xdr:col>6</xdr:col>
      <xdr:colOff>790575</xdr:colOff>
      <xdr:row>102</xdr:row>
      <xdr:rowOff>38085</xdr:rowOff>
    </xdr:to>
    <xdr:grpSp>
      <xdr:nvGrpSpPr>
        <xdr:cNvPr id="34" name="Gruppieren 33"/>
        <xdr:cNvGrpSpPr/>
      </xdr:nvGrpSpPr>
      <xdr:grpSpPr>
        <a:xfrm>
          <a:off x="285750" y="20574000"/>
          <a:ext cx="5029200" cy="304785"/>
          <a:chOff x="189536" y="4410091"/>
          <a:chExt cx="4454144" cy="357538"/>
        </a:xfrm>
      </xdr:grpSpPr>
      <xdr:sp macro="" textlink="$B$102">
        <xdr:nvSpPr>
          <xdr:cNvPr id="35" name="Auf der gleichen Seite des Rechtecks liegende Ecken abrunden 34"/>
          <xdr:cNvSpPr/>
        </xdr:nvSpPr>
        <xdr:spPr>
          <a:xfrm>
            <a:off x="189536" y="4410091"/>
            <a:ext cx="4058382" cy="333376"/>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49DEE87-B6B8-4C51-ACF3-8FA09D86C52D}" type="TxLink">
              <a:rPr lang="en-US" sz="1200" b="1" i="0" u="none" strike="noStrike">
                <a:solidFill>
                  <a:sysClr val="windowText" lastClr="000000"/>
                </a:solidFill>
                <a:latin typeface="Arial"/>
                <a:cs typeface="Arial"/>
              </a:rPr>
              <a:pPr algn="l"/>
              <a:t>Energiekennwert Variante 4: PHWRGSo</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36" name="Freihandform 35"/>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132</xdr:row>
      <xdr:rowOff>238125</xdr:rowOff>
    </xdr:from>
    <xdr:to>
      <xdr:col>6</xdr:col>
      <xdr:colOff>733425</xdr:colOff>
      <xdr:row>133</xdr:row>
      <xdr:rowOff>38085</xdr:rowOff>
    </xdr:to>
    <xdr:grpSp>
      <xdr:nvGrpSpPr>
        <xdr:cNvPr id="37" name="Gruppieren 36"/>
        <xdr:cNvGrpSpPr/>
      </xdr:nvGrpSpPr>
      <xdr:grpSpPr>
        <a:xfrm>
          <a:off x="285750" y="26831925"/>
          <a:ext cx="4972050" cy="304785"/>
          <a:chOff x="189536" y="4410091"/>
          <a:chExt cx="4454144" cy="357538"/>
        </a:xfrm>
      </xdr:grpSpPr>
      <xdr:sp macro="" textlink="$B$133">
        <xdr:nvSpPr>
          <xdr:cNvPr id="38" name="Auf der gleichen Seite des Rechtecks liegende Ecken abrunden 37"/>
          <xdr:cNvSpPr/>
        </xdr:nvSpPr>
        <xdr:spPr>
          <a:xfrm>
            <a:off x="189536" y="4410091"/>
            <a:ext cx="4058382" cy="333376"/>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EB8FAC7E-FA71-484B-A0D9-B20015AFB88C}" type="TxLink">
              <a:rPr lang="en-US" sz="1200" b="1" i="0" u="none" strike="noStrike">
                <a:solidFill>
                  <a:sysClr val="windowText" lastClr="000000"/>
                </a:solidFill>
                <a:latin typeface="Arial"/>
                <a:cs typeface="Arial"/>
              </a:rPr>
              <a:pPr algn="l"/>
              <a:t>Energiekennwert Variante 5: PHWRGSoPV</a:t>
            </a:fld>
            <a:endParaRPr lang="de-DE" sz="1200" b="1">
              <a:solidFill>
                <a:sysClr val="windowText" lastClr="000000"/>
              </a:solidFill>
              <a:latin typeface="Arial" panose="020B0604020202020204" pitchFamily="34" charset="0"/>
              <a:cs typeface="Arial" panose="020B0604020202020204" pitchFamily="34" charset="0"/>
            </a:endParaRPr>
          </a:p>
        </xdr:txBody>
      </xdr:sp>
      <xdr:sp macro="" textlink="">
        <xdr:nvSpPr>
          <xdr:cNvPr id="39" name="Freihandform 38"/>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5</xdr:col>
          <xdr:colOff>1485900</xdr:colOff>
          <xdr:row>15</xdr:row>
          <xdr:rowOff>0</xdr:rowOff>
        </xdr:to>
        <xdr:sp macro="" textlink="">
          <xdr:nvSpPr>
            <xdr:cNvPr id="62648" name="Drop Down 184" hidden="1">
              <a:extLst>
                <a:ext uri="{63B3BB69-23CF-44E3-9099-C40C66FF867C}">
                  <a14:compatExt spid="_x0000_s62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xdr:row>
          <xdr:rowOff>9525</xdr:rowOff>
        </xdr:from>
        <xdr:to>
          <xdr:col>5</xdr:col>
          <xdr:colOff>1485900</xdr:colOff>
          <xdr:row>16</xdr:row>
          <xdr:rowOff>0</xdr:rowOff>
        </xdr:to>
        <xdr:sp macro="" textlink="">
          <xdr:nvSpPr>
            <xdr:cNvPr id="62649" name="Drop Down 185" hidden="1">
              <a:extLst>
                <a:ext uri="{63B3BB69-23CF-44E3-9099-C40C66FF867C}">
                  <a14:compatExt spid="_x0000_s62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16</xdr:row>
          <xdr:rowOff>9525</xdr:rowOff>
        </xdr:from>
        <xdr:to>
          <xdr:col>5</xdr:col>
          <xdr:colOff>1485900</xdr:colOff>
          <xdr:row>17</xdr:row>
          <xdr:rowOff>0</xdr:rowOff>
        </xdr:to>
        <xdr:sp macro="" textlink="">
          <xdr:nvSpPr>
            <xdr:cNvPr id="62650" name="Drop Down 186" hidden="1">
              <a:extLst>
                <a:ext uri="{63B3BB69-23CF-44E3-9099-C40C66FF867C}">
                  <a14:compatExt spid="_x0000_s62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17</xdr:row>
          <xdr:rowOff>9525</xdr:rowOff>
        </xdr:from>
        <xdr:to>
          <xdr:col>5</xdr:col>
          <xdr:colOff>1485900</xdr:colOff>
          <xdr:row>18</xdr:row>
          <xdr:rowOff>0</xdr:rowOff>
        </xdr:to>
        <xdr:sp macro="" textlink="">
          <xdr:nvSpPr>
            <xdr:cNvPr id="62651" name="Drop Down 187" hidden="1">
              <a:extLst>
                <a:ext uri="{63B3BB69-23CF-44E3-9099-C40C66FF867C}">
                  <a14:compatExt spid="_x0000_s62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18</xdr:row>
          <xdr:rowOff>9525</xdr:rowOff>
        </xdr:from>
        <xdr:to>
          <xdr:col>5</xdr:col>
          <xdr:colOff>1485900</xdr:colOff>
          <xdr:row>19</xdr:row>
          <xdr:rowOff>0</xdr:rowOff>
        </xdr:to>
        <xdr:sp macro="" textlink="">
          <xdr:nvSpPr>
            <xdr:cNvPr id="62652" name="Drop Down 188" hidden="1">
              <a:extLst>
                <a:ext uri="{63B3BB69-23CF-44E3-9099-C40C66FF867C}">
                  <a14:compatExt spid="_x0000_s62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19</xdr:row>
          <xdr:rowOff>9525</xdr:rowOff>
        </xdr:from>
        <xdr:to>
          <xdr:col>5</xdr:col>
          <xdr:colOff>1485900</xdr:colOff>
          <xdr:row>20</xdr:row>
          <xdr:rowOff>0</xdr:rowOff>
        </xdr:to>
        <xdr:sp macro="" textlink="">
          <xdr:nvSpPr>
            <xdr:cNvPr id="62653" name="Drop Down 189" hidden="1">
              <a:extLst>
                <a:ext uri="{63B3BB69-23CF-44E3-9099-C40C66FF867C}">
                  <a14:compatExt spid="_x0000_s62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29</xdr:row>
          <xdr:rowOff>9525</xdr:rowOff>
        </xdr:from>
        <xdr:to>
          <xdr:col>5</xdr:col>
          <xdr:colOff>1485900</xdr:colOff>
          <xdr:row>30</xdr:row>
          <xdr:rowOff>0</xdr:rowOff>
        </xdr:to>
        <xdr:sp macro="" textlink="">
          <xdr:nvSpPr>
            <xdr:cNvPr id="62663" name="Drop Down 199" hidden="1">
              <a:extLst>
                <a:ext uri="{63B3BB69-23CF-44E3-9099-C40C66FF867C}">
                  <a14:compatExt spid="_x0000_s62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30</xdr:row>
          <xdr:rowOff>9525</xdr:rowOff>
        </xdr:from>
        <xdr:to>
          <xdr:col>5</xdr:col>
          <xdr:colOff>1485900</xdr:colOff>
          <xdr:row>31</xdr:row>
          <xdr:rowOff>0</xdr:rowOff>
        </xdr:to>
        <xdr:sp macro="" textlink="">
          <xdr:nvSpPr>
            <xdr:cNvPr id="62664" name="Drop Down 200" hidden="1">
              <a:extLst>
                <a:ext uri="{63B3BB69-23CF-44E3-9099-C40C66FF867C}">
                  <a14:compatExt spid="_x0000_s62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31</xdr:row>
          <xdr:rowOff>9525</xdr:rowOff>
        </xdr:from>
        <xdr:to>
          <xdr:col>5</xdr:col>
          <xdr:colOff>1485900</xdr:colOff>
          <xdr:row>32</xdr:row>
          <xdr:rowOff>0</xdr:rowOff>
        </xdr:to>
        <xdr:sp macro="" textlink="">
          <xdr:nvSpPr>
            <xdr:cNvPr id="62665" name="Drop Down 201" hidden="1">
              <a:extLst>
                <a:ext uri="{63B3BB69-23CF-44E3-9099-C40C66FF867C}">
                  <a14:compatExt spid="_x0000_s62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45</xdr:row>
          <xdr:rowOff>9525</xdr:rowOff>
        </xdr:from>
        <xdr:to>
          <xdr:col>5</xdr:col>
          <xdr:colOff>1485900</xdr:colOff>
          <xdr:row>46</xdr:row>
          <xdr:rowOff>0</xdr:rowOff>
        </xdr:to>
        <xdr:sp macro="" textlink="">
          <xdr:nvSpPr>
            <xdr:cNvPr id="62667" name="Drop Down 203" hidden="1">
              <a:extLst>
                <a:ext uri="{63B3BB69-23CF-44E3-9099-C40C66FF867C}">
                  <a14:compatExt spid="_x0000_s62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46</xdr:row>
          <xdr:rowOff>9525</xdr:rowOff>
        </xdr:from>
        <xdr:to>
          <xdr:col>5</xdr:col>
          <xdr:colOff>1485900</xdr:colOff>
          <xdr:row>47</xdr:row>
          <xdr:rowOff>0</xdr:rowOff>
        </xdr:to>
        <xdr:sp macro="" textlink="">
          <xdr:nvSpPr>
            <xdr:cNvPr id="62668" name="Drop Down 204" hidden="1">
              <a:extLst>
                <a:ext uri="{63B3BB69-23CF-44E3-9099-C40C66FF867C}">
                  <a14:compatExt spid="_x0000_s62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47</xdr:row>
          <xdr:rowOff>9525</xdr:rowOff>
        </xdr:from>
        <xdr:to>
          <xdr:col>5</xdr:col>
          <xdr:colOff>1485900</xdr:colOff>
          <xdr:row>48</xdr:row>
          <xdr:rowOff>0</xdr:rowOff>
        </xdr:to>
        <xdr:sp macro="" textlink="">
          <xdr:nvSpPr>
            <xdr:cNvPr id="62669" name="Drop Down 205" hidden="1">
              <a:extLst>
                <a:ext uri="{63B3BB69-23CF-44E3-9099-C40C66FF867C}">
                  <a14:compatExt spid="_x0000_s62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48</xdr:row>
          <xdr:rowOff>9525</xdr:rowOff>
        </xdr:from>
        <xdr:to>
          <xdr:col>5</xdr:col>
          <xdr:colOff>1485900</xdr:colOff>
          <xdr:row>49</xdr:row>
          <xdr:rowOff>0</xdr:rowOff>
        </xdr:to>
        <xdr:sp macro="" textlink="">
          <xdr:nvSpPr>
            <xdr:cNvPr id="62670" name="Drop Down 206" hidden="1">
              <a:extLst>
                <a:ext uri="{63B3BB69-23CF-44E3-9099-C40C66FF867C}">
                  <a14:compatExt spid="_x0000_s62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49</xdr:row>
          <xdr:rowOff>9525</xdr:rowOff>
        </xdr:from>
        <xdr:to>
          <xdr:col>5</xdr:col>
          <xdr:colOff>1485900</xdr:colOff>
          <xdr:row>50</xdr:row>
          <xdr:rowOff>0</xdr:rowOff>
        </xdr:to>
        <xdr:sp macro="" textlink="">
          <xdr:nvSpPr>
            <xdr:cNvPr id="62671" name="Drop Down 207" hidden="1">
              <a:extLst>
                <a:ext uri="{63B3BB69-23CF-44E3-9099-C40C66FF867C}">
                  <a14:compatExt spid="_x0000_s62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50</xdr:row>
          <xdr:rowOff>9525</xdr:rowOff>
        </xdr:from>
        <xdr:to>
          <xdr:col>5</xdr:col>
          <xdr:colOff>1485900</xdr:colOff>
          <xdr:row>51</xdr:row>
          <xdr:rowOff>0</xdr:rowOff>
        </xdr:to>
        <xdr:sp macro="" textlink="">
          <xdr:nvSpPr>
            <xdr:cNvPr id="62672" name="Drop Down 208" hidden="1">
              <a:extLst>
                <a:ext uri="{63B3BB69-23CF-44E3-9099-C40C66FF867C}">
                  <a14:compatExt spid="_x0000_s62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60</xdr:row>
          <xdr:rowOff>9525</xdr:rowOff>
        </xdr:from>
        <xdr:to>
          <xdr:col>5</xdr:col>
          <xdr:colOff>1485900</xdr:colOff>
          <xdr:row>61</xdr:row>
          <xdr:rowOff>0</xdr:rowOff>
        </xdr:to>
        <xdr:sp macro="" textlink="">
          <xdr:nvSpPr>
            <xdr:cNvPr id="62682" name="Drop Down 218" hidden="1">
              <a:extLst>
                <a:ext uri="{63B3BB69-23CF-44E3-9099-C40C66FF867C}">
                  <a14:compatExt spid="_x0000_s62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61</xdr:row>
          <xdr:rowOff>9525</xdr:rowOff>
        </xdr:from>
        <xdr:to>
          <xdr:col>5</xdr:col>
          <xdr:colOff>1485900</xdr:colOff>
          <xdr:row>62</xdr:row>
          <xdr:rowOff>0</xdr:rowOff>
        </xdr:to>
        <xdr:sp macro="" textlink="">
          <xdr:nvSpPr>
            <xdr:cNvPr id="62683" name="Drop Down 219" hidden="1">
              <a:extLst>
                <a:ext uri="{63B3BB69-23CF-44E3-9099-C40C66FF867C}">
                  <a14:compatExt spid="_x0000_s62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62</xdr:row>
          <xdr:rowOff>9525</xdr:rowOff>
        </xdr:from>
        <xdr:to>
          <xdr:col>5</xdr:col>
          <xdr:colOff>1485900</xdr:colOff>
          <xdr:row>63</xdr:row>
          <xdr:rowOff>0</xdr:rowOff>
        </xdr:to>
        <xdr:sp macro="" textlink="">
          <xdr:nvSpPr>
            <xdr:cNvPr id="62684" name="Drop Down 220" hidden="1">
              <a:extLst>
                <a:ext uri="{63B3BB69-23CF-44E3-9099-C40C66FF867C}">
                  <a14:compatExt spid="_x0000_s62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76</xdr:row>
          <xdr:rowOff>9525</xdr:rowOff>
        </xdr:from>
        <xdr:to>
          <xdr:col>5</xdr:col>
          <xdr:colOff>1485900</xdr:colOff>
          <xdr:row>77</xdr:row>
          <xdr:rowOff>0</xdr:rowOff>
        </xdr:to>
        <xdr:sp macro="" textlink="">
          <xdr:nvSpPr>
            <xdr:cNvPr id="62685" name="Drop Down 221" hidden="1">
              <a:extLst>
                <a:ext uri="{63B3BB69-23CF-44E3-9099-C40C66FF867C}">
                  <a14:compatExt spid="_x0000_s62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78</xdr:row>
          <xdr:rowOff>9525</xdr:rowOff>
        </xdr:from>
        <xdr:to>
          <xdr:col>5</xdr:col>
          <xdr:colOff>1485900</xdr:colOff>
          <xdr:row>79</xdr:row>
          <xdr:rowOff>0</xdr:rowOff>
        </xdr:to>
        <xdr:sp macro="" textlink="">
          <xdr:nvSpPr>
            <xdr:cNvPr id="62686" name="Drop Down 222" hidden="1">
              <a:extLst>
                <a:ext uri="{63B3BB69-23CF-44E3-9099-C40C66FF867C}">
                  <a14:compatExt spid="_x0000_s62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107</xdr:row>
          <xdr:rowOff>9525</xdr:rowOff>
        </xdr:from>
        <xdr:to>
          <xdr:col>5</xdr:col>
          <xdr:colOff>1485900</xdr:colOff>
          <xdr:row>108</xdr:row>
          <xdr:rowOff>0</xdr:rowOff>
        </xdr:to>
        <xdr:sp macro="" textlink="">
          <xdr:nvSpPr>
            <xdr:cNvPr id="62687" name="Drop Down 223" hidden="1">
              <a:extLst>
                <a:ext uri="{63B3BB69-23CF-44E3-9099-C40C66FF867C}">
                  <a14:compatExt spid="_x0000_s62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109</xdr:row>
          <xdr:rowOff>9525</xdr:rowOff>
        </xdr:from>
        <xdr:to>
          <xdr:col>5</xdr:col>
          <xdr:colOff>1485900</xdr:colOff>
          <xdr:row>110</xdr:row>
          <xdr:rowOff>0</xdr:rowOff>
        </xdr:to>
        <xdr:sp macro="" textlink="">
          <xdr:nvSpPr>
            <xdr:cNvPr id="62688" name="Drop Down 224" hidden="1">
              <a:extLst>
                <a:ext uri="{63B3BB69-23CF-44E3-9099-C40C66FF867C}">
                  <a14:compatExt spid="_x0000_s62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138</xdr:row>
          <xdr:rowOff>9525</xdr:rowOff>
        </xdr:from>
        <xdr:to>
          <xdr:col>5</xdr:col>
          <xdr:colOff>1485900</xdr:colOff>
          <xdr:row>139</xdr:row>
          <xdr:rowOff>0</xdr:rowOff>
        </xdr:to>
        <xdr:sp macro="" textlink="">
          <xdr:nvSpPr>
            <xdr:cNvPr id="62689" name="Drop Down 225" hidden="1">
              <a:extLst>
                <a:ext uri="{63B3BB69-23CF-44E3-9099-C40C66FF867C}">
                  <a14:compatExt spid="_x0000_s62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140</xdr:row>
          <xdr:rowOff>9525</xdr:rowOff>
        </xdr:from>
        <xdr:to>
          <xdr:col>5</xdr:col>
          <xdr:colOff>1485900</xdr:colOff>
          <xdr:row>141</xdr:row>
          <xdr:rowOff>0</xdr:rowOff>
        </xdr:to>
        <xdr:sp macro="" textlink="">
          <xdr:nvSpPr>
            <xdr:cNvPr id="62690" name="Drop Down 226" hidden="1">
              <a:extLst>
                <a:ext uri="{63B3BB69-23CF-44E3-9099-C40C66FF867C}">
                  <a14:compatExt spid="_x0000_s62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77</xdr:row>
          <xdr:rowOff>9525</xdr:rowOff>
        </xdr:from>
        <xdr:to>
          <xdr:col>5</xdr:col>
          <xdr:colOff>1485900</xdr:colOff>
          <xdr:row>78</xdr:row>
          <xdr:rowOff>0</xdr:rowOff>
        </xdr:to>
        <xdr:sp macro="" textlink="">
          <xdr:nvSpPr>
            <xdr:cNvPr id="62691" name="Drop Down 227" hidden="1">
              <a:extLst>
                <a:ext uri="{63B3BB69-23CF-44E3-9099-C40C66FF867C}">
                  <a14:compatExt spid="_x0000_s62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79</xdr:row>
          <xdr:rowOff>9525</xdr:rowOff>
        </xdr:from>
        <xdr:to>
          <xdr:col>5</xdr:col>
          <xdr:colOff>1485900</xdr:colOff>
          <xdr:row>80</xdr:row>
          <xdr:rowOff>0</xdr:rowOff>
        </xdr:to>
        <xdr:sp macro="" textlink="">
          <xdr:nvSpPr>
            <xdr:cNvPr id="62692" name="Drop Down 228" hidden="1">
              <a:extLst>
                <a:ext uri="{63B3BB69-23CF-44E3-9099-C40C66FF867C}">
                  <a14:compatExt spid="_x0000_s62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80</xdr:row>
          <xdr:rowOff>9525</xdr:rowOff>
        </xdr:from>
        <xdr:to>
          <xdr:col>5</xdr:col>
          <xdr:colOff>1485900</xdr:colOff>
          <xdr:row>81</xdr:row>
          <xdr:rowOff>0</xdr:rowOff>
        </xdr:to>
        <xdr:sp macro="" textlink="">
          <xdr:nvSpPr>
            <xdr:cNvPr id="62693" name="Drop Down 229" hidden="1">
              <a:extLst>
                <a:ext uri="{63B3BB69-23CF-44E3-9099-C40C66FF867C}">
                  <a14:compatExt spid="_x0000_s62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81</xdr:row>
          <xdr:rowOff>9525</xdr:rowOff>
        </xdr:from>
        <xdr:to>
          <xdr:col>5</xdr:col>
          <xdr:colOff>1485900</xdr:colOff>
          <xdr:row>82</xdr:row>
          <xdr:rowOff>0</xdr:rowOff>
        </xdr:to>
        <xdr:sp macro="" textlink="">
          <xdr:nvSpPr>
            <xdr:cNvPr id="62694" name="Drop Down 230" hidden="1">
              <a:extLst>
                <a:ext uri="{63B3BB69-23CF-44E3-9099-C40C66FF867C}">
                  <a14:compatExt spid="_x0000_s62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91</xdr:row>
          <xdr:rowOff>9525</xdr:rowOff>
        </xdr:from>
        <xdr:to>
          <xdr:col>5</xdr:col>
          <xdr:colOff>1485900</xdr:colOff>
          <xdr:row>92</xdr:row>
          <xdr:rowOff>0</xdr:rowOff>
        </xdr:to>
        <xdr:sp macro="" textlink="">
          <xdr:nvSpPr>
            <xdr:cNvPr id="62695" name="Drop Down 231" hidden="1">
              <a:extLst>
                <a:ext uri="{63B3BB69-23CF-44E3-9099-C40C66FF867C}">
                  <a14:compatExt spid="_x0000_s62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92</xdr:row>
          <xdr:rowOff>9525</xdr:rowOff>
        </xdr:from>
        <xdr:to>
          <xdr:col>5</xdr:col>
          <xdr:colOff>1485900</xdr:colOff>
          <xdr:row>93</xdr:row>
          <xdr:rowOff>0</xdr:rowOff>
        </xdr:to>
        <xdr:sp macro="" textlink="">
          <xdr:nvSpPr>
            <xdr:cNvPr id="62696" name="Drop Down 232" hidden="1">
              <a:extLst>
                <a:ext uri="{63B3BB69-23CF-44E3-9099-C40C66FF867C}">
                  <a14:compatExt spid="_x0000_s62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93</xdr:row>
          <xdr:rowOff>9525</xdr:rowOff>
        </xdr:from>
        <xdr:to>
          <xdr:col>5</xdr:col>
          <xdr:colOff>1485900</xdr:colOff>
          <xdr:row>94</xdr:row>
          <xdr:rowOff>0</xdr:rowOff>
        </xdr:to>
        <xdr:sp macro="" textlink="">
          <xdr:nvSpPr>
            <xdr:cNvPr id="62697" name="Drop Down 233" hidden="1">
              <a:extLst>
                <a:ext uri="{63B3BB69-23CF-44E3-9099-C40C66FF867C}">
                  <a14:compatExt spid="_x0000_s62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108</xdr:row>
          <xdr:rowOff>9525</xdr:rowOff>
        </xdr:from>
        <xdr:to>
          <xdr:col>5</xdr:col>
          <xdr:colOff>1485900</xdr:colOff>
          <xdr:row>109</xdr:row>
          <xdr:rowOff>0</xdr:rowOff>
        </xdr:to>
        <xdr:sp macro="" textlink="">
          <xdr:nvSpPr>
            <xdr:cNvPr id="62698" name="Drop Down 234" hidden="1">
              <a:extLst>
                <a:ext uri="{63B3BB69-23CF-44E3-9099-C40C66FF867C}">
                  <a14:compatExt spid="_x0000_s62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110</xdr:row>
          <xdr:rowOff>9525</xdr:rowOff>
        </xdr:from>
        <xdr:to>
          <xdr:col>5</xdr:col>
          <xdr:colOff>1485900</xdr:colOff>
          <xdr:row>111</xdr:row>
          <xdr:rowOff>0</xdr:rowOff>
        </xdr:to>
        <xdr:sp macro="" textlink="">
          <xdr:nvSpPr>
            <xdr:cNvPr id="62699" name="Drop Down 235" hidden="1">
              <a:extLst>
                <a:ext uri="{63B3BB69-23CF-44E3-9099-C40C66FF867C}">
                  <a14:compatExt spid="_x0000_s62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111</xdr:row>
          <xdr:rowOff>9525</xdr:rowOff>
        </xdr:from>
        <xdr:to>
          <xdr:col>5</xdr:col>
          <xdr:colOff>1485900</xdr:colOff>
          <xdr:row>112</xdr:row>
          <xdr:rowOff>0</xdr:rowOff>
        </xdr:to>
        <xdr:sp macro="" textlink="">
          <xdr:nvSpPr>
            <xdr:cNvPr id="62700" name="Drop Down 236" hidden="1">
              <a:extLst>
                <a:ext uri="{63B3BB69-23CF-44E3-9099-C40C66FF867C}">
                  <a14:compatExt spid="_x0000_s62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112</xdr:row>
          <xdr:rowOff>9525</xdr:rowOff>
        </xdr:from>
        <xdr:to>
          <xdr:col>5</xdr:col>
          <xdr:colOff>1485900</xdr:colOff>
          <xdr:row>113</xdr:row>
          <xdr:rowOff>0</xdr:rowOff>
        </xdr:to>
        <xdr:sp macro="" textlink="">
          <xdr:nvSpPr>
            <xdr:cNvPr id="62701" name="Drop Down 237" hidden="1">
              <a:extLst>
                <a:ext uri="{63B3BB69-23CF-44E3-9099-C40C66FF867C}">
                  <a14:compatExt spid="_x0000_s62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122</xdr:row>
          <xdr:rowOff>9525</xdr:rowOff>
        </xdr:from>
        <xdr:to>
          <xdr:col>5</xdr:col>
          <xdr:colOff>1485900</xdr:colOff>
          <xdr:row>123</xdr:row>
          <xdr:rowOff>0</xdr:rowOff>
        </xdr:to>
        <xdr:sp macro="" textlink="">
          <xdr:nvSpPr>
            <xdr:cNvPr id="62702" name="Drop Down 238" hidden="1">
              <a:extLst>
                <a:ext uri="{63B3BB69-23CF-44E3-9099-C40C66FF867C}">
                  <a14:compatExt spid="_x0000_s62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123</xdr:row>
          <xdr:rowOff>9525</xdr:rowOff>
        </xdr:from>
        <xdr:to>
          <xdr:col>5</xdr:col>
          <xdr:colOff>1485900</xdr:colOff>
          <xdr:row>124</xdr:row>
          <xdr:rowOff>0</xdr:rowOff>
        </xdr:to>
        <xdr:sp macro="" textlink="">
          <xdr:nvSpPr>
            <xdr:cNvPr id="62703" name="Drop Down 239" hidden="1">
              <a:extLst>
                <a:ext uri="{63B3BB69-23CF-44E3-9099-C40C66FF867C}">
                  <a14:compatExt spid="_x0000_s62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124</xdr:row>
          <xdr:rowOff>9525</xdr:rowOff>
        </xdr:from>
        <xdr:to>
          <xdr:col>5</xdr:col>
          <xdr:colOff>1485900</xdr:colOff>
          <xdr:row>125</xdr:row>
          <xdr:rowOff>0</xdr:rowOff>
        </xdr:to>
        <xdr:sp macro="" textlink="">
          <xdr:nvSpPr>
            <xdr:cNvPr id="62704" name="Drop Down 240" hidden="1">
              <a:extLst>
                <a:ext uri="{63B3BB69-23CF-44E3-9099-C40C66FF867C}">
                  <a14:compatExt spid="_x0000_s62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139</xdr:row>
          <xdr:rowOff>9525</xdr:rowOff>
        </xdr:from>
        <xdr:to>
          <xdr:col>5</xdr:col>
          <xdr:colOff>1485900</xdr:colOff>
          <xdr:row>140</xdr:row>
          <xdr:rowOff>0</xdr:rowOff>
        </xdr:to>
        <xdr:sp macro="" textlink="">
          <xdr:nvSpPr>
            <xdr:cNvPr id="62705" name="Drop Down 241" hidden="1">
              <a:extLst>
                <a:ext uri="{63B3BB69-23CF-44E3-9099-C40C66FF867C}">
                  <a14:compatExt spid="_x0000_s62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141</xdr:row>
          <xdr:rowOff>9525</xdr:rowOff>
        </xdr:from>
        <xdr:to>
          <xdr:col>5</xdr:col>
          <xdr:colOff>1485900</xdr:colOff>
          <xdr:row>142</xdr:row>
          <xdr:rowOff>0</xdr:rowOff>
        </xdr:to>
        <xdr:sp macro="" textlink="">
          <xdr:nvSpPr>
            <xdr:cNvPr id="62706" name="Drop Down 242" hidden="1">
              <a:extLst>
                <a:ext uri="{63B3BB69-23CF-44E3-9099-C40C66FF867C}">
                  <a14:compatExt spid="_x0000_s62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142</xdr:row>
          <xdr:rowOff>9525</xdr:rowOff>
        </xdr:from>
        <xdr:to>
          <xdr:col>5</xdr:col>
          <xdr:colOff>1485900</xdr:colOff>
          <xdr:row>143</xdr:row>
          <xdr:rowOff>0</xdr:rowOff>
        </xdr:to>
        <xdr:sp macro="" textlink="">
          <xdr:nvSpPr>
            <xdr:cNvPr id="62707" name="Drop Down 243" hidden="1">
              <a:extLst>
                <a:ext uri="{63B3BB69-23CF-44E3-9099-C40C66FF867C}">
                  <a14:compatExt spid="_x0000_s62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143</xdr:row>
          <xdr:rowOff>9525</xdr:rowOff>
        </xdr:from>
        <xdr:to>
          <xdr:col>5</xdr:col>
          <xdr:colOff>1485900</xdr:colOff>
          <xdr:row>144</xdr:row>
          <xdr:rowOff>0</xdr:rowOff>
        </xdr:to>
        <xdr:sp macro="" textlink="">
          <xdr:nvSpPr>
            <xdr:cNvPr id="62708" name="Drop Down 244" hidden="1">
              <a:extLst>
                <a:ext uri="{63B3BB69-23CF-44E3-9099-C40C66FF867C}">
                  <a14:compatExt spid="_x0000_s62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153</xdr:row>
          <xdr:rowOff>9525</xdr:rowOff>
        </xdr:from>
        <xdr:to>
          <xdr:col>5</xdr:col>
          <xdr:colOff>1485900</xdr:colOff>
          <xdr:row>154</xdr:row>
          <xdr:rowOff>0</xdr:rowOff>
        </xdr:to>
        <xdr:sp macro="" textlink="">
          <xdr:nvSpPr>
            <xdr:cNvPr id="62709" name="Drop Down 245" hidden="1">
              <a:extLst>
                <a:ext uri="{63B3BB69-23CF-44E3-9099-C40C66FF867C}">
                  <a14:compatExt spid="_x0000_s62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154</xdr:row>
          <xdr:rowOff>9525</xdr:rowOff>
        </xdr:from>
        <xdr:to>
          <xdr:col>5</xdr:col>
          <xdr:colOff>1485900</xdr:colOff>
          <xdr:row>155</xdr:row>
          <xdr:rowOff>0</xdr:rowOff>
        </xdr:to>
        <xdr:sp macro="" textlink="">
          <xdr:nvSpPr>
            <xdr:cNvPr id="62710" name="Drop Down 246" hidden="1">
              <a:extLst>
                <a:ext uri="{63B3BB69-23CF-44E3-9099-C40C66FF867C}">
                  <a14:compatExt spid="_x0000_s62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155</xdr:row>
          <xdr:rowOff>9525</xdr:rowOff>
        </xdr:from>
        <xdr:to>
          <xdr:col>5</xdr:col>
          <xdr:colOff>1485900</xdr:colOff>
          <xdr:row>156</xdr:row>
          <xdr:rowOff>0</xdr:rowOff>
        </xdr:to>
        <xdr:sp macro="" textlink="">
          <xdr:nvSpPr>
            <xdr:cNvPr id="62711" name="Drop Down 247" hidden="1">
              <a:extLst>
                <a:ext uri="{63B3BB69-23CF-44E3-9099-C40C66FF867C}">
                  <a14:compatExt spid="_x0000_s62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134</xdr:row>
          <xdr:rowOff>171450</xdr:rowOff>
        </xdr:from>
        <xdr:to>
          <xdr:col>4</xdr:col>
          <xdr:colOff>1019175</xdr:colOff>
          <xdr:row>135</xdr:row>
          <xdr:rowOff>180975</xdr:rowOff>
        </xdr:to>
        <xdr:sp macro="" textlink="">
          <xdr:nvSpPr>
            <xdr:cNvPr id="62732" name="Drop Down 268" hidden="1">
              <a:extLst>
                <a:ext uri="{63B3BB69-23CF-44E3-9099-C40C66FF867C}">
                  <a14:compatExt spid="_x0000_s62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153</xdr:row>
          <xdr:rowOff>9525</xdr:rowOff>
        </xdr:from>
        <xdr:to>
          <xdr:col>5</xdr:col>
          <xdr:colOff>1485900</xdr:colOff>
          <xdr:row>154</xdr:row>
          <xdr:rowOff>0</xdr:rowOff>
        </xdr:to>
        <xdr:sp macro="" textlink="">
          <xdr:nvSpPr>
            <xdr:cNvPr id="62784" name="Drop Down 320" hidden="1">
              <a:extLst>
                <a:ext uri="{63B3BB69-23CF-44E3-9099-C40C66FF867C}">
                  <a14:compatExt spid="_x0000_s62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154</xdr:row>
          <xdr:rowOff>9525</xdr:rowOff>
        </xdr:from>
        <xdr:to>
          <xdr:col>5</xdr:col>
          <xdr:colOff>1485900</xdr:colOff>
          <xdr:row>155</xdr:row>
          <xdr:rowOff>0</xdr:rowOff>
        </xdr:to>
        <xdr:sp macro="" textlink="">
          <xdr:nvSpPr>
            <xdr:cNvPr id="62785" name="Drop Down 321" hidden="1">
              <a:extLst>
                <a:ext uri="{63B3BB69-23CF-44E3-9099-C40C66FF867C}">
                  <a14:compatExt spid="_x0000_s62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155</xdr:row>
          <xdr:rowOff>9525</xdr:rowOff>
        </xdr:from>
        <xdr:to>
          <xdr:col>5</xdr:col>
          <xdr:colOff>1485900</xdr:colOff>
          <xdr:row>156</xdr:row>
          <xdr:rowOff>0</xdr:rowOff>
        </xdr:to>
        <xdr:sp macro="" textlink="">
          <xdr:nvSpPr>
            <xdr:cNvPr id="62786" name="Drop Down 322" hidden="1">
              <a:extLst>
                <a:ext uri="{63B3BB69-23CF-44E3-9099-C40C66FF867C}">
                  <a14:compatExt spid="_x0000_s62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139</xdr:row>
          <xdr:rowOff>9525</xdr:rowOff>
        </xdr:from>
        <xdr:to>
          <xdr:col>5</xdr:col>
          <xdr:colOff>1485900</xdr:colOff>
          <xdr:row>140</xdr:row>
          <xdr:rowOff>0</xdr:rowOff>
        </xdr:to>
        <xdr:sp macro="" textlink="">
          <xdr:nvSpPr>
            <xdr:cNvPr id="62787" name="Drop Down 323" hidden="1">
              <a:extLst>
                <a:ext uri="{63B3BB69-23CF-44E3-9099-C40C66FF867C}">
                  <a14:compatExt spid="_x0000_s62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140</xdr:row>
          <xdr:rowOff>9525</xdr:rowOff>
        </xdr:from>
        <xdr:to>
          <xdr:col>5</xdr:col>
          <xdr:colOff>1485900</xdr:colOff>
          <xdr:row>141</xdr:row>
          <xdr:rowOff>0</xdr:rowOff>
        </xdr:to>
        <xdr:sp macro="" textlink="">
          <xdr:nvSpPr>
            <xdr:cNvPr id="62788" name="Drop Down 324" hidden="1">
              <a:extLst>
                <a:ext uri="{63B3BB69-23CF-44E3-9099-C40C66FF867C}">
                  <a14:compatExt spid="_x0000_s62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141</xdr:row>
          <xdr:rowOff>9525</xdr:rowOff>
        </xdr:from>
        <xdr:to>
          <xdr:col>5</xdr:col>
          <xdr:colOff>1485900</xdr:colOff>
          <xdr:row>142</xdr:row>
          <xdr:rowOff>0</xdr:rowOff>
        </xdr:to>
        <xdr:sp macro="" textlink="">
          <xdr:nvSpPr>
            <xdr:cNvPr id="62789" name="Drop Down 325" hidden="1">
              <a:extLst>
                <a:ext uri="{63B3BB69-23CF-44E3-9099-C40C66FF867C}">
                  <a14:compatExt spid="_x0000_s62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142</xdr:row>
          <xdr:rowOff>9525</xdr:rowOff>
        </xdr:from>
        <xdr:to>
          <xdr:col>5</xdr:col>
          <xdr:colOff>1485900</xdr:colOff>
          <xdr:row>143</xdr:row>
          <xdr:rowOff>0</xdr:rowOff>
        </xdr:to>
        <xdr:sp macro="" textlink="">
          <xdr:nvSpPr>
            <xdr:cNvPr id="62790" name="Drop Down 326" hidden="1">
              <a:extLst>
                <a:ext uri="{63B3BB69-23CF-44E3-9099-C40C66FF867C}">
                  <a14:compatExt spid="_x0000_s62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143</xdr:row>
          <xdr:rowOff>9525</xdr:rowOff>
        </xdr:from>
        <xdr:to>
          <xdr:col>5</xdr:col>
          <xdr:colOff>1485900</xdr:colOff>
          <xdr:row>144</xdr:row>
          <xdr:rowOff>0</xdr:rowOff>
        </xdr:to>
        <xdr:sp macro="" textlink="">
          <xdr:nvSpPr>
            <xdr:cNvPr id="62791" name="Drop Down 327" hidden="1">
              <a:extLst>
                <a:ext uri="{63B3BB69-23CF-44E3-9099-C40C66FF867C}">
                  <a14:compatExt spid="_x0000_s62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103</xdr:row>
          <xdr:rowOff>171450</xdr:rowOff>
        </xdr:from>
        <xdr:to>
          <xdr:col>4</xdr:col>
          <xdr:colOff>1019175</xdr:colOff>
          <xdr:row>104</xdr:row>
          <xdr:rowOff>180975</xdr:rowOff>
        </xdr:to>
        <xdr:sp macro="" textlink="">
          <xdr:nvSpPr>
            <xdr:cNvPr id="62792" name="Drop Down 328" hidden="1">
              <a:extLst>
                <a:ext uri="{63B3BB69-23CF-44E3-9099-C40C66FF867C}">
                  <a14:compatExt spid="_x0000_s62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72</xdr:row>
          <xdr:rowOff>171450</xdr:rowOff>
        </xdr:from>
        <xdr:to>
          <xdr:col>4</xdr:col>
          <xdr:colOff>1019175</xdr:colOff>
          <xdr:row>73</xdr:row>
          <xdr:rowOff>180975</xdr:rowOff>
        </xdr:to>
        <xdr:sp macro="" textlink="">
          <xdr:nvSpPr>
            <xdr:cNvPr id="62793" name="Drop Down 329" hidden="1">
              <a:extLst>
                <a:ext uri="{63B3BB69-23CF-44E3-9099-C40C66FF867C}">
                  <a14:compatExt spid="_x0000_s62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41</xdr:row>
          <xdr:rowOff>171450</xdr:rowOff>
        </xdr:from>
        <xdr:to>
          <xdr:col>4</xdr:col>
          <xdr:colOff>1019175</xdr:colOff>
          <xdr:row>42</xdr:row>
          <xdr:rowOff>180975</xdr:rowOff>
        </xdr:to>
        <xdr:sp macro="" textlink="">
          <xdr:nvSpPr>
            <xdr:cNvPr id="62794" name="Drop Down 330" hidden="1">
              <a:extLst>
                <a:ext uri="{63B3BB69-23CF-44E3-9099-C40C66FF867C}">
                  <a14:compatExt spid="_x0000_s62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419100</xdr:colOff>
      <xdr:row>1</xdr:row>
      <xdr:rowOff>76200</xdr:rowOff>
    </xdr:from>
    <xdr:to>
      <xdr:col>15</xdr:col>
      <xdr:colOff>542925</xdr:colOff>
      <xdr:row>1</xdr:row>
      <xdr:rowOff>553726</xdr:rowOff>
    </xdr:to>
    <xdr:grpSp>
      <xdr:nvGrpSpPr>
        <xdr:cNvPr id="80" name="Gruppieren 79"/>
        <xdr:cNvGrpSpPr/>
      </xdr:nvGrpSpPr>
      <xdr:grpSpPr>
        <a:xfrm>
          <a:off x="6610350" y="390525"/>
          <a:ext cx="7839075" cy="477526"/>
          <a:chOff x="4878917" y="378882"/>
          <a:chExt cx="7833783" cy="477526"/>
        </a:xfrm>
      </xdr:grpSpPr>
      <xdr:sp macro="" textlink="">
        <xdr:nvSpPr>
          <xdr:cNvPr id="81" name="Abgerundetes Rechteck 80">
            <a:hlinkClick xmlns:r="http://schemas.openxmlformats.org/officeDocument/2006/relationships" r:id="rId1"/>
          </xdr:cNvPr>
          <xdr:cNvSpPr/>
        </xdr:nvSpPr>
        <xdr:spPr>
          <a:xfrm>
            <a:off x="5970058" y="388408"/>
            <a:ext cx="1189059" cy="468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82" name="Abgerundetes Rechteck 81">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83" name="Abgerundetes Rechteck 82">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84" name="Abgerundetes Rechteck 83">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85" name="Abgerundetes Rechteck 84">
            <a:hlinkClick xmlns:r="http://schemas.openxmlformats.org/officeDocument/2006/relationships" r:id="rId5"/>
          </xdr:cNvPr>
          <xdr:cNvSpPr/>
        </xdr:nvSpPr>
        <xdr:spPr>
          <a:xfrm>
            <a:off x="7190315" y="388408"/>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86" name="Abgerundetes Rechteck 85">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87" name="Abgerundetes Rechteck 86">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88" name="Abgerundetes Rechteck 87">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89" name="Abgerundetes Rechteck 88">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90" name="Abgerundetes Rechteck 89">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91" name="Abgerundetes Rechteck 90">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92" name="Abgerundetes Rechteck 91">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93" name="Abgerundetes Rechteck 92">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94" name="Abgerundetes Rechteck 93">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10</xdr:col>
      <xdr:colOff>276225</xdr:colOff>
      <xdr:row>2</xdr:row>
      <xdr:rowOff>152400</xdr:rowOff>
    </xdr:from>
    <xdr:to>
      <xdr:col>15</xdr:col>
      <xdr:colOff>373875</xdr:colOff>
      <xdr:row>7</xdr:row>
      <xdr:rowOff>20933</xdr:rowOff>
    </xdr:to>
    <xdr:pic>
      <xdr:nvPicPr>
        <xdr:cNvPr id="2" name="Grafik 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096375" y="1095375"/>
          <a:ext cx="5184000" cy="6781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285749</xdr:colOff>
      <xdr:row>1</xdr:row>
      <xdr:rowOff>247650</xdr:rowOff>
    </xdr:from>
    <xdr:to>
      <xdr:col>13</xdr:col>
      <xdr:colOff>19049</xdr:colOff>
      <xdr:row>2</xdr:row>
      <xdr:rowOff>47625</xdr:rowOff>
    </xdr:to>
    <xdr:grpSp>
      <xdr:nvGrpSpPr>
        <xdr:cNvPr id="5" name="Gruppieren 4"/>
        <xdr:cNvGrpSpPr/>
      </xdr:nvGrpSpPr>
      <xdr:grpSpPr>
        <a:xfrm>
          <a:off x="285749" y="561975"/>
          <a:ext cx="4238625" cy="428625"/>
          <a:chOff x="189536" y="4410075"/>
          <a:chExt cx="4454144" cy="357554"/>
        </a:xfrm>
      </xdr:grpSpPr>
      <xdr:sp macro="" textlink="">
        <xdr:nvSpPr>
          <xdr:cNvPr id="6" name="Auf der gleichen Seite des Rechtecks liegende Ecken abrunden 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7" name="Freihandform 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0</xdr:col>
      <xdr:colOff>285749</xdr:colOff>
      <xdr:row>10</xdr:row>
      <xdr:rowOff>238125</xdr:rowOff>
    </xdr:from>
    <xdr:to>
      <xdr:col>13</xdr:col>
      <xdr:colOff>19049</xdr:colOff>
      <xdr:row>11</xdr:row>
      <xdr:rowOff>38100</xdr:rowOff>
    </xdr:to>
    <xdr:grpSp>
      <xdr:nvGrpSpPr>
        <xdr:cNvPr id="8" name="Gruppieren 7"/>
        <xdr:cNvGrpSpPr/>
      </xdr:nvGrpSpPr>
      <xdr:grpSpPr>
        <a:xfrm>
          <a:off x="285749" y="2476500"/>
          <a:ext cx="4238625" cy="304800"/>
          <a:chOff x="189536" y="4410075"/>
          <a:chExt cx="4454144" cy="357554"/>
        </a:xfrm>
      </xdr:grpSpPr>
      <xdr:sp macro="" textlink="">
        <xdr:nvSpPr>
          <xdr:cNvPr id="9" name="Auf der gleichen Seite des Rechtecks liegende Ecken abrunden 8"/>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Übernahme der Daten aus einer anderen Variante</a:t>
            </a:r>
          </a:p>
        </xdr:txBody>
      </xdr:sp>
      <xdr:sp macro="" textlink="">
        <xdr:nvSpPr>
          <xdr:cNvPr id="10" name="Freihandform 9"/>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16</xdr:row>
      <xdr:rowOff>238125</xdr:rowOff>
    </xdr:from>
    <xdr:to>
      <xdr:col>13</xdr:col>
      <xdr:colOff>19050</xdr:colOff>
      <xdr:row>17</xdr:row>
      <xdr:rowOff>38100</xdr:rowOff>
    </xdr:to>
    <xdr:grpSp>
      <xdr:nvGrpSpPr>
        <xdr:cNvPr id="11" name="Gruppieren 10"/>
        <xdr:cNvGrpSpPr/>
      </xdr:nvGrpSpPr>
      <xdr:grpSpPr>
        <a:xfrm>
          <a:off x="285750" y="3790950"/>
          <a:ext cx="4238625" cy="304800"/>
          <a:chOff x="189536" y="4410075"/>
          <a:chExt cx="4454144" cy="357554"/>
        </a:xfrm>
      </xdr:grpSpPr>
      <xdr:sp macro="" textlink="">
        <xdr:nvSpPr>
          <xdr:cNvPr id="12" name="Auf der gleichen Seite des Rechtecks liegende Ecken abrunden 1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Kosten nach ÖNORM B 1801-1 Baugliederung</a:t>
            </a:r>
          </a:p>
        </xdr:txBody>
      </xdr:sp>
      <xdr:sp macro="" textlink="">
        <xdr:nvSpPr>
          <xdr:cNvPr id="13" name="Freihandform 1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35</xdr:row>
      <xdr:rowOff>238130</xdr:rowOff>
    </xdr:from>
    <xdr:to>
      <xdr:col>13</xdr:col>
      <xdr:colOff>19050</xdr:colOff>
      <xdr:row>36</xdr:row>
      <xdr:rowOff>38099</xdr:rowOff>
    </xdr:to>
    <xdr:grpSp>
      <xdr:nvGrpSpPr>
        <xdr:cNvPr id="14" name="Gruppieren 13"/>
        <xdr:cNvGrpSpPr/>
      </xdr:nvGrpSpPr>
      <xdr:grpSpPr>
        <a:xfrm>
          <a:off x="285750" y="7162805"/>
          <a:ext cx="4238625" cy="304794"/>
          <a:chOff x="189536" y="4410082"/>
          <a:chExt cx="4454144" cy="357547"/>
        </a:xfrm>
      </xdr:grpSpPr>
      <xdr:sp macro="" textlink="">
        <xdr:nvSpPr>
          <xdr:cNvPr id="15" name="Auf der gleichen Seite des Rechtecks liegende Ecken abrunden 14"/>
          <xdr:cNvSpPr/>
        </xdr:nvSpPr>
        <xdr:spPr>
          <a:xfrm>
            <a:off x="189536" y="4410082"/>
            <a:ext cx="4058381"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Unterbrechung der Norm (einfachere Eingabe)</a:t>
            </a:r>
          </a:p>
        </xdr:txBody>
      </xdr:sp>
      <xdr:sp macro="" textlink="">
        <xdr:nvSpPr>
          <xdr:cNvPr id="16" name="Freihandform 15"/>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111</xdr:row>
      <xdr:rowOff>238125</xdr:rowOff>
    </xdr:from>
    <xdr:to>
      <xdr:col>13</xdr:col>
      <xdr:colOff>19050</xdr:colOff>
      <xdr:row>112</xdr:row>
      <xdr:rowOff>38094</xdr:rowOff>
    </xdr:to>
    <xdr:grpSp>
      <xdr:nvGrpSpPr>
        <xdr:cNvPr id="17" name="Gruppieren 16"/>
        <xdr:cNvGrpSpPr/>
      </xdr:nvGrpSpPr>
      <xdr:grpSpPr>
        <a:xfrm>
          <a:off x="285750" y="19297650"/>
          <a:ext cx="4238625" cy="304794"/>
          <a:chOff x="189536" y="4410082"/>
          <a:chExt cx="4454144" cy="357547"/>
        </a:xfrm>
      </xdr:grpSpPr>
      <xdr:sp macro="" textlink="">
        <xdr:nvSpPr>
          <xdr:cNvPr id="18" name="Auf der gleichen Seite des Rechtecks liegende Ecken abrunden 17"/>
          <xdr:cNvSpPr/>
        </xdr:nvSpPr>
        <xdr:spPr>
          <a:xfrm>
            <a:off x="189536" y="4410082"/>
            <a:ext cx="4058381"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Fortführen der Kostengliederung ÖNORM B1801</a:t>
            </a:r>
          </a:p>
        </xdr:txBody>
      </xdr:sp>
      <xdr:sp macro="" textlink="">
        <xdr:nvSpPr>
          <xdr:cNvPr id="19" name="Freihandform 18"/>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16</xdr:col>
      <xdr:colOff>304800</xdr:colOff>
      <xdr:row>1</xdr:row>
      <xdr:rowOff>66675</xdr:rowOff>
    </xdr:from>
    <xdr:to>
      <xdr:col>35</xdr:col>
      <xdr:colOff>171450</xdr:colOff>
      <xdr:row>1</xdr:row>
      <xdr:rowOff>544201</xdr:rowOff>
    </xdr:to>
    <xdr:grpSp>
      <xdr:nvGrpSpPr>
        <xdr:cNvPr id="20" name="Gruppieren 19"/>
        <xdr:cNvGrpSpPr/>
      </xdr:nvGrpSpPr>
      <xdr:grpSpPr>
        <a:xfrm>
          <a:off x="6296025" y="381000"/>
          <a:ext cx="7839075" cy="477526"/>
          <a:chOff x="4878917" y="378882"/>
          <a:chExt cx="7833783" cy="477526"/>
        </a:xfrm>
      </xdr:grpSpPr>
      <xdr:sp macro="" textlink="">
        <xdr:nvSpPr>
          <xdr:cNvPr id="21" name="Abgerundetes Rechteck 20">
            <a:hlinkClick xmlns:r="http://schemas.openxmlformats.org/officeDocument/2006/relationships" r:id="rId1"/>
          </xdr:cNvPr>
          <xdr:cNvSpPr/>
        </xdr:nvSpPr>
        <xdr:spPr>
          <a:xfrm>
            <a:off x="5970058" y="388408"/>
            <a:ext cx="1189059"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22" name="Abgerundetes Rechteck 21">
            <a:hlinkClick xmlns:r="http://schemas.openxmlformats.org/officeDocument/2006/relationships" r:id="rId2"/>
          </xdr:cNvPr>
          <xdr:cNvSpPr/>
        </xdr:nvSpPr>
        <xdr:spPr>
          <a:xfrm>
            <a:off x="10947400" y="378882"/>
            <a:ext cx="5926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23" name="Abgerundetes Rechteck 22">
            <a:hlinkClick xmlns:r="http://schemas.openxmlformats.org/officeDocument/2006/relationships" r:id="rId3"/>
          </xdr:cNvPr>
          <xdr:cNvSpPr/>
        </xdr:nvSpPr>
        <xdr:spPr>
          <a:xfrm>
            <a:off x="11568642" y="378882"/>
            <a:ext cx="1144058"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24" name="Abgerundetes Rechteck 23">
            <a:hlinkClick xmlns:r="http://schemas.openxmlformats.org/officeDocument/2006/relationships" r:id="rId4"/>
          </xdr:cNvPr>
          <xdr:cNvSpPr/>
        </xdr:nvSpPr>
        <xdr:spPr>
          <a:xfrm>
            <a:off x="4878917" y="388407"/>
            <a:ext cx="105304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28" name="Abgerundetes Rechteck 27">
            <a:hlinkClick xmlns:r="http://schemas.openxmlformats.org/officeDocument/2006/relationships" r:id="rId5"/>
          </xdr:cNvPr>
          <xdr:cNvSpPr/>
        </xdr:nvSpPr>
        <xdr:spPr>
          <a:xfrm>
            <a:off x="7190315" y="388408"/>
            <a:ext cx="718941" cy="216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29" name="Abgerundetes Rechteck 28">
            <a:hlinkClick xmlns:r="http://schemas.openxmlformats.org/officeDocument/2006/relationships" r:id="rId6"/>
          </xdr:cNvPr>
          <xdr:cNvSpPr/>
        </xdr:nvSpPr>
        <xdr:spPr>
          <a:xfrm>
            <a:off x="7190315" y="626533"/>
            <a:ext cx="718941"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30" name="Abgerundetes Rechteck 29">
            <a:hlinkClick xmlns:r="http://schemas.openxmlformats.org/officeDocument/2006/relationships" r:id="rId7"/>
          </xdr:cNvPr>
          <xdr:cNvSpPr/>
        </xdr:nvSpPr>
        <xdr:spPr>
          <a:xfrm>
            <a:off x="7941731" y="388408"/>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31" name="Abgerundetes Rechteck 30">
            <a:hlinkClick xmlns:r="http://schemas.openxmlformats.org/officeDocument/2006/relationships" r:id="rId8"/>
          </xdr:cNvPr>
          <xdr:cNvSpPr/>
        </xdr:nvSpPr>
        <xdr:spPr>
          <a:xfrm>
            <a:off x="7941731" y="626533"/>
            <a:ext cx="717884"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32" name="Abgerundetes Rechteck 31">
            <a:hlinkClick xmlns:r="http://schemas.openxmlformats.org/officeDocument/2006/relationships" r:id="rId9"/>
          </xdr:cNvPr>
          <xdr:cNvSpPr/>
        </xdr:nvSpPr>
        <xdr:spPr>
          <a:xfrm>
            <a:off x="8692090" y="3884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33" name="Abgerundetes Rechteck 32">
            <a:hlinkClick xmlns:r="http://schemas.openxmlformats.org/officeDocument/2006/relationships" r:id="rId10"/>
          </xdr:cNvPr>
          <xdr:cNvSpPr/>
        </xdr:nvSpPr>
        <xdr:spPr>
          <a:xfrm>
            <a:off x="8692090" y="62653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34" name="Abgerundetes Rechteck 33">
            <a:hlinkClick xmlns:r="http://schemas.openxmlformats.org/officeDocument/2006/relationships" r:id="rId11"/>
          </xdr:cNvPr>
          <xdr:cNvSpPr/>
        </xdr:nvSpPr>
        <xdr:spPr>
          <a:xfrm>
            <a:off x="9442448" y="388408"/>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35" name="Abgerundetes Rechteck 34">
            <a:hlinkClick xmlns:r="http://schemas.openxmlformats.org/officeDocument/2006/relationships" r:id="rId12"/>
          </xdr:cNvPr>
          <xdr:cNvSpPr/>
        </xdr:nvSpPr>
        <xdr:spPr>
          <a:xfrm>
            <a:off x="9442448" y="626533"/>
            <a:ext cx="72211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36" name="Abgerundetes Rechteck 35">
            <a:hlinkClick xmlns:r="http://schemas.openxmlformats.org/officeDocument/2006/relationships" r:id="rId13"/>
          </xdr:cNvPr>
          <xdr:cNvSpPr/>
        </xdr:nvSpPr>
        <xdr:spPr>
          <a:xfrm>
            <a:off x="10197040" y="378883"/>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37" name="Abgerundetes Rechteck 36">
            <a:hlinkClick xmlns:r="http://schemas.openxmlformats.org/officeDocument/2006/relationships" r:id="rId14"/>
          </xdr:cNvPr>
          <xdr:cNvSpPr/>
        </xdr:nvSpPr>
        <xdr:spPr>
          <a:xfrm>
            <a:off x="10197040" y="617008"/>
            <a:ext cx="717883"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20</xdr:col>
      <xdr:colOff>76200</xdr:colOff>
      <xdr:row>3</xdr:row>
      <xdr:rowOff>0</xdr:rowOff>
    </xdr:from>
    <xdr:to>
      <xdr:col>33</xdr:col>
      <xdr:colOff>97650</xdr:colOff>
      <xdr:row>7</xdr:row>
      <xdr:rowOff>30458</xdr:rowOff>
    </xdr:to>
    <xdr:pic>
      <xdr:nvPicPr>
        <xdr:cNvPr id="2" name="Grafik 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343900" y="1104900"/>
          <a:ext cx="5184000" cy="6781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247650</xdr:rowOff>
    </xdr:from>
    <xdr:to>
      <xdr:col>7</xdr:col>
      <xdr:colOff>548894</xdr:colOff>
      <xdr:row>2</xdr:row>
      <xdr:rowOff>47625</xdr:rowOff>
    </xdr:to>
    <xdr:grpSp>
      <xdr:nvGrpSpPr>
        <xdr:cNvPr id="5" name="Gruppieren 4"/>
        <xdr:cNvGrpSpPr/>
      </xdr:nvGrpSpPr>
      <xdr:grpSpPr>
        <a:xfrm>
          <a:off x="285750" y="561975"/>
          <a:ext cx="4454144" cy="428625"/>
          <a:chOff x="189536" y="4410075"/>
          <a:chExt cx="4454144" cy="357554"/>
        </a:xfrm>
      </xdr:grpSpPr>
      <xdr:sp macro="" textlink="">
        <xdr:nvSpPr>
          <xdr:cNvPr id="6" name="Auf der gleichen Seite des Rechtecks liegende Ecken abrunden 5"/>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Projektangaben</a:t>
            </a:r>
          </a:p>
        </xdr:txBody>
      </xdr:sp>
      <xdr:sp macro="" textlink="">
        <xdr:nvSpPr>
          <xdr:cNvPr id="7" name="Freihandform 6"/>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9</xdr:row>
      <xdr:rowOff>247650</xdr:rowOff>
    </xdr:from>
    <xdr:to>
      <xdr:col>7</xdr:col>
      <xdr:colOff>548894</xdr:colOff>
      <xdr:row>10</xdr:row>
      <xdr:rowOff>47625</xdr:rowOff>
    </xdr:to>
    <xdr:grpSp>
      <xdr:nvGrpSpPr>
        <xdr:cNvPr id="11" name="Gruppieren 10"/>
        <xdr:cNvGrpSpPr/>
      </xdr:nvGrpSpPr>
      <xdr:grpSpPr>
        <a:xfrm>
          <a:off x="285750" y="2324100"/>
          <a:ext cx="4454144" cy="304800"/>
          <a:chOff x="189536" y="4410075"/>
          <a:chExt cx="4454144" cy="357554"/>
        </a:xfrm>
      </xdr:grpSpPr>
      <xdr:sp macro="" textlink="">
        <xdr:nvSpPr>
          <xdr:cNvPr id="12" name="Auf der gleichen Seite des Rechtecks liegende Ecken abrunden 11"/>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Angaben zur Finanzierung</a:t>
            </a:r>
          </a:p>
        </xdr:txBody>
      </xdr:sp>
      <xdr:sp macro="" textlink="">
        <xdr:nvSpPr>
          <xdr:cNvPr id="13" name="Freihandform 12"/>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xdr:col>
      <xdr:colOff>0</xdr:colOff>
      <xdr:row>42</xdr:row>
      <xdr:rowOff>238125</xdr:rowOff>
    </xdr:from>
    <xdr:to>
      <xdr:col>7</xdr:col>
      <xdr:colOff>548894</xdr:colOff>
      <xdr:row>43</xdr:row>
      <xdr:rowOff>38100</xdr:rowOff>
    </xdr:to>
    <xdr:grpSp>
      <xdr:nvGrpSpPr>
        <xdr:cNvPr id="14" name="Gruppieren 13"/>
        <xdr:cNvGrpSpPr/>
      </xdr:nvGrpSpPr>
      <xdr:grpSpPr>
        <a:xfrm>
          <a:off x="285750" y="8934450"/>
          <a:ext cx="4454144" cy="304800"/>
          <a:chOff x="189536" y="4410075"/>
          <a:chExt cx="4454144" cy="357554"/>
        </a:xfrm>
      </xdr:grpSpPr>
      <xdr:sp macro="" textlink="">
        <xdr:nvSpPr>
          <xdr:cNvPr id="15" name="Auf der gleichen Seite des Rechtecks liegende Ecken abrunden 14"/>
          <xdr:cNvSpPr/>
        </xdr:nvSpPr>
        <xdr:spPr>
          <a:xfrm>
            <a:off x="189536" y="4410075"/>
            <a:ext cx="4058382" cy="333375"/>
          </a:xfrm>
          <a:prstGeom prst="round2SameRect">
            <a:avLst>
              <a:gd name="adj1" fmla="val 34771"/>
              <a:gd name="adj2" fmla="val 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b="1">
                <a:solidFill>
                  <a:sysClr val="windowText" lastClr="000000"/>
                </a:solidFill>
                <a:latin typeface="Arial" panose="020B0604020202020204" pitchFamily="34" charset="0"/>
                <a:cs typeface="Arial" panose="020B0604020202020204" pitchFamily="34" charset="0"/>
              </a:rPr>
              <a:t>Objekt-Folgekosten nach ÖNORM B 1801-2</a:t>
            </a:r>
          </a:p>
        </xdr:txBody>
      </xdr:sp>
      <xdr:sp macro="" textlink="">
        <xdr:nvSpPr>
          <xdr:cNvPr id="16" name="Freihandform 15"/>
          <xdr:cNvSpPr/>
        </xdr:nvSpPr>
        <xdr:spPr>
          <a:xfrm>
            <a:off x="4217988" y="4523643"/>
            <a:ext cx="425692" cy="243986"/>
          </a:xfrm>
          <a:custGeom>
            <a:avLst/>
            <a:gdLst>
              <a:gd name="connsiteX0" fmla="*/ 29307 w 424961"/>
              <a:gd name="connsiteY0" fmla="*/ 0 h 245452"/>
              <a:gd name="connsiteX1" fmla="*/ 62278 w 424961"/>
              <a:gd name="connsiteY1" fmla="*/ 87923 h 245452"/>
              <a:gd name="connsiteX2" fmla="*/ 95250 w 424961"/>
              <a:gd name="connsiteY2" fmla="*/ 131884 h 245452"/>
              <a:gd name="connsiteX3" fmla="*/ 157528 w 424961"/>
              <a:gd name="connsiteY3" fmla="*/ 164855 h 245452"/>
              <a:gd name="connsiteX4" fmla="*/ 263769 w 424961"/>
              <a:gd name="connsiteY4" fmla="*/ 190500 h 245452"/>
              <a:gd name="connsiteX5" fmla="*/ 370009 w 424961"/>
              <a:gd name="connsiteY5" fmla="*/ 201490 h 245452"/>
              <a:gd name="connsiteX6" fmla="*/ 424961 w 424961"/>
              <a:gd name="connsiteY6" fmla="*/ 205153 h 245452"/>
              <a:gd name="connsiteX7" fmla="*/ 0 w 424961"/>
              <a:gd name="connsiteY7" fmla="*/ 245452 h 245452"/>
              <a:gd name="connsiteX8" fmla="*/ 29307 w 424961"/>
              <a:gd name="connsiteY8" fmla="*/ 0 h 2454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24961" h="245452">
                <a:moveTo>
                  <a:pt x="29307" y="0"/>
                </a:moveTo>
                <a:lnTo>
                  <a:pt x="62278" y="87923"/>
                </a:lnTo>
                <a:lnTo>
                  <a:pt x="95250" y="131884"/>
                </a:lnTo>
                <a:lnTo>
                  <a:pt x="157528" y="164855"/>
                </a:lnTo>
                <a:lnTo>
                  <a:pt x="263769" y="190500"/>
                </a:lnTo>
                <a:lnTo>
                  <a:pt x="370009" y="201490"/>
                </a:lnTo>
                <a:lnTo>
                  <a:pt x="424961" y="205153"/>
                </a:lnTo>
                <a:lnTo>
                  <a:pt x="0" y="245452"/>
                </a:lnTo>
                <a:lnTo>
                  <a:pt x="29307" y="0"/>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9</xdr:col>
      <xdr:colOff>200025</xdr:colOff>
      <xdr:row>1</xdr:row>
      <xdr:rowOff>66675</xdr:rowOff>
    </xdr:from>
    <xdr:to>
      <xdr:col>17</xdr:col>
      <xdr:colOff>733425</xdr:colOff>
      <xdr:row>1</xdr:row>
      <xdr:rowOff>544201</xdr:rowOff>
    </xdr:to>
    <xdr:grpSp>
      <xdr:nvGrpSpPr>
        <xdr:cNvPr id="3" name="Gruppieren 2"/>
        <xdr:cNvGrpSpPr/>
      </xdr:nvGrpSpPr>
      <xdr:grpSpPr>
        <a:xfrm>
          <a:off x="6410325" y="381000"/>
          <a:ext cx="7839075" cy="477526"/>
          <a:chOff x="7943850" y="381000"/>
          <a:chExt cx="7839075" cy="477526"/>
        </a:xfrm>
      </xdr:grpSpPr>
      <xdr:sp macro="" textlink="">
        <xdr:nvSpPr>
          <xdr:cNvPr id="18" name="Abgerundetes Rechteck 17">
            <a:hlinkClick xmlns:r="http://schemas.openxmlformats.org/officeDocument/2006/relationships" r:id="rId1"/>
          </xdr:cNvPr>
          <xdr:cNvSpPr/>
        </xdr:nvSpPr>
        <xdr:spPr>
          <a:xfrm>
            <a:off x="9035728" y="390526"/>
            <a:ext cx="1189862"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Energiekennwerte</a:t>
            </a:r>
          </a:p>
        </xdr:txBody>
      </xdr:sp>
      <xdr:sp macro="" textlink="">
        <xdr:nvSpPr>
          <xdr:cNvPr id="19" name="Abgerundetes Rechteck 18">
            <a:hlinkClick xmlns:r="http://schemas.openxmlformats.org/officeDocument/2006/relationships" r:id="rId2"/>
          </xdr:cNvPr>
          <xdr:cNvSpPr/>
        </xdr:nvSpPr>
        <xdr:spPr>
          <a:xfrm>
            <a:off x="14016432" y="381000"/>
            <a:ext cx="593066"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Kosten</a:t>
            </a:r>
            <a:endParaRPr lang="de-DE" sz="1100"/>
          </a:p>
        </xdr:txBody>
      </xdr:sp>
      <xdr:sp macro="" textlink="">
        <xdr:nvSpPr>
          <xdr:cNvPr id="20" name="Abgerundetes Rechteck 19">
            <a:hlinkClick xmlns:r="http://schemas.openxmlformats.org/officeDocument/2006/relationships" r:id="rId3"/>
          </xdr:cNvPr>
          <xdr:cNvSpPr/>
        </xdr:nvSpPr>
        <xdr:spPr>
          <a:xfrm>
            <a:off x="14638094" y="381000"/>
            <a:ext cx="1144831"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de-DE" sz="1000"/>
              <a:t>Wirtschaftlichkeit</a:t>
            </a:r>
          </a:p>
        </xdr:txBody>
      </xdr:sp>
      <xdr:sp macro="" textlink="">
        <xdr:nvSpPr>
          <xdr:cNvPr id="24" name="Abgerundetes Rechteck 23">
            <a:hlinkClick xmlns:r="http://schemas.openxmlformats.org/officeDocument/2006/relationships" r:id="rId4"/>
          </xdr:cNvPr>
          <xdr:cNvSpPr/>
        </xdr:nvSpPr>
        <xdr:spPr>
          <a:xfrm>
            <a:off x="7943850" y="390525"/>
            <a:ext cx="1053752" cy="468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l"/>
            <a:r>
              <a:rPr lang="de-DE" sz="1000">
                <a:solidFill>
                  <a:sysClr val="windowText" lastClr="000000"/>
                </a:solidFill>
              </a:rPr>
              <a:t>Projektangaben</a:t>
            </a:r>
          </a:p>
        </xdr:txBody>
      </xdr:sp>
      <xdr:sp macro="" textlink="">
        <xdr:nvSpPr>
          <xdr:cNvPr id="25" name="Abgerundetes Rechteck 24">
            <a:hlinkClick xmlns:r="http://schemas.openxmlformats.org/officeDocument/2006/relationships" r:id="rId5"/>
          </xdr:cNvPr>
          <xdr:cNvSpPr/>
        </xdr:nvSpPr>
        <xdr:spPr>
          <a:xfrm>
            <a:off x="10256809" y="390526"/>
            <a:ext cx="719427"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1 I&amp;W</a:t>
            </a:r>
          </a:p>
        </xdr:txBody>
      </xdr:sp>
      <xdr:sp macro="" textlink="">
        <xdr:nvSpPr>
          <xdr:cNvPr id="26" name="Abgerundetes Rechteck 25">
            <a:hlinkClick xmlns:r="http://schemas.openxmlformats.org/officeDocument/2006/relationships" r:id="rId6"/>
          </xdr:cNvPr>
          <xdr:cNvSpPr/>
        </xdr:nvSpPr>
        <xdr:spPr>
          <a:xfrm>
            <a:off x="10256809" y="628651"/>
            <a:ext cx="719427" cy="216000"/>
          </a:xfrm>
          <a:prstGeom prst="roundRect">
            <a:avLst/>
          </a:prstGeom>
          <a:ln>
            <a:solidFill>
              <a:srgbClr val="DA0000"/>
            </a:solidFill>
          </a:ln>
          <a:effectLst/>
          <a:scene3d>
            <a:camera prst="orthographicFront">
              <a:rot lat="0" lon="0" rev="0"/>
            </a:camera>
            <a:lightRig rig="chilly" dir="t">
              <a:rot lat="0" lon="0" rev="18480000"/>
            </a:lightRig>
          </a:scene3d>
          <a:sp3d prstMaterial="clear">
            <a:bevelT h="63500"/>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1 Fi&amp;Fo</a:t>
            </a:r>
          </a:p>
        </xdr:txBody>
      </xdr:sp>
      <xdr:sp macro="" textlink="">
        <xdr:nvSpPr>
          <xdr:cNvPr id="27" name="Abgerundetes Rechteck 26">
            <a:hlinkClick xmlns:r="http://schemas.openxmlformats.org/officeDocument/2006/relationships" r:id="rId7"/>
          </xdr:cNvPr>
          <xdr:cNvSpPr/>
        </xdr:nvSpPr>
        <xdr:spPr>
          <a:xfrm>
            <a:off x="11008733" y="390526"/>
            <a:ext cx="718369"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2 I&amp;W</a:t>
            </a:r>
          </a:p>
        </xdr:txBody>
      </xdr:sp>
      <xdr:sp macro="" textlink="">
        <xdr:nvSpPr>
          <xdr:cNvPr id="28" name="Abgerundetes Rechteck 27">
            <a:hlinkClick xmlns:r="http://schemas.openxmlformats.org/officeDocument/2006/relationships" r:id="rId8"/>
          </xdr:cNvPr>
          <xdr:cNvSpPr/>
        </xdr:nvSpPr>
        <xdr:spPr>
          <a:xfrm>
            <a:off x="11008733" y="628651"/>
            <a:ext cx="718369"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2</a:t>
            </a:r>
            <a:r>
              <a:rPr lang="de-DE" sz="1000"/>
              <a:t> Fi&amp;Fo</a:t>
            </a:r>
          </a:p>
        </xdr:txBody>
      </xdr:sp>
      <xdr:sp macro="" textlink="">
        <xdr:nvSpPr>
          <xdr:cNvPr id="29" name="Abgerundetes Rechteck 28">
            <a:hlinkClick xmlns:r="http://schemas.openxmlformats.org/officeDocument/2006/relationships" r:id="rId9"/>
          </xdr:cNvPr>
          <xdr:cNvSpPr/>
        </xdr:nvSpPr>
        <xdr:spPr>
          <a:xfrm>
            <a:off x="11759599" y="390526"/>
            <a:ext cx="718368"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3 I&amp;W</a:t>
            </a:r>
          </a:p>
        </xdr:txBody>
      </xdr:sp>
      <xdr:sp macro="" textlink="">
        <xdr:nvSpPr>
          <xdr:cNvPr id="30" name="Abgerundetes Rechteck 29">
            <a:hlinkClick xmlns:r="http://schemas.openxmlformats.org/officeDocument/2006/relationships" r:id="rId10"/>
          </xdr:cNvPr>
          <xdr:cNvSpPr/>
        </xdr:nvSpPr>
        <xdr:spPr>
          <a:xfrm>
            <a:off x="11759599" y="628651"/>
            <a:ext cx="718368"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a:t>
            </a:r>
            <a:r>
              <a:rPr lang="de-DE" sz="1000"/>
              <a:t>3Fi&amp;Fo</a:t>
            </a:r>
          </a:p>
        </xdr:txBody>
      </xdr:sp>
      <xdr:sp macro="" textlink="">
        <xdr:nvSpPr>
          <xdr:cNvPr id="31" name="Abgerundetes Rechteck 30">
            <a:hlinkClick xmlns:r="http://schemas.openxmlformats.org/officeDocument/2006/relationships" r:id="rId11"/>
          </xdr:cNvPr>
          <xdr:cNvSpPr/>
        </xdr:nvSpPr>
        <xdr:spPr>
          <a:xfrm>
            <a:off x="12510464" y="390526"/>
            <a:ext cx="722605"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4 I&amp;W</a:t>
            </a:r>
          </a:p>
        </xdr:txBody>
      </xdr:sp>
      <xdr:sp macro="" textlink="">
        <xdr:nvSpPr>
          <xdr:cNvPr id="32" name="Abgerundetes Rechteck 31">
            <a:hlinkClick xmlns:r="http://schemas.openxmlformats.org/officeDocument/2006/relationships" r:id="rId12"/>
          </xdr:cNvPr>
          <xdr:cNvSpPr/>
        </xdr:nvSpPr>
        <xdr:spPr>
          <a:xfrm>
            <a:off x="12510464" y="628651"/>
            <a:ext cx="722605"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4</a:t>
            </a:r>
            <a:r>
              <a:rPr lang="de-DE" sz="1000"/>
              <a:t> Fi&amp;Fo</a:t>
            </a:r>
          </a:p>
        </xdr:txBody>
      </xdr:sp>
      <xdr:sp macro="" textlink="">
        <xdr:nvSpPr>
          <xdr:cNvPr id="33" name="Abgerundetes Rechteck 32">
            <a:hlinkClick xmlns:r="http://schemas.openxmlformats.org/officeDocument/2006/relationships" r:id="rId13"/>
          </xdr:cNvPr>
          <xdr:cNvSpPr/>
        </xdr:nvSpPr>
        <xdr:spPr>
          <a:xfrm>
            <a:off x="13265566" y="381001"/>
            <a:ext cx="718368"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 5 I&amp;W</a:t>
            </a:r>
          </a:p>
        </xdr:txBody>
      </xdr:sp>
      <xdr:sp macro="" textlink="">
        <xdr:nvSpPr>
          <xdr:cNvPr id="34" name="Abgerundetes Rechteck 33">
            <a:hlinkClick xmlns:r="http://schemas.openxmlformats.org/officeDocument/2006/relationships" r:id="rId14"/>
          </xdr:cNvPr>
          <xdr:cNvSpPr/>
        </xdr:nvSpPr>
        <xdr:spPr>
          <a:xfrm>
            <a:off x="13265566" y="619126"/>
            <a:ext cx="718368" cy="2160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de-DE" sz="1000"/>
              <a:t>V</a:t>
            </a:r>
            <a:r>
              <a:rPr lang="de-DE" sz="1000" baseline="0"/>
              <a:t> 5</a:t>
            </a:r>
            <a:r>
              <a:rPr lang="de-DE" sz="1000"/>
              <a:t> Fi&amp;Fo</a:t>
            </a:r>
          </a:p>
        </xdr:txBody>
      </xdr:sp>
    </xdr:grpSp>
    <xdr:clientData/>
  </xdr:twoCellAnchor>
  <xdr:twoCellAnchor editAs="oneCell">
    <xdr:from>
      <xdr:col>10</xdr:col>
      <xdr:colOff>666750</xdr:colOff>
      <xdr:row>2</xdr:row>
      <xdr:rowOff>152400</xdr:rowOff>
    </xdr:from>
    <xdr:to>
      <xdr:col>16</xdr:col>
      <xdr:colOff>469125</xdr:colOff>
      <xdr:row>7</xdr:row>
      <xdr:rowOff>20933</xdr:rowOff>
    </xdr:to>
    <xdr:pic>
      <xdr:nvPicPr>
        <xdr:cNvPr id="2" name="Grafik 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039100" y="1095375"/>
          <a:ext cx="5184000" cy="678158"/>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0.bin"/><Relationship Id="rId5" Type="http://schemas.openxmlformats.org/officeDocument/2006/relationships/comments" Target="../comments10.xml"/><Relationship Id="rId4" Type="http://schemas.openxmlformats.org/officeDocument/2006/relationships/ctrlProp" Target="../ctrlProps/ctrlProp8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2.bin"/><Relationship Id="rId5" Type="http://schemas.openxmlformats.org/officeDocument/2006/relationships/comments" Target="../comments12.xml"/><Relationship Id="rId4" Type="http://schemas.openxmlformats.org/officeDocument/2006/relationships/ctrlProp" Target="../ctrlProps/ctrlProp8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4.bin"/><Relationship Id="rId5" Type="http://schemas.openxmlformats.org/officeDocument/2006/relationships/comments" Target="../comments14.xml"/><Relationship Id="rId4" Type="http://schemas.openxmlformats.org/officeDocument/2006/relationships/ctrlProp" Target="../ctrlProps/ctrlProp8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3" Type="http://schemas.openxmlformats.org/officeDocument/2006/relationships/vmlDrawing" Target="../drawings/vmlDrawing3.v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 Type="http://schemas.openxmlformats.org/officeDocument/2006/relationships/drawing" Target="../drawings/drawing3.xml"/><Relationship Id="rId16" Type="http://schemas.openxmlformats.org/officeDocument/2006/relationships/ctrlProp" Target="../ctrlProps/ctrlProp14.xml"/><Relationship Id="rId20" Type="http://schemas.openxmlformats.org/officeDocument/2006/relationships/ctrlProp" Target="../ctrlProps/ctrlProp18.xml"/><Relationship Id="rId1" Type="http://schemas.openxmlformats.org/officeDocument/2006/relationships/printerSettings" Target="../printerSettings/printerSettings3.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omments" Target="../comments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2.xml"/><Relationship Id="rId13" Type="http://schemas.openxmlformats.org/officeDocument/2006/relationships/ctrlProp" Target="../ctrlProps/ctrlProp27.xml"/><Relationship Id="rId3" Type="http://schemas.openxmlformats.org/officeDocument/2006/relationships/printerSettings" Target="../printerSettings/printerSettings4.bin"/><Relationship Id="rId7" Type="http://schemas.openxmlformats.org/officeDocument/2006/relationships/ctrlProp" Target="../ctrlProps/ctrlProp21.xml"/><Relationship Id="rId12" Type="http://schemas.openxmlformats.org/officeDocument/2006/relationships/ctrlProp" Target="../ctrlProps/ctrlProp26.xml"/><Relationship Id="rId2" Type="http://schemas.openxmlformats.org/officeDocument/2006/relationships/hyperlink" Target="https://www.oib.or.at/sites/default/files/richtlinie_6_26.03.15.pdf" TargetMode="External"/><Relationship Id="rId1" Type="http://schemas.openxmlformats.org/officeDocument/2006/relationships/hyperlink" Target="https://www.energieinstitut.at/buerger/haustechnik-energieversorgung/energiepreise-im-vergleich/" TargetMode="External"/><Relationship Id="rId6" Type="http://schemas.openxmlformats.org/officeDocument/2006/relationships/ctrlProp" Target="../ctrlProps/ctrlProp20.xml"/><Relationship Id="rId11" Type="http://schemas.openxmlformats.org/officeDocument/2006/relationships/ctrlProp" Target="../ctrlProps/ctrlProp25.xml"/><Relationship Id="rId5" Type="http://schemas.openxmlformats.org/officeDocument/2006/relationships/vmlDrawing" Target="../drawings/vmlDrawing4.vml"/><Relationship Id="rId15" Type="http://schemas.openxmlformats.org/officeDocument/2006/relationships/comments" Target="../comments4.xml"/><Relationship Id="rId10" Type="http://schemas.openxmlformats.org/officeDocument/2006/relationships/ctrlProp" Target="../ctrlProps/ctrlProp24.xml"/><Relationship Id="rId4" Type="http://schemas.openxmlformats.org/officeDocument/2006/relationships/drawing" Target="../drawings/drawing6.xml"/><Relationship Id="rId9" Type="http://schemas.openxmlformats.org/officeDocument/2006/relationships/ctrlProp" Target="../ctrlProps/ctrlProp23.xml"/><Relationship Id="rId14" Type="http://schemas.openxmlformats.org/officeDocument/2006/relationships/ctrlProp" Target="../ctrlProps/ctrlProp28.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33.xml"/><Relationship Id="rId18" Type="http://schemas.openxmlformats.org/officeDocument/2006/relationships/ctrlProp" Target="../ctrlProps/ctrlProp38.xml"/><Relationship Id="rId26" Type="http://schemas.openxmlformats.org/officeDocument/2006/relationships/ctrlProp" Target="../ctrlProps/ctrlProp46.xml"/><Relationship Id="rId39" Type="http://schemas.openxmlformats.org/officeDocument/2006/relationships/ctrlProp" Target="../ctrlProps/ctrlProp59.xml"/><Relationship Id="rId21" Type="http://schemas.openxmlformats.org/officeDocument/2006/relationships/ctrlProp" Target="../ctrlProps/ctrlProp41.xml"/><Relationship Id="rId34" Type="http://schemas.openxmlformats.org/officeDocument/2006/relationships/ctrlProp" Target="../ctrlProps/ctrlProp54.xml"/><Relationship Id="rId42" Type="http://schemas.openxmlformats.org/officeDocument/2006/relationships/ctrlProp" Target="../ctrlProps/ctrlProp62.xml"/><Relationship Id="rId47" Type="http://schemas.openxmlformats.org/officeDocument/2006/relationships/ctrlProp" Target="../ctrlProps/ctrlProp67.xml"/><Relationship Id="rId50" Type="http://schemas.openxmlformats.org/officeDocument/2006/relationships/ctrlProp" Target="../ctrlProps/ctrlProp70.xml"/><Relationship Id="rId55" Type="http://schemas.openxmlformats.org/officeDocument/2006/relationships/ctrlProp" Target="../ctrlProps/ctrlProp75.xml"/><Relationship Id="rId63" Type="http://schemas.openxmlformats.org/officeDocument/2006/relationships/ctrlProp" Target="../ctrlProps/ctrlProp83.xml"/><Relationship Id="rId7" Type="http://schemas.openxmlformats.org/officeDocument/2006/relationships/drawing" Target="../drawings/drawing7.xml"/><Relationship Id="rId2" Type="http://schemas.openxmlformats.org/officeDocument/2006/relationships/hyperlink" Target="https://www.energieinstitut.at/tools/susi/" TargetMode="External"/><Relationship Id="rId16" Type="http://schemas.openxmlformats.org/officeDocument/2006/relationships/ctrlProp" Target="../ctrlProps/ctrlProp36.xml"/><Relationship Id="rId20" Type="http://schemas.openxmlformats.org/officeDocument/2006/relationships/ctrlProp" Target="../ctrlProps/ctrlProp40.xml"/><Relationship Id="rId29" Type="http://schemas.openxmlformats.org/officeDocument/2006/relationships/ctrlProp" Target="../ctrlProps/ctrlProp49.xml"/><Relationship Id="rId41" Type="http://schemas.openxmlformats.org/officeDocument/2006/relationships/ctrlProp" Target="../ctrlProps/ctrlProp61.xml"/><Relationship Id="rId54" Type="http://schemas.openxmlformats.org/officeDocument/2006/relationships/ctrlProp" Target="../ctrlProps/ctrlProp74.xml"/><Relationship Id="rId62" Type="http://schemas.openxmlformats.org/officeDocument/2006/relationships/ctrlProp" Target="../ctrlProps/ctrlProp82.xml"/><Relationship Id="rId1" Type="http://schemas.openxmlformats.org/officeDocument/2006/relationships/hyperlink" Target="https://www.energieinstitut.at/tools/susi/" TargetMode="External"/><Relationship Id="rId6" Type="http://schemas.openxmlformats.org/officeDocument/2006/relationships/printerSettings" Target="../printerSettings/printerSettings5.bin"/><Relationship Id="rId11" Type="http://schemas.openxmlformats.org/officeDocument/2006/relationships/ctrlProp" Target="../ctrlProps/ctrlProp31.xml"/><Relationship Id="rId24" Type="http://schemas.openxmlformats.org/officeDocument/2006/relationships/ctrlProp" Target="../ctrlProps/ctrlProp44.xml"/><Relationship Id="rId32" Type="http://schemas.openxmlformats.org/officeDocument/2006/relationships/ctrlProp" Target="../ctrlProps/ctrlProp52.xml"/><Relationship Id="rId37" Type="http://schemas.openxmlformats.org/officeDocument/2006/relationships/ctrlProp" Target="../ctrlProps/ctrlProp57.xml"/><Relationship Id="rId40" Type="http://schemas.openxmlformats.org/officeDocument/2006/relationships/ctrlProp" Target="../ctrlProps/ctrlProp60.xml"/><Relationship Id="rId45" Type="http://schemas.openxmlformats.org/officeDocument/2006/relationships/ctrlProp" Target="../ctrlProps/ctrlProp65.xml"/><Relationship Id="rId53" Type="http://schemas.openxmlformats.org/officeDocument/2006/relationships/ctrlProp" Target="../ctrlProps/ctrlProp73.xml"/><Relationship Id="rId58" Type="http://schemas.openxmlformats.org/officeDocument/2006/relationships/ctrlProp" Target="../ctrlProps/ctrlProp78.xml"/><Relationship Id="rId66" Type="http://schemas.openxmlformats.org/officeDocument/2006/relationships/comments" Target="../comments5.xml"/><Relationship Id="rId5" Type="http://schemas.openxmlformats.org/officeDocument/2006/relationships/hyperlink" Target="https://www.energieinstitut.at/tools/susi/" TargetMode="External"/><Relationship Id="rId15" Type="http://schemas.openxmlformats.org/officeDocument/2006/relationships/ctrlProp" Target="../ctrlProps/ctrlProp35.xml"/><Relationship Id="rId23" Type="http://schemas.openxmlformats.org/officeDocument/2006/relationships/ctrlProp" Target="../ctrlProps/ctrlProp43.xml"/><Relationship Id="rId28" Type="http://schemas.openxmlformats.org/officeDocument/2006/relationships/ctrlProp" Target="../ctrlProps/ctrlProp48.xml"/><Relationship Id="rId36" Type="http://schemas.openxmlformats.org/officeDocument/2006/relationships/ctrlProp" Target="../ctrlProps/ctrlProp56.xml"/><Relationship Id="rId49" Type="http://schemas.openxmlformats.org/officeDocument/2006/relationships/ctrlProp" Target="../ctrlProps/ctrlProp69.xml"/><Relationship Id="rId57" Type="http://schemas.openxmlformats.org/officeDocument/2006/relationships/ctrlProp" Target="../ctrlProps/ctrlProp77.xml"/><Relationship Id="rId61" Type="http://schemas.openxmlformats.org/officeDocument/2006/relationships/ctrlProp" Target="../ctrlProps/ctrlProp81.xml"/><Relationship Id="rId10" Type="http://schemas.openxmlformats.org/officeDocument/2006/relationships/ctrlProp" Target="../ctrlProps/ctrlProp30.xml"/><Relationship Id="rId19" Type="http://schemas.openxmlformats.org/officeDocument/2006/relationships/ctrlProp" Target="../ctrlProps/ctrlProp39.xml"/><Relationship Id="rId31" Type="http://schemas.openxmlformats.org/officeDocument/2006/relationships/ctrlProp" Target="../ctrlProps/ctrlProp51.xml"/><Relationship Id="rId44" Type="http://schemas.openxmlformats.org/officeDocument/2006/relationships/ctrlProp" Target="../ctrlProps/ctrlProp64.xml"/><Relationship Id="rId52" Type="http://schemas.openxmlformats.org/officeDocument/2006/relationships/ctrlProp" Target="../ctrlProps/ctrlProp72.xml"/><Relationship Id="rId60" Type="http://schemas.openxmlformats.org/officeDocument/2006/relationships/ctrlProp" Target="../ctrlProps/ctrlProp80.xml"/><Relationship Id="rId65" Type="http://schemas.openxmlformats.org/officeDocument/2006/relationships/ctrlProp" Target="../ctrlProps/ctrlProp85.xml"/><Relationship Id="rId4" Type="http://schemas.openxmlformats.org/officeDocument/2006/relationships/hyperlink" Target="https://www.energieinstitut.at/tools/susi/" TargetMode="Externa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 Id="rId27" Type="http://schemas.openxmlformats.org/officeDocument/2006/relationships/ctrlProp" Target="../ctrlProps/ctrlProp47.xml"/><Relationship Id="rId30" Type="http://schemas.openxmlformats.org/officeDocument/2006/relationships/ctrlProp" Target="../ctrlProps/ctrlProp50.xml"/><Relationship Id="rId35" Type="http://schemas.openxmlformats.org/officeDocument/2006/relationships/ctrlProp" Target="../ctrlProps/ctrlProp55.xml"/><Relationship Id="rId43" Type="http://schemas.openxmlformats.org/officeDocument/2006/relationships/ctrlProp" Target="../ctrlProps/ctrlProp63.xml"/><Relationship Id="rId48" Type="http://schemas.openxmlformats.org/officeDocument/2006/relationships/ctrlProp" Target="../ctrlProps/ctrlProp68.xml"/><Relationship Id="rId56" Type="http://schemas.openxmlformats.org/officeDocument/2006/relationships/ctrlProp" Target="../ctrlProps/ctrlProp76.xml"/><Relationship Id="rId64" Type="http://schemas.openxmlformats.org/officeDocument/2006/relationships/ctrlProp" Target="../ctrlProps/ctrlProp84.xml"/><Relationship Id="rId8" Type="http://schemas.openxmlformats.org/officeDocument/2006/relationships/vmlDrawing" Target="../drawings/vmlDrawing5.vml"/><Relationship Id="rId51" Type="http://schemas.openxmlformats.org/officeDocument/2006/relationships/ctrlProp" Target="../ctrlProps/ctrlProp71.xml"/><Relationship Id="rId3" Type="http://schemas.openxmlformats.org/officeDocument/2006/relationships/hyperlink" Target="https://www.energieinstitut.at/tools/susi/" TargetMode="External"/><Relationship Id="rId12" Type="http://schemas.openxmlformats.org/officeDocument/2006/relationships/ctrlProp" Target="../ctrlProps/ctrlProp32.xml"/><Relationship Id="rId17" Type="http://schemas.openxmlformats.org/officeDocument/2006/relationships/ctrlProp" Target="../ctrlProps/ctrlProp37.xml"/><Relationship Id="rId25" Type="http://schemas.openxmlformats.org/officeDocument/2006/relationships/ctrlProp" Target="../ctrlProps/ctrlProp45.xml"/><Relationship Id="rId33" Type="http://schemas.openxmlformats.org/officeDocument/2006/relationships/ctrlProp" Target="../ctrlProps/ctrlProp53.xml"/><Relationship Id="rId38" Type="http://schemas.openxmlformats.org/officeDocument/2006/relationships/ctrlProp" Target="../ctrlProps/ctrlProp58.xml"/><Relationship Id="rId46" Type="http://schemas.openxmlformats.org/officeDocument/2006/relationships/ctrlProp" Target="../ctrlProps/ctrlProp66.xml"/><Relationship Id="rId59" Type="http://schemas.openxmlformats.org/officeDocument/2006/relationships/ctrlProp" Target="../ctrlProps/ctrlProp7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5" Type="http://schemas.openxmlformats.org/officeDocument/2006/relationships/comments" Target="../comments8.xml"/><Relationship Id="rId4" Type="http://schemas.openxmlformats.org/officeDocument/2006/relationships/ctrlProp" Target="../ctrlProps/ctrlProp8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theme="2" tint="-0.749992370372631"/>
    <pageSetUpPr fitToPage="1"/>
  </sheetPr>
  <dimension ref="A1:AB751"/>
  <sheetViews>
    <sheetView showFormulas="1" showGridLines="0" showRowColHeaders="0" showZeros="0" zoomScaleNormal="100" workbookViewId="0">
      <pane ySplit="12" topLeftCell="A13" activePane="bottomLeft" state="frozen"/>
      <selection pane="bottomLeft" activeCell="O8" sqref="O8"/>
    </sheetView>
  </sheetViews>
  <sheetFormatPr baseColWidth="10" defaultRowHeight="11.25" x14ac:dyDescent="0.25"/>
  <cols>
    <col min="1" max="1" width="1.42578125" style="300" customWidth="1"/>
    <col min="2" max="2" width="1.7109375" style="300" customWidth="1"/>
    <col min="3" max="3" width="1.140625" style="300" customWidth="1"/>
    <col min="4" max="26" width="3.7109375" style="300" customWidth="1"/>
    <col min="27" max="27" width="2.7109375" style="300" customWidth="1"/>
    <col min="28" max="28" width="1.7109375" style="300" customWidth="1"/>
    <col min="29" max="16384" width="11.42578125" style="300"/>
  </cols>
  <sheetData>
    <row r="1" spans="1:28" ht="24.95" customHeight="1" x14ac:dyDescent="0.25">
      <c r="A1" s="302"/>
      <c r="B1" s="1460" t="s">
        <v>436</v>
      </c>
      <c r="C1" s="1460"/>
      <c r="D1" s="1460"/>
      <c r="E1" s="1460"/>
      <c r="F1" s="1460"/>
      <c r="G1" s="1460"/>
      <c r="H1" s="1460"/>
      <c r="I1" s="1460"/>
      <c r="J1" s="1460"/>
      <c r="K1" s="1460"/>
      <c r="L1" s="1460"/>
      <c r="M1" s="1460"/>
      <c r="N1" s="1460"/>
      <c r="O1" s="1460"/>
      <c r="P1" s="1460"/>
      <c r="Q1" s="1460"/>
      <c r="R1" s="1460"/>
      <c r="S1" s="1460"/>
      <c r="T1" s="1460"/>
      <c r="U1" s="1460"/>
      <c r="V1" s="1460"/>
      <c r="W1" s="1460"/>
      <c r="X1" s="1460"/>
      <c r="Y1" s="1460"/>
      <c r="Z1" s="1460"/>
      <c r="AA1" s="1460"/>
      <c r="AB1" s="636" t="s">
        <v>778</v>
      </c>
    </row>
    <row r="2" spans="1:28" ht="33" customHeight="1" x14ac:dyDescent="0.2">
      <c r="A2" s="301"/>
      <c r="B2" s="1459"/>
      <c r="C2" s="1459"/>
      <c r="D2" s="1459"/>
      <c r="E2" s="1459"/>
      <c r="F2" s="1459"/>
      <c r="G2" s="1459"/>
      <c r="H2" s="1459"/>
      <c r="I2" s="1459"/>
      <c r="J2" s="1459"/>
      <c r="K2" s="1459"/>
      <c r="L2" s="1459"/>
      <c r="M2" s="1459"/>
      <c r="N2" s="1459"/>
      <c r="O2" s="1459"/>
      <c r="P2" s="1459"/>
      <c r="Q2" s="1459"/>
      <c r="R2" s="1459"/>
      <c r="S2" s="1459"/>
      <c r="T2" s="1459"/>
      <c r="U2" s="1459"/>
      <c r="V2" s="1459"/>
      <c r="W2" s="1459"/>
      <c r="X2" s="1459"/>
      <c r="Y2" s="1459"/>
      <c r="Z2" s="1459"/>
      <c r="AA2" s="1459"/>
      <c r="AB2" s="301"/>
    </row>
    <row r="3" spans="1:28" ht="19.5" customHeight="1" x14ac:dyDescent="0.2">
      <c r="A3" s="301"/>
      <c r="B3" s="1459"/>
      <c r="C3" s="1459"/>
      <c r="D3" s="1459"/>
      <c r="E3" s="1459"/>
      <c r="F3" s="1459"/>
      <c r="G3" s="1459"/>
      <c r="H3" s="1459"/>
      <c r="I3" s="1459"/>
      <c r="J3" s="1459"/>
      <c r="K3" s="1459"/>
      <c r="L3" s="1459"/>
      <c r="M3" s="1459"/>
      <c r="N3" s="1459"/>
      <c r="O3" s="1459"/>
      <c r="P3" s="1459"/>
      <c r="Q3" s="1459"/>
      <c r="R3" s="1459"/>
      <c r="S3" s="1459"/>
      <c r="T3" s="1459"/>
      <c r="U3" s="1459"/>
      <c r="V3" s="1459"/>
      <c r="W3" s="1459"/>
      <c r="X3" s="1459"/>
      <c r="Y3" s="1459"/>
      <c r="Z3" s="1459"/>
      <c r="AA3" s="1459"/>
      <c r="AB3" s="301"/>
    </row>
    <row r="4" spans="1:28" ht="12.95" customHeight="1" x14ac:dyDescent="0.2">
      <c r="A4" s="301"/>
      <c r="B4" s="436"/>
      <c r="C4" s="436"/>
      <c r="D4" s="436"/>
      <c r="E4" s="436"/>
      <c r="F4" s="436"/>
      <c r="G4" s="436"/>
      <c r="H4" s="436"/>
      <c r="I4" s="436"/>
      <c r="J4" s="436"/>
      <c r="K4" s="436"/>
      <c r="L4" s="436"/>
      <c r="M4" s="436"/>
      <c r="N4" s="436"/>
      <c r="O4" s="436"/>
      <c r="P4" s="436"/>
      <c r="Q4" s="436"/>
      <c r="R4" s="436"/>
      <c r="S4" s="436"/>
      <c r="T4" s="436"/>
      <c r="U4" s="436"/>
      <c r="V4" s="436"/>
      <c r="W4" s="436"/>
      <c r="X4" s="436"/>
      <c r="Y4" s="436"/>
      <c r="Z4" s="436"/>
      <c r="AA4" s="436"/>
      <c r="AB4" s="301"/>
    </row>
    <row r="5" spans="1:28" ht="12.95" customHeight="1" x14ac:dyDescent="0.2">
      <c r="A5" s="301"/>
      <c r="B5" s="436"/>
      <c r="C5" s="436"/>
      <c r="D5" s="436"/>
      <c r="E5" s="436"/>
      <c r="F5" s="436"/>
      <c r="G5" s="436"/>
      <c r="H5" s="436"/>
      <c r="I5" s="436"/>
      <c r="J5" s="436"/>
      <c r="K5" s="436"/>
      <c r="L5" s="436"/>
      <c r="M5" s="436"/>
      <c r="N5" s="436"/>
      <c r="O5" s="436"/>
      <c r="P5" s="436"/>
      <c r="Q5" s="436"/>
      <c r="R5" s="436"/>
      <c r="S5" s="436"/>
      <c r="T5" s="436"/>
      <c r="U5" s="436"/>
      <c r="V5" s="436"/>
      <c r="W5" s="436"/>
      <c r="X5" s="436"/>
      <c r="Y5" s="436"/>
      <c r="Z5" s="436"/>
      <c r="AA5" s="436"/>
      <c r="AB5" s="301"/>
    </row>
    <row r="6" spans="1:28" ht="12.95" customHeight="1" x14ac:dyDescent="0.2">
      <c r="A6" s="301"/>
      <c r="B6" s="436"/>
      <c r="C6" s="436"/>
      <c r="D6" s="436"/>
      <c r="E6" s="436"/>
      <c r="F6" s="436"/>
      <c r="G6" s="436"/>
      <c r="H6" s="436"/>
      <c r="I6" s="436"/>
      <c r="J6" s="436"/>
      <c r="K6" s="436"/>
      <c r="L6" s="436"/>
      <c r="M6" s="436"/>
      <c r="N6" s="436"/>
      <c r="O6" s="436"/>
      <c r="P6" s="436"/>
      <c r="Q6" s="436"/>
      <c r="R6" s="436"/>
      <c r="S6" s="436"/>
      <c r="T6" s="436"/>
      <c r="U6" s="436"/>
      <c r="V6" s="436"/>
      <c r="W6" s="436"/>
      <c r="X6" s="436"/>
      <c r="Y6" s="436"/>
      <c r="Z6" s="436"/>
      <c r="AA6" s="436"/>
      <c r="AB6" s="301"/>
    </row>
    <row r="7" spans="1:28" ht="12.95" customHeight="1" x14ac:dyDescent="0.2">
      <c r="A7" s="301"/>
      <c r="B7" s="436"/>
      <c r="C7" s="436"/>
      <c r="D7" s="436"/>
      <c r="E7" s="436"/>
      <c r="F7" s="436"/>
      <c r="G7" s="436"/>
      <c r="H7" s="436"/>
      <c r="I7" s="436"/>
      <c r="J7" s="436"/>
      <c r="K7" s="436"/>
      <c r="L7" s="436"/>
      <c r="M7" s="436"/>
      <c r="N7" s="436"/>
      <c r="O7" s="436"/>
      <c r="P7" s="436"/>
      <c r="Q7" s="436"/>
      <c r="R7" s="436"/>
      <c r="S7" s="436"/>
      <c r="T7" s="436"/>
      <c r="U7" s="436"/>
      <c r="V7" s="436"/>
      <c r="W7" s="436"/>
      <c r="X7" s="436"/>
      <c r="Y7" s="436"/>
      <c r="Z7" s="436"/>
      <c r="AA7" s="436"/>
      <c r="AB7" s="301"/>
    </row>
    <row r="8" spans="1:28" ht="12.95" customHeight="1" x14ac:dyDescent="0.2">
      <c r="A8" s="301"/>
      <c r="B8" s="436"/>
      <c r="C8" s="436"/>
      <c r="D8" s="436"/>
      <c r="E8" s="436"/>
      <c r="F8" s="436"/>
      <c r="G8" s="436"/>
      <c r="H8" s="436"/>
      <c r="I8" s="436"/>
      <c r="J8" s="436"/>
      <c r="K8" s="436"/>
      <c r="L8" s="436"/>
      <c r="M8" s="436"/>
      <c r="N8" s="436"/>
      <c r="O8" s="436"/>
      <c r="P8" s="436"/>
      <c r="Q8" s="436"/>
      <c r="R8" s="436"/>
      <c r="S8" s="436"/>
      <c r="T8" s="436"/>
      <c r="U8" s="436"/>
      <c r="V8" s="436"/>
      <c r="W8" s="436"/>
      <c r="X8" s="436"/>
      <c r="Y8" s="436"/>
      <c r="Z8" s="436"/>
      <c r="AA8" s="436"/>
      <c r="AB8" s="301"/>
    </row>
    <row r="9" spans="1:28" ht="12.95" customHeight="1" x14ac:dyDescent="0.2">
      <c r="A9" s="301"/>
      <c r="B9" s="436"/>
      <c r="C9" s="436"/>
      <c r="D9" s="436"/>
      <c r="E9" s="436"/>
      <c r="F9" s="436"/>
      <c r="G9" s="436"/>
      <c r="H9" s="436"/>
      <c r="I9" s="436"/>
      <c r="J9" s="436"/>
      <c r="K9" s="436"/>
      <c r="L9" s="436"/>
      <c r="M9" s="436"/>
      <c r="N9" s="436"/>
      <c r="O9" s="436"/>
      <c r="P9" s="436"/>
      <c r="Q9" s="436"/>
      <c r="R9" s="436"/>
      <c r="S9" s="436"/>
      <c r="T9" s="436"/>
      <c r="U9" s="436"/>
      <c r="V9" s="436"/>
      <c r="W9" s="436"/>
      <c r="X9" s="436"/>
      <c r="Y9" s="436"/>
      <c r="Z9" s="436"/>
      <c r="AA9" s="436"/>
      <c r="AB9" s="301"/>
    </row>
    <row r="10" spans="1:28" ht="12.95" customHeight="1" x14ac:dyDescent="0.2">
      <c r="A10" s="301"/>
      <c r="B10" s="436"/>
      <c r="C10" s="436"/>
      <c r="D10" s="436"/>
      <c r="E10" s="436"/>
      <c r="F10" s="436"/>
      <c r="G10" s="436"/>
      <c r="H10" s="436"/>
      <c r="I10" s="436"/>
      <c r="J10" s="436"/>
      <c r="K10" s="436"/>
      <c r="L10" s="436"/>
      <c r="M10" s="436"/>
      <c r="N10" s="436"/>
      <c r="O10" s="436"/>
      <c r="P10" s="436"/>
      <c r="Q10" s="436"/>
      <c r="R10" s="436"/>
      <c r="S10" s="436"/>
      <c r="T10" s="436"/>
      <c r="U10" s="436"/>
      <c r="V10" s="436"/>
      <c r="W10" s="436"/>
      <c r="X10" s="436"/>
      <c r="Y10" s="436"/>
      <c r="Z10" s="436"/>
      <c r="AA10" s="436"/>
      <c r="AB10" s="301"/>
    </row>
    <row r="11" spans="1:28" ht="12.95" customHeight="1" x14ac:dyDescent="0.2">
      <c r="A11" s="301"/>
      <c r="B11" s="436"/>
      <c r="C11" s="436"/>
      <c r="D11" s="436"/>
      <c r="E11" s="436"/>
      <c r="F11" s="436"/>
      <c r="G11" s="436"/>
      <c r="H11" s="436"/>
      <c r="I11" s="436"/>
      <c r="J11" s="436"/>
      <c r="K11" s="436"/>
      <c r="L11" s="436"/>
      <c r="M11" s="436"/>
      <c r="N11" s="436"/>
      <c r="O11" s="436"/>
      <c r="P11" s="436"/>
      <c r="Q11" s="436"/>
      <c r="R11" s="436"/>
      <c r="S11" s="436"/>
      <c r="T11" s="436"/>
      <c r="U11" s="436"/>
      <c r="V11" s="436"/>
      <c r="W11" s="436"/>
      <c r="X11" s="436"/>
      <c r="Y11" s="436"/>
      <c r="Z11" s="436"/>
      <c r="AA11" s="436"/>
      <c r="AB11" s="301"/>
    </row>
    <row r="12" spans="1:28" ht="12.95" customHeight="1" x14ac:dyDescent="0.2">
      <c r="A12" s="301"/>
      <c r="B12" s="436"/>
      <c r="C12" s="436"/>
      <c r="D12" s="436"/>
      <c r="E12" s="436"/>
      <c r="F12" s="436"/>
      <c r="G12" s="436"/>
      <c r="H12" s="436"/>
      <c r="I12" s="436"/>
      <c r="J12" s="436"/>
      <c r="K12" s="436"/>
      <c r="L12" s="436"/>
      <c r="M12" s="436"/>
      <c r="N12" s="436"/>
      <c r="O12" s="436"/>
      <c r="P12" s="436"/>
      <c r="Q12" s="436"/>
      <c r="R12" s="436"/>
      <c r="S12" s="436"/>
      <c r="T12" s="436"/>
      <c r="U12" s="436"/>
      <c r="V12" s="436"/>
      <c r="W12" s="436"/>
      <c r="X12" s="436"/>
      <c r="Y12" s="436"/>
      <c r="Z12" s="436"/>
      <c r="AA12" s="436"/>
      <c r="AB12" s="301"/>
    </row>
    <row r="13" spans="1:28" ht="19.5" customHeight="1" x14ac:dyDescent="0.2">
      <c r="A13" s="301"/>
      <c r="B13" s="1459"/>
      <c r="C13" s="1459"/>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301"/>
    </row>
    <row r="14" spans="1:28" ht="19.5" customHeight="1" x14ac:dyDescent="0.2">
      <c r="A14" s="301"/>
      <c r="B14" s="1459"/>
      <c r="C14" s="1459"/>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301"/>
    </row>
    <row r="15" spans="1:28" ht="12.95" customHeight="1" x14ac:dyDescent="0.2">
      <c r="A15" s="301"/>
      <c r="B15" s="436"/>
      <c r="C15" s="436"/>
      <c r="D15" s="436"/>
      <c r="E15" s="436"/>
      <c r="F15" s="436"/>
      <c r="G15" s="436"/>
      <c r="H15" s="436"/>
      <c r="I15" s="436"/>
      <c r="J15" s="436"/>
      <c r="K15" s="436"/>
      <c r="L15" s="436"/>
      <c r="M15" s="436"/>
      <c r="N15" s="436"/>
      <c r="O15" s="436"/>
      <c r="P15" s="436"/>
      <c r="Q15" s="436"/>
      <c r="R15" s="436"/>
      <c r="S15" s="436"/>
      <c r="T15" s="436"/>
      <c r="U15" s="436"/>
      <c r="V15" s="436"/>
      <c r="W15" s="436"/>
      <c r="X15" s="436"/>
      <c r="Y15" s="436"/>
      <c r="Z15" s="436"/>
      <c r="AA15" s="436"/>
      <c r="AB15" s="301"/>
    </row>
    <row r="16" spans="1:28" ht="12.95" customHeight="1" x14ac:dyDescent="0.2">
      <c r="A16" s="301"/>
      <c r="B16" s="436"/>
      <c r="C16" s="436"/>
      <c r="D16" s="336"/>
      <c r="E16" s="436"/>
      <c r="F16" s="436"/>
      <c r="G16" s="436"/>
      <c r="H16" s="436"/>
      <c r="I16" s="436"/>
      <c r="J16" s="436"/>
      <c r="K16" s="436"/>
      <c r="L16" s="436"/>
      <c r="M16" s="436"/>
      <c r="N16" s="436"/>
      <c r="O16" s="436"/>
      <c r="P16" s="436"/>
      <c r="Q16" s="436"/>
      <c r="R16" s="436"/>
      <c r="S16" s="436"/>
      <c r="T16" s="436"/>
      <c r="U16" s="436"/>
      <c r="V16" s="436"/>
      <c r="W16" s="436"/>
      <c r="X16" s="436"/>
      <c r="Y16" s="436"/>
      <c r="Z16" s="436"/>
      <c r="AA16" s="436"/>
      <c r="AB16" s="301"/>
    </row>
    <row r="17" spans="1:28" ht="12.95" customHeight="1" x14ac:dyDescent="0.2">
      <c r="A17" s="301"/>
      <c r="B17" s="436"/>
      <c r="C17" s="436"/>
      <c r="D17" s="336"/>
      <c r="E17" s="436"/>
      <c r="F17" s="436"/>
      <c r="G17" s="436"/>
      <c r="H17" s="436"/>
      <c r="I17" s="436"/>
      <c r="J17" s="436"/>
      <c r="K17" s="436"/>
      <c r="L17" s="436"/>
      <c r="M17" s="436"/>
      <c r="N17" s="436"/>
      <c r="O17" s="436"/>
      <c r="P17" s="436"/>
      <c r="Q17" s="436"/>
      <c r="R17" s="436"/>
      <c r="S17" s="436"/>
      <c r="T17" s="436"/>
      <c r="U17" s="436"/>
      <c r="V17" s="436"/>
      <c r="W17" s="436"/>
      <c r="X17" s="436"/>
      <c r="Y17" s="436"/>
      <c r="Z17" s="436"/>
      <c r="AA17" s="436"/>
      <c r="AB17" s="301"/>
    </row>
    <row r="18" spans="1:28" ht="12.95" customHeight="1" x14ac:dyDescent="0.2">
      <c r="A18" s="301"/>
      <c r="B18" s="436"/>
      <c r="C18" s="436"/>
      <c r="D18" s="336"/>
      <c r="E18" s="436"/>
      <c r="F18" s="436"/>
      <c r="G18" s="436"/>
      <c r="H18" s="436"/>
      <c r="I18" s="436"/>
      <c r="J18" s="436"/>
      <c r="K18" s="436"/>
      <c r="L18" s="436"/>
      <c r="M18" s="436"/>
      <c r="N18" s="436"/>
      <c r="O18" s="436"/>
      <c r="P18" s="436"/>
      <c r="Q18" s="436"/>
      <c r="R18" s="436"/>
      <c r="S18" s="436"/>
      <c r="T18" s="436"/>
      <c r="U18" s="436"/>
      <c r="V18" s="436"/>
      <c r="W18" s="436"/>
      <c r="X18" s="436"/>
      <c r="Y18" s="436"/>
      <c r="Z18" s="436"/>
      <c r="AA18" s="436"/>
      <c r="AB18" s="301"/>
    </row>
    <row r="19" spans="1:28" ht="12.95" customHeight="1" x14ac:dyDescent="0.2">
      <c r="A19" s="301"/>
      <c r="B19" s="436"/>
      <c r="C19" s="436"/>
      <c r="D19" s="336"/>
      <c r="E19" s="436"/>
      <c r="F19" s="436"/>
      <c r="G19" s="436"/>
      <c r="H19" s="436"/>
      <c r="I19" s="436"/>
      <c r="J19" s="436"/>
      <c r="K19" s="436"/>
      <c r="L19" s="436"/>
      <c r="M19" s="436"/>
      <c r="N19" s="436"/>
      <c r="O19" s="436"/>
      <c r="P19" s="436"/>
      <c r="Q19" s="436"/>
      <c r="R19" s="436"/>
      <c r="S19" s="436"/>
      <c r="T19" s="436"/>
      <c r="U19" s="436"/>
      <c r="V19" s="436"/>
      <c r="W19" s="436"/>
      <c r="X19" s="436"/>
      <c r="Y19" s="436"/>
      <c r="Z19" s="436"/>
      <c r="AA19" s="436"/>
      <c r="AB19" s="301"/>
    </row>
    <row r="20" spans="1:28" ht="12.95" customHeight="1" x14ac:dyDescent="0.2">
      <c r="A20" s="301"/>
      <c r="B20" s="436"/>
      <c r="C20" s="436"/>
      <c r="D20" s="336"/>
      <c r="E20" s="436"/>
      <c r="F20" s="436"/>
      <c r="G20" s="436"/>
      <c r="H20" s="436"/>
      <c r="I20" s="436"/>
      <c r="J20" s="436"/>
      <c r="K20" s="436"/>
      <c r="L20" s="436"/>
      <c r="M20" s="436"/>
      <c r="N20" s="436"/>
      <c r="O20" s="436"/>
      <c r="P20" s="436"/>
      <c r="Q20" s="436"/>
      <c r="R20" s="436"/>
      <c r="S20" s="436"/>
      <c r="T20" s="436"/>
      <c r="U20" s="436"/>
      <c r="V20" s="436"/>
      <c r="W20" s="436"/>
      <c r="X20" s="436"/>
      <c r="Y20" s="436"/>
      <c r="Z20" s="436"/>
      <c r="AA20" s="436"/>
      <c r="AB20" s="301"/>
    </row>
    <row r="21" spans="1:28" ht="12.95" customHeight="1" x14ac:dyDescent="0.2">
      <c r="A21" s="301"/>
      <c r="B21" s="436"/>
      <c r="C21" s="436"/>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36"/>
      <c r="AB21" s="301"/>
    </row>
    <row r="22" spans="1:28" ht="12.95" customHeight="1" x14ac:dyDescent="0.2">
      <c r="A22" s="301"/>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301"/>
    </row>
    <row r="23" spans="1:28" ht="12.95" customHeight="1" x14ac:dyDescent="0.2">
      <c r="A23" s="301"/>
      <c r="B23" s="436"/>
      <c r="C23" s="436"/>
      <c r="D23" s="436"/>
      <c r="E23" s="436"/>
      <c r="F23" s="436"/>
      <c r="G23" s="436"/>
      <c r="H23" s="436"/>
      <c r="I23" s="436"/>
      <c r="J23" s="436"/>
      <c r="K23" s="436"/>
      <c r="L23" s="436"/>
      <c r="M23" s="436"/>
      <c r="N23" s="436"/>
      <c r="O23" s="436"/>
      <c r="P23" s="436"/>
      <c r="Q23" s="436"/>
      <c r="R23" s="436"/>
      <c r="S23" s="436"/>
      <c r="T23" s="436"/>
      <c r="U23" s="436"/>
      <c r="V23" s="436"/>
      <c r="W23" s="436"/>
      <c r="X23" s="436"/>
      <c r="Y23" s="436"/>
      <c r="Z23" s="436"/>
      <c r="AA23" s="436"/>
      <c r="AB23" s="301"/>
    </row>
    <row r="24" spans="1:28" ht="12.95" customHeight="1" x14ac:dyDescent="0.2">
      <c r="A24" s="301"/>
      <c r="B24" s="436"/>
      <c r="C24" s="436"/>
      <c r="D24" s="436"/>
      <c r="E24" s="436"/>
      <c r="F24" s="436"/>
      <c r="G24" s="436"/>
      <c r="H24" s="436"/>
      <c r="I24" s="436"/>
      <c r="J24" s="436"/>
      <c r="K24" s="436"/>
      <c r="L24" s="436"/>
      <c r="M24" s="436"/>
      <c r="N24" s="436"/>
      <c r="O24" s="436"/>
      <c r="P24" s="436"/>
      <c r="Q24" s="436"/>
      <c r="R24" s="436"/>
      <c r="S24" s="436"/>
      <c r="T24" s="436"/>
      <c r="U24" s="436"/>
      <c r="V24" s="436"/>
      <c r="W24" s="436"/>
      <c r="X24" s="436"/>
      <c r="Y24" s="436"/>
      <c r="Z24" s="436"/>
      <c r="AA24" s="436"/>
      <c r="AB24" s="301"/>
    </row>
    <row r="25" spans="1:28" ht="12.95" customHeight="1" x14ac:dyDescent="0.2">
      <c r="A25" s="301"/>
      <c r="B25" s="436"/>
      <c r="C25" s="436"/>
      <c r="D25" s="436"/>
      <c r="E25" s="436"/>
      <c r="F25" s="436"/>
      <c r="G25" s="436"/>
      <c r="H25" s="436"/>
      <c r="I25" s="436"/>
      <c r="J25" s="436"/>
      <c r="K25" s="436"/>
      <c r="L25" s="436"/>
      <c r="M25" s="436"/>
      <c r="N25" s="436"/>
      <c r="O25" s="436"/>
      <c r="P25" s="436"/>
      <c r="Q25" s="436"/>
      <c r="R25" s="436"/>
      <c r="S25" s="436"/>
      <c r="T25" s="436"/>
      <c r="U25" s="436"/>
      <c r="V25" s="436"/>
      <c r="W25" s="436"/>
      <c r="X25" s="436"/>
      <c r="Y25" s="436"/>
      <c r="Z25" s="436"/>
      <c r="AA25" s="436"/>
      <c r="AB25" s="301"/>
    </row>
    <row r="26" spans="1:28" ht="12.95" customHeight="1" x14ac:dyDescent="0.2">
      <c r="A26" s="301"/>
      <c r="B26" s="436"/>
      <c r="C26" s="436"/>
      <c r="D26" s="436"/>
      <c r="E26" s="436"/>
      <c r="F26" s="436"/>
      <c r="G26" s="436"/>
      <c r="H26" s="436"/>
      <c r="I26" s="436"/>
      <c r="J26" s="436"/>
      <c r="K26" s="436"/>
      <c r="L26" s="436"/>
      <c r="M26" s="436"/>
      <c r="N26" s="436"/>
      <c r="O26" s="436"/>
      <c r="P26" s="436"/>
      <c r="Q26" s="436"/>
      <c r="R26" s="436"/>
      <c r="S26" s="436"/>
      <c r="T26" s="436"/>
      <c r="U26" s="436"/>
      <c r="V26" s="436"/>
      <c r="W26" s="436"/>
      <c r="X26" s="436"/>
      <c r="Y26" s="436"/>
      <c r="Z26" s="436"/>
      <c r="AA26" s="436"/>
      <c r="AB26" s="301"/>
    </row>
    <row r="27" spans="1:28" ht="19.5" customHeight="1" x14ac:dyDescent="0.2">
      <c r="A27" s="301"/>
      <c r="B27" s="1459"/>
      <c r="C27" s="1459"/>
      <c r="D27" s="1459"/>
      <c r="E27" s="1459"/>
      <c r="F27" s="1459"/>
      <c r="G27" s="1459"/>
      <c r="H27" s="1459"/>
      <c r="I27" s="1459"/>
      <c r="J27" s="1459"/>
      <c r="K27" s="1459"/>
      <c r="L27" s="1459"/>
      <c r="M27" s="1459"/>
      <c r="N27" s="1459"/>
      <c r="O27" s="1459"/>
      <c r="P27" s="1459"/>
      <c r="Q27" s="1459"/>
      <c r="R27" s="1459"/>
      <c r="S27" s="1459"/>
      <c r="T27" s="1459"/>
      <c r="U27" s="1459"/>
      <c r="V27" s="1459"/>
      <c r="W27" s="1459"/>
      <c r="X27" s="1459"/>
      <c r="Y27" s="1459"/>
      <c r="Z27" s="1459"/>
      <c r="AA27" s="1459"/>
      <c r="AB27" s="301"/>
    </row>
    <row r="28" spans="1:28" ht="19.5" customHeight="1" x14ac:dyDescent="0.2">
      <c r="A28" s="301"/>
      <c r="B28" s="1459"/>
      <c r="C28" s="1459"/>
      <c r="D28" s="1459"/>
      <c r="E28" s="1459"/>
      <c r="F28" s="1459"/>
      <c r="G28" s="1459"/>
      <c r="H28" s="1459"/>
      <c r="I28" s="1459"/>
      <c r="J28" s="1166"/>
      <c r="K28" s="1166"/>
      <c r="L28" s="1166"/>
      <c r="M28" s="1166"/>
      <c r="N28" s="1166"/>
      <c r="O28" s="1166"/>
      <c r="P28" s="1166"/>
      <c r="Q28" s="1166"/>
      <c r="R28" s="1166"/>
      <c r="S28" s="1166"/>
      <c r="T28" s="1166"/>
      <c r="U28" s="1166"/>
      <c r="V28" s="1166"/>
      <c r="W28" s="1166"/>
      <c r="X28" s="1166"/>
      <c r="Y28" s="1166"/>
      <c r="Z28" s="1166"/>
      <c r="AA28" s="1166"/>
      <c r="AB28" s="301"/>
    </row>
    <row r="29" spans="1:28" ht="12.95" customHeight="1" x14ac:dyDescent="0.2">
      <c r="A29" s="301"/>
      <c r="B29" s="436"/>
      <c r="C29" s="436"/>
      <c r="D29" s="436"/>
      <c r="E29" s="436"/>
      <c r="F29" s="436"/>
      <c r="G29" s="436"/>
      <c r="H29" s="436"/>
      <c r="I29" s="436"/>
      <c r="J29" s="436"/>
      <c r="K29" s="436"/>
      <c r="L29" s="436"/>
      <c r="M29" s="436"/>
      <c r="N29" s="436"/>
      <c r="O29" s="436"/>
      <c r="P29" s="436"/>
      <c r="Q29" s="436"/>
      <c r="R29" s="436"/>
      <c r="S29" s="436"/>
      <c r="T29" s="436"/>
      <c r="U29" s="436"/>
      <c r="V29" s="436"/>
      <c r="W29" s="436"/>
      <c r="X29" s="436"/>
      <c r="Y29" s="436"/>
      <c r="Z29" s="436"/>
      <c r="AA29" s="436"/>
      <c r="AB29" s="301"/>
    </row>
    <row r="30" spans="1:28" ht="12.95" customHeight="1" x14ac:dyDescent="0.2">
      <c r="A30" s="301"/>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301"/>
    </row>
    <row r="31" spans="1:28" ht="12.95" customHeight="1" x14ac:dyDescent="0.2">
      <c r="A31" s="301"/>
      <c r="B31" s="436"/>
      <c r="C31" s="436"/>
      <c r="D31" s="436"/>
      <c r="E31" s="436"/>
      <c r="F31" s="436"/>
      <c r="G31" s="436"/>
      <c r="H31" s="436"/>
      <c r="I31" s="436"/>
      <c r="J31" s="436"/>
      <c r="K31" s="436"/>
      <c r="L31" s="436"/>
      <c r="M31" s="436"/>
      <c r="N31" s="436"/>
      <c r="O31" s="436"/>
      <c r="P31" s="436"/>
      <c r="Q31" s="436"/>
      <c r="R31" s="436"/>
      <c r="S31" s="436"/>
      <c r="T31" s="436"/>
      <c r="U31" s="436"/>
      <c r="V31" s="436"/>
      <c r="W31" s="436"/>
      <c r="X31" s="436"/>
      <c r="Y31" s="436"/>
      <c r="Z31" s="436"/>
      <c r="AA31" s="436"/>
      <c r="AB31" s="301"/>
    </row>
    <row r="32" spans="1:28" ht="12.95" customHeight="1" x14ac:dyDescent="0.2">
      <c r="A32" s="301"/>
      <c r="B32" s="436"/>
      <c r="C32" s="436"/>
      <c r="D32" s="436"/>
      <c r="E32" s="436"/>
      <c r="F32" s="436"/>
      <c r="G32" s="436"/>
      <c r="H32" s="436"/>
      <c r="I32" s="436"/>
      <c r="J32" s="436"/>
      <c r="K32" s="436"/>
      <c r="L32" s="436"/>
      <c r="M32" s="436"/>
      <c r="N32" s="436"/>
      <c r="O32" s="436"/>
      <c r="P32" s="436"/>
      <c r="Q32" s="436"/>
      <c r="R32" s="436"/>
      <c r="S32" s="436"/>
      <c r="T32" s="436"/>
      <c r="U32" s="436"/>
      <c r="V32" s="436"/>
      <c r="W32" s="436"/>
      <c r="X32" s="436"/>
      <c r="Y32" s="436"/>
      <c r="Z32" s="436"/>
      <c r="AA32" s="436"/>
      <c r="AB32" s="301"/>
    </row>
    <row r="33" spans="1:28" ht="12.95" customHeight="1" x14ac:dyDescent="0.2">
      <c r="A33" s="301"/>
      <c r="B33" s="436"/>
      <c r="C33" s="436"/>
      <c r="D33" s="436"/>
      <c r="E33" s="436"/>
      <c r="F33" s="436"/>
      <c r="G33" s="436"/>
      <c r="H33" s="436"/>
      <c r="I33" s="436"/>
      <c r="J33" s="436"/>
      <c r="K33" s="436"/>
      <c r="L33" s="436"/>
      <c r="M33" s="436"/>
      <c r="N33" s="436"/>
      <c r="O33" s="436"/>
      <c r="P33" s="436"/>
      <c r="Q33" s="436"/>
      <c r="R33" s="436"/>
      <c r="S33" s="436"/>
      <c r="T33" s="436"/>
      <c r="U33" s="436"/>
      <c r="V33" s="436"/>
      <c r="W33" s="436"/>
      <c r="X33" s="436"/>
      <c r="Y33" s="436"/>
      <c r="Z33" s="436"/>
      <c r="AA33" s="436"/>
      <c r="AB33" s="301"/>
    </row>
    <row r="34" spans="1:28" ht="12.95" customHeight="1" x14ac:dyDescent="0.2">
      <c r="A34" s="301"/>
      <c r="B34" s="436"/>
      <c r="C34" s="436"/>
      <c r="D34" s="436"/>
      <c r="E34" s="436"/>
      <c r="F34" s="436"/>
      <c r="G34" s="436"/>
      <c r="H34" s="436"/>
      <c r="I34" s="436"/>
      <c r="J34" s="436"/>
      <c r="K34" s="436"/>
      <c r="L34" s="436"/>
      <c r="M34" s="436"/>
      <c r="N34" s="436"/>
      <c r="O34" s="436"/>
      <c r="P34" s="436"/>
      <c r="Q34" s="436"/>
      <c r="R34" s="436"/>
      <c r="S34" s="436"/>
      <c r="T34" s="436"/>
      <c r="U34" s="436"/>
      <c r="V34" s="436"/>
      <c r="W34" s="436"/>
      <c r="X34" s="436"/>
      <c r="Y34" s="436"/>
      <c r="Z34" s="436"/>
      <c r="AA34" s="436"/>
      <c r="AB34" s="301"/>
    </row>
    <row r="35" spans="1:28" ht="12.95" customHeight="1" x14ac:dyDescent="0.2">
      <c r="A35" s="301"/>
      <c r="B35" s="436"/>
      <c r="C35" s="436"/>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6"/>
      <c r="AB35" s="301"/>
    </row>
    <row r="36" spans="1:28" ht="12.95" customHeight="1" x14ac:dyDescent="0.2">
      <c r="A36" s="301"/>
      <c r="B36" s="436"/>
      <c r="C36" s="436"/>
      <c r="D36" s="436"/>
      <c r="E36" s="436"/>
      <c r="F36" s="436"/>
      <c r="G36" s="436"/>
      <c r="H36" s="436"/>
      <c r="I36" s="436"/>
      <c r="J36" s="436"/>
      <c r="K36" s="436"/>
      <c r="L36" s="436"/>
      <c r="M36" s="436"/>
      <c r="N36" s="436"/>
      <c r="O36" s="436"/>
      <c r="P36" s="436"/>
      <c r="Q36" s="436"/>
      <c r="R36" s="436"/>
      <c r="S36" s="436"/>
      <c r="T36" s="436"/>
      <c r="U36" s="436"/>
      <c r="V36" s="436"/>
      <c r="W36" s="436"/>
      <c r="X36" s="436"/>
      <c r="Y36" s="436"/>
      <c r="Z36" s="436"/>
      <c r="AA36" s="436"/>
      <c r="AB36" s="301"/>
    </row>
    <row r="37" spans="1:28" ht="12.95" customHeight="1" x14ac:dyDescent="0.2">
      <c r="A37" s="301"/>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301"/>
    </row>
    <row r="38" spans="1:28" ht="12.95" customHeight="1" x14ac:dyDescent="0.2">
      <c r="A38" s="301"/>
      <c r="B38" s="436"/>
      <c r="C38" s="436"/>
      <c r="D38" s="436"/>
      <c r="E38" s="436"/>
      <c r="F38" s="436"/>
      <c r="G38" s="436"/>
      <c r="H38" s="436"/>
      <c r="I38" s="436"/>
      <c r="J38" s="436"/>
      <c r="K38" s="436"/>
      <c r="L38" s="436"/>
      <c r="M38" s="436"/>
      <c r="N38" s="436"/>
      <c r="O38" s="436"/>
      <c r="P38" s="436"/>
      <c r="Q38" s="436"/>
      <c r="R38" s="436"/>
      <c r="S38" s="436"/>
      <c r="T38" s="436"/>
      <c r="U38" s="436"/>
      <c r="V38" s="436"/>
      <c r="W38" s="436"/>
      <c r="X38" s="436"/>
      <c r="Y38" s="436"/>
      <c r="Z38" s="436"/>
      <c r="AA38" s="436"/>
      <c r="AB38" s="301"/>
    </row>
    <row r="39" spans="1:28" ht="12.95" customHeight="1" x14ac:dyDescent="0.2">
      <c r="A39" s="301"/>
      <c r="B39" s="436"/>
      <c r="C39" s="436"/>
      <c r="D39" s="436"/>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301"/>
    </row>
    <row r="40" spans="1:28" ht="12.95" customHeight="1" x14ac:dyDescent="0.2">
      <c r="A40" s="301"/>
      <c r="B40" s="436"/>
      <c r="C40" s="436"/>
      <c r="D40" s="436"/>
      <c r="E40" s="436"/>
      <c r="F40" s="436"/>
      <c r="G40" s="436"/>
      <c r="H40" s="436"/>
      <c r="I40" s="436"/>
      <c r="J40" s="436"/>
      <c r="K40" s="436"/>
      <c r="L40" s="436"/>
      <c r="M40" s="436"/>
      <c r="N40" s="436"/>
      <c r="O40" s="436"/>
      <c r="P40" s="436"/>
      <c r="Q40" s="436"/>
      <c r="R40" s="436"/>
      <c r="S40" s="436"/>
      <c r="T40" s="436"/>
      <c r="U40" s="436"/>
      <c r="V40" s="436"/>
      <c r="W40" s="436"/>
      <c r="X40" s="436"/>
      <c r="Y40" s="436"/>
      <c r="Z40" s="436"/>
      <c r="AA40" s="436"/>
      <c r="AB40" s="301"/>
    </row>
    <row r="41" spans="1:28" ht="12.95" customHeight="1" x14ac:dyDescent="0.2">
      <c r="A41" s="301"/>
      <c r="B41" s="436"/>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301"/>
    </row>
    <row r="42" spans="1:28" ht="12.95" customHeight="1" x14ac:dyDescent="0.2">
      <c r="A42" s="301"/>
      <c r="B42" s="436"/>
      <c r="C42" s="436"/>
      <c r="D42" s="436"/>
      <c r="E42" s="436"/>
      <c r="F42" s="436"/>
      <c r="G42" s="436"/>
      <c r="H42" s="436"/>
      <c r="I42" s="436"/>
      <c r="J42" s="436"/>
      <c r="K42" s="436"/>
      <c r="L42" s="436"/>
      <c r="M42" s="436"/>
      <c r="N42" s="436"/>
      <c r="O42" s="436"/>
      <c r="P42" s="436"/>
      <c r="Q42" s="436"/>
      <c r="R42" s="436"/>
      <c r="S42" s="436"/>
      <c r="T42" s="436"/>
      <c r="U42" s="436"/>
      <c r="V42" s="436"/>
      <c r="W42" s="436"/>
      <c r="X42" s="436"/>
      <c r="Y42" s="436"/>
      <c r="Z42" s="436"/>
      <c r="AA42" s="436"/>
      <c r="AB42" s="301"/>
    </row>
    <row r="43" spans="1:28" ht="12.95" customHeight="1" x14ac:dyDescent="0.2">
      <c r="A43" s="301"/>
      <c r="B43" s="436"/>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301"/>
    </row>
    <row r="44" spans="1:28" ht="12.95" customHeight="1" x14ac:dyDescent="0.2">
      <c r="A44" s="301"/>
      <c r="B44" s="436"/>
      <c r="C44" s="436"/>
      <c r="D44" s="436"/>
      <c r="E44" s="436"/>
      <c r="F44" s="436"/>
      <c r="G44" s="436"/>
      <c r="H44" s="436"/>
      <c r="I44" s="436"/>
      <c r="J44" s="436"/>
      <c r="K44" s="436"/>
      <c r="L44" s="436"/>
      <c r="M44" s="436"/>
      <c r="N44" s="436"/>
      <c r="O44" s="436"/>
      <c r="P44" s="436"/>
      <c r="Q44" s="436"/>
      <c r="R44" s="436"/>
      <c r="S44" s="436"/>
      <c r="T44" s="436"/>
      <c r="U44" s="436"/>
      <c r="V44" s="436"/>
      <c r="W44" s="436"/>
      <c r="X44" s="436"/>
      <c r="Y44" s="436"/>
      <c r="Z44" s="436"/>
      <c r="AA44" s="436"/>
      <c r="AB44" s="301"/>
    </row>
    <row r="45" spans="1:28" ht="12.95" customHeight="1" x14ac:dyDescent="0.2">
      <c r="A45" s="301"/>
      <c r="B45" s="436"/>
      <c r="C45" s="436"/>
      <c r="D45" s="436"/>
      <c r="E45" s="436"/>
      <c r="F45" s="436"/>
      <c r="G45" s="436"/>
      <c r="H45" s="436"/>
      <c r="I45" s="436"/>
      <c r="J45" s="436"/>
      <c r="K45" s="436"/>
      <c r="L45" s="436"/>
      <c r="M45" s="436"/>
      <c r="N45" s="436"/>
      <c r="O45" s="436"/>
      <c r="P45" s="436"/>
      <c r="Q45" s="436"/>
      <c r="R45" s="436"/>
      <c r="S45" s="436"/>
      <c r="T45" s="436"/>
      <c r="U45" s="436"/>
      <c r="V45" s="436"/>
      <c r="W45" s="436"/>
      <c r="X45" s="436"/>
      <c r="Y45" s="436"/>
      <c r="Z45" s="436"/>
      <c r="AA45" s="436"/>
      <c r="AB45" s="301"/>
    </row>
    <row r="46" spans="1:28" ht="12.95" customHeight="1" x14ac:dyDescent="0.2">
      <c r="A46" s="301"/>
      <c r="B46" s="436"/>
      <c r="C46" s="436"/>
      <c r="D46" s="436"/>
      <c r="E46" s="436"/>
      <c r="F46" s="436"/>
      <c r="G46" s="436"/>
      <c r="H46" s="436"/>
      <c r="I46" s="436"/>
      <c r="J46" s="436"/>
      <c r="K46" s="436"/>
      <c r="L46" s="436"/>
      <c r="M46" s="436"/>
      <c r="N46" s="436"/>
      <c r="O46" s="436"/>
      <c r="P46" s="436"/>
      <c r="Q46" s="436"/>
      <c r="R46" s="436"/>
      <c r="S46" s="436"/>
      <c r="T46" s="436"/>
      <c r="U46" s="436"/>
      <c r="V46" s="436"/>
      <c r="W46" s="436"/>
      <c r="X46" s="436"/>
      <c r="Y46" s="436"/>
      <c r="Z46" s="436"/>
      <c r="AA46" s="436"/>
      <c r="AB46" s="301"/>
    </row>
    <row r="47" spans="1:28" ht="12.95" customHeight="1" x14ac:dyDescent="0.2">
      <c r="A47" s="301"/>
      <c r="B47" s="436"/>
      <c r="C47" s="436"/>
      <c r="D47" s="436"/>
      <c r="E47" s="436"/>
      <c r="F47" s="436"/>
      <c r="G47" s="436"/>
      <c r="H47" s="436"/>
      <c r="I47" s="436"/>
      <c r="J47" s="436"/>
      <c r="K47" s="436"/>
      <c r="L47" s="436"/>
      <c r="M47" s="436"/>
      <c r="N47" s="436"/>
      <c r="O47" s="436"/>
      <c r="P47" s="436"/>
      <c r="Q47" s="436"/>
      <c r="R47" s="436"/>
      <c r="S47" s="436"/>
      <c r="T47" s="436"/>
      <c r="U47" s="436"/>
      <c r="V47" s="436"/>
      <c r="W47" s="436"/>
      <c r="X47" s="436"/>
      <c r="Y47" s="436"/>
      <c r="Z47" s="436"/>
      <c r="AA47" s="436"/>
      <c r="AB47" s="301"/>
    </row>
    <row r="48" spans="1:28" ht="12.95" customHeight="1" x14ac:dyDescent="0.2">
      <c r="A48" s="301"/>
      <c r="B48" s="436"/>
      <c r="C48" s="436"/>
      <c r="D48" s="436"/>
      <c r="E48" s="436"/>
      <c r="F48" s="436"/>
      <c r="G48" s="436"/>
      <c r="H48" s="436"/>
      <c r="I48" s="436"/>
      <c r="J48" s="436"/>
      <c r="K48" s="436"/>
      <c r="L48" s="436"/>
      <c r="M48" s="436"/>
      <c r="N48" s="436"/>
      <c r="O48" s="436"/>
      <c r="P48" s="436"/>
      <c r="Q48" s="436"/>
      <c r="R48" s="436"/>
      <c r="S48" s="436"/>
      <c r="T48" s="436"/>
      <c r="U48" s="436"/>
      <c r="V48" s="436"/>
      <c r="W48" s="436"/>
      <c r="X48" s="436"/>
      <c r="Y48" s="436"/>
      <c r="Z48" s="436"/>
      <c r="AA48" s="436"/>
      <c r="AB48" s="301"/>
    </row>
    <row r="49" spans="1:28" ht="12.95" customHeight="1" x14ac:dyDescent="0.2">
      <c r="A49" s="301"/>
      <c r="B49" s="436"/>
      <c r="C49" s="436"/>
      <c r="D49" s="436"/>
      <c r="E49" s="436"/>
      <c r="F49" s="436"/>
      <c r="G49" s="436"/>
      <c r="H49" s="436"/>
      <c r="I49" s="436"/>
      <c r="J49" s="436"/>
      <c r="K49" s="436"/>
      <c r="L49" s="436"/>
      <c r="M49" s="436"/>
      <c r="N49" s="436"/>
      <c r="O49" s="436"/>
      <c r="P49" s="436"/>
      <c r="Q49" s="436"/>
      <c r="R49" s="436"/>
      <c r="S49" s="436"/>
      <c r="T49" s="436"/>
      <c r="U49" s="436"/>
      <c r="V49" s="436"/>
      <c r="W49" s="436"/>
      <c r="X49" s="436"/>
      <c r="Y49" s="436"/>
      <c r="Z49" s="436"/>
      <c r="AA49" s="436"/>
      <c r="AB49" s="301"/>
    </row>
    <row r="50" spans="1:28" ht="12.95" customHeight="1" x14ac:dyDescent="0.2">
      <c r="A50" s="301"/>
      <c r="B50" s="436"/>
      <c r="C50" s="436"/>
      <c r="D50" s="436"/>
      <c r="E50" s="436"/>
      <c r="F50" s="436"/>
      <c r="G50" s="436"/>
      <c r="H50" s="436"/>
      <c r="I50" s="436"/>
      <c r="J50" s="436"/>
      <c r="K50" s="436"/>
      <c r="L50" s="436"/>
      <c r="M50" s="436"/>
      <c r="N50" s="436"/>
      <c r="O50" s="436"/>
      <c r="P50" s="436"/>
      <c r="Q50" s="436"/>
      <c r="R50" s="436"/>
      <c r="S50" s="436"/>
      <c r="T50" s="436"/>
      <c r="U50" s="436"/>
      <c r="V50" s="436"/>
      <c r="W50" s="436"/>
      <c r="X50" s="436"/>
      <c r="Y50" s="436"/>
      <c r="Z50" s="436"/>
      <c r="AA50" s="436"/>
      <c r="AB50" s="301"/>
    </row>
    <row r="51" spans="1:28" ht="12.95" customHeight="1" x14ac:dyDescent="0.2">
      <c r="A51" s="301"/>
      <c r="B51" s="436"/>
      <c r="C51" s="436"/>
      <c r="D51" s="436"/>
      <c r="E51" s="436"/>
      <c r="F51" s="436"/>
      <c r="G51" s="436"/>
      <c r="H51" s="436"/>
      <c r="I51" s="436"/>
      <c r="J51" s="436"/>
      <c r="K51" s="436"/>
      <c r="L51" s="436"/>
      <c r="M51" s="436"/>
      <c r="N51" s="436"/>
      <c r="O51" s="436"/>
      <c r="P51" s="436"/>
      <c r="Q51" s="436"/>
      <c r="R51" s="436"/>
      <c r="S51" s="436"/>
      <c r="T51" s="436"/>
      <c r="U51" s="436"/>
      <c r="V51" s="436"/>
      <c r="W51" s="436"/>
      <c r="X51" s="436"/>
      <c r="Y51" s="436"/>
      <c r="Z51" s="436"/>
      <c r="AA51" s="436"/>
      <c r="AB51" s="301"/>
    </row>
    <row r="52" spans="1:28" ht="12.95" customHeight="1" x14ac:dyDescent="0.2">
      <c r="A52" s="301"/>
      <c r="B52" s="436"/>
      <c r="C52" s="436"/>
      <c r="D52" s="436"/>
      <c r="E52" s="436"/>
      <c r="F52" s="436"/>
      <c r="G52" s="436"/>
      <c r="H52" s="436"/>
      <c r="I52" s="436"/>
      <c r="J52" s="436"/>
      <c r="K52" s="436"/>
      <c r="L52" s="436"/>
      <c r="M52" s="436"/>
      <c r="N52" s="436"/>
      <c r="O52" s="436"/>
      <c r="P52" s="436"/>
      <c r="Q52" s="436"/>
      <c r="R52" s="436"/>
      <c r="S52" s="436"/>
      <c r="T52" s="436"/>
      <c r="U52" s="436"/>
      <c r="V52" s="436"/>
      <c r="W52" s="436"/>
      <c r="X52" s="436"/>
      <c r="Y52" s="436"/>
      <c r="Z52" s="436"/>
      <c r="AA52" s="436"/>
      <c r="AB52" s="301"/>
    </row>
    <row r="53" spans="1:28" ht="12.95" customHeight="1" x14ac:dyDescent="0.2">
      <c r="A53" s="301"/>
      <c r="B53" s="436"/>
      <c r="C53" s="436"/>
      <c r="D53" s="436"/>
      <c r="E53" s="436"/>
      <c r="F53" s="436"/>
      <c r="G53" s="436"/>
      <c r="H53" s="436"/>
      <c r="I53" s="436"/>
      <c r="J53" s="436"/>
      <c r="K53" s="436"/>
      <c r="L53" s="436"/>
      <c r="M53" s="436"/>
      <c r="N53" s="436"/>
      <c r="O53" s="436"/>
      <c r="P53" s="436"/>
      <c r="Q53" s="436"/>
      <c r="R53" s="436"/>
      <c r="S53" s="436"/>
      <c r="T53" s="436"/>
      <c r="U53" s="436"/>
      <c r="V53" s="436"/>
      <c r="W53" s="436"/>
      <c r="X53" s="436"/>
      <c r="Y53" s="436"/>
      <c r="Z53" s="436"/>
      <c r="AA53" s="436"/>
      <c r="AB53" s="301"/>
    </row>
    <row r="54" spans="1:28" ht="12.95" customHeight="1" x14ac:dyDescent="0.2">
      <c r="A54" s="301"/>
      <c r="B54" s="436"/>
      <c r="C54" s="436"/>
      <c r="D54" s="436"/>
      <c r="E54" s="436"/>
      <c r="F54" s="436"/>
      <c r="G54" s="436"/>
      <c r="H54" s="436"/>
      <c r="I54" s="436"/>
      <c r="J54" s="436"/>
      <c r="K54" s="436"/>
      <c r="L54" s="436"/>
      <c r="M54" s="436"/>
      <c r="N54" s="436"/>
      <c r="O54" s="436"/>
      <c r="P54" s="436"/>
      <c r="Q54" s="436"/>
      <c r="R54" s="436"/>
      <c r="S54" s="436"/>
      <c r="T54" s="436"/>
      <c r="U54" s="436"/>
      <c r="V54" s="436"/>
      <c r="W54" s="436"/>
      <c r="X54" s="436"/>
      <c r="Y54" s="436"/>
      <c r="Z54" s="436"/>
      <c r="AA54" s="436"/>
      <c r="AB54" s="301"/>
    </row>
    <row r="55" spans="1:28" ht="12.95" customHeight="1" x14ac:dyDescent="0.2">
      <c r="A55" s="301"/>
      <c r="B55" s="436"/>
      <c r="C55" s="436"/>
      <c r="D55" s="436"/>
      <c r="E55" s="436"/>
      <c r="F55" s="436"/>
      <c r="G55" s="436"/>
      <c r="H55" s="436"/>
      <c r="I55" s="436"/>
      <c r="J55" s="436"/>
      <c r="K55" s="436"/>
      <c r="L55" s="436"/>
      <c r="M55" s="436"/>
      <c r="N55" s="436"/>
      <c r="O55" s="436"/>
      <c r="P55" s="436"/>
      <c r="Q55" s="436"/>
      <c r="R55" s="436"/>
      <c r="S55" s="436"/>
      <c r="T55" s="436"/>
      <c r="U55" s="436"/>
      <c r="V55" s="436"/>
      <c r="W55" s="436"/>
      <c r="X55" s="436"/>
      <c r="Y55" s="436"/>
      <c r="Z55" s="436"/>
      <c r="AA55" s="436"/>
      <c r="AB55" s="301"/>
    </row>
    <row r="56" spans="1:28" ht="12.95" customHeight="1" x14ac:dyDescent="0.2">
      <c r="A56" s="301"/>
      <c r="B56" s="436"/>
      <c r="C56" s="436"/>
      <c r="D56" s="436"/>
      <c r="E56" s="436"/>
      <c r="F56" s="436"/>
      <c r="G56" s="436"/>
      <c r="H56" s="436"/>
      <c r="I56" s="436"/>
      <c r="J56" s="436"/>
      <c r="K56" s="436"/>
      <c r="L56" s="436"/>
      <c r="M56" s="436"/>
      <c r="N56" s="436"/>
      <c r="O56" s="436"/>
      <c r="P56" s="436"/>
      <c r="Q56" s="436"/>
      <c r="R56" s="436"/>
      <c r="S56" s="436"/>
      <c r="T56" s="436"/>
      <c r="U56" s="436"/>
      <c r="V56" s="436"/>
      <c r="W56" s="436"/>
      <c r="X56" s="436"/>
      <c r="Y56" s="436"/>
      <c r="Z56" s="436"/>
      <c r="AA56" s="436"/>
      <c r="AB56" s="301"/>
    </row>
    <row r="57" spans="1:28" ht="12.95" customHeight="1" x14ac:dyDescent="0.2">
      <c r="A57" s="301"/>
      <c r="B57" s="436"/>
      <c r="C57" s="436"/>
      <c r="D57" s="436"/>
      <c r="E57" s="436"/>
      <c r="F57" s="436"/>
      <c r="G57" s="436"/>
      <c r="H57" s="436"/>
      <c r="I57" s="436"/>
      <c r="J57" s="436"/>
      <c r="K57" s="436"/>
      <c r="L57" s="436"/>
      <c r="M57" s="436"/>
      <c r="N57" s="436"/>
      <c r="O57" s="436"/>
      <c r="P57" s="436"/>
      <c r="Q57" s="436"/>
      <c r="R57" s="436"/>
      <c r="S57" s="436"/>
      <c r="T57" s="436"/>
      <c r="U57" s="436"/>
      <c r="V57" s="436"/>
      <c r="W57" s="436"/>
      <c r="X57" s="436"/>
      <c r="Y57" s="436"/>
      <c r="Z57" s="436"/>
      <c r="AA57" s="436"/>
      <c r="AB57" s="301"/>
    </row>
    <row r="58" spans="1:28" ht="12.95" customHeight="1" x14ac:dyDescent="0.2">
      <c r="A58" s="301"/>
      <c r="B58" s="436"/>
      <c r="C58" s="436"/>
      <c r="D58" s="436"/>
      <c r="E58" s="436"/>
      <c r="F58" s="436"/>
      <c r="G58" s="436"/>
      <c r="H58" s="436"/>
      <c r="I58" s="436"/>
      <c r="J58" s="436"/>
      <c r="K58" s="436"/>
      <c r="L58" s="436"/>
      <c r="M58" s="436"/>
      <c r="N58" s="436"/>
      <c r="O58" s="436"/>
      <c r="P58" s="436"/>
      <c r="Q58" s="436"/>
      <c r="R58" s="436"/>
      <c r="S58" s="436"/>
      <c r="T58" s="436"/>
      <c r="U58" s="436"/>
      <c r="V58" s="436"/>
      <c r="W58" s="436"/>
      <c r="X58" s="436"/>
      <c r="Y58" s="436"/>
      <c r="Z58" s="436"/>
      <c r="AA58" s="436"/>
      <c r="AB58" s="301"/>
    </row>
    <row r="59" spans="1:28" ht="12.95" customHeight="1" x14ac:dyDescent="0.2">
      <c r="A59" s="301"/>
      <c r="B59" s="436"/>
      <c r="C59" s="436"/>
      <c r="D59" s="436"/>
      <c r="E59" s="436"/>
      <c r="F59" s="436"/>
      <c r="G59" s="436"/>
      <c r="H59" s="436"/>
      <c r="I59" s="436"/>
      <c r="J59" s="436"/>
      <c r="K59" s="436"/>
      <c r="L59" s="436"/>
      <c r="M59" s="436"/>
      <c r="N59" s="436"/>
      <c r="O59" s="436"/>
      <c r="P59" s="436"/>
      <c r="Q59" s="436"/>
      <c r="R59" s="436"/>
      <c r="S59" s="436"/>
      <c r="T59" s="436"/>
      <c r="U59" s="436"/>
      <c r="V59" s="436"/>
      <c r="W59" s="436"/>
      <c r="X59" s="436"/>
      <c r="Y59" s="436"/>
      <c r="Z59" s="436"/>
      <c r="AA59" s="436"/>
      <c r="AB59" s="301"/>
    </row>
    <row r="60" spans="1:28" ht="12.95" customHeight="1" x14ac:dyDescent="0.2">
      <c r="A60" s="301"/>
      <c r="B60" s="436"/>
      <c r="C60" s="436"/>
      <c r="D60" s="436"/>
      <c r="E60" s="436"/>
      <c r="F60" s="436"/>
      <c r="G60" s="436"/>
      <c r="H60" s="436"/>
      <c r="I60" s="436"/>
      <c r="J60" s="436"/>
      <c r="K60" s="436"/>
      <c r="L60" s="436"/>
      <c r="M60" s="436"/>
      <c r="N60" s="436"/>
      <c r="O60" s="436"/>
      <c r="P60" s="436"/>
      <c r="Q60" s="436"/>
      <c r="R60" s="436"/>
      <c r="S60" s="436"/>
      <c r="T60" s="436"/>
      <c r="U60" s="436"/>
      <c r="V60" s="436"/>
      <c r="W60" s="436"/>
      <c r="X60" s="436"/>
      <c r="Y60" s="436"/>
      <c r="Z60" s="436"/>
      <c r="AA60" s="436"/>
      <c r="AB60" s="301"/>
    </row>
    <row r="61" spans="1:28" ht="12.95" customHeight="1" x14ac:dyDescent="0.2">
      <c r="A61" s="301"/>
      <c r="B61" s="436"/>
      <c r="C61" s="436"/>
      <c r="D61" s="436"/>
      <c r="E61" s="436"/>
      <c r="F61" s="436"/>
      <c r="G61" s="436"/>
      <c r="H61" s="436"/>
      <c r="I61" s="436"/>
      <c r="J61" s="436"/>
      <c r="K61" s="436"/>
      <c r="L61" s="436"/>
      <c r="M61" s="436"/>
      <c r="N61" s="436"/>
      <c r="O61" s="436"/>
      <c r="P61" s="436"/>
      <c r="Q61" s="436"/>
      <c r="R61" s="436"/>
      <c r="S61" s="436"/>
      <c r="T61" s="436"/>
      <c r="U61" s="436"/>
      <c r="V61" s="436"/>
      <c r="W61" s="436"/>
      <c r="X61" s="436"/>
      <c r="Y61" s="436"/>
      <c r="Z61" s="436"/>
      <c r="AA61" s="436"/>
      <c r="AB61" s="301"/>
    </row>
    <row r="62" spans="1:28" ht="12.95" customHeight="1" x14ac:dyDescent="0.2">
      <c r="A62" s="301"/>
      <c r="B62" s="436"/>
      <c r="C62" s="436"/>
      <c r="D62" s="436"/>
      <c r="E62" s="436"/>
      <c r="F62" s="436"/>
      <c r="G62" s="436"/>
      <c r="H62" s="436"/>
      <c r="I62" s="436"/>
      <c r="J62" s="436"/>
      <c r="K62" s="436"/>
      <c r="L62" s="436"/>
      <c r="M62" s="436"/>
      <c r="N62" s="436"/>
      <c r="O62" s="436"/>
      <c r="P62" s="436"/>
      <c r="Q62" s="436"/>
      <c r="R62" s="436"/>
      <c r="S62" s="436"/>
      <c r="T62" s="436"/>
      <c r="U62" s="436"/>
      <c r="V62" s="436"/>
      <c r="W62" s="436"/>
      <c r="X62" s="436"/>
      <c r="Y62" s="436"/>
      <c r="Z62" s="436"/>
      <c r="AA62" s="436"/>
      <c r="AB62" s="301"/>
    </row>
    <row r="63" spans="1:28" ht="12.95" customHeight="1" x14ac:dyDescent="0.2">
      <c r="A63" s="301"/>
      <c r="B63" s="436"/>
      <c r="C63" s="436"/>
      <c r="D63" s="436"/>
      <c r="E63" s="436"/>
      <c r="F63" s="436"/>
      <c r="G63" s="436"/>
      <c r="H63" s="436"/>
      <c r="I63" s="436"/>
      <c r="J63" s="436"/>
      <c r="K63" s="436"/>
      <c r="L63" s="436"/>
      <c r="M63" s="436"/>
      <c r="N63" s="436"/>
      <c r="O63" s="436"/>
      <c r="P63" s="436"/>
      <c r="Q63" s="436"/>
      <c r="R63" s="436"/>
      <c r="S63" s="436"/>
      <c r="T63" s="436"/>
      <c r="U63" s="436"/>
      <c r="V63" s="436"/>
      <c r="W63" s="436"/>
      <c r="X63" s="436"/>
      <c r="Y63" s="436"/>
      <c r="Z63" s="436"/>
      <c r="AA63" s="436"/>
      <c r="AB63" s="301"/>
    </row>
    <row r="64" spans="1:28" ht="12.95" customHeight="1" x14ac:dyDescent="0.2">
      <c r="A64" s="301"/>
      <c r="B64" s="436"/>
      <c r="C64" s="436"/>
      <c r="D64" s="436"/>
      <c r="E64" s="436"/>
      <c r="F64" s="436"/>
      <c r="G64" s="436"/>
      <c r="H64" s="436"/>
      <c r="I64" s="436"/>
      <c r="J64" s="436"/>
      <c r="K64" s="436"/>
      <c r="L64" s="436"/>
      <c r="M64" s="436"/>
      <c r="N64" s="436"/>
      <c r="O64" s="436"/>
      <c r="P64" s="436"/>
      <c r="Q64" s="436"/>
      <c r="R64" s="436"/>
      <c r="S64" s="436"/>
      <c r="T64" s="436"/>
      <c r="U64" s="436"/>
      <c r="V64" s="436"/>
      <c r="W64" s="436"/>
      <c r="X64" s="436"/>
      <c r="Y64" s="436"/>
      <c r="Z64" s="436"/>
      <c r="AA64" s="436"/>
      <c r="AB64" s="301"/>
    </row>
    <row r="65" spans="1:28" ht="12.95" customHeight="1" x14ac:dyDescent="0.2">
      <c r="A65" s="301"/>
      <c r="B65" s="436"/>
      <c r="C65" s="436"/>
      <c r="D65" s="436"/>
      <c r="E65" s="436"/>
      <c r="F65" s="436"/>
      <c r="G65" s="436"/>
      <c r="H65" s="436"/>
      <c r="I65" s="436"/>
      <c r="J65" s="436"/>
      <c r="K65" s="436"/>
      <c r="L65" s="436"/>
      <c r="M65" s="436"/>
      <c r="N65" s="436"/>
      <c r="O65" s="436"/>
      <c r="P65" s="436"/>
      <c r="Q65" s="436"/>
      <c r="R65" s="436"/>
      <c r="S65" s="436"/>
      <c r="T65" s="436"/>
      <c r="U65" s="436"/>
      <c r="V65" s="436"/>
      <c r="W65" s="436"/>
      <c r="X65" s="436"/>
      <c r="Y65" s="436"/>
      <c r="Z65" s="436"/>
      <c r="AA65" s="436"/>
      <c r="AB65" s="301"/>
    </row>
    <row r="66" spans="1:28" ht="12.95" customHeight="1" x14ac:dyDescent="0.2">
      <c r="A66" s="301"/>
      <c r="B66" s="436"/>
      <c r="C66" s="436"/>
      <c r="D66" s="436"/>
      <c r="E66" s="436"/>
      <c r="F66" s="436"/>
      <c r="G66" s="436"/>
      <c r="H66" s="436"/>
      <c r="I66" s="436"/>
      <c r="J66" s="436"/>
      <c r="K66" s="436"/>
      <c r="L66" s="436"/>
      <c r="M66" s="436"/>
      <c r="N66" s="436"/>
      <c r="O66" s="436"/>
      <c r="P66" s="436"/>
      <c r="Q66" s="436"/>
      <c r="R66" s="436"/>
      <c r="S66" s="436"/>
      <c r="T66" s="436"/>
      <c r="U66" s="436"/>
      <c r="V66" s="436"/>
      <c r="W66" s="436"/>
      <c r="X66" s="436"/>
      <c r="Y66" s="436"/>
      <c r="Z66" s="436"/>
      <c r="AA66" s="436"/>
      <c r="AB66" s="301"/>
    </row>
    <row r="67" spans="1:28" ht="12.95" customHeight="1" x14ac:dyDescent="0.2">
      <c r="A67" s="301"/>
      <c r="B67" s="436"/>
      <c r="C67" s="436"/>
      <c r="D67" s="436"/>
      <c r="E67" s="436"/>
      <c r="F67" s="436"/>
      <c r="G67" s="436"/>
      <c r="H67" s="436"/>
      <c r="I67" s="436"/>
      <c r="J67" s="436"/>
      <c r="K67" s="436"/>
      <c r="L67" s="436"/>
      <c r="M67" s="436"/>
      <c r="N67" s="436"/>
      <c r="O67" s="436"/>
      <c r="P67" s="436"/>
      <c r="Q67" s="436"/>
      <c r="R67" s="436"/>
      <c r="S67" s="436"/>
      <c r="T67" s="436"/>
      <c r="U67" s="436"/>
      <c r="V67" s="436"/>
      <c r="W67" s="436"/>
      <c r="X67" s="436"/>
      <c r="Y67" s="436"/>
      <c r="Z67" s="436"/>
      <c r="AA67" s="436"/>
      <c r="AB67" s="301"/>
    </row>
    <row r="68" spans="1:28" ht="12.95" customHeight="1" x14ac:dyDescent="0.2">
      <c r="A68" s="301"/>
      <c r="B68" s="436"/>
      <c r="C68" s="436"/>
      <c r="D68" s="436"/>
      <c r="E68" s="436"/>
      <c r="F68" s="436"/>
      <c r="G68" s="436"/>
      <c r="H68" s="436"/>
      <c r="I68" s="436"/>
      <c r="J68" s="436"/>
      <c r="K68" s="436"/>
      <c r="L68" s="436"/>
      <c r="M68" s="436"/>
      <c r="N68" s="436"/>
      <c r="O68" s="436"/>
      <c r="P68" s="436"/>
      <c r="Q68" s="436"/>
      <c r="R68" s="436"/>
      <c r="S68" s="436"/>
      <c r="T68" s="436"/>
      <c r="U68" s="436"/>
      <c r="V68" s="436"/>
      <c r="W68" s="436"/>
      <c r="X68" s="436"/>
      <c r="Y68" s="436"/>
      <c r="Z68" s="436"/>
      <c r="AA68" s="436"/>
      <c r="AB68" s="301"/>
    </row>
    <row r="69" spans="1:28" ht="12.95" customHeight="1" x14ac:dyDescent="0.2">
      <c r="A69" s="301"/>
      <c r="B69" s="436"/>
      <c r="C69" s="436"/>
      <c r="D69" s="436"/>
      <c r="E69" s="436"/>
      <c r="F69" s="436"/>
      <c r="G69" s="436"/>
      <c r="H69" s="436"/>
      <c r="I69" s="436"/>
      <c r="J69" s="436"/>
      <c r="K69" s="436"/>
      <c r="L69" s="436"/>
      <c r="M69" s="436"/>
      <c r="N69" s="436"/>
      <c r="O69" s="436"/>
      <c r="P69" s="436"/>
      <c r="Q69" s="436"/>
      <c r="R69" s="436"/>
      <c r="S69" s="436"/>
      <c r="T69" s="436"/>
      <c r="U69" s="436"/>
      <c r="V69" s="436"/>
      <c r="W69" s="436"/>
      <c r="X69" s="436"/>
      <c r="Y69" s="436"/>
      <c r="Z69" s="436"/>
      <c r="AA69" s="436"/>
      <c r="AB69" s="301"/>
    </row>
    <row r="70" spans="1:28" ht="15" customHeight="1" x14ac:dyDescent="0.2">
      <c r="A70" s="301"/>
      <c r="B70" s="436"/>
      <c r="C70" s="436"/>
      <c r="D70" s="436"/>
      <c r="E70" s="436"/>
      <c r="F70" s="436"/>
      <c r="G70" s="436"/>
      <c r="H70" s="436"/>
      <c r="I70" s="436"/>
      <c r="J70" s="436"/>
      <c r="K70" s="436"/>
      <c r="L70" s="436"/>
      <c r="M70" s="436"/>
      <c r="N70" s="436"/>
      <c r="O70" s="436"/>
      <c r="P70" s="436"/>
      <c r="Q70" s="436"/>
      <c r="R70" s="436"/>
      <c r="S70" s="436"/>
      <c r="T70" s="436"/>
      <c r="U70" s="436"/>
      <c r="V70" s="436"/>
      <c r="W70" s="436"/>
      <c r="X70" s="436"/>
      <c r="Y70" s="436"/>
      <c r="Z70" s="436"/>
      <c r="AA70" s="436"/>
      <c r="AB70" s="301"/>
    </row>
    <row r="71" spans="1:28" ht="15" customHeight="1" x14ac:dyDescent="0.2">
      <c r="A71" s="301"/>
      <c r="B71" s="436"/>
      <c r="C71" s="436"/>
      <c r="D71" s="436"/>
      <c r="E71" s="436"/>
      <c r="F71" s="436"/>
      <c r="G71" s="436"/>
      <c r="H71" s="436"/>
      <c r="I71" s="436"/>
      <c r="J71" s="436"/>
      <c r="K71" s="436"/>
      <c r="L71" s="436"/>
      <c r="M71" s="436"/>
      <c r="N71" s="436"/>
      <c r="O71" s="436"/>
      <c r="P71" s="436"/>
      <c r="Q71" s="436"/>
      <c r="R71" s="436"/>
      <c r="S71" s="436"/>
      <c r="T71" s="436"/>
      <c r="U71" s="436"/>
      <c r="V71" s="436"/>
      <c r="W71" s="436"/>
      <c r="X71" s="436"/>
      <c r="Y71" s="436"/>
      <c r="Z71" s="436"/>
      <c r="AA71" s="436"/>
      <c r="AB71" s="301"/>
    </row>
    <row r="72" spans="1:28" ht="15" customHeight="1" x14ac:dyDescent="0.2">
      <c r="A72" s="301"/>
      <c r="B72" s="436"/>
      <c r="C72" s="436"/>
      <c r="D72" s="436"/>
      <c r="E72" s="436"/>
      <c r="F72" s="436"/>
      <c r="G72" s="436"/>
      <c r="H72" s="436"/>
      <c r="I72" s="436"/>
      <c r="J72" s="436"/>
      <c r="K72" s="436"/>
      <c r="L72" s="436"/>
      <c r="M72" s="436"/>
      <c r="N72" s="436"/>
      <c r="O72" s="436"/>
      <c r="P72" s="436"/>
      <c r="Q72" s="436"/>
      <c r="R72" s="436"/>
      <c r="S72" s="436"/>
      <c r="T72" s="436"/>
      <c r="U72" s="436"/>
      <c r="V72" s="436"/>
      <c r="W72" s="436"/>
      <c r="X72" s="436"/>
      <c r="Y72" s="436"/>
      <c r="Z72" s="436"/>
      <c r="AA72" s="436"/>
      <c r="AB72" s="301"/>
    </row>
    <row r="73" spans="1:28" ht="15" customHeight="1" x14ac:dyDescent="0.2">
      <c r="A73" s="301"/>
      <c r="B73" s="436"/>
      <c r="C73" s="436"/>
      <c r="D73" s="436"/>
      <c r="E73" s="436"/>
      <c r="F73" s="436"/>
      <c r="G73" s="436"/>
      <c r="H73" s="436"/>
      <c r="I73" s="436"/>
      <c r="J73" s="436"/>
      <c r="K73" s="436"/>
      <c r="L73" s="436"/>
      <c r="M73" s="436"/>
      <c r="N73" s="436"/>
      <c r="O73" s="436"/>
      <c r="P73" s="436"/>
      <c r="Q73" s="436"/>
      <c r="R73" s="436"/>
      <c r="S73" s="436"/>
      <c r="T73" s="436"/>
      <c r="U73" s="436"/>
      <c r="V73" s="436"/>
      <c r="W73" s="436"/>
      <c r="X73" s="436"/>
      <c r="Y73" s="436"/>
      <c r="Z73" s="436"/>
      <c r="AA73" s="436"/>
      <c r="AB73" s="301"/>
    </row>
    <row r="74" spans="1:28" ht="15" customHeight="1" x14ac:dyDescent="0.2">
      <c r="A74" s="301"/>
      <c r="B74" s="436"/>
      <c r="C74" s="436"/>
      <c r="D74" s="436"/>
      <c r="E74" s="436"/>
      <c r="F74" s="436"/>
      <c r="G74" s="436"/>
      <c r="H74" s="436"/>
      <c r="I74" s="436"/>
      <c r="J74" s="436"/>
      <c r="K74" s="436"/>
      <c r="L74" s="436"/>
      <c r="M74" s="436"/>
      <c r="N74" s="436"/>
      <c r="O74" s="436"/>
      <c r="P74" s="436"/>
      <c r="Q74" s="436"/>
      <c r="R74" s="436"/>
      <c r="S74" s="436"/>
      <c r="T74" s="436"/>
      <c r="U74" s="436"/>
      <c r="V74" s="436"/>
      <c r="W74" s="436"/>
      <c r="X74" s="436"/>
      <c r="Y74" s="436"/>
      <c r="Z74" s="436"/>
      <c r="AA74" s="436"/>
      <c r="AB74" s="301"/>
    </row>
    <row r="75" spans="1:28" ht="15" customHeight="1" x14ac:dyDescent="0.2">
      <c r="A75" s="301"/>
      <c r="B75" s="436"/>
      <c r="C75" s="436"/>
      <c r="D75" s="436"/>
      <c r="E75" s="436"/>
      <c r="F75" s="436"/>
      <c r="G75" s="436"/>
      <c r="H75" s="436"/>
      <c r="I75" s="436"/>
      <c r="J75" s="436"/>
      <c r="K75" s="436"/>
      <c r="L75" s="436"/>
      <c r="M75" s="436"/>
      <c r="N75" s="436"/>
      <c r="O75" s="436"/>
      <c r="P75" s="436"/>
      <c r="Q75" s="436"/>
      <c r="R75" s="436"/>
      <c r="S75" s="436"/>
      <c r="T75" s="436"/>
      <c r="U75" s="436"/>
      <c r="V75" s="436"/>
      <c r="W75" s="436"/>
      <c r="X75" s="436"/>
      <c r="Y75" s="436"/>
      <c r="Z75" s="436"/>
      <c r="AA75" s="436"/>
      <c r="AB75" s="301"/>
    </row>
    <row r="76" spans="1:28" ht="15" customHeight="1" x14ac:dyDescent="0.2">
      <c r="A76" s="301"/>
      <c r="B76" s="436"/>
      <c r="C76" s="436"/>
      <c r="D76" s="436"/>
      <c r="E76" s="436"/>
      <c r="F76" s="436"/>
      <c r="G76" s="436"/>
      <c r="H76" s="436"/>
      <c r="I76" s="436"/>
      <c r="J76" s="436"/>
      <c r="K76" s="436"/>
      <c r="L76" s="436"/>
      <c r="M76" s="436"/>
      <c r="N76" s="436"/>
      <c r="O76" s="436"/>
      <c r="P76" s="436"/>
      <c r="Q76" s="436"/>
      <c r="R76" s="436"/>
      <c r="S76" s="436"/>
      <c r="T76" s="436"/>
      <c r="U76" s="436"/>
      <c r="V76" s="436"/>
      <c r="W76" s="436"/>
      <c r="X76" s="436"/>
      <c r="Y76" s="436"/>
      <c r="Z76" s="436"/>
      <c r="AA76" s="436"/>
      <c r="AB76" s="301"/>
    </row>
    <row r="77" spans="1:28" ht="15" customHeight="1" x14ac:dyDescent="0.2">
      <c r="A77" s="301"/>
      <c r="B77" s="436"/>
      <c r="C77" s="436"/>
      <c r="D77" s="436"/>
      <c r="E77" s="436"/>
      <c r="F77" s="436"/>
      <c r="G77" s="436"/>
      <c r="H77" s="436"/>
      <c r="I77" s="436"/>
      <c r="J77" s="436"/>
      <c r="K77" s="436"/>
      <c r="L77" s="436"/>
      <c r="M77" s="436"/>
      <c r="N77" s="436"/>
      <c r="O77" s="436"/>
      <c r="P77" s="436"/>
      <c r="Q77" s="436"/>
      <c r="R77" s="436"/>
      <c r="S77" s="436"/>
      <c r="T77" s="436"/>
      <c r="U77" s="436"/>
      <c r="V77" s="436"/>
      <c r="W77" s="436"/>
      <c r="X77" s="436"/>
      <c r="Y77" s="436"/>
      <c r="Z77" s="436"/>
      <c r="AA77" s="436"/>
      <c r="AB77" s="301"/>
    </row>
    <row r="78" spans="1:28" ht="15" customHeight="1" x14ac:dyDescent="0.2">
      <c r="A78" s="301"/>
      <c r="B78" s="436"/>
      <c r="C78" s="436"/>
      <c r="D78" s="436"/>
      <c r="E78" s="436"/>
      <c r="F78" s="436"/>
      <c r="G78" s="436"/>
      <c r="H78" s="436"/>
      <c r="I78" s="436"/>
      <c r="J78" s="436"/>
      <c r="K78" s="436"/>
      <c r="L78" s="436"/>
      <c r="M78" s="436"/>
      <c r="N78" s="436"/>
      <c r="O78" s="436"/>
      <c r="P78" s="436"/>
      <c r="Q78" s="436"/>
      <c r="R78" s="436"/>
      <c r="S78" s="436"/>
      <c r="T78" s="436"/>
      <c r="U78" s="436"/>
      <c r="V78" s="436"/>
      <c r="W78" s="436"/>
      <c r="X78" s="436"/>
      <c r="Y78" s="436"/>
      <c r="Z78" s="436"/>
      <c r="AA78" s="436"/>
      <c r="AB78" s="301"/>
    </row>
    <row r="79" spans="1:28" ht="15" customHeight="1" x14ac:dyDescent="0.2">
      <c r="A79" s="301"/>
      <c r="B79" s="436"/>
      <c r="C79" s="436"/>
      <c r="D79" s="436"/>
      <c r="E79" s="436"/>
      <c r="F79" s="436"/>
      <c r="G79" s="436"/>
      <c r="H79" s="436"/>
      <c r="I79" s="436"/>
      <c r="J79" s="436"/>
      <c r="K79" s="436"/>
      <c r="L79" s="436"/>
      <c r="M79" s="436"/>
      <c r="N79" s="436"/>
      <c r="O79" s="436"/>
      <c r="P79" s="436"/>
      <c r="Q79" s="436"/>
      <c r="R79" s="436"/>
      <c r="S79" s="436"/>
      <c r="T79" s="436"/>
      <c r="U79" s="436"/>
      <c r="V79" s="436"/>
      <c r="W79" s="436"/>
      <c r="X79" s="436"/>
      <c r="Y79" s="436"/>
      <c r="Z79" s="436"/>
      <c r="AA79" s="436"/>
      <c r="AB79" s="301"/>
    </row>
    <row r="80" spans="1:28" ht="15" customHeight="1" x14ac:dyDescent="0.2">
      <c r="A80" s="301"/>
      <c r="B80" s="436"/>
      <c r="C80" s="436"/>
      <c r="D80" s="436"/>
      <c r="E80" s="436"/>
      <c r="F80" s="436"/>
      <c r="G80" s="436"/>
      <c r="H80" s="436"/>
      <c r="I80" s="436"/>
      <c r="J80" s="436"/>
      <c r="K80" s="436"/>
      <c r="L80" s="436"/>
      <c r="M80" s="436"/>
      <c r="N80" s="436"/>
      <c r="O80" s="436"/>
      <c r="P80" s="436"/>
      <c r="Q80" s="436"/>
      <c r="R80" s="436"/>
      <c r="S80" s="436"/>
      <c r="T80" s="436"/>
      <c r="U80" s="436"/>
      <c r="V80" s="436"/>
      <c r="W80" s="436"/>
      <c r="X80" s="436"/>
      <c r="Y80" s="436"/>
      <c r="Z80" s="436"/>
      <c r="AA80" s="436"/>
      <c r="AB80" s="301"/>
    </row>
    <row r="81" spans="1:28" ht="15" customHeight="1" x14ac:dyDescent="0.2">
      <c r="A81" s="301"/>
      <c r="B81" s="436"/>
      <c r="C81" s="436"/>
      <c r="D81" s="436"/>
      <c r="E81" s="436"/>
      <c r="F81" s="436"/>
      <c r="G81" s="436"/>
      <c r="H81" s="436"/>
      <c r="I81" s="436"/>
      <c r="J81" s="436"/>
      <c r="K81" s="436"/>
      <c r="L81" s="436"/>
      <c r="M81" s="436"/>
      <c r="N81" s="436"/>
      <c r="O81" s="436"/>
      <c r="P81" s="436"/>
      <c r="Q81" s="436"/>
      <c r="R81" s="436"/>
      <c r="S81" s="436"/>
      <c r="T81" s="436"/>
      <c r="U81" s="436"/>
      <c r="V81" s="436"/>
      <c r="W81" s="436"/>
      <c r="X81" s="436"/>
      <c r="Y81" s="436"/>
      <c r="Z81" s="436"/>
      <c r="AA81" s="436"/>
      <c r="AB81" s="301"/>
    </row>
    <row r="82" spans="1:28" ht="15" customHeight="1" x14ac:dyDescent="0.2">
      <c r="A82" s="301"/>
      <c r="B82" s="436"/>
      <c r="C82" s="436"/>
      <c r="D82" s="436"/>
      <c r="E82" s="436"/>
      <c r="F82" s="436"/>
      <c r="G82" s="436"/>
      <c r="H82" s="436"/>
      <c r="I82" s="436"/>
      <c r="J82" s="436"/>
      <c r="K82" s="436"/>
      <c r="L82" s="436"/>
      <c r="M82" s="436"/>
      <c r="N82" s="436"/>
      <c r="O82" s="436"/>
      <c r="P82" s="436"/>
      <c r="Q82" s="436"/>
      <c r="R82" s="436"/>
      <c r="S82" s="436"/>
      <c r="T82" s="436"/>
      <c r="U82" s="436"/>
      <c r="V82" s="436"/>
      <c r="W82" s="436"/>
      <c r="X82" s="436"/>
      <c r="Y82" s="436"/>
      <c r="Z82" s="436"/>
      <c r="AA82" s="436"/>
      <c r="AB82" s="301"/>
    </row>
    <row r="83" spans="1:28" ht="15" customHeight="1" x14ac:dyDescent="0.2">
      <c r="A83" s="301"/>
      <c r="B83" s="436"/>
      <c r="C83" s="436"/>
      <c r="D83" s="436"/>
      <c r="E83" s="436"/>
      <c r="F83" s="436"/>
      <c r="G83" s="436"/>
      <c r="H83" s="436"/>
      <c r="I83" s="436"/>
      <c r="J83" s="436"/>
      <c r="K83" s="436"/>
      <c r="L83" s="436"/>
      <c r="M83" s="436"/>
      <c r="N83" s="436"/>
      <c r="O83" s="436"/>
      <c r="P83" s="436"/>
      <c r="Q83" s="436"/>
      <c r="R83" s="436"/>
      <c r="S83" s="436"/>
      <c r="T83" s="436"/>
      <c r="U83" s="436"/>
      <c r="V83" s="436"/>
      <c r="W83" s="436"/>
      <c r="X83" s="436"/>
      <c r="Y83" s="436"/>
      <c r="Z83" s="436"/>
      <c r="AA83" s="436"/>
      <c r="AB83" s="301"/>
    </row>
    <row r="84" spans="1:28" ht="15" customHeight="1" x14ac:dyDescent="0.2">
      <c r="A84" s="301"/>
      <c r="B84" s="436"/>
      <c r="C84" s="436"/>
      <c r="D84" s="436"/>
      <c r="E84" s="436"/>
      <c r="F84" s="436"/>
      <c r="G84" s="436"/>
      <c r="H84" s="436"/>
      <c r="I84" s="436"/>
      <c r="J84" s="436"/>
      <c r="K84" s="436"/>
      <c r="L84" s="436"/>
      <c r="M84" s="436"/>
      <c r="N84" s="436"/>
      <c r="O84" s="436"/>
      <c r="P84" s="436"/>
      <c r="Q84" s="436"/>
      <c r="R84" s="436"/>
      <c r="S84" s="436"/>
      <c r="T84" s="436"/>
      <c r="U84" s="436"/>
      <c r="V84" s="436"/>
      <c r="W84" s="436"/>
      <c r="X84" s="436"/>
      <c r="Y84" s="436"/>
      <c r="Z84" s="436"/>
      <c r="AA84" s="436"/>
      <c r="AB84" s="301"/>
    </row>
    <row r="85" spans="1:28" ht="15" customHeight="1" x14ac:dyDescent="0.2">
      <c r="A85" s="301"/>
      <c r="B85" s="436"/>
      <c r="C85" s="436"/>
      <c r="D85" s="436"/>
      <c r="E85" s="436"/>
      <c r="F85" s="436"/>
      <c r="G85" s="436"/>
      <c r="H85" s="436"/>
      <c r="I85" s="436"/>
      <c r="J85" s="436"/>
      <c r="K85" s="436"/>
      <c r="L85" s="436"/>
      <c r="M85" s="436"/>
      <c r="N85" s="436"/>
      <c r="O85" s="436"/>
      <c r="P85" s="436"/>
      <c r="Q85" s="436"/>
      <c r="R85" s="436"/>
      <c r="S85" s="436"/>
      <c r="T85" s="436"/>
      <c r="U85" s="436"/>
      <c r="V85" s="436"/>
      <c r="W85" s="436"/>
      <c r="X85" s="436"/>
      <c r="Y85" s="436"/>
      <c r="Z85" s="436"/>
      <c r="AA85" s="436"/>
      <c r="AB85" s="301"/>
    </row>
    <row r="86" spans="1:28" ht="15" customHeight="1" x14ac:dyDescent="0.2">
      <c r="A86" s="301"/>
      <c r="B86" s="436"/>
      <c r="C86" s="436"/>
      <c r="D86" s="436"/>
      <c r="E86" s="436"/>
      <c r="F86" s="436"/>
      <c r="G86" s="436"/>
      <c r="H86" s="436"/>
      <c r="I86" s="436"/>
      <c r="J86" s="436"/>
      <c r="K86" s="436"/>
      <c r="L86" s="436"/>
      <c r="M86" s="436"/>
      <c r="N86" s="436"/>
      <c r="O86" s="436"/>
      <c r="P86" s="436"/>
      <c r="Q86" s="436"/>
      <c r="R86" s="436"/>
      <c r="S86" s="436"/>
      <c r="T86" s="436"/>
      <c r="U86" s="436"/>
      <c r="V86" s="436"/>
      <c r="W86" s="436"/>
      <c r="X86" s="436"/>
      <c r="Y86" s="436"/>
      <c r="Z86" s="436"/>
      <c r="AA86" s="436"/>
      <c r="AB86" s="301"/>
    </row>
    <row r="87" spans="1:28" ht="15" customHeight="1" x14ac:dyDescent="0.2">
      <c r="A87" s="301"/>
      <c r="B87" s="436"/>
      <c r="C87" s="436"/>
      <c r="D87" s="436"/>
      <c r="E87" s="436"/>
      <c r="F87" s="436"/>
      <c r="G87" s="436"/>
      <c r="H87" s="436"/>
      <c r="I87" s="436"/>
      <c r="J87" s="436"/>
      <c r="K87" s="436"/>
      <c r="L87" s="436"/>
      <c r="M87" s="436"/>
      <c r="N87" s="436"/>
      <c r="O87" s="436"/>
      <c r="P87" s="436"/>
      <c r="Q87" s="436"/>
      <c r="R87" s="436"/>
      <c r="S87" s="436"/>
      <c r="T87" s="436"/>
      <c r="U87" s="436"/>
      <c r="V87" s="436"/>
      <c r="W87" s="436"/>
      <c r="X87" s="436"/>
      <c r="Y87" s="436"/>
      <c r="Z87" s="436"/>
      <c r="AA87" s="436"/>
      <c r="AB87" s="301"/>
    </row>
    <row r="88" spans="1:28" ht="15" customHeight="1" x14ac:dyDescent="0.2">
      <c r="A88" s="301"/>
      <c r="B88" s="436"/>
      <c r="C88" s="436"/>
      <c r="D88" s="436"/>
      <c r="E88" s="436"/>
      <c r="F88" s="436"/>
      <c r="G88" s="436"/>
      <c r="H88" s="436"/>
      <c r="I88" s="436"/>
      <c r="J88" s="436"/>
      <c r="K88" s="436"/>
      <c r="L88" s="436"/>
      <c r="M88" s="436"/>
      <c r="N88" s="436"/>
      <c r="O88" s="436"/>
      <c r="P88" s="436"/>
      <c r="Q88" s="436"/>
      <c r="R88" s="436"/>
      <c r="S88" s="436"/>
      <c r="T88" s="436"/>
      <c r="U88" s="436"/>
      <c r="V88" s="436"/>
      <c r="W88" s="436"/>
      <c r="X88" s="436"/>
      <c r="Y88" s="436"/>
      <c r="Z88" s="436"/>
      <c r="AA88" s="436"/>
      <c r="AB88" s="301"/>
    </row>
    <row r="89" spans="1:28" ht="15" customHeight="1" x14ac:dyDescent="0.2">
      <c r="A89" s="301"/>
      <c r="B89" s="436"/>
      <c r="C89" s="436"/>
      <c r="D89" s="436"/>
      <c r="E89" s="436"/>
      <c r="F89" s="436"/>
      <c r="G89" s="436"/>
      <c r="H89" s="436"/>
      <c r="I89" s="436"/>
      <c r="J89" s="436"/>
      <c r="K89" s="436"/>
      <c r="L89" s="436"/>
      <c r="M89" s="436"/>
      <c r="N89" s="436"/>
      <c r="O89" s="436"/>
      <c r="P89" s="436"/>
      <c r="Q89" s="436"/>
      <c r="R89" s="436"/>
      <c r="S89" s="436"/>
      <c r="T89" s="436"/>
      <c r="U89" s="436"/>
      <c r="V89" s="436"/>
      <c r="W89" s="436"/>
      <c r="X89" s="436"/>
      <c r="Y89" s="436"/>
      <c r="Z89" s="436"/>
      <c r="AA89" s="436"/>
      <c r="AB89" s="301"/>
    </row>
    <row r="90" spans="1:28" ht="15" customHeight="1" x14ac:dyDescent="0.2">
      <c r="A90" s="301"/>
      <c r="B90" s="436"/>
      <c r="C90" s="436"/>
      <c r="D90" s="436"/>
      <c r="E90" s="436"/>
      <c r="F90" s="436"/>
      <c r="G90" s="436"/>
      <c r="H90" s="436"/>
      <c r="I90" s="436"/>
      <c r="J90" s="436"/>
      <c r="K90" s="436"/>
      <c r="L90" s="436"/>
      <c r="M90" s="436"/>
      <c r="N90" s="436"/>
      <c r="O90" s="436"/>
      <c r="P90" s="436"/>
      <c r="Q90" s="436"/>
      <c r="R90" s="436"/>
      <c r="S90" s="436"/>
      <c r="T90" s="436"/>
      <c r="U90" s="436"/>
      <c r="V90" s="436"/>
      <c r="W90" s="436"/>
      <c r="X90" s="436"/>
      <c r="Y90" s="436"/>
      <c r="Z90" s="436"/>
      <c r="AA90" s="436"/>
      <c r="AB90" s="301"/>
    </row>
    <row r="91" spans="1:28" ht="15" customHeight="1" x14ac:dyDescent="0.2">
      <c r="A91" s="301"/>
      <c r="B91" s="436"/>
      <c r="C91" s="436"/>
      <c r="D91" s="436"/>
      <c r="E91" s="436"/>
      <c r="F91" s="436"/>
      <c r="G91" s="436"/>
      <c r="H91" s="436"/>
      <c r="I91" s="436"/>
      <c r="J91" s="436"/>
      <c r="K91" s="436"/>
      <c r="L91" s="436"/>
      <c r="M91" s="436"/>
      <c r="N91" s="436"/>
      <c r="O91" s="436"/>
      <c r="P91" s="436"/>
      <c r="Q91" s="436"/>
      <c r="R91" s="436"/>
      <c r="S91" s="436"/>
      <c r="T91" s="436"/>
      <c r="U91" s="436"/>
      <c r="V91" s="436"/>
      <c r="W91" s="436"/>
      <c r="X91" s="436"/>
      <c r="Y91" s="436"/>
      <c r="Z91" s="436"/>
      <c r="AA91" s="436"/>
      <c r="AB91" s="301"/>
    </row>
    <row r="92" spans="1:28" ht="15" customHeight="1" x14ac:dyDescent="0.2">
      <c r="A92" s="301"/>
      <c r="B92" s="436"/>
      <c r="C92" s="436"/>
      <c r="D92" s="436"/>
      <c r="E92" s="436"/>
      <c r="F92" s="436"/>
      <c r="G92" s="436"/>
      <c r="H92" s="436"/>
      <c r="I92" s="436"/>
      <c r="J92" s="436"/>
      <c r="K92" s="436"/>
      <c r="L92" s="436"/>
      <c r="M92" s="436"/>
      <c r="N92" s="436"/>
      <c r="O92" s="436"/>
      <c r="P92" s="436"/>
      <c r="Q92" s="436"/>
      <c r="R92" s="436"/>
      <c r="S92" s="436"/>
      <c r="T92" s="436"/>
      <c r="U92" s="436"/>
      <c r="V92" s="436"/>
      <c r="W92" s="436"/>
      <c r="X92" s="436"/>
      <c r="Y92" s="436"/>
      <c r="Z92" s="436"/>
      <c r="AA92" s="436"/>
      <c r="AB92" s="301"/>
    </row>
    <row r="93" spans="1:28" ht="15" customHeight="1" x14ac:dyDescent="0.2">
      <c r="A93" s="301"/>
      <c r="B93" s="436"/>
      <c r="C93" s="436"/>
      <c r="D93" s="436"/>
      <c r="E93" s="436"/>
      <c r="F93" s="436"/>
      <c r="G93" s="436"/>
      <c r="H93" s="436"/>
      <c r="I93" s="436"/>
      <c r="J93" s="436"/>
      <c r="K93" s="436"/>
      <c r="L93" s="436"/>
      <c r="M93" s="436"/>
      <c r="N93" s="436"/>
      <c r="O93" s="436"/>
      <c r="P93" s="436"/>
      <c r="Q93" s="436"/>
      <c r="R93" s="436"/>
      <c r="S93" s="436"/>
      <c r="T93" s="436"/>
      <c r="U93" s="436"/>
      <c r="V93" s="436"/>
      <c r="W93" s="436"/>
      <c r="X93" s="436"/>
      <c r="Y93" s="436"/>
      <c r="Z93" s="436"/>
      <c r="AA93" s="436"/>
      <c r="AB93" s="301"/>
    </row>
    <row r="94" spans="1:28" ht="15" customHeight="1" x14ac:dyDescent="0.2">
      <c r="A94" s="301"/>
      <c r="B94" s="436"/>
      <c r="C94" s="436"/>
      <c r="D94" s="436"/>
      <c r="E94" s="436"/>
      <c r="F94" s="436"/>
      <c r="G94" s="436"/>
      <c r="H94" s="436"/>
      <c r="I94" s="436"/>
      <c r="J94" s="436"/>
      <c r="K94" s="436"/>
      <c r="L94" s="436"/>
      <c r="M94" s="436"/>
      <c r="N94" s="436"/>
      <c r="O94" s="436"/>
      <c r="P94" s="436"/>
      <c r="Q94" s="436"/>
      <c r="R94" s="436"/>
      <c r="S94" s="436"/>
      <c r="T94" s="436"/>
      <c r="U94" s="436"/>
      <c r="V94" s="436"/>
      <c r="W94" s="436"/>
      <c r="X94" s="436"/>
      <c r="Y94" s="436"/>
      <c r="Z94" s="436"/>
      <c r="AA94" s="436"/>
      <c r="AB94" s="301"/>
    </row>
    <row r="95" spans="1:28" ht="15" customHeight="1" x14ac:dyDescent="0.2">
      <c r="A95" s="301"/>
      <c r="B95" s="436"/>
      <c r="C95" s="436"/>
      <c r="D95" s="436"/>
      <c r="E95" s="436"/>
      <c r="F95" s="436"/>
      <c r="G95" s="436"/>
      <c r="H95" s="436"/>
      <c r="I95" s="436"/>
      <c r="J95" s="436"/>
      <c r="K95" s="436"/>
      <c r="L95" s="436"/>
      <c r="M95" s="436"/>
      <c r="N95" s="436"/>
      <c r="O95" s="436"/>
      <c r="P95" s="436"/>
      <c r="Q95" s="436"/>
      <c r="R95" s="436"/>
      <c r="S95" s="436"/>
      <c r="T95" s="436"/>
      <c r="U95" s="436"/>
      <c r="V95" s="436"/>
      <c r="W95" s="436"/>
      <c r="X95" s="436"/>
      <c r="Y95" s="436"/>
      <c r="Z95" s="436"/>
      <c r="AA95" s="436"/>
      <c r="AB95" s="301"/>
    </row>
    <row r="96" spans="1:28" ht="15" customHeight="1" x14ac:dyDescent="0.2">
      <c r="A96" s="301"/>
      <c r="B96" s="436"/>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c r="AA96" s="436"/>
      <c r="AB96" s="301"/>
    </row>
    <row r="97" spans="1:28" ht="15" customHeight="1" x14ac:dyDescent="0.2">
      <c r="A97" s="301"/>
      <c r="B97" s="436"/>
      <c r="C97" s="436"/>
      <c r="D97" s="436"/>
      <c r="E97" s="436"/>
      <c r="F97" s="436"/>
      <c r="G97" s="436"/>
      <c r="H97" s="436"/>
      <c r="I97" s="436"/>
      <c r="J97" s="436"/>
      <c r="K97" s="436"/>
      <c r="L97" s="436"/>
      <c r="M97" s="436"/>
      <c r="N97" s="436"/>
      <c r="O97" s="436"/>
      <c r="P97" s="436"/>
      <c r="Q97" s="436"/>
      <c r="R97" s="436"/>
      <c r="S97" s="436"/>
      <c r="T97" s="436"/>
      <c r="U97" s="436"/>
      <c r="V97" s="436"/>
      <c r="W97" s="436"/>
      <c r="X97" s="436"/>
      <c r="Y97" s="436"/>
      <c r="Z97" s="436"/>
      <c r="AA97" s="436"/>
      <c r="AB97" s="301"/>
    </row>
    <row r="98" spans="1:28" ht="15" customHeight="1" x14ac:dyDescent="0.2">
      <c r="A98" s="301"/>
      <c r="B98" s="436"/>
      <c r="C98" s="436"/>
      <c r="D98" s="436"/>
      <c r="E98" s="436"/>
      <c r="F98" s="436"/>
      <c r="G98" s="436"/>
      <c r="H98" s="436"/>
      <c r="I98" s="436"/>
      <c r="J98" s="436"/>
      <c r="K98" s="436"/>
      <c r="L98" s="436"/>
      <c r="M98" s="436"/>
      <c r="N98" s="436"/>
      <c r="O98" s="436"/>
      <c r="P98" s="436"/>
      <c r="Q98" s="436"/>
      <c r="R98" s="436"/>
      <c r="S98" s="436"/>
      <c r="T98" s="436"/>
      <c r="U98" s="436"/>
      <c r="V98" s="436"/>
      <c r="W98" s="436"/>
      <c r="X98" s="436"/>
      <c r="Y98" s="436"/>
      <c r="Z98" s="436"/>
      <c r="AA98" s="436"/>
      <c r="AB98" s="301"/>
    </row>
    <row r="99" spans="1:28" ht="15" customHeight="1" x14ac:dyDescent="0.2">
      <c r="A99" s="301"/>
      <c r="B99" s="436"/>
      <c r="C99" s="436"/>
      <c r="D99" s="436"/>
      <c r="E99" s="436"/>
      <c r="F99" s="436"/>
      <c r="G99" s="436"/>
      <c r="H99" s="436"/>
      <c r="I99" s="436"/>
      <c r="J99" s="436"/>
      <c r="K99" s="436"/>
      <c r="L99" s="436"/>
      <c r="M99" s="436"/>
      <c r="N99" s="436"/>
      <c r="O99" s="436"/>
      <c r="P99" s="436"/>
      <c r="Q99" s="436"/>
      <c r="R99" s="436"/>
      <c r="S99" s="436"/>
      <c r="T99" s="436"/>
      <c r="U99" s="436"/>
      <c r="V99" s="436"/>
      <c r="W99" s="436"/>
      <c r="X99" s="436"/>
      <c r="Y99" s="436"/>
      <c r="Z99" s="436"/>
      <c r="AA99" s="436"/>
      <c r="AB99" s="301"/>
    </row>
    <row r="100" spans="1:28" ht="15" customHeight="1" x14ac:dyDescent="0.2">
      <c r="A100" s="301"/>
      <c r="B100" s="436"/>
      <c r="C100" s="436"/>
      <c r="D100" s="436"/>
      <c r="E100" s="436"/>
      <c r="F100" s="436"/>
      <c r="G100" s="436"/>
      <c r="H100" s="436"/>
      <c r="I100" s="436"/>
      <c r="J100" s="436"/>
      <c r="K100" s="436"/>
      <c r="L100" s="436"/>
      <c r="M100" s="436"/>
      <c r="N100" s="436"/>
      <c r="O100" s="436"/>
      <c r="P100" s="436"/>
      <c r="Q100" s="436"/>
      <c r="R100" s="436"/>
      <c r="S100" s="436"/>
      <c r="T100" s="436"/>
      <c r="U100" s="436"/>
      <c r="V100" s="436"/>
      <c r="W100" s="436"/>
      <c r="X100" s="436"/>
      <c r="Y100" s="436"/>
      <c r="Z100" s="436"/>
      <c r="AA100" s="436"/>
      <c r="AB100" s="301"/>
    </row>
    <row r="101" spans="1:28" ht="15" customHeight="1" x14ac:dyDescent="0.2">
      <c r="A101" s="301"/>
      <c r="B101" s="436"/>
      <c r="C101" s="436"/>
      <c r="D101" s="436"/>
      <c r="E101" s="436"/>
      <c r="F101" s="436"/>
      <c r="G101" s="436"/>
      <c r="H101" s="436"/>
      <c r="I101" s="436"/>
      <c r="J101" s="436"/>
      <c r="K101" s="436"/>
      <c r="L101" s="436"/>
      <c r="M101" s="436"/>
      <c r="N101" s="436"/>
      <c r="O101" s="436"/>
      <c r="P101" s="436"/>
      <c r="Q101" s="436"/>
      <c r="R101" s="436"/>
      <c r="S101" s="436"/>
      <c r="T101" s="436"/>
      <c r="U101" s="436"/>
      <c r="V101" s="436"/>
      <c r="W101" s="436"/>
      <c r="X101" s="436"/>
      <c r="Y101" s="436"/>
      <c r="Z101" s="436"/>
      <c r="AA101" s="436"/>
      <c r="AB101" s="301"/>
    </row>
    <row r="102" spans="1:28" ht="15" customHeight="1" x14ac:dyDescent="0.2">
      <c r="A102" s="301"/>
      <c r="B102" s="436"/>
      <c r="C102" s="436"/>
      <c r="D102" s="436"/>
      <c r="E102" s="436"/>
      <c r="F102" s="436"/>
      <c r="G102" s="436"/>
      <c r="H102" s="436"/>
      <c r="I102" s="436"/>
      <c r="J102" s="436"/>
      <c r="K102" s="436"/>
      <c r="L102" s="436"/>
      <c r="M102" s="436"/>
      <c r="N102" s="436"/>
      <c r="O102" s="436"/>
      <c r="P102" s="436"/>
      <c r="Q102" s="436"/>
      <c r="R102" s="436"/>
      <c r="S102" s="436"/>
      <c r="T102" s="436"/>
      <c r="U102" s="436"/>
      <c r="V102" s="436"/>
      <c r="W102" s="436"/>
      <c r="X102" s="436"/>
      <c r="Y102" s="436"/>
      <c r="Z102" s="436"/>
      <c r="AA102" s="436"/>
      <c r="AB102" s="301"/>
    </row>
    <row r="103" spans="1:28" ht="15" customHeight="1" x14ac:dyDescent="0.2">
      <c r="A103" s="301"/>
      <c r="B103" s="436"/>
      <c r="C103" s="436"/>
      <c r="D103" s="436"/>
      <c r="E103" s="436"/>
      <c r="F103" s="436"/>
      <c r="G103" s="436"/>
      <c r="H103" s="436"/>
      <c r="I103" s="436"/>
      <c r="J103" s="436"/>
      <c r="K103" s="436"/>
      <c r="L103" s="436"/>
      <c r="M103" s="436"/>
      <c r="N103" s="436"/>
      <c r="O103" s="436"/>
      <c r="P103" s="436"/>
      <c r="Q103" s="436"/>
      <c r="R103" s="436"/>
      <c r="S103" s="436"/>
      <c r="T103" s="436"/>
      <c r="U103" s="436"/>
      <c r="V103" s="436"/>
      <c r="W103" s="436"/>
      <c r="X103" s="436"/>
      <c r="Y103" s="436"/>
      <c r="Z103" s="436"/>
      <c r="AA103" s="436"/>
      <c r="AB103" s="301"/>
    </row>
    <row r="104" spans="1:28" ht="15" customHeight="1" x14ac:dyDescent="0.2">
      <c r="A104" s="301"/>
      <c r="B104" s="436"/>
      <c r="C104" s="436"/>
      <c r="D104" s="436"/>
      <c r="E104" s="436"/>
      <c r="F104" s="436"/>
      <c r="G104" s="436"/>
      <c r="H104" s="436"/>
      <c r="I104" s="436"/>
      <c r="J104" s="436"/>
      <c r="K104" s="436"/>
      <c r="L104" s="436"/>
      <c r="M104" s="436"/>
      <c r="N104" s="436"/>
      <c r="O104" s="436"/>
      <c r="P104" s="436"/>
      <c r="Q104" s="436"/>
      <c r="R104" s="436"/>
      <c r="S104" s="436"/>
      <c r="T104" s="436"/>
      <c r="U104" s="436"/>
      <c r="V104" s="436"/>
      <c r="W104" s="436"/>
      <c r="X104" s="436"/>
      <c r="Y104" s="436"/>
      <c r="Z104" s="436"/>
      <c r="AA104" s="436"/>
      <c r="AB104" s="301"/>
    </row>
    <row r="105" spans="1:28" ht="15" customHeight="1" x14ac:dyDescent="0.2">
      <c r="A105" s="301"/>
      <c r="B105" s="436"/>
      <c r="C105" s="436"/>
      <c r="D105" s="436"/>
      <c r="E105" s="436"/>
      <c r="F105" s="436"/>
      <c r="G105" s="436"/>
      <c r="H105" s="436"/>
      <c r="I105" s="436"/>
      <c r="J105" s="436"/>
      <c r="K105" s="436"/>
      <c r="L105" s="436"/>
      <c r="M105" s="436"/>
      <c r="N105" s="436"/>
      <c r="O105" s="436"/>
      <c r="P105" s="436"/>
      <c r="Q105" s="436"/>
      <c r="R105" s="436"/>
      <c r="S105" s="436"/>
      <c r="T105" s="436"/>
      <c r="U105" s="436"/>
      <c r="V105" s="436"/>
      <c r="W105" s="436"/>
      <c r="X105" s="436"/>
      <c r="Y105" s="436"/>
      <c r="Z105" s="436"/>
      <c r="AA105" s="436"/>
      <c r="AB105" s="301"/>
    </row>
    <row r="106" spans="1:28" ht="15" customHeight="1" x14ac:dyDescent="0.2">
      <c r="A106" s="301"/>
      <c r="B106" s="436"/>
      <c r="C106" s="436"/>
      <c r="D106" s="436"/>
      <c r="E106" s="436"/>
      <c r="F106" s="436"/>
      <c r="G106" s="436"/>
      <c r="H106" s="436"/>
      <c r="I106" s="436"/>
      <c r="J106" s="436"/>
      <c r="K106" s="436"/>
      <c r="L106" s="436"/>
      <c r="M106" s="436"/>
      <c r="N106" s="436"/>
      <c r="O106" s="436"/>
      <c r="P106" s="436"/>
      <c r="Q106" s="436"/>
      <c r="R106" s="436"/>
      <c r="S106" s="436"/>
      <c r="T106" s="436"/>
      <c r="U106" s="436"/>
      <c r="V106" s="436"/>
      <c r="W106" s="436"/>
      <c r="X106" s="436"/>
      <c r="Y106" s="436"/>
      <c r="Z106" s="436"/>
      <c r="AA106" s="436"/>
      <c r="AB106" s="301"/>
    </row>
    <row r="107" spans="1:28" ht="15" customHeight="1" x14ac:dyDescent="0.2">
      <c r="A107" s="301"/>
      <c r="B107" s="436"/>
      <c r="C107" s="436"/>
      <c r="D107" s="436"/>
      <c r="E107" s="436"/>
      <c r="F107" s="436"/>
      <c r="G107" s="436"/>
      <c r="H107" s="436"/>
      <c r="I107" s="436"/>
      <c r="J107" s="436"/>
      <c r="K107" s="436"/>
      <c r="L107" s="436"/>
      <c r="M107" s="436"/>
      <c r="N107" s="436"/>
      <c r="O107" s="436"/>
      <c r="P107" s="436"/>
      <c r="Q107" s="436"/>
      <c r="R107" s="436"/>
      <c r="S107" s="436"/>
      <c r="T107" s="436"/>
      <c r="U107" s="436"/>
      <c r="V107" s="436"/>
      <c r="W107" s="436"/>
      <c r="X107" s="436"/>
      <c r="Y107" s="436"/>
      <c r="Z107" s="436"/>
      <c r="AA107" s="436"/>
      <c r="AB107" s="301"/>
    </row>
    <row r="108" spans="1:28" ht="15" customHeight="1" x14ac:dyDescent="0.2">
      <c r="A108" s="301"/>
      <c r="B108" s="436"/>
      <c r="C108" s="436"/>
      <c r="D108" s="436"/>
      <c r="E108" s="436"/>
      <c r="F108" s="436"/>
      <c r="G108" s="436"/>
      <c r="H108" s="436"/>
      <c r="I108" s="436"/>
      <c r="J108" s="436"/>
      <c r="K108" s="436"/>
      <c r="L108" s="436"/>
      <c r="M108" s="436"/>
      <c r="N108" s="436"/>
      <c r="O108" s="436"/>
      <c r="P108" s="436"/>
      <c r="Q108" s="436"/>
      <c r="R108" s="436"/>
      <c r="S108" s="436"/>
      <c r="T108" s="436"/>
      <c r="U108" s="436"/>
      <c r="V108" s="436"/>
      <c r="W108" s="436"/>
      <c r="X108" s="436"/>
      <c r="Y108" s="436"/>
      <c r="Z108" s="436"/>
      <c r="AA108" s="436"/>
      <c r="AB108" s="301"/>
    </row>
    <row r="109" spans="1:28" ht="15" customHeight="1" x14ac:dyDescent="0.2">
      <c r="A109" s="301"/>
      <c r="B109" s="436"/>
      <c r="C109" s="436"/>
      <c r="D109" s="436"/>
      <c r="E109" s="436"/>
      <c r="F109" s="436"/>
      <c r="G109" s="436"/>
      <c r="H109" s="436"/>
      <c r="I109" s="436"/>
      <c r="J109" s="436"/>
      <c r="K109" s="436"/>
      <c r="L109" s="436"/>
      <c r="M109" s="436"/>
      <c r="N109" s="436"/>
      <c r="O109" s="436"/>
      <c r="P109" s="436"/>
      <c r="Q109" s="436"/>
      <c r="R109" s="436"/>
      <c r="S109" s="436"/>
      <c r="T109" s="436"/>
      <c r="U109" s="436"/>
      <c r="V109" s="436"/>
      <c r="W109" s="436"/>
      <c r="X109" s="436"/>
      <c r="Y109" s="436"/>
      <c r="Z109" s="436"/>
      <c r="AA109" s="436"/>
      <c r="AB109" s="301"/>
    </row>
    <row r="110" spans="1:28" ht="15" customHeight="1" x14ac:dyDescent="0.2">
      <c r="A110" s="301"/>
      <c r="B110" s="436"/>
      <c r="C110" s="436"/>
      <c r="D110" s="436"/>
      <c r="E110" s="436"/>
      <c r="F110" s="436"/>
      <c r="G110" s="436"/>
      <c r="H110" s="436"/>
      <c r="I110" s="436"/>
      <c r="J110" s="436"/>
      <c r="K110" s="436"/>
      <c r="L110" s="436"/>
      <c r="M110" s="436"/>
      <c r="N110" s="436"/>
      <c r="O110" s="436"/>
      <c r="P110" s="436"/>
      <c r="Q110" s="436"/>
      <c r="R110" s="436"/>
      <c r="S110" s="436"/>
      <c r="T110" s="436"/>
      <c r="U110" s="436"/>
      <c r="V110" s="436"/>
      <c r="W110" s="436"/>
      <c r="X110" s="436"/>
      <c r="Y110" s="436"/>
      <c r="Z110" s="436"/>
      <c r="AA110" s="436"/>
      <c r="AB110" s="301"/>
    </row>
    <row r="111" spans="1:28" ht="19.5" customHeight="1" x14ac:dyDescent="0.2">
      <c r="A111" s="301"/>
      <c r="B111" s="1459"/>
      <c r="C111" s="1459"/>
      <c r="D111" s="1459"/>
      <c r="E111" s="1459"/>
      <c r="F111" s="1459"/>
      <c r="G111" s="1459"/>
      <c r="H111" s="1459"/>
      <c r="I111" s="1459"/>
      <c r="J111" s="1459"/>
      <c r="K111" s="1459"/>
      <c r="L111" s="1459"/>
      <c r="M111" s="1459"/>
      <c r="N111" s="1459"/>
      <c r="O111" s="1459"/>
      <c r="P111" s="1459"/>
      <c r="Q111" s="1459"/>
      <c r="R111" s="1459"/>
      <c r="S111" s="1459"/>
      <c r="T111" s="1459"/>
      <c r="U111" s="1459"/>
      <c r="V111" s="1459"/>
      <c r="W111" s="1459"/>
      <c r="X111" s="1459"/>
      <c r="Y111" s="1459"/>
      <c r="Z111" s="1459"/>
      <c r="AA111" s="1459"/>
      <c r="AB111" s="301"/>
    </row>
    <row r="112" spans="1:28" ht="19.5" customHeight="1" x14ac:dyDescent="0.2">
      <c r="A112" s="301"/>
      <c r="B112" s="1459"/>
      <c r="C112" s="1459"/>
      <c r="D112" s="1459"/>
      <c r="E112" s="1459"/>
      <c r="F112" s="1459"/>
      <c r="G112" s="1459"/>
      <c r="H112" s="1459"/>
      <c r="I112" s="1459"/>
      <c r="J112" s="1166"/>
      <c r="K112" s="1166"/>
      <c r="L112" s="1166"/>
      <c r="M112" s="1166"/>
      <c r="N112" s="1166"/>
      <c r="O112" s="1166"/>
      <c r="P112" s="1166"/>
      <c r="Q112" s="1166"/>
      <c r="R112" s="1166"/>
      <c r="S112" s="1166"/>
      <c r="T112" s="1166"/>
      <c r="U112" s="1166"/>
      <c r="V112" s="1166"/>
      <c r="W112" s="1166"/>
      <c r="X112" s="1166"/>
      <c r="Y112" s="1166"/>
      <c r="Z112" s="1166"/>
      <c r="AA112" s="1166"/>
      <c r="AB112" s="301"/>
    </row>
    <row r="113" spans="1:28" ht="15" customHeight="1" x14ac:dyDescent="0.2">
      <c r="A113" s="301"/>
      <c r="B113" s="436"/>
      <c r="C113" s="436"/>
      <c r="D113" s="436"/>
      <c r="E113" s="436"/>
      <c r="F113" s="436"/>
      <c r="G113" s="436"/>
      <c r="H113" s="436"/>
      <c r="I113" s="436"/>
      <c r="J113" s="436"/>
      <c r="K113" s="436"/>
      <c r="L113" s="436"/>
      <c r="M113" s="436"/>
      <c r="N113" s="436"/>
      <c r="O113" s="436"/>
      <c r="P113" s="436"/>
      <c r="Q113" s="436"/>
      <c r="R113" s="436"/>
      <c r="S113" s="436"/>
      <c r="T113" s="436"/>
      <c r="U113" s="436"/>
      <c r="V113" s="436"/>
      <c r="W113" s="436"/>
      <c r="X113" s="436"/>
      <c r="Y113" s="436"/>
      <c r="Z113" s="436"/>
      <c r="AA113" s="436"/>
      <c r="AB113" s="301"/>
    </row>
    <row r="114" spans="1:28" ht="15" customHeight="1" x14ac:dyDescent="0.2">
      <c r="A114" s="301"/>
      <c r="B114" s="436"/>
      <c r="C114" s="436"/>
      <c r="D114" s="436"/>
      <c r="E114" s="1458" t="s">
        <v>427</v>
      </c>
      <c r="F114" s="1458"/>
      <c r="G114" s="1458"/>
      <c r="H114" s="1458"/>
      <c r="I114" s="436"/>
      <c r="J114" s="436"/>
      <c r="K114" s="436"/>
      <c r="L114" s="436"/>
      <c r="M114" s="436"/>
      <c r="N114" s="436"/>
      <c r="O114" s="436"/>
      <c r="P114" s="436"/>
      <c r="Q114" s="436"/>
      <c r="R114" s="436"/>
      <c r="S114" s="436"/>
      <c r="T114" s="436"/>
      <c r="U114" s="436"/>
      <c r="V114" s="436"/>
      <c r="W114" s="436"/>
      <c r="X114" s="436"/>
      <c r="Y114" s="436"/>
      <c r="Z114" s="436"/>
      <c r="AA114" s="436"/>
      <c r="AB114" s="301"/>
    </row>
    <row r="115" spans="1:28" ht="15" customHeight="1" x14ac:dyDescent="0.2">
      <c r="A115" s="301"/>
      <c r="B115" s="436"/>
      <c r="C115" s="436"/>
      <c r="D115" s="436"/>
      <c r="E115" s="436"/>
      <c r="F115" s="436"/>
      <c r="G115" s="436"/>
      <c r="H115" s="436"/>
      <c r="I115" s="436"/>
      <c r="J115" s="436"/>
      <c r="K115" s="436"/>
      <c r="L115" s="436"/>
      <c r="M115" s="436"/>
      <c r="N115" s="436"/>
      <c r="O115" s="436"/>
      <c r="P115" s="436"/>
      <c r="Q115" s="436"/>
      <c r="R115" s="436"/>
      <c r="S115" s="436"/>
      <c r="T115" s="436"/>
      <c r="U115" s="436"/>
      <c r="V115" s="436"/>
      <c r="W115" s="436"/>
      <c r="X115" s="436"/>
      <c r="Y115" s="436"/>
      <c r="Z115" s="436"/>
      <c r="AA115" s="436"/>
      <c r="AB115" s="301"/>
    </row>
    <row r="116" spans="1:28" ht="18" customHeight="1" x14ac:dyDescent="0.2">
      <c r="A116" s="301"/>
      <c r="B116" s="436"/>
      <c r="C116" s="436"/>
      <c r="D116" s="436"/>
      <c r="E116" s="1467" t="s">
        <v>419</v>
      </c>
      <c r="F116" s="1467"/>
      <c r="G116" s="1467"/>
      <c r="H116" s="1467"/>
      <c r="I116" s="1467"/>
      <c r="J116" s="1167" t="s">
        <v>429</v>
      </c>
      <c r="K116" s="1458" t="s">
        <v>430</v>
      </c>
      <c r="L116" s="1458"/>
      <c r="M116" s="1458"/>
      <c r="N116" s="1458"/>
      <c r="O116" s="1458"/>
      <c r="P116" s="1458"/>
      <c r="Q116" s="1458"/>
      <c r="R116" s="1458"/>
      <c r="S116" s="1458"/>
      <c r="T116" s="1458"/>
      <c r="U116" s="1458"/>
      <c r="V116" s="1458"/>
      <c r="W116" s="1458"/>
      <c r="X116" s="1458"/>
      <c r="Y116" s="1458"/>
      <c r="Z116" s="1458"/>
      <c r="AA116" s="436"/>
      <c r="AB116" s="301"/>
    </row>
    <row r="117" spans="1:28" ht="18" customHeight="1" x14ac:dyDescent="0.2">
      <c r="A117" s="301"/>
      <c r="B117" s="436"/>
      <c r="C117" s="436"/>
      <c r="D117" s="436"/>
      <c r="E117" s="1463" t="s">
        <v>420</v>
      </c>
      <c r="F117" s="1463"/>
      <c r="G117" s="1463"/>
      <c r="H117" s="1463"/>
      <c r="I117" s="1463"/>
      <c r="J117" s="1167" t="s">
        <v>429</v>
      </c>
      <c r="K117" s="1458" t="s">
        <v>431</v>
      </c>
      <c r="L117" s="1458"/>
      <c r="M117" s="1458"/>
      <c r="N117" s="1458"/>
      <c r="O117" s="1458"/>
      <c r="P117" s="1458"/>
      <c r="Q117" s="1458"/>
      <c r="R117" s="1458"/>
      <c r="S117" s="1458"/>
      <c r="T117" s="1458"/>
      <c r="U117" s="1458"/>
      <c r="V117" s="1458"/>
      <c r="W117" s="1458"/>
      <c r="X117" s="1458"/>
      <c r="Y117" s="1458"/>
      <c r="Z117" s="1458"/>
      <c r="AA117" s="436"/>
      <c r="AB117" s="301"/>
    </row>
    <row r="118" spans="1:28" ht="18" customHeight="1" x14ac:dyDescent="0.2">
      <c r="A118" s="301"/>
      <c r="B118" s="436"/>
      <c r="C118" s="436"/>
      <c r="D118" s="436"/>
      <c r="E118" s="1464" t="s">
        <v>421</v>
      </c>
      <c r="F118" s="1464"/>
      <c r="G118" s="1464"/>
      <c r="H118" s="1464"/>
      <c r="I118" s="1464"/>
      <c r="J118" s="1167" t="s">
        <v>429</v>
      </c>
      <c r="K118" s="1458" t="s">
        <v>432</v>
      </c>
      <c r="L118" s="1458"/>
      <c r="M118" s="1458"/>
      <c r="N118" s="1458"/>
      <c r="O118" s="1458"/>
      <c r="P118" s="1458"/>
      <c r="Q118" s="1458"/>
      <c r="R118" s="1458"/>
      <c r="S118" s="1458"/>
      <c r="T118" s="1458"/>
      <c r="U118" s="1458"/>
      <c r="V118" s="1458"/>
      <c r="W118" s="1458"/>
      <c r="X118" s="1458"/>
      <c r="Y118" s="1458"/>
      <c r="Z118" s="1458"/>
      <c r="AA118" s="436"/>
      <c r="AB118" s="301"/>
    </row>
    <row r="119" spans="1:28" ht="18" customHeight="1" x14ac:dyDescent="0.2">
      <c r="A119" s="301"/>
      <c r="B119" s="436"/>
      <c r="C119" s="436"/>
      <c r="D119" s="436"/>
      <c r="E119" s="1465" t="s">
        <v>422</v>
      </c>
      <c r="F119" s="1465"/>
      <c r="G119" s="1465"/>
      <c r="H119" s="1465"/>
      <c r="I119" s="1465"/>
      <c r="J119" s="1167" t="s">
        <v>429</v>
      </c>
      <c r="K119" s="1458" t="s">
        <v>433</v>
      </c>
      <c r="L119" s="1458"/>
      <c r="M119" s="1458"/>
      <c r="N119" s="1458"/>
      <c r="O119" s="1458"/>
      <c r="P119" s="1458"/>
      <c r="Q119" s="1458"/>
      <c r="R119" s="1458"/>
      <c r="S119" s="1458"/>
      <c r="T119" s="1458"/>
      <c r="U119" s="1458"/>
      <c r="V119" s="1458"/>
      <c r="W119" s="1458"/>
      <c r="X119" s="1458"/>
      <c r="Y119" s="1458"/>
      <c r="Z119" s="1458"/>
      <c r="AA119" s="436"/>
      <c r="AB119" s="301"/>
    </row>
    <row r="120" spans="1:28" ht="18" customHeight="1" x14ac:dyDescent="0.2">
      <c r="A120" s="301"/>
      <c r="B120" s="436"/>
      <c r="C120" s="436"/>
      <c r="D120" s="436"/>
      <c r="E120" s="1168"/>
      <c r="F120" s="1169" t="s">
        <v>424</v>
      </c>
      <c r="G120" s="1170" t="s">
        <v>423</v>
      </c>
      <c r="H120" s="1260" t="s">
        <v>425</v>
      </c>
      <c r="I120" s="1261" t="s">
        <v>426</v>
      </c>
      <c r="J120" s="1167" t="s">
        <v>429</v>
      </c>
      <c r="K120" s="1458" t="s">
        <v>735</v>
      </c>
      <c r="L120" s="1458"/>
      <c r="M120" s="1458"/>
      <c r="N120" s="1458"/>
      <c r="O120" s="1458"/>
      <c r="P120" s="1458"/>
      <c r="Q120" s="1458"/>
      <c r="R120" s="1458"/>
      <c r="S120" s="1458"/>
      <c r="T120" s="1458"/>
      <c r="U120" s="1458"/>
      <c r="V120" s="1458"/>
      <c r="W120" s="1458"/>
      <c r="X120" s="1458"/>
      <c r="Y120" s="1458"/>
      <c r="Z120" s="1458"/>
      <c r="AA120" s="436"/>
      <c r="AB120" s="301"/>
    </row>
    <row r="121" spans="1:28" ht="15" customHeight="1" x14ac:dyDescent="0.2">
      <c r="A121" s="301"/>
      <c r="B121" s="436"/>
      <c r="C121" s="436"/>
      <c r="D121" s="436"/>
      <c r="E121" s="436"/>
      <c r="F121" s="436"/>
      <c r="G121" s="436"/>
      <c r="H121" s="436"/>
      <c r="I121" s="436"/>
      <c r="J121" s="436"/>
      <c r="K121" s="436"/>
      <c r="L121" s="436"/>
      <c r="M121" s="436"/>
      <c r="N121" s="436"/>
      <c r="O121" s="436"/>
      <c r="P121" s="436"/>
      <c r="Q121" s="436"/>
      <c r="R121" s="436"/>
      <c r="S121" s="436"/>
      <c r="T121" s="436"/>
      <c r="U121" s="436"/>
      <c r="V121" s="436"/>
      <c r="W121" s="436"/>
      <c r="X121" s="436"/>
      <c r="Y121" s="436"/>
      <c r="Z121" s="436"/>
      <c r="AA121" s="436"/>
      <c r="AB121" s="301"/>
    </row>
    <row r="122" spans="1:28" ht="15" customHeight="1" x14ac:dyDescent="0.2">
      <c r="A122" s="301"/>
      <c r="B122" s="436"/>
      <c r="C122" s="436"/>
      <c r="D122" s="436"/>
      <c r="E122" s="436"/>
      <c r="F122" s="436"/>
      <c r="G122" s="436"/>
      <c r="H122" s="436"/>
      <c r="I122" s="436"/>
      <c r="J122" s="436"/>
      <c r="K122" s="436"/>
      <c r="L122" s="436"/>
      <c r="M122" s="436"/>
      <c r="N122" s="436"/>
      <c r="O122" s="436"/>
      <c r="P122" s="436"/>
      <c r="Q122" s="436"/>
      <c r="R122" s="436"/>
      <c r="S122" s="436"/>
      <c r="T122" s="436"/>
      <c r="U122" s="436"/>
      <c r="V122" s="436"/>
      <c r="W122" s="436"/>
      <c r="X122" s="436"/>
      <c r="Y122" s="436"/>
      <c r="Z122" s="436"/>
      <c r="AA122" s="436"/>
      <c r="AB122" s="301"/>
    </row>
    <row r="123" spans="1:28" ht="15" customHeight="1" x14ac:dyDescent="0.2">
      <c r="A123" s="301"/>
      <c r="B123" s="436"/>
      <c r="C123" s="436"/>
      <c r="D123" s="436"/>
      <c r="E123" s="1458" t="s">
        <v>428</v>
      </c>
      <c r="F123" s="1458"/>
      <c r="G123" s="1458"/>
      <c r="H123" s="1458"/>
      <c r="I123" s="1458"/>
      <c r="J123" s="1458"/>
      <c r="K123" s="436"/>
      <c r="L123" s="436"/>
      <c r="M123" s="436"/>
      <c r="N123" s="436"/>
      <c r="O123" s="436"/>
      <c r="P123" s="436"/>
      <c r="Q123" s="436"/>
      <c r="R123" s="436"/>
      <c r="S123" s="436"/>
      <c r="T123" s="436"/>
      <c r="U123" s="436"/>
      <c r="V123" s="436"/>
      <c r="W123" s="436"/>
      <c r="X123" s="436"/>
      <c r="Y123" s="436"/>
      <c r="Z123" s="436"/>
      <c r="AA123" s="436"/>
      <c r="AB123" s="301"/>
    </row>
    <row r="124" spans="1:28" ht="15" customHeight="1" x14ac:dyDescent="0.2">
      <c r="A124" s="301"/>
      <c r="B124" s="436"/>
      <c r="C124" s="436"/>
      <c r="D124" s="436"/>
      <c r="E124" s="436"/>
      <c r="F124" s="436"/>
      <c r="G124" s="436"/>
      <c r="H124" s="436"/>
      <c r="I124" s="436"/>
      <c r="J124" s="436"/>
      <c r="K124" s="436"/>
      <c r="L124" s="436"/>
      <c r="M124" s="436"/>
      <c r="N124" s="436"/>
      <c r="O124" s="436"/>
      <c r="P124" s="436"/>
      <c r="Q124" s="436"/>
      <c r="R124" s="436"/>
      <c r="S124" s="436"/>
      <c r="T124" s="436"/>
      <c r="U124" s="436"/>
      <c r="V124" s="436"/>
      <c r="W124" s="436"/>
      <c r="X124" s="436"/>
      <c r="Y124" s="436"/>
      <c r="Z124" s="436"/>
      <c r="AA124" s="436"/>
      <c r="AB124" s="301"/>
    </row>
    <row r="125" spans="1:28" ht="18" x14ac:dyDescent="0.2">
      <c r="A125" s="301"/>
      <c r="B125" s="436"/>
      <c r="C125" s="436"/>
      <c r="D125" s="436"/>
      <c r="E125" s="1466" t="s">
        <v>346</v>
      </c>
      <c r="F125" s="1466"/>
      <c r="G125" s="1466"/>
      <c r="H125" s="1466"/>
      <c r="I125" s="1466"/>
      <c r="J125" s="1167" t="s">
        <v>429</v>
      </c>
      <c r="K125" s="1458" t="s">
        <v>434</v>
      </c>
      <c r="L125" s="1458"/>
      <c r="M125" s="1458"/>
      <c r="N125" s="1458"/>
      <c r="O125" s="1458"/>
      <c r="P125" s="1458"/>
      <c r="Q125" s="1458"/>
      <c r="R125" s="1458"/>
      <c r="S125" s="1458"/>
      <c r="T125" s="1458"/>
      <c r="U125" s="1458"/>
      <c r="V125" s="1458"/>
      <c r="W125" s="1458"/>
      <c r="X125" s="1458"/>
      <c r="Y125" s="1458"/>
      <c r="Z125" s="1458"/>
      <c r="AA125" s="436"/>
      <c r="AB125" s="301"/>
    </row>
    <row r="126" spans="1:28" ht="18" x14ac:dyDescent="0.2">
      <c r="A126" s="301"/>
      <c r="B126" s="436"/>
      <c r="C126" s="436"/>
      <c r="D126" s="436"/>
      <c r="E126" s="1461" t="s">
        <v>347</v>
      </c>
      <c r="F126" s="1461"/>
      <c r="G126" s="1461"/>
      <c r="H126" s="1461"/>
      <c r="I126" s="1461"/>
      <c r="J126" s="1167" t="s">
        <v>429</v>
      </c>
      <c r="K126" s="1458" t="s">
        <v>470</v>
      </c>
      <c r="L126" s="1458"/>
      <c r="M126" s="1458"/>
      <c r="N126" s="1458"/>
      <c r="O126" s="1458"/>
      <c r="P126" s="1458"/>
      <c r="Q126" s="1458"/>
      <c r="R126" s="1458"/>
      <c r="S126" s="1458"/>
      <c r="T126" s="1458"/>
      <c r="U126" s="1458"/>
      <c r="V126" s="1458"/>
      <c r="W126" s="1458"/>
      <c r="X126" s="1458"/>
      <c r="Y126" s="1458"/>
      <c r="Z126" s="1458"/>
      <c r="AA126" s="436"/>
      <c r="AB126" s="301"/>
    </row>
    <row r="127" spans="1:28" ht="18" x14ac:dyDescent="0.25">
      <c r="A127" s="301"/>
      <c r="B127" s="436"/>
      <c r="C127" s="436"/>
      <c r="D127" s="436"/>
      <c r="E127" s="1462" t="s">
        <v>348</v>
      </c>
      <c r="F127" s="1462"/>
      <c r="G127" s="1462"/>
      <c r="H127" s="1462"/>
      <c r="I127" s="1462"/>
      <c r="J127" s="1167" t="s">
        <v>429</v>
      </c>
      <c r="K127" s="1458" t="s">
        <v>435</v>
      </c>
      <c r="L127" s="1458"/>
      <c r="M127" s="1458"/>
      <c r="N127" s="1458"/>
      <c r="O127" s="1458"/>
      <c r="P127" s="1458"/>
      <c r="Q127" s="1458"/>
      <c r="R127" s="1458"/>
      <c r="S127" s="1458"/>
      <c r="T127" s="1458"/>
      <c r="U127" s="1458"/>
      <c r="V127" s="1458"/>
      <c r="W127" s="1458"/>
      <c r="X127" s="1458"/>
      <c r="Y127" s="1458"/>
      <c r="Z127" s="1458"/>
      <c r="AA127" s="436"/>
      <c r="AB127" s="301"/>
    </row>
    <row r="128" spans="1:28" ht="18" customHeight="1" x14ac:dyDescent="0.2">
      <c r="A128" s="301"/>
      <c r="B128" s="436"/>
      <c r="C128" s="436"/>
      <c r="D128" s="436"/>
      <c r="E128" s="337"/>
      <c r="F128" s="337"/>
      <c r="G128" s="337"/>
      <c r="H128" s="337"/>
      <c r="I128" s="337"/>
      <c r="J128" s="1167" t="s">
        <v>429</v>
      </c>
      <c r="K128" s="1458" t="s">
        <v>788</v>
      </c>
      <c r="L128" s="1458"/>
      <c r="M128" s="1458"/>
      <c r="N128" s="1458"/>
      <c r="O128" s="1458"/>
      <c r="P128" s="1458"/>
      <c r="Q128" s="1458"/>
      <c r="R128" s="1458"/>
      <c r="S128" s="1458"/>
      <c r="T128" s="1458"/>
      <c r="U128" s="1458"/>
      <c r="V128" s="1458"/>
      <c r="W128" s="1458"/>
      <c r="X128" s="1458"/>
      <c r="Y128" s="1458"/>
      <c r="Z128" s="1458"/>
      <c r="AA128" s="436"/>
      <c r="AB128" s="301"/>
    </row>
    <row r="129" spans="1:28" ht="15" customHeight="1" x14ac:dyDescent="0.2">
      <c r="A129" s="301"/>
      <c r="B129" s="436"/>
      <c r="C129" s="436"/>
      <c r="D129" s="436"/>
      <c r="E129" s="436"/>
      <c r="F129" s="436"/>
      <c r="G129" s="436"/>
      <c r="H129" s="436"/>
      <c r="I129" s="436"/>
      <c r="J129" s="436"/>
      <c r="K129" s="436"/>
      <c r="L129" s="436"/>
      <c r="M129" s="436"/>
      <c r="N129" s="436"/>
      <c r="O129" s="436"/>
      <c r="P129" s="436"/>
      <c r="Q129" s="436"/>
      <c r="R129" s="436"/>
      <c r="S129" s="436"/>
      <c r="T129" s="436"/>
      <c r="U129" s="436"/>
      <c r="V129" s="436"/>
      <c r="W129" s="436"/>
      <c r="X129" s="436"/>
      <c r="Y129" s="436"/>
      <c r="Z129" s="436"/>
      <c r="AA129" s="436"/>
      <c r="AB129" s="301"/>
    </row>
    <row r="130" spans="1:28" ht="17.25" customHeight="1" x14ac:dyDescent="0.2">
      <c r="A130" s="301"/>
      <c r="B130" s="436"/>
      <c r="C130" s="436"/>
      <c r="D130" s="436"/>
      <c r="E130" s="1458" t="s">
        <v>847</v>
      </c>
      <c r="F130" s="1458"/>
      <c r="G130" s="1458"/>
      <c r="H130" s="1458"/>
      <c r="I130" s="1458"/>
      <c r="J130" s="1167" t="s">
        <v>429</v>
      </c>
      <c r="K130" s="1458" t="s">
        <v>848</v>
      </c>
      <c r="L130" s="1458"/>
      <c r="M130" s="1458"/>
      <c r="N130" s="1458"/>
      <c r="O130" s="1458"/>
      <c r="P130" s="1458"/>
      <c r="Q130" s="1458"/>
      <c r="R130" s="1458"/>
      <c r="S130" s="1458"/>
      <c r="T130" s="1458"/>
      <c r="U130" s="1458"/>
      <c r="V130" s="1458"/>
      <c r="W130" s="1458"/>
      <c r="X130" s="1458"/>
      <c r="Y130" s="1458"/>
      <c r="Z130" s="1458"/>
      <c r="AA130" s="436"/>
      <c r="AB130" s="301"/>
    </row>
    <row r="131" spans="1:28" ht="15" customHeight="1" x14ac:dyDescent="0.2">
      <c r="A131" s="301"/>
      <c r="B131" s="436"/>
      <c r="C131" s="436"/>
      <c r="D131" s="436"/>
      <c r="E131" s="436"/>
      <c r="F131" s="436"/>
      <c r="G131" s="436"/>
      <c r="H131" s="436"/>
      <c r="I131" s="436"/>
      <c r="J131" s="436"/>
      <c r="K131" s="436"/>
      <c r="L131" s="436"/>
      <c r="M131" s="436"/>
      <c r="N131" s="436"/>
      <c r="O131" s="436"/>
      <c r="P131" s="436"/>
      <c r="Q131" s="436"/>
      <c r="R131" s="436"/>
      <c r="S131" s="436"/>
      <c r="T131" s="436"/>
      <c r="U131" s="436"/>
      <c r="V131" s="436"/>
      <c r="W131" s="436"/>
      <c r="X131" s="436"/>
      <c r="Y131" s="436"/>
      <c r="Z131" s="436"/>
      <c r="AA131" s="436"/>
      <c r="AB131" s="301"/>
    </row>
    <row r="132" spans="1:28" ht="15" customHeight="1" x14ac:dyDescent="0.2">
      <c r="A132" s="301"/>
      <c r="B132" s="436"/>
      <c r="C132" s="436"/>
      <c r="D132" s="436"/>
      <c r="E132" s="436"/>
      <c r="F132" s="436"/>
      <c r="G132" s="436"/>
      <c r="H132" s="436"/>
      <c r="I132" s="436"/>
      <c r="J132" s="436"/>
      <c r="K132" s="436"/>
      <c r="L132" s="436"/>
      <c r="M132" s="436"/>
      <c r="N132" s="436"/>
      <c r="O132" s="436"/>
      <c r="P132" s="436"/>
      <c r="Q132" s="436"/>
      <c r="R132" s="436"/>
      <c r="S132" s="436"/>
      <c r="T132" s="436"/>
      <c r="U132" s="436"/>
      <c r="V132" s="436"/>
      <c r="W132" s="436"/>
      <c r="X132" s="436"/>
      <c r="Y132" s="436"/>
      <c r="Z132" s="436"/>
      <c r="AA132" s="436"/>
      <c r="AB132" s="301"/>
    </row>
    <row r="133" spans="1:28" ht="15" customHeight="1" x14ac:dyDescent="0.2">
      <c r="A133" s="301"/>
      <c r="B133" s="436"/>
      <c r="C133" s="436"/>
      <c r="D133" s="436"/>
      <c r="E133" s="436"/>
      <c r="F133" s="436"/>
      <c r="G133" s="436"/>
      <c r="H133" s="436"/>
      <c r="I133" s="436"/>
      <c r="J133" s="436"/>
      <c r="K133" s="436"/>
      <c r="L133" s="436"/>
      <c r="M133" s="436"/>
      <c r="N133" s="436"/>
      <c r="O133" s="436"/>
      <c r="P133" s="436"/>
      <c r="Q133" s="436"/>
      <c r="R133" s="436"/>
      <c r="S133" s="436"/>
      <c r="T133" s="436"/>
      <c r="U133" s="436"/>
      <c r="V133" s="436"/>
      <c r="W133" s="436"/>
      <c r="X133" s="436"/>
      <c r="Y133" s="436"/>
      <c r="Z133" s="436"/>
      <c r="AA133" s="436"/>
      <c r="AB133" s="301"/>
    </row>
    <row r="134" spans="1:28" ht="15" customHeight="1" x14ac:dyDescent="0.2">
      <c r="A134" s="301"/>
      <c r="B134" s="436"/>
      <c r="C134" s="436"/>
      <c r="D134" s="436"/>
      <c r="E134" s="436"/>
      <c r="F134" s="436"/>
      <c r="G134" s="436"/>
      <c r="H134" s="436"/>
      <c r="I134" s="436"/>
      <c r="J134" s="436"/>
      <c r="K134" s="436"/>
      <c r="L134" s="436"/>
      <c r="M134" s="436"/>
      <c r="N134" s="436"/>
      <c r="O134" s="436"/>
      <c r="P134" s="436"/>
      <c r="Q134" s="436"/>
      <c r="R134" s="436"/>
      <c r="S134" s="436"/>
      <c r="T134" s="436"/>
      <c r="U134" s="436"/>
      <c r="V134" s="436"/>
      <c r="W134" s="436"/>
      <c r="X134" s="436"/>
      <c r="Y134" s="436"/>
      <c r="Z134" s="436"/>
      <c r="AA134" s="436"/>
      <c r="AB134" s="301"/>
    </row>
    <row r="135" spans="1:28" ht="15" customHeight="1" x14ac:dyDescent="0.2">
      <c r="A135" s="301"/>
      <c r="B135" s="436"/>
      <c r="C135" s="436"/>
      <c r="D135" s="436"/>
      <c r="E135" s="436"/>
      <c r="F135" s="436"/>
      <c r="G135" s="436"/>
      <c r="H135" s="436"/>
      <c r="I135" s="436"/>
      <c r="J135" s="436"/>
      <c r="K135" s="436"/>
      <c r="L135" s="436"/>
      <c r="M135" s="436"/>
      <c r="N135" s="436"/>
      <c r="O135" s="436"/>
      <c r="P135" s="436"/>
      <c r="Q135" s="436"/>
      <c r="R135" s="436"/>
      <c r="S135" s="436"/>
      <c r="T135" s="436"/>
      <c r="U135" s="436"/>
      <c r="V135" s="436"/>
      <c r="W135" s="436"/>
      <c r="X135" s="436"/>
      <c r="Y135" s="436"/>
      <c r="Z135" s="436"/>
      <c r="AA135" s="436"/>
      <c r="AB135" s="301"/>
    </row>
    <row r="136" spans="1:28" ht="15" customHeight="1" x14ac:dyDescent="0.2">
      <c r="A136" s="301"/>
      <c r="B136" s="436"/>
      <c r="C136" s="436"/>
      <c r="D136" s="436"/>
      <c r="E136" s="436"/>
      <c r="F136" s="436"/>
      <c r="G136" s="436"/>
      <c r="H136" s="436"/>
      <c r="I136" s="436"/>
      <c r="J136" s="436"/>
      <c r="K136" s="436"/>
      <c r="L136" s="436"/>
      <c r="M136" s="436"/>
      <c r="N136" s="436"/>
      <c r="O136" s="436"/>
      <c r="P136" s="436"/>
      <c r="Q136" s="436"/>
      <c r="R136" s="436"/>
      <c r="S136" s="436"/>
      <c r="T136" s="436"/>
      <c r="U136" s="436"/>
      <c r="V136" s="436"/>
      <c r="W136" s="436"/>
      <c r="X136" s="436"/>
      <c r="Y136" s="436"/>
      <c r="Z136" s="436"/>
      <c r="AA136" s="436"/>
      <c r="AB136" s="301"/>
    </row>
    <row r="137" spans="1:28" ht="15" customHeight="1" x14ac:dyDescent="0.2">
      <c r="A137" s="301"/>
      <c r="B137" s="436"/>
      <c r="C137" s="436"/>
      <c r="D137" s="436"/>
      <c r="E137" s="436"/>
      <c r="F137" s="436"/>
      <c r="G137" s="436"/>
      <c r="H137" s="436"/>
      <c r="I137" s="436"/>
      <c r="J137" s="436"/>
      <c r="K137" s="436"/>
      <c r="L137" s="436"/>
      <c r="M137" s="436"/>
      <c r="N137" s="436"/>
      <c r="O137" s="436"/>
      <c r="P137" s="436"/>
      <c r="Q137" s="436"/>
      <c r="R137" s="436"/>
      <c r="S137" s="436"/>
      <c r="T137" s="436"/>
      <c r="U137" s="436"/>
      <c r="V137" s="436"/>
      <c r="W137" s="436"/>
      <c r="X137" s="436"/>
      <c r="Y137" s="436"/>
      <c r="Z137" s="436"/>
      <c r="AA137" s="436"/>
      <c r="AB137" s="301"/>
    </row>
    <row r="138" spans="1:28" ht="15" customHeight="1" x14ac:dyDescent="0.2">
      <c r="A138" s="301"/>
      <c r="B138" s="436"/>
      <c r="C138" s="436"/>
      <c r="D138" s="436"/>
      <c r="E138" s="436"/>
      <c r="F138" s="436"/>
      <c r="G138" s="436"/>
      <c r="H138" s="436"/>
      <c r="I138" s="436"/>
      <c r="J138" s="436"/>
      <c r="K138" s="436"/>
      <c r="L138" s="436"/>
      <c r="M138" s="436"/>
      <c r="N138" s="436"/>
      <c r="O138" s="436"/>
      <c r="P138" s="436"/>
      <c r="Q138" s="436"/>
      <c r="R138" s="436"/>
      <c r="S138" s="436"/>
      <c r="T138" s="436"/>
      <c r="U138" s="436"/>
      <c r="V138" s="436"/>
      <c r="W138" s="436"/>
      <c r="X138" s="436"/>
      <c r="Y138" s="436"/>
      <c r="Z138" s="436"/>
      <c r="AA138" s="436"/>
      <c r="AB138" s="301"/>
    </row>
    <row r="139" spans="1:28" ht="15" customHeight="1" x14ac:dyDescent="0.2">
      <c r="A139" s="301"/>
      <c r="B139" s="436"/>
      <c r="C139" s="436"/>
      <c r="D139" s="436"/>
      <c r="E139" s="436"/>
      <c r="F139" s="436"/>
      <c r="G139" s="436"/>
      <c r="H139" s="436"/>
      <c r="I139" s="436"/>
      <c r="J139" s="436"/>
      <c r="K139" s="436"/>
      <c r="L139" s="436"/>
      <c r="M139" s="436"/>
      <c r="N139" s="436"/>
      <c r="O139" s="436"/>
      <c r="P139" s="436"/>
      <c r="Q139" s="436"/>
      <c r="R139" s="436"/>
      <c r="S139" s="436"/>
      <c r="T139" s="436"/>
      <c r="U139" s="436"/>
      <c r="V139" s="436"/>
      <c r="W139" s="436"/>
      <c r="X139" s="436"/>
      <c r="Y139" s="436"/>
      <c r="Z139" s="436"/>
      <c r="AA139" s="436"/>
      <c r="AB139" s="301"/>
    </row>
    <row r="140" spans="1:28" ht="15" customHeight="1" x14ac:dyDescent="0.2">
      <c r="A140" s="301"/>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row>
    <row r="141" spans="1:28" ht="15" customHeight="1" x14ac:dyDescent="0.25"/>
    <row r="142" spans="1:28" ht="15.75" customHeight="1" x14ac:dyDescent="0.25"/>
    <row r="143" spans="1:28" ht="15.75" customHeight="1" x14ac:dyDescent="0.25"/>
    <row r="144" spans="1:28" ht="15" customHeight="1" x14ac:dyDescent="0.25"/>
    <row r="145" spans="17:18" ht="15" customHeight="1" x14ac:dyDescent="0.25"/>
    <row r="146" spans="17:18" ht="15.75" customHeight="1" x14ac:dyDescent="0.25"/>
    <row r="147" spans="17:18" ht="15" customHeight="1" x14ac:dyDescent="0.25">
      <c r="Q147" s="111"/>
      <c r="R147" s="111"/>
    </row>
    <row r="148" spans="17:18" ht="15" customHeight="1" x14ac:dyDescent="0.25">
      <c r="Q148" s="111"/>
      <c r="R148" s="111"/>
    </row>
    <row r="149" spans="17:18" ht="15" customHeight="1" x14ac:dyDescent="0.25">
      <c r="Q149" s="111"/>
      <c r="R149" s="111"/>
    </row>
    <row r="150" spans="17:18" ht="15" customHeight="1" x14ac:dyDescent="0.25"/>
    <row r="151" spans="17:18" ht="15" customHeight="1" x14ac:dyDescent="0.25"/>
    <row r="152" spans="17:18" ht="15" customHeight="1" x14ac:dyDescent="0.25"/>
    <row r="153" spans="17:18" ht="15" customHeight="1" x14ac:dyDescent="0.25"/>
    <row r="154" spans="17:18" ht="15" customHeight="1" x14ac:dyDescent="0.25"/>
    <row r="155" spans="17:18" ht="15" customHeight="1" x14ac:dyDescent="0.25"/>
    <row r="156" spans="17:18" ht="15" customHeight="1" x14ac:dyDescent="0.25"/>
    <row r="157" spans="17:18" ht="15" customHeight="1" x14ac:dyDescent="0.25"/>
    <row r="158" spans="17:18" ht="15" customHeight="1" x14ac:dyDescent="0.25"/>
    <row r="159" spans="17:18" ht="15" customHeight="1" x14ac:dyDescent="0.25"/>
    <row r="160" spans="17:18"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75" customHeight="1" x14ac:dyDescent="0.25"/>
    <row r="200" ht="15" customHeight="1" x14ac:dyDescent="0.25"/>
    <row r="201" ht="15.7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7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75" customHeight="1" x14ac:dyDescent="0.25"/>
    <row r="285" ht="11.25" customHeight="1" x14ac:dyDescent="0.25"/>
    <row r="288" ht="11.25" customHeight="1" x14ac:dyDescent="0.25"/>
    <row r="293" ht="11.25" customHeight="1" x14ac:dyDescent="0.25"/>
    <row r="326" ht="11.25" customHeight="1" x14ac:dyDescent="0.25"/>
    <row r="328" ht="11.25" customHeight="1" x14ac:dyDescent="0.25"/>
    <row r="351" ht="11.25" customHeight="1" x14ac:dyDescent="0.25"/>
    <row r="353" ht="11.25" customHeight="1" x14ac:dyDescent="0.25"/>
    <row r="442" ht="11.25" customHeight="1" x14ac:dyDescent="0.25"/>
    <row r="444" ht="11.25" customHeight="1" x14ac:dyDescent="0.25"/>
    <row r="481" ht="11.25" customHeight="1" x14ac:dyDescent="0.25"/>
    <row r="483" ht="11.25" customHeight="1" x14ac:dyDescent="0.25"/>
    <row r="506" ht="11.25" customHeight="1" x14ac:dyDescent="0.25"/>
    <row r="508" ht="11.25" customHeight="1" x14ac:dyDescent="0.25"/>
    <row r="597" ht="11.25" customHeight="1" x14ac:dyDescent="0.25"/>
    <row r="599" ht="11.25" customHeight="1" x14ac:dyDescent="0.25"/>
    <row r="634" ht="11.25" customHeight="1" x14ac:dyDescent="0.25"/>
    <row r="635" ht="11.25" customHeight="1" x14ac:dyDescent="0.25"/>
    <row r="659" ht="11.25" customHeight="1" x14ac:dyDescent="0.25"/>
    <row r="660" ht="11.25" customHeight="1" x14ac:dyDescent="0.25"/>
    <row r="750" ht="11.25" customHeight="1" x14ac:dyDescent="0.25"/>
    <row r="751" ht="11.25" customHeight="1" x14ac:dyDescent="0.25"/>
  </sheetData>
  <sheetProtection sheet="1" objects="1" scenarios="1" selectLockedCells="1"/>
  <mergeCells count="29">
    <mergeCell ref="B1:AA1"/>
    <mergeCell ref="E126:I126"/>
    <mergeCell ref="E127:I127"/>
    <mergeCell ref="E114:H114"/>
    <mergeCell ref="E123:J123"/>
    <mergeCell ref="E117:I117"/>
    <mergeCell ref="E118:I118"/>
    <mergeCell ref="E119:I119"/>
    <mergeCell ref="E125:I125"/>
    <mergeCell ref="E116:I116"/>
    <mergeCell ref="K127:Z127"/>
    <mergeCell ref="K116:Z116"/>
    <mergeCell ref="B2:AA2"/>
    <mergeCell ref="B3:AA3"/>
    <mergeCell ref="E130:I130"/>
    <mergeCell ref="K130:Z130"/>
    <mergeCell ref="K128:Z128"/>
    <mergeCell ref="B14:AA14"/>
    <mergeCell ref="B13:AA13"/>
    <mergeCell ref="B27:AA27"/>
    <mergeCell ref="B28:I28"/>
    <mergeCell ref="B111:AA111"/>
    <mergeCell ref="B112:I112"/>
    <mergeCell ref="K126:Z126"/>
    <mergeCell ref="K117:Z117"/>
    <mergeCell ref="K118:Z118"/>
    <mergeCell ref="K119:Z119"/>
    <mergeCell ref="K120:Z120"/>
    <mergeCell ref="K125:Z125"/>
  </mergeCells>
  <pageMargins left="0.7" right="0.7" top="0.78740157499999996" bottom="0.78740157499999996" header="0.3" footer="0.3"/>
  <pageSetup paperSize="9" scale="3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31" r:id="rId4" name="Drop Down 7">
              <controlPr defaultSize="0" autoLine="0" autoPict="0" altText="Auswahlfeld">
                <anchor moveWithCells="1">
                  <from>
                    <xdr:col>4</xdr:col>
                    <xdr:colOff>9525</xdr:colOff>
                    <xdr:row>127</xdr:row>
                    <xdr:rowOff>19050</xdr:rowOff>
                  </from>
                  <to>
                    <xdr:col>8</xdr:col>
                    <xdr:colOff>238125</xdr:colOff>
                    <xdr:row>127</xdr:row>
                    <xdr:rowOff>200025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7">
    <tabColor theme="5" tint="0.39997558519241921"/>
    <outlinePr summaryBelow="0" summaryRight="0"/>
    <pageSetUpPr fitToPage="1"/>
  </sheetPr>
  <dimension ref="A1:BN622"/>
  <sheetViews>
    <sheetView showGridLines="0" showRowColHeaders="0" showZeros="0" zoomScaleNormal="100" workbookViewId="0">
      <pane ySplit="20" topLeftCell="A21" activePane="bottomLeft" state="frozen"/>
      <selection activeCell="I16" sqref="I16"/>
      <selection pane="bottomLeft" activeCell="M13" sqref="M13:O13"/>
    </sheetView>
  </sheetViews>
  <sheetFormatPr baseColWidth="10" defaultRowHeight="15" x14ac:dyDescent="0.25"/>
  <cols>
    <col min="1" max="1" width="4.28515625" style="460" customWidth="1"/>
    <col min="2" max="2" width="2.42578125" style="566" customWidth="1"/>
    <col min="3" max="3" width="3" style="460" customWidth="1"/>
    <col min="4" max="4" width="7.140625" style="460" customWidth="1"/>
    <col min="5" max="5" width="3" style="460" customWidth="1"/>
    <col min="6" max="6" width="6.42578125" style="460" customWidth="1"/>
    <col min="7" max="7" width="5.85546875" style="460" customWidth="1"/>
    <col min="8" max="9" width="8.28515625" style="460" customWidth="1"/>
    <col min="10" max="10" width="5" style="460" customWidth="1"/>
    <col min="11" max="11" width="5.5703125" style="567" customWidth="1"/>
    <col min="12" max="12" width="1.85546875" style="568" customWidth="1"/>
    <col min="13" max="13" width="6.42578125" style="460" customWidth="1"/>
    <col min="14" max="14" width="4.42578125" style="568" customWidth="1"/>
    <col min="15" max="15" width="11.85546875" style="460" customWidth="1"/>
    <col min="16" max="16" width="6.140625" style="460" customWidth="1"/>
    <col min="17" max="17" width="12.85546875" style="569" customWidth="1"/>
    <col min="18" max="18" width="5.28515625" style="460" customWidth="1"/>
    <col min="19" max="19" width="10.5703125" style="460" customWidth="1"/>
    <col min="20" max="20" width="5.42578125" style="460" customWidth="1"/>
    <col min="21" max="21" width="6" style="569" customWidth="1"/>
    <col min="22" max="22" width="8.42578125" style="460" customWidth="1"/>
    <col min="23" max="23" width="5" style="460" customWidth="1"/>
    <col min="24" max="24" width="6" style="460" customWidth="1"/>
    <col min="25" max="25" width="7.5703125" style="570" customWidth="1"/>
    <col min="26" max="26" width="4.42578125" style="567" customWidth="1"/>
    <col min="27" max="27" width="5.5703125" style="460" customWidth="1"/>
    <col min="28" max="28" width="8.28515625" style="460" customWidth="1"/>
    <col min="29" max="29" width="5" style="460" customWidth="1"/>
    <col min="30" max="30" width="6" style="395" customWidth="1"/>
    <col min="31" max="31" width="7.5703125" style="460" customWidth="1"/>
    <col min="32" max="32" width="2.7109375" style="460" customWidth="1"/>
    <col min="33" max="33" width="4.85546875" style="460" customWidth="1"/>
    <col min="34" max="34" width="2.7109375" style="460" customWidth="1"/>
    <col min="35" max="35" width="5.28515625" style="460" customWidth="1"/>
    <col min="36" max="36" width="2.7109375" style="460" customWidth="1"/>
    <col min="37" max="37" width="4.28515625" style="460" customWidth="1"/>
    <col min="38" max="38" width="6.140625" style="460" hidden="1" customWidth="1"/>
    <col min="39" max="39" width="8.42578125" style="460" hidden="1" customWidth="1"/>
    <col min="40" max="41" width="8.5703125" style="460" hidden="1" customWidth="1"/>
    <col min="42" max="42" width="7.140625" style="460" hidden="1" customWidth="1"/>
    <col min="43" max="43" width="6.7109375" style="460" hidden="1" customWidth="1"/>
    <col min="44" max="44" width="2.7109375" style="460" hidden="1" customWidth="1"/>
    <col min="45" max="45" width="7.140625" style="460" hidden="1" customWidth="1"/>
    <col min="46" max="46" width="7.5703125" style="460" hidden="1" customWidth="1"/>
    <col min="47" max="47" width="3.140625" style="460" hidden="1" customWidth="1"/>
    <col min="48" max="48" width="5.5703125" style="460" hidden="1" customWidth="1"/>
    <col min="49" max="49" width="8.42578125" style="460" hidden="1" customWidth="1"/>
    <col min="50" max="54" width="5.28515625" style="460" hidden="1" customWidth="1"/>
    <col min="55" max="55" width="11.42578125" style="460" customWidth="1"/>
    <col min="56" max="16384" width="11.42578125" style="460"/>
  </cols>
  <sheetData>
    <row r="1" spans="1:66" ht="24.95" customHeight="1" x14ac:dyDescent="0.2">
      <c r="A1" s="459"/>
      <c r="B1" s="1609" t="str">
        <f>"Eingabe: Investitions- und Wartungskosten - Variante: "&amp;'1. Projektangaben'!C25&amp;" "&amp;LISTEN!E38&amp;""</f>
        <v xml:space="preserve">Eingabe: Investitions- und Wartungskosten - Variante: PH-WDVS-WP-Abl-mittl.Sol-ohne PV </v>
      </c>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459"/>
    </row>
    <row r="2" spans="1:66" s="327" customFormat="1" ht="50.1" customHeight="1" x14ac:dyDescent="0.2">
      <c r="A2" s="440"/>
      <c r="B2" s="1164"/>
      <c r="C2" s="1165"/>
      <c r="D2" s="1165"/>
      <c r="E2" s="1165"/>
      <c r="F2" s="1165"/>
      <c r="G2" s="1165"/>
      <c r="H2" s="1165"/>
      <c r="I2" s="1165"/>
      <c r="J2" s="1165"/>
      <c r="K2" s="1165"/>
      <c r="L2" s="1165"/>
      <c r="M2" s="1165"/>
      <c r="N2" s="1165"/>
      <c r="O2" s="1165"/>
      <c r="P2" s="1165"/>
      <c r="Q2" s="1165"/>
      <c r="R2" s="1165"/>
      <c r="S2" s="1165"/>
      <c r="T2" s="1165"/>
      <c r="U2" s="440"/>
      <c r="V2" s="440"/>
      <c r="W2" s="440"/>
      <c r="X2" s="440"/>
      <c r="Y2" s="440"/>
      <c r="Z2" s="440"/>
      <c r="AA2" s="440"/>
      <c r="AB2" s="440"/>
      <c r="AC2" s="440"/>
      <c r="AD2" s="440"/>
      <c r="AE2" s="440"/>
      <c r="AF2" s="440"/>
      <c r="AG2" s="440"/>
      <c r="AH2" s="440"/>
      <c r="AI2" s="440"/>
      <c r="AJ2" s="440"/>
      <c r="AK2" s="440"/>
    </row>
    <row r="3" spans="1:66" ht="12.95" customHeight="1" x14ac:dyDescent="0.2">
      <c r="A3" s="440"/>
      <c r="B3" s="759" t="s">
        <v>106</v>
      </c>
      <c r="C3" s="380"/>
      <c r="D3" s="380"/>
      <c r="E3" s="380"/>
      <c r="F3" s="380"/>
      <c r="G3" s="380"/>
      <c r="H3" s="380"/>
      <c r="I3" s="380"/>
      <c r="J3" s="380"/>
      <c r="K3" s="463"/>
      <c r="L3" s="463"/>
      <c r="M3" s="380"/>
      <c r="N3" s="463"/>
      <c r="O3" s="380"/>
      <c r="P3" s="380"/>
      <c r="Q3" s="380"/>
      <c r="R3" s="380"/>
      <c r="S3" s="380"/>
      <c r="T3" s="380"/>
      <c r="U3" s="380"/>
      <c r="V3" s="380"/>
      <c r="W3" s="380"/>
      <c r="X3" s="380"/>
      <c r="Y3" s="380"/>
      <c r="Z3" s="380"/>
      <c r="AA3" s="380"/>
      <c r="AB3" s="380"/>
      <c r="AC3" s="380"/>
      <c r="AD3" s="464"/>
      <c r="AE3" s="464"/>
      <c r="AF3" s="464"/>
      <c r="AG3" s="464"/>
      <c r="AH3" s="464"/>
      <c r="AI3" s="464"/>
      <c r="AJ3" s="464"/>
      <c r="AK3" s="440"/>
    </row>
    <row r="4" spans="1:66" ht="12.95" customHeight="1" x14ac:dyDescent="0.25">
      <c r="A4" s="440"/>
      <c r="B4" s="628"/>
      <c r="C4" s="511"/>
      <c r="D4" s="511"/>
      <c r="E4" s="380"/>
      <c r="F4" s="380"/>
      <c r="G4" s="437" t="str">
        <f>'1. Projektangaben'!$B$4</f>
        <v>Bauvorhaben</v>
      </c>
      <c r="H4" s="404" t="str">
        <f>IF('1. Projektangaben'!$C$4="","",'1. Projektangaben'!$C$4)</f>
        <v>KliNaWo</v>
      </c>
      <c r="I4" s="405"/>
      <c r="J4" s="405"/>
      <c r="K4" s="405"/>
      <c r="L4" s="466"/>
      <c r="M4" s="467"/>
      <c r="N4" s="463"/>
      <c r="O4" s="437" t="str">
        <f>'1. Projektangaben'!$H$4</f>
        <v>Architekt</v>
      </c>
      <c r="P4" s="404" t="str">
        <f>IF('1. Projektangaben'!$I$4="","",'1. Projektangaben'!$I$4)</f>
        <v>Walser und Werle Architekten</v>
      </c>
      <c r="Q4" s="412"/>
      <c r="R4" s="422"/>
      <c r="S4" s="575"/>
      <c r="T4" s="380"/>
      <c r="U4" s="380"/>
      <c r="V4" s="380"/>
      <c r="W4" s="380"/>
      <c r="X4" s="380"/>
      <c r="Y4" s="380"/>
      <c r="Z4" s="380"/>
      <c r="AA4" s="380"/>
      <c r="AB4" s="380"/>
      <c r="AC4" s="380"/>
      <c r="AD4" s="464"/>
      <c r="AE4" s="464"/>
      <c r="AF4" s="464"/>
      <c r="AG4" s="464"/>
      <c r="AH4" s="464"/>
      <c r="AI4" s="464"/>
      <c r="AJ4" s="464"/>
      <c r="AK4" s="440"/>
    </row>
    <row r="5" spans="1:66" ht="12.95" customHeight="1" x14ac:dyDescent="0.25">
      <c r="A5" s="440"/>
      <c r="B5" s="628"/>
      <c r="C5" s="511"/>
      <c r="D5" s="511"/>
      <c r="E5" s="380"/>
      <c r="F5" s="380"/>
      <c r="G5" s="437" t="str">
        <f>'1. Projektangaben'!$B$5</f>
        <v>Bauherr</v>
      </c>
      <c r="H5" s="408" t="str">
        <f>IF('1. Projektangaben'!$C$5="","",'1. Projektangaben'!$C$5)</f>
        <v>privater Bauträger</v>
      </c>
      <c r="I5" s="444"/>
      <c r="J5" s="444"/>
      <c r="K5" s="405"/>
      <c r="L5" s="466"/>
      <c r="M5" s="467"/>
      <c r="N5" s="463"/>
      <c r="O5" s="437" t="str">
        <f>'1. Projektangaben'!$H$5</f>
        <v>Baujahr</v>
      </c>
      <c r="P5" s="450">
        <f>IF('1. Projektangaben'!$I$5="","",'1. Projektangaben'!$I$5)</f>
        <v>2017</v>
      </c>
      <c r="Q5" s="328"/>
      <c r="R5" s="380"/>
      <c r="S5" s="380"/>
      <c r="T5" s="380"/>
      <c r="U5" s="380"/>
      <c r="V5" s="380"/>
      <c r="W5" s="380"/>
      <c r="X5" s="380"/>
      <c r="Y5" s="380"/>
      <c r="Z5" s="380"/>
      <c r="AA5" s="380"/>
      <c r="AB5" s="380"/>
      <c r="AC5" s="380"/>
      <c r="AD5" s="464"/>
      <c r="AE5" s="464"/>
      <c r="AF5" s="464"/>
      <c r="AG5" s="464"/>
      <c r="AH5" s="464"/>
      <c r="AI5" s="464"/>
      <c r="AJ5" s="464"/>
      <c r="AK5" s="440"/>
    </row>
    <row r="6" spans="1:66" ht="12.95" customHeight="1" x14ac:dyDescent="0.25">
      <c r="A6" s="440"/>
      <c r="B6" s="628"/>
      <c r="C6" s="511"/>
      <c r="D6" s="511"/>
      <c r="E6" s="380"/>
      <c r="F6" s="380"/>
      <c r="G6" s="437" t="str">
        <f>'1. Projektangaben'!$B$6</f>
        <v>Adresse, Ort</v>
      </c>
      <c r="H6" s="404" t="str">
        <f>IF('1. Projektangaben'!$C$6="","",'1. Projektangaben'!$C$6)</f>
        <v>Siedlungsstrasse, Feldkirch</v>
      </c>
      <c r="I6" s="442"/>
      <c r="J6" s="468"/>
      <c r="K6" s="405"/>
      <c r="L6" s="466"/>
      <c r="M6" s="467"/>
      <c r="N6" s="463"/>
      <c r="O6" s="437" t="str">
        <f>'1. Projektangaben'!$H$6</f>
        <v>Personen</v>
      </c>
      <c r="P6" s="450">
        <f>IF('1. Projektangaben'!$I$6="","",'1. Projektangaben'!$I$6)</f>
        <v>54</v>
      </c>
      <c r="Q6" s="328"/>
      <c r="R6" s="380"/>
      <c r="S6" s="380"/>
      <c r="T6" s="380"/>
      <c r="U6" s="380"/>
      <c r="V6" s="380"/>
      <c r="W6" s="380"/>
      <c r="X6" s="380"/>
      <c r="Y6" s="380"/>
      <c r="Z6" s="380"/>
      <c r="AA6" s="380"/>
      <c r="AB6" s="380"/>
      <c r="AC6" s="380"/>
      <c r="AD6" s="464"/>
      <c r="AE6" s="464"/>
      <c r="AF6" s="464"/>
      <c r="AG6" s="464"/>
      <c r="AH6" s="464"/>
      <c r="AI6" s="464"/>
      <c r="AJ6" s="464"/>
      <c r="AK6" s="440"/>
    </row>
    <row r="7" spans="1:66" ht="12.95" customHeight="1" x14ac:dyDescent="0.25">
      <c r="A7" s="440"/>
      <c r="B7" s="628"/>
      <c r="C7" s="511"/>
      <c r="D7" s="511"/>
      <c r="E7" s="380"/>
      <c r="F7" s="380"/>
      <c r="G7" s="437" t="str">
        <f>'1. Projektangaben'!$B$7</f>
        <v>Gebäudetyp</v>
      </c>
      <c r="H7" s="404" t="str">
        <f>IF('1. Projektangaben'!$C$7="","",'1. Projektangaben'!$C$7)</f>
        <v>Mehrfamilienhaus</v>
      </c>
      <c r="I7" s="412"/>
      <c r="J7" s="404" t="str">
        <f>'1. Projektangaben'!$E$7</f>
        <v>18+1 WE</v>
      </c>
      <c r="K7" s="411"/>
      <c r="L7" s="466"/>
      <c r="M7" s="467"/>
      <c r="N7" s="463"/>
      <c r="O7" s="437" t="str">
        <f>'1. Projektangaben'!$H$7</f>
        <v>Anmerkung</v>
      </c>
      <c r="P7" s="404" t="str">
        <f>IF('1. Projektangaben'!$I$7="","",'1. Projektangaben'!$I$7)</f>
        <v>Beispiele verschiedener Varianten</v>
      </c>
      <c r="Q7" s="422"/>
      <c r="R7" s="422"/>
      <c r="S7" s="575"/>
      <c r="T7" s="380"/>
      <c r="U7" s="380"/>
      <c r="V7" s="380"/>
      <c r="W7" s="380"/>
      <c r="X7" s="380"/>
      <c r="Y7" s="380"/>
      <c r="Z7" s="380"/>
      <c r="AA7" s="380"/>
      <c r="AB7" s="380"/>
      <c r="AC7" s="380"/>
      <c r="AD7" s="464"/>
      <c r="AE7" s="464"/>
      <c r="AF7" s="464"/>
      <c r="AG7" s="464"/>
      <c r="AH7" s="464"/>
      <c r="AI7" s="464"/>
      <c r="AJ7" s="464"/>
      <c r="AK7" s="440"/>
    </row>
    <row r="8" spans="1:66" s="327" customFormat="1" ht="12.95" customHeight="1" x14ac:dyDescent="0.2">
      <c r="A8" s="440"/>
      <c r="B8" s="446"/>
      <c r="C8" s="610"/>
      <c r="D8" s="610"/>
      <c r="E8" s="610"/>
      <c r="F8" s="610"/>
      <c r="G8" s="437" t="s">
        <v>111</v>
      </c>
      <c r="H8" s="635" t="str">
        <f>'1. Projektangaben'!E25</f>
        <v>PHSol</v>
      </c>
      <c r="I8" s="446"/>
      <c r="J8" s="470"/>
      <c r="K8" s="328"/>
      <c r="L8" s="610"/>
      <c r="M8" s="610"/>
      <c r="N8" s="328"/>
      <c r="O8" s="437" t="str">
        <f>'1. Projektangaben'!G22</f>
        <v>EBF</v>
      </c>
      <c r="P8" s="471">
        <f>'1. Projektangaben'!G25</f>
        <v>1421.2</v>
      </c>
      <c r="Q8" s="628"/>
      <c r="R8" s="610"/>
      <c r="S8" s="628"/>
      <c r="T8" s="610"/>
      <c r="U8" s="628"/>
      <c r="V8" s="610"/>
      <c r="W8" s="610"/>
      <c r="X8" s="610"/>
      <c r="Y8" s="610"/>
      <c r="Z8" s="610"/>
      <c r="AA8" s="610"/>
      <c r="AB8" s="610"/>
      <c r="AC8" s="610"/>
      <c r="AD8" s="472"/>
      <c r="AE8" s="472"/>
      <c r="AF8" s="472"/>
      <c r="AG8" s="472"/>
      <c r="AH8" s="472"/>
      <c r="AI8" s="472"/>
      <c r="AJ8" s="472"/>
      <c r="AK8" s="440"/>
    </row>
    <row r="9" spans="1:66" ht="12.95" customHeight="1" x14ac:dyDescent="0.2">
      <c r="A9" s="440"/>
      <c r="B9" s="628"/>
      <c r="C9" s="380"/>
      <c r="D9" s="380"/>
      <c r="E9" s="380"/>
      <c r="F9" s="380"/>
      <c r="G9" s="380"/>
      <c r="H9" s="380"/>
      <c r="I9" s="380"/>
      <c r="J9" s="380"/>
      <c r="K9" s="463"/>
      <c r="L9" s="463"/>
      <c r="M9" s="380"/>
      <c r="N9" s="463"/>
      <c r="O9" s="380"/>
      <c r="P9" s="380"/>
      <c r="Q9" s="380"/>
      <c r="R9" s="380"/>
      <c r="S9" s="380"/>
      <c r="T9" s="380"/>
      <c r="U9" s="380"/>
      <c r="V9" s="380"/>
      <c r="W9" s="380"/>
      <c r="X9" s="380"/>
      <c r="Y9" s="380"/>
      <c r="Z9" s="380"/>
      <c r="AA9" s="380"/>
      <c r="AB9" s="380"/>
      <c r="AC9" s="380"/>
      <c r="AD9" s="464"/>
      <c r="AE9" s="464"/>
      <c r="AF9" s="464"/>
      <c r="AG9" s="464"/>
      <c r="AH9" s="464"/>
      <c r="AI9" s="464"/>
      <c r="AJ9" s="464"/>
      <c r="AK9" s="440"/>
    </row>
    <row r="10" spans="1:66" ht="12.95" customHeight="1" x14ac:dyDescent="0.2">
      <c r="A10" s="440"/>
      <c r="B10" s="1043"/>
      <c r="C10" s="380"/>
      <c r="D10" s="380"/>
      <c r="E10" s="380"/>
      <c r="F10" s="380"/>
      <c r="G10" s="380"/>
      <c r="H10" s="380"/>
      <c r="I10" s="380"/>
      <c r="J10" s="380"/>
      <c r="K10" s="463"/>
      <c r="L10" s="463"/>
      <c r="M10" s="380"/>
      <c r="N10" s="463"/>
      <c r="O10" s="380"/>
      <c r="P10" s="380"/>
      <c r="Q10" s="380"/>
      <c r="R10" s="380"/>
      <c r="S10" s="380"/>
      <c r="T10" s="380"/>
      <c r="U10" s="380"/>
      <c r="V10" s="380"/>
      <c r="W10" s="380"/>
      <c r="X10" s="380"/>
      <c r="Y10" s="380"/>
      <c r="Z10" s="380"/>
      <c r="AA10" s="380"/>
      <c r="AB10" s="380"/>
      <c r="AC10" s="380"/>
      <c r="AD10" s="464"/>
      <c r="AE10" s="464"/>
      <c r="AF10" s="464"/>
      <c r="AG10" s="464"/>
      <c r="AH10" s="464"/>
      <c r="AI10" s="464"/>
      <c r="AJ10" s="464"/>
      <c r="AK10" s="440"/>
      <c r="AL10" s="569"/>
    </row>
    <row r="11" spans="1:66" s="327" customFormat="1" ht="39.950000000000003" customHeight="1" x14ac:dyDescent="0.2">
      <c r="A11" s="440"/>
      <c r="B11" s="1164"/>
      <c r="C11" s="1165"/>
      <c r="D11" s="1165"/>
      <c r="E11" s="1165"/>
      <c r="F11" s="1165"/>
      <c r="G11" s="1165"/>
      <c r="H11" s="1165"/>
      <c r="I11" s="1165"/>
      <c r="J11" s="1165"/>
      <c r="K11" s="1165"/>
      <c r="L11" s="1165"/>
      <c r="M11" s="1165"/>
      <c r="N11" s="1165"/>
      <c r="O11" s="1165"/>
      <c r="P11" s="1165"/>
      <c r="Q11" s="1165"/>
      <c r="R11" s="1165"/>
      <c r="S11" s="1165"/>
      <c r="T11" s="1165"/>
      <c r="U11" s="440"/>
      <c r="V11" s="440"/>
      <c r="W11" s="440"/>
      <c r="X11" s="440"/>
      <c r="Y11" s="440"/>
      <c r="Z11" s="440"/>
      <c r="AA11" s="440"/>
      <c r="AB11" s="440"/>
      <c r="AC11" s="440"/>
      <c r="AD11" s="440"/>
      <c r="AE11" s="440"/>
      <c r="AF11" s="440"/>
      <c r="AG11" s="440"/>
      <c r="AH11" s="440"/>
      <c r="AI11" s="440"/>
      <c r="AJ11" s="440"/>
      <c r="AK11" s="440"/>
      <c r="AM11" s="327" t="s">
        <v>706</v>
      </c>
    </row>
    <row r="12" spans="1:66" ht="12.95" customHeight="1" x14ac:dyDescent="0.2">
      <c r="A12" s="440"/>
      <c r="B12" s="1043"/>
      <c r="C12" s="380"/>
      <c r="D12" s="380"/>
      <c r="E12" s="380"/>
      <c r="F12" s="380"/>
      <c r="G12" s="380"/>
      <c r="H12" s="380"/>
      <c r="I12" s="380"/>
      <c r="J12" s="380"/>
      <c r="K12" s="463"/>
      <c r="L12" s="463"/>
      <c r="M12" s="380"/>
      <c r="N12" s="463"/>
      <c r="O12" s="380"/>
      <c r="P12" s="380"/>
      <c r="Q12" s="380"/>
      <c r="R12" s="380"/>
      <c r="S12" s="380"/>
      <c r="T12" s="380"/>
      <c r="U12" s="380"/>
      <c r="V12" s="380"/>
      <c r="W12" s="380"/>
      <c r="X12" s="380"/>
      <c r="Y12" s="380"/>
      <c r="Z12" s="380"/>
      <c r="AA12" s="380"/>
      <c r="AB12" s="380"/>
      <c r="AC12" s="380"/>
      <c r="AD12" s="464"/>
      <c r="AE12" s="464"/>
      <c r="AF12" s="464"/>
      <c r="AG12" s="464"/>
      <c r="AH12" s="464"/>
      <c r="AI12" s="464"/>
      <c r="AJ12" s="464"/>
      <c r="AK12" s="440"/>
      <c r="AL12" s="569"/>
      <c r="AM12" s="1066">
        <v>1</v>
      </c>
      <c r="AN12" s="1064" t="s">
        <v>707</v>
      </c>
      <c r="AR12" s="1067"/>
      <c r="AX12" s="1064"/>
      <c r="AZ12" s="1068"/>
      <c r="BA12" s="1068"/>
      <c r="BB12" s="1068"/>
      <c r="BC12" s="1068"/>
      <c r="BH12" s="1064"/>
      <c r="BJ12" s="1068"/>
      <c r="BK12" s="1068"/>
      <c r="BL12" s="1068"/>
      <c r="BM12" s="1068"/>
      <c r="BN12" s="1068"/>
    </row>
    <row r="13" spans="1:66" ht="12.95" customHeight="1" x14ac:dyDescent="0.2">
      <c r="A13" s="440"/>
      <c r="B13" s="1043"/>
      <c r="C13" s="380"/>
      <c r="D13" s="380"/>
      <c r="E13" s="1065" t="s">
        <v>704</v>
      </c>
      <c r="F13" s="380"/>
      <c r="G13" s="380"/>
      <c r="H13" s="380"/>
      <c r="I13" s="380"/>
      <c r="J13" s="380"/>
      <c r="K13" s="463"/>
      <c r="L13" s="463"/>
      <c r="M13" s="1627" t="str">
        <f>VLOOKUP($AL$20,$AM$12:$AR$16,2,FALSE)</f>
        <v>3.2 I&amp;W</v>
      </c>
      <c r="N13" s="1628"/>
      <c r="O13" s="1629"/>
      <c r="P13" s="380"/>
      <c r="Q13" s="380" t="s">
        <v>709</v>
      </c>
      <c r="R13" s="380"/>
      <c r="S13" s="380"/>
      <c r="T13" s="380"/>
      <c r="U13" s="380"/>
      <c r="V13" s="380"/>
      <c r="W13" s="380"/>
      <c r="X13" s="380"/>
      <c r="Y13" s="380"/>
      <c r="Z13" s="380"/>
      <c r="AA13" s="380"/>
      <c r="AB13" s="380"/>
      <c r="AC13" s="380"/>
      <c r="AD13" s="464"/>
      <c r="AE13" s="464"/>
      <c r="AF13" s="464"/>
      <c r="AG13" s="464"/>
      <c r="AH13" s="464"/>
      <c r="AI13" s="464"/>
      <c r="AJ13" s="464"/>
      <c r="AK13" s="440"/>
      <c r="AL13" s="569"/>
      <c r="AM13" s="1066">
        <v>2</v>
      </c>
      <c r="AN13" s="1064" t="s">
        <v>708</v>
      </c>
      <c r="AR13" s="1067"/>
      <c r="AX13" s="1064"/>
      <c r="AZ13" s="1068"/>
      <c r="BA13" s="1068"/>
      <c r="BB13" s="1068"/>
      <c r="BC13" s="1068"/>
      <c r="BH13" s="1064"/>
      <c r="BJ13" s="1068"/>
      <c r="BK13" s="1068"/>
      <c r="BL13" s="1068"/>
      <c r="BM13" s="1068"/>
      <c r="BN13" s="1068"/>
    </row>
    <row r="14" spans="1:66" ht="12.95" customHeight="1" x14ac:dyDescent="0.2">
      <c r="A14" s="440"/>
      <c r="B14" s="1043"/>
      <c r="C14" s="380"/>
      <c r="D14" s="380"/>
      <c r="E14" s="380"/>
      <c r="F14" s="380"/>
      <c r="G14" s="380"/>
      <c r="H14" s="380"/>
      <c r="I14" s="380"/>
      <c r="J14" s="380"/>
      <c r="K14" s="463"/>
      <c r="L14" s="463"/>
      <c r="M14" s="380"/>
      <c r="N14" s="463"/>
      <c r="O14" s="380"/>
      <c r="P14" s="380"/>
      <c r="Q14" s="380" t="s">
        <v>710</v>
      </c>
      <c r="R14" s="380"/>
      <c r="S14" s="380"/>
      <c r="T14" s="380"/>
      <c r="U14" s="380"/>
      <c r="V14" s="380"/>
      <c r="W14" s="380"/>
      <c r="X14" s="380"/>
      <c r="Y14" s="380"/>
      <c r="Z14" s="380"/>
      <c r="AA14" s="380"/>
      <c r="AB14" s="380"/>
      <c r="AC14" s="380"/>
      <c r="AD14" s="464"/>
      <c r="AE14" s="464"/>
      <c r="AF14" s="464"/>
      <c r="AG14" s="464"/>
      <c r="AH14" s="464"/>
      <c r="AI14" s="464"/>
      <c r="AJ14" s="464"/>
      <c r="AK14" s="440"/>
      <c r="AL14" s="569"/>
      <c r="AM14" s="1066">
        <v>3</v>
      </c>
      <c r="AN14" s="1064" t="s">
        <v>723</v>
      </c>
      <c r="AR14" s="1067"/>
      <c r="AZ14" s="1068"/>
      <c r="BA14" s="1068"/>
      <c r="BB14" s="1068"/>
      <c r="BC14" s="1068"/>
      <c r="BJ14" s="1068"/>
      <c r="BK14" s="1068"/>
      <c r="BL14" s="1068"/>
      <c r="BM14" s="1068"/>
      <c r="BN14" s="1068"/>
    </row>
    <row r="15" spans="1:66" ht="12.95" customHeight="1" x14ac:dyDescent="0.2">
      <c r="A15" s="440"/>
      <c r="B15" s="1043"/>
      <c r="C15" s="380"/>
      <c r="D15" s="380"/>
      <c r="E15" s="380"/>
      <c r="F15" s="380"/>
      <c r="G15" s="380"/>
      <c r="H15" s="380"/>
      <c r="I15" s="380"/>
      <c r="J15" s="380"/>
      <c r="K15" s="463"/>
      <c r="L15" s="463"/>
      <c r="M15" s="380"/>
      <c r="N15" s="463"/>
      <c r="O15" s="380"/>
      <c r="P15" s="380"/>
      <c r="Q15" s="380" t="s">
        <v>712</v>
      </c>
      <c r="R15" s="380"/>
      <c r="S15" s="380"/>
      <c r="T15" s="380"/>
      <c r="U15" s="380"/>
      <c r="V15" s="380"/>
      <c r="W15" s="380"/>
      <c r="X15" s="380"/>
      <c r="Y15" s="380"/>
      <c r="Z15" s="380"/>
      <c r="AA15" s="380"/>
      <c r="AB15" s="380"/>
      <c r="AC15" s="380"/>
      <c r="AD15" s="464"/>
      <c r="AE15" s="464"/>
      <c r="AF15" s="464"/>
      <c r="AG15" s="464"/>
      <c r="AH15" s="464"/>
      <c r="AI15" s="464"/>
      <c r="AJ15" s="464"/>
      <c r="AK15" s="440"/>
      <c r="AL15" s="569"/>
      <c r="AM15" s="1066">
        <v>4</v>
      </c>
      <c r="AN15" s="1064" t="s">
        <v>713</v>
      </c>
      <c r="AO15" s="460" t="s">
        <v>724</v>
      </c>
      <c r="AR15" s="1067"/>
      <c r="AZ15" s="1068"/>
      <c r="BA15" s="1068"/>
      <c r="BB15" s="1068"/>
      <c r="BC15" s="1068"/>
      <c r="BJ15" s="1068"/>
      <c r="BK15" s="1068"/>
      <c r="BL15" s="1068"/>
      <c r="BM15" s="1068"/>
      <c r="BN15" s="1068"/>
    </row>
    <row r="16" spans="1:66" ht="12.95" customHeight="1" thickBot="1" x14ac:dyDescent="0.25">
      <c r="A16" s="440"/>
      <c r="B16" s="1043"/>
      <c r="C16" s="380"/>
      <c r="D16" s="380"/>
      <c r="E16" s="380"/>
      <c r="F16" s="380"/>
      <c r="G16" s="380"/>
      <c r="H16" s="380"/>
      <c r="I16" s="380"/>
      <c r="J16" s="380"/>
      <c r="K16" s="463"/>
      <c r="L16" s="463"/>
      <c r="M16" s="380"/>
      <c r="N16" s="463"/>
      <c r="O16" s="380"/>
      <c r="P16" s="380"/>
      <c r="Q16" s="380"/>
      <c r="R16" s="380"/>
      <c r="S16" s="380"/>
      <c r="T16" s="380"/>
      <c r="U16" s="380"/>
      <c r="V16" s="380"/>
      <c r="W16" s="380"/>
      <c r="X16" s="380"/>
      <c r="Y16" s="380"/>
      <c r="Z16" s="380"/>
      <c r="AA16" s="380"/>
      <c r="AB16" s="380"/>
      <c r="AC16" s="380"/>
      <c r="AD16" s="464"/>
      <c r="AE16" s="464"/>
      <c r="AF16" s="464"/>
      <c r="AG16" s="464"/>
      <c r="AH16" s="464"/>
      <c r="AI16" s="464"/>
      <c r="AJ16" s="464"/>
      <c r="AK16" s="440"/>
      <c r="AL16" s="569"/>
      <c r="AM16" s="1069">
        <v>5</v>
      </c>
      <c r="AN16" s="1070" t="s">
        <v>714</v>
      </c>
      <c r="AO16" s="1071" t="s">
        <v>724</v>
      </c>
      <c r="AP16" s="1071"/>
      <c r="AQ16" s="1071"/>
      <c r="AR16" s="1072"/>
      <c r="AZ16" s="1068"/>
      <c r="BA16" s="1068"/>
      <c r="BB16" s="1068"/>
      <c r="BC16" s="1068"/>
      <c r="BJ16" s="1068"/>
      <c r="BK16" s="1068"/>
      <c r="BL16" s="1068"/>
      <c r="BM16" s="1068"/>
      <c r="BN16" s="1068"/>
    </row>
    <row r="17" spans="1:54" s="327" customFormat="1" ht="39.950000000000003" customHeight="1" thickBot="1" x14ac:dyDescent="0.25">
      <c r="A17" s="440"/>
      <c r="B17" s="1164"/>
      <c r="C17" s="1165"/>
      <c r="D17" s="1165"/>
      <c r="E17" s="1165"/>
      <c r="F17" s="1165"/>
      <c r="G17" s="1165"/>
      <c r="H17" s="1165"/>
      <c r="I17" s="1165"/>
      <c r="J17" s="1165"/>
      <c r="K17" s="1165"/>
      <c r="L17" s="1165"/>
      <c r="M17" s="1165"/>
      <c r="N17" s="1165"/>
      <c r="O17" s="1165"/>
      <c r="P17" s="1165"/>
      <c r="Q17" s="1165"/>
      <c r="R17" s="1165"/>
      <c r="S17" s="1165"/>
      <c r="T17" s="1165"/>
      <c r="U17" s="440"/>
      <c r="V17" s="440"/>
      <c r="W17" s="440"/>
      <c r="X17" s="440"/>
      <c r="Y17" s="440"/>
      <c r="Z17" s="440"/>
      <c r="AA17" s="440"/>
      <c r="AB17" s="440"/>
      <c r="AC17" s="440"/>
      <c r="AD17" s="440"/>
      <c r="AE17" s="440"/>
      <c r="AF17" s="440"/>
      <c r="AG17" s="440"/>
      <c r="AH17" s="440"/>
      <c r="AI17" s="440"/>
      <c r="AJ17" s="440"/>
      <c r="AK17" s="440"/>
    </row>
    <row r="18" spans="1:54" ht="15" customHeight="1" x14ac:dyDescent="0.2">
      <c r="A18" s="440"/>
      <c r="B18" s="413"/>
      <c r="C18" s="380"/>
      <c r="D18" s="380"/>
      <c r="E18" s="380"/>
      <c r="F18" s="380"/>
      <c r="G18" s="380"/>
      <c r="H18" s="380"/>
      <c r="I18" s="473"/>
      <c r="J18" s="1598" t="s">
        <v>176</v>
      </c>
      <c r="K18" s="1598"/>
      <c r="L18" s="473"/>
      <c r="M18" s="475" t="s">
        <v>467</v>
      </c>
      <c r="N18" s="476" t="s">
        <v>141</v>
      </c>
      <c r="O18" s="477" t="s">
        <v>466</v>
      </c>
      <c r="P18" s="478" t="s">
        <v>451</v>
      </c>
      <c r="Q18" s="479" t="s">
        <v>462</v>
      </c>
      <c r="R18" s="479" t="s">
        <v>142</v>
      </c>
      <c r="S18" s="478" t="s">
        <v>62</v>
      </c>
      <c r="T18" s="379"/>
      <c r="U18" s="1598" t="s">
        <v>190</v>
      </c>
      <c r="V18" s="1598"/>
      <c r="W18" s="1598"/>
      <c r="X18" s="1598"/>
      <c r="Y18" s="1598"/>
      <c r="Z18" s="480"/>
      <c r="AA18" s="1598" t="s">
        <v>63</v>
      </c>
      <c r="AB18" s="1598"/>
      <c r="AC18" s="1598"/>
      <c r="AD18" s="1598"/>
      <c r="AE18" s="1598"/>
      <c r="AF18" s="379"/>
      <c r="AG18" s="379"/>
      <c r="AH18" s="379"/>
      <c r="AI18" s="481" t="s">
        <v>175</v>
      </c>
      <c r="AJ18" s="379"/>
      <c r="AK18" s="440"/>
      <c r="AM18" s="1073" t="str">
        <f>"Übernahme der Daten von Variante "&amp;M13</f>
        <v>Übernahme der Daten von Variante 3.2 I&amp;W</v>
      </c>
      <c r="AN18" s="1074"/>
      <c r="AO18" s="1074"/>
      <c r="AP18" s="1074"/>
      <c r="AQ18" s="1074"/>
      <c r="AR18" s="1074"/>
      <c r="AS18" s="1074"/>
      <c r="AT18" s="1074"/>
      <c r="AU18" s="1074"/>
      <c r="AV18" s="1075"/>
      <c r="AX18" s="1073" t="s">
        <v>716</v>
      </c>
      <c r="AY18" s="1073"/>
      <c r="AZ18" s="1074"/>
      <c r="BA18" s="1074"/>
      <c r="BB18" s="1075"/>
    </row>
    <row r="19" spans="1:54" ht="15" customHeight="1" x14ac:dyDescent="0.2">
      <c r="A19" s="440"/>
      <c r="B19" s="413"/>
      <c r="C19" s="380"/>
      <c r="D19" s="380"/>
      <c r="E19" s="380"/>
      <c r="F19" s="380"/>
      <c r="G19" s="380"/>
      <c r="H19" s="380"/>
      <c r="I19" s="473"/>
      <c r="J19" s="1598" t="s">
        <v>169</v>
      </c>
      <c r="K19" s="1598"/>
      <c r="L19" s="474"/>
      <c r="M19" s="475"/>
      <c r="N19" s="476"/>
      <c r="O19" s="477"/>
      <c r="P19" s="478"/>
      <c r="Q19" s="479"/>
      <c r="R19" s="479"/>
      <c r="S19" s="478"/>
      <c r="T19" s="379"/>
      <c r="U19" s="1598" t="s">
        <v>463</v>
      </c>
      <c r="V19" s="1598"/>
      <c r="W19" s="438"/>
      <c r="X19" s="1598" t="s">
        <v>249</v>
      </c>
      <c r="Y19" s="1598"/>
      <c r="Z19" s="480"/>
      <c r="AA19" s="1598" t="s">
        <v>463</v>
      </c>
      <c r="AB19" s="1598"/>
      <c r="AC19" s="438"/>
      <c r="AD19" s="1598" t="s">
        <v>249</v>
      </c>
      <c r="AE19" s="1598"/>
      <c r="AF19" s="379"/>
      <c r="AG19" s="1598" t="s">
        <v>715</v>
      </c>
      <c r="AH19" s="1598"/>
      <c r="AI19" s="481"/>
      <c r="AJ19" s="379"/>
      <c r="AK19" s="440"/>
      <c r="AL19" s="460" t="s">
        <v>826</v>
      </c>
      <c r="AM19" s="1066" t="s">
        <v>717</v>
      </c>
      <c r="AN19" s="1076" t="s">
        <v>109</v>
      </c>
      <c r="AO19" s="1076" t="s">
        <v>62</v>
      </c>
      <c r="AP19" s="1630" t="s">
        <v>190</v>
      </c>
      <c r="AQ19" s="1630"/>
      <c r="AR19" s="567"/>
      <c r="AS19" s="1630" t="s">
        <v>63</v>
      </c>
      <c r="AT19" s="1630"/>
      <c r="AU19" s="567"/>
      <c r="AV19" s="1067" t="s">
        <v>175</v>
      </c>
      <c r="AX19" s="1077" t="s">
        <v>109</v>
      </c>
      <c r="AY19" s="1078" t="s">
        <v>62</v>
      </c>
      <c r="AZ19" s="1078" t="s">
        <v>190</v>
      </c>
      <c r="BA19" s="1078" t="s">
        <v>63</v>
      </c>
      <c r="BB19" s="1079" t="s">
        <v>175</v>
      </c>
    </row>
    <row r="20" spans="1:54" ht="12" customHeight="1" thickBot="1" x14ac:dyDescent="0.3">
      <c r="A20" s="440"/>
      <c r="B20" s="413"/>
      <c r="C20" s="380"/>
      <c r="D20" s="380"/>
      <c r="E20" s="380"/>
      <c r="F20" s="380"/>
      <c r="G20" s="380"/>
      <c r="H20" s="380"/>
      <c r="I20" s="473"/>
      <c r="J20" s="1598"/>
      <c r="K20" s="1598"/>
      <c r="L20" s="473"/>
      <c r="M20" s="473"/>
      <c r="N20" s="473"/>
      <c r="O20" s="473"/>
      <c r="P20" s="473"/>
      <c r="Q20" s="372"/>
      <c r="R20" s="372"/>
      <c r="S20" s="372" t="s">
        <v>65</v>
      </c>
      <c r="T20" s="372"/>
      <c r="U20" s="372" t="s">
        <v>64</v>
      </c>
      <c r="V20" s="319" t="s">
        <v>93</v>
      </c>
      <c r="W20" s="372"/>
      <c r="X20" s="372" t="s">
        <v>64</v>
      </c>
      <c r="Y20" s="319" t="s">
        <v>93</v>
      </c>
      <c r="Z20" s="372"/>
      <c r="AA20" s="372" t="s">
        <v>64</v>
      </c>
      <c r="AB20" s="372" t="s">
        <v>93</v>
      </c>
      <c r="AC20" s="372"/>
      <c r="AD20" s="372" t="s">
        <v>64</v>
      </c>
      <c r="AE20" s="372" t="s">
        <v>93</v>
      </c>
      <c r="AF20" s="372"/>
      <c r="AG20" s="372" t="s">
        <v>66</v>
      </c>
      <c r="AH20" s="372"/>
      <c r="AI20" s="482" t="s">
        <v>66</v>
      </c>
      <c r="AJ20" s="372"/>
      <c r="AK20" s="440"/>
      <c r="AL20" s="1382">
        <v>3</v>
      </c>
      <c r="AM20" s="1080" t="str">
        <f>M13</f>
        <v>3.2 I&amp;W</v>
      </c>
      <c r="AN20" s="1071"/>
      <c r="AO20" s="1071" t="s">
        <v>65</v>
      </c>
      <c r="AP20" s="1071" t="s">
        <v>64</v>
      </c>
      <c r="AQ20" s="1071" t="s">
        <v>93</v>
      </c>
      <c r="AR20" s="1071"/>
      <c r="AS20" s="1071" t="s">
        <v>64</v>
      </c>
      <c r="AT20" s="1071" t="s">
        <v>93</v>
      </c>
      <c r="AU20" s="1071"/>
      <c r="AV20" s="1072" t="s">
        <v>66</v>
      </c>
      <c r="AX20" s="1069"/>
      <c r="AY20" s="1071"/>
      <c r="AZ20" s="1071"/>
      <c r="BA20" s="1071"/>
      <c r="BB20" s="1072"/>
    </row>
    <row r="21" spans="1:54" ht="12" customHeight="1" x14ac:dyDescent="0.2">
      <c r="A21" s="440"/>
      <c r="B21" s="413"/>
      <c r="C21" s="380"/>
      <c r="D21" s="380"/>
      <c r="E21" s="380"/>
      <c r="F21" s="380"/>
      <c r="G21" s="380"/>
      <c r="H21" s="380"/>
      <c r="I21" s="473"/>
      <c r="J21" s="1033"/>
      <c r="K21" s="1033"/>
      <c r="L21" s="473"/>
      <c r="M21" s="473"/>
      <c r="N21" s="473"/>
      <c r="O21" s="473"/>
      <c r="P21" s="473"/>
      <c r="Q21" s="372"/>
      <c r="R21" s="372"/>
      <c r="S21" s="372"/>
      <c r="T21" s="372"/>
      <c r="U21" s="372"/>
      <c r="V21" s="319"/>
      <c r="W21" s="372"/>
      <c r="X21" s="372"/>
      <c r="Y21" s="319"/>
      <c r="Z21" s="372"/>
      <c r="AA21" s="372"/>
      <c r="AB21" s="372"/>
      <c r="AC21" s="372"/>
      <c r="AD21" s="372"/>
      <c r="AE21" s="372"/>
      <c r="AF21" s="372"/>
      <c r="AG21" s="372"/>
      <c r="AH21" s="372"/>
      <c r="AI21" s="482"/>
      <c r="AJ21" s="372"/>
      <c r="AK21" s="440"/>
      <c r="AM21" s="460" t="s">
        <v>718</v>
      </c>
      <c r="AN21" s="1089" t="s">
        <v>719</v>
      </c>
      <c r="AO21" s="1089" t="s">
        <v>362</v>
      </c>
      <c r="AP21" s="1089" t="s">
        <v>519</v>
      </c>
      <c r="AQ21" s="1089" t="s">
        <v>725</v>
      </c>
      <c r="AR21" s="1089" t="s">
        <v>728</v>
      </c>
      <c r="AS21" s="1089" t="s">
        <v>726</v>
      </c>
      <c r="AT21" s="1089" t="s">
        <v>727</v>
      </c>
      <c r="AU21" s="1089" t="s">
        <v>729</v>
      </c>
      <c r="AV21" s="1089" t="s">
        <v>720</v>
      </c>
    </row>
    <row r="22" spans="1:54" ht="12" customHeight="1" x14ac:dyDescent="0.2">
      <c r="A22" s="440"/>
      <c r="B22" s="413"/>
      <c r="C22" s="380"/>
      <c r="D22" s="380"/>
      <c r="E22" s="380"/>
      <c r="F22" s="380"/>
      <c r="G22" s="380"/>
      <c r="H22" s="380"/>
      <c r="I22" s="473"/>
      <c r="J22" s="1033"/>
      <c r="K22" s="1033"/>
      <c r="L22" s="473"/>
      <c r="M22" s="473"/>
      <c r="N22" s="473"/>
      <c r="O22" s="473"/>
      <c r="P22" s="473"/>
      <c r="Q22" s="372"/>
      <c r="R22" s="372"/>
      <c r="S22" s="372"/>
      <c r="T22" s="372"/>
      <c r="U22" s="372"/>
      <c r="V22" s="319"/>
      <c r="W22" s="372"/>
      <c r="X22" s="372"/>
      <c r="Y22" s="319"/>
      <c r="Z22" s="372"/>
      <c r="AA22" s="372"/>
      <c r="AB22" s="372"/>
      <c r="AC22" s="372"/>
      <c r="AD22" s="372"/>
      <c r="AE22" s="372"/>
      <c r="AF22" s="372"/>
      <c r="AG22" s="372"/>
      <c r="AH22" s="372"/>
      <c r="AI22" s="482"/>
      <c r="AJ22" s="372"/>
      <c r="AK22" s="440"/>
      <c r="AM22" s="460">
        <v>22</v>
      </c>
      <c r="AN22" s="1089" t="s">
        <v>144</v>
      </c>
      <c r="AX22" s="460" t="s">
        <v>721</v>
      </c>
    </row>
    <row r="23" spans="1:54" s="492" customFormat="1" ht="12.75" customHeight="1" collapsed="1" x14ac:dyDescent="0.2">
      <c r="A23" s="483"/>
      <c r="B23" s="484"/>
      <c r="C23" s="485"/>
      <c r="D23" s="486"/>
      <c r="E23" s="1610" t="s">
        <v>461</v>
      </c>
      <c r="F23" s="1610"/>
      <c r="G23" s="1610"/>
      <c r="H23" s="1610"/>
      <c r="I23" s="1611"/>
      <c r="J23" s="487"/>
      <c r="K23" s="488"/>
      <c r="L23" s="488"/>
      <c r="M23" s="489"/>
      <c r="N23" s="490"/>
      <c r="O23" s="431"/>
      <c r="P23" s="431"/>
      <c r="Q23" s="431"/>
      <c r="R23" s="431"/>
      <c r="S23" s="430">
        <f ca="1">SUM(BERECHNUNG!O549:O655)</f>
        <v>4072142.2919999999</v>
      </c>
      <c r="T23" s="431"/>
      <c r="U23" s="431"/>
      <c r="V23" s="431"/>
      <c r="W23" s="431"/>
      <c r="X23" s="431"/>
      <c r="Y23" s="431"/>
      <c r="Z23" s="431"/>
      <c r="AA23" s="431"/>
      <c r="AB23" s="431"/>
      <c r="AC23" s="431"/>
      <c r="AD23" s="431"/>
      <c r="AE23" s="431"/>
      <c r="AF23" s="431"/>
      <c r="AG23" s="431"/>
      <c r="AH23" s="431"/>
      <c r="AI23" s="491"/>
      <c r="AJ23" s="431"/>
      <c r="AK23" s="483"/>
      <c r="AM23" s="460">
        <v>23</v>
      </c>
      <c r="AX23" s="1078" t="s">
        <v>722</v>
      </c>
      <c r="AY23" s="1078"/>
    </row>
    <row r="24" spans="1:54" ht="12" customHeight="1" x14ac:dyDescent="0.25">
      <c r="A24" s="440"/>
      <c r="B24" s="493"/>
      <c r="C24" s="494"/>
      <c r="D24" s="495"/>
      <c r="E24" s="1034"/>
      <c r="F24" s="1034"/>
      <c r="G24" s="1034"/>
      <c r="H24" s="1034"/>
      <c r="I24" s="1035"/>
      <c r="J24" s="1038"/>
      <c r="K24" s="462"/>
      <c r="L24" s="462"/>
      <c r="M24" s="498"/>
      <c r="N24" s="359"/>
      <c r="O24" s="363"/>
      <c r="P24" s="363"/>
      <c r="Q24" s="363"/>
      <c r="R24" s="363"/>
      <c r="S24" s="429"/>
      <c r="T24" s="363"/>
      <c r="U24" s="363"/>
      <c r="V24" s="363"/>
      <c r="W24" s="363"/>
      <c r="X24" s="363"/>
      <c r="Y24" s="363"/>
      <c r="Z24" s="363"/>
      <c r="AA24" s="363"/>
      <c r="AB24" s="363"/>
      <c r="AC24" s="363"/>
      <c r="AD24" s="363"/>
      <c r="AE24" s="363"/>
      <c r="AF24" s="363"/>
      <c r="AG24" s="363"/>
      <c r="AH24" s="363"/>
      <c r="AI24" s="358"/>
      <c r="AJ24" s="363"/>
      <c r="AK24" s="440"/>
      <c r="AM24" s="460">
        <v>24</v>
      </c>
      <c r="AP24" s="1081"/>
      <c r="AS24" s="1081"/>
      <c r="AX24" s="1082"/>
      <c r="AY24" s="1082"/>
      <c r="AZ24" s="1081"/>
      <c r="BA24" s="1081"/>
    </row>
    <row r="25" spans="1:54" ht="12" customHeight="1" x14ac:dyDescent="0.2">
      <c r="A25" s="440"/>
      <c r="B25" s="413"/>
      <c r="C25" s="380"/>
      <c r="D25" s="380"/>
      <c r="E25" s="380"/>
      <c r="F25" s="380"/>
      <c r="G25" s="380"/>
      <c r="H25" s="380"/>
      <c r="I25" s="473"/>
      <c r="J25" s="1033"/>
      <c r="K25" s="1033"/>
      <c r="L25" s="473"/>
      <c r="M25" s="473"/>
      <c r="N25" s="473"/>
      <c r="O25" s="473"/>
      <c r="P25" s="473"/>
      <c r="Q25" s="372"/>
      <c r="R25" s="372"/>
      <c r="S25" s="372"/>
      <c r="T25" s="372"/>
      <c r="U25" s="372"/>
      <c r="V25" s="319"/>
      <c r="W25" s="372"/>
      <c r="X25" s="372"/>
      <c r="Y25" s="319"/>
      <c r="Z25" s="372"/>
      <c r="AA25" s="372"/>
      <c r="AB25" s="372"/>
      <c r="AC25" s="372"/>
      <c r="AD25" s="372"/>
      <c r="AE25" s="372"/>
      <c r="AF25" s="372"/>
      <c r="AG25" s="372"/>
      <c r="AH25" s="372"/>
      <c r="AI25" s="482"/>
      <c r="AJ25" s="372"/>
      <c r="AK25" s="440"/>
      <c r="AM25" s="460">
        <v>25</v>
      </c>
      <c r="AP25" s="1081"/>
      <c r="AS25" s="1081"/>
      <c r="AZ25" s="1081"/>
      <c r="BA25" s="1081"/>
    </row>
    <row r="26" spans="1:54" ht="12" customHeight="1" x14ac:dyDescent="0.25">
      <c r="A26" s="440"/>
      <c r="B26" s="499">
        <v>0</v>
      </c>
      <c r="C26" s="1034"/>
      <c r="D26" s="1034"/>
      <c r="E26" s="1606" t="s">
        <v>61</v>
      </c>
      <c r="F26" s="1606"/>
      <c r="G26" s="1606"/>
      <c r="H26" s="1606"/>
      <c r="I26" s="1605"/>
      <c r="J26" s="1038"/>
      <c r="K26" s="502"/>
      <c r="L26" s="502"/>
      <c r="M26" s="1036"/>
      <c r="N26" s="503"/>
      <c r="O26" s="1036"/>
      <c r="P26" s="1036"/>
      <c r="Q26" s="1036"/>
      <c r="R26" s="1036"/>
      <c r="S26" s="385">
        <f ca="1">SUBTOTAL(109,S27)</f>
        <v>432000</v>
      </c>
      <c r="T26" s="372"/>
      <c r="U26" s="372"/>
      <c r="V26" s="372"/>
      <c r="W26" s="372"/>
      <c r="X26" s="372"/>
      <c r="Y26" s="372"/>
      <c r="Z26" s="372"/>
      <c r="AA26" s="372"/>
      <c r="AB26" s="372"/>
      <c r="AC26" s="372"/>
      <c r="AD26" s="482"/>
      <c r="AE26" s="482"/>
      <c r="AF26" s="482"/>
      <c r="AG26" s="482"/>
      <c r="AH26" s="482"/>
      <c r="AI26" s="482"/>
      <c r="AJ26" s="482"/>
      <c r="AK26" s="440"/>
      <c r="AM26" s="460">
        <v>26</v>
      </c>
      <c r="AP26" s="1081"/>
      <c r="AS26" s="1081"/>
      <c r="AZ26" s="1081"/>
      <c r="BA26" s="1081"/>
    </row>
    <row r="27" spans="1:54" ht="12" customHeight="1" x14ac:dyDescent="0.25">
      <c r="A27" s="440"/>
      <c r="B27" s="499"/>
      <c r="C27" s="1034"/>
      <c r="D27" s="1034"/>
      <c r="E27" s="1034"/>
      <c r="F27" s="1034"/>
      <c r="G27" s="1034"/>
      <c r="H27" s="1034"/>
      <c r="I27" s="1038"/>
      <c r="J27" s="1038"/>
      <c r="K27" s="502"/>
      <c r="L27" s="502"/>
      <c r="M27" s="343"/>
      <c r="N27" s="504" t="s">
        <v>67</v>
      </c>
      <c r="O27" s="344"/>
      <c r="P27" s="504" t="s">
        <v>363</v>
      </c>
      <c r="Q27" s="344"/>
      <c r="R27" s="504" t="s">
        <v>363</v>
      </c>
      <c r="S27" s="353">
        <f ca="1">IF(AY27="E",(M27*O27)+Q27,AO27)</f>
        <v>432000</v>
      </c>
      <c r="T27" s="372"/>
      <c r="U27" s="380"/>
      <c r="V27" s="380"/>
      <c r="W27" s="380"/>
      <c r="X27" s="380"/>
      <c r="Y27" s="380"/>
      <c r="Z27" s="380"/>
      <c r="AA27" s="380"/>
      <c r="AB27" s="380"/>
      <c r="AC27" s="380"/>
      <c r="AD27" s="380"/>
      <c r="AE27" s="380"/>
      <c r="AF27" s="380"/>
      <c r="AG27" s="1266"/>
      <c r="AH27" s="380"/>
      <c r="AI27" s="1086">
        <f ca="1">IF(BB27="E",AG27,AV27)</f>
        <v>0</v>
      </c>
      <c r="AJ27" s="380"/>
      <c r="AK27" s="440"/>
      <c r="AM27" s="460">
        <v>27</v>
      </c>
      <c r="AO27" s="1083">
        <f ca="1">IF($M$13=$AN$12,"",INDIRECT("'"&amp;$AM$20&amp;"'!"&amp;AO$21&amp;$AM27))</f>
        <v>432000</v>
      </c>
      <c r="AP27" s="1081"/>
      <c r="AS27" s="1081"/>
      <c r="AV27" s="1083">
        <f ca="1">IF($M$13=$AN$12,"",INDIRECT("'"&amp;$AM$20&amp;"'!"&amp;AV$21&amp;$AM27))</f>
        <v>0</v>
      </c>
      <c r="AY27" s="1083" t="str">
        <f>IF($M$13=$AN$12,"E",IF(OR(ISNUMBER(M27),ISNUMBER(O27),ISNUMBER(Q27)),"E","U"))</f>
        <v>U</v>
      </c>
      <c r="AZ27" s="1081"/>
      <c r="BA27" s="1081"/>
      <c r="BB27" s="1083" t="str">
        <f>IF($M$13=$AN$12,"E",IF(ISNUMBER(AG27),"E","U"))</f>
        <v>U</v>
      </c>
    </row>
    <row r="28" spans="1:54" ht="12" customHeight="1" x14ac:dyDescent="0.25">
      <c r="A28" s="440"/>
      <c r="B28" s="505"/>
      <c r="C28" s="506"/>
      <c r="D28" s="506"/>
      <c r="E28" s="506"/>
      <c r="F28" s="506"/>
      <c r="G28" s="506"/>
      <c r="H28" s="506"/>
      <c r="I28" s="507"/>
      <c r="J28" s="507"/>
      <c r="K28" s="508"/>
      <c r="L28" s="508"/>
      <c r="M28" s="508"/>
      <c r="N28" s="508"/>
      <c r="O28" s="508"/>
      <c r="P28" s="508"/>
      <c r="Q28" s="508"/>
      <c r="R28" s="508"/>
      <c r="S28" s="382"/>
      <c r="T28" s="509"/>
      <c r="U28" s="378"/>
      <c r="V28" s="378"/>
      <c r="W28" s="378"/>
      <c r="X28" s="378"/>
      <c r="Y28" s="378"/>
      <c r="Z28" s="378"/>
      <c r="AA28" s="378"/>
      <c r="AB28" s="378"/>
      <c r="AC28" s="378"/>
      <c r="AD28" s="378"/>
      <c r="AE28" s="378"/>
      <c r="AF28" s="378"/>
      <c r="AG28" s="378"/>
      <c r="AH28" s="378"/>
      <c r="AI28" s="510"/>
      <c r="AJ28" s="378"/>
      <c r="AK28" s="440"/>
      <c r="AM28" s="460">
        <v>28</v>
      </c>
      <c r="AP28" s="1081"/>
      <c r="AS28" s="1081"/>
      <c r="AZ28" s="1081"/>
      <c r="BA28" s="1081"/>
    </row>
    <row r="29" spans="1:54" ht="12" customHeight="1" x14ac:dyDescent="0.2">
      <c r="A29" s="440"/>
      <c r="B29" s="320"/>
      <c r="C29" s="1036"/>
      <c r="D29" s="1036"/>
      <c r="E29" s="1036"/>
      <c r="F29" s="1036"/>
      <c r="G29" s="1036"/>
      <c r="H29" s="1036"/>
      <c r="I29" s="380"/>
      <c r="J29" s="380"/>
      <c r="K29" s="463"/>
      <c r="L29" s="463"/>
      <c r="M29" s="379"/>
      <c r="N29" s="1033"/>
      <c r="O29" s="379"/>
      <c r="P29" s="379"/>
      <c r="Q29" s="379"/>
      <c r="R29" s="379"/>
      <c r="S29" s="383"/>
      <c r="T29" s="379"/>
      <c r="U29" s="379"/>
      <c r="V29" s="379"/>
      <c r="W29" s="379"/>
      <c r="X29" s="379"/>
      <c r="Y29" s="379"/>
      <c r="Z29" s="379"/>
      <c r="AA29" s="379"/>
      <c r="AB29" s="379"/>
      <c r="AC29" s="379"/>
      <c r="AD29" s="379"/>
      <c r="AE29" s="379"/>
      <c r="AF29" s="379"/>
      <c r="AG29" s="379"/>
      <c r="AH29" s="379"/>
      <c r="AI29" s="481"/>
      <c r="AJ29" s="379"/>
      <c r="AK29" s="440"/>
      <c r="AM29" s="460">
        <v>29</v>
      </c>
      <c r="AP29" s="1081"/>
      <c r="AS29" s="1081"/>
      <c r="AZ29" s="1081"/>
      <c r="BA29" s="1081"/>
    </row>
    <row r="30" spans="1:54" ht="12" customHeight="1" x14ac:dyDescent="0.2">
      <c r="A30" s="440"/>
      <c r="B30" s="320"/>
      <c r="C30" s="1036"/>
      <c r="D30" s="1036"/>
      <c r="E30" s="1036"/>
      <c r="F30" s="1036"/>
      <c r="G30" s="1036"/>
      <c r="H30" s="1036"/>
      <c r="I30" s="380"/>
      <c r="J30" s="380"/>
      <c r="K30" s="463"/>
      <c r="L30" s="463"/>
      <c r="M30" s="1036"/>
      <c r="N30" s="503"/>
      <c r="O30" s="1036"/>
      <c r="P30" s="1036"/>
      <c r="Q30" s="1036"/>
      <c r="R30" s="1036"/>
      <c r="S30" s="384"/>
      <c r="T30" s="372"/>
      <c r="U30" s="372"/>
      <c r="V30" s="372"/>
      <c r="W30" s="372"/>
      <c r="X30" s="372"/>
      <c r="Y30" s="372"/>
      <c r="Z30" s="372"/>
      <c r="AA30" s="372"/>
      <c r="AB30" s="372"/>
      <c r="AC30" s="372"/>
      <c r="AD30" s="372"/>
      <c r="AE30" s="372"/>
      <c r="AF30" s="372"/>
      <c r="AG30" s="372"/>
      <c r="AH30" s="372"/>
      <c r="AI30" s="482"/>
      <c r="AJ30" s="372"/>
      <c r="AK30" s="440"/>
      <c r="AM30" s="460">
        <v>30</v>
      </c>
      <c r="AP30" s="1081"/>
      <c r="AS30" s="1081"/>
      <c r="AZ30" s="1081"/>
      <c r="BA30" s="1081"/>
    </row>
    <row r="31" spans="1:54" ht="14.25" customHeight="1" x14ac:dyDescent="0.25">
      <c r="A31" s="440"/>
      <c r="B31" s="499">
        <v>1</v>
      </c>
      <c r="C31" s="494"/>
      <c r="D31" s="495"/>
      <c r="E31" s="1606" t="s">
        <v>59</v>
      </c>
      <c r="F31" s="1606"/>
      <c r="G31" s="1606"/>
      <c r="H31" s="1606"/>
      <c r="I31" s="1597"/>
      <c r="J31" s="1038"/>
      <c r="K31" s="462"/>
      <c r="L31" s="462"/>
      <c r="M31" s="363"/>
      <c r="N31" s="359"/>
      <c r="O31" s="363"/>
      <c r="P31" s="363"/>
      <c r="Q31" s="363"/>
      <c r="R31" s="363"/>
      <c r="S31" s="385">
        <f ca="1">S32</f>
        <v>89427.599999999991</v>
      </c>
      <c r="T31" s="363"/>
      <c r="U31" s="1036"/>
      <c r="V31" s="1036"/>
      <c r="W31" s="1036"/>
      <c r="X31" s="1036"/>
      <c r="Y31" s="1036"/>
      <c r="Z31" s="1036"/>
      <c r="AA31" s="1036"/>
      <c r="AB31" s="1036"/>
      <c r="AC31" s="1036"/>
      <c r="AD31" s="1036"/>
      <c r="AE31" s="1036"/>
      <c r="AF31" s="1036"/>
      <c r="AG31" s="1036"/>
      <c r="AH31" s="1036"/>
      <c r="AI31" s="358"/>
      <c r="AJ31" s="1036"/>
      <c r="AK31" s="440"/>
      <c r="AM31" s="460">
        <v>31</v>
      </c>
      <c r="AP31" s="1081"/>
      <c r="AS31" s="1081"/>
      <c r="AZ31" s="1081"/>
      <c r="BA31" s="1081"/>
    </row>
    <row r="32" spans="1:54" ht="12" customHeight="1" x14ac:dyDescent="0.25">
      <c r="A32" s="440"/>
      <c r="B32" s="1043"/>
      <c r="C32" s="1041" t="s">
        <v>58</v>
      </c>
      <c r="D32" s="380"/>
      <c r="E32" s="1596" t="s">
        <v>57</v>
      </c>
      <c r="F32" s="1596"/>
      <c r="G32" s="1596"/>
      <c r="H32" s="1596"/>
      <c r="I32" s="1605"/>
      <c r="J32" s="1038"/>
      <c r="K32" s="502"/>
      <c r="L32" s="502"/>
      <c r="M32" s="363"/>
      <c r="N32" s="359"/>
      <c r="O32" s="363"/>
      <c r="P32" s="363"/>
      <c r="Q32" s="363"/>
      <c r="R32" s="363"/>
      <c r="S32" s="355">
        <f ca="1">SUBTOTAL(109,S34)</f>
        <v>89427.599999999991</v>
      </c>
      <c r="T32" s="363"/>
      <c r="U32" s="1036"/>
      <c r="V32" s="1036"/>
      <c r="W32" s="1036"/>
      <c r="X32" s="1036"/>
      <c r="Y32" s="1036"/>
      <c r="Z32" s="1036"/>
      <c r="AA32" s="1036"/>
      <c r="AB32" s="1036"/>
      <c r="AC32" s="1036"/>
      <c r="AD32" s="1036"/>
      <c r="AE32" s="1036"/>
      <c r="AF32" s="1036"/>
      <c r="AG32" s="1036"/>
      <c r="AH32" s="1036"/>
      <c r="AI32" s="358"/>
      <c r="AJ32" s="1036"/>
      <c r="AK32" s="440"/>
      <c r="AM32" s="460">
        <v>32</v>
      </c>
      <c r="AP32" s="1081"/>
      <c r="AS32" s="1081"/>
      <c r="AZ32" s="1081"/>
      <c r="BA32" s="1081"/>
    </row>
    <row r="33" spans="1:54" ht="12" customHeight="1" x14ac:dyDescent="0.25">
      <c r="A33" s="440"/>
      <c r="B33" s="1043"/>
      <c r="C33" s="1041"/>
      <c r="D33" s="1037" t="s">
        <v>56</v>
      </c>
      <c r="E33" s="1599" t="s">
        <v>50</v>
      </c>
      <c r="F33" s="1599"/>
      <c r="G33" s="1599"/>
      <c r="H33" s="1599"/>
      <c r="I33" s="1605"/>
      <c r="J33" s="1038"/>
      <c r="K33" s="502"/>
      <c r="L33" s="502"/>
      <c r="M33" s="363"/>
      <c r="N33" s="359"/>
      <c r="O33" s="363"/>
      <c r="P33" s="363"/>
      <c r="Q33" s="363"/>
      <c r="R33" s="363"/>
      <c r="S33" s="1036"/>
      <c r="T33" s="363"/>
      <c r="U33" s="1036"/>
      <c r="V33" s="1036"/>
      <c r="W33" s="1036"/>
      <c r="X33" s="1036"/>
      <c r="Y33" s="1036"/>
      <c r="Z33" s="1036"/>
      <c r="AA33" s="1036"/>
      <c r="AB33" s="1036"/>
      <c r="AC33" s="1036"/>
      <c r="AD33" s="1036"/>
      <c r="AE33" s="1036"/>
      <c r="AF33" s="1036"/>
      <c r="AG33" s="1036"/>
      <c r="AH33" s="1036"/>
      <c r="AI33" s="358"/>
      <c r="AJ33" s="1036"/>
      <c r="AK33" s="440"/>
      <c r="AM33" s="460">
        <v>33</v>
      </c>
      <c r="AP33" s="1081"/>
      <c r="AS33" s="1081"/>
      <c r="AZ33" s="1081"/>
      <c r="BA33" s="1081"/>
    </row>
    <row r="34" spans="1:54" ht="12" customHeight="1" x14ac:dyDescent="0.25">
      <c r="A34" s="440"/>
      <c r="B34" s="1043"/>
      <c r="C34" s="380"/>
      <c r="D34" s="1598"/>
      <c r="E34" s="1598"/>
      <c r="F34" s="1598"/>
      <c r="G34" s="1598"/>
      <c r="H34" s="1598"/>
      <c r="I34" s="1598"/>
      <c r="J34" s="1038"/>
      <c r="K34" s="502"/>
      <c r="L34" s="502"/>
      <c r="M34" s="343"/>
      <c r="N34" s="359"/>
      <c r="O34" s="344"/>
      <c r="P34" s="363"/>
      <c r="Q34" s="344"/>
      <c r="R34" s="504" t="s">
        <v>363</v>
      </c>
      <c r="S34" s="353">
        <f ca="1">IF(AY34="E",(M34*O34)+Q34,AO34)</f>
        <v>89427.599999999991</v>
      </c>
      <c r="T34" s="363"/>
      <c r="U34" s="363"/>
      <c r="V34" s="363"/>
      <c r="W34" s="363"/>
      <c r="X34" s="363"/>
      <c r="Y34" s="363"/>
      <c r="Z34" s="363"/>
      <c r="AA34" s="363"/>
      <c r="AB34" s="363"/>
      <c r="AC34" s="363"/>
      <c r="AD34" s="363"/>
      <c r="AE34" s="363"/>
      <c r="AF34" s="1036"/>
      <c r="AG34" s="216"/>
      <c r="AH34" s="1036"/>
      <c r="AI34" s="1086">
        <f ca="1">IF(BB34="E",AG34,AV34)</f>
        <v>100</v>
      </c>
      <c r="AJ34" s="1036"/>
      <c r="AK34" s="440"/>
      <c r="AM34" s="460">
        <v>34</v>
      </c>
      <c r="AO34" s="1083">
        <f ca="1">IF($M$13=$AN$12,"",INDIRECT("'"&amp;$AM$20&amp;"'!"&amp;AO$21&amp;$AM34))</f>
        <v>89427.599999999991</v>
      </c>
      <c r="AP34" s="1081"/>
      <c r="AS34" s="1081"/>
      <c r="AV34" s="1083">
        <f ca="1">IF($M$13=$AN$12,"",INDIRECT("'"&amp;$AM$20&amp;"'!"&amp;AV$21&amp;$AM34))</f>
        <v>100</v>
      </c>
      <c r="AY34" s="1083" t="str">
        <f>IF($M$13=$AN$12,"E",IF(OR(ISNUMBER(M34),ISNUMBER(O34),ISNUMBER(Q34)),"E","U"))</f>
        <v>U</v>
      </c>
      <c r="AZ34" s="1081"/>
      <c r="BA34" s="1081"/>
      <c r="BB34" s="1083" t="str">
        <f>IF($M$13=$AN$12,"E",IF(ISNUMBER(AG34),"E","U"))</f>
        <v>U</v>
      </c>
    </row>
    <row r="35" spans="1:54" ht="12" customHeight="1" x14ac:dyDescent="0.25">
      <c r="A35" s="440"/>
      <c r="B35" s="324"/>
      <c r="C35" s="378"/>
      <c r="D35" s="515"/>
      <c r="E35" s="515"/>
      <c r="F35" s="515"/>
      <c r="G35" s="516"/>
      <c r="H35" s="1598"/>
      <c r="I35" s="1598"/>
      <c r="J35" s="507"/>
      <c r="K35" s="508"/>
      <c r="L35" s="508"/>
      <c r="M35" s="371"/>
      <c r="N35" s="517"/>
      <c r="O35" s="371"/>
      <c r="P35" s="371"/>
      <c r="Q35" s="371"/>
      <c r="R35" s="371"/>
      <c r="S35" s="387"/>
      <c r="T35" s="371"/>
      <c r="U35" s="371"/>
      <c r="V35" s="371"/>
      <c r="W35" s="371"/>
      <c r="X35" s="371"/>
      <c r="Y35" s="371"/>
      <c r="Z35" s="371"/>
      <c r="AA35" s="371"/>
      <c r="AB35" s="371"/>
      <c r="AC35" s="371"/>
      <c r="AD35" s="371"/>
      <c r="AE35" s="371"/>
      <c r="AF35" s="370"/>
      <c r="AG35" s="370"/>
      <c r="AH35" s="370"/>
      <c r="AI35" s="373"/>
      <c r="AJ35" s="370"/>
      <c r="AK35" s="440"/>
      <c r="AM35" s="460">
        <v>35</v>
      </c>
      <c r="AP35" s="1081"/>
      <c r="AS35" s="1081"/>
      <c r="AZ35" s="1081"/>
      <c r="BA35" s="1081"/>
    </row>
    <row r="36" spans="1:54" s="327" customFormat="1" ht="39.950000000000003" customHeight="1" x14ac:dyDescent="0.2">
      <c r="A36" s="440"/>
      <c r="B36" s="1164"/>
      <c r="C36" s="1165"/>
      <c r="D36" s="1165"/>
      <c r="E36" s="1165"/>
      <c r="F36" s="1165"/>
      <c r="G36" s="1165"/>
      <c r="H36" s="1165"/>
      <c r="I36" s="1165"/>
      <c r="J36" s="1165"/>
      <c r="K36" s="1165"/>
      <c r="L36" s="1165"/>
      <c r="M36" s="1165"/>
      <c r="N36" s="1165"/>
      <c r="O36" s="1165"/>
      <c r="P36" s="1165"/>
      <c r="Q36" s="1165"/>
      <c r="R36" s="1165"/>
      <c r="S36" s="1165"/>
      <c r="T36" s="1165"/>
      <c r="U36" s="440"/>
      <c r="V36" s="440"/>
      <c r="W36" s="440"/>
      <c r="X36" s="440"/>
      <c r="Y36" s="440"/>
      <c r="Z36" s="440"/>
      <c r="AA36" s="440"/>
      <c r="AB36" s="440"/>
      <c r="AC36" s="440"/>
      <c r="AD36" s="440"/>
      <c r="AE36" s="440"/>
      <c r="AF36" s="440"/>
      <c r="AG36" s="440"/>
      <c r="AH36" s="440"/>
      <c r="AI36" s="440"/>
      <c r="AJ36" s="440"/>
      <c r="AK36" s="440"/>
      <c r="AM36" s="460">
        <v>36</v>
      </c>
    </row>
    <row r="37" spans="1:54" ht="12" customHeight="1" x14ac:dyDescent="0.25">
      <c r="A37" s="440"/>
      <c r="B37" s="1042"/>
      <c r="C37" s="1036"/>
      <c r="D37" s="1037"/>
      <c r="E37" s="515"/>
      <c r="F37" s="515"/>
      <c r="G37" s="515"/>
      <c r="H37" s="515"/>
      <c r="I37" s="516"/>
      <c r="J37" s="1598"/>
      <c r="K37" s="1598"/>
      <c r="L37" s="1033"/>
      <c r="M37" s="379"/>
      <c r="N37" s="1033"/>
      <c r="O37" s="379"/>
      <c r="P37" s="379"/>
      <c r="Q37" s="379"/>
      <c r="R37" s="379"/>
      <c r="S37" s="379"/>
      <c r="T37" s="379"/>
      <c r="U37" s="1598"/>
      <c r="V37" s="1598"/>
      <c r="W37" s="1033"/>
      <c r="X37" s="1598"/>
      <c r="Y37" s="1598"/>
      <c r="Z37" s="379"/>
      <c r="AA37" s="1598"/>
      <c r="AB37" s="1598"/>
      <c r="AC37" s="379"/>
      <c r="AD37" s="481"/>
      <c r="AE37" s="481"/>
      <c r="AF37" s="481"/>
      <c r="AG37" s="481"/>
      <c r="AH37" s="481"/>
      <c r="AI37" s="481"/>
      <c r="AJ37" s="481"/>
      <c r="AK37" s="440"/>
      <c r="AM37" s="460">
        <v>37</v>
      </c>
      <c r="AP37" s="1081"/>
      <c r="AS37" s="1081"/>
      <c r="AZ37" s="1081"/>
      <c r="BA37" s="1081"/>
    </row>
    <row r="38" spans="1:54" ht="12" customHeight="1" x14ac:dyDescent="0.25">
      <c r="A38" s="440"/>
      <c r="B38" s="1042"/>
      <c r="C38" s="1036"/>
      <c r="D38" s="1037"/>
      <c r="E38" s="515"/>
      <c r="F38" s="515"/>
      <c r="G38" s="515"/>
      <c r="H38" s="515"/>
      <c r="I38" s="516"/>
      <c r="J38" s="1598"/>
      <c r="K38" s="1598"/>
      <c r="L38" s="1033"/>
      <c r="M38" s="1036"/>
      <c r="N38" s="503"/>
      <c r="O38" s="1036"/>
      <c r="P38" s="1036"/>
      <c r="Q38" s="1036"/>
      <c r="R38" s="1036"/>
      <c r="S38" s="372"/>
      <c r="T38" s="372"/>
      <c r="U38" s="372"/>
      <c r="V38" s="372"/>
      <c r="W38" s="372"/>
      <c r="X38" s="372"/>
      <c r="Y38" s="372"/>
      <c r="Z38" s="372"/>
      <c r="AA38" s="372"/>
      <c r="AB38" s="372"/>
      <c r="AC38" s="372"/>
      <c r="AD38" s="482"/>
      <c r="AE38" s="482"/>
      <c r="AF38" s="482"/>
      <c r="AG38" s="482"/>
      <c r="AH38" s="482"/>
      <c r="AI38" s="482"/>
      <c r="AJ38" s="482"/>
      <c r="AK38" s="440"/>
      <c r="AM38" s="460">
        <v>38</v>
      </c>
      <c r="AP38" s="1081"/>
      <c r="AS38" s="1081"/>
      <c r="AZ38" s="1081"/>
      <c r="BA38" s="1081"/>
    </row>
    <row r="39" spans="1:54" ht="14.25" customHeight="1" x14ac:dyDescent="0.25">
      <c r="A39" s="440"/>
      <c r="B39" s="1042" t="s">
        <v>144</v>
      </c>
      <c r="C39" s="494"/>
      <c r="D39" s="1037"/>
      <c r="E39" s="1606" t="s">
        <v>143</v>
      </c>
      <c r="F39" s="1606"/>
      <c r="G39" s="1606"/>
      <c r="H39" s="1606"/>
      <c r="I39" s="1597"/>
      <c r="J39" s="1038"/>
      <c r="K39" s="462"/>
      <c r="L39" s="462"/>
      <c r="M39" s="1036"/>
      <c r="N39" s="503"/>
      <c r="O39" s="1036"/>
      <c r="P39" s="1036"/>
      <c r="Q39" s="1036"/>
      <c r="R39" s="1036"/>
      <c r="S39" s="385">
        <f ca="1">S40+S53+S73+S92+S102</f>
        <v>564080.79599999997</v>
      </c>
      <c r="T39" s="363"/>
      <c r="U39" s="358"/>
      <c r="V39" s="358"/>
      <c r="W39" s="358"/>
      <c r="X39" s="358"/>
      <c r="Y39" s="358"/>
      <c r="Z39" s="363"/>
      <c r="AA39" s="358"/>
      <c r="AB39" s="358"/>
      <c r="AC39" s="358"/>
      <c r="AD39" s="358"/>
      <c r="AE39" s="358"/>
      <c r="AF39" s="358"/>
      <c r="AG39" s="358"/>
      <c r="AH39" s="358"/>
      <c r="AI39" s="358"/>
      <c r="AJ39" s="358"/>
      <c r="AK39" s="440"/>
      <c r="AM39" s="460">
        <v>39</v>
      </c>
      <c r="AP39" s="1081"/>
      <c r="AS39" s="1081"/>
      <c r="AZ39" s="1081"/>
      <c r="BA39" s="1081"/>
    </row>
    <row r="40" spans="1:54" ht="14.25" customHeight="1" x14ac:dyDescent="0.25">
      <c r="A40" s="440"/>
      <c r="B40" s="1042"/>
      <c r="C40" s="1036" t="s">
        <v>145</v>
      </c>
      <c r="D40" s="494"/>
      <c r="E40" s="1596" t="s">
        <v>133</v>
      </c>
      <c r="F40" s="1596"/>
      <c r="G40" s="1596"/>
      <c r="H40" s="1596"/>
      <c r="I40" s="1597"/>
      <c r="J40" s="1038"/>
      <c r="K40" s="462"/>
      <c r="L40" s="462"/>
      <c r="M40" s="1037"/>
      <c r="N40" s="519"/>
      <c r="O40" s="380"/>
      <c r="P40" s="1037"/>
      <c r="Q40" s="1037"/>
      <c r="R40" s="1037"/>
      <c r="S40" s="355">
        <f ca="1">S41+S47</f>
        <v>165053.21999999997</v>
      </c>
      <c r="T40" s="363"/>
      <c r="U40" s="358"/>
      <c r="V40" s="358"/>
      <c r="W40" s="358"/>
      <c r="X40" s="358"/>
      <c r="Y40" s="358"/>
      <c r="Z40" s="363"/>
      <c r="AA40" s="358"/>
      <c r="AB40" s="358"/>
      <c r="AC40" s="358"/>
      <c r="AD40" s="358"/>
      <c r="AE40" s="358"/>
      <c r="AF40" s="358"/>
      <c r="AG40" s="358"/>
      <c r="AH40" s="358"/>
      <c r="AI40" s="358"/>
      <c r="AJ40" s="358"/>
      <c r="AK40" s="440"/>
      <c r="AM40" s="460">
        <v>40</v>
      </c>
      <c r="AP40" s="1081"/>
      <c r="AS40" s="1081"/>
      <c r="AZ40" s="1081"/>
      <c r="BA40" s="1081"/>
    </row>
    <row r="41" spans="1:54" ht="12" customHeight="1" x14ac:dyDescent="0.25">
      <c r="A41" s="440"/>
      <c r="B41" s="1042"/>
      <c r="C41" s="1036"/>
      <c r="D41" s="1037" t="s">
        <v>146</v>
      </c>
      <c r="E41" s="1599" t="s">
        <v>139</v>
      </c>
      <c r="F41" s="1599"/>
      <c r="G41" s="1599"/>
      <c r="H41" s="1599"/>
      <c r="I41" s="1597"/>
      <c r="J41" s="1038"/>
      <c r="K41" s="1038"/>
      <c r="L41" s="503"/>
      <c r="M41" s="1037"/>
      <c r="N41" s="519"/>
      <c r="O41" s="1037"/>
      <c r="P41" s="1038"/>
      <c r="Q41" s="1038"/>
      <c r="R41" s="1038"/>
      <c r="S41" s="388">
        <f ca="1">SUBTOTAL(109,S43:S46)</f>
        <v>165053.21999999997</v>
      </c>
      <c r="T41" s="363"/>
      <c r="U41" s="358"/>
      <c r="V41" s="358"/>
      <c r="W41" s="358"/>
      <c r="X41" s="358"/>
      <c r="Y41" s="358"/>
      <c r="Z41" s="358"/>
      <c r="AA41" s="358"/>
      <c r="AB41" s="358"/>
      <c r="AC41" s="358"/>
      <c r="AD41" s="358"/>
      <c r="AE41" s="358"/>
      <c r="AF41" s="358"/>
      <c r="AG41" s="358"/>
      <c r="AH41" s="358"/>
      <c r="AI41" s="358"/>
      <c r="AJ41" s="358"/>
      <c r="AK41" s="440"/>
      <c r="AM41" s="460">
        <v>41</v>
      </c>
      <c r="AP41" s="1081"/>
      <c r="AS41" s="1081"/>
      <c r="AZ41" s="1081"/>
      <c r="BA41" s="1081"/>
    </row>
    <row r="42" spans="1:54" ht="12" customHeight="1" x14ac:dyDescent="0.25">
      <c r="A42" s="440"/>
      <c r="B42" s="1042"/>
      <c r="C42" s="1036"/>
      <c r="D42" s="1037"/>
      <c r="E42" s="1037"/>
      <c r="F42" s="1037"/>
      <c r="G42" s="1037"/>
      <c r="H42" s="1037"/>
      <c r="I42" s="1035"/>
      <c r="J42" s="1603" t="s">
        <v>170</v>
      </c>
      <c r="K42" s="1603"/>
      <c r="L42" s="503"/>
      <c r="M42" s="1037"/>
      <c r="N42" s="519"/>
      <c r="O42" s="1037"/>
      <c r="P42" s="1038"/>
      <c r="Q42" s="1038"/>
      <c r="R42" s="1038"/>
      <c r="S42" s="388"/>
      <c r="T42" s="363"/>
      <c r="U42" s="358"/>
      <c r="V42" s="358"/>
      <c r="W42" s="358"/>
      <c r="X42" s="358"/>
      <c r="Y42" s="358"/>
      <c r="Z42" s="358"/>
      <c r="AA42" s="358"/>
      <c r="AB42" s="358"/>
      <c r="AC42" s="358"/>
      <c r="AD42" s="358"/>
      <c r="AE42" s="358"/>
      <c r="AF42" s="358"/>
      <c r="AG42" s="358"/>
      <c r="AH42" s="358"/>
      <c r="AI42" s="358"/>
      <c r="AJ42" s="358"/>
      <c r="AK42" s="440"/>
      <c r="AM42" s="460">
        <v>42</v>
      </c>
      <c r="AP42" s="1081"/>
      <c r="AS42" s="1081"/>
      <c r="AZ42" s="1081"/>
      <c r="BA42" s="1081"/>
    </row>
    <row r="43" spans="1:54" ht="12" customHeight="1" x14ac:dyDescent="0.2">
      <c r="A43" s="440"/>
      <c r="B43" s="1042"/>
      <c r="C43" s="1036"/>
      <c r="D43" s="1037"/>
      <c r="E43" s="1084" t="str">
        <f ca="1">IF(AX43="E","",AN43)</f>
        <v>Spengler und Schwarzdecker LD30</v>
      </c>
      <c r="F43" s="1085"/>
      <c r="G43" s="1264"/>
      <c r="H43" s="1264"/>
      <c r="I43" s="1265"/>
      <c r="J43" s="638"/>
      <c r="K43" s="520" t="s">
        <v>177</v>
      </c>
      <c r="L43" s="521"/>
      <c r="M43" s="338"/>
      <c r="N43" s="521" t="s">
        <v>67</v>
      </c>
      <c r="O43" s="344"/>
      <c r="P43" s="504" t="s">
        <v>68</v>
      </c>
      <c r="Q43" s="344"/>
      <c r="R43" s="522" t="s">
        <v>363</v>
      </c>
      <c r="S43" s="353">
        <f ca="1">IF(AY43="E",(M43*O43)+Q43,AO43)</f>
        <v>71565.119999999995</v>
      </c>
      <c r="T43" s="523"/>
      <c r="U43" s="350"/>
      <c r="V43" s="308"/>
      <c r="W43" s="1090" t="str">
        <f ca="1">IF(AZ43="E",IF(AND(V43&lt;&gt;0,U43&lt;&gt;0),"X",IF(AND(V43&lt;&gt;0,U43=0),"A",IF(AND(V43=0,U43&lt;&gt;0),"P",""))),AR43)</f>
        <v/>
      </c>
      <c r="X43" s="1103">
        <f ca="1">IF(AZ43="E",IFERROR(IF(W43="X",0,IF(U43&gt;0,U43,V43/S43)),0),
IFERROR(IF(OR(AR43="X",AR43=0),0,
IF(AR43="P",AP43,IF(AR43="A",AQ43/S43,0))),0))</f>
        <v>0</v>
      </c>
      <c r="Y43" s="1120">
        <f ca="1">IF(AZ43="E",IFERROR(IF(W43="X",0,IF(V43&gt;0,V43,S43*U43)),0),
IFERROR(IF(OR(AR43="X",AR43="0"),0,IF(AR43="A",AQ43,S43*AP43)),0))</f>
        <v>0</v>
      </c>
      <c r="Z43" s="524"/>
      <c r="AA43" s="350"/>
      <c r="AB43" s="308"/>
      <c r="AC43" s="1090" t="str">
        <f ca="1">IF(BA43="E",IF(AND(AB43&lt;&gt;0,AA43&lt;&gt;0),"X",IF(AND(AB43&lt;&gt;0,AA43=0),"A",IF(AND(AB43=0,AA43&lt;&gt;0),"P",""))),AU43)</f>
        <v>A</v>
      </c>
      <c r="AD43" s="1103">
        <f ca="1">IF(BA43="E",IFERROR(IF(AC43="X",0,IF(AA43&gt;0,AA43,AB43/S43)),0),
IFERROR(IF(OR(AU43="X",AU43=0),0,
IF(AU43="P",AS43,IF(AU43="A",AT43/S43,0))),0))</f>
        <v>5.9945403570901585E-4</v>
      </c>
      <c r="AE43" s="1120">
        <f ca="1">IF(BA43="E",IFERROR(IF(AC43="X",0,IF(AB43&gt;0,AB43,S43*AA43)),0),
IFERROR(IF(OR(AU43="X",AU43=0),0,
IF(AU43="A",AT43,S43*AS43)),0))</f>
        <v>42.9</v>
      </c>
      <c r="AF43" s="525"/>
      <c r="AG43" s="637"/>
      <c r="AH43" s="525"/>
      <c r="AI43" s="1086">
        <f ca="1">IF(BB43="E",AG43,AV43)</f>
        <v>30</v>
      </c>
      <c r="AJ43" s="380"/>
      <c r="AK43" s="440"/>
      <c r="AM43" s="460">
        <v>43</v>
      </c>
      <c r="AN43" s="1087" t="str">
        <f ca="1">IF($M$13=$AN$12,"",IF(ISTEXT(INDIRECT("'"&amp;$AM$20&amp;"'!"&amp;AN$21&amp;$AM43)),INDIRECT("'"&amp;$AM$20&amp;"'!"&amp;AN$21&amp;$AM43),INDIRECT("'"&amp;$AM$20&amp;"'!"&amp;AN$22&amp;$AM43)))</f>
        <v>Spengler und Schwarzdecker LD30</v>
      </c>
      <c r="AO43" s="1083">
        <f t="shared" ref="AO43:AV43" ca="1" si="0">IF($M$13=$AN$12,"",INDIRECT("'"&amp;$AM$20&amp;"'!"&amp;AO$21&amp;$AM43))</f>
        <v>71565.119999999995</v>
      </c>
      <c r="AP43" s="356">
        <f t="shared" ca="1" si="0"/>
        <v>0</v>
      </c>
      <c r="AQ43" s="357">
        <f t="shared" ca="1" si="0"/>
        <v>0</v>
      </c>
      <c r="AR43" s="524" t="str">
        <f t="shared" ca="1" si="0"/>
        <v/>
      </c>
      <c r="AS43" s="356">
        <f t="shared" ca="1" si="0"/>
        <v>5.9945403570901585E-4</v>
      </c>
      <c r="AT43" s="357">
        <f t="shared" ca="1" si="0"/>
        <v>42.9</v>
      </c>
      <c r="AU43" s="524" t="str">
        <f t="shared" ca="1" si="0"/>
        <v>A</v>
      </c>
      <c r="AV43" s="1083">
        <f t="shared" ca="1" si="0"/>
        <v>30</v>
      </c>
      <c r="AX43" s="1083" t="str">
        <f>IF($M$13=$AN$12,"E",IF(ISTEXT(F43),"E","U"))</f>
        <v>U</v>
      </c>
      <c r="AY43" s="1083" t="str">
        <f>IF($M$13=$AN$12,"E",IF(OR(ISNUMBER(M43),ISNUMBER(O43),ISNUMBER(Q43)),"E","U"))</f>
        <v>U</v>
      </c>
      <c r="AZ43" s="1083" t="str">
        <f>IF($M$13=$AN$12,"E",IF(OR(ISNUMBER(U43),ISNUMBER(V43)),"E","U"))</f>
        <v>U</v>
      </c>
      <c r="BA43" s="1083" t="str">
        <f>IF($M$13=$AN$12,"E",IF(OR(ISNUMBER(AA43),ISNUMBER(AB43)),"E","U"))</f>
        <v>U</v>
      </c>
      <c r="BB43" s="1083" t="str">
        <f>IF($M$13=$AN$12,"E",IF(ISNUMBER(AG43),"E","U"))</f>
        <v>U</v>
      </c>
    </row>
    <row r="44" spans="1:54" ht="12" customHeight="1" x14ac:dyDescent="0.2">
      <c r="A44" s="440"/>
      <c r="B44" s="1042"/>
      <c r="C44" s="1036"/>
      <c r="D44" s="1037"/>
      <c r="E44" s="1084" t="str">
        <f ca="1">IF(AX44="E","",AN44)</f>
        <v xml:space="preserve">  für Dichtungen und Öffnungen</v>
      </c>
      <c r="F44" s="1085"/>
      <c r="G44" s="1264"/>
      <c r="H44" s="1264"/>
      <c r="I44" s="1265"/>
      <c r="J44" s="638"/>
      <c r="K44" s="520" t="s">
        <v>177</v>
      </c>
      <c r="L44" s="521"/>
      <c r="M44" s="342"/>
      <c r="N44" s="521" t="s">
        <v>67</v>
      </c>
      <c r="O44" s="344"/>
      <c r="P44" s="504" t="s">
        <v>68</v>
      </c>
      <c r="Q44" s="344"/>
      <c r="R44" s="522" t="s">
        <v>363</v>
      </c>
      <c r="S44" s="353">
        <f ca="1">IF(AY44="E",(M44*O44)+Q44,AO44)</f>
        <v>0</v>
      </c>
      <c r="T44" s="523"/>
      <c r="U44" s="350"/>
      <c r="V44" s="308"/>
      <c r="W44" s="1090" t="str">
        <f t="shared" ref="W44:W46" ca="1" si="1">IF(AZ44="E",IF(AND(V44&lt;&gt;0,U44&lt;&gt;0),"X",IF(AND(V44&lt;&gt;0,U44=0),"A",IF(AND(V44=0,U44&lt;&gt;0),"P",""))),AR44)</f>
        <v/>
      </c>
      <c r="X44" s="1103">
        <f t="shared" ref="X44:X46" ca="1" si="2">IF(AZ44="E",IFERROR(IF(W44="X",0,IF(U44&gt;0,U44,V44/S44)),0),
IFERROR(IF(OR(AR44="X",AR44=0),0,
IF(AR44="P",AP44,IF(AR44="A",AQ44/S44,0))),0))</f>
        <v>0</v>
      </c>
      <c r="Y44" s="1120">
        <f t="shared" ref="Y44:Y46" ca="1" si="3">IF(AZ44="E",IFERROR(IF(W44="X",0,IF(V44&gt;0,V44,S44*U44)),0),
IFERROR(IF(OR(AR44="X",AR44="0"),0,IF(AR44="A",AQ44,S44*AP44)),0))</f>
        <v>0</v>
      </c>
      <c r="Z44" s="524"/>
      <c r="AA44" s="350"/>
      <c r="AB44" s="308"/>
      <c r="AC44" s="1090" t="str">
        <f t="shared" ref="AC44:AC46" ca="1" si="4">IF(BA44="E",IF(AND(AB44&lt;&gt;0,AA44&lt;&gt;0),"X",IF(AND(AB44&lt;&gt;0,AA44=0),"A",IF(AND(AB44=0,AA44&lt;&gt;0),"P",""))),AU44)</f>
        <v/>
      </c>
      <c r="AD44" s="1103">
        <f t="shared" ref="AD44:AD46" ca="1" si="5">IF(BA44="E",IFERROR(IF(AC44="X",0,IF(AA44&gt;0,AA44,AB44/S44)),0),
IFERROR(IF(OR(AU44="X",AU44=0),0,
IF(AU44="P",AS44,IF(AU44="A",AT44/S44,0))),0))</f>
        <v>0</v>
      </c>
      <c r="AE44" s="1120">
        <f t="shared" ref="AE44:AE46" ca="1" si="6">IF(BA44="E",IFERROR(IF(AC44="X",0,IF(AB44&gt;0,AB44,S44*AA44)),0),
IFERROR(IF(OR(AU44="X",AU44=0),0,
IF(AU44="A",AT44,S44*AS44)),0))</f>
        <v>0</v>
      </c>
      <c r="AF44" s="525"/>
      <c r="AG44" s="637"/>
      <c r="AH44" s="525"/>
      <c r="AI44" s="1086">
        <f ca="1">IF(BB44="E",AG44,AV44)</f>
        <v>0</v>
      </c>
      <c r="AJ44" s="380"/>
      <c r="AK44" s="440"/>
      <c r="AM44" s="460">
        <v>44</v>
      </c>
      <c r="AN44" s="1087" t="str">
        <f t="shared" ref="AN44:AN46" ca="1" si="7">IF($M$13=$AN$12,"",IF(ISTEXT(INDIRECT("'"&amp;$AM$20&amp;"'!"&amp;AN$21&amp;$AM44)),INDIRECT("'"&amp;$AM$20&amp;"'!"&amp;AN$21&amp;$AM44),INDIRECT("'"&amp;$AM$20&amp;"'!"&amp;AN$22&amp;$AM44)))</f>
        <v xml:space="preserve">  für Dichtungen und Öffnungen</v>
      </c>
      <c r="AO44" s="1083">
        <f t="shared" ref="AO44:AV46" ca="1" si="8">IF($M$13=$AN$12,"",INDIRECT("'"&amp;$AM$20&amp;"'!"&amp;AO$21&amp;$AM44))</f>
        <v>0</v>
      </c>
      <c r="AP44" s="356">
        <f t="shared" ca="1" si="8"/>
        <v>0</v>
      </c>
      <c r="AQ44" s="357">
        <f t="shared" ca="1" si="8"/>
        <v>0</v>
      </c>
      <c r="AR44" s="524" t="str">
        <f t="shared" ca="1" si="8"/>
        <v/>
      </c>
      <c r="AS44" s="356">
        <f t="shared" ca="1" si="8"/>
        <v>0</v>
      </c>
      <c r="AT44" s="357">
        <f t="shared" ca="1" si="8"/>
        <v>0</v>
      </c>
      <c r="AU44" s="524" t="str">
        <f t="shared" ca="1" si="8"/>
        <v/>
      </c>
      <c r="AV44" s="1083">
        <f t="shared" ca="1" si="8"/>
        <v>0</v>
      </c>
      <c r="AX44" s="1083" t="str">
        <f t="shared" ref="AX44:AX46" si="9">IF($M$13=$AN$12,"E",IF(ISTEXT(F44),"E","U"))</f>
        <v>U</v>
      </c>
      <c r="AY44" s="1083" t="str">
        <f t="shared" ref="AY44:AY46" si="10">IF($M$13=$AN$12,"E",IF(OR(ISNUMBER(M44),ISNUMBER(O44),ISNUMBER(Q44)),"E","U"))</f>
        <v>U</v>
      </c>
      <c r="AZ44" s="1083" t="str">
        <f t="shared" ref="AZ44:AZ46" si="11">IF($M$13=$AN$12,"E",IF(OR(ISNUMBER(U44),ISNUMBER(V44)),"E","U"))</f>
        <v>U</v>
      </c>
      <c r="BA44" s="1083" t="str">
        <f t="shared" ref="BA44:BA46" si="12">IF($M$13=$AN$12,"E",IF(OR(ISNUMBER(AA44),ISNUMBER(AB44)),"E","U"))</f>
        <v>U</v>
      </c>
      <c r="BB44" s="1083" t="str">
        <f t="shared" ref="BB44:BB46" si="13">IF($M$13=$AN$12,"E",IF(ISNUMBER(AG44),"E","U"))</f>
        <v>U</v>
      </c>
    </row>
    <row r="45" spans="1:54" ht="12" customHeight="1" x14ac:dyDescent="0.2">
      <c r="A45" s="440"/>
      <c r="B45" s="1042"/>
      <c r="C45" s="1036"/>
      <c r="D45" s="1037"/>
      <c r="E45" s="1084" t="str">
        <f ca="1">IF(AX45="E","",AN45)</f>
        <v>Spengler und Schwarzdecker LD50</v>
      </c>
      <c r="F45" s="1085"/>
      <c r="G45" s="1264"/>
      <c r="H45" s="1264"/>
      <c r="I45" s="1265"/>
      <c r="J45" s="638"/>
      <c r="K45" s="520" t="s">
        <v>177</v>
      </c>
      <c r="L45" s="521"/>
      <c r="M45" s="342"/>
      <c r="N45" s="521" t="s">
        <v>67</v>
      </c>
      <c r="O45" s="344"/>
      <c r="P45" s="504" t="s">
        <v>68</v>
      </c>
      <c r="Q45" s="344"/>
      <c r="R45" s="522" t="s">
        <v>363</v>
      </c>
      <c r="S45" s="353">
        <f ca="1">IF(AY45="E",(M45*O45)+Q45,AO45)</f>
        <v>93488.099999999991</v>
      </c>
      <c r="T45" s="523"/>
      <c r="U45" s="350"/>
      <c r="V45" s="308"/>
      <c r="W45" s="1090" t="str">
        <f t="shared" ca="1" si="1"/>
        <v/>
      </c>
      <c r="X45" s="1103">
        <f t="shared" ca="1" si="2"/>
        <v>0</v>
      </c>
      <c r="Y45" s="1120">
        <f t="shared" ca="1" si="3"/>
        <v>0</v>
      </c>
      <c r="Z45" s="524"/>
      <c r="AA45" s="350"/>
      <c r="AB45" s="308"/>
      <c r="AC45" s="1090" t="str">
        <f t="shared" ca="1" si="4"/>
        <v/>
      </c>
      <c r="AD45" s="1103">
        <f t="shared" ca="1" si="5"/>
        <v>0</v>
      </c>
      <c r="AE45" s="1120">
        <f t="shared" ca="1" si="6"/>
        <v>0</v>
      </c>
      <c r="AF45" s="525"/>
      <c r="AG45" s="637"/>
      <c r="AH45" s="525"/>
      <c r="AI45" s="1086">
        <f ca="1">IF(BB45="E",AG45,AV45)</f>
        <v>50</v>
      </c>
      <c r="AJ45" s="380"/>
      <c r="AK45" s="440"/>
      <c r="AM45" s="460">
        <v>45</v>
      </c>
      <c r="AN45" s="1087" t="str">
        <f t="shared" ca="1" si="7"/>
        <v>Spengler und Schwarzdecker LD50</v>
      </c>
      <c r="AO45" s="1083">
        <f t="shared" ca="1" si="8"/>
        <v>93488.099999999991</v>
      </c>
      <c r="AP45" s="356">
        <f t="shared" ca="1" si="8"/>
        <v>0</v>
      </c>
      <c r="AQ45" s="357">
        <f t="shared" ca="1" si="8"/>
        <v>0</v>
      </c>
      <c r="AR45" s="524" t="str">
        <f t="shared" ca="1" si="8"/>
        <v/>
      </c>
      <c r="AS45" s="356">
        <f t="shared" ca="1" si="8"/>
        <v>0</v>
      </c>
      <c r="AT45" s="357">
        <f t="shared" ca="1" si="8"/>
        <v>0</v>
      </c>
      <c r="AU45" s="524" t="str">
        <f t="shared" ca="1" si="8"/>
        <v/>
      </c>
      <c r="AV45" s="1083">
        <f t="shared" ca="1" si="8"/>
        <v>50</v>
      </c>
      <c r="AX45" s="1083" t="str">
        <f t="shared" si="9"/>
        <v>U</v>
      </c>
      <c r="AY45" s="1083" t="str">
        <f t="shared" si="10"/>
        <v>U</v>
      </c>
      <c r="AZ45" s="1083" t="str">
        <f t="shared" si="11"/>
        <v>U</v>
      </c>
      <c r="BA45" s="1083" t="str">
        <f t="shared" si="12"/>
        <v>U</v>
      </c>
      <c r="BB45" s="1083" t="str">
        <f t="shared" si="13"/>
        <v>U</v>
      </c>
    </row>
    <row r="46" spans="1:54" ht="12" customHeight="1" x14ac:dyDescent="0.2">
      <c r="A46" s="440"/>
      <c r="B46" s="1042"/>
      <c r="C46" s="1036"/>
      <c r="D46" s="1037"/>
      <c r="E46" s="1084" t="str">
        <f ca="1">IF(AX46="E","",AN46)</f>
        <v xml:space="preserve"> Für Dämmschicht und Verblechung</v>
      </c>
      <c r="F46" s="1085"/>
      <c r="G46" s="1264"/>
      <c r="H46" s="1264"/>
      <c r="I46" s="1265"/>
      <c r="J46" s="638"/>
      <c r="K46" s="520" t="s">
        <v>177</v>
      </c>
      <c r="L46" s="521"/>
      <c r="M46" s="342"/>
      <c r="N46" s="521" t="s">
        <v>67</v>
      </c>
      <c r="O46" s="344"/>
      <c r="P46" s="504" t="s">
        <v>68</v>
      </c>
      <c r="Q46" s="344"/>
      <c r="R46" s="522" t="s">
        <v>363</v>
      </c>
      <c r="S46" s="353">
        <f ca="1">IF(AY46="E",(M46*O46)+Q46,AO46)</f>
        <v>0</v>
      </c>
      <c r="T46" s="523"/>
      <c r="U46" s="350"/>
      <c r="V46" s="308"/>
      <c r="W46" s="1090" t="str">
        <f t="shared" ca="1" si="1"/>
        <v/>
      </c>
      <c r="X46" s="1103">
        <f t="shared" ca="1" si="2"/>
        <v>0</v>
      </c>
      <c r="Y46" s="1120">
        <f t="shared" ca="1" si="3"/>
        <v>0</v>
      </c>
      <c r="Z46" s="524"/>
      <c r="AA46" s="350"/>
      <c r="AB46" s="308"/>
      <c r="AC46" s="1090" t="str">
        <f t="shared" ca="1" si="4"/>
        <v/>
      </c>
      <c r="AD46" s="1103">
        <f t="shared" ca="1" si="5"/>
        <v>0</v>
      </c>
      <c r="AE46" s="1120">
        <f t="shared" ca="1" si="6"/>
        <v>0</v>
      </c>
      <c r="AF46" s="525"/>
      <c r="AG46" s="637"/>
      <c r="AH46" s="525"/>
      <c r="AI46" s="1086">
        <f ca="1">IF(BB46="E",AG46,AV46)</f>
        <v>0</v>
      </c>
      <c r="AJ46" s="380"/>
      <c r="AK46" s="440"/>
      <c r="AM46" s="460">
        <v>46</v>
      </c>
      <c r="AN46" s="1087" t="str">
        <f t="shared" ca="1" si="7"/>
        <v xml:space="preserve"> Für Dämmschicht und Verblechung</v>
      </c>
      <c r="AO46" s="1083">
        <f t="shared" ca="1" si="8"/>
        <v>0</v>
      </c>
      <c r="AP46" s="356">
        <f t="shared" ca="1" si="8"/>
        <v>0</v>
      </c>
      <c r="AQ46" s="357">
        <f t="shared" ca="1" si="8"/>
        <v>0</v>
      </c>
      <c r="AR46" s="524" t="str">
        <f t="shared" ca="1" si="8"/>
        <v/>
      </c>
      <c r="AS46" s="356">
        <f t="shared" ca="1" si="8"/>
        <v>0</v>
      </c>
      <c r="AT46" s="357">
        <f t="shared" ca="1" si="8"/>
        <v>0</v>
      </c>
      <c r="AU46" s="524" t="str">
        <f t="shared" ca="1" si="8"/>
        <v/>
      </c>
      <c r="AV46" s="1083">
        <f t="shared" ca="1" si="8"/>
        <v>0</v>
      </c>
      <c r="AX46" s="1083" t="str">
        <f t="shared" si="9"/>
        <v>U</v>
      </c>
      <c r="AY46" s="1083" t="str">
        <f t="shared" si="10"/>
        <v>U</v>
      </c>
      <c r="AZ46" s="1083" t="str">
        <f t="shared" si="11"/>
        <v>U</v>
      </c>
      <c r="BA46" s="1083" t="str">
        <f t="shared" si="12"/>
        <v>U</v>
      </c>
      <c r="BB46" s="1083" t="str">
        <f t="shared" si="13"/>
        <v>U</v>
      </c>
    </row>
    <row r="47" spans="1:54" ht="12" customHeight="1" x14ac:dyDescent="0.25">
      <c r="A47" s="440"/>
      <c r="B47" s="1042"/>
      <c r="C47" s="1036"/>
      <c r="D47" s="1037" t="s">
        <v>147</v>
      </c>
      <c r="E47" s="1599" t="s">
        <v>140</v>
      </c>
      <c r="F47" s="1599"/>
      <c r="G47" s="1599"/>
      <c r="H47" s="1599"/>
      <c r="I47" s="1597"/>
      <c r="J47" s="1038"/>
      <c r="K47" s="1038"/>
      <c r="L47" s="503"/>
      <c r="M47" s="526"/>
      <c r="N47" s="519"/>
      <c r="O47" s="527"/>
      <c r="P47" s="1037"/>
      <c r="Q47" s="1037"/>
      <c r="R47" s="1037"/>
      <c r="S47" s="354">
        <f ca="1">SUBTOTAL(109,S49:S52)</f>
        <v>0</v>
      </c>
      <c r="T47" s="363"/>
      <c r="U47" s="358"/>
      <c r="V47" s="358"/>
      <c r="W47" s="1091"/>
      <c r="X47" s="1104"/>
      <c r="Y47" s="1104"/>
      <c r="Z47" s="358"/>
      <c r="AA47" s="358"/>
      <c r="AB47" s="358"/>
      <c r="AC47" s="1091"/>
      <c r="AD47" s="1104"/>
      <c r="AE47" s="1104"/>
      <c r="AF47" s="358"/>
      <c r="AG47" s="358"/>
      <c r="AH47" s="358"/>
      <c r="AI47" s="358"/>
      <c r="AJ47" s="358"/>
      <c r="AK47" s="440"/>
      <c r="AM47" s="460">
        <v>47</v>
      </c>
      <c r="AN47" s="1078"/>
      <c r="AP47" s="1081"/>
      <c r="AS47" s="1081"/>
      <c r="AZ47" s="1081"/>
      <c r="BA47" s="1081"/>
    </row>
    <row r="48" spans="1:54" ht="12" customHeight="1" x14ac:dyDescent="0.25">
      <c r="A48" s="440"/>
      <c r="B48" s="1042"/>
      <c r="C48" s="1036"/>
      <c r="D48" s="1037"/>
      <c r="E48" s="1037"/>
      <c r="F48" s="1037"/>
      <c r="G48" s="1037"/>
      <c r="H48" s="1037"/>
      <c r="I48" s="1035"/>
      <c r="J48" s="1603" t="s">
        <v>170</v>
      </c>
      <c r="K48" s="1603"/>
      <c r="L48" s="503"/>
      <c r="M48" s="526"/>
      <c r="N48" s="519"/>
      <c r="O48" s="527"/>
      <c r="P48" s="1037"/>
      <c r="Q48" s="1037"/>
      <c r="R48" s="1037"/>
      <c r="S48" s="354"/>
      <c r="T48" s="363"/>
      <c r="U48" s="358"/>
      <c r="V48" s="358"/>
      <c r="W48" s="1091"/>
      <c r="X48" s="1104"/>
      <c r="Y48" s="1104"/>
      <c r="Z48" s="358"/>
      <c r="AA48" s="358"/>
      <c r="AB48" s="358"/>
      <c r="AC48" s="1091"/>
      <c r="AD48" s="1104"/>
      <c r="AE48" s="1104"/>
      <c r="AF48" s="358"/>
      <c r="AG48" s="358"/>
      <c r="AH48" s="358"/>
      <c r="AI48" s="358"/>
      <c r="AJ48" s="358"/>
      <c r="AK48" s="440"/>
      <c r="AM48" s="460">
        <v>48</v>
      </c>
      <c r="AN48" s="1078"/>
      <c r="AP48" s="1081"/>
      <c r="AS48" s="1081"/>
      <c r="AZ48" s="1081"/>
      <c r="BA48" s="1081"/>
    </row>
    <row r="49" spans="1:54" ht="12" customHeight="1" x14ac:dyDescent="0.2">
      <c r="A49" s="440"/>
      <c r="B49" s="1042"/>
      <c r="C49" s="1036"/>
      <c r="D49" s="1037"/>
      <c r="E49" s="1084">
        <f ca="1">IF(AX49="E","",AN49)</f>
        <v>0</v>
      </c>
      <c r="F49" s="1085"/>
      <c r="G49" s="1264"/>
      <c r="H49" s="1264"/>
      <c r="I49" s="1265"/>
      <c r="J49" s="638"/>
      <c r="K49" s="520" t="s">
        <v>177</v>
      </c>
      <c r="L49" s="521"/>
      <c r="M49" s="342"/>
      <c r="N49" s="528" t="s">
        <v>67</v>
      </c>
      <c r="O49" s="344"/>
      <c r="P49" s="504" t="s">
        <v>68</v>
      </c>
      <c r="Q49" s="344"/>
      <c r="R49" s="522" t="s">
        <v>363</v>
      </c>
      <c r="S49" s="353">
        <f t="shared" ref="S49:S52" ca="1" si="14">IF(AY49="E",(M49*O49)+Q49,AO49)</f>
        <v>0</v>
      </c>
      <c r="T49" s="523"/>
      <c r="U49" s="350"/>
      <c r="V49" s="308"/>
      <c r="W49" s="1090" t="str">
        <f t="shared" ref="W49:W52" ca="1" si="15">IF(AZ49="E",IF(AND(V49&lt;&gt;0,U49&lt;&gt;0),"X",IF(AND(V49&lt;&gt;0,U49=0),"A",IF(AND(V49=0,U49&lt;&gt;0),"P",""))),AR49)</f>
        <v/>
      </c>
      <c r="X49" s="1103">
        <f t="shared" ref="X49:X52" ca="1" si="16">IF(AZ49="E",IFERROR(IF(W49="X",0,IF(U49&gt;0,U49,V49/S49)),0),
IFERROR(IF(OR(AR49="X",AR49=0),0,
IF(AR49="P",AP49,IF(AR49="A",AQ49/S49,0))),0))</f>
        <v>0</v>
      </c>
      <c r="Y49" s="1120">
        <f t="shared" ref="Y49:Y52" ca="1" si="17">IF(AZ49="E",IFERROR(IF(W49="X",0,IF(V49&gt;0,V49,S49*U49)),0),
IFERROR(IF(OR(AR49="X",AR49="0"),0,IF(AR49="A",AQ49,S49*AP49)),0))</f>
        <v>0</v>
      </c>
      <c r="Z49" s="524"/>
      <c r="AA49" s="350"/>
      <c r="AB49" s="308"/>
      <c r="AC49" s="1090" t="str">
        <f t="shared" ref="AC49:AC52" ca="1" si="18">IF(BA49="E",IF(AND(AB49&lt;&gt;0,AA49&lt;&gt;0),"X",IF(AND(AB49&lt;&gt;0,AA49=0),"A",IF(AND(AB49=0,AA49&lt;&gt;0),"P",""))),AU49)</f>
        <v/>
      </c>
      <c r="AD49" s="1103">
        <f t="shared" ref="AD49:AD52" ca="1" si="19">IF(BA49="E",IFERROR(IF(AC49="X",0,IF(AA49&gt;0,AA49,AB49/S49)),0),
IFERROR(IF(OR(AU49="X",AU49=0),0,
IF(AU49="P",AS49,IF(AU49="A",AT49/S49,0))),0))</f>
        <v>0</v>
      </c>
      <c r="AE49" s="1120">
        <f t="shared" ref="AE49:AE52" ca="1" si="20">IF(BA49="E",IFERROR(IF(AC49="X",0,IF(AB49&gt;0,AB49,S49*AA49)),0),
IFERROR(IF(OR(AU49="X",AU49=0),0,
IF(AU49="A",AT49,S49*AS49)),0))</f>
        <v>0</v>
      </c>
      <c r="AF49" s="525"/>
      <c r="AG49" s="637"/>
      <c r="AH49" s="525"/>
      <c r="AI49" s="1086">
        <f t="shared" ref="AI49:AI52" ca="1" si="21">IF(BB49="E",AG49,AV49)</f>
        <v>0</v>
      </c>
      <c r="AJ49" s="380"/>
      <c r="AK49" s="440"/>
      <c r="AM49" s="460">
        <v>49</v>
      </c>
      <c r="AN49" s="1087">
        <f t="shared" ref="AN49:AN52" ca="1" si="22">IF($M$13=$AN$12,"",IF(ISTEXT(INDIRECT("'"&amp;$AM$20&amp;"'!"&amp;AN$21&amp;$AM49)),INDIRECT("'"&amp;$AM$20&amp;"'!"&amp;AN$21&amp;$AM49),INDIRECT("'"&amp;$AM$20&amp;"'!"&amp;AN$22&amp;$AM49)))</f>
        <v>0</v>
      </c>
      <c r="AO49" s="1083">
        <f t="shared" ref="AO49:AV52" ca="1" si="23">IF($M$13=$AN$12,"",INDIRECT("'"&amp;$AM$20&amp;"'!"&amp;AO$21&amp;$AM49))</f>
        <v>0</v>
      </c>
      <c r="AP49" s="356">
        <f t="shared" ca="1" si="23"/>
        <v>0</v>
      </c>
      <c r="AQ49" s="357">
        <f t="shared" ca="1" si="23"/>
        <v>0</v>
      </c>
      <c r="AR49" s="524" t="str">
        <f t="shared" ca="1" si="23"/>
        <v/>
      </c>
      <c r="AS49" s="356">
        <f t="shared" ca="1" si="23"/>
        <v>0</v>
      </c>
      <c r="AT49" s="357">
        <f t="shared" ca="1" si="23"/>
        <v>0</v>
      </c>
      <c r="AU49" s="524" t="str">
        <f t="shared" ca="1" si="23"/>
        <v/>
      </c>
      <c r="AV49" s="1083">
        <f t="shared" ca="1" si="23"/>
        <v>0</v>
      </c>
      <c r="AX49" s="1083" t="str">
        <f t="shared" ref="AX49:AX52" si="24">IF($M$13=$AN$12,"E",IF(ISTEXT(F49),"E","U"))</f>
        <v>U</v>
      </c>
      <c r="AY49" s="1083" t="str">
        <f t="shared" ref="AY49:AY52" si="25">IF($M$13=$AN$12,"E",IF(OR(ISNUMBER(M49),ISNUMBER(O49),ISNUMBER(Q49)),"E","U"))</f>
        <v>U</v>
      </c>
      <c r="AZ49" s="1083" t="str">
        <f t="shared" ref="AZ49:AZ52" si="26">IF($M$13=$AN$12,"E",IF(OR(ISNUMBER(U49),ISNUMBER(V49)),"E","U"))</f>
        <v>U</v>
      </c>
      <c r="BA49" s="1083" t="str">
        <f t="shared" ref="BA49:BA52" si="27">IF($M$13=$AN$12,"E",IF(OR(ISNUMBER(AA49),ISNUMBER(AB49)),"E","U"))</f>
        <v>U</v>
      </c>
      <c r="BB49" s="1083" t="str">
        <f t="shared" ref="BB49:BB52" si="28">IF($M$13=$AN$12,"E",IF(ISNUMBER(AG49),"E","U"))</f>
        <v>U</v>
      </c>
    </row>
    <row r="50" spans="1:54" ht="12" customHeight="1" x14ac:dyDescent="0.2">
      <c r="A50" s="440"/>
      <c r="B50" s="1042"/>
      <c r="C50" s="1036"/>
      <c r="D50" s="1037"/>
      <c r="E50" s="1084">
        <f ca="1">IF(AX50="E","",AN50)</f>
        <v>0</v>
      </c>
      <c r="F50" s="1085"/>
      <c r="G50" s="1264"/>
      <c r="H50" s="1264"/>
      <c r="I50" s="1265"/>
      <c r="J50" s="638"/>
      <c r="K50" s="520" t="s">
        <v>177</v>
      </c>
      <c r="L50" s="521"/>
      <c r="M50" s="342"/>
      <c r="N50" s="528" t="s">
        <v>67</v>
      </c>
      <c r="O50" s="344"/>
      <c r="P50" s="504" t="s">
        <v>68</v>
      </c>
      <c r="Q50" s="344"/>
      <c r="R50" s="522" t="s">
        <v>363</v>
      </c>
      <c r="S50" s="353">
        <f t="shared" ca="1" si="14"/>
        <v>0</v>
      </c>
      <c r="T50" s="523"/>
      <c r="U50" s="350"/>
      <c r="V50" s="308"/>
      <c r="W50" s="1090" t="str">
        <f t="shared" ca="1" si="15"/>
        <v/>
      </c>
      <c r="X50" s="1103">
        <f t="shared" ca="1" si="16"/>
        <v>0</v>
      </c>
      <c r="Y50" s="1120">
        <f t="shared" ca="1" si="17"/>
        <v>0</v>
      </c>
      <c r="Z50" s="524"/>
      <c r="AA50" s="350"/>
      <c r="AB50" s="308"/>
      <c r="AC50" s="1090" t="str">
        <f t="shared" ca="1" si="18"/>
        <v/>
      </c>
      <c r="AD50" s="1103">
        <f t="shared" ca="1" si="19"/>
        <v>0</v>
      </c>
      <c r="AE50" s="1120">
        <f t="shared" ca="1" si="20"/>
        <v>0</v>
      </c>
      <c r="AF50" s="525"/>
      <c r="AG50" s="637"/>
      <c r="AH50" s="525"/>
      <c r="AI50" s="1086">
        <f t="shared" ca="1" si="21"/>
        <v>0</v>
      </c>
      <c r="AJ50" s="380"/>
      <c r="AK50" s="440"/>
      <c r="AM50" s="460">
        <v>50</v>
      </c>
      <c r="AN50" s="1087">
        <f t="shared" ca="1" si="22"/>
        <v>0</v>
      </c>
      <c r="AO50" s="1083">
        <f t="shared" ca="1" si="23"/>
        <v>0</v>
      </c>
      <c r="AP50" s="356">
        <f t="shared" ca="1" si="23"/>
        <v>0</v>
      </c>
      <c r="AQ50" s="357">
        <f t="shared" ca="1" si="23"/>
        <v>0</v>
      </c>
      <c r="AR50" s="524" t="str">
        <f t="shared" ca="1" si="23"/>
        <v/>
      </c>
      <c r="AS50" s="356">
        <f t="shared" ca="1" si="23"/>
        <v>0</v>
      </c>
      <c r="AT50" s="357">
        <f t="shared" ca="1" si="23"/>
        <v>0</v>
      </c>
      <c r="AU50" s="524" t="str">
        <f t="shared" ca="1" si="23"/>
        <v/>
      </c>
      <c r="AV50" s="1083">
        <f t="shared" ca="1" si="23"/>
        <v>0</v>
      </c>
      <c r="AX50" s="1083" t="str">
        <f t="shared" si="24"/>
        <v>U</v>
      </c>
      <c r="AY50" s="1083" t="str">
        <f t="shared" si="25"/>
        <v>U</v>
      </c>
      <c r="AZ50" s="1083" t="str">
        <f t="shared" si="26"/>
        <v>U</v>
      </c>
      <c r="BA50" s="1083" t="str">
        <f t="shared" si="27"/>
        <v>U</v>
      </c>
      <c r="BB50" s="1083" t="str">
        <f t="shared" si="28"/>
        <v>U</v>
      </c>
    </row>
    <row r="51" spans="1:54" ht="12" customHeight="1" x14ac:dyDescent="0.2">
      <c r="A51" s="440"/>
      <c r="B51" s="1042"/>
      <c r="C51" s="1036"/>
      <c r="D51" s="1037"/>
      <c r="E51" s="1084">
        <f ca="1">IF(AX51="E","",AN51)</f>
        <v>0</v>
      </c>
      <c r="F51" s="1085"/>
      <c r="G51" s="1264"/>
      <c r="H51" s="1264"/>
      <c r="I51" s="1265"/>
      <c r="J51" s="638"/>
      <c r="K51" s="520" t="s">
        <v>177</v>
      </c>
      <c r="L51" s="521"/>
      <c r="M51" s="342"/>
      <c r="N51" s="528" t="s">
        <v>67</v>
      </c>
      <c r="O51" s="344"/>
      <c r="P51" s="504" t="s">
        <v>68</v>
      </c>
      <c r="Q51" s="344"/>
      <c r="R51" s="522" t="s">
        <v>363</v>
      </c>
      <c r="S51" s="353">
        <f t="shared" ca="1" si="14"/>
        <v>0</v>
      </c>
      <c r="T51" s="523"/>
      <c r="U51" s="350"/>
      <c r="V51" s="308"/>
      <c r="W51" s="1090" t="str">
        <f t="shared" ca="1" si="15"/>
        <v/>
      </c>
      <c r="X51" s="1103">
        <f t="shared" ca="1" si="16"/>
        <v>0</v>
      </c>
      <c r="Y51" s="1120">
        <f t="shared" ca="1" si="17"/>
        <v>0</v>
      </c>
      <c r="Z51" s="524"/>
      <c r="AA51" s="350"/>
      <c r="AB51" s="308"/>
      <c r="AC51" s="1090" t="str">
        <f t="shared" ca="1" si="18"/>
        <v/>
      </c>
      <c r="AD51" s="1103">
        <f t="shared" ca="1" si="19"/>
        <v>0</v>
      </c>
      <c r="AE51" s="1120">
        <f t="shared" ca="1" si="20"/>
        <v>0</v>
      </c>
      <c r="AF51" s="525"/>
      <c r="AG51" s="637"/>
      <c r="AH51" s="525"/>
      <c r="AI51" s="1086">
        <f t="shared" ca="1" si="21"/>
        <v>0</v>
      </c>
      <c r="AJ51" s="380"/>
      <c r="AK51" s="440"/>
      <c r="AM51" s="460">
        <v>51</v>
      </c>
      <c r="AN51" s="1087">
        <f t="shared" ca="1" si="22"/>
        <v>0</v>
      </c>
      <c r="AO51" s="1083">
        <f t="shared" ca="1" si="23"/>
        <v>0</v>
      </c>
      <c r="AP51" s="356">
        <f t="shared" ca="1" si="23"/>
        <v>0</v>
      </c>
      <c r="AQ51" s="357">
        <f t="shared" ca="1" si="23"/>
        <v>0</v>
      </c>
      <c r="AR51" s="524" t="str">
        <f t="shared" ca="1" si="23"/>
        <v/>
      </c>
      <c r="AS51" s="356">
        <f t="shared" ca="1" si="23"/>
        <v>0</v>
      </c>
      <c r="AT51" s="357">
        <f t="shared" ca="1" si="23"/>
        <v>0</v>
      </c>
      <c r="AU51" s="524" t="str">
        <f t="shared" ca="1" si="23"/>
        <v/>
      </c>
      <c r="AV51" s="1083">
        <f t="shared" ca="1" si="23"/>
        <v>0</v>
      </c>
      <c r="AX51" s="1083" t="str">
        <f t="shared" si="24"/>
        <v>U</v>
      </c>
      <c r="AY51" s="1083" t="str">
        <f t="shared" si="25"/>
        <v>U</v>
      </c>
      <c r="AZ51" s="1083" t="str">
        <f t="shared" si="26"/>
        <v>U</v>
      </c>
      <c r="BA51" s="1083" t="str">
        <f t="shared" si="27"/>
        <v>U</v>
      </c>
      <c r="BB51" s="1083" t="str">
        <f t="shared" si="28"/>
        <v>U</v>
      </c>
    </row>
    <row r="52" spans="1:54" ht="12" customHeight="1" x14ac:dyDescent="0.2">
      <c r="A52" s="440"/>
      <c r="B52" s="1042"/>
      <c r="C52" s="1036"/>
      <c r="D52" s="1037"/>
      <c r="E52" s="1084">
        <f ca="1">IF(AX52="E","",AN52)</f>
        <v>0</v>
      </c>
      <c r="F52" s="1085"/>
      <c r="G52" s="1264"/>
      <c r="H52" s="1264"/>
      <c r="I52" s="1265"/>
      <c r="J52" s="638"/>
      <c r="K52" s="520" t="s">
        <v>177</v>
      </c>
      <c r="L52" s="521"/>
      <c r="M52" s="342"/>
      <c r="N52" s="528" t="s">
        <v>67</v>
      </c>
      <c r="O52" s="344"/>
      <c r="P52" s="504" t="s">
        <v>68</v>
      </c>
      <c r="Q52" s="344"/>
      <c r="R52" s="522" t="s">
        <v>363</v>
      </c>
      <c r="S52" s="353">
        <f t="shared" ca="1" si="14"/>
        <v>0</v>
      </c>
      <c r="T52" s="523"/>
      <c r="U52" s="350"/>
      <c r="V52" s="308"/>
      <c r="W52" s="1090" t="str">
        <f t="shared" ca="1" si="15"/>
        <v/>
      </c>
      <c r="X52" s="1103">
        <f t="shared" ca="1" si="16"/>
        <v>0</v>
      </c>
      <c r="Y52" s="1120">
        <f t="shared" ca="1" si="17"/>
        <v>0</v>
      </c>
      <c r="Z52" s="524"/>
      <c r="AA52" s="350"/>
      <c r="AB52" s="308"/>
      <c r="AC52" s="1090" t="str">
        <f t="shared" ca="1" si="18"/>
        <v/>
      </c>
      <c r="AD52" s="1103">
        <f t="shared" ca="1" si="19"/>
        <v>0</v>
      </c>
      <c r="AE52" s="1120">
        <f t="shared" ca="1" si="20"/>
        <v>0</v>
      </c>
      <c r="AF52" s="525"/>
      <c r="AG52" s="637"/>
      <c r="AH52" s="525"/>
      <c r="AI52" s="1086">
        <f t="shared" ca="1" si="21"/>
        <v>0</v>
      </c>
      <c r="AJ52" s="380"/>
      <c r="AK52" s="440"/>
      <c r="AM52" s="460">
        <v>52</v>
      </c>
      <c r="AN52" s="1087">
        <f t="shared" ca="1" si="22"/>
        <v>0</v>
      </c>
      <c r="AO52" s="1083">
        <f t="shared" ca="1" si="23"/>
        <v>0</v>
      </c>
      <c r="AP52" s="356">
        <f t="shared" ca="1" si="23"/>
        <v>0</v>
      </c>
      <c r="AQ52" s="357">
        <f t="shared" ca="1" si="23"/>
        <v>0</v>
      </c>
      <c r="AR52" s="524" t="str">
        <f t="shared" ca="1" si="23"/>
        <v/>
      </c>
      <c r="AS52" s="356">
        <f t="shared" ca="1" si="23"/>
        <v>0</v>
      </c>
      <c r="AT52" s="357">
        <f t="shared" ca="1" si="23"/>
        <v>0</v>
      </c>
      <c r="AU52" s="524" t="str">
        <f t="shared" ca="1" si="23"/>
        <v/>
      </c>
      <c r="AV52" s="1083">
        <f t="shared" ca="1" si="23"/>
        <v>0</v>
      </c>
      <c r="AX52" s="1083" t="str">
        <f t="shared" si="24"/>
        <v>U</v>
      </c>
      <c r="AY52" s="1083" t="str">
        <f t="shared" si="25"/>
        <v>U</v>
      </c>
      <c r="AZ52" s="1083" t="str">
        <f t="shared" si="26"/>
        <v>U</v>
      </c>
      <c r="BA52" s="1083" t="str">
        <f t="shared" si="27"/>
        <v>U</v>
      </c>
      <c r="BB52" s="1083" t="str">
        <f t="shared" si="28"/>
        <v>U</v>
      </c>
    </row>
    <row r="53" spans="1:54" ht="14.25" customHeight="1" collapsed="1" x14ac:dyDescent="0.25">
      <c r="A53" s="440"/>
      <c r="B53" s="1042"/>
      <c r="C53" s="1036" t="s">
        <v>148</v>
      </c>
      <c r="D53" s="494"/>
      <c r="E53" s="1596" t="s">
        <v>134</v>
      </c>
      <c r="F53" s="1596"/>
      <c r="G53" s="1596"/>
      <c r="H53" s="1596"/>
      <c r="I53" s="1597"/>
      <c r="J53" s="1038"/>
      <c r="K53" s="529"/>
      <c r="L53" s="529"/>
      <c r="M53" s="526"/>
      <c r="N53" s="519"/>
      <c r="O53" s="530"/>
      <c r="P53" s="1037"/>
      <c r="Q53" s="1037"/>
      <c r="R53" s="1037"/>
      <c r="S53" s="355">
        <f ca="1">S54+S59+S64+S68</f>
        <v>80293.319999999992</v>
      </c>
      <c r="T53" s="363"/>
      <c r="U53" s="360"/>
      <c r="V53" s="361"/>
      <c r="W53" s="1092"/>
      <c r="X53" s="1105"/>
      <c r="Y53" s="1121"/>
      <c r="Z53" s="363"/>
      <c r="AA53" s="360"/>
      <c r="AB53" s="361"/>
      <c r="AC53" s="1092"/>
      <c r="AD53" s="1105"/>
      <c r="AE53" s="1121"/>
      <c r="AF53" s="359"/>
      <c r="AG53" s="358"/>
      <c r="AH53" s="359"/>
      <c r="AI53" s="358"/>
      <c r="AJ53" s="359"/>
      <c r="AK53" s="440"/>
      <c r="AM53" s="460">
        <v>53</v>
      </c>
      <c r="AN53" s="1078"/>
      <c r="AP53" s="1081"/>
      <c r="AS53" s="1081"/>
      <c r="AZ53" s="1081"/>
      <c r="BA53" s="1081"/>
    </row>
    <row r="54" spans="1:54" ht="12" customHeight="1" x14ac:dyDescent="0.25">
      <c r="A54" s="440"/>
      <c r="B54" s="1042"/>
      <c r="C54" s="1036"/>
      <c r="D54" s="1037" t="s">
        <v>149</v>
      </c>
      <c r="E54" s="1599" t="s">
        <v>136</v>
      </c>
      <c r="F54" s="1599"/>
      <c r="G54" s="1599"/>
      <c r="H54" s="1599"/>
      <c r="I54" s="1597"/>
      <c r="J54" s="1038"/>
      <c r="K54" s="529"/>
      <c r="L54" s="503"/>
      <c r="M54" s="526"/>
      <c r="N54" s="519"/>
      <c r="O54" s="530"/>
      <c r="P54" s="1037"/>
      <c r="Q54" s="1037"/>
      <c r="R54" s="1037"/>
      <c r="S54" s="354">
        <f ca="1">SUBTOTAL(109,S56:S58)</f>
        <v>0</v>
      </c>
      <c r="T54" s="363"/>
      <c r="U54" s="358"/>
      <c r="V54" s="358"/>
      <c r="W54" s="1091"/>
      <c r="X54" s="1104"/>
      <c r="Y54" s="1104"/>
      <c r="Z54" s="358"/>
      <c r="AA54" s="358"/>
      <c r="AB54" s="358"/>
      <c r="AC54" s="1091"/>
      <c r="AD54" s="1104"/>
      <c r="AE54" s="1104"/>
      <c r="AF54" s="358"/>
      <c r="AG54" s="358"/>
      <c r="AH54" s="358"/>
      <c r="AI54" s="358"/>
      <c r="AJ54" s="358"/>
      <c r="AK54" s="440"/>
      <c r="AM54" s="460">
        <v>54</v>
      </c>
      <c r="AN54" s="1078"/>
      <c r="AP54" s="1081"/>
      <c r="AS54" s="1081"/>
      <c r="AZ54" s="1081"/>
      <c r="BA54" s="1081"/>
    </row>
    <row r="55" spans="1:54" ht="12" customHeight="1" x14ac:dyDescent="0.25">
      <c r="A55" s="440"/>
      <c r="B55" s="1042"/>
      <c r="C55" s="1036"/>
      <c r="D55" s="1037"/>
      <c r="E55" s="1037"/>
      <c r="F55" s="1037"/>
      <c r="G55" s="1037"/>
      <c r="H55" s="1037"/>
      <c r="I55" s="1035"/>
      <c r="J55" s="1603" t="s">
        <v>170</v>
      </c>
      <c r="K55" s="1603"/>
      <c r="L55" s="503"/>
      <c r="M55" s="526"/>
      <c r="N55" s="519"/>
      <c r="O55" s="530"/>
      <c r="P55" s="1037"/>
      <c r="Q55" s="1037"/>
      <c r="R55" s="1037"/>
      <c r="S55" s="354"/>
      <c r="T55" s="363"/>
      <c r="U55" s="358"/>
      <c r="V55" s="358"/>
      <c r="W55" s="1091"/>
      <c r="X55" s="1104"/>
      <c r="Y55" s="1104"/>
      <c r="Z55" s="358"/>
      <c r="AA55" s="358"/>
      <c r="AB55" s="358"/>
      <c r="AC55" s="1091"/>
      <c r="AD55" s="1104"/>
      <c r="AE55" s="1104"/>
      <c r="AF55" s="358"/>
      <c r="AG55" s="358"/>
      <c r="AH55" s="358"/>
      <c r="AI55" s="358"/>
      <c r="AJ55" s="358"/>
      <c r="AK55" s="440"/>
      <c r="AM55" s="460">
        <v>55</v>
      </c>
      <c r="AN55" s="1078"/>
      <c r="AP55" s="1081"/>
      <c r="AS55" s="1081"/>
      <c r="AZ55" s="1081"/>
      <c r="BA55" s="1081"/>
    </row>
    <row r="56" spans="1:54" ht="12" customHeight="1" x14ac:dyDescent="0.2">
      <c r="A56" s="440"/>
      <c r="B56" s="1042"/>
      <c r="C56" s="1036"/>
      <c r="D56" s="1037"/>
      <c r="E56" s="1084">
        <f ca="1">IF(AX56="E","",AN56)</f>
        <v>0</v>
      </c>
      <c r="F56" s="1085"/>
      <c r="G56" s="1264"/>
      <c r="H56" s="1264"/>
      <c r="I56" s="1265"/>
      <c r="J56" s="638"/>
      <c r="K56" s="520" t="s">
        <v>177</v>
      </c>
      <c r="L56" s="521"/>
      <c r="M56" s="342"/>
      <c r="N56" s="521" t="s">
        <v>67</v>
      </c>
      <c r="O56" s="344"/>
      <c r="P56" s="504" t="s">
        <v>68</v>
      </c>
      <c r="Q56" s="344"/>
      <c r="R56" s="522" t="s">
        <v>363</v>
      </c>
      <c r="S56" s="353">
        <f t="shared" ref="S56:S58" ca="1" si="29">IF(AY56="E",(M56*O56)+Q56,AO56)</f>
        <v>0</v>
      </c>
      <c r="T56" s="523"/>
      <c r="U56" s="350"/>
      <c r="V56" s="308"/>
      <c r="W56" s="1090" t="str">
        <f t="shared" ref="W56:W58" ca="1" si="30">IF(AZ56="E",IF(AND(V56&lt;&gt;0,U56&lt;&gt;0),"X",IF(AND(V56&lt;&gt;0,U56=0),"A",IF(AND(V56=0,U56&lt;&gt;0),"P",""))),AR56)</f>
        <v/>
      </c>
      <c r="X56" s="1103">
        <f t="shared" ref="X56:X58" ca="1" si="31">IF(AZ56="E",IFERROR(IF(W56="X",0,IF(U56&gt;0,U56,V56/S56)),0),
IFERROR(IF(OR(AR56="X",AR56=0),0,
IF(AR56="P",AP56,IF(AR56="A",AQ56/S56,0))),0))</f>
        <v>0</v>
      </c>
      <c r="Y56" s="1120">
        <f t="shared" ref="Y56:Y58" ca="1" si="32">IF(AZ56="E",IFERROR(IF(W56="X",0,IF(V56&gt;0,V56,S56*U56)),0),
IFERROR(IF(OR(AR56="X",AR56="0"),0,IF(AR56="A",AQ56,S56*AP56)),0))</f>
        <v>0</v>
      </c>
      <c r="Z56" s="524"/>
      <c r="AA56" s="350"/>
      <c r="AB56" s="308"/>
      <c r="AC56" s="1090" t="str">
        <f t="shared" ref="AC56:AC58" ca="1" si="33">IF(BA56="E",IF(AND(AB56&lt;&gt;0,AA56&lt;&gt;0),"X",IF(AND(AB56&lt;&gt;0,AA56=0),"A",IF(AND(AB56=0,AA56&lt;&gt;0),"P",""))),AU56)</f>
        <v/>
      </c>
      <c r="AD56" s="1103">
        <f t="shared" ref="AD56:AD58" ca="1" si="34">IF(BA56="E",IFERROR(IF(AC56="X",0,IF(AA56&gt;0,AA56,AB56/S56)),0),
IFERROR(IF(OR(AU56="X",AU56=0),0,
IF(AU56="P",AS56,IF(AU56="A",AT56/S56,0))),0))</f>
        <v>0</v>
      </c>
      <c r="AE56" s="1120">
        <f t="shared" ref="AE56:AE58" ca="1" si="35">IF(BA56="E",IFERROR(IF(AC56="X",0,IF(AB56&gt;0,AB56,S56*AA56)),0),
IFERROR(IF(OR(AU56="X",AU56=0),0,
IF(AU56="A",AT56,S56*AS56)),0))</f>
        <v>0</v>
      </c>
      <c r="AF56" s="525"/>
      <c r="AG56" s="637"/>
      <c r="AH56" s="525"/>
      <c r="AI56" s="1086">
        <f t="shared" ref="AI56:AI58" ca="1" si="36">IF(BB56="E",AG56,AV56)</f>
        <v>0</v>
      </c>
      <c r="AJ56" s="380"/>
      <c r="AK56" s="440"/>
      <c r="AM56" s="460">
        <v>56</v>
      </c>
      <c r="AN56" s="1087">
        <f t="shared" ref="AN56:AN58" ca="1" si="37">IF($M$13=$AN$12,"",IF(ISTEXT(INDIRECT("'"&amp;$AM$20&amp;"'!"&amp;AN$21&amp;$AM56)),INDIRECT("'"&amp;$AM$20&amp;"'!"&amp;AN$21&amp;$AM56),INDIRECT("'"&amp;$AM$20&amp;"'!"&amp;AN$22&amp;$AM56)))</f>
        <v>0</v>
      </c>
      <c r="AO56" s="1083">
        <f t="shared" ref="AO56:AV58" ca="1" si="38">IF($M$13=$AN$12,"",INDIRECT("'"&amp;$AM$20&amp;"'!"&amp;AO$21&amp;$AM56))</f>
        <v>0</v>
      </c>
      <c r="AP56" s="356">
        <f t="shared" ca="1" si="38"/>
        <v>0</v>
      </c>
      <c r="AQ56" s="357">
        <f t="shared" ca="1" si="38"/>
        <v>0</v>
      </c>
      <c r="AR56" s="524" t="str">
        <f t="shared" ca="1" si="38"/>
        <v/>
      </c>
      <c r="AS56" s="356">
        <f t="shared" ca="1" si="38"/>
        <v>0</v>
      </c>
      <c r="AT56" s="357">
        <f t="shared" ca="1" si="38"/>
        <v>0</v>
      </c>
      <c r="AU56" s="524" t="str">
        <f t="shared" ca="1" si="38"/>
        <v/>
      </c>
      <c r="AV56" s="1083">
        <f t="shared" ca="1" si="38"/>
        <v>0</v>
      </c>
      <c r="AX56" s="1083" t="str">
        <f t="shared" ref="AX56:AX58" si="39">IF($M$13=$AN$12,"E",IF(ISTEXT(F56),"E","U"))</f>
        <v>U</v>
      </c>
      <c r="AY56" s="1083" t="str">
        <f t="shared" ref="AY56:AY58" si="40">IF($M$13=$AN$12,"E",IF(OR(ISNUMBER(M56),ISNUMBER(O56),ISNUMBER(Q56)),"E","U"))</f>
        <v>U</v>
      </c>
      <c r="AZ56" s="1083" t="str">
        <f t="shared" ref="AZ56:AZ58" si="41">IF($M$13=$AN$12,"E",IF(OR(ISNUMBER(U56),ISNUMBER(V56)),"E","U"))</f>
        <v>U</v>
      </c>
      <c r="BA56" s="1083" t="str">
        <f t="shared" ref="BA56:BA58" si="42">IF($M$13=$AN$12,"E",IF(OR(ISNUMBER(AA56),ISNUMBER(AB56)),"E","U"))</f>
        <v>U</v>
      </c>
      <c r="BB56" s="1083" t="str">
        <f t="shared" ref="BB56:BB58" si="43">IF($M$13=$AN$12,"E",IF(ISNUMBER(AG56),"E","U"))</f>
        <v>U</v>
      </c>
    </row>
    <row r="57" spans="1:54" ht="12" customHeight="1" x14ac:dyDescent="0.2">
      <c r="A57" s="440"/>
      <c r="B57" s="1042"/>
      <c r="C57" s="1036"/>
      <c r="D57" s="1037"/>
      <c r="E57" s="1084">
        <f ca="1">IF(AX57="E","",AN57)</f>
        <v>0</v>
      </c>
      <c r="F57" s="1085"/>
      <c r="G57" s="1264"/>
      <c r="H57" s="1264"/>
      <c r="I57" s="1265"/>
      <c r="J57" s="638"/>
      <c r="K57" s="520" t="s">
        <v>177</v>
      </c>
      <c r="L57" s="521"/>
      <c r="M57" s="342"/>
      <c r="N57" s="521" t="s">
        <v>67</v>
      </c>
      <c r="O57" s="344"/>
      <c r="P57" s="504" t="s">
        <v>68</v>
      </c>
      <c r="Q57" s="344"/>
      <c r="R57" s="522" t="s">
        <v>363</v>
      </c>
      <c r="S57" s="353">
        <f t="shared" ca="1" si="29"/>
        <v>0</v>
      </c>
      <c r="T57" s="523"/>
      <c r="U57" s="350"/>
      <c r="V57" s="308"/>
      <c r="W57" s="1090" t="str">
        <f t="shared" ca="1" si="30"/>
        <v/>
      </c>
      <c r="X57" s="1103">
        <f t="shared" ca="1" si="31"/>
        <v>0</v>
      </c>
      <c r="Y57" s="1120">
        <f t="shared" ca="1" si="32"/>
        <v>0</v>
      </c>
      <c r="Z57" s="524"/>
      <c r="AA57" s="350"/>
      <c r="AB57" s="308"/>
      <c r="AC57" s="1090" t="str">
        <f t="shared" ca="1" si="33"/>
        <v/>
      </c>
      <c r="AD57" s="1103">
        <f t="shared" ca="1" si="34"/>
        <v>0</v>
      </c>
      <c r="AE57" s="1120">
        <f t="shared" ca="1" si="35"/>
        <v>0</v>
      </c>
      <c r="AF57" s="525"/>
      <c r="AG57" s="637"/>
      <c r="AH57" s="525"/>
      <c r="AI57" s="1086">
        <f t="shared" ca="1" si="36"/>
        <v>0</v>
      </c>
      <c r="AJ57" s="380"/>
      <c r="AK57" s="440"/>
      <c r="AM57" s="460">
        <v>57</v>
      </c>
      <c r="AN57" s="1087">
        <f t="shared" ca="1" si="37"/>
        <v>0</v>
      </c>
      <c r="AO57" s="1083">
        <f t="shared" ca="1" si="38"/>
        <v>0</v>
      </c>
      <c r="AP57" s="356">
        <f t="shared" ca="1" si="38"/>
        <v>0</v>
      </c>
      <c r="AQ57" s="357">
        <f t="shared" ca="1" si="38"/>
        <v>0</v>
      </c>
      <c r="AR57" s="524" t="str">
        <f t="shared" ca="1" si="38"/>
        <v/>
      </c>
      <c r="AS57" s="356">
        <f t="shared" ca="1" si="38"/>
        <v>0</v>
      </c>
      <c r="AT57" s="357">
        <f t="shared" ca="1" si="38"/>
        <v>0</v>
      </c>
      <c r="AU57" s="524" t="str">
        <f t="shared" ca="1" si="38"/>
        <v/>
      </c>
      <c r="AV57" s="1083">
        <f t="shared" ca="1" si="38"/>
        <v>0</v>
      </c>
      <c r="AX57" s="1083" t="str">
        <f t="shared" si="39"/>
        <v>U</v>
      </c>
      <c r="AY57" s="1083" t="str">
        <f t="shared" si="40"/>
        <v>U</v>
      </c>
      <c r="AZ57" s="1083" t="str">
        <f t="shared" si="41"/>
        <v>U</v>
      </c>
      <c r="BA57" s="1083" t="str">
        <f t="shared" si="42"/>
        <v>U</v>
      </c>
      <c r="BB57" s="1083" t="str">
        <f t="shared" si="43"/>
        <v>U</v>
      </c>
    </row>
    <row r="58" spans="1:54" ht="12" customHeight="1" x14ac:dyDescent="0.2">
      <c r="A58" s="440"/>
      <c r="B58" s="1042"/>
      <c r="C58" s="1036"/>
      <c r="D58" s="1037"/>
      <c r="E58" s="1084">
        <f ca="1">IF(AX58="E","",AN58)</f>
        <v>0</v>
      </c>
      <c r="F58" s="1085"/>
      <c r="G58" s="1264"/>
      <c r="H58" s="1264"/>
      <c r="I58" s="1265"/>
      <c r="J58" s="638"/>
      <c r="K58" s="520" t="s">
        <v>177</v>
      </c>
      <c r="L58" s="521"/>
      <c r="M58" s="342"/>
      <c r="N58" s="521" t="s">
        <v>67</v>
      </c>
      <c r="O58" s="344"/>
      <c r="P58" s="504" t="s">
        <v>68</v>
      </c>
      <c r="Q58" s="344"/>
      <c r="R58" s="522" t="s">
        <v>363</v>
      </c>
      <c r="S58" s="353">
        <f t="shared" ca="1" si="29"/>
        <v>0</v>
      </c>
      <c r="T58" s="523"/>
      <c r="U58" s="350"/>
      <c r="V58" s="308"/>
      <c r="W58" s="1090" t="str">
        <f t="shared" ca="1" si="30"/>
        <v/>
      </c>
      <c r="X58" s="1103">
        <f t="shared" ca="1" si="31"/>
        <v>0</v>
      </c>
      <c r="Y58" s="1120">
        <f t="shared" ca="1" si="32"/>
        <v>0</v>
      </c>
      <c r="Z58" s="524"/>
      <c r="AA58" s="350"/>
      <c r="AB58" s="308"/>
      <c r="AC58" s="1090" t="str">
        <f t="shared" ca="1" si="33"/>
        <v/>
      </c>
      <c r="AD58" s="1103">
        <f t="shared" ca="1" si="34"/>
        <v>0</v>
      </c>
      <c r="AE58" s="1120">
        <f t="shared" ca="1" si="35"/>
        <v>0</v>
      </c>
      <c r="AF58" s="525"/>
      <c r="AG58" s="637"/>
      <c r="AH58" s="525"/>
      <c r="AI58" s="1086">
        <f t="shared" ca="1" si="36"/>
        <v>0</v>
      </c>
      <c r="AJ58" s="380"/>
      <c r="AK58" s="440"/>
      <c r="AM58" s="460">
        <v>58</v>
      </c>
      <c r="AN58" s="1087">
        <f t="shared" ca="1" si="37"/>
        <v>0</v>
      </c>
      <c r="AO58" s="1083">
        <f t="shared" ca="1" si="38"/>
        <v>0</v>
      </c>
      <c r="AP58" s="356">
        <f t="shared" ca="1" si="38"/>
        <v>0</v>
      </c>
      <c r="AQ58" s="357">
        <f t="shared" ca="1" si="38"/>
        <v>0</v>
      </c>
      <c r="AR58" s="524" t="str">
        <f t="shared" ca="1" si="38"/>
        <v/>
      </c>
      <c r="AS58" s="356">
        <f t="shared" ca="1" si="38"/>
        <v>0</v>
      </c>
      <c r="AT58" s="357">
        <f t="shared" ca="1" si="38"/>
        <v>0</v>
      </c>
      <c r="AU58" s="524" t="str">
        <f t="shared" ca="1" si="38"/>
        <v/>
      </c>
      <c r="AV58" s="1083">
        <f t="shared" ca="1" si="38"/>
        <v>0</v>
      </c>
      <c r="AX58" s="1083" t="str">
        <f t="shared" si="39"/>
        <v>U</v>
      </c>
      <c r="AY58" s="1083" t="str">
        <f t="shared" si="40"/>
        <v>U</v>
      </c>
      <c r="AZ58" s="1083" t="str">
        <f t="shared" si="41"/>
        <v>U</v>
      </c>
      <c r="BA58" s="1083" t="str">
        <f t="shared" si="42"/>
        <v>U</v>
      </c>
      <c r="BB58" s="1083" t="str">
        <f t="shared" si="43"/>
        <v>U</v>
      </c>
    </row>
    <row r="59" spans="1:54" ht="12" customHeight="1" x14ac:dyDescent="0.25">
      <c r="A59" s="440"/>
      <c r="B59" s="1042"/>
      <c r="C59" s="1036"/>
      <c r="D59" s="1037" t="s">
        <v>150</v>
      </c>
      <c r="E59" s="1599" t="s">
        <v>138</v>
      </c>
      <c r="F59" s="1599"/>
      <c r="G59" s="1599"/>
      <c r="H59" s="1599"/>
      <c r="I59" s="1597"/>
      <c r="J59" s="1038"/>
      <c r="K59" s="529"/>
      <c r="L59" s="503"/>
      <c r="M59" s="526"/>
      <c r="N59" s="519"/>
      <c r="O59" s="527"/>
      <c r="P59" s="1037"/>
      <c r="Q59" s="1037"/>
      <c r="R59" s="1037"/>
      <c r="S59" s="354">
        <f ca="1">SUBTOTAL(109,S61:S63)</f>
        <v>0</v>
      </c>
      <c r="T59" s="363"/>
      <c r="U59" s="358"/>
      <c r="V59" s="358"/>
      <c r="W59" s="1091"/>
      <c r="X59" s="1104"/>
      <c r="Y59" s="1104"/>
      <c r="Z59" s="358"/>
      <c r="AA59" s="358"/>
      <c r="AB59" s="358"/>
      <c r="AC59" s="1091"/>
      <c r="AD59" s="1104"/>
      <c r="AE59" s="1104"/>
      <c r="AF59" s="358"/>
      <c r="AG59" s="358"/>
      <c r="AH59" s="358"/>
      <c r="AI59" s="358"/>
      <c r="AJ59" s="358"/>
      <c r="AK59" s="440"/>
      <c r="AM59" s="460">
        <v>59</v>
      </c>
      <c r="AN59" s="1078"/>
      <c r="AP59" s="1081"/>
      <c r="AS59" s="1081"/>
      <c r="AZ59" s="1081"/>
      <c r="BA59" s="1081"/>
    </row>
    <row r="60" spans="1:54" ht="12" customHeight="1" x14ac:dyDescent="0.25">
      <c r="A60" s="440"/>
      <c r="B60" s="1042"/>
      <c r="C60" s="1036"/>
      <c r="D60" s="1037"/>
      <c r="E60" s="1037"/>
      <c r="F60" s="1037"/>
      <c r="G60" s="1037"/>
      <c r="H60" s="1037"/>
      <c r="I60" s="1035"/>
      <c r="J60" s="1603" t="s">
        <v>170</v>
      </c>
      <c r="K60" s="1603"/>
      <c r="L60" s="503"/>
      <c r="M60" s="526"/>
      <c r="N60" s="519"/>
      <c r="O60" s="527"/>
      <c r="P60" s="1037"/>
      <c r="Q60" s="1037"/>
      <c r="R60" s="1037"/>
      <c r="S60" s="354"/>
      <c r="T60" s="363"/>
      <c r="U60" s="358"/>
      <c r="V60" s="358"/>
      <c r="W60" s="1091"/>
      <c r="X60" s="1104"/>
      <c r="Y60" s="1104"/>
      <c r="Z60" s="358"/>
      <c r="AA60" s="358"/>
      <c r="AB60" s="358"/>
      <c r="AC60" s="1091"/>
      <c r="AD60" s="1104"/>
      <c r="AE60" s="1104"/>
      <c r="AF60" s="358"/>
      <c r="AG60" s="358"/>
      <c r="AH60" s="358"/>
      <c r="AI60" s="358"/>
      <c r="AJ60" s="358"/>
      <c r="AK60" s="440"/>
      <c r="AM60" s="460">
        <v>60</v>
      </c>
      <c r="AN60" s="1078"/>
      <c r="AP60" s="1081"/>
      <c r="AS60" s="1081"/>
      <c r="AZ60" s="1081"/>
      <c r="BA60" s="1081"/>
    </row>
    <row r="61" spans="1:54" ht="12" customHeight="1" x14ac:dyDescent="0.2">
      <c r="A61" s="440"/>
      <c r="B61" s="1042"/>
      <c r="C61" s="1036"/>
      <c r="D61" s="1037"/>
      <c r="E61" s="1084">
        <f ca="1">IF(AX61="E","",AN61)</f>
        <v>0</v>
      </c>
      <c r="F61" s="1085"/>
      <c r="G61" s="1264"/>
      <c r="H61" s="1264"/>
      <c r="I61" s="1265"/>
      <c r="J61" s="638"/>
      <c r="K61" s="520" t="s">
        <v>177</v>
      </c>
      <c r="L61" s="521"/>
      <c r="M61" s="342"/>
      <c r="N61" s="521" t="s">
        <v>67</v>
      </c>
      <c r="O61" s="344"/>
      <c r="P61" s="504" t="s">
        <v>68</v>
      </c>
      <c r="Q61" s="344"/>
      <c r="R61" s="522" t="s">
        <v>363</v>
      </c>
      <c r="S61" s="353">
        <f t="shared" ref="S61:S63" ca="1" si="44">IF(AY61="E",(M61*O61)+Q61,AO61)</f>
        <v>0</v>
      </c>
      <c r="T61" s="523"/>
      <c r="U61" s="350"/>
      <c r="V61" s="308"/>
      <c r="W61" s="1090" t="str">
        <f t="shared" ref="W61:W63" ca="1" si="45">IF(AZ61="E",IF(AND(V61&lt;&gt;0,U61&lt;&gt;0),"X",IF(AND(V61&lt;&gt;0,U61=0),"A",IF(AND(V61=0,U61&lt;&gt;0),"P",""))),AR61)</f>
        <v/>
      </c>
      <c r="X61" s="1103">
        <f t="shared" ref="X61:X63" ca="1" si="46">IF(AZ61="E",IFERROR(IF(W61="X",0,IF(U61&gt;0,U61,V61/S61)),0),
IFERROR(IF(OR(AR61="X",AR61=0),0,
IF(AR61="P",AP61,IF(AR61="A",AQ61/S61,0))),0))</f>
        <v>0</v>
      </c>
      <c r="Y61" s="1120">
        <f t="shared" ref="Y61:Y63" ca="1" si="47">IF(AZ61="E",IFERROR(IF(W61="X",0,IF(V61&gt;0,V61,S61*U61)),0),
IFERROR(IF(OR(AR61="X",AR61="0"),0,IF(AR61="A",AQ61,S61*AP61)),0))</f>
        <v>0</v>
      </c>
      <c r="Z61" s="524"/>
      <c r="AA61" s="350"/>
      <c r="AB61" s="308"/>
      <c r="AC61" s="1090" t="str">
        <f t="shared" ref="AC61:AC63" ca="1" si="48">IF(BA61="E",IF(AND(AB61&lt;&gt;0,AA61&lt;&gt;0),"X",IF(AND(AB61&lt;&gt;0,AA61=0),"A",IF(AND(AB61=0,AA61&lt;&gt;0),"P",""))),AU61)</f>
        <v/>
      </c>
      <c r="AD61" s="1103">
        <f t="shared" ref="AD61:AD63" ca="1" si="49">IF(BA61="E",IFERROR(IF(AC61="X",0,IF(AA61&gt;0,AA61,AB61/S61)),0),
IFERROR(IF(OR(AU61="X",AU61=0),0,
IF(AU61="P",AS61,IF(AU61="A",AT61/S61,0))),0))</f>
        <v>0</v>
      </c>
      <c r="AE61" s="1120">
        <f t="shared" ref="AE61:AE63" ca="1" si="50">IF(BA61="E",IFERROR(IF(AC61="X",0,IF(AB61&gt;0,AB61,S61*AA61)),0),
IFERROR(IF(OR(AU61="X",AU61=0),0,
IF(AU61="A",AT61,S61*AS61)),0))</f>
        <v>0</v>
      </c>
      <c r="AF61" s="525"/>
      <c r="AG61" s="637"/>
      <c r="AH61" s="525"/>
      <c r="AI61" s="1086">
        <f t="shared" ref="AI61:AI63" ca="1" si="51">IF(BB61="E",AG61,AV61)</f>
        <v>0</v>
      </c>
      <c r="AJ61" s="380"/>
      <c r="AK61" s="440"/>
      <c r="AM61" s="460">
        <v>61</v>
      </c>
      <c r="AN61" s="1087">
        <f t="shared" ref="AN61:AN63" ca="1" si="52">IF($M$13=$AN$12,"",IF(ISTEXT(INDIRECT("'"&amp;$AM$20&amp;"'!"&amp;AN$21&amp;$AM61)),INDIRECT("'"&amp;$AM$20&amp;"'!"&amp;AN$21&amp;$AM61),INDIRECT("'"&amp;$AM$20&amp;"'!"&amp;AN$22&amp;$AM61)))</f>
        <v>0</v>
      </c>
      <c r="AO61" s="1083">
        <f t="shared" ref="AO61:AV63" ca="1" si="53">IF($M$13=$AN$12,"",INDIRECT("'"&amp;$AM$20&amp;"'!"&amp;AO$21&amp;$AM61))</f>
        <v>0</v>
      </c>
      <c r="AP61" s="356">
        <f t="shared" ca="1" si="53"/>
        <v>0</v>
      </c>
      <c r="AQ61" s="357">
        <f t="shared" ca="1" si="53"/>
        <v>0</v>
      </c>
      <c r="AR61" s="524" t="str">
        <f t="shared" ca="1" si="53"/>
        <v/>
      </c>
      <c r="AS61" s="356">
        <f t="shared" ca="1" si="53"/>
        <v>0</v>
      </c>
      <c r="AT61" s="357">
        <f t="shared" ca="1" si="53"/>
        <v>0</v>
      </c>
      <c r="AU61" s="524" t="str">
        <f t="shared" ca="1" si="53"/>
        <v/>
      </c>
      <c r="AV61" s="1083">
        <f t="shared" ca="1" si="53"/>
        <v>0</v>
      </c>
      <c r="AX61" s="1083" t="str">
        <f t="shared" ref="AX61:AX63" si="54">IF($M$13=$AN$12,"E",IF(ISTEXT(F61),"E","U"))</f>
        <v>U</v>
      </c>
      <c r="AY61" s="1083" t="str">
        <f t="shared" ref="AY61:AY63" si="55">IF($M$13=$AN$12,"E",IF(OR(ISNUMBER(M61),ISNUMBER(O61),ISNUMBER(Q61)),"E","U"))</f>
        <v>U</v>
      </c>
      <c r="AZ61" s="1083" t="str">
        <f t="shared" ref="AZ61:AZ63" si="56">IF($M$13=$AN$12,"E",IF(OR(ISNUMBER(U61),ISNUMBER(V61)),"E","U"))</f>
        <v>U</v>
      </c>
      <c r="BA61" s="1083" t="str">
        <f t="shared" ref="BA61:BA63" si="57">IF($M$13=$AN$12,"E",IF(OR(ISNUMBER(AA61),ISNUMBER(AB61)),"E","U"))</f>
        <v>U</v>
      </c>
      <c r="BB61" s="1083" t="str">
        <f t="shared" ref="BB61:BB63" si="58">IF($M$13=$AN$12,"E",IF(ISNUMBER(AG61),"E","U"))</f>
        <v>U</v>
      </c>
    </row>
    <row r="62" spans="1:54" ht="12" customHeight="1" x14ac:dyDescent="0.2">
      <c r="A62" s="440"/>
      <c r="B62" s="1042"/>
      <c r="C62" s="1036"/>
      <c r="D62" s="1037"/>
      <c r="E62" s="1084">
        <f ca="1">IF(AX62="E","",AN62)</f>
        <v>0</v>
      </c>
      <c r="F62" s="1085"/>
      <c r="G62" s="1264"/>
      <c r="H62" s="1264"/>
      <c r="I62" s="1265"/>
      <c r="J62" s="638"/>
      <c r="K62" s="520" t="s">
        <v>177</v>
      </c>
      <c r="L62" s="521"/>
      <c r="M62" s="342"/>
      <c r="N62" s="521" t="s">
        <v>67</v>
      </c>
      <c r="O62" s="344"/>
      <c r="P62" s="504" t="s">
        <v>68</v>
      </c>
      <c r="Q62" s="344"/>
      <c r="R62" s="522" t="s">
        <v>363</v>
      </c>
      <c r="S62" s="353">
        <f t="shared" ca="1" si="44"/>
        <v>0</v>
      </c>
      <c r="T62" s="523"/>
      <c r="U62" s="350"/>
      <c r="V62" s="308"/>
      <c r="W62" s="1090" t="str">
        <f t="shared" ca="1" si="45"/>
        <v/>
      </c>
      <c r="X62" s="1103">
        <f t="shared" ca="1" si="46"/>
        <v>0</v>
      </c>
      <c r="Y62" s="1120">
        <f t="shared" ca="1" si="47"/>
        <v>0</v>
      </c>
      <c r="Z62" s="524"/>
      <c r="AA62" s="350"/>
      <c r="AB62" s="308"/>
      <c r="AC62" s="1090" t="str">
        <f t="shared" ca="1" si="48"/>
        <v/>
      </c>
      <c r="AD62" s="1103">
        <f t="shared" ca="1" si="49"/>
        <v>0</v>
      </c>
      <c r="AE62" s="1120">
        <f t="shared" ca="1" si="50"/>
        <v>0</v>
      </c>
      <c r="AF62" s="525"/>
      <c r="AG62" s="637"/>
      <c r="AH62" s="525"/>
      <c r="AI62" s="1086">
        <f t="shared" ca="1" si="51"/>
        <v>0</v>
      </c>
      <c r="AJ62" s="380"/>
      <c r="AK62" s="440"/>
      <c r="AM62" s="460">
        <v>62</v>
      </c>
      <c r="AN62" s="1087">
        <f t="shared" ca="1" si="52"/>
        <v>0</v>
      </c>
      <c r="AO62" s="1083">
        <f t="shared" ca="1" si="53"/>
        <v>0</v>
      </c>
      <c r="AP62" s="356">
        <f t="shared" ca="1" si="53"/>
        <v>0</v>
      </c>
      <c r="AQ62" s="357">
        <f t="shared" ca="1" si="53"/>
        <v>0</v>
      </c>
      <c r="AR62" s="524" t="str">
        <f t="shared" ca="1" si="53"/>
        <v/>
      </c>
      <c r="AS62" s="356">
        <f t="shared" ca="1" si="53"/>
        <v>0</v>
      </c>
      <c r="AT62" s="357">
        <f t="shared" ca="1" si="53"/>
        <v>0</v>
      </c>
      <c r="AU62" s="524" t="str">
        <f t="shared" ca="1" si="53"/>
        <v/>
      </c>
      <c r="AV62" s="1083">
        <f t="shared" ca="1" si="53"/>
        <v>0</v>
      </c>
      <c r="AX62" s="1083" t="str">
        <f t="shared" si="54"/>
        <v>U</v>
      </c>
      <c r="AY62" s="1083" t="str">
        <f t="shared" si="55"/>
        <v>U</v>
      </c>
      <c r="AZ62" s="1083" t="str">
        <f t="shared" si="56"/>
        <v>U</v>
      </c>
      <c r="BA62" s="1083" t="str">
        <f t="shared" si="57"/>
        <v>U</v>
      </c>
      <c r="BB62" s="1083" t="str">
        <f t="shared" si="58"/>
        <v>U</v>
      </c>
    </row>
    <row r="63" spans="1:54" ht="12" customHeight="1" x14ac:dyDescent="0.2">
      <c r="A63" s="440"/>
      <c r="B63" s="1042"/>
      <c r="C63" s="1036"/>
      <c r="D63" s="1037"/>
      <c r="E63" s="1084">
        <f ca="1">IF(AX63="E","",AN63)</f>
        <v>0</v>
      </c>
      <c r="F63" s="1085"/>
      <c r="G63" s="1264"/>
      <c r="H63" s="1264"/>
      <c r="I63" s="1265"/>
      <c r="J63" s="638"/>
      <c r="K63" s="520" t="s">
        <v>177</v>
      </c>
      <c r="L63" s="521"/>
      <c r="M63" s="342"/>
      <c r="N63" s="521" t="s">
        <v>67</v>
      </c>
      <c r="O63" s="344"/>
      <c r="P63" s="504" t="s">
        <v>68</v>
      </c>
      <c r="Q63" s="344"/>
      <c r="R63" s="522" t="s">
        <v>363</v>
      </c>
      <c r="S63" s="353">
        <f t="shared" ca="1" si="44"/>
        <v>0</v>
      </c>
      <c r="T63" s="523"/>
      <c r="U63" s="350"/>
      <c r="V63" s="308"/>
      <c r="W63" s="1090" t="str">
        <f t="shared" ca="1" si="45"/>
        <v/>
      </c>
      <c r="X63" s="1103">
        <f t="shared" ca="1" si="46"/>
        <v>0</v>
      </c>
      <c r="Y63" s="1120">
        <f t="shared" ca="1" si="47"/>
        <v>0</v>
      </c>
      <c r="Z63" s="524"/>
      <c r="AA63" s="350"/>
      <c r="AB63" s="308"/>
      <c r="AC63" s="1090" t="str">
        <f t="shared" ca="1" si="48"/>
        <v/>
      </c>
      <c r="AD63" s="1103">
        <f t="shared" ca="1" si="49"/>
        <v>0</v>
      </c>
      <c r="AE63" s="1120">
        <f t="shared" ca="1" si="50"/>
        <v>0</v>
      </c>
      <c r="AF63" s="525"/>
      <c r="AG63" s="637"/>
      <c r="AH63" s="525"/>
      <c r="AI63" s="1086">
        <f t="shared" ca="1" si="51"/>
        <v>0</v>
      </c>
      <c r="AJ63" s="380"/>
      <c r="AK63" s="440"/>
      <c r="AM63" s="460">
        <v>63</v>
      </c>
      <c r="AN63" s="1087">
        <f t="shared" ca="1" si="52"/>
        <v>0</v>
      </c>
      <c r="AO63" s="1083">
        <f t="shared" ca="1" si="53"/>
        <v>0</v>
      </c>
      <c r="AP63" s="356">
        <f t="shared" ca="1" si="53"/>
        <v>0</v>
      </c>
      <c r="AQ63" s="357">
        <f t="shared" ca="1" si="53"/>
        <v>0</v>
      </c>
      <c r="AR63" s="524" t="str">
        <f t="shared" ca="1" si="53"/>
        <v/>
      </c>
      <c r="AS63" s="356">
        <f t="shared" ca="1" si="53"/>
        <v>0</v>
      </c>
      <c r="AT63" s="357">
        <f t="shared" ca="1" si="53"/>
        <v>0</v>
      </c>
      <c r="AU63" s="524" t="str">
        <f t="shared" ca="1" si="53"/>
        <v/>
      </c>
      <c r="AV63" s="1083">
        <f t="shared" ca="1" si="53"/>
        <v>0</v>
      </c>
      <c r="AX63" s="1083" t="str">
        <f t="shared" si="54"/>
        <v>U</v>
      </c>
      <c r="AY63" s="1083" t="str">
        <f t="shared" si="55"/>
        <v>U</v>
      </c>
      <c r="AZ63" s="1083" t="str">
        <f t="shared" si="56"/>
        <v>U</v>
      </c>
      <c r="BA63" s="1083" t="str">
        <f t="shared" si="57"/>
        <v>U</v>
      </c>
      <c r="BB63" s="1083" t="str">
        <f t="shared" si="58"/>
        <v>U</v>
      </c>
    </row>
    <row r="64" spans="1:54" ht="12" customHeight="1" x14ac:dyDescent="0.25">
      <c r="A64" s="440"/>
      <c r="B64" s="1042"/>
      <c r="C64" s="1036"/>
      <c r="D64" s="1037" t="s">
        <v>151</v>
      </c>
      <c r="E64" s="1599" t="s">
        <v>137</v>
      </c>
      <c r="F64" s="1599"/>
      <c r="G64" s="1599"/>
      <c r="H64" s="1599"/>
      <c r="I64" s="1597"/>
      <c r="J64" s="1038"/>
      <c r="K64" s="529"/>
      <c r="L64" s="503"/>
      <c r="M64" s="526"/>
      <c r="N64" s="519"/>
      <c r="O64" s="530"/>
      <c r="P64" s="1037"/>
      <c r="Q64" s="1037"/>
      <c r="R64" s="1037"/>
      <c r="S64" s="354">
        <f ca="1">SUBTOTAL(109,S66:S67)</f>
        <v>0</v>
      </c>
      <c r="T64" s="363"/>
      <c r="U64" s="360"/>
      <c r="V64" s="360"/>
      <c r="W64" s="1091"/>
      <c r="X64" s="1105"/>
      <c r="Y64" s="1105"/>
      <c r="Z64" s="360"/>
      <c r="AA64" s="360"/>
      <c r="AB64" s="360"/>
      <c r="AC64" s="1091"/>
      <c r="AD64" s="1105"/>
      <c r="AE64" s="1105"/>
      <c r="AF64" s="360"/>
      <c r="AG64" s="360"/>
      <c r="AH64" s="360"/>
      <c r="AI64" s="360"/>
      <c r="AJ64" s="363"/>
      <c r="AK64" s="440"/>
      <c r="AM64" s="460">
        <v>64</v>
      </c>
      <c r="AN64" s="1078"/>
      <c r="AP64" s="1081"/>
      <c r="AS64" s="1081"/>
      <c r="AZ64" s="1081"/>
      <c r="BA64" s="1081"/>
    </row>
    <row r="65" spans="1:54" ht="12" customHeight="1" x14ac:dyDescent="0.25">
      <c r="A65" s="440"/>
      <c r="B65" s="1042"/>
      <c r="C65" s="1036"/>
      <c r="D65" s="1037"/>
      <c r="E65" s="1037"/>
      <c r="F65" s="1037"/>
      <c r="G65" s="1037"/>
      <c r="H65" s="1037"/>
      <c r="I65" s="1035"/>
      <c r="J65" s="1603" t="s">
        <v>170</v>
      </c>
      <c r="K65" s="1603"/>
      <c r="L65" s="503"/>
      <c r="M65" s="526"/>
      <c r="N65" s="519"/>
      <c r="O65" s="530"/>
      <c r="P65" s="1037"/>
      <c r="Q65" s="1037"/>
      <c r="R65" s="1037"/>
      <c r="S65" s="354"/>
      <c r="T65" s="363"/>
      <c r="U65" s="360"/>
      <c r="V65" s="360"/>
      <c r="W65" s="1092"/>
      <c r="X65" s="1105"/>
      <c r="Y65" s="1105"/>
      <c r="Z65" s="360"/>
      <c r="AA65" s="360"/>
      <c r="AB65" s="360"/>
      <c r="AC65" s="1092"/>
      <c r="AD65" s="1105"/>
      <c r="AE65" s="1105"/>
      <c r="AF65" s="360"/>
      <c r="AG65" s="360"/>
      <c r="AH65" s="360"/>
      <c r="AI65" s="360"/>
      <c r="AJ65" s="363"/>
      <c r="AK65" s="440"/>
      <c r="AM65" s="460">
        <v>65</v>
      </c>
      <c r="AN65" s="1078"/>
      <c r="AP65" s="1081"/>
      <c r="AS65" s="1081"/>
      <c r="AZ65" s="1081"/>
      <c r="BA65" s="1081"/>
    </row>
    <row r="66" spans="1:54" ht="12" customHeight="1" x14ac:dyDescent="0.2">
      <c r="A66" s="440"/>
      <c r="B66" s="1042"/>
      <c r="C66" s="1036"/>
      <c r="D66" s="1037"/>
      <c r="E66" s="1084">
        <f ca="1">IF(AX66="E","",AN66)</f>
        <v>0</v>
      </c>
      <c r="F66" s="1085"/>
      <c r="G66" s="1264"/>
      <c r="H66" s="1264"/>
      <c r="I66" s="1265"/>
      <c r="J66" s="638"/>
      <c r="K66" s="520" t="s">
        <v>177</v>
      </c>
      <c r="L66" s="521"/>
      <c r="M66" s="342"/>
      <c r="N66" s="521" t="s">
        <v>67</v>
      </c>
      <c r="O66" s="344"/>
      <c r="P66" s="504" t="s">
        <v>68</v>
      </c>
      <c r="Q66" s="344"/>
      <c r="R66" s="522" t="s">
        <v>363</v>
      </c>
      <c r="S66" s="353">
        <f t="shared" ref="S66:S67" ca="1" si="59">IF(AY66="E",(M66*O66)+Q66,AO66)</f>
        <v>0</v>
      </c>
      <c r="T66" s="523"/>
      <c r="U66" s="350"/>
      <c r="V66" s="308"/>
      <c r="W66" s="1090" t="str">
        <f t="shared" ref="W66:W67" ca="1" si="60">IF(AZ66="E",IF(AND(V66&lt;&gt;0,U66&lt;&gt;0),"X",IF(AND(V66&lt;&gt;0,U66=0),"A",IF(AND(V66=0,U66&lt;&gt;0),"P",""))),AR66)</f>
        <v/>
      </c>
      <c r="X66" s="1103">
        <f t="shared" ref="X66:X67" ca="1" si="61">IF(AZ66="E",IFERROR(IF(W66="X",0,IF(U66&gt;0,U66,V66/S66)),0),
IFERROR(IF(OR(AR66="X",AR66=0),0,
IF(AR66="P",AP66,IF(AR66="A",AQ66/S66,0))),0))</f>
        <v>0</v>
      </c>
      <c r="Y66" s="1120">
        <f t="shared" ref="Y66:Y67" ca="1" si="62">IF(AZ66="E",IFERROR(IF(W66="X",0,IF(V66&gt;0,V66,S66*U66)),0),
IFERROR(IF(OR(AR66="X",AR66="0"),0,IF(AR66="A",AQ66,S66*AP66)),0))</f>
        <v>0</v>
      </c>
      <c r="Z66" s="524"/>
      <c r="AA66" s="350"/>
      <c r="AB66" s="308"/>
      <c r="AC66" s="1090" t="str">
        <f t="shared" ref="AC66:AC67" ca="1" si="63">IF(BA66="E",IF(AND(AB66&lt;&gt;0,AA66&lt;&gt;0),"X",IF(AND(AB66&lt;&gt;0,AA66=0),"A",IF(AND(AB66=0,AA66&lt;&gt;0),"P",""))),AU66)</f>
        <v/>
      </c>
      <c r="AD66" s="1103">
        <f t="shared" ref="AD66:AD67" ca="1" si="64">IF(BA66="E",IFERROR(IF(AC66="X",0,IF(AA66&gt;0,AA66,AB66/S66)),0),
IFERROR(IF(OR(AU66="X",AU66=0),0,
IF(AU66="P",AS66,IF(AU66="A",AT66/S66,0))),0))</f>
        <v>0</v>
      </c>
      <c r="AE66" s="1120">
        <f t="shared" ref="AE66:AE67" ca="1" si="65">IF(BA66="E",IFERROR(IF(AC66="X",0,IF(AB66&gt;0,AB66,S66*AA66)),0),
IFERROR(IF(OR(AU66="X",AU66=0),0,
IF(AU66="A",AT66,S66*AS66)),0))</f>
        <v>0</v>
      </c>
      <c r="AF66" s="525"/>
      <c r="AG66" s="637"/>
      <c r="AH66" s="525"/>
      <c r="AI66" s="1086">
        <f t="shared" ref="AI66:AI67" ca="1" si="66">IF(BB66="E",AG66,AV66)</f>
        <v>0</v>
      </c>
      <c r="AJ66" s="380"/>
      <c r="AK66" s="440"/>
      <c r="AM66" s="460">
        <v>66</v>
      </c>
      <c r="AN66" s="1087">
        <f t="shared" ref="AN66:AN67" ca="1" si="67">IF($M$13=$AN$12,"",IF(ISTEXT(INDIRECT("'"&amp;$AM$20&amp;"'!"&amp;AN$21&amp;$AM66)),INDIRECT("'"&amp;$AM$20&amp;"'!"&amp;AN$21&amp;$AM66),INDIRECT("'"&amp;$AM$20&amp;"'!"&amp;AN$22&amp;$AM66)))</f>
        <v>0</v>
      </c>
      <c r="AO66" s="1083">
        <f t="shared" ref="AO66:AV67" ca="1" si="68">IF($M$13=$AN$12,"",INDIRECT("'"&amp;$AM$20&amp;"'!"&amp;AO$21&amp;$AM66))</f>
        <v>0</v>
      </c>
      <c r="AP66" s="356">
        <f t="shared" ca="1" si="68"/>
        <v>0</v>
      </c>
      <c r="AQ66" s="357">
        <f t="shared" ca="1" si="68"/>
        <v>0</v>
      </c>
      <c r="AR66" s="524" t="str">
        <f t="shared" ca="1" si="68"/>
        <v/>
      </c>
      <c r="AS66" s="356">
        <f t="shared" ca="1" si="68"/>
        <v>0</v>
      </c>
      <c r="AT66" s="357">
        <f t="shared" ca="1" si="68"/>
        <v>0</v>
      </c>
      <c r="AU66" s="524" t="str">
        <f t="shared" ca="1" si="68"/>
        <v/>
      </c>
      <c r="AV66" s="1083">
        <f t="shared" ca="1" si="68"/>
        <v>0</v>
      </c>
      <c r="AX66" s="1083" t="str">
        <f t="shared" ref="AX66:AX67" si="69">IF($M$13=$AN$12,"E",IF(ISTEXT(F66),"E","U"))</f>
        <v>U</v>
      </c>
      <c r="AY66" s="1083" t="str">
        <f t="shared" ref="AY66:AY67" si="70">IF($M$13=$AN$12,"E",IF(OR(ISNUMBER(M66),ISNUMBER(O66),ISNUMBER(Q66)),"E","U"))</f>
        <v>U</v>
      </c>
      <c r="AZ66" s="1083" t="str">
        <f t="shared" ref="AZ66:AZ67" si="71">IF($M$13=$AN$12,"E",IF(OR(ISNUMBER(U66),ISNUMBER(V66)),"E","U"))</f>
        <v>U</v>
      </c>
      <c r="BA66" s="1083" t="str">
        <f t="shared" ref="BA66:BA67" si="72">IF($M$13=$AN$12,"E",IF(OR(ISNUMBER(AA66),ISNUMBER(AB66)),"E","U"))</f>
        <v>U</v>
      </c>
      <c r="BB66" s="1083" t="str">
        <f t="shared" ref="BB66:BB67" si="73">IF($M$13=$AN$12,"E",IF(ISNUMBER(AG66),"E","U"))</f>
        <v>U</v>
      </c>
    </row>
    <row r="67" spans="1:54" ht="12" customHeight="1" x14ac:dyDescent="0.2">
      <c r="A67" s="440"/>
      <c r="B67" s="1042"/>
      <c r="C67" s="1036"/>
      <c r="D67" s="1037"/>
      <c r="E67" s="1084">
        <f ca="1">IF(AX67="E","",AN67)</f>
        <v>0</v>
      </c>
      <c r="F67" s="1085"/>
      <c r="G67" s="1264"/>
      <c r="H67" s="1264"/>
      <c r="I67" s="1265"/>
      <c r="J67" s="638"/>
      <c r="K67" s="520" t="s">
        <v>177</v>
      </c>
      <c r="L67" s="521"/>
      <c r="M67" s="342"/>
      <c r="N67" s="521" t="s">
        <v>67</v>
      </c>
      <c r="O67" s="344"/>
      <c r="P67" s="504" t="s">
        <v>68</v>
      </c>
      <c r="Q67" s="344"/>
      <c r="R67" s="522" t="s">
        <v>363</v>
      </c>
      <c r="S67" s="353">
        <f t="shared" ca="1" si="59"/>
        <v>0</v>
      </c>
      <c r="T67" s="523"/>
      <c r="U67" s="350"/>
      <c r="V67" s="308"/>
      <c r="W67" s="1090" t="str">
        <f t="shared" ca="1" si="60"/>
        <v/>
      </c>
      <c r="X67" s="1103">
        <f t="shared" ca="1" si="61"/>
        <v>0</v>
      </c>
      <c r="Y67" s="1120">
        <f t="shared" ca="1" si="62"/>
        <v>0</v>
      </c>
      <c r="Z67" s="524"/>
      <c r="AA67" s="350"/>
      <c r="AB67" s="308"/>
      <c r="AC67" s="1090" t="str">
        <f t="shared" ca="1" si="63"/>
        <v/>
      </c>
      <c r="AD67" s="1103">
        <f t="shared" ca="1" si="64"/>
        <v>0</v>
      </c>
      <c r="AE67" s="1120">
        <f t="shared" ca="1" si="65"/>
        <v>0</v>
      </c>
      <c r="AF67" s="525"/>
      <c r="AG67" s="637"/>
      <c r="AH67" s="525"/>
      <c r="AI67" s="1086">
        <f t="shared" ca="1" si="66"/>
        <v>0</v>
      </c>
      <c r="AJ67" s="380"/>
      <c r="AK67" s="440"/>
      <c r="AM67" s="460">
        <v>67</v>
      </c>
      <c r="AN67" s="1087">
        <f t="shared" ca="1" si="67"/>
        <v>0</v>
      </c>
      <c r="AO67" s="1083">
        <f t="shared" ca="1" si="68"/>
        <v>0</v>
      </c>
      <c r="AP67" s="356">
        <f t="shared" ca="1" si="68"/>
        <v>0</v>
      </c>
      <c r="AQ67" s="357">
        <f t="shared" ca="1" si="68"/>
        <v>0</v>
      </c>
      <c r="AR67" s="524" t="str">
        <f t="shared" ca="1" si="68"/>
        <v/>
      </c>
      <c r="AS67" s="356">
        <f t="shared" ca="1" si="68"/>
        <v>0</v>
      </c>
      <c r="AT67" s="357">
        <f t="shared" ca="1" si="68"/>
        <v>0</v>
      </c>
      <c r="AU67" s="524" t="str">
        <f t="shared" ca="1" si="68"/>
        <v/>
      </c>
      <c r="AV67" s="1083">
        <f t="shared" ca="1" si="68"/>
        <v>0</v>
      </c>
      <c r="AX67" s="1083" t="str">
        <f t="shared" si="69"/>
        <v>U</v>
      </c>
      <c r="AY67" s="1083" t="str">
        <f t="shared" si="70"/>
        <v>U</v>
      </c>
      <c r="AZ67" s="1083" t="str">
        <f t="shared" si="71"/>
        <v>U</v>
      </c>
      <c r="BA67" s="1083" t="str">
        <f t="shared" si="72"/>
        <v>U</v>
      </c>
      <c r="BB67" s="1083" t="str">
        <f t="shared" si="73"/>
        <v>U</v>
      </c>
    </row>
    <row r="68" spans="1:54" ht="12" customHeight="1" x14ac:dyDescent="0.25">
      <c r="A68" s="440"/>
      <c r="B68" s="1042"/>
      <c r="C68" s="1036"/>
      <c r="D68" s="1037" t="s">
        <v>322</v>
      </c>
      <c r="E68" s="1037" t="s">
        <v>324</v>
      </c>
      <c r="F68" s="519"/>
      <c r="G68" s="519"/>
      <c r="H68" s="519"/>
      <c r="I68" s="519"/>
      <c r="J68" s="1038"/>
      <c r="K68" s="529"/>
      <c r="L68" s="503"/>
      <c r="M68" s="532"/>
      <c r="N68" s="503"/>
      <c r="O68" s="527"/>
      <c r="P68" s="1036"/>
      <c r="Q68" s="1036"/>
      <c r="R68" s="1036"/>
      <c r="S68" s="354">
        <f ca="1">SUBTOTAL(109,S70:S72)</f>
        <v>80293.319999999992</v>
      </c>
      <c r="T68" s="363"/>
      <c r="U68" s="364"/>
      <c r="V68" s="365"/>
      <c r="W68" s="1093"/>
      <c r="X68" s="1106"/>
      <c r="Y68" s="1122"/>
      <c r="Z68" s="363"/>
      <c r="AA68" s="364"/>
      <c r="AB68" s="365"/>
      <c r="AC68" s="1093"/>
      <c r="AD68" s="1106"/>
      <c r="AE68" s="1122"/>
      <c r="AF68" s="363"/>
      <c r="AG68" s="358"/>
      <c r="AH68" s="363"/>
      <c r="AI68" s="358"/>
      <c r="AJ68" s="363"/>
      <c r="AK68" s="440"/>
      <c r="AM68" s="460">
        <v>68</v>
      </c>
      <c r="AN68" s="1078"/>
      <c r="AP68" s="1081"/>
      <c r="AS68" s="1081"/>
      <c r="AZ68" s="1081"/>
      <c r="BA68" s="1081"/>
    </row>
    <row r="69" spans="1:54" ht="12" customHeight="1" x14ac:dyDescent="0.2">
      <c r="A69" s="440"/>
      <c r="B69" s="1042"/>
      <c r="C69" s="1036"/>
      <c r="D69" s="1037"/>
      <c r="E69" s="1037"/>
      <c r="F69" s="519"/>
      <c r="G69" s="519"/>
      <c r="H69" s="519"/>
      <c r="I69" s="519"/>
      <c r="J69" s="1603" t="s">
        <v>170</v>
      </c>
      <c r="K69" s="1603"/>
      <c r="L69" s="503"/>
      <c r="M69" s="532"/>
      <c r="N69" s="503"/>
      <c r="O69" s="527"/>
      <c r="P69" s="1036"/>
      <c r="Q69" s="1036"/>
      <c r="R69" s="1036"/>
      <c r="S69" s="354"/>
      <c r="T69" s="363"/>
      <c r="U69" s="364"/>
      <c r="V69" s="365"/>
      <c r="W69" s="1093"/>
      <c r="X69" s="1106"/>
      <c r="Y69" s="1122"/>
      <c r="Z69" s="363"/>
      <c r="AA69" s="364"/>
      <c r="AB69" s="365"/>
      <c r="AC69" s="1093"/>
      <c r="AD69" s="1106"/>
      <c r="AE69" s="1122"/>
      <c r="AF69" s="363"/>
      <c r="AG69" s="358"/>
      <c r="AH69" s="363"/>
      <c r="AI69" s="358"/>
      <c r="AJ69" s="363"/>
      <c r="AK69" s="440"/>
      <c r="AM69" s="460">
        <v>69</v>
      </c>
      <c r="AN69" s="1078"/>
      <c r="AP69" s="1081"/>
      <c r="AS69" s="1081"/>
      <c r="AZ69" s="1081"/>
      <c r="BA69" s="1081"/>
    </row>
    <row r="70" spans="1:54" ht="12" customHeight="1" x14ac:dyDescent="0.2">
      <c r="A70" s="440"/>
      <c r="B70" s="1042"/>
      <c r="C70" s="1036"/>
      <c r="D70" s="380"/>
      <c r="E70" s="1084" t="str">
        <f ca="1">IF(AX70="E","",AN70)</f>
        <v>Estrich</v>
      </c>
      <c r="F70" s="1085"/>
      <c r="G70" s="1264"/>
      <c r="H70" s="1264"/>
      <c r="I70" s="1265"/>
      <c r="J70" s="638"/>
      <c r="K70" s="533" t="s">
        <v>177</v>
      </c>
      <c r="L70" s="521"/>
      <c r="M70" s="342"/>
      <c r="N70" s="521" t="s">
        <v>67</v>
      </c>
      <c r="O70" s="344"/>
      <c r="P70" s="504" t="s">
        <v>68</v>
      </c>
      <c r="Q70" s="344"/>
      <c r="R70" s="522" t="s">
        <v>363</v>
      </c>
      <c r="S70" s="353">
        <f t="shared" ref="S70:S72" ca="1" si="74">IF(AY70="E",(M70*O70)+Q70,AO70)</f>
        <v>67231.199999999997</v>
      </c>
      <c r="T70" s="523"/>
      <c r="U70" s="350"/>
      <c r="V70" s="308"/>
      <c r="W70" s="1090" t="str">
        <f t="shared" ref="W70:W72" ca="1" si="75">IF(AZ70="E",IF(AND(V70&lt;&gt;0,U70&lt;&gt;0),"X",IF(AND(V70&lt;&gt;0,U70=0),"A",IF(AND(V70=0,U70&lt;&gt;0),"P",""))),AR70)</f>
        <v/>
      </c>
      <c r="X70" s="1103">
        <f t="shared" ref="X70:X72" ca="1" si="76">IF(AZ70="E",IFERROR(IF(W70="X",0,IF(U70&gt;0,U70,V70/S70)),0),
IFERROR(IF(OR(AR70="X",AR70=0),0,
IF(AR70="P",AP70,IF(AR70="A",AQ70/S70,0))),0))</f>
        <v>0</v>
      </c>
      <c r="Y70" s="1120">
        <f t="shared" ref="Y70:Y72" ca="1" si="77">IF(AZ70="E",IFERROR(IF(W70="X",0,IF(V70&gt;0,V70,S70*U70)),0),
IFERROR(IF(OR(AR70="X",AR70="0"),0,IF(AR70="A",AQ70,S70*AP70)),0))</f>
        <v>0</v>
      </c>
      <c r="Z70" s="524"/>
      <c r="AA70" s="350"/>
      <c r="AB70" s="308"/>
      <c r="AC70" s="1090" t="str">
        <f t="shared" ref="AC70:AC72" ca="1" si="78">IF(BA70="E",IF(AND(AB70&lt;&gt;0,AA70&lt;&gt;0),"X",IF(AND(AB70&lt;&gt;0,AA70=0),"A",IF(AND(AB70=0,AA70&lt;&gt;0),"P",""))),AU70)</f>
        <v/>
      </c>
      <c r="AD70" s="1103">
        <f t="shared" ref="AD70:AD72" ca="1" si="79">IF(BA70="E",IFERROR(IF(AC70="X",0,IF(AA70&gt;0,AA70,AB70/S70)),0),
IFERROR(IF(OR(AU70="X",AU70=0),0,
IF(AU70="P",AS70,IF(AU70="A",AT70/S70,0))),0))</f>
        <v>0</v>
      </c>
      <c r="AE70" s="1120">
        <f t="shared" ref="AE70:AE72" ca="1" si="80">IF(BA70="E",IFERROR(IF(AC70="X",0,IF(AB70&gt;0,AB70,S70*AA70)),0),
IFERROR(IF(OR(AU70="X",AU70=0),0,
IF(AU70="A",AT70,S70*AS70)),0))</f>
        <v>0</v>
      </c>
      <c r="AF70" s="525"/>
      <c r="AG70" s="637"/>
      <c r="AH70" s="525"/>
      <c r="AI70" s="1086">
        <f t="shared" ref="AI70:AI72" ca="1" si="81">IF(BB70="E",AG70,AV70)</f>
        <v>100</v>
      </c>
      <c r="AJ70" s="380"/>
      <c r="AK70" s="440"/>
      <c r="AM70" s="460">
        <v>70</v>
      </c>
      <c r="AN70" s="1087" t="str">
        <f t="shared" ref="AN70:AN72" ca="1" si="82">IF($M$13=$AN$12,"",IF(ISTEXT(INDIRECT("'"&amp;$AM$20&amp;"'!"&amp;AN$21&amp;$AM70)),INDIRECT("'"&amp;$AM$20&amp;"'!"&amp;AN$21&amp;$AM70),INDIRECT("'"&amp;$AM$20&amp;"'!"&amp;AN$22&amp;$AM70)))</f>
        <v>Estrich</v>
      </c>
      <c r="AO70" s="1083">
        <f t="shared" ref="AO70:AV72" ca="1" si="83">IF($M$13=$AN$12,"",INDIRECT("'"&amp;$AM$20&amp;"'!"&amp;AO$21&amp;$AM70))</f>
        <v>67231.199999999997</v>
      </c>
      <c r="AP70" s="356">
        <f t="shared" ca="1" si="83"/>
        <v>0</v>
      </c>
      <c r="AQ70" s="357">
        <f t="shared" ca="1" si="83"/>
        <v>0</v>
      </c>
      <c r="AR70" s="524" t="str">
        <f t="shared" ca="1" si="83"/>
        <v/>
      </c>
      <c r="AS70" s="356">
        <f t="shared" ca="1" si="83"/>
        <v>0</v>
      </c>
      <c r="AT70" s="357">
        <f t="shared" ca="1" si="83"/>
        <v>0</v>
      </c>
      <c r="AU70" s="524" t="str">
        <f t="shared" ca="1" si="83"/>
        <v/>
      </c>
      <c r="AV70" s="1083">
        <f t="shared" ca="1" si="83"/>
        <v>100</v>
      </c>
      <c r="AX70" s="1083" t="str">
        <f t="shared" ref="AX70:AX72" si="84">IF($M$13=$AN$12,"E",IF(ISTEXT(F70),"E","U"))</f>
        <v>U</v>
      </c>
      <c r="AY70" s="1083" t="str">
        <f t="shared" ref="AY70:AY72" si="85">IF($M$13=$AN$12,"E",IF(OR(ISNUMBER(M70),ISNUMBER(O70),ISNUMBER(Q70)),"E","U"))</f>
        <v>U</v>
      </c>
      <c r="AZ70" s="1083" t="str">
        <f t="shared" ref="AZ70:AZ72" si="86">IF($M$13=$AN$12,"E",IF(OR(ISNUMBER(U70),ISNUMBER(V70)),"E","U"))</f>
        <v>U</v>
      </c>
      <c r="BA70" s="1083" t="str">
        <f t="shared" ref="BA70:BA72" si="87">IF($M$13=$AN$12,"E",IF(OR(ISNUMBER(AA70),ISNUMBER(AB70)),"E","U"))</f>
        <v>U</v>
      </c>
      <c r="BB70" s="1083" t="str">
        <f t="shared" ref="BB70:BB72" si="88">IF($M$13=$AN$12,"E",IF(ISNUMBER(AG70),"E","U"))</f>
        <v>U</v>
      </c>
    </row>
    <row r="71" spans="1:54" ht="12" customHeight="1" x14ac:dyDescent="0.2">
      <c r="A71" s="440"/>
      <c r="B71" s="1042"/>
      <c r="C71" s="1036"/>
      <c r="D71" s="380"/>
      <c r="E71" s="1084" t="str">
        <f ca="1">IF(AX71="E","",AN71)</f>
        <v>Trockenbau Deckenverkleidung</v>
      </c>
      <c r="F71" s="1085"/>
      <c r="G71" s="1264"/>
      <c r="H71" s="1264"/>
      <c r="I71" s="1265"/>
      <c r="J71" s="638"/>
      <c r="K71" s="533" t="s">
        <v>177</v>
      </c>
      <c r="L71" s="503"/>
      <c r="M71" s="343"/>
      <c r="N71" s="521" t="s">
        <v>67</v>
      </c>
      <c r="O71" s="344"/>
      <c r="P71" s="504" t="s">
        <v>68</v>
      </c>
      <c r="Q71" s="344"/>
      <c r="R71" s="522" t="s">
        <v>363</v>
      </c>
      <c r="S71" s="353">
        <f t="shared" ca="1" si="74"/>
        <v>13062.12</v>
      </c>
      <c r="T71" s="523"/>
      <c r="U71" s="350"/>
      <c r="V71" s="308"/>
      <c r="W71" s="1090" t="str">
        <f t="shared" ca="1" si="75"/>
        <v/>
      </c>
      <c r="X71" s="1103">
        <f t="shared" ca="1" si="76"/>
        <v>0</v>
      </c>
      <c r="Y71" s="1120">
        <f t="shared" ca="1" si="77"/>
        <v>0</v>
      </c>
      <c r="Z71" s="524"/>
      <c r="AA71" s="350"/>
      <c r="AB71" s="308"/>
      <c r="AC71" s="1090" t="str">
        <f t="shared" ca="1" si="78"/>
        <v/>
      </c>
      <c r="AD71" s="1103">
        <f t="shared" ca="1" si="79"/>
        <v>0</v>
      </c>
      <c r="AE71" s="1120">
        <f t="shared" ca="1" si="80"/>
        <v>0</v>
      </c>
      <c r="AF71" s="525"/>
      <c r="AG71" s="637"/>
      <c r="AH71" s="525"/>
      <c r="AI71" s="1086">
        <f t="shared" ca="1" si="81"/>
        <v>60</v>
      </c>
      <c r="AJ71" s="380"/>
      <c r="AK71" s="440"/>
      <c r="AM71" s="460">
        <v>71</v>
      </c>
      <c r="AN71" s="1087" t="str">
        <f t="shared" ca="1" si="82"/>
        <v>Trockenbau Deckenverkleidung</v>
      </c>
      <c r="AO71" s="1083">
        <f t="shared" ca="1" si="83"/>
        <v>13062.12</v>
      </c>
      <c r="AP71" s="356">
        <f t="shared" ca="1" si="83"/>
        <v>0</v>
      </c>
      <c r="AQ71" s="357">
        <f t="shared" ca="1" si="83"/>
        <v>0</v>
      </c>
      <c r="AR71" s="524" t="str">
        <f t="shared" ca="1" si="83"/>
        <v/>
      </c>
      <c r="AS71" s="356">
        <f t="shared" ca="1" si="83"/>
        <v>0</v>
      </c>
      <c r="AT71" s="357">
        <f t="shared" ca="1" si="83"/>
        <v>0</v>
      </c>
      <c r="AU71" s="524" t="str">
        <f t="shared" ca="1" si="83"/>
        <v/>
      </c>
      <c r="AV71" s="1083">
        <f t="shared" ca="1" si="83"/>
        <v>60</v>
      </c>
      <c r="AX71" s="1083" t="str">
        <f t="shared" si="84"/>
        <v>U</v>
      </c>
      <c r="AY71" s="1083" t="str">
        <f t="shared" si="85"/>
        <v>U</v>
      </c>
      <c r="AZ71" s="1083" t="str">
        <f t="shared" si="86"/>
        <v>U</v>
      </c>
      <c r="BA71" s="1083" t="str">
        <f t="shared" si="87"/>
        <v>U</v>
      </c>
      <c r="BB71" s="1083" t="str">
        <f t="shared" si="88"/>
        <v>U</v>
      </c>
    </row>
    <row r="72" spans="1:54" ht="12" customHeight="1" x14ac:dyDescent="0.2">
      <c r="A72" s="440"/>
      <c r="B72" s="1042"/>
      <c r="C72" s="1036"/>
      <c r="D72" s="380"/>
      <c r="E72" s="1084">
        <f ca="1">IF(AX72="E","",AN72)</f>
        <v>0</v>
      </c>
      <c r="F72" s="1085"/>
      <c r="G72" s="1264"/>
      <c r="H72" s="1264"/>
      <c r="I72" s="1265"/>
      <c r="J72" s="638"/>
      <c r="K72" s="533" t="s">
        <v>177</v>
      </c>
      <c r="L72" s="503"/>
      <c r="M72" s="343"/>
      <c r="N72" s="521" t="s">
        <v>67</v>
      </c>
      <c r="O72" s="344"/>
      <c r="P72" s="504" t="s">
        <v>68</v>
      </c>
      <c r="Q72" s="344"/>
      <c r="R72" s="522" t="s">
        <v>363</v>
      </c>
      <c r="S72" s="353">
        <f t="shared" ca="1" si="74"/>
        <v>0</v>
      </c>
      <c r="T72" s="523"/>
      <c r="U72" s="350"/>
      <c r="V72" s="308"/>
      <c r="W72" s="1090" t="str">
        <f t="shared" ca="1" si="75"/>
        <v/>
      </c>
      <c r="X72" s="1103">
        <f t="shared" ca="1" si="76"/>
        <v>0</v>
      </c>
      <c r="Y72" s="1120">
        <f t="shared" ca="1" si="77"/>
        <v>0</v>
      </c>
      <c r="Z72" s="524"/>
      <c r="AA72" s="350"/>
      <c r="AB72" s="308"/>
      <c r="AC72" s="1090" t="str">
        <f t="shared" ca="1" si="78"/>
        <v/>
      </c>
      <c r="AD72" s="1103">
        <f t="shared" ca="1" si="79"/>
        <v>0</v>
      </c>
      <c r="AE72" s="1120">
        <f t="shared" ca="1" si="80"/>
        <v>0</v>
      </c>
      <c r="AF72" s="525"/>
      <c r="AG72" s="637"/>
      <c r="AH72" s="525"/>
      <c r="AI72" s="1086">
        <f t="shared" ca="1" si="81"/>
        <v>0</v>
      </c>
      <c r="AJ72" s="380"/>
      <c r="AK72" s="440"/>
      <c r="AM72" s="460">
        <v>72</v>
      </c>
      <c r="AN72" s="1087">
        <f t="shared" ca="1" si="82"/>
        <v>0</v>
      </c>
      <c r="AO72" s="1083">
        <f t="shared" ca="1" si="83"/>
        <v>0</v>
      </c>
      <c r="AP72" s="356">
        <f t="shared" ca="1" si="83"/>
        <v>0</v>
      </c>
      <c r="AQ72" s="357">
        <f t="shared" ca="1" si="83"/>
        <v>0</v>
      </c>
      <c r="AR72" s="524" t="str">
        <f t="shared" ca="1" si="83"/>
        <v/>
      </c>
      <c r="AS72" s="356">
        <f t="shared" ca="1" si="83"/>
        <v>0</v>
      </c>
      <c r="AT72" s="357">
        <f t="shared" ca="1" si="83"/>
        <v>0</v>
      </c>
      <c r="AU72" s="524" t="str">
        <f t="shared" ca="1" si="83"/>
        <v/>
      </c>
      <c r="AV72" s="1083">
        <f t="shared" ca="1" si="83"/>
        <v>0</v>
      </c>
      <c r="AX72" s="1083" t="str">
        <f t="shared" si="84"/>
        <v>U</v>
      </c>
      <c r="AY72" s="1083" t="str">
        <f t="shared" si="85"/>
        <v>U</v>
      </c>
      <c r="AZ72" s="1083" t="str">
        <f t="shared" si="86"/>
        <v>U</v>
      </c>
      <c r="BA72" s="1083" t="str">
        <f t="shared" si="87"/>
        <v>U</v>
      </c>
      <c r="BB72" s="1083" t="str">
        <f t="shared" si="88"/>
        <v>U</v>
      </c>
    </row>
    <row r="73" spans="1:54" ht="14.25" customHeight="1" collapsed="1" x14ac:dyDescent="0.25">
      <c r="A73" s="440"/>
      <c r="B73" s="1042"/>
      <c r="C73" s="1036" t="s">
        <v>152</v>
      </c>
      <c r="D73" s="494"/>
      <c r="E73" s="1596" t="s">
        <v>135</v>
      </c>
      <c r="F73" s="1596"/>
      <c r="G73" s="1596"/>
      <c r="H73" s="1596"/>
      <c r="I73" s="1597"/>
      <c r="J73" s="1038"/>
      <c r="K73" s="529"/>
      <c r="L73" s="529"/>
      <c r="M73" s="526"/>
      <c r="N73" s="519"/>
      <c r="O73" s="530"/>
      <c r="P73" s="1037"/>
      <c r="Q73" s="1037"/>
      <c r="R73" s="1037"/>
      <c r="S73" s="355">
        <f ca="1">S74+S82+S87</f>
        <v>177581.85599999997</v>
      </c>
      <c r="T73" s="363"/>
      <c r="U73" s="360"/>
      <c r="V73" s="361"/>
      <c r="W73" s="1092"/>
      <c r="X73" s="1105"/>
      <c r="Y73" s="1121"/>
      <c r="Z73" s="363"/>
      <c r="AA73" s="360"/>
      <c r="AB73" s="361"/>
      <c r="AC73" s="1092"/>
      <c r="AD73" s="1105"/>
      <c r="AE73" s="1121"/>
      <c r="AF73" s="359"/>
      <c r="AG73" s="358"/>
      <c r="AH73" s="359"/>
      <c r="AI73" s="358"/>
      <c r="AJ73" s="359"/>
      <c r="AK73" s="440"/>
      <c r="AM73" s="460">
        <v>73</v>
      </c>
      <c r="AN73" s="1078"/>
      <c r="AP73" s="1081"/>
      <c r="AS73" s="1081"/>
      <c r="AZ73" s="1081"/>
      <c r="BA73" s="1081"/>
    </row>
    <row r="74" spans="1:54" ht="12" customHeight="1" x14ac:dyDescent="0.25">
      <c r="A74" s="440"/>
      <c r="B74" s="1042"/>
      <c r="C74" s="1036"/>
      <c r="D74" s="1037" t="s">
        <v>153</v>
      </c>
      <c r="E74" s="1599" t="s">
        <v>158</v>
      </c>
      <c r="F74" s="1599"/>
      <c r="G74" s="1599"/>
      <c r="H74" s="1599"/>
      <c r="I74" s="1597"/>
      <c r="J74" s="1038"/>
      <c r="K74" s="529"/>
      <c r="L74" s="503"/>
      <c r="M74" s="526"/>
      <c r="N74" s="519"/>
      <c r="O74" s="530"/>
      <c r="P74" s="1037"/>
      <c r="Q74" s="1037"/>
      <c r="R74" s="1037"/>
      <c r="S74" s="354">
        <f ca="1">SUBTOTAL(109,S76:S81)</f>
        <v>109483.2</v>
      </c>
      <c r="T74" s="363"/>
      <c r="U74" s="358"/>
      <c r="V74" s="358"/>
      <c r="W74" s="1091"/>
      <c r="X74" s="1104"/>
      <c r="Y74" s="1104"/>
      <c r="Z74" s="358"/>
      <c r="AA74" s="358"/>
      <c r="AB74" s="358"/>
      <c r="AC74" s="1091"/>
      <c r="AD74" s="1104"/>
      <c r="AE74" s="1104"/>
      <c r="AF74" s="358"/>
      <c r="AG74" s="358"/>
      <c r="AH74" s="358"/>
      <c r="AI74" s="358"/>
      <c r="AJ74" s="358"/>
      <c r="AK74" s="440"/>
      <c r="AM74" s="460">
        <v>74</v>
      </c>
      <c r="AN74" s="1078"/>
      <c r="AP74" s="1081"/>
      <c r="AS74" s="1081"/>
      <c r="AZ74" s="1081"/>
      <c r="BA74" s="1081"/>
    </row>
    <row r="75" spans="1:54" ht="12" customHeight="1" x14ac:dyDescent="0.25">
      <c r="A75" s="440"/>
      <c r="B75" s="1042"/>
      <c r="C75" s="1036"/>
      <c r="D75" s="1037"/>
      <c r="E75" s="1037"/>
      <c r="F75" s="1037"/>
      <c r="G75" s="1037"/>
      <c r="H75" s="1037"/>
      <c r="I75" s="1035"/>
      <c r="J75" s="1603" t="s">
        <v>170</v>
      </c>
      <c r="K75" s="1603"/>
      <c r="L75" s="503"/>
      <c r="M75" s="526"/>
      <c r="N75" s="519"/>
      <c r="O75" s="530"/>
      <c r="P75" s="1037"/>
      <c r="Q75" s="1037"/>
      <c r="R75" s="1037"/>
      <c r="S75" s="354"/>
      <c r="T75" s="363"/>
      <c r="U75" s="366"/>
      <c r="V75" s="367"/>
      <c r="W75" s="1092"/>
      <c r="X75" s="1107"/>
      <c r="Y75" s="1123"/>
      <c r="Z75" s="363"/>
      <c r="AA75" s="366"/>
      <c r="AB75" s="367"/>
      <c r="AC75" s="1092"/>
      <c r="AD75" s="1107"/>
      <c r="AE75" s="1123"/>
      <c r="AF75" s="359"/>
      <c r="AG75" s="373"/>
      <c r="AH75" s="359"/>
      <c r="AI75" s="373"/>
      <c r="AJ75" s="359"/>
      <c r="AK75" s="440"/>
      <c r="AM75" s="460">
        <v>75</v>
      </c>
      <c r="AN75" s="1078"/>
      <c r="AP75" s="1081"/>
      <c r="AS75" s="1081"/>
      <c r="AZ75" s="1081"/>
      <c r="BA75" s="1081"/>
    </row>
    <row r="76" spans="1:54" ht="12" customHeight="1" x14ac:dyDescent="0.2">
      <c r="A76" s="440"/>
      <c r="B76" s="1042"/>
      <c r="C76" s="1036"/>
      <c r="D76" s="1037"/>
      <c r="E76" s="1084" t="str">
        <f t="shared" ref="E76:E81" ca="1" si="89">IF(AX76="E","",AN76)</f>
        <v>WDVS</v>
      </c>
      <c r="F76" s="1085"/>
      <c r="G76" s="1264"/>
      <c r="H76" s="1264"/>
      <c r="I76" s="1265"/>
      <c r="J76" s="638"/>
      <c r="K76" s="520" t="s">
        <v>177</v>
      </c>
      <c r="L76" s="521"/>
      <c r="M76" s="342"/>
      <c r="N76" s="521" t="s">
        <v>67</v>
      </c>
      <c r="O76" s="344"/>
      <c r="P76" s="504" t="s">
        <v>68</v>
      </c>
      <c r="Q76" s="344"/>
      <c r="R76" s="522" t="s">
        <v>363</v>
      </c>
      <c r="S76" s="353">
        <f t="shared" ref="S76:S81" ca="1" si="90">IF(AY76="E",(M76*O76)+Q76,AO76)</f>
        <v>91980</v>
      </c>
      <c r="T76" s="523"/>
      <c r="U76" s="350"/>
      <c r="V76" s="308"/>
      <c r="W76" s="1090" t="str">
        <f t="shared" ref="W76:W81" ca="1" si="91">IF(AZ76="E",IF(AND(V76&lt;&gt;0,U76&lt;&gt;0),"X",IF(AND(V76&lt;&gt;0,U76=0),"A",IF(AND(V76=0,U76&lt;&gt;0),"P",""))),AR76)</f>
        <v/>
      </c>
      <c r="X76" s="1103">
        <f t="shared" ref="X76:X81" ca="1" si="92">IF(AZ76="E",IFERROR(IF(W76="X",0,IF(U76&gt;0,U76,V76/S76)),0),
IFERROR(IF(OR(AR76="X",AR76=0),0,
IF(AR76="P",AP76,IF(AR76="A",AQ76/S76,0))),0))</f>
        <v>0</v>
      </c>
      <c r="Y76" s="1120">
        <f t="shared" ref="Y76:Y81" ca="1" si="93">IF(AZ76="E",IFERROR(IF(W76="X",0,IF(V76&gt;0,V76,S76*U76)),0),
IFERROR(IF(OR(AR76="X",AR76="0"),0,IF(AR76="A",AQ76,S76*AP76)),0))</f>
        <v>0</v>
      </c>
      <c r="Z76" s="524"/>
      <c r="AA76" s="350"/>
      <c r="AB76" s="308"/>
      <c r="AC76" s="1090" t="str">
        <f t="shared" ref="AC76:AC81" ca="1" si="94">IF(BA76="E",IF(AND(AB76&lt;&gt;0,AA76&lt;&gt;0),"X",IF(AND(AB76&lt;&gt;0,AA76=0),"A",IF(AND(AB76=0,AA76&lt;&gt;0),"P",""))),AU76)</f>
        <v/>
      </c>
      <c r="AD76" s="1103">
        <f t="shared" ref="AD76:AD81" ca="1" si="95">IF(BA76="E",IFERROR(IF(AC76="X",0,IF(AA76&gt;0,AA76,AB76/S76)),0),
IFERROR(IF(OR(AU76="X",AU76=0),0,
IF(AU76="P",AS76,IF(AU76="A",AT76/S76,0))),0))</f>
        <v>0</v>
      </c>
      <c r="AE76" s="1120">
        <f t="shared" ref="AE76:AE81" ca="1" si="96">IF(BA76="E",IFERROR(IF(AC76="X",0,IF(AB76&gt;0,AB76,S76*AA76)),0),
IFERROR(IF(OR(AU76="X",AU76=0),0,
IF(AU76="A",AT76,S76*AS76)),0))</f>
        <v>0</v>
      </c>
      <c r="AF76" s="525"/>
      <c r="AG76" s="637"/>
      <c r="AH76" s="525"/>
      <c r="AI76" s="1086">
        <f t="shared" ref="AI76:AI81" ca="1" si="97">IF(BB76="E",AG76,AV76)</f>
        <v>50</v>
      </c>
      <c r="AJ76" s="380"/>
      <c r="AK76" s="440"/>
      <c r="AM76" s="460">
        <v>76</v>
      </c>
      <c r="AN76" s="1087" t="str">
        <f t="shared" ref="AN76:AN81" ca="1" si="98">IF($M$13=$AN$12,"",IF(ISTEXT(INDIRECT("'"&amp;$AM$20&amp;"'!"&amp;AN$21&amp;$AM76)),INDIRECT("'"&amp;$AM$20&amp;"'!"&amp;AN$21&amp;$AM76),INDIRECT("'"&amp;$AM$20&amp;"'!"&amp;AN$22&amp;$AM76)))</f>
        <v>WDVS</v>
      </c>
      <c r="AO76" s="1083">
        <f t="shared" ref="AO76:AV81" ca="1" si="99">IF($M$13=$AN$12,"",INDIRECT("'"&amp;$AM$20&amp;"'!"&amp;AO$21&amp;$AM76))</f>
        <v>91980</v>
      </c>
      <c r="AP76" s="356">
        <f t="shared" ca="1" si="99"/>
        <v>0</v>
      </c>
      <c r="AQ76" s="357">
        <f t="shared" ca="1" si="99"/>
        <v>0</v>
      </c>
      <c r="AR76" s="524" t="str">
        <f t="shared" ca="1" si="99"/>
        <v/>
      </c>
      <c r="AS76" s="356">
        <f t="shared" ca="1" si="99"/>
        <v>0</v>
      </c>
      <c r="AT76" s="357">
        <f t="shared" ca="1" si="99"/>
        <v>0</v>
      </c>
      <c r="AU76" s="524" t="str">
        <f t="shared" ca="1" si="99"/>
        <v/>
      </c>
      <c r="AV76" s="1083">
        <f t="shared" ca="1" si="99"/>
        <v>50</v>
      </c>
      <c r="AX76" s="1083" t="str">
        <f t="shared" ref="AX76:AX81" si="100">IF($M$13=$AN$12,"E",IF(ISTEXT(F76),"E","U"))</f>
        <v>U</v>
      </c>
      <c r="AY76" s="1083" t="str">
        <f t="shared" ref="AY76:AY81" si="101">IF($M$13=$AN$12,"E",IF(OR(ISNUMBER(M76),ISNUMBER(O76),ISNUMBER(Q76)),"E","U"))</f>
        <v>U</v>
      </c>
      <c r="AZ76" s="1083" t="str">
        <f t="shared" ref="AZ76:AZ81" si="102">IF($M$13=$AN$12,"E",IF(OR(ISNUMBER(U76),ISNUMBER(V76)),"E","U"))</f>
        <v>U</v>
      </c>
      <c r="BA76" s="1083" t="str">
        <f t="shared" ref="BA76:BA81" si="103">IF($M$13=$AN$12,"E",IF(OR(ISNUMBER(AA76),ISNUMBER(AB76)),"E","U"))</f>
        <v>U</v>
      </c>
      <c r="BB76" s="1083" t="str">
        <f t="shared" ref="BB76:BB81" si="104">IF($M$13=$AN$12,"E",IF(ISNUMBER(AG76),"E","U"))</f>
        <v>U</v>
      </c>
    </row>
    <row r="77" spans="1:54" ht="12" customHeight="1" x14ac:dyDescent="0.2">
      <c r="A77" s="440"/>
      <c r="B77" s="1042"/>
      <c r="C77" s="1036"/>
      <c r="D77" s="1037"/>
      <c r="E77" s="1084" t="str">
        <f t="shared" ca="1" si="89"/>
        <v>Verputz LD80 - Innenputz</v>
      </c>
      <c r="F77" s="1085"/>
      <c r="G77" s="1264"/>
      <c r="H77" s="1264"/>
      <c r="I77" s="1265"/>
      <c r="J77" s="638"/>
      <c r="K77" s="520" t="s">
        <v>177</v>
      </c>
      <c r="L77" s="521"/>
      <c r="M77" s="342"/>
      <c r="N77" s="521" t="s">
        <v>67</v>
      </c>
      <c r="O77" s="344"/>
      <c r="P77" s="504" t="s">
        <v>68</v>
      </c>
      <c r="Q77" s="344"/>
      <c r="R77" s="522" t="s">
        <v>363</v>
      </c>
      <c r="S77" s="353">
        <f t="shared" ca="1" si="90"/>
        <v>14448</v>
      </c>
      <c r="T77" s="523"/>
      <c r="U77" s="350"/>
      <c r="V77" s="308"/>
      <c r="W77" s="1090" t="str">
        <f t="shared" ca="1" si="91"/>
        <v/>
      </c>
      <c r="X77" s="1103">
        <f t="shared" ca="1" si="92"/>
        <v>0</v>
      </c>
      <c r="Y77" s="1120">
        <f t="shared" ca="1" si="93"/>
        <v>0</v>
      </c>
      <c r="Z77" s="524"/>
      <c r="AA77" s="350"/>
      <c r="AB77" s="308"/>
      <c r="AC77" s="1090" t="str">
        <f t="shared" ca="1" si="94"/>
        <v/>
      </c>
      <c r="AD77" s="1103">
        <f t="shared" ca="1" si="95"/>
        <v>0</v>
      </c>
      <c r="AE77" s="1120">
        <f t="shared" ca="1" si="96"/>
        <v>0</v>
      </c>
      <c r="AF77" s="525"/>
      <c r="AG77" s="637"/>
      <c r="AH77" s="525"/>
      <c r="AI77" s="1086">
        <f t="shared" ca="1" si="97"/>
        <v>80</v>
      </c>
      <c r="AJ77" s="380"/>
      <c r="AK77" s="440"/>
      <c r="AM77" s="460">
        <v>77</v>
      </c>
      <c r="AN77" s="1087" t="str">
        <f t="shared" ca="1" si="98"/>
        <v>Verputz LD80 - Innenputz</v>
      </c>
      <c r="AO77" s="1083">
        <f t="shared" ca="1" si="99"/>
        <v>14448</v>
      </c>
      <c r="AP77" s="356">
        <f t="shared" ca="1" si="99"/>
        <v>0</v>
      </c>
      <c r="AQ77" s="357">
        <f t="shared" ca="1" si="99"/>
        <v>0</v>
      </c>
      <c r="AR77" s="524" t="str">
        <f t="shared" ca="1" si="99"/>
        <v/>
      </c>
      <c r="AS77" s="356">
        <f t="shared" ca="1" si="99"/>
        <v>0</v>
      </c>
      <c r="AT77" s="357">
        <f t="shared" ca="1" si="99"/>
        <v>0</v>
      </c>
      <c r="AU77" s="524" t="str">
        <f t="shared" ca="1" si="99"/>
        <v/>
      </c>
      <c r="AV77" s="1083">
        <f t="shared" ca="1" si="99"/>
        <v>80</v>
      </c>
      <c r="AX77" s="1083" t="str">
        <f t="shared" si="100"/>
        <v>U</v>
      </c>
      <c r="AY77" s="1083" t="str">
        <f t="shared" si="101"/>
        <v>U</v>
      </c>
      <c r="AZ77" s="1083" t="str">
        <f t="shared" si="102"/>
        <v>U</v>
      </c>
      <c r="BA77" s="1083" t="str">
        <f t="shared" si="103"/>
        <v>U</v>
      </c>
      <c r="BB77" s="1083" t="str">
        <f t="shared" si="104"/>
        <v>U</v>
      </c>
    </row>
    <row r="78" spans="1:54" ht="12" customHeight="1" x14ac:dyDescent="0.2">
      <c r="A78" s="440"/>
      <c r="B78" s="1042"/>
      <c r="C78" s="1036"/>
      <c r="D78" s="1037"/>
      <c r="E78" s="1084" t="str">
        <f t="shared" ca="1" si="89"/>
        <v>Verputz LD100 -Schlitzarbeiten innen</v>
      </c>
      <c r="F78" s="1085"/>
      <c r="G78" s="1264"/>
      <c r="H78" s="1264"/>
      <c r="I78" s="1265"/>
      <c r="J78" s="638"/>
      <c r="K78" s="520" t="s">
        <v>177</v>
      </c>
      <c r="L78" s="521"/>
      <c r="M78" s="342"/>
      <c r="N78" s="521" t="s">
        <v>67</v>
      </c>
      <c r="O78" s="344"/>
      <c r="P78" s="504" t="s">
        <v>68</v>
      </c>
      <c r="Q78" s="344"/>
      <c r="R78" s="522" t="s">
        <v>363</v>
      </c>
      <c r="S78" s="353">
        <f t="shared" ca="1" si="90"/>
        <v>3055.2</v>
      </c>
      <c r="T78" s="523"/>
      <c r="U78" s="350"/>
      <c r="V78" s="308"/>
      <c r="W78" s="1090" t="str">
        <f t="shared" ca="1" si="91"/>
        <v/>
      </c>
      <c r="X78" s="1103">
        <f t="shared" ca="1" si="92"/>
        <v>0</v>
      </c>
      <c r="Y78" s="1120">
        <f t="shared" ca="1" si="93"/>
        <v>0</v>
      </c>
      <c r="Z78" s="524"/>
      <c r="AA78" s="350"/>
      <c r="AB78" s="308"/>
      <c r="AC78" s="1090" t="str">
        <f t="shared" ca="1" si="94"/>
        <v/>
      </c>
      <c r="AD78" s="1103">
        <f t="shared" ca="1" si="95"/>
        <v>0</v>
      </c>
      <c r="AE78" s="1120">
        <f t="shared" ca="1" si="96"/>
        <v>0</v>
      </c>
      <c r="AF78" s="525"/>
      <c r="AG78" s="637"/>
      <c r="AH78" s="525"/>
      <c r="AI78" s="1086">
        <f t="shared" ca="1" si="97"/>
        <v>100</v>
      </c>
      <c r="AJ78" s="380"/>
      <c r="AK78" s="440"/>
      <c r="AM78" s="460">
        <v>78</v>
      </c>
      <c r="AN78" s="1087" t="str">
        <f t="shared" ca="1" si="98"/>
        <v>Verputz LD100 -Schlitzarbeiten innen</v>
      </c>
      <c r="AO78" s="1083">
        <f t="shared" ca="1" si="99"/>
        <v>3055.2</v>
      </c>
      <c r="AP78" s="356">
        <f t="shared" ca="1" si="99"/>
        <v>0</v>
      </c>
      <c r="AQ78" s="357">
        <f t="shared" ca="1" si="99"/>
        <v>0</v>
      </c>
      <c r="AR78" s="524" t="str">
        <f t="shared" ca="1" si="99"/>
        <v/>
      </c>
      <c r="AS78" s="356">
        <f t="shared" ca="1" si="99"/>
        <v>0</v>
      </c>
      <c r="AT78" s="357">
        <f t="shared" ca="1" si="99"/>
        <v>0</v>
      </c>
      <c r="AU78" s="524" t="str">
        <f t="shared" ca="1" si="99"/>
        <v/>
      </c>
      <c r="AV78" s="1083">
        <f t="shared" ca="1" si="99"/>
        <v>100</v>
      </c>
      <c r="AX78" s="1083" t="str">
        <f t="shared" si="100"/>
        <v>U</v>
      </c>
      <c r="AY78" s="1083" t="str">
        <f t="shared" si="101"/>
        <v>U</v>
      </c>
      <c r="AZ78" s="1083" t="str">
        <f t="shared" si="102"/>
        <v>U</v>
      </c>
      <c r="BA78" s="1083" t="str">
        <f t="shared" si="103"/>
        <v>U</v>
      </c>
      <c r="BB78" s="1083" t="str">
        <f t="shared" si="104"/>
        <v>U</v>
      </c>
    </row>
    <row r="79" spans="1:54" ht="12" customHeight="1" x14ac:dyDescent="0.2">
      <c r="A79" s="440"/>
      <c r="B79" s="1042"/>
      <c r="C79" s="1036"/>
      <c r="D79" s="1037"/>
      <c r="E79" s="1084">
        <f t="shared" ca="1" si="89"/>
        <v>0</v>
      </c>
      <c r="F79" s="1085"/>
      <c r="G79" s="1264"/>
      <c r="H79" s="1264"/>
      <c r="I79" s="1265"/>
      <c r="J79" s="638"/>
      <c r="K79" s="520" t="s">
        <v>177</v>
      </c>
      <c r="L79" s="521"/>
      <c r="M79" s="342"/>
      <c r="N79" s="521" t="s">
        <v>67</v>
      </c>
      <c r="O79" s="344"/>
      <c r="P79" s="504" t="s">
        <v>68</v>
      </c>
      <c r="Q79" s="344"/>
      <c r="R79" s="522" t="s">
        <v>363</v>
      </c>
      <c r="S79" s="353">
        <f t="shared" ca="1" si="90"/>
        <v>0</v>
      </c>
      <c r="T79" s="523"/>
      <c r="U79" s="350"/>
      <c r="V79" s="308"/>
      <c r="W79" s="1090" t="str">
        <f t="shared" ca="1" si="91"/>
        <v/>
      </c>
      <c r="X79" s="1103">
        <f t="shared" ca="1" si="92"/>
        <v>0</v>
      </c>
      <c r="Y79" s="1120">
        <f t="shared" ca="1" si="93"/>
        <v>0</v>
      </c>
      <c r="Z79" s="524"/>
      <c r="AA79" s="350"/>
      <c r="AB79" s="308"/>
      <c r="AC79" s="1090" t="str">
        <f t="shared" ca="1" si="94"/>
        <v/>
      </c>
      <c r="AD79" s="1103">
        <f t="shared" ca="1" si="95"/>
        <v>0</v>
      </c>
      <c r="AE79" s="1120">
        <f t="shared" ca="1" si="96"/>
        <v>0</v>
      </c>
      <c r="AF79" s="525"/>
      <c r="AG79" s="637"/>
      <c r="AH79" s="525"/>
      <c r="AI79" s="1086">
        <f t="shared" ca="1" si="97"/>
        <v>0</v>
      </c>
      <c r="AJ79" s="380"/>
      <c r="AK79" s="440"/>
      <c r="AM79" s="460">
        <v>79</v>
      </c>
      <c r="AN79" s="1087">
        <f t="shared" ca="1" si="98"/>
        <v>0</v>
      </c>
      <c r="AO79" s="1083">
        <f t="shared" ca="1" si="99"/>
        <v>0</v>
      </c>
      <c r="AP79" s="356">
        <f t="shared" ca="1" si="99"/>
        <v>0</v>
      </c>
      <c r="AQ79" s="357">
        <f t="shared" ca="1" si="99"/>
        <v>0</v>
      </c>
      <c r="AR79" s="524" t="str">
        <f t="shared" ca="1" si="99"/>
        <v/>
      </c>
      <c r="AS79" s="356">
        <f t="shared" ca="1" si="99"/>
        <v>0</v>
      </c>
      <c r="AT79" s="357">
        <f t="shared" ca="1" si="99"/>
        <v>0</v>
      </c>
      <c r="AU79" s="524" t="str">
        <f t="shared" ca="1" si="99"/>
        <v/>
      </c>
      <c r="AV79" s="1083">
        <f t="shared" ca="1" si="99"/>
        <v>0</v>
      </c>
      <c r="AX79" s="1083" t="str">
        <f t="shared" si="100"/>
        <v>U</v>
      </c>
      <c r="AY79" s="1083" t="str">
        <f t="shared" si="101"/>
        <v>U</v>
      </c>
      <c r="AZ79" s="1083" t="str">
        <f t="shared" si="102"/>
        <v>U</v>
      </c>
      <c r="BA79" s="1083" t="str">
        <f t="shared" si="103"/>
        <v>U</v>
      </c>
      <c r="BB79" s="1083" t="str">
        <f t="shared" si="104"/>
        <v>U</v>
      </c>
    </row>
    <row r="80" spans="1:54" ht="12" customHeight="1" x14ac:dyDescent="0.2">
      <c r="A80" s="440"/>
      <c r="B80" s="1042"/>
      <c r="C80" s="1036"/>
      <c r="D80" s="1037"/>
      <c r="E80" s="1084">
        <f t="shared" ca="1" si="89"/>
        <v>0</v>
      </c>
      <c r="F80" s="1085"/>
      <c r="G80" s="1264"/>
      <c r="H80" s="1264"/>
      <c r="I80" s="1265"/>
      <c r="J80" s="638"/>
      <c r="K80" s="520" t="s">
        <v>177</v>
      </c>
      <c r="L80" s="521"/>
      <c r="M80" s="342"/>
      <c r="N80" s="521" t="s">
        <v>67</v>
      </c>
      <c r="O80" s="344"/>
      <c r="P80" s="504" t="s">
        <v>68</v>
      </c>
      <c r="Q80" s="344"/>
      <c r="R80" s="522" t="s">
        <v>363</v>
      </c>
      <c r="S80" s="353">
        <f t="shared" ca="1" si="90"/>
        <v>0</v>
      </c>
      <c r="T80" s="523"/>
      <c r="U80" s="350"/>
      <c r="V80" s="308"/>
      <c r="W80" s="1090" t="str">
        <f t="shared" ca="1" si="91"/>
        <v/>
      </c>
      <c r="X80" s="1103">
        <f t="shared" ca="1" si="92"/>
        <v>0</v>
      </c>
      <c r="Y80" s="1120">
        <f t="shared" ca="1" si="93"/>
        <v>0</v>
      </c>
      <c r="Z80" s="524"/>
      <c r="AA80" s="350"/>
      <c r="AB80" s="308"/>
      <c r="AC80" s="1090" t="str">
        <f t="shared" ca="1" si="94"/>
        <v/>
      </c>
      <c r="AD80" s="1103">
        <f t="shared" ca="1" si="95"/>
        <v>0</v>
      </c>
      <c r="AE80" s="1120">
        <f t="shared" ca="1" si="96"/>
        <v>0</v>
      </c>
      <c r="AF80" s="525"/>
      <c r="AG80" s="637"/>
      <c r="AH80" s="525"/>
      <c r="AI80" s="1086">
        <f t="shared" ca="1" si="97"/>
        <v>0</v>
      </c>
      <c r="AJ80" s="380"/>
      <c r="AK80" s="440"/>
      <c r="AM80" s="460">
        <v>80</v>
      </c>
      <c r="AN80" s="1087">
        <f t="shared" ca="1" si="98"/>
        <v>0</v>
      </c>
      <c r="AO80" s="1083">
        <f t="shared" ca="1" si="99"/>
        <v>0</v>
      </c>
      <c r="AP80" s="356">
        <f t="shared" ca="1" si="99"/>
        <v>0</v>
      </c>
      <c r="AQ80" s="357">
        <f t="shared" ca="1" si="99"/>
        <v>0</v>
      </c>
      <c r="AR80" s="524" t="str">
        <f t="shared" ca="1" si="99"/>
        <v/>
      </c>
      <c r="AS80" s="356">
        <f t="shared" ca="1" si="99"/>
        <v>0</v>
      </c>
      <c r="AT80" s="357">
        <f t="shared" ca="1" si="99"/>
        <v>0</v>
      </c>
      <c r="AU80" s="524" t="str">
        <f t="shared" ca="1" si="99"/>
        <v/>
      </c>
      <c r="AV80" s="1083">
        <f t="shared" ca="1" si="99"/>
        <v>0</v>
      </c>
      <c r="AX80" s="1083" t="str">
        <f t="shared" si="100"/>
        <v>U</v>
      </c>
      <c r="AY80" s="1083" t="str">
        <f t="shared" si="101"/>
        <v>U</v>
      </c>
      <c r="AZ80" s="1083" t="str">
        <f t="shared" si="102"/>
        <v>U</v>
      </c>
      <c r="BA80" s="1083" t="str">
        <f t="shared" si="103"/>
        <v>U</v>
      </c>
      <c r="BB80" s="1083" t="str">
        <f t="shared" si="104"/>
        <v>U</v>
      </c>
    </row>
    <row r="81" spans="1:54" ht="12" customHeight="1" x14ac:dyDescent="0.2">
      <c r="A81" s="440"/>
      <c r="B81" s="1042"/>
      <c r="C81" s="1036"/>
      <c r="D81" s="1037"/>
      <c r="E81" s="1084">
        <f t="shared" ca="1" si="89"/>
        <v>0</v>
      </c>
      <c r="F81" s="1085"/>
      <c r="G81" s="1264"/>
      <c r="H81" s="1264"/>
      <c r="I81" s="1265"/>
      <c r="J81" s="638"/>
      <c r="K81" s="520" t="s">
        <v>177</v>
      </c>
      <c r="L81" s="521"/>
      <c r="M81" s="342"/>
      <c r="N81" s="521" t="s">
        <v>67</v>
      </c>
      <c r="O81" s="344"/>
      <c r="P81" s="504" t="s">
        <v>68</v>
      </c>
      <c r="Q81" s="344"/>
      <c r="R81" s="522" t="s">
        <v>363</v>
      </c>
      <c r="S81" s="353">
        <f t="shared" ca="1" si="90"/>
        <v>0</v>
      </c>
      <c r="T81" s="523"/>
      <c r="U81" s="350"/>
      <c r="V81" s="308"/>
      <c r="W81" s="1090" t="str">
        <f t="shared" ca="1" si="91"/>
        <v/>
      </c>
      <c r="X81" s="1103">
        <f t="shared" ca="1" si="92"/>
        <v>0</v>
      </c>
      <c r="Y81" s="1120">
        <f t="shared" ca="1" si="93"/>
        <v>0</v>
      </c>
      <c r="Z81" s="524"/>
      <c r="AA81" s="350"/>
      <c r="AB81" s="308"/>
      <c r="AC81" s="1090" t="str">
        <f t="shared" ca="1" si="94"/>
        <v/>
      </c>
      <c r="AD81" s="1103">
        <f t="shared" ca="1" si="95"/>
        <v>0</v>
      </c>
      <c r="AE81" s="1120">
        <f t="shared" ca="1" si="96"/>
        <v>0</v>
      </c>
      <c r="AF81" s="525"/>
      <c r="AG81" s="637"/>
      <c r="AH81" s="525"/>
      <c r="AI81" s="1086">
        <f t="shared" ca="1" si="97"/>
        <v>0</v>
      </c>
      <c r="AJ81" s="380"/>
      <c r="AK81" s="440"/>
      <c r="AM81" s="460">
        <v>81</v>
      </c>
      <c r="AN81" s="1087">
        <f t="shared" ca="1" si="98"/>
        <v>0</v>
      </c>
      <c r="AO81" s="1083">
        <f t="shared" ca="1" si="99"/>
        <v>0</v>
      </c>
      <c r="AP81" s="356">
        <f t="shared" ca="1" si="99"/>
        <v>0</v>
      </c>
      <c r="AQ81" s="357">
        <f t="shared" ca="1" si="99"/>
        <v>0</v>
      </c>
      <c r="AR81" s="524" t="str">
        <f t="shared" ca="1" si="99"/>
        <v/>
      </c>
      <c r="AS81" s="356">
        <f t="shared" ca="1" si="99"/>
        <v>0</v>
      </c>
      <c r="AT81" s="357">
        <f t="shared" ca="1" si="99"/>
        <v>0</v>
      </c>
      <c r="AU81" s="524" t="str">
        <f t="shared" ca="1" si="99"/>
        <v/>
      </c>
      <c r="AV81" s="1083">
        <f t="shared" ca="1" si="99"/>
        <v>0</v>
      </c>
      <c r="AX81" s="1083" t="str">
        <f t="shared" si="100"/>
        <v>U</v>
      </c>
      <c r="AY81" s="1083" t="str">
        <f t="shared" si="101"/>
        <v>U</v>
      </c>
      <c r="AZ81" s="1083" t="str">
        <f t="shared" si="102"/>
        <v>U</v>
      </c>
      <c r="BA81" s="1083" t="str">
        <f t="shared" si="103"/>
        <v>U</v>
      </c>
      <c r="BB81" s="1083" t="str">
        <f t="shared" si="104"/>
        <v>U</v>
      </c>
    </row>
    <row r="82" spans="1:54" ht="12" customHeight="1" x14ac:dyDescent="0.25">
      <c r="A82" s="440"/>
      <c r="B82" s="1042"/>
      <c r="C82" s="1036"/>
      <c r="D82" s="1037" t="s">
        <v>154</v>
      </c>
      <c r="E82" s="1599" t="s">
        <v>159</v>
      </c>
      <c r="F82" s="1599"/>
      <c r="G82" s="1599"/>
      <c r="H82" s="1599"/>
      <c r="I82" s="1597"/>
      <c r="J82" s="1038"/>
      <c r="K82" s="529"/>
      <c r="L82" s="503"/>
      <c r="M82" s="526"/>
      <c r="N82" s="519"/>
      <c r="O82" s="530"/>
      <c r="P82" s="1037"/>
      <c r="Q82" s="1037"/>
      <c r="R82" s="1037"/>
      <c r="S82" s="354">
        <f ca="1">SUBTOTAL(109,S84:S86)</f>
        <v>68098.655999999988</v>
      </c>
      <c r="T82" s="363"/>
      <c r="U82" s="360"/>
      <c r="V82" s="360"/>
      <c r="W82" s="1091"/>
      <c r="X82" s="1105"/>
      <c r="Y82" s="1105"/>
      <c r="Z82" s="360"/>
      <c r="AA82" s="360"/>
      <c r="AB82" s="360"/>
      <c r="AC82" s="1091"/>
      <c r="AD82" s="1105"/>
      <c r="AE82" s="1105"/>
      <c r="AF82" s="360"/>
      <c r="AG82" s="360"/>
      <c r="AH82" s="360"/>
      <c r="AI82" s="360"/>
      <c r="AJ82" s="358"/>
      <c r="AK82" s="440"/>
      <c r="AM82" s="460">
        <v>82</v>
      </c>
      <c r="AN82" s="1078"/>
      <c r="AP82" s="1081"/>
      <c r="AS82" s="1081"/>
      <c r="AZ82" s="1081"/>
      <c r="BA82" s="1081"/>
    </row>
    <row r="83" spans="1:54" ht="12" customHeight="1" x14ac:dyDescent="0.25">
      <c r="A83" s="440"/>
      <c r="B83" s="1042"/>
      <c r="C83" s="1036"/>
      <c r="D83" s="1037"/>
      <c r="E83" s="1037"/>
      <c r="F83" s="1037"/>
      <c r="G83" s="1037"/>
      <c r="H83" s="1037"/>
      <c r="I83" s="1035"/>
      <c r="J83" s="1603" t="s">
        <v>170</v>
      </c>
      <c r="K83" s="1603"/>
      <c r="L83" s="503"/>
      <c r="M83" s="526"/>
      <c r="N83" s="519"/>
      <c r="O83" s="530"/>
      <c r="P83" s="1037"/>
      <c r="Q83" s="1037"/>
      <c r="R83" s="1037"/>
      <c r="S83" s="354"/>
      <c r="T83" s="363"/>
      <c r="U83" s="360"/>
      <c r="V83" s="360"/>
      <c r="W83" s="1092"/>
      <c r="X83" s="1105"/>
      <c r="Y83" s="1105"/>
      <c r="Z83" s="360"/>
      <c r="AA83" s="360"/>
      <c r="AB83" s="360"/>
      <c r="AC83" s="1092"/>
      <c r="AD83" s="1105"/>
      <c r="AE83" s="1105"/>
      <c r="AF83" s="360"/>
      <c r="AG83" s="360"/>
      <c r="AH83" s="360"/>
      <c r="AI83" s="360"/>
      <c r="AJ83" s="359"/>
      <c r="AK83" s="440"/>
      <c r="AM83" s="460">
        <v>83</v>
      </c>
      <c r="AN83" s="1078"/>
    </row>
    <row r="84" spans="1:54" ht="12" customHeight="1" x14ac:dyDescent="0.2">
      <c r="A84" s="440"/>
      <c r="B84" s="1042"/>
      <c r="C84" s="1036"/>
      <c r="D84" s="1037"/>
      <c r="E84" s="1084" t="str">
        <f ca="1">IF(AX84="E","",AN84)</f>
        <v>Maler LD 15-Innenwand nass</v>
      </c>
      <c r="F84" s="1085"/>
      <c r="G84" s="1264"/>
      <c r="H84" s="1264"/>
      <c r="I84" s="1265"/>
      <c r="J84" s="638"/>
      <c r="K84" s="520" t="s">
        <v>177</v>
      </c>
      <c r="L84" s="521"/>
      <c r="M84" s="342"/>
      <c r="N84" s="521" t="s">
        <v>67</v>
      </c>
      <c r="O84" s="344"/>
      <c r="P84" s="504" t="s">
        <v>68</v>
      </c>
      <c r="Q84" s="344"/>
      <c r="R84" s="522" t="s">
        <v>363</v>
      </c>
      <c r="S84" s="353">
        <f t="shared" ref="S84:S86" ca="1" si="105">IF(AY84="E",(M84*O84)+Q84,AO84)</f>
        <v>15085.44</v>
      </c>
      <c r="T84" s="523"/>
      <c r="U84" s="350"/>
      <c r="V84" s="308"/>
      <c r="W84" s="1090" t="str">
        <f t="shared" ref="W84:W86" ca="1" si="106">IF(AZ84="E",IF(AND(V84&lt;&gt;0,U84&lt;&gt;0),"X",IF(AND(V84&lt;&gt;0,U84=0),"A",IF(AND(V84=0,U84&lt;&gt;0),"P",""))),AR84)</f>
        <v/>
      </c>
      <c r="X84" s="1103">
        <f t="shared" ref="X84:X86" ca="1" si="107">IF(AZ84="E",IFERROR(IF(W84="X",0,IF(U84&gt;0,U84,V84/S84)),0),
IFERROR(IF(OR(AR84="X",AR84=0),0,
IF(AR84="P",AP84,IF(AR84="A",AQ84/S84,0))),0))</f>
        <v>0</v>
      </c>
      <c r="Y84" s="1120">
        <f t="shared" ref="Y84:Y86" ca="1" si="108">IF(AZ84="E",IFERROR(IF(W84="X",0,IF(V84&gt;0,V84,S84*U84)),0),
IFERROR(IF(OR(AR84="X",AR84="0"),0,IF(AR84="A",AQ84,S84*AP84)),0))</f>
        <v>0</v>
      </c>
      <c r="Z84" s="524"/>
      <c r="AA84" s="350"/>
      <c r="AB84" s="308"/>
      <c r="AC84" s="1090" t="str">
        <f t="shared" ref="AC84:AC86" ca="1" si="109">IF(BA84="E",IF(AND(AB84&lt;&gt;0,AA84&lt;&gt;0),"X",IF(AND(AB84&lt;&gt;0,AA84=0),"A",IF(AND(AB84=0,AA84&lt;&gt;0),"P",""))),AU84)</f>
        <v/>
      </c>
      <c r="AD84" s="1103">
        <f t="shared" ref="AD84:AD86" ca="1" si="110">IF(BA84="E",IFERROR(IF(AC84="X",0,IF(AA84&gt;0,AA84,AB84/S84)),0),
IFERROR(IF(OR(AU84="X",AU84=0),0,
IF(AU84="P",AS84,IF(AU84="A",AT84/S84,0))),0))</f>
        <v>0</v>
      </c>
      <c r="AE84" s="1120">
        <f t="shared" ref="AE84:AE86" ca="1" si="111">IF(BA84="E",IFERROR(IF(AC84="X",0,IF(AB84&gt;0,AB84,S84*AA84)),0),
IFERROR(IF(OR(AU84="X",AU84=0),0,
IF(AU84="A",AT84,S84*AS84)),0))</f>
        <v>0</v>
      </c>
      <c r="AF84" s="525"/>
      <c r="AG84" s="637"/>
      <c r="AH84" s="525"/>
      <c r="AI84" s="1086">
        <f t="shared" ref="AI84:AI86" ca="1" si="112">IF(BB84="E",AG84,AV84)</f>
        <v>15</v>
      </c>
      <c r="AJ84" s="380"/>
      <c r="AK84" s="440"/>
      <c r="AM84" s="460">
        <v>84</v>
      </c>
      <c r="AN84" s="1087" t="str">
        <f t="shared" ref="AN84:AN86" ca="1" si="113">IF($M$13=$AN$12,"",IF(ISTEXT(INDIRECT("'"&amp;$AM$20&amp;"'!"&amp;AN$21&amp;$AM84)),INDIRECT("'"&amp;$AM$20&amp;"'!"&amp;AN$21&amp;$AM84),INDIRECT("'"&amp;$AM$20&amp;"'!"&amp;AN$22&amp;$AM84)))</f>
        <v>Maler LD 15-Innenwand nass</v>
      </c>
      <c r="AO84" s="1083">
        <f t="shared" ref="AO84:AV86" ca="1" si="114">IF($M$13=$AN$12,"",INDIRECT("'"&amp;$AM$20&amp;"'!"&amp;AO$21&amp;$AM84))</f>
        <v>15085.44</v>
      </c>
      <c r="AP84" s="356">
        <f t="shared" ca="1" si="114"/>
        <v>0</v>
      </c>
      <c r="AQ84" s="357">
        <f t="shared" ca="1" si="114"/>
        <v>0</v>
      </c>
      <c r="AR84" s="524" t="str">
        <f t="shared" ca="1" si="114"/>
        <v/>
      </c>
      <c r="AS84" s="356">
        <f t="shared" ca="1" si="114"/>
        <v>0</v>
      </c>
      <c r="AT84" s="357">
        <f t="shared" ca="1" si="114"/>
        <v>0</v>
      </c>
      <c r="AU84" s="524" t="str">
        <f t="shared" ca="1" si="114"/>
        <v/>
      </c>
      <c r="AV84" s="1083">
        <f t="shared" ca="1" si="114"/>
        <v>15</v>
      </c>
      <c r="AX84" s="1083" t="str">
        <f t="shared" ref="AX84:AX86" si="115">IF($M$13=$AN$12,"E",IF(ISTEXT(F84),"E","U"))</f>
        <v>U</v>
      </c>
      <c r="AY84" s="1083" t="str">
        <f t="shared" ref="AY84:AY86" si="116">IF($M$13=$AN$12,"E",IF(OR(ISNUMBER(M84),ISNUMBER(O84),ISNUMBER(Q84)),"E","U"))</f>
        <v>U</v>
      </c>
      <c r="AZ84" s="1083" t="str">
        <f t="shared" ref="AZ84:AZ86" si="117">IF($M$13=$AN$12,"E",IF(OR(ISNUMBER(U84),ISNUMBER(V84)),"E","U"))</f>
        <v>U</v>
      </c>
      <c r="BA84" s="1083" t="str">
        <f t="shared" ref="BA84:BA86" si="118">IF($M$13=$AN$12,"E",IF(OR(ISNUMBER(AA84),ISNUMBER(AB84)),"E","U"))</f>
        <v>U</v>
      </c>
      <c r="BB84" s="1083" t="str">
        <f t="shared" ref="BB84:BB86" si="119">IF($M$13=$AN$12,"E",IF(ISNUMBER(AG84),"E","U"))</f>
        <v>U</v>
      </c>
    </row>
    <row r="85" spans="1:54" ht="12" customHeight="1" x14ac:dyDescent="0.2">
      <c r="A85" s="440"/>
      <c r="B85" s="1042"/>
      <c r="C85" s="1036"/>
      <c r="D85" s="1037"/>
      <c r="E85" s="1084" t="str">
        <f ca="1">IF(AX85="E","",AN85)</f>
        <v>Maler LD 25 - Innenwand standard Dispersion</v>
      </c>
      <c r="F85" s="1085"/>
      <c r="G85" s="1264"/>
      <c r="H85" s="1264"/>
      <c r="I85" s="1265"/>
      <c r="J85" s="638"/>
      <c r="K85" s="520" t="s">
        <v>177</v>
      </c>
      <c r="L85" s="521"/>
      <c r="M85" s="342"/>
      <c r="N85" s="521" t="s">
        <v>67</v>
      </c>
      <c r="O85" s="344"/>
      <c r="P85" s="504" t="s">
        <v>68</v>
      </c>
      <c r="Q85" s="344"/>
      <c r="R85" s="522" t="s">
        <v>363</v>
      </c>
      <c r="S85" s="353">
        <f t="shared" ca="1" si="105"/>
        <v>2734.2</v>
      </c>
      <c r="T85" s="523"/>
      <c r="U85" s="350"/>
      <c r="V85" s="308"/>
      <c r="W85" s="1090" t="str">
        <f t="shared" ca="1" si="106"/>
        <v/>
      </c>
      <c r="X85" s="1103">
        <f t="shared" ca="1" si="107"/>
        <v>0</v>
      </c>
      <c r="Y85" s="1120">
        <f t="shared" ca="1" si="108"/>
        <v>0</v>
      </c>
      <c r="Z85" s="524"/>
      <c r="AA85" s="350"/>
      <c r="AB85" s="308"/>
      <c r="AC85" s="1090" t="str">
        <f t="shared" ca="1" si="109"/>
        <v/>
      </c>
      <c r="AD85" s="1103">
        <f t="shared" ca="1" si="110"/>
        <v>0</v>
      </c>
      <c r="AE85" s="1120">
        <f t="shared" ca="1" si="111"/>
        <v>0</v>
      </c>
      <c r="AF85" s="525"/>
      <c r="AG85" s="637"/>
      <c r="AH85" s="525"/>
      <c r="AI85" s="1086">
        <f t="shared" ca="1" si="112"/>
        <v>25</v>
      </c>
      <c r="AJ85" s="380"/>
      <c r="AK85" s="440"/>
      <c r="AM85" s="460">
        <v>85</v>
      </c>
      <c r="AN85" s="1087" t="str">
        <f t="shared" ca="1" si="113"/>
        <v>Maler LD 25 - Innenwand standard Dispersion</v>
      </c>
      <c r="AO85" s="1083">
        <f t="shared" ca="1" si="114"/>
        <v>2734.2</v>
      </c>
      <c r="AP85" s="356">
        <f t="shared" ca="1" si="114"/>
        <v>0</v>
      </c>
      <c r="AQ85" s="357">
        <f t="shared" ca="1" si="114"/>
        <v>0</v>
      </c>
      <c r="AR85" s="524" t="str">
        <f t="shared" ca="1" si="114"/>
        <v/>
      </c>
      <c r="AS85" s="356">
        <f t="shared" ca="1" si="114"/>
        <v>0</v>
      </c>
      <c r="AT85" s="357">
        <f t="shared" ca="1" si="114"/>
        <v>0</v>
      </c>
      <c r="AU85" s="524" t="str">
        <f t="shared" ca="1" si="114"/>
        <v/>
      </c>
      <c r="AV85" s="1083">
        <f t="shared" ca="1" si="114"/>
        <v>25</v>
      </c>
      <c r="AX85" s="1083" t="str">
        <f t="shared" si="115"/>
        <v>U</v>
      </c>
      <c r="AY85" s="1083" t="str">
        <f t="shared" si="116"/>
        <v>U</v>
      </c>
      <c r="AZ85" s="1083" t="str">
        <f t="shared" si="117"/>
        <v>U</v>
      </c>
      <c r="BA85" s="1083" t="str">
        <f t="shared" si="118"/>
        <v>U</v>
      </c>
      <c r="BB85" s="1083" t="str">
        <f t="shared" si="119"/>
        <v>U</v>
      </c>
    </row>
    <row r="86" spans="1:54" ht="12" customHeight="1" x14ac:dyDescent="0.2">
      <c r="A86" s="440"/>
      <c r="B86" s="1042"/>
      <c r="C86" s="1036"/>
      <c r="D86" s="1037"/>
      <c r="E86" s="1084" t="str">
        <f ca="1">IF(AX86="E","",AN86)</f>
        <v>Maler LD 65- Anstriche, Beschichtungen</v>
      </c>
      <c r="F86" s="1085"/>
      <c r="G86" s="1264"/>
      <c r="H86" s="1264"/>
      <c r="I86" s="1265"/>
      <c r="J86" s="638"/>
      <c r="K86" s="520" t="s">
        <v>177</v>
      </c>
      <c r="L86" s="521"/>
      <c r="M86" s="342"/>
      <c r="N86" s="521" t="s">
        <v>67</v>
      </c>
      <c r="O86" s="344"/>
      <c r="P86" s="504" t="s">
        <v>68</v>
      </c>
      <c r="Q86" s="344"/>
      <c r="R86" s="522" t="s">
        <v>363</v>
      </c>
      <c r="S86" s="353">
        <f t="shared" ca="1" si="105"/>
        <v>50279.015999999996</v>
      </c>
      <c r="T86" s="523"/>
      <c r="U86" s="350"/>
      <c r="V86" s="308"/>
      <c r="W86" s="1090" t="str">
        <f t="shared" ca="1" si="106"/>
        <v/>
      </c>
      <c r="X86" s="1103">
        <f t="shared" ca="1" si="107"/>
        <v>0</v>
      </c>
      <c r="Y86" s="1120">
        <f t="shared" ca="1" si="108"/>
        <v>0</v>
      </c>
      <c r="Z86" s="524"/>
      <c r="AA86" s="350"/>
      <c r="AB86" s="308"/>
      <c r="AC86" s="1090" t="str">
        <f t="shared" ca="1" si="109"/>
        <v/>
      </c>
      <c r="AD86" s="1103">
        <f t="shared" ca="1" si="110"/>
        <v>0</v>
      </c>
      <c r="AE86" s="1120">
        <f t="shared" ca="1" si="111"/>
        <v>0</v>
      </c>
      <c r="AF86" s="525"/>
      <c r="AG86" s="637"/>
      <c r="AH86" s="525"/>
      <c r="AI86" s="1086">
        <f t="shared" ca="1" si="112"/>
        <v>65</v>
      </c>
      <c r="AJ86" s="380"/>
      <c r="AK86" s="440"/>
      <c r="AM86" s="460">
        <v>86</v>
      </c>
      <c r="AN86" s="1087" t="str">
        <f t="shared" ca="1" si="113"/>
        <v>Maler LD 65- Anstriche, Beschichtungen</v>
      </c>
      <c r="AO86" s="1083">
        <f t="shared" ca="1" si="114"/>
        <v>50279.015999999996</v>
      </c>
      <c r="AP86" s="356">
        <f t="shared" ca="1" si="114"/>
        <v>0</v>
      </c>
      <c r="AQ86" s="357">
        <f t="shared" ca="1" si="114"/>
        <v>0</v>
      </c>
      <c r="AR86" s="524" t="str">
        <f t="shared" ca="1" si="114"/>
        <v/>
      </c>
      <c r="AS86" s="356">
        <f t="shared" ca="1" si="114"/>
        <v>0</v>
      </c>
      <c r="AT86" s="357">
        <f t="shared" ca="1" si="114"/>
        <v>0</v>
      </c>
      <c r="AU86" s="524" t="str">
        <f t="shared" ca="1" si="114"/>
        <v/>
      </c>
      <c r="AV86" s="1083">
        <f t="shared" ca="1" si="114"/>
        <v>65</v>
      </c>
      <c r="AX86" s="1083" t="str">
        <f t="shared" si="115"/>
        <v>U</v>
      </c>
      <c r="AY86" s="1083" t="str">
        <f t="shared" si="116"/>
        <v>U</v>
      </c>
      <c r="AZ86" s="1083" t="str">
        <f t="shared" si="117"/>
        <v>U</v>
      </c>
      <c r="BA86" s="1083" t="str">
        <f t="shared" si="118"/>
        <v>U</v>
      </c>
      <c r="BB86" s="1083" t="str">
        <f t="shared" si="119"/>
        <v>U</v>
      </c>
    </row>
    <row r="87" spans="1:54" ht="12" customHeight="1" x14ac:dyDescent="0.25">
      <c r="A87" s="440"/>
      <c r="B87" s="1042"/>
      <c r="C87" s="1036"/>
      <c r="D87" s="1037" t="s">
        <v>155</v>
      </c>
      <c r="E87" s="1599" t="s">
        <v>160</v>
      </c>
      <c r="F87" s="1599"/>
      <c r="G87" s="1599"/>
      <c r="H87" s="1599"/>
      <c r="I87" s="1597"/>
      <c r="J87" s="1038"/>
      <c r="K87" s="529"/>
      <c r="L87" s="503"/>
      <c r="M87" s="526"/>
      <c r="N87" s="519"/>
      <c r="O87" s="527"/>
      <c r="P87" s="1037"/>
      <c r="Q87" s="1037"/>
      <c r="R87" s="1037"/>
      <c r="S87" s="354">
        <f ca="1">SUBTOTAL(109,S89:S91)</f>
        <v>0</v>
      </c>
      <c r="T87" s="363"/>
      <c r="U87" s="360"/>
      <c r="V87" s="360"/>
      <c r="W87" s="1091"/>
      <c r="X87" s="1105"/>
      <c r="Y87" s="1105"/>
      <c r="Z87" s="360"/>
      <c r="AA87" s="360"/>
      <c r="AB87" s="360"/>
      <c r="AC87" s="1091"/>
      <c r="AD87" s="1105"/>
      <c r="AE87" s="1105"/>
      <c r="AF87" s="360"/>
      <c r="AG87" s="360"/>
      <c r="AH87" s="360"/>
      <c r="AI87" s="360"/>
      <c r="AJ87" s="358"/>
      <c r="AK87" s="440"/>
      <c r="AM87" s="460">
        <v>87</v>
      </c>
      <c r="AN87" s="1078"/>
    </row>
    <row r="88" spans="1:54" ht="12" customHeight="1" x14ac:dyDescent="0.25">
      <c r="A88" s="440"/>
      <c r="B88" s="1042"/>
      <c r="C88" s="1036"/>
      <c r="D88" s="1037"/>
      <c r="E88" s="1037"/>
      <c r="F88" s="1037"/>
      <c r="G88" s="1037"/>
      <c r="H88" s="1037"/>
      <c r="I88" s="1035"/>
      <c r="J88" s="1603" t="s">
        <v>170</v>
      </c>
      <c r="K88" s="1603"/>
      <c r="L88" s="503"/>
      <c r="M88" s="526"/>
      <c r="N88" s="519"/>
      <c r="O88" s="527"/>
      <c r="P88" s="1037"/>
      <c r="Q88" s="1037"/>
      <c r="R88" s="1037"/>
      <c r="S88" s="354"/>
      <c r="T88" s="363"/>
      <c r="U88" s="360"/>
      <c r="V88" s="360"/>
      <c r="W88" s="1092"/>
      <c r="X88" s="1105"/>
      <c r="Y88" s="1105"/>
      <c r="Z88" s="360"/>
      <c r="AA88" s="360"/>
      <c r="AB88" s="360"/>
      <c r="AC88" s="1092"/>
      <c r="AD88" s="1105"/>
      <c r="AE88" s="1105"/>
      <c r="AF88" s="360"/>
      <c r="AG88" s="360"/>
      <c r="AH88" s="360"/>
      <c r="AI88" s="360"/>
      <c r="AJ88" s="359"/>
      <c r="AK88" s="440"/>
      <c r="AM88" s="460">
        <v>88</v>
      </c>
      <c r="AN88" s="1078"/>
    </row>
    <row r="89" spans="1:54" ht="12" customHeight="1" x14ac:dyDescent="0.2">
      <c r="A89" s="440"/>
      <c r="B89" s="1042"/>
      <c r="C89" s="1036"/>
      <c r="D89" s="1037"/>
      <c r="E89" s="1084">
        <f ca="1">IF(AX89="E","",AN89)</f>
        <v>0</v>
      </c>
      <c r="F89" s="1085"/>
      <c r="G89" s="1264"/>
      <c r="H89" s="1264"/>
      <c r="I89" s="1265"/>
      <c r="J89" s="638"/>
      <c r="K89" s="520" t="s">
        <v>177</v>
      </c>
      <c r="L89" s="521"/>
      <c r="M89" s="342"/>
      <c r="N89" s="521" t="s">
        <v>67</v>
      </c>
      <c r="O89" s="344"/>
      <c r="P89" s="504" t="s">
        <v>68</v>
      </c>
      <c r="Q89" s="344"/>
      <c r="R89" s="522" t="s">
        <v>363</v>
      </c>
      <c r="S89" s="353">
        <f t="shared" ref="S89:S91" ca="1" si="120">IF(AY89="E",(M89*O89)+Q89,AO89)</f>
        <v>0</v>
      </c>
      <c r="T89" s="523"/>
      <c r="U89" s="350"/>
      <c r="V89" s="308"/>
      <c r="W89" s="1090" t="str">
        <f t="shared" ref="W89:W91" ca="1" si="121">IF(AZ89="E",IF(AND(V89&lt;&gt;0,U89&lt;&gt;0),"X",IF(AND(V89&lt;&gt;0,U89=0),"A",IF(AND(V89=0,U89&lt;&gt;0),"P",""))),AR89)</f>
        <v/>
      </c>
      <c r="X89" s="1103">
        <f t="shared" ref="X89:X91" ca="1" si="122">IF(AZ89="E",IFERROR(IF(W89="X",0,IF(U89&gt;0,U89,V89/S89)),0),
IFERROR(IF(OR(AR89="X",AR89=0),0,
IF(AR89="P",AP89,IF(AR89="A",AQ89/S89,0))),0))</f>
        <v>0</v>
      </c>
      <c r="Y89" s="1120">
        <f t="shared" ref="Y89:Y91" ca="1" si="123">IF(AZ89="E",IFERROR(IF(W89="X",0,IF(V89&gt;0,V89,S89*U89)),0),
IFERROR(IF(OR(AR89="X",AR89="0"),0,IF(AR89="A",AQ89,S89*AP89)),0))</f>
        <v>0</v>
      </c>
      <c r="Z89" s="524"/>
      <c r="AA89" s="350"/>
      <c r="AB89" s="308"/>
      <c r="AC89" s="1090" t="str">
        <f t="shared" ref="AC89:AC91" ca="1" si="124">IF(BA89="E",IF(AND(AB89&lt;&gt;0,AA89&lt;&gt;0),"X",IF(AND(AB89&lt;&gt;0,AA89=0),"A",IF(AND(AB89=0,AA89&lt;&gt;0),"P",""))),AU89)</f>
        <v/>
      </c>
      <c r="AD89" s="1103">
        <f t="shared" ref="AD89:AD91" ca="1" si="125">IF(BA89="E",IFERROR(IF(AC89="X",0,IF(AA89&gt;0,AA89,AB89/S89)),0),
IFERROR(IF(OR(AU89="X",AU89=0),0,
IF(AU89="P",AS89,IF(AU89="A",AT89/S89,0))),0))</f>
        <v>0</v>
      </c>
      <c r="AE89" s="1120">
        <f t="shared" ref="AE89:AE91" ca="1" si="126">IF(BA89="E",IFERROR(IF(AC89="X",0,IF(AB89&gt;0,AB89,S89*AA89)),0),
IFERROR(IF(OR(AU89="X",AU89=0),0,
IF(AU89="A",AT89,S89*AS89)),0))</f>
        <v>0</v>
      </c>
      <c r="AF89" s="525"/>
      <c r="AG89" s="637"/>
      <c r="AH89" s="525"/>
      <c r="AI89" s="1086">
        <f t="shared" ref="AI89:AI91" ca="1" si="127">IF(BB89="E",AG89,AV89)</f>
        <v>0</v>
      </c>
      <c r="AJ89" s="380"/>
      <c r="AK89" s="440"/>
      <c r="AM89" s="460">
        <v>89</v>
      </c>
      <c r="AN89" s="1087">
        <f t="shared" ref="AN89:AN91" ca="1" si="128">IF($M$13=$AN$12,"",IF(ISTEXT(INDIRECT("'"&amp;$AM$20&amp;"'!"&amp;AN$21&amp;$AM89)),INDIRECT("'"&amp;$AM$20&amp;"'!"&amp;AN$21&amp;$AM89),INDIRECT("'"&amp;$AM$20&amp;"'!"&amp;AN$22&amp;$AM89)))</f>
        <v>0</v>
      </c>
      <c r="AO89" s="1083">
        <f t="shared" ref="AO89:AV91" ca="1" si="129">IF($M$13=$AN$12,"",INDIRECT("'"&amp;$AM$20&amp;"'!"&amp;AO$21&amp;$AM89))</f>
        <v>0</v>
      </c>
      <c r="AP89" s="356">
        <f t="shared" ca="1" si="129"/>
        <v>0</v>
      </c>
      <c r="AQ89" s="357">
        <f t="shared" ca="1" si="129"/>
        <v>0</v>
      </c>
      <c r="AR89" s="524" t="str">
        <f t="shared" ca="1" si="129"/>
        <v/>
      </c>
      <c r="AS89" s="356">
        <f t="shared" ca="1" si="129"/>
        <v>0</v>
      </c>
      <c r="AT89" s="357">
        <f t="shared" ca="1" si="129"/>
        <v>0</v>
      </c>
      <c r="AU89" s="524" t="str">
        <f t="shared" ca="1" si="129"/>
        <v/>
      </c>
      <c r="AV89" s="1083">
        <f t="shared" ca="1" si="129"/>
        <v>0</v>
      </c>
      <c r="AX89" s="1083" t="str">
        <f t="shared" ref="AX89:AX91" si="130">IF($M$13=$AN$12,"E",IF(ISTEXT(F89),"E","U"))</f>
        <v>U</v>
      </c>
      <c r="AY89" s="1083" t="str">
        <f t="shared" ref="AY89:AY91" si="131">IF($M$13=$AN$12,"E",IF(OR(ISNUMBER(M89),ISNUMBER(O89),ISNUMBER(Q89)),"E","U"))</f>
        <v>U</v>
      </c>
      <c r="AZ89" s="1083" t="str">
        <f t="shared" ref="AZ89:AZ91" si="132">IF($M$13=$AN$12,"E",IF(OR(ISNUMBER(U89),ISNUMBER(V89)),"E","U"))</f>
        <v>U</v>
      </c>
      <c r="BA89" s="1083" t="str">
        <f t="shared" ref="BA89:BA91" si="133">IF($M$13=$AN$12,"E",IF(OR(ISNUMBER(AA89),ISNUMBER(AB89)),"E","U"))</f>
        <v>U</v>
      </c>
      <c r="BB89" s="1083" t="str">
        <f t="shared" ref="BB89:BB91" si="134">IF($M$13=$AN$12,"E",IF(ISNUMBER(AG89),"E","U"))</f>
        <v>U</v>
      </c>
    </row>
    <row r="90" spans="1:54" ht="12" customHeight="1" x14ac:dyDescent="0.2">
      <c r="A90" s="440"/>
      <c r="B90" s="1042"/>
      <c r="C90" s="1036"/>
      <c r="D90" s="1037"/>
      <c r="E90" s="1084">
        <f ca="1">IF(AX90="E","",AN90)</f>
        <v>0</v>
      </c>
      <c r="F90" s="1085"/>
      <c r="G90" s="1264"/>
      <c r="H90" s="1264"/>
      <c r="I90" s="1265"/>
      <c r="J90" s="638"/>
      <c r="K90" s="520" t="s">
        <v>177</v>
      </c>
      <c r="L90" s="521"/>
      <c r="M90" s="342"/>
      <c r="N90" s="521" t="s">
        <v>67</v>
      </c>
      <c r="O90" s="344"/>
      <c r="P90" s="504" t="s">
        <v>68</v>
      </c>
      <c r="Q90" s="344"/>
      <c r="R90" s="522" t="s">
        <v>363</v>
      </c>
      <c r="S90" s="353">
        <f t="shared" ca="1" si="120"/>
        <v>0</v>
      </c>
      <c r="T90" s="523"/>
      <c r="U90" s="350"/>
      <c r="V90" s="308"/>
      <c r="W90" s="1090" t="str">
        <f t="shared" ca="1" si="121"/>
        <v/>
      </c>
      <c r="X90" s="1103">
        <f t="shared" ca="1" si="122"/>
        <v>0</v>
      </c>
      <c r="Y90" s="1120">
        <f t="shared" ca="1" si="123"/>
        <v>0</v>
      </c>
      <c r="Z90" s="524"/>
      <c r="AA90" s="350"/>
      <c r="AB90" s="308"/>
      <c r="AC90" s="1090" t="str">
        <f t="shared" ca="1" si="124"/>
        <v/>
      </c>
      <c r="AD90" s="1103">
        <f t="shared" ca="1" si="125"/>
        <v>0</v>
      </c>
      <c r="AE90" s="1120">
        <f t="shared" ca="1" si="126"/>
        <v>0</v>
      </c>
      <c r="AF90" s="525"/>
      <c r="AG90" s="637"/>
      <c r="AH90" s="525"/>
      <c r="AI90" s="1086">
        <f t="shared" ca="1" si="127"/>
        <v>0</v>
      </c>
      <c r="AJ90" s="380"/>
      <c r="AK90" s="440"/>
      <c r="AM90" s="460">
        <v>90</v>
      </c>
      <c r="AN90" s="1087">
        <f t="shared" ca="1" si="128"/>
        <v>0</v>
      </c>
      <c r="AO90" s="1083">
        <f t="shared" ca="1" si="129"/>
        <v>0</v>
      </c>
      <c r="AP90" s="356">
        <f t="shared" ca="1" si="129"/>
        <v>0</v>
      </c>
      <c r="AQ90" s="357">
        <f t="shared" ca="1" si="129"/>
        <v>0</v>
      </c>
      <c r="AR90" s="524" t="str">
        <f t="shared" ca="1" si="129"/>
        <v/>
      </c>
      <c r="AS90" s="356">
        <f t="shared" ca="1" si="129"/>
        <v>0</v>
      </c>
      <c r="AT90" s="357">
        <f t="shared" ca="1" si="129"/>
        <v>0</v>
      </c>
      <c r="AU90" s="524" t="str">
        <f t="shared" ca="1" si="129"/>
        <v/>
      </c>
      <c r="AV90" s="1083">
        <f t="shared" ca="1" si="129"/>
        <v>0</v>
      </c>
      <c r="AX90" s="1083" t="str">
        <f t="shared" si="130"/>
        <v>U</v>
      </c>
      <c r="AY90" s="1083" t="str">
        <f t="shared" si="131"/>
        <v>U</v>
      </c>
      <c r="AZ90" s="1083" t="str">
        <f t="shared" si="132"/>
        <v>U</v>
      </c>
      <c r="BA90" s="1083" t="str">
        <f t="shared" si="133"/>
        <v>U</v>
      </c>
      <c r="BB90" s="1083" t="str">
        <f t="shared" si="134"/>
        <v>U</v>
      </c>
    </row>
    <row r="91" spans="1:54" ht="12" customHeight="1" x14ac:dyDescent="0.2">
      <c r="A91" s="440"/>
      <c r="B91" s="1042"/>
      <c r="C91" s="1036"/>
      <c r="D91" s="1037"/>
      <c r="E91" s="1084">
        <f ca="1">IF(AX91="E","",AN91)</f>
        <v>0</v>
      </c>
      <c r="F91" s="1085"/>
      <c r="G91" s="1264"/>
      <c r="H91" s="1264"/>
      <c r="I91" s="1265"/>
      <c r="J91" s="638"/>
      <c r="K91" s="520" t="s">
        <v>177</v>
      </c>
      <c r="L91" s="521"/>
      <c r="M91" s="342"/>
      <c r="N91" s="521" t="s">
        <v>67</v>
      </c>
      <c r="O91" s="344"/>
      <c r="P91" s="504" t="s">
        <v>68</v>
      </c>
      <c r="Q91" s="344"/>
      <c r="R91" s="522" t="s">
        <v>363</v>
      </c>
      <c r="S91" s="353">
        <f t="shared" ca="1" si="120"/>
        <v>0</v>
      </c>
      <c r="T91" s="523"/>
      <c r="U91" s="350"/>
      <c r="V91" s="308"/>
      <c r="W91" s="1090" t="str">
        <f t="shared" ca="1" si="121"/>
        <v/>
      </c>
      <c r="X91" s="1103">
        <f t="shared" ca="1" si="122"/>
        <v>0</v>
      </c>
      <c r="Y91" s="1120">
        <f t="shared" ca="1" si="123"/>
        <v>0</v>
      </c>
      <c r="Z91" s="524"/>
      <c r="AA91" s="350"/>
      <c r="AB91" s="308"/>
      <c r="AC91" s="1090" t="str">
        <f t="shared" ca="1" si="124"/>
        <v/>
      </c>
      <c r="AD91" s="1103">
        <f t="shared" ca="1" si="125"/>
        <v>0</v>
      </c>
      <c r="AE91" s="1120">
        <f t="shared" ca="1" si="126"/>
        <v>0</v>
      </c>
      <c r="AF91" s="525"/>
      <c r="AG91" s="637"/>
      <c r="AH91" s="525"/>
      <c r="AI91" s="1086">
        <f t="shared" ca="1" si="127"/>
        <v>0</v>
      </c>
      <c r="AJ91" s="380"/>
      <c r="AK91" s="440"/>
      <c r="AM91" s="460">
        <v>91</v>
      </c>
      <c r="AN91" s="1087">
        <f t="shared" ca="1" si="128"/>
        <v>0</v>
      </c>
      <c r="AO91" s="1083">
        <f t="shared" ca="1" si="129"/>
        <v>0</v>
      </c>
      <c r="AP91" s="356">
        <f t="shared" ca="1" si="129"/>
        <v>0</v>
      </c>
      <c r="AQ91" s="357">
        <f t="shared" ca="1" si="129"/>
        <v>0</v>
      </c>
      <c r="AR91" s="524" t="str">
        <f t="shared" ca="1" si="129"/>
        <v/>
      </c>
      <c r="AS91" s="356">
        <f t="shared" ca="1" si="129"/>
        <v>0</v>
      </c>
      <c r="AT91" s="357">
        <f t="shared" ca="1" si="129"/>
        <v>0</v>
      </c>
      <c r="AU91" s="524" t="str">
        <f t="shared" ca="1" si="129"/>
        <v/>
      </c>
      <c r="AV91" s="1083">
        <f t="shared" ca="1" si="129"/>
        <v>0</v>
      </c>
      <c r="AX91" s="1083" t="str">
        <f t="shared" si="130"/>
        <v>U</v>
      </c>
      <c r="AY91" s="1083" t="str">
        <f t="shared" si="131"/>
        <v>U</v>
      </c>
      <c r="AZ91" s="1083" t="str">
        <f t="shared" si="132"/>
        <v>U</v>
      </c>
      <c r="BA91" s="1083" t="str">
        <f t="shared" si="133"/>
        <v>U</v>
      </c>
      <c r="BB91" s="1083" t="str">
        <f t="shared" si="134"/>
        <v>U</v>
      </c>
    </row>
    <row r="92" spans="1:54" ht="14.25" customHeight="1" collapsed="1" x14ac:dyDescent="0.2">
      <c r="A92" s="440"/>
      <c r="B92" s="1042"/>
      <c r="C92" s="1036" t="s">
        <v>156</v>
      </c>
      <c r="D92" s="494"/>
      <c r="E92" s="1608" t="s">
        <v>186</v>
      </c>
      <c r="F92" s="1608"/>
      <c r="G92" s="1608"/>
      <c r="H92" s="1608"/>
      <c r="I92" s="1608"/>
      <c r="J92" s="1608"/>
      <c r="K92" s="1608"/>
      <c r="L92" s="1041"/>
      <c r="M92" s="526"/>
      <c r="N92" s="519"/>
      <c r="O92" s="530"/>
      <c r="P92" s="1037"/>
      <c r="Q92" s="1037"/>
      <c r="R92" s="1037"/>
      <c r="S92" s="355">
        <f ca="1">S93+S98</f>
        <v>0</v>
      </c>
      <c r="T92" s="363"/>
      <c r="U92" s="360"/>
      <c r="V92" s="361"/>
      <c r="W92" s="1092"/>
      <c r="X92" s="1105"/>
      <c r="Y92" s="1121"/>
      <c r="Z92" s="363"/>
      <c r="AA92" s="360"/>
      <c r="AB92" s="361"/>
      <c r="AC92" s="1092"/>
      <c r="AD92" s="1105"/>
      <c r="AE92" s="1121"/>
      <c r="AF92" s="359"/>
      <c r="AG92" s="359"/>
      <c r="AH92" s="359"/>
      <c r="AI92" s="358"/>
      <c r="AJ92" s="359"/>
      <c r="AK92" s="440"/>
      <c r="AM92" s="460">
        <v>92</v>
      </c>
      <c r="AN92" s="1078"/>
    </row>
    <row r="93" spans="1:54" ht="12" customHeight="1" x14ac:dyDescent="0.25">
      <c r="A93" s="440"/>
      <c r="B93" s="1042"/>
      <c r="C93" s="1036"/>
      <c r="D93" s="1037" t="s">
        <v>157</v>
      </c>
      <c r="E93" s="1037" t="s">
        <v>172</v>
      </c>
      <c r="F93" s="1037"/>
      <c r="G93" s="1037"/>
      <c r="H93" s="1037"/>
      <c r="I93" s="1037"/>
      <c r="J93" s="1038"/>
      <c r="K93" s="529"/>
      <c r="L93" s="529"/>
      <c r="M93" s="536"/>
      <c r="N93" s="462"/>
      <c r="O93" s="537"/>
      <c r="P93" s="1037"/>
      <c r="Q93" s="1037"/>
      <c r="R93" s="1037"/>
      <c r="S93" s="354">
        <f ca="1">SUBTOTAL(109,S95:S97)</f>
        <v>0</v>
      </c>
      <c r="T93" s="363"/>
      <c r="U93" s="358"/>
      <c r="V93" s="358"/>
      <c r="W93" s="1091"/>
      <c r="X93" s="1104"/>
      <c r="Y93" s="1104"/>
      <c r="Z93" s="358"/>
      <c r="AA93" s="358"/>
      <c r="AB93" s="358"/>
      <c r="AC93" s="1091"/>
      <c r="AD93" s="1104"/>
      <c r="AE93" s="1104"/>
      <c r="AF93" s="358"/>
      <c r="AG93" s="358"/>
      <c r="AH93" s="358"/>
      <c r="AI93" s="358"/>
      <c r="AJ93" s="358"/>
      <c r="AK93" s="440"/>
      <c r="AM93" s="460">
        <v>93</v>
      </c>
      <c r="AN93" s="1078"/>
    </row>
    <row r="94" spans="1:54" ht="12" customHeight="1" x14ac:dyDescent="0.25">
      <c r="A94" s="440"/>
      <c r="B94" s="1042"/>
      <c r="C94" s="1036"/>
      <c r="D94" s="1037"/>
      <c r="E94" s="1037"/>
      <c r="F94" s="1037"/>
      <c r="G94" s="1037"/>
      <c r="H94" s="1037"/>
      <c r="I94" s="1037"/>
      <c r="J94" s="1603" t="s">
        <v>170</v>
      </c>
      <c r="K94" s="1603"/>
      <c r="L94" s="529"/>
      <c r="M94" s="536"/>
      <c r="N94" s="462"/>
      <c r="O94" s="537"/>
      <c r="P94" s="1037"/>
      <c r="Q94" s="1037"/>
      <c r="R94" s="1037"/>
      <c r="S94" s="354"/>
      <c r="T94" s="363"/>
      <c r="U94" s="366"/>
      <c r="V94" s="367"/>
      <c r="W94" s="1092"/>
      <c r="X94" s="1107"/>
      <c r="Y94" s="1123"/>
      <c r="Z94" s="363"/>
      <c r="AA94" s="366"/>
      <c r="AB94" s="367"/>
      <c r="AC94" s="1092"/>
      <c r="AD94" s="1107"/>
      <c r="AE94" s="1123"/>
      <c r="AF94" s="359"/>
      <c r="AG94" s="359"/>
      <c r="AH94" s="359"/>
      <c r="AI94" s="373"/>
      <c r="AJ94" s="359"/>
      <c r="AK94" s="440"/>
      <c r="AM94" s="460">
        <v>94</v>
      </c>
      <c r="AN94" s="1078"/>
    </row>
    <row r="95" spans="1:54" ht="12" customHeight="1" x14ac:dyDescent="0.2">
      <c r="A95" s="440"/>
      <c r="B95" s="1042"/>
      <c r="C95" s="1036"/>
      <c r="D95" s="1037"/>
      <c r="E95" s="1084">
        <f ca="1">IF(AX95="E","",AN95)</f>
        <v>0</v>
      </c>
      <c r="F95" s="1085"/>
      <c r="G95" s="1264"/>
      <c r="H95" s="1264"/>
      <c r="I95" s="1265"/>
      <c r="J95" s="638"/>
      <c r="K95" s="520" t="s">
        <v>177</v>
      </c>
      <c r="L95" s="521"/>
      <c r="M95" s="339"/>
      <c r="N95" s="521" t="s">
        <v>67</v>
      </c>
      <c r="O95" s="339"/>
      <c r="P95" s="504" t="s">
        <v>68</v>
      </c>
      <c r="Q95" s="344"/>
      <c r="R95" s="522" t="s">
        <v>363</v>
      </c>
      <c r="S95" s="353">
        <f t="shared" ref="S95:S97" ca="1" si="135">IF(AY95="E",(M95*O95)+Q95,AO95)</f>
        <v>0</v>
      </c>
      <c r="T95" s="523"/>
      <c r="U95" s="350"/>
      <c r="V95" s="308"/>
      <c r="W95" s="1090" t="str">
        <f t="shared" ref="W95:W97" ca="1" si="136">IF(AZ95="E",IF(AND(V95&lt;&gt;0,U95&lt;&gt;0),"X",IF(AND(V95&lt;&gt;0,U95=0),"A",IF(AND(V95=0,U95&lt;&gt;0),"P",""))),AR95)</f>
        <v/>
      </c>
      <c r="X95" s="1103">
        <f t="shared" ref="X95:X97" ca="1" si="137">IF(AZ95="E",IFERROR(IF(W95="X",0,IF(U95&gt;0,U95,V95/S95)),0),
IFERROR(IF(OR(AR95="X",AR95=0),0,
IF(AR95="P",AP95,IF(AR95="A",AQ95/S95,0))),0))</f>
        <v>0</v>
      </c>
      <c r="Y95" s="1120">
        <f t="shared" ref="Y95:Y97" ca="1" si="138">IF(AZ95="E",IFERROR(IF(W95="X",0,IF(V95&gt;0,V95,S95*U95)),0),
IFERROR(IF(OR(AR95="X",AR95="0"),0,IF(AR95="A",AQ95,S95*AP95)),0))</f>
        <v>0</v>
      </c>
      <c r="Z95" s="524"/>
      <c r="AA95" s="350"/>
      <c r="AB95" s="308"/>
      <c r="AC95" s="1090" t="str">
        <f t="shared" ref="AC95:AC97" ca="1" si="139">IF(BA95="E",IF(AND(AB95&lt;&gt;0,AA95&lt;&gt;0),"X",IF(AND(AB95&lt;&gt;0,AA95=0),"A",IF(AND(AB95=0,AA95&lt;&gt;0),"P",""))),AU95)</f>
        <v/>
      </c>
      <c r="AD95" s="1103">
        <f t="shared" ref="AD95:AD97" ca="1" si="140">IF(BA95="E",IFERROR(IF(AC95="X",0,IF(AA95&gt;0,AA95,AB95/S95)),0),
IFERROR(IF(OR(AU95="X",AU95=0),0,
IF(AU95="P",AS95,IF(AU95="A",AT95/S95,0))),0))</f>
        <v>0</v>
      </c>
      <c r="AE95" s="1120">
        <f t="shared" ref="AE95:AE97" ca="1" si="141">IF(BA95="E",IFERROR(IF(AC95="X",0,IF(AB95&gt;0,AB95,S95*AA95)),0),
IFERROR(IF(OR(AU95="X",AU95=0),0,
IF(AU95="A",AT95,S95*AS95)),0))</f>
        <v>0</v>
      </c>
      <c r="AF95" s="525"/>
      <c r="AG95" s="637"/>
      <c r="AH95" s="525"/>
      <c r="AI95" s="1086">
        <f t="shared" ref="AI95:AI97" ca="1" si="142">IF(BB95="E",AG95,AV95)</f>
        <v>0</v>
      </c>
      <c r="AJ95" s="380"/>
      <c r="AK95" s="440"/>
      <c r="AM95" s="460">
        <v>95</v>
      </c>
      <c r="AN95" s="1087">
        <f t="shared" ref="AN95:AN97" ca="1" si="143">IF($M$13=$AN$12,"",IF(ISTEXT(INDIRECT("'"&amp;$AM$20&amp;"'!"&amp;AN$21&amp;$AM95)),INDIRECT("'"&amp;$AM$20&amp;"'!"&amp;AN$21&amp;$AM95),INDIRECT("'"&amp;$AM$20&amp;"'!"&amp;AN$22&amp;$AM95)))</f>
        <v>0</v>
      </c>
      <c r="AO95" s="1083">
        <f t="shared" ref="AO95:AV97" ca="1" si="144">IF($M$13=$AN$12,"",INDIRECT("'"&amp;$AM$20&amp;"'!"&amp;AO$21&amp;$AM95))</f>
        <v>0</v>
      </c>
      <c r="AP95" s="356">
        <f t="shared" ca="1" si="144"/>
        <v>0</v>
      </c>
      <c r="AQ95" s="357">
        <f t="shared" ca="1" si="144"/>
        <v>0</v>
      </c>
      <c r="AR95" s="524" t="str">
        <f t="shared" ca="1" si="144"/>
        <v/>
      </c>
      <c r="AS95" s="356">
        <f t="shared" ca="1" si="144"/>
        <v>0</v>
      </c>
      <c r="AT95" s="357">
        <f t="shared" ca="1" si="144"/>
        <v>0</v>
      </c>
      <c r="AU95" s="524" t="str">
        <f t="shared" ca="1" si="144"/>
        <v/>
      </c>
      <c r="AV95" s="1083">
        <f t="shared" ca="1" si="144"/>
        <v>0</v>
      </c>
      <c r="AX95" s="1083" t="str">
        <f t="shared" ref="AX95:AX97" si="145">IF($M$13=$AN$12,"E",IF(ISTEXT(F95),"E","U"))</f>
        <v>U</v>
      </c>
      <c r="AY95" s="1083" t="str">
        <f t="shared" ref="AY95:AY97" si="146">IF($M$13=$AN$12,"E",IF(OR(ISNUMBER(M95),ISNUMBER(O95),ISNUMBER(Q95)),"E","U"))</f>
        <v>U</v>
      </c>
      <c r="AZ95" s="1083" t="str">
        <f t="shared" ref="AZ95:AZ97" si="147">IF($M$13=$AN$12,"E",IF(OR(ISNUMBER(U95),ISNUMBER(V95)),"E","U"))</f>
        <v>U</v>
      </c>
      <c r="BA95" s="1083" t="str">
        <f t="shared" ref="BA95:BA97" si="148">IF($M$13=$AN$12,"E",IF(OR(ISNUMBER(AA95),ISNUMBER(AB95)),"E","U"))</f>
        <v>U</v>
      </c>
      <c r="BB95" s="1083" t="str">
        <f t="shared" ref="BB95:BB97" si="149">IF($M$13=$AN$12,"E",IF(ISNUMBER(AG95),"E","U"))</f>
        <v>U</v>
      </c>
    </row>
    <row r="96" spans="1:54" ht="12" customHeight="1" x14ac:dyDescent="0.2">
      <c r="A96" s="440"/>
      <c r="B96" s="1042"/>
      <c r="C96" s="1036"/>
      <c r="D96" s="1037"/>
      <c r="E96" s="1084">
        <f ca="1">IF(AX96="E","",AN96)</f>
        <v>0</v>
      </c>
      <c r="F96" s="1085"/>
      <c r="G96" s="1264"/>
      <c r="H96" s="1264"/>
      <c r="I96" s="1265"/>
      <c r="J96" s="638"/>
      <c r="K96" s="520" t="s">
        <v>177</v>
      </c>
      <c r="L96" s="521"/>
      <c r="M96" s="339"/>
      <c r="N96" s="521" t="s">
        <v>67</v>
      </c>
      <c r="O96" s="339"/>
      <c r="P96" s="504" t="s">
        <v>68</v>
      </c>
      <c r="Q96" s="344"/>
      <c r="R96" s="522" t="s">
        <v>363</v>
      </c>
      <c r="S96" s="353">
        <f t="shared" ca="1" si="135"/>
        <v>0</v>
      </c>
      <c r="T96" s="523"/>
      <c r="U96" s="350"/>
      <c r="V96" s="308"/>
      <c r="W96" s="1090" t="str">
        <f t="shared" ca="1" si="136"/>
        <v/>
      </c>
      <c r="X96" s="1103">
        <f t="shared" ca="1" si="137"/>
        <v>0</v>
      </c>
      <c r="Y96" s="1120">
        <f t="shared" ca="1" si="138"/>
        <v>0</v>
      </c>
      <c r="Z96" s="524"/>
      <c r="AA96" s="350"/>
      <c r="AB96" s="308"/>
      <c r="AC96" s="1090" t="str">
        <f t="shared" ca="1" si="139"/>
        <v/>
      </c>
      <c r="AD96" s="1103">
        <f t="shared" ca="1" si="140"/>
        <v>0</v>
      </c>
      <c r="AE96" s="1120">
        <f t="shared" ca="1" si="141"/>
        <v>0</v>
      </c>
      <c r="AF96" s="525"/>
      <c r="AG96" s="637"/>
      <c r="AH96" s="525"/>
      <c r="AI96" s="1086">
        <f t="shared" ca="1" si="142"/>
        <v>0</v>
      </c>
      <c r="AJ96" s="380"/>
      <c r="AK96" s="440"/>
      <c r="AM96" s="460">
        <v>96</v>
      </c>
      <c r="AN96" s="1087">
        <f t="shared" ca="1" si="143"/>
        <v>0</v>
      </c>
      <c r="AO96" s="1083">
        <f t="shared" ca="1" si="144"/>
        <v>0</v>
      </c>
      <c r="AP96" s="356">
        <f t="shared" ca="1" si="144"/>
        <v>0</v>
      </c>
      <c r="AQ96" s="357">
        <f t="shared" ca="1" si="144"/>
        <v>0</v>
      </c>
      <c r="AR96" s="524" t="str">
        <f t="shared" ca="1" si="144"/>
        <v/>
      </c>
      <c r="AS96" s="356">
        <f t="shared" ca="1" si="144"/>
        <v>0</v>
      </c>
      <c r="AT96" s="357">
        <f t="shared" ca="1" si="144"/>
        <v>0</v>
      </c>
      <c r="AU96" s="524" t="str">
        <f t="shared" ca="1" si="144"/>
        <v/>
      </c>
      <c r="AV96" s="1083">
        <f t="shared" ca="1" si="144"/>
        <v>0</v>
      </c>
      <c r="AX96" s="1083" t="str">
        <f t="shared" si="145"/>
        <v>U</v>
      </c>
      <c r="AY96" s="1083" t="str">
        <f t="shared" si="146"/>
        <v>U</v>
      </c>
      <c r="AZ96" s="1083" t="str">
        <f t="shared" si="147"/>
        <v>U</v>
      </c>
      <c r="BA96" s="1083" t="str">
        <f t="shared" si="148"/>
        <v>U</v>
      </c>
      <c r="BB96" s="1083" t="str">
        <f t="shared" si="149"/>
        <v>U</v>
      </c>
    </row>
    <row r="97" spans="1:54" ht="12" customHeight="1" x14ac:dyDescent="0.2">
      <c r="A97" s="440"/>
      <c r="B97" s="1042"/>
      <c r="C97" s="1036"/>
      <c r="D97" s="1037"/>
      <c r="E97" s="1084">
        <f ca="1">IF(AX97="E","",AN97)</f>
        <v>0</v>
      </c>
      <c r="F97" s="1085"/>
      <c r="G97" s="1264"/>
      <c r="H97" s="1264"/>
      <c r="I97" s="1265"/>
      <c r="J97" s="638"/>
      <c r="K97" s="538" t="s">
        <v>177</v>
      </c>
      <c r="L97" s="503"/>
      <c r="M97" s="339"/>
      <c r="N97" s="521" t="s">
        <v>67</v>
      </c>
      <c r="O97" s="339"/>
      <c r="P97" s="504" t="s">
        <v>68</v>
      </c>
      <c r="Q97" s="344"/>
      <c r="R97" s="522" t="s">
        <v>363</v>
      </c>
      <c r="S97" s="353">
        <f t="shared" ca="1" si="135"/>
        <v>0</v>
      </c>
      <c r="T97" s="523"/>
      <c r="U97" s="350"/>
      <c r="V97" s="308"/>
      <c r="W97" s="1090" t="str">
        <f t="shared" ca="1" si="136"/>
        <v/>
      </c>
      <c r="X97" s="1103">
        <f t="shared" ca="1" si="137"/>
        <v>0</v>
      </c>
      <c r="Y97" s="1120">
        <f t="shared" ca="1" si="138"/>
        <v>0</v>
      </c>
      <c r="Z97" s="524"/>
      <c r="AA97" s="350"/>
      <c r="AB97" s="308"/>
      <c r="AC97" s="1090" t="str">
        <f t="shared" ca="1" si="139"/>
        <v/>
      </c>
      <c r="AD97" s="1103">
        <f t="shared" ca="1" si="140"/>
        <v>0</v>
      </c>
      <c r="AE97" s="1120">
        <f t="shared" ca="1" si="141"/>
        <v>0</v>
      </c>
      <c r="AF97" s="525"/>
      <c r="AG97" s="637"/>
      <c r="AH97" s="525"/>
      <c r="AI97" s="1086">
        <f t="shared" ca="1" si="142"/>
        <v>0</v>
      </c>
      <c r="AJ97" s="380"/>
      <c r="AK97" s="440"/>
      <c r="AM97" s="460">
        <v>97</v>
      </c>
      <c r="AN97" s="1087">
        <f t="shared" ca="1" si="143"/>
        <v>0</v>
      </c>
      <c r="AO97" s="1083">
        <f t="shared" ca="1" si="144"/>
        <v>0</v>
      </c>
      <c r="AP97" s="356">
        <f t="shared" ca="1" si="144"/>
        <v>0</v>
      </c>
      <c r="AQ97" s="357">
        <f t="shared" ca="1" si="144"/>
        <v>0</v>
      </c>
      <c r="AR97" s="524" t="str">
        <f t="shared" ca="1" si="144"/>
        <v/>
      </c>
      <c r="AS97" s="356">
        <f t="shared" ca="1" si="144"/>
        <v>0</v>
      </c>
      <c r="AT97" s="357">
        <f t="shared" ca="1" si="144"/>
        <v>0</v>
      </c>
      <c r="AU97" s="524" t="str">
        <f t="shared" ca="1" si="144"/>
        <v/>
      </c>
      <c r="AV97" s="1083">
        <f t="shared" ca="1" si="144"/>
        <v>0</v>
      </c>
      <c r="AX97" s="1083" t="str">
        <f t="shared" si="145"/>
        <v>U</v>
      </c>
      <c r="AY97" s="1083" t="str">
        <f t="shared" si="146"/>
        <v>U</v>
      </c>
      <c r="AZ97" s="1083" t="str">
        <f t="shared" si="147"/>
        <v>U</v>
      </c>
      <c r="BA97" s="1083" t="str">
        <f t="shared" si="148"/>
        <v>U</v>
      </c>
      <c r="BB97" s="1083" t="str">
        <f t="shared" si="149"/>
        <v>U</v>
      </c>
    </row>
    <row r="98" spans="1:54" ht="12" customHeight="1" x14ac:dyDescent="0.25">
      <c r="A98" s="440"/>
      <c r="B98" s="1042"/>
      <c r="C98" s="1036"/>
      <c r="D98" s="1037" t="s">
        <v>162</v>
      </c>
      <c r="E98" s="1607" t="s">
        <v>174</v>
      </c>
      <c r="F98" s="1607"/>
      <c r="G98" s="1607"/>
      <c r="H98" s="1607"/>
      <c r="I98" s="1607"/>
      <c r="J98" s="1038"/>
      <c r="K98" s="529"/>
      <c r="L98" s="503"/>
      <c r="M98" s="536"/>
      <c r="N98" s="462"/>
      <c r="O98" s="537"/>
      <c r="P98" s="1037"/>
      <c r="Q98" s="1037"/>
      <c r="R98" s="1037"/>
      <c r="S98" s="354">
        <f ca="1">SUBTOTAL(109,S100:S101)</f>
        <v>0</v>
      </c>
      <c r="T98" s="363"/>
      <c r="U98" s="360"/>
      <c r="V98" s="360"/>
      <c r="W98" s="1091"/>
      <c r="X98" s="1105"/>
      <c r="Y98" s="1105"/>
      <c r="Z98" s="360"/>
      <c r="AA98" s="360"/>
      <c r="AB98" s="360"/>
      <c r="AC98" s="1091"/>
      <c r="AD98" s="1105"/>
      <c r="AE98" s="1105"/>
      <c r="AF98" s="360"/>
      <c r="AG98" s="360"/>
      <c r="AH98" s="360"/>
      <c r="AI98" s="360"/>
      <c r="AJ98" s="358"/>
      <c r="AK98" s="440"/>
      <c r="AM98" s="460">
        <v>98</v>
      </c>
      <c r="AN98" s="1078"/>
    </row>
    <row r="99" spans="1:54" ht="12" customHeight="1" x14ac:dyDescent="0.25">
      <c r="A99" s="440"/>
      <c r="B99" s="1042"/>
      <c r="C99" s="1036"/>
      <c r="D99" s="1037"/>
      <c r="E99" s="1040"/>
      <c r="F99" s="1040"/>
      <c r="G99" s="1040"/>
      <c r="H99" s="1040"/>
      <c r="I99" s="1040"/>
      <c r="J99" s="1603" t="s">
        <v>178</v>
      </c>
      <c r="K99" s="1603"/>
      <c r="L99" s="503"/>
      <c r="M99" s="536"/>
      <c r="N99" s="462"/>
      <c r="O99" s="537"/>
      <c r="P99" s="1037"/>
      <c r="Q99" s="1037"/>
      <c r="R99" s="1037"/>
      <c r="S99" s="354"/>
      <c r="T99" s="363"/>
      <c r="U99" s="360"/>
      <c r="V99" s="360"/>
      <c r="W99" s="1092"/>
      <c r="X99" s="1105"/>
      <c r="Y99" s="1105"/>
      <c r="Z99" s="360"/>
      <c r="AA99" s="360"/>
      <c r="AB99" s="360"/>
      <c r="AC99" s="1092"/>
      <c r="AD99" s="1105"/>
      <c r="AE99" s="1105"/>
      <c r="AF99" s="360"/>
      <c r="AG99" s="360"/>
      <c r="AH99" s="360"/>
      <c r="AI99" s="360"/>
      <c r="AJ99" s="359"/>
      <c r="AK99" s="440"/>
      <c r="AM99" s="460">
        <v>99</v>
      </c>
      <c r="AN99" s="1078"/>
    </row>
    <row r="100" spans="1:54" ht="12" customHeight="1" x14ac:dyDescent="0.25">
      <c r="A100" s="440"/>
      <c r="B100" s="1042"/>
      <c r="C100" s="1036"/>
      <c r="D100" s="1037"/>
      <c r="E100" s="1084">
        <f ca="1">IF(AX100="E","",AN100)</f>
        <v>0</v>
      </c>
      <c r="F100" s="1085"/>
      <c r="G100" s="1264"/>
      <c r="H100" s="1264"/>
      <c r="I100" s="1265"/>
      <c r="J100" s="638"/>
      <c r="K100" s="538" t="s">
        <v>173</v>
      </c>
      <c r="L100" s="503"/>
      <c r="M100" s="339"/>
      <c r="N100" s="462"/>
      <c r="O100" s="339"/>
      <c r="P100" s="1037"/>
      <c r="Q100" s="344"/>
      <c r="R100" s="522" t="s">
        <v>363</v>
      </c>
      <c r="S100" s="353">
        <f t="shared" ref="S100:S101" ca="1" si="150">IF(AY100="E",(M100*O100)+Q100,AO100)</f>
        <v>0</v>
      </c>
      <c r="T100" s="523"/>
      <c r="U100" s="350"/>
      <c r="V100" s="308"/>
      <c r="W100" s="1090" t="str">
        <f t="shared" ref="W100:W101" ca="1" si="151">IF(AZ100="E",IF(AND(V100&lt;&gt;0,U100&lt;&gt;0),"X",IF(AND(V100&lt;&gt;0,U100=0),"A",IF(AND(V100=0,U100&lt;&gt;0),"P",""))),AR100)</f>
        <v/>
      </c>
      <c r="X100" s="1103">
        <f t="shared" ref="X100:X101" ca="1" si="152">IF(AZ100="E",IFERROR(IF(W100="X",0,IF(U100&gt;0,U100,V100/S100)),0),
IFERROR(IF(OR(AR100="X",AR100=0),0,
IF(AR100="P",AP100,IF(AR100="A",AQ100/S100,0))),0))</f>
        <v>0</v>
      </c>
      <c r="Y100" s="1120">
        <f t="shared" ref="Y100:Y101" ca="1" si="153">IF(AZ100="E",IFERROR(IF(W100="X",0,IF(V100&gt;0,V100,S100*U100)),0),
IFERROR(IF(OR(AR100="X",AR100="0"),0,IF(AR100="A",AQ100,S100*AP100)),0))</f>
        <v>0</v>
      </c>
      <c r="Z100" s="524"/>
      <c r="AA100" s="350"/>
      <c r="AB100" s="308"/>
      <c r="AC100" s="1090" t="str">
        <f t="shared" ref="AC100:AC101" ca="1" si="154">IF(BA100="E",IF(AND(AB100&lt;&gt;0,AA100&lt;&gt;0),"X",IF(AND(AB100&lt;&gt;0,AA100=0),"A",IF(AND(AB100=0,AA100&lt;&gt;0),"P",""))),AU100)</f>
        <v/>
      </c>
      <c r="AD100" s="1103">
        <f t="shared" ref="AD100:AD101" ca="1" si="155">IF(BA100="E",IFERROR(IF(AC100="X",0,IF(AA100&gt;0,AA100,AB100/S100)),0),
IFERROR(IF(OR(AU100="X",AU100=0),0,
IF(AU100="P",AS100,IF(AU100="A",AT100/S100,0))),0))</f>
        <v>0</v>
      </c>
      <c r="AE100" s="1120">
        <f t="shared" ref="AE100:AE101" ca="1" si="156">IF(BA100="E",IFERROR(IF(AC100="X",0,IF(AB100&gt;0,AB100,S100*AA100)),0),
IFERROR(IF(OR(AU100="X",AU100=0),0,
IF(AU100="A",AT100,S100*AS100)),0))</f>
        <v>0</v>
      </c>
      <c r="AF100" s="525"/>
      <c r="AG100" s="637"/>
      <c r="AH100" s="525"/>
      <c r="AI100" s="1086">
        <f t="shared" ref="AI100:AI101" ca="1" si="157">IF(BB100="E",AG100,AV100)</f>
        <v>0</v>
      </c>
      <c r="AJ100" s="380"/>
      <c r="AK100" s="440"/>
      <c r="AM100" s="460">
        <v>100</v>
      </c>
      <c r="AN100" s="1087">
        <f t="shared" ref="AN100:AN101" ca="1" si="158">IF($M$13=$AN$12,"",IF(ISTEXT(INDIRECT("'"&amp;$AM$20&amp;"'!"&amp;AN$21&amp;$AM100)),INDIRECT("'"&amp;$AM$20&amp;"'!"&amp;AN$21&amp;$AM100),INDIRECT("'"&amp;$AM$20&amp;"'!"&amp;AN$22&amp;$AM100)))</f>
        <v>0</v>
      </c>
      <c r="AO100" s="1083">
        <f t="shared" ref="AO100:AV101" ca="1" si="159">IF($M$13=$AN$12,"",INDIRECT("'"&amp;$AM$20&amp;"'!"&amp;AO$21&amp;$AM100))</f>
        <v>0</v>
      </c>
      <c r="AP100" s="356">
        <f t="shared" ca="1" si="159"/>
        <v>0</v>
      </c>
      <c r="AQ100" s="357">
        <f t="shared" ca="1" si="159"/>
        <v>0</v>
      </c>
      <c r="AR100" s="524" t="str">
        <f t="shared" ca="1" si="159"/>
        <v/>
      </c>
      <c r="AS100" s="356">
        <f t="shared" ca="1" si="159"/>
        <v>0</v>
      </c>
      <c r="AT100" s="357">
        <f t="shared" ca="1" si="159"/>
        <v>0</v>
      </c>
      <c r="AU100" s="524" t="str">
        <f t="shared" ca="1" si="159"/>
        <v/>
      </c>
      <c r="AV100" s="1083">
        <f t="shared" ca="1" si="159"/>
        <v>0</v>
      </c>
      <c r="AX100" s="1083" t="str">
        <f t="shared" ref="AX100:AX101" si="160">IF($M$13=$AN$12,"E",IF(ISTEXT(F100),"E","U"))</f>
        <v>U</v>
      </c>
      <c r="AY100" s="1083" t="str">
        <f t="shared" ref="AY100:AY101" si="161">IF($M$13=$AN$12,"E",IF(OR(ISNUMBER(M100),ISNUMBER(O100),ISNUMBER(Q100)),"E","U"))</f>
        <v>U</v>
      </c>
      <c r="AZ100" s="1083" t="str">
        <f t="shared" ref="AZ100:AZ101" si="162">IF($M$13=$AN$12,"E",IF(OR(ISNUMBER(U100),ISNUMBER(V100)),"E","U"))</f>
        <v>U</v>
      </c>
      <c r="BA100" s="1083" t="str">
        <f t="shared" ref="BA100:BA101" si="163">IF($M$13=$AN$12,"E",IF(OR(ISNUMBER(AA100),ISNUMBER(AB100)),"E","U"))</f>
        <v>U</v>
      </c>
      <c r="BB100" s="1083" t="str">
        <f t="shared" ref="BB100:BB101" si="164">IF($M$13=$AN$12,"E",IF(ISNUMBER(AG100),"E","U"))</f>
        <v>U</v>
      </c>
    </row>
    <row r="101" spans="1:54" ht="12" customHeight="1" x14ac:dyDescent="0.25">
      <c r="A101" s="440"/>
      <c r="B101" s="1042"/>
      <c r="C101" s="1036"/>
      <c r="D101" s="1037"/>
      <c r="E101" s="1084">
        <f ca="1">IF(AX101="E","",AN101)</f>
        <v>0</v>
      </c>
      <c r="F101" s="1085"/>
      <c r="G101" s="1264"/>
      <c r="H101" s="1264"/>
      <c r="I101" s="1265"/>
      <c r="J101" s="638"/>
      <c r="K101" s="538" t="s">
        <v>173</v>
      </c>
      <c r="L101" s="503"/>
      <c r="M101" s="339"/>
      <c r="N101" s="462"/>
      <c r="O101" s="339"/>
      <c r="P101" s="1037"/>
      <c r="Q101" s="344"/>
      <c r="R101" s="522" t="s">
        <v>363</v>
      </c>
      <c r="S101" s="353">
        <f t="shared" ca="1" si="150"/>
        <v>0</v>
      </c>
      <c r="T101" s="523"/>
      <c r="U101" s="350"/>
      <c r="V101" s="308"/>
      <c r="W101" s="1090" t="str">
        <f t="shared" ca="1" si="151"/>
        <v/>
      </c>
      <c r="X101" s="1103">
        <f t="shared" ca="1" si="152"/>
        <v>0</v>
      </c>
      <c r="Y101" s="1120">
        <f t="shared" ca="1" si="153"/>
        <v>0</v>
      </c>
      <c r="Z101" s="524"/>
      <c r="AA101" s="350"/>
      <c r="AB101" s="308"/>
      <c r="AC101" s="1090" t="str">
        <f t="shared" ca="1" si="154"/>
        <v/>
      </c>
      <c r="AD101" s="1103">
        <f t="shared" ca="1" si="155"/>
        <v>0</v>
      </c>
      <c r="AE101" s="1120">
        <f t="shared" ca="1" si="156"/>
        <v>0</v>
      </c>
      <c r="AF101" s="525"/>
      <c r="AG101" s="637"/>
      <c r="AH101" s="525"/>
      <c r="AI101" s="1086">
        <f t="shared" ca="1" si="157"/>
        <v>0</v>
      </c>
      <c r="AJ101" s="380"/>
      <c r="AK101" s="440"/>
      <c r="AM101" s="460">
        <v>101</v>
      </c>
      <c r="AN101" s="1087">
        <f t="shared" ca="1" si="158"/>
        <v>0</v>
      </c>
      <c r="AO101" s="1083">
        <f t="shared" ca="1" si="159"/>
        <v>0</v>
      </c>
      <c r="AP101" s="356">
        <f t="shared" ca="1" si="159"/>
        <v>0</v>
      </c>
      <c r="AQ101" s="357">
        <f t="shared" ca="1" si="159"/>
        <v>0</v>
      </c>
      <c r="AR101" s="524" t="str">
        <f t="shared" ca="1" si="159"/>
        <v/>
      </c>
      <c r="AS101" s="356">
        <f t="shared" ca="1" si="159"/>
        <v>0</v>
      </c>
      <c r="AT101" s="357">
        <f t="shared" ca="1" si="159"/>
        <v>0</v>
      </c>
      <c r="AU101" s="524" t="str">
        <f t="shared" ca="1" si="159"/>
        <v/>
      </c>
      <c r="AV101" s="1083">
        <f t="shared" ca="1" si="159"/>
        <v>0</v>
      </c>
      <c r="AX101" s="1083" t="str">
        <f t="shared" si="160"/>
        <v>U</v>
      </c>
      <c r="AY101" s="1083" t="str">
        <f t="shared" si="161"/>
        <v>U</v>
      </c>
      <c r="AZ101" s="1083" t="str">
        <f t="shared" si="162"/>
        <v>U</v>
      </c>
      <c r="BA101" s="1083" t="str">
        <f t="shared" si="163"/>
        <v>U</v>
      </c>
      <c r="BB101" s="1083" t="str">
        <f t="shared" si="164"/>
        <v>U</v>
      </c>
    </row>
    <row r="102" spans="1:54" ht="14.25" customHeight="1" x14ac:dyDescent="0.25">
      <c r="A102" s="440"/>
      <c r="B102" s="1042"/>
      <c r="C102" s="1036" t="s">
        <v>184</v>
      </c>
      <c r="D102" s="494"/>
      <c r="E102" s="1608" t="s">
        <v>185</v>
      </c>
      <c r="F102" s="1608"/>
      <c r="G102" s="1608"/>
      <c r="H102" s="1608"/>
      <c r="I102" s="1608"/>
      <c r="J102" s="1608"/>
      <c r="K102" s="1608"/>
      <c r="L102" s="529"/>
      <c r="M102" s="536"/>
      <c r="N102" s="462"/>
      <c r="O102" s="537"/>
      <c r="P102" s="1037"/>
      <c r="Q102" s="1037"/>
      <c r="R102" s="1037"/>
      <c r="S102" s="355">
        <f ca="1">SUBTOTAL(109,S104:S110)</f>
        <v>141152.4</v>
      </c>
      <c r="T102" s="363"/>
      <c r="U102" s="360"/>
      <c r="V102" s="361"/>
      <c r="W102" s="1092"/>
      <c r="X102" s="1105"/>
      <c r="Y102" s="1121"/>
      <c r="Z102" s="363"/>
      <c r="AA102" s="360"/>
      <c r="AB102" s="361"/>
      <c r="AC102" s="1092"/>
      <c r="AD102" s="1105"/>
      <c r="AE102" s="1121"/>
      <c r="AF102" s="359"/>
      <c r="AG102" s="359"/>
      <c r="AH102" s="359"/>
      <c r="AI102" s="358"/>
      <c r="AJ102" s="380"/>
      <c r="AK102" s="440"/>
      <c r="AL102" s="395"/>
      <c r="AM102" s="460">
        <v>102</v>
      </c>
      <c r="AN102" s="1078"/>
    </row>
    <row r="103" spans="1:54" ht="14.25" customHeight="1" x14ac:dyDescent="0.25">
      <c r="A103" s="440"/>
      <c r="B103" s="1042"/>
      <c r="C103" s="1036"/>
      <c r="D103" s="494"/>
      <c r="E103" s="1041"/>
      <c r="F103" s="1041"/>
      <c r="G103" s="1041"/>
      <c r="H103" s="1041"/>
      <c r="I103" s="1041"/>
      <c r="J103" s="1041"/>
      <c r="K103" s="1041"/>
      <c r="L103" s="529"/>
      <c r="M103" s="536"/>
      <c r="N103" s="462"/>
      <c r="O103" s="537"/>
      <c r="P103" s="1037"/>
      <c r="Q103" s="1037"/>
      <c r="R103" s="1037"/>
      <c r="S103" s="355"/>
      <c r="T103" s="363"/>
      <c r="U103" s="360"/>
      <c r="V103" s="361"/>
      <c r="W103" s="1092"/>
      <c r="X103" s="1105"/>
      <c r="Y103" s="1121"/>
      <c r="Z103" s="363"/>
      <c r="AA103" s="360"/>
      <c r="AB103" s="361"/>
      <c r="AC103" s="1092"/>
      <c r="AD103" s="1105"/>
      <c r="AE103" s="1121"/>
      <c r="AF103" s="359"/>
      <c r="AG103" s="359"/>
      <c r="AH103" s="359"/>
      <c r="AI103" s="358"/>
      <c r="AJ103" s="359"/>
      <c r="AK103" s="440"/>
      <c r="AL103" s="395"/>
      <c r="AM103" s="460">
        <v>103</v>
      </c>
      <c r="AN103" s="1078"/>
    </row>
    <row r="104" spans="1:54" ht="12" customHeight="1" x14ac:dyDescent="0.25">
      <c r="A104" s="440"/>
      <c r="B104" s="1042"/>
      <c r="C104" s="1036"/>
      <c r="D104" s="1037"/>
      <c r="E104" s="1084" t="str">
        <f t="shared" ref="E104:E110" ca="1" si="165">IF(AX104="E","",AN104)</f>
        <v>Sanitär</v>
      </c>
      <c r="F104" s="1085"/>
      <c r="G104" s="1264"/>
      <c r="H104" s="1264"/>
      <c r="I104" s="1265"/>
      <c r="J104" s="638"/>
      <c r="K104" s="538"/>
      <c r="L104" s="503"/>
      <c r="M104" s="339"/>
      <c r="N104" s="462"/>
      <c r="O104" s="339"/>
      <c r="P104" s="1037"/>
      <c r="Q104" s="344"/>
      <c r="R104" s="522" t="s">
        <v>363</v>
      </c>
      <c r="S104" s="353">
        <f t="shared" ref="S104:S110" ca="1" si="166">IF(AY104="E",(M104*O104)+Q104,AO104)</f>
        <v>141152.4</v>
      </c>
      <c r="T104" s="523"/>
      <c r="U104" s="350"/>
      <c r="V104" s="308"/>
      <c r="W104" s="1090" t="str">
        <f t="shared" ref="W104:W110" ca="1" si="167">IF(AZ104="E",IF(AND(V104&lt;&gt;0,U104&lt;&gt;0),"X",IF(AND(V104&lt;&gt;0,U104=0),"A",IF(AND(V104=0,U104&lt;&gt;0),"P",""))),AR104)</f>
        <v/>
      </c>
      <c r="X104" s="1103">
        <f t="shared" ref="X104:X110" ca="1" si="168">IF(AZ104="E",IFERROR(IF(W104="X",0,IF(U104&gt;0,U104,V104/S104)),0),
IFERROR(IF(OR(AR104="X",AR104=0),0,
IF(AR104="P",AP104,IF(AR104="A",AQ104/S104,0))),0))</f>
        <v>0</v>
      </c>
      <c r="Y104" s="1120">
        <f t="shared" ref="Y104:Y110" ca="1" si="169">IF(AZ104="E",IFERROR(IF(W104="X",0,IF(V104&gt;0,V104,S104*U104)),0),
IFERROR(IF(OR(AR104="X",AR104="0"),0,IF(AR104="A",AQ104,S104*AP104)),0))</f>
        <v>0</v>
      </c>
      <c r="Z104" s="524"/>
      <c r="AA104" s="350"/>
      <c r="AB104" s="308"/>
      <c r="AC104" s="1090" t="str">
        <f t="shared" ref="AC104:AC110" ca="1" si="170">IF(BA104="E",IF(AND(AB104&lt;&gt;0,AA104&lt;&gt;0),"X",IF(AND(AB104&lt;&gt;0,AA104=0),"A",IF(AND(AB104=0,AA104&lt;&gt;0),"P",""))),AU104)</f>
        <v/>
      </c>
      <c r="AD104" s="1103">
        <f t="shared" ref="AD104:AD110" ca="1" si="171">IF(BA104="E",IFERROR(IF(AC104="X",0,IF(AA104&gt;0,AA104,AB104/S104)),0),
IFERROR(IF(OR(AU104="X",AU104=0),0,
IF(AU104="P",AS104,IF(AU104="A",AT104/S104,0))),0))</f>
        <v>0</v>
      </c>
      <c r="AE104" s="1120">
        <f t="shared" ref="AE104:AE110" ca="1" si="172">IF(BA104="E",IFERROR(IF(AC104="X",0,IF(AB104&gt;0,AB104,S104*AA104)),0),
IFERROR(IF(OR(AU104="X",AU104=0),0,
IF(AU104="A",AT104,S104*AS104)),0))</f>
        <v>0</v>
      </c>
      <c r="AF104" s="525"/>
      <c r="AG104" s="637"/>
      <c r="AH104" s="525"/>
      <c r="AI104" s="1086">
        <f t="shared" ref="AI104:AI110" ca="1" si="173">IF(BB104="E",AG104,AV104)</f>
        <v>50</v>
      </c>
      <c r="AJ104" s="380"/>
      <c r="AK104" s="440"/>
      <c r="AL104" s="395"/>
      <c r="AM104" s="460">
        <v>104</v>
      </c>
      <c r="AN104" s="1087" t="str">
        <f t="shared" ref="AN104:AN110" ca="1" si="174">IF($M$13=$AN$12,"",IF(ISTEXT(INDIRECT("'"&amp;$AM$20&amp;"'!"&amp;AN$21&amp;$AM104)),INDIRECT("'"&amp;$AM$20&amp;"'!"&amp;AN$21&amp;$AM104),INDIRECT("'"&amp;$AM$20&amp;"'!"&amp;AN$22&amp;$AM104)))</f>
        <v>Sanitär</v>
      </c>
      <c r="AO104" s="1083">
        <f t="shared" ref="AO104:AV110" ca="1" si="175">IF($M$13=$AN$12,"",INDIRECT("'"&amp;$AM$20&amp;"'!"&amp;AO$21&amp;$AM104))</f>
        <v>141152.4</v>
      </c>
      <c r="AP104" s="356">
        <f t="shared" ca="1" si="175"/>
        <v>0</v>
      </c>
      <c r="AQ104" s="357">
        <f t="shared" ca="1" si="175"/>
        <v>0</v>
      </c>
      <c r="AR104" s="524" t="str">
        <f t="shared" ca="1" si="175"/>
        <v/>
      </c>
      <c r="AS104" s="356">
        <f t="shared" ca="1" si="175"/>
        <v>0</v>
      </c>
      <c r="AT104" s="357">
        <f t="shared" ca="1" si="175"/>
        <v>0</v>
      </c>
      <c r="AU104" s="524" t="str">
        <f t="shared" ca="1" si="175"/>
        <v/>
      </c>
      <c r="AV104" s="1083">
        <f t="shared" ca="1" si="175"/>
        <v>50</v>
      </c>
      <c r="AX104" s="1083" t="str">
        <f t="shared" ref="AX104:AX110" si="176">IF($M$13=$AN$12,"E",IF(ISTEXT(F104),"E","U"))</f>
        <v>U</v>
      </c>
      <c r="AY104" s="1083" t="str">
        <f t="shared" ref="AY104:AY110" si="177">IF($M$13=$AN$12,"E",IF(OR(ISNUMBER(M104),ISNUMBER(O104),ISNUMBER(Q104)),"E","U"))</f>
        <v>U</v>
      </c>
      <c r="AZ104" s="1083" t="str">
        <f t="shared" ref="AZ104:AZ110" si="178">IF($M$13=$AN$12,"E",IF(OR(ISNUMBER(U104),ISNUMBER(V104)),"E","U"))</f>
        <v>U</v>
      </c>
      <c r="BA104" s="1083" t="str">
        <f t="shared" ref="BA104:BA110" si="179">IF($M$13=$AN$12,"E",IF(OR(ISNUMBER(AA104),ISNUMBER(AB104)),"E","U"))</f>
        <v>U</v>
      </c>
      <c r="BB104" s="1083" t="str">
        <f t="shared" ref="BB104:BB110" si="180">IF($M$13=$AN$12,"E",IF(ISNUMBER(AG104),"E","U"))</f>
        <v>U</v>
      </c>
    </row>
    <row r="105" spans="1:54" ht="12" customHeight="1" x14ac:dyDescent="0.25">
      <c r="A105" s="440"/>
      <c r="B105" s="1042"/>
      <c r="C105" s="1036"/>
      <c r="D105" s="1037"/>
      <c r="E105" s="1084">
        <f t="shared" ca="1" si="165"/>
        <v>0</v>
      </c>
      <c r="F105" s="1085"/>
      <c r="G105" s="1264"/>
      <c r="H105" s="1264"/>
      <c r="I105" s="1265"/>
      <c r="J105" s="638"/>
      <c r="K105" s="538"/>
      <c r="L105" s="503"/>
      <c r="M105" s="339"/>
      <c r="N105" s="462"/>
      <c r="O105" s="339"/>
      <c r="P105" s="1037"/>
      <c r="Q105" s="344"/>
      <c r="R105" s="522" t="s">
        <v>363</v>
      </c>
      <c r="S105" s="353">
        <f t="shared" ca="1" si="166"/>
        <v>0</v>
      </c>
      <c r="T105" s="523"/>
      <c r="U105" s="350"/>
      <c r="V105" s="308"/>
      <c r="W105" s="1090" t="str">
        <f t="shared" ca="1" si="167"/>
        <v/>
      </c>
      <c r="X105" s="1103">
        <f t="shared" ca="1" si="168"/>
        <v>0</v>
      </c>
      <c r="Y105" s="1120">
        <f t="shared" ca="1" si="169"/>
        <v>0</v>
      </c>
      <c r="Z105" s="524"/>
      <c r="AA105" s="350"/>
      <c r="AB105" s="308"/>
      <c r="AC105" s="1090" t="str">
        <f t="shared" ca="1" si="170"/>
        <v/>
      </c>
      <c r="AD105" s="1103">
        <f t="shared" ca="1" si="171"/>
        <v>0</v>
      </c>
      <c r="AE105" s="1120">
        <f t="shared" ca="1" si="172"/>
        <v>0</v>
      </c>
      <c r="AF105" s="525"/>
      <c r="AG105" s="637"/>
      <c r="AH105" s="525"/>
      <c r="AI105" s="1086">
        <f t="shared" ca="1" si="173"/>
        <v>0</v>
      </c>
      <c r="AJ105" s="380"/>
      <c r="AK105" s="440"/>
      <c r="AL105" s="395"/>
      <c r="AM105" s="460">
        <v>105</v>
      </c>
      <c r="AN105" s="1087">
        <f t="shared" ca="1" si="174"/>
        <v>0</v>
      </c>
      <c r="AO105" s="1083">
        <f t="shared" ca="1" si="175"/>
        <v>0</v>
      </c>
      <c r="AP105" s="356">
        <f t="shared" ca="1" si="175"/>
        <v>0</v>
      </c>
      <c r="AQ105" s="357">
        <f t="shared" ca="1" si="175"/>
        <v>0</v>
      </c>
      <c r="AR105" s="524" t="str">
        <f t="shared" ca="1" si="175"/>
        <v/>
      </c>
      <c r="AS105" s="356">
        <f t="shared" ca="1" si="175"/>
        <v>0</v>
      </c>
      <c r="AT105" s="357">
        <f t="shared" ca="1" si="175"/>
        <v>0</v>
      </c>
      <c r="AU105" s="524" t="str">
        <f t="shared" ca="1" si="175"/>
        <v/>
      </c>
      <c r="AV105" s="1083">
        <f t="shared" ca="1" si="175"/>
        <v>0</v>
      </c>
      <c r="AX105" s="1083" t="str">
        <f t="shared" si="176"/>
        <v>U</v>
      </c>
      <c r="AY105" s="1083" t="str">
        <f t="shared" si="177"/>
        <v>U</v>
      </c>
      <c r="AZ105" s="1083" t="str">
        <f t="shared" si="178"/>
        <v>U</v>
      </c>
      <c r="BA105" s="1083" t="str">
        <f t="shared" si="179"/>
        <v>U</v>
      </c>
      <c r="BB105" s="1083" t="str">
        <f t="shared" si="180"/>
        <v>U</v>
      </c>
    </row>
    <row r="106" spans="1:54" ht="12" customHeight="1" x14ac:dyDescent="0.25">
      <c r="A106" s="440"/>
      <c r="B106" s="1042"/>
      <c r="C106" s="1036"/>
      <c r="D106" s="1037"/>
      <c r="E106" s="1084">
        <f t="shared" ca="1" si="165"/>
        <v>0</v>
      </c>
      <c r="F106" s="1085"/>
      <c r="G106" s="1264"/>
      <c r="H106" s="1264"/>
      <c r="I106" s="1265"/>
      <c r="J106" s="638"/>
      <c r="K106" s="538"/>
      <c r="L106" s="503"/>
      <c r="M106" s="339"/>
      <c r="N106" s="462"/>
      <c r="O106" s="339"/>
      <c r="P106" s="1037"/>
      <c r="Q106" s="344"/>
      <c r="R106" s="522" t="s">
        <v>363</v>
      </c>
      <c r="S106" s="353">
        <f t="shared" ca="1" si="166"/>
        <v>0</v>
      </c>
      <c r="T106" s="523"/>
      <c r="U106" s="350"/>
      <c r="V106" s="308"/>
      <c r="W106" s="1090" t="str">
        <f t="shared" ca="1" si="167"/>
        <v/>
      </c>
      <c r="X106" s="1103">
        <f t="shared" ca="1" si="168"/>
        <v>0</v>
      </c>
      <c r="Y106" s="1120">
        <f t="shared" ca="1" si="169"/>
        <v>0</v>
      </c>
      <c r="Z106" s="524"/>
      <c r="AA106" s="350"/>
      <c r="AB106" s="308"/>
      <c r="AC106" s="1090" t="str">
        <f t="shared" ca="1" si="170"/>
        <v/>
      </c>
      <c r="AD106" s="1103">
        <f t="shared" ca="1" si="171"/>
        <v>0</v>
      </c>
      <c r="AE106" s="1120">
        <f t="shared" ca="1" si="172"/>
        <v>0</v>
      </c>
      <c r="AF106" s="525"/>
      <c r="AG106" s="637"/>
      <c r="AH106" s="525"/>
      <c r="AI106" s="1086">
        <f t="shared" ca="1" si="173"/>
        <v>0</v>
      </c>
      <c r="AJ106" s="380"/>
      <c r="AK106" s="440"/>
      <c r="AL106" s="395"/>
      <c r="AM106" s="460">
        <v>106</v>
      </c>
      <c r="AN106" s="1087">
        <f t="shared" ca="1" si="174"/>
        <v>0</v>
      </c>
      <c r="AO106" s="1083">
        <f t="shared" ca="1" si="175"/>
        <v>0</v>
      </c>
      <c r="AP106" s="356">
        <f t="shared" ca="1" si="175"/>
        <v>0</v>
      </c>
      <c r="AQ106" s="357">
        <f t="shared" ca="1" si="175"/>
        <v>0</v>
      </c>
      <c r="AR106" s="524" t="str">
        <f t="shared" ca="1" si="175"/>
        <v/>
      </c>
      <c r="AS106" s="356">
        <f t="shared" ca="1" si="175"/>
        <v>0</v>
      </c>
      <c r="AT106" s="357">
        <f t="shared" ca="1" si="175"/>
        <v>0</v>
      </c>
      <c r="AU106" s="524" t="str">
        <f t="shared" ca="1" si="175"/>
        <v/>
      </c>
      <c r="AV106" s="1083">
        <f t="shared" ca="1" si="175"/>
        <v>0</v>
      </c>
      <c r="AX106" s="1083" t="str">
        <f t="shared" si="176"/>
        <v>U</v>
      </c>
      <c r="AY106" s="1083" t="str">
        <f t="shared" si="177"/>
        <v>U</v>
      </c>
      <c r="AZ106" s="1083" t="str">
        <f t="shared" si="178"/>
        <v>U</v>
      </c>
      <c r="BA106" s="1083" t="str">
        <f t="shared" si="179"/>
        <v>U</v>
      </c>
      <c r="BB106" s="1083" t="str">
        <f t="shared" si="180"/>
        <v>U</v>
      </c>
    </row>
    <row r="107" spans="1:54" ht="12" customHeight="1" x14ac:dyDescent="0.25">
      <c r="A107" s="440"/>
      <c r="B107" s="1042"/>
      <c r="C107" s="1036"/>
      <c r="D107" s="1037"/>
      <c r="E107" s="1084">
        <f t="shared" ca="1" si="165"/>
        <v>0</v>
      </c>
      <c r="F107" s="1085"/>
      <c r="G107" s="1264"/>
      <c r="H107" s="1264"/>
      <c r="I107" s="1265"/>
      <c r="J107" s="638"/>
      <c r="K107" s="538"/>
      <c r="L107" s="503"/>
      <c r="M107" s="339"/>
      <c r="N107" s="462"/>
      <c r="O107" s="339"/>
      <c r="P107" s="1037"/>
      <c r="Q107" s="344"/>
      <c r="R107" s="522" t="s">
        <v>363</v>
      </c>
      <c r="S107" s="353">
        <f t="shared" ca="1" si="166"/>
        <v>0</v>
      </c>
      <c r="T107" s="523"/>
      <c r="U107" s="350"/>
      <c r="V107" s="308"/>
      <c r="W107" s="1090" t="str">
        <f t="shared" ca="1" si="167"/>
        <v/>
      </c>
      <c r="X107" s="1103">
        <f t="shared" ca="1" si="168"/>
        <v>0</v>
      </c>
      <c r="Y107" s="1120">
        <f t="shared" ca="1" si="169"/>
        <v>0</v>
      </c>
      <c r="Z107" s="524"/>
      <c r="AA107" s="350"/>
      <c r="AB107" s="308"/>
      <c r="AC107" s="1090" t="str">
        <f t="shared" ca="1" si="170"/>
        <v/>
      </c>
      <c r="AD107" s="1103">
        <f t="shared" ca="1" si="171"/>
        <v>0</v>
      </c>
      <c r="AE107" s="1120">
        <f t="shared" ca="1" si="172"/>
        <v>0</v>
      </c>
      <c r="AF107" s="525"/>
      <c r="AG107" s="637"/>
      <c r="AH107" s="525"/>
      <c r="AI107" s="1086">
        <f t="shared" ca="1" si="173"/>
        <v>0</v>
      </c>
      <c r="AJ107" s="380"/>
      <c r="AK107" s="440"/>
      <c r="AL107" s="395"/>
      <c r="AM107" s="460">
        <v>107</v>
      </c>
      <c r="AN107" s="1087">
        <f t="shared" ca="1" si="174"/>
        <v>0</v>
      </c>
      <c r="AO107" s="1083">
        <f t="shared" ca="1" si="175"/>
        <v>0</v>
      </c>
      <c r="AP107" s="356">
        <f t="shared" ca="1" si="175"/>
        <v>0</v>
      </c>
      <c r="AQ107" s="357">
        <f t="shared" ca="1" si="175"/>
        <v>0</v>
      </c>
      <c r="AR107" s="524" t="str">
        <f t="shared" ca="1" si="175"/>
        <v/>
      </c>
      <c r="AS107" s="356">
        <f t="shared" ca="1" si="175"/>
        <v>0</v>
      </c>
      <c r="AT107" s="357">
        <f t="shared" ca="1" si="175"/>
        <v>0</v>
      </c>
      <c r="AU107" s="524" t="str">
        <f t="shared" ca="1" si="175"/>
        <v/>
      </c>
      <c r="AV107" s="1083">
        <f t="shared" ca="1" si="175"/>
        <v>0</v>
      </c>
      <c r="AX107" s="1083" t="str">
        <f t="shared" si="176"/>
        <v>U</v>
      </c>
      <c r="AY107" s="1083" t="str">
        <f t="shared" si="177"/>
        <v>U</v>
      </c>
      <c r="AZ107" s="1083" t="str">
        <f t="shared" si="178"/>
        <v>U</v>
      </c>
      <c r="BA107" s="1083" t="str">
        <f t="shared" si="179"/>
        <v>U</v>
      </c>
      <c r="BB107" s="1083" t="str">
        <f t="shared" si="180"/>
        <v>U</v>
      </c>
    </row>
    <row r="108" spans="1:54" ht="12" customHeight="1" x14ac:dyDescent="0.25">
      <c r="A108" s="440"/>
      <c r="B108" s="1042"/>
      <c r="C108" s="1036"/>
      <c r="D108" s="1037"/>
      <c r="E108" s="1084">
        <f t="shared" ca="1" si="165"/>
        <v>0</v>
      </c>
      <c r="F108" s="1085"/>
      <c r="G108" s="1264"/>
      <c r="H108" s="1264"/>
      <c r="I108" s="1265"/>
      <c r="J108" s="638"/>
      <c r="K108" s="538"/>
      <c r="L108" s="503"/>
      <c r="M108" s="339"/>
      <c r="N108" s="462"/>
      <c r="O108" s="339"/>
      <c r="P108" s="1037"/>
      <c r="Q108" s="344"/>
      <c r="R108" s="522" t="s">
        <v>363</v>
      </c>
      <c r="S108" s="353">
        <f t="shared" ca="1" si="166"/>
        <v>0</v>
      </c>
      <c r="T108" s="523"/>
      <c r="U108" s="350"/>
      <c r="V108" s="308"/>
      <c r="W108" s="1090" t="str">
        <f t="shared" ca="1" si="167"/>
        <v/>
      </c>
      <c r="X108" s="1103">
        <f t="shared" ca="1" si="168"/>
        <v>0</v>
      </c>
      <c r="Y108" s="1120">
        <f t="shared" ca="1" si="169"/>
        <v>0</v>
      </c>
      <c r="Z108" s="524"/>
      <c r="AA108" s="350"/>
      <c r="AB108" s="308"/>
      <c r="AC108" s="1090" t="str">
        <f t="shared" ca="1" si="170"/>
        <v/>
      </c>
      <c r="AD108" s="1103">
        <f t="shared" ca="1" si="171"/>
        <v>0</v>
      </c>
      <c r="AE108" s="1120">
        <f t="shared" ca="1" si="172"/>
        <v>0</v>
      </c>
      <c r="AF108" s="525"/>
      <c r="AG108" s="637"/>
      <c r="AH108" s="525"/>
      <c r="AI108" s="1086">
        <f t="shared" ca="1" si="173"/>
        <v>0</v>
      </c>
      <c r="AJ108" s="380"/>
      <c r="AK108" s="440"/>
      <c r="AM108" s="460">
        <v>108</v>
      </c>
      <c r="AN108" s="1087">
        <f t="shared" ca="1" si="174"/>
        <v>0</v>
      </c>
      <c r="AO108" s="1083">
        <f t="shared" ca="1" si="175"/>
        <v>0</v>
      </c>
      <c r="AP108" s="356">
        <f t="shared" ca="1" si="175"/>
        <v>0</v>
      </c>
      <c r="AQ108" s="357">
        <f t="shared" ca="1" si="175"/>
        <v>0</v>
      </c>
      <c r="AR108" s="524" t="str">
        <f t="shared" ca="1" si="175"/>
        <v/>
      </c>
      <c r="AS108" s="356">
        <f t="shared" ca="1" si="175"/>
        <v>0</v>
      </c>
      <c r="AT108" s="357">
        <f t="shared" ca="1" si="175"/>
        <v>0</v>
      </c>
      <c r="AU108" s="524" t="str">
        <f t="shared" ca="1" si="175"/>
        <v/>
      </c>
      <c r="AV108" s="1083">
        <f t="shared" ca="1" si="175"/>
        <v>0</v>
      </c>
      <c r="AX108" s="1083" t="str">
        <f t="shared" si="176"/>
        <v>U</v>
      </c>
      <c r="AY108" s="1083" t="str">
        <f t="shared" si="177"/>
        <v>U</v>
      </c>
      <c r="AZ108" s="1083" t="str">
        <f t="shared" si="178"/>
        <v>U</v>
      </c>
      <c r="BA108" s="1083" t="str">
        <f t="shared" si="179"/>
        <v>U</v>
      </c>
      <c r="BB108" s="1083" t="str">
        <f t="shared" si="180"/>
        <v>U</v>
      </c>
    </row>
    <row r="109" spans="1:54" ht="12" customHeight="1" x14ac:dyDescent="0.25">
      <c r="A109" s="440"/>
      <c r="B109" s="1042"/>
      <c r="C109" s="1036"/>
      <c r="D109" s="1037"/>
      <c r="E109" s="1084">
        <f t="shared" ca="1" si="165"/>
        <v>0</v>
      </c>
      <c r="F109" s="1085"/>
      <c r="G109" s="1264"/>
      <c r="H109" s="1264"/>
      <c r="I109" s="1265"/>
      <c r="J109" s="638"/>
      <c r="K109" s="538"/>
      <c r="L109" s="503"/>
      <c r="M109" s="339"/>
      <c r="N109" s="462"/>
      <c r="O109" s="339"/>
      <c r="P109" s="1037"/>
      <c r="Q109" s="344"/>
      <c r="R109" s="522" t="s">
        <v>363</v>
      </c>
      <c r="S109" s="353">
        <f t="shared" ca="1" si="166"/>
        <v>0</v>
      </c>
      <c r="T109" s="523"/>
      <c r="U109" s="350"/>
      <c r="V109" s="308"/>
      <c r="W109" s="1090" t="str">
        <f t="shared" ca="1" si="167"/>
        <v/>
      </c>
      <c r="X109" s="1103">
        <f t="shared" ca="1" si="168"/>
        <v>0</v>
      </c>
      <c r="Y109" s="1120">
        <f t="shared" ca="1" si="169"/>
        <v>0</v>
      </c>
      <c r="Z109" s="524"/>
      <c r="AA109" s="350"/>
      <c r="AB109" s="308"/>
      <c r="AC109" s="1090" t="str">
        <f t="shared" ca="1" si="170"/>
        <v/>
      </c>
      <c r="AD109" s="1103">
        <f t="shared" ca="1" si="171"/>
        <v>0</v>
      </c>
      <c r="AE109" s="1120">
        <f t="shared" ca="1" si="172"/>
        <v>0</v>
      </c>
      <c r="AF109" s="525"/>
      <c r="AG109" s="637"/>
      <c r="AH109" s="525"/>
      <c r="AI109" s="1086">
        <f t="shared" ca="1" si="173"/>
        <v>0</v>
      </c>
      <c r="AJ109" s="380"/>
      <c r="AK109" s="440"/>
      <c r="AM109" s="460">
        <v>109</v>
      </c>
      <c r="AN109" s="1087">
        <f t="shared" ca="1" si="174"/>
        <v>0</v>
      </c>
      <c r="AO109" s="1083">
        <f t="shared" ca="1" si="175"/>
        <v>0</v>
      </c>
      <c r="AP109" s="356">
        <f t="shared" ca="1" si="175"/>
        <v>0</v>
      </c>
      <c r="AQ109" s="357">
        <f t="shared" ca="1" si="175"/>
        <v>0</v>
      </c>
      <c r="AR109" s="524" t="str">
        <f t="shared" ca="1" si="175"/>
        <v/>
      </c>
      <c r="AS109" s="356">
        <f t="shared" ca="1" si="175"/>
        <v>0</v>
      </c>
      <c r="AT109" s="357">
        <f t="shared" ca="1" si="175"/>
        <v>0</v>
      </c>
      <c r="AU109" s="524" t="str">
        <f t="shared" ca="1" si="175"/>
        <v/>
      </c>
      <c r="AV109" s="1083">
        <f t="shared" ca="1" si="175"/>
        <v>0</v>
      </c>
      <c r="AX109" s="1083" t="str">
        <f t="shared" si="176"/>
        <v>U</v>
      </c>
      <c r="AY109" s="1083" t="str">
        <f t="shared" si="177"/>
        <v>U</v>
      </c>
      <c r="AZ109" s="1083" t="str">
        <f t="shared" si="178"/>
        <v>U</v>
      </c>
      <c r="BA109" s="1083" t="str">
        <f t="shared" si="179"/>
        <v>U</v>
      </c>
      <c r="BB109" s="1083" t="str">
        <f t="shared" si="180"/>
        <v>U</v>
      </c>
    </row>
    <row r="110" spans="1:54" ht="12" customHeight="1" x14ac:dyDescent="0.25">
      <c r="A110" s="440"/>
      <c r="B110" s="1042"/>
      <c r="C110" s="1036"/>
      <c r="D110" s="1037"/>
      <c r="E110" s="1084">
        <f t="shared" ca="1" si="165"/>
        <v>0</v>
      </c>
      <c r="F110" s="1085"/>
      <c r="G110" s="1264"/>
      <c r="H110" s="1264"/>
      <c r="I110" s="1265"/>
      <c r="J110" s="638"/>
      <c r="K110" s="538"/>
      <c r="L110" s="503"/>
      <c r="M110" s="339"/>
      <c r="N110" s="462"/>
      <c r="O110" s="339"/>
      <c r="P110" s="1037"/>
      <c r="Q110" s="344"/>
      <c r="R110" s="522" t="s">
        <v>363</v>
      </c>
      <c r="S110" s="353">
        <f t="shared" ca="1" si="166"/>
        <v>0</v>
      </c>
      <c r="T110" s="523"/>
      <c r="U110" s="350"/>
      <c r="V110" s="308"/>
      <c r="W110" s="1090" t="str">
        <f t="shared" ca="1" si="167"/>
        <v/>
      </c>
      <c r="X110" s="1103">
        <f t="shared" ca="1" si="168"/>
        <v>0</v>
      </c>
      <c r="Y110" s="1120">
        <f t="shared" ca="1" si="169"/>
        <v>0</v>
      </c>
      <c r="Z110" s="524"/>
      <c r="AA110" s="350"/>
      <c r="AB110" s="308"/>
      <c r="AC110" s="1090" t="str">
        <f t="shared" ca="1" si="170"/>
        <v/>
      </c>
      <c r="AD110" s="1103">
        <f t="shared" ca="1" si="171"/>
        <v>0</v>
      </c>
      <c r="AE110" s="1120">
        <f t="shared" ca="1" si="172"/>
        <v>0</v>
      </c>
      <c r="AF110" s="525"/>
      <c r="AG110" s="637"/>
      <c r="AH110" s="525"/>
      <c r="AI110" s="1086">
        <f t="shared" ca="1" si="173"/>
        <v>0</v>
      </c>
      <c r="AJ110" s="380"/>
      <c r="AK110" s="440"/>
      <c r="AM110" s="460">
        <v>110</v>
      </c>
      <c r="AN110" s="1087">
        <f t="shared" ca="1" si="174"/>
        <v>0</v>
      </c>
      <c r="AO110" s="1083">
        <f t="shared" ca="1" si="175"/>
        <v>0</v>
      </c>
      <c r="AP110" s="356">
        <f t="shared" ca="1" si="175"/>
        <v>0</v>
      </c>
      <c r="AQ110" s="357">
        <f t="shared" ca="1" si="175"/>
        <v>0</v>
      </c>
      <c r="AR110" s="524" t="str">
        <f t="shared" ca="1" si="175"/>
        <v/>
      </c>
      <c r="AS110" s="356">
        <f t="shared" ca="1" si="175"/>
        <v>0</v>
      </c>
      <c r="AT110" s="357">
        <f t="shared" ca="1" si="175"/>
        <v>0</v>
      </c>
      <c r="AU110" s="524" t="str">
        <f t="shared" ca="1" si="175"/>
        <v/>
      </c>
      <c r="AV110" s="1083">
        <f t="shared" ca="1" si="175"/>
        <v>0</v>
      </c>
      <c r="AX110" s="1083" t="str">
        <f t="shared" si="176"/>
        <v>U</v>
      </c>
      <c r="AY110" s="1083" t="str">
        <f t="shared" si="177"/>
        <v>U</v>
      </c>
      <c r="AZ110" s="1083" t="str">
        <f t="shared" si="178"/>
        <v>U</v>
      </c>
      <c r="BA110" s="1083" t="str">
        <f t="shared" si="179"/>
        <v>U</v>
      </c>
      <c r="BB110" s="1083" t="str">
        <f t="shared" si="180"/>
        <v>U</v>
      </c>
    </row>
    <row r="111" spans="1:54" ht="12" customHeight="1" collapsed="1" x14ac:dyDescent="0.25">
      <c r="A111" s="440"/>
      <c r="B111" s="505"/>
      <c r="C111" s="370"/>
      <c r="D111" s="374"/>
      <c r="E111" s="374"/>
      <c r="F111" s="374"/>
      <c r="G111" s="374"/>
      <c r="H111" s="374"/>
      <c r="I111" s="507"/>
      <c r="J111" s="507"/>
      <c r="K111" s="508"/>
      <c r="L111" s="508"/>
      <c r="M111" s="371"/>
      <c r="N111" s="517"/>
      <c r="O111" s="371"/>
      <c r="P111" s="371"/>
      <c r="Q111" s="371"/>
      <c r="R111" s="371"/>
      <c r="S111" s="371"/>
      <c r="T111" s="371"/>
      <c r="U111" s="371"/>
      <c r="V111" s="370"/>
      <c r="W111" s="1094"/>
      <c r="X111" s="1108"/>
      <c r="Y111" s="1124"/>
      <c r="Z111" s="371"/>
      <c r="AA111" s="371"/>
      <c r="AB111" s="370"/>
      <c r="AC111" s="1094"/>
      <c r="AD111" s="1108"/>
      <c r="AE111" s="1124"/>
      <c r="AF111" s="370"/>
      <c r="AG111" s="370"/>
      <c r="AH111" s="370"/>
      <c r="AI111" s="373"/>
      <c r="AJ111" s="370"/>
      <c r="AK111" s="440"/>
      <c r="AM111" s="460">
        <v>111</v>
      </c>
      <c r="AN111" s="1078"/>
    </row>
    <row r="112" spans="1:54" s="327" customFormat="1" ht="39.950000000000003" customHeight="1" x14ac:dyDescent="0.2">
      <c r="A112" s="440"/>
      <c r="B112" s="1164"/>
      <c r="C112" s="1165"/>
      <c r="D112" s="1165"/>
      <c r="E112" s="1165"/>
      <c r="F112" s="1165"/>
      <c r="G112" s="1165"/>
      <c r="H112" s="1165"/>
      <c r="I112" s="1165"/>
      <c r="J112" s="1165"/>
      <c r="K112" s="1165"/>
      <c r="L112" s="1165"/>
      <c r="M112" s="1165"/>
      <c r="N112" s="1165"/>
      <c r="O112" s="1165"/>
      <c r="P112" s="1165"/>
      <c r="Q112" s="1165"/>
      <c r="R112" s="1165"/>
      <c r="S112" s="1165"/>
      <c r="T112" s="1165"/>
      <c r="U112" s="440"/>
      <c r="V112" s="440"/>
      <c r="W112" s="440"/>
      <c r="X112" s="440"/>
      <c r="Y112" s="440"/>
      <c r="Z112" s="440"/>
      <c r="AA112" s="440"/>
      <c r="AB112" s="440"/>
      <c r="AC112" s="440"/>
      <c r="AD112" s="440"/>
      <c r="AE112" s="440"/>
      <c r="AF112" s="440"/>
      <c r="AG112" s="440"/>
      <c r="AH112" s="440"/>
      <c r="AI112" s="440"/>
      <c r="AJ112" s="440"/>
      <c r="AK112" s="440"/>
      <c r="AM112" s="460">
        <v>112</v>
      </c>
    </row>
    <row r="113" spans="1:54" ht="12" customHeight="1" x14ac:dyDescent="0.2">
      <c r="A113" s="440"/>
      <c r="B113" s="320"/>
      <c r="C113" s="1036"/>
      <c r="D113" s="1036"/>
      <c r="E113" s="1036"/>
      <c r="F113" s="1036"/>
      <c r="G113" s="1036"/>
      <c r="H113" s="1036"/>
      <c r="I113" s="1036"/>
      <c r="J113" s="1598"/>
      <c r="K113" s="1598"/>
      <c r="L113" s="1033"/>
      <c r="M113" s="379"/>
      <c r="N113" s="1033"/>
      <c r="O113" s="379"/>
      <c r="P113" s="379"/>
      <c r="Q113" s="379"/>
      <c r="R113" s="379"/>
      <c r="S113" s="379"/>
      <c r="T113" s="379"/>
      <c r="U113" s="1598"/>
      <c r="V113" s="1598"/>
      <c r="W113" s="1095"/>
      <c r="X113" s="1109"/>
      <c r="Y113" s="1109"/>
      <c r="Z113" s="379"/>
      <c r="AA113" s="1598"/>
      <c r="AB113" s="1598"/>
      <c r="AC113" s="1095"/>
      <c r="AD113" s="1109"/>
      <c r="AE113" s="1109"/>
      <c r="AF113" s="379"/>
      <c r="AG113" s="379"/>
      <c r="AH113" s="379"/>
      <c r="AI113" s="481"/>
      <c r="AJ113" s="379"/>
      <c r="AK113" s="440"/>
      <c r="AM113" s="460">
        <v>113</v>
      </c>
      <c r="AN113" s="1078"/>
    </row>
    <row r="114" spans="1:54" ht="12" customHeight="1" x14ac:dyDescent="0.2">
      <c r="A114" s="440"/>
      <c r="B114" s="320"/>
      <c r="C114" s="1036"/>
      <c r="D114" s="1036"/>
      <c r="E114" s="1036"/>
      <c r="F114" s="1036"/>
      <c r="G114" s="1036"/>
      <c r="H114" s="1036"/>
      <c r="I114" s="1036"/>
      <c r="J114" s="1598"/>
      <c r="K114" s="1598"/>
      <c r="L114" s="1033"/>
      <c r="M114" s="1036"/>
      <c r="N114" s="503"/>
      <c r="O114" s="1036"/>
      <c r="P114" s="1036"/>
      <c r="Q114" s="1036"/>
      <c r="R114" s="1036"/>
      <c r="S114" s="372"/>
      <c r="T114" s="372"/>
      <c r="U114" s="372"/>
      <c r="V114" s="372"/>
      <c r="W114" s="1096"/>
      <c r="X114" s="1110"/>
      <c r="Y114" s="1110"/>
      <c r="Z114" s="372"/>
      <c r="AA114" s="372"/>
      <c r="AB114" s="372"/>
      <c r="AC114" s="1096"/>
      <c r="AD114" s="1110"/>
      <c r="AE114" s="1110"/>
      <c r="AF114" s="372"/>
      <c r="AG114" s="372"/>
      <c r="AH114" s="372"/>
      <c r="AI114" s="482"/>
      <c r="AJ114" s="372"/>
      <c r="AK114" s="440"/>
      <c r="AM114" s="460">
        <v>114</v>
      </c>
      <c r="AN114" s="1078"/>
    </row>
    <row r="115" spans="1:54" ht="14.25" customHeight="1" x14ac:dyDescent="0.25">
      <c r="A115" s="440"/>
      <c r="B115" s="499">
        <v>2</v>
      </c>
      <c r="C115" s="494"/>
      <c r="D115" s="495"/>
      <c r="E115" s="1606" t="s">
        <v>54</v>
      </c>
      <c r="F115" s="1606"/>
      <c r="G115" s="1606"/>
      <c r="H115" s="1606"/>
      <c r="I115" s="1597"/>
      <c r="J115" s="1038"/>
      <c r="K115" s="462"/>
      <c r="L115" s="462"/>
      <c r="M115" s="363"/>
      <c r="N115" s="359"/>
      <c r="O115" s="363"/>
      <c r="P115" s="363"/>
      <c r="Q115" s="363"/>
      <c r="R115" s="363"/>
      <c r="S115" s="385">
        <f ca="1">S116</f>
        <v>0</v>
      </c>
      <c r="T115" s="363"/>
      <c r="U115" s="358"/>
      <c r="V115" s="358"/>
      <c r="W115" s="1091"/>
      <c r="X115" s="1104"/>
      <c r="Y115" s="1104"/>
      <c r="Z115" s="363"/>
      <c r="AA115" s="358"/>
      <c r="AB115" s="358"/>
      <c r="AC115" s="1091"/>
      <c r="AD115" s="1104"/>
      <c r="AE115" s="1104"/>
      <c r="AF115" s="358"/>
      <c r="AG115" s="358"/>
      <c r="AH115" s="358"/>
      <c r="AI115" s="358"/>
      <c r="AJ115" s="358"/>
      <c r="AK115" s="440"/>
      <c r="AM115" s="460">
        <v>115</v>
      </c>
      <c r="AN115" s="1078"/>
    </row>
    <row r="116" spans="1:54" ht="14.25" customHeight="1" x14ac:dyDescent="0.25">
      <c r="A116" s="440"/>
      <c r="B116" s="1043"/>
      <c r="C116" s="1036" t="s">
        <v>53</v>
      </c>
      <c r="D116" s="494"/>
      <c r="E116" s="1596" t="s">
        <v>52</v>
      </c>
      <c r="F116" s="1596"/>
      <c r="G116" s="1596"/>
      <c r="H116" s="1596"/>
      <c r="I116" s="1597"/>
      <c r="J116" s="1038"/>
      <c r="K116" s="462"/>
      <c r="L116" s="462"/>
      <c r="M116" s="1036"/>
      <c r="N116" s="503"/>
      <c r="O116" s="1036"/>
      <c r="P116" s="1036"/>
      <c r="Q116" s="1036"/>
      <c r="R116" s="1036"/>
      <c r="S116" s="355">
        <f ca="1">S117</f>
        <v>0</v>
      </c>
      <c r="T116" s="363"/>
      <c r="U116" s="358"/>
      <c r="V116" s="358"/>
      <c r="W116" s="1091"/>
      <c r="X116" s="1104"/>
      <c r="Y116" s="1104"/>
      <c r="Z116" s="363"/>
      <c r="AA116" s="358"/>
      <c r="AB116" s="358"/>
      <c r="AC116" s="1091"/>
      <c r="AD116" s="1104"/>
      <c r="AE116" s="1104"/>
      <c r="AF116" s="358"/>
      <c r="AG116" s="358"/>
      <c r="AH116" s="358"/>
      <c r="AI116" s="358"/>
      <c r="AJ116" s="358"/>
      <c r="AK116" s="440"/>
      <c r="AM116" s="460">
        <v>116</v>
      </c>
      <c r="AN116" s="1078"/>
    </row>
    <row r="117" spans="1:54" ht="12" customHeight="1" x14ac:dyDescent="0.25">
      <c r="A117" s="440"/>
      <c r="B117" s="1043"/>
      <c r="C117" s="380"/>
      <c r="D117" s="1037" t="s">
        <v>325</v>
      </c>
      <c r="E117" s="1599" t="s">
        <v>326</v>
      </c>
      <c r="F117" s="1599"/>
      <c r="G117" s="1599"/>
      <c r="H117" s="1599"/>
      <c r="I117" s="1597"/>
      <c r="J117" s="1038"/>
      <c r="K117" s="462"/>
      <c r="L117" s="462"/>
      <c r="M117" s="1036"/>
      <c r="N117" s="503"/>
      <c r="O117" s="1036"/>
      <c r="P117" s="1036"/>
      <c r="Q117" s="1036"/>
      <c r="R117" s="1036"/>
      <c r="S117" s="354">
        <f ca="1">SUBTOTAL(109,S119:S120)</f>
        <v>0</v>
      </c>
      <c r="T117" s="363"/>
      <c r="U117" s="358"/>
      <c r="V117" s="358"/>
      <c r="W117" s="1091"/>
      <c r="X117" s="1104"/>
      <c r="Y117" s="1104"/>
      <c r="Z117" s="358"/>
      <c r="AA117" s="358"/>
      <c r="AB117" s="358"/>
      <c r="AC117" s="1091"/>
      <c r="AD117" s="1104"/>
      <c r="AE117" s="1104"/>
      <c r="AF117" s="358"/>
      <c r="AG117" s="358"/>
      <c r="AH117" s="358"/>
      <c r="AI117" s="358"/>
      <c r="AJ117" s="358"/>
      <c r="AK117" s="440"/>
      <c r="AM117" s="460">
        <v>117</v>
      </c>
      <c r="AN117" s="1078"/>
    </row>
    <row r="118" spans="1:54" ht="12" customHeight="1" x14ac:dyDescent="0.25">
      <c r="A118" s="440"/>
      <c r="B118" s="1043"/>
      <c r="C118" s="380"/>
      <c r="D118" s="1037"/>
      <c r="E118" s="1037"/>
      <c r="F118" s="1037"/>
      <c r="G118" s="1037"/>
      <c r="H118" s="1037"/>
      <c r="I118" s="1035"/>
      <c r="J118" s="1038"/>
      <c r="K118" s="462"/>
      <c r="L118" s="462"/>
      <c r="M118" s="1036"/>
      <c r="N118" s="503"/>
      <c r="O118" s="1036"/>
      <c r="P118" s="1036"/>
      <c r="Q118" s="1036"/>
      <c r="R118" s="1036"/>
      <c r="S118" s="354"/>
      <c r="T118" s="363"/>
      <c r="U118" s="373"/>
      <c r="V118" s="373"/>
      <c r="W118" s="1091"/>
      <c r="X118" s="1111"/>
      <c r="Y118" s="1111"/>
      <c r="Z118" s="363"/>
      <c r="AA118" s="373"/>
      <c r="AB118" s="373"/>
      <c r="AC118" s="1091"/>
      <c r="AD118" s="1111"/>
      <c r="AE118" s="1111"/>
      <c r="AF118" s="358"/>
      <c r="AG118" s="358"/>
      <c r="AH118" s="358"/>
      <c r="AI118" s="373"/>
      <c r="AJ118" s="358"/>
      <c r="AK118" s="440"/>
      <c r="AM118" s="460">
        <v>118</v>
      </c>
      <c r="AN118" s="1078"/>
    </row>
    <row r="119" spans="1:54" ht="12" customHeight="1" x14ac:dyDescent="0.2">
      <c r="A119" s="440"/>
      <c r="B119" s="1043"/>
      <c r="C119" s="380"/>
      <c r="D119" s="1037"/>
      <c r="E119" s="1084">
        <f ca="1">IF(AX119="E","",AN119)</f>
        <v>0</v>
      </c>
      <c r="F119" s="1085"/>
      <c r="G119" s="1264"/>
      <c r="H119" s="1264"/>
      <c r="I119" s="1265"/>
      <c r="J119" s="638"/>
      <c r="K119" s="540" t="s">
        <v>171</v>
      </c>
      <c r="L119" s="541"/>
      <c r="M119" s="340"/>
      <c r="N119" s="528" t="s">
        <v>67</v>
      </c>
      <c r="O119" s="339"/>
      <c r="P119" s="543" t="s">
        <v>68</v>
      </c>
      <c r="Q119" s="344"/>
      <c r="R119" s="522" t="s">
        <v>363</v>
      </c>
      <c r="S119" s="353">
        <f t="shared" ref="S119:S120" ca="1" si="181">IF(AY119="E",(M119*O119)+Q119,AO119)</f>
        <v>0</v>
      </c>
      <c r="T119" s="523"/>
      <c r="U119" s="350"/>
      <c r="V119" s="308"/>
      <c r="W119" s="1090" t="str">
        <f t="shared" ref="W119:W120" ca="1" si="182">IF(AZ119="E",IF(AND(V119&lt;&gt;0,U119&lt;&gt;0),"X",IF(AND(V119&lt;&gt;0,U119=0),"A",IF(AND(V119=0,U119&lt;&gt;0),"P",""))),AR119)</f>
        <v/>
      </c>
      <c r="X119" s="1103">
        <f t="shared" ref="X119:X120" ca="1" si="183">IF(AZ119="E",IFERROR(IF(W119="X",0,IF(U119&gt;0,U119,V119/S119)),0),
IFERROR(IF(OR(AR119="X",AR119=0),0,
IF(AR119="P",AP119,IF(AR119="A",AQ119/S119,0))),0))</f>
        <v>0</v>
      </c>
      <c r="Y119" s="1120">
        <f t="shared" ref="Y119:Y120" ca="1" si="184">IF(AZ119="E",IFERROR(IF(W119="X",0,IF(V119&gt;0,V119,S119*U119)),0),
IFERROR(IF(OR(AR119="X",AR119="0"),0,IF(AR119="A",AQ119,S119*AP119)),0))</f>
        <v>0</v>
      </c>
      <c r="Z119" s="524"/>
      <c r="AA119" s="350"/>
      <c r="AB119" s="308"/>
      <c r="AC119" s="1090" t="str">
        <f t="shared" ref="AC119:AC120" ca="1" si="185">IF(BA119="E",IF(AND(AB119&lt;&gt;0,AA119&lt;&gt;0),"X",IF(AND(AB119&lt;&gt;0,AA119=0),"A",IF(AND(AB119=0,AA119&lt;&gt;0),"P",""))),AU119)</f>
        <v/>
      </c>
      <c r="AD119" s="1103">
        <f t="shared" ref="AD119:AD120" ca="1" si="186">IF(BA119="E",IFERROR(IF(AC119="X",0,IF(AA119&gt;0,AA119,AB119/S119)),0),
IFERROR(IF(OR(AU119="X",AU119=0),0,
IF(AU119="P",AS119,IF(AU119="A",AT119/S119,0))),0))</f>
        <v>0</v>
      </c>
      <c r="AE119" s="1120">
        <f t="shared" ref="AE119:AE120" ca="1" si="187">IF(BA119="E",IFERROR(IF(AC119="X",0,IF(AB119&gt;0,AB119,S119*AA119)),0),
IFERROR(IF(OR(AU119="X",AU119=0),0,
IF(AU119="A",AT119,S119*AS119)),0))</f>
        <v>0</v>
      </c>
      <c r="AF119" s="525"/>
      <c r="AG119" s="637"/>
      <c r="AH119" s="525"/>
      <c r="AI119" s="1086">
        <f t="shared" ref="AI119:AI120" ca="1" si="188">IF(BB119="E",AG119,AV119)</f>
        <v>0</v>
      </c>
      <c r="AJ119" s="380"/>
      <c r="AK119" s="440"/>
      <c r="AM119" s="460">
        <v>119</v>
      </c>
      <c r="AN119" s="1087">
        <f t="shared" ref="AN119:AN120" ca="1" si="189">IF($M$13=$AN$12,"",IF(ISTEXT(INDIRECT("'"&amp;$AM$20&amp;"'!"&amp;AN$21&amp;$AM119)),INDIRECT("'"&amp;$AM$20&amp;"'!"&amp;AN$21&amp;$AM119),INDIRECT("'"&amp;$AM$20&amp;"'!"&amp;AN$22&amp;$AM119)))</f>
        <v>0</v>
      </c>
      <c r="AO119" s="1083">
        <f t="shared" ref="AO119:AV120" ca="1" si="190">IF($M$13=$AN$12,"",INDIRECT("'"&amp;$AM$20&amp;"'!"&amp;AO$21&amp;$AM119))</f>
        <v>0</v>
      </c>
      <c r="AP119" s="356">
        <f t="shared" ca="1" si="190"/>
        <v>0</v>
      </c>
      <c r="AQ119" s="357">
        <f t="shared" ca="1" si="190"/>
        <v>0</v>
      </c>
      <c r="AR119" s="524" t="str">
        <f t="shared" ca="1" si="190"/>
        <v/>
      </c>
      <c r="AS119" s="356">
        <f t="shared" ca="1" si="190"/>
        <v>0</v>
      </c>
      <c r="AT119" s="357">
        <f t="shared" ca="1" si="190"/>
        <v>0</v>
      </c>
      <c r="AU119" s="524" t="str">
        <f t="shared" ca="1" si="190"/>
        <v/>
      </c>
      <c r="AV119" s="1083">
        <f t="shared" ca="1" si="190"/>
        <v>0</v>
      </c>
      <c r="AX119" s="1083" t="str">
        <f t="shared" ref="AX119:AX120" si="191">IF($M$13=$AN$12,"E",IF(ISTEXT(F119),"E","U"))</f>
        <v>U</v>
      </c>
      <c r="AY119" s="1083" t="str">
        <f t="shared" ref="AY119:AY120" si="192">IF($M$13=$AN$12,"E",IF(OR(ISNUMBER(M119),ISNUMBER(O119),ISNUMBER(Q119)),"E","U"))</f>
        <v>U</v>
      </c>
      <c r="AZ119" s="1083" t="str">
        <f t="shared" ref="AZ119:AZ120" si="193">IF($M$13=$AN$12,"E",IF(OR(ISNUMBER(U119),ISNUMBER(V119)),"E","U"))</f>
        <v>U</v>
      </c>
      <c r="BA119" s="1083" t="str">
        <f t="shared" ref="BA119:BA120" si="194">IF($M$13=$AN$12,"E",IF(OR(ISNUMBER(AA119),ISNUMBER(AB119)),"E","U"))</f>
        <v>U</v>
      </c>
      <c r="BB119" s="1083" t="str">
        <f t="shared" ref="BB119:BB120" si="195">IF($M$13=$AN$12,"E",IF(ISNUMBER(AG119),"E","U"))</f>
        <v>U</v>
      </c>
    </row>
    <row r="120" spans="1:54" ht="12" customHeight="1" x14ac:dyDescent="0.2">
      <c r="A120" s="440"/>
      <c r="B120" s="1043"/>
      <c r="C120" s="380"/>
      <c r="D120" s="1037"/>
      <c r="E120" s="1084">
        <f ca="1">IF(AX120="E","",AN120)</f>
        <v>0</v>
      </c>
      <c r="F120" s="1085"/>
      <c r="G120" s="1264"/>
      <c r="H120" s="1264"/>
      <c r="I120" s="1265"/>
      <c r="J120" s="638"/>
      <c r="K120" s="538" t="s">
        <v>171</v>
      </c>
      <c r="L120" s="541"/>
      <c r="M120" s="340"/>
      <c r="N120" s="528" t="s">
        <v>67</v>
      </c>
      <c r="O120" s="339"/>
      <c r="P120" s="543" t="s">
        <v>68</v>
      </c>
      <c r="Q120" s="344"/>
      <c r="R120" s="522" t="s">
        <v>363</v>
      </c>
      <c r="S120" s="353">
        <f t="shared" ca="1" si="181"/>
        <v>0</v>
      </c>
      <c r="T120" s="523"/>
      <c r="U120" s="350"/>
      <c r="V120" s="308"/>
      <c r="W120" s="1090" t="str">
        <f t="shared" ca="1" si="182"/>
        <v/>
      </c>
      <c r="X120" s="1103">
        <f t="shared" ca="1" si="183"/>
        <v>0</v>
      </c>
      <c r="Y120" s="1120">
        <f t="shared" ca="1" si="184"/>
        <v>0</v>
      </c>
      <c r="Z120" s="524"/>
      <c r="AA120" s="350"/>
      <c r="AB120" s="308"/>
      <c r="AC120" s="1090" t="str">
        <f t="shared" ca="1" si="185"/>
        <v/>
      </c>
      <c r="AD120" s="1103">
        <f t="shared" ca="1" si="186"/>
        <v>0</v>
      </c>
      <c r="AE120" s="1120">
        <f t="shared" ca="1" si="187"/>
        <v>0</v>
      </c>
      <c r="AF120" s="525"/>
      <c r="AG120" s="637"/>
      <c r="AH120" s="525"/>
      <c r="AI120" s="1086">
        <f t="shared" ca="1" si="188"/>
        <v>0</v>
      </c>
      <c r="AJ120" s="380"/>
      <c r="AK120" s="440"/>
      <c r="AM120" s="460">
        <v>120</v>
      </c>
      <c r="AN120" s="1087">
        <f t="shared" ca="1" si="189"/>
        <v>0</v>
      </c>
      <c r="AO120" s="1083">
        <f t="shared" ca="1" si="190"/>
        <v>0</v>
      </c>
      <c r="AP120" s="356">
        <f t="shared" ca="1" si="190"/>
        <v>0</v>
      </c>
      <c r="AQ120" s="357">
        <f t="shared" ca="1" si="190"/>
        <v>0</v>
      </c>
      <c r="AR120" s="524" t="str">
        <f t="shared" ca="1" si="190"/>
        <v/>
      </c>
      <c r="AS120" s="356">
        <f t="shared" ca="1" si="190"/>
        <v>0</v>
      </c>
      <c r="AT120" s="357">
        <f t="shared" ca="1" si="190"/>
        <v>0</v>
      </c>
      <c r="AU120" s="524" t="str">
        <f t="shared" ca="1" si="190"/>
        <v/>
      </c>
      <c r="AV120" s="1083">
        <f t="shared" ca="1" si="190"/>
        <v>0</v>
      </c>
      <c r="AX120" s="1083" t="str">
        <f t="shared" si="191"/>
        <v>U</v>
      </c>
      <c r="AY120" s="1083" t="str">
        <f t="shared" si="192"/>
        <v>U</v>
      </c>
      <c r="AZ120" s="1083" t="str">
        <f t="shared" si="193"/>
        <v>U</v>
      </c>
      <c r="BA120" s="1083" t="str">
        <f t="shared" si="194"/>
        <v>U</v>
      </c>
      <c r="BB120" s="1083" t="str">
        <f t="shared" si="195"/>
        <v>U</v>
      </c>
    </row>
    <row r="121" spans="1:54" ht="12" customHeight="1" collapsed="1" x14ac:dyDescent="0.2">
      <c r="A121" s="440"/>
      <c r="B121" s="324"/>
      <c r="C121" s="378"/>
      <c r="D121" s="374"/>
      <c r="E121" s="374"/>
      <c r="F121" s="374"/>
      <c r="G121" s="374"/>
      <c r="H121" s="374"/>
      <c r="I121" s="374"/>
      <c r="J121" s="374"/>
      <c r="K121" s="544"/>
      <c r="L121" s="544"/>
      <c r="M121" s="545"/>
      <c r="N121" s="544"/>
      <c r="O121" s="374"/>
      <c r="P121" s="374"/>
      <c r="Q121" s="374"/>
      <c r="R121" s="374"/>
      <c r="S121" s="374"/>
      <c r="T121" s="374"/>
      <c r="U121" s="374"/>
      <c r="V121" s="374"/>
      <c r="W121" s="1097"/>
      <c r="X121" s="1112"/>
      <c r="Y121" s="1112"/>
      <c r="Z121" s="374"/>
      <c r="AA121" s="374"/>
      <c r="AB121" s="374"/>
      <c r="AC121" s="1097"/>
      <c r="AD121" s="1112"/>
      <c r="AE121" s="1112"/>
      <c r="AF121" s="374"/>
      <c r="AG121" s="374"/>
      <c r="AH121" s="374"/>
      <c r="AI121" s="546"/>
      <c r="AJ121" s="374"/>
      <c r="AK121" s="440"/>
      <c r="AM121" s="460">
        <v>121</v>
      </c>
      <c r="AN121" s="1078"/>
    </row>
    <row r="122" spans="1:54" ht="12" customHeight="1" x14ac:dyDescent="0.2">
      <c r="A122" s="440"/>
      <c r="B122" s="547"/>
      <c r="C122" s="548"/>
      <c r="D122" s="548"/>
      <c r="E122" s="548"/>
      <c r="F122" s="548"/>
      <c r="G122" s="548"/>
      <c r="H122" s="548"/>
      <c r="I122" s="548"/>
      <c r="J122" s="1598"/>
      <c r="K122" s="1598"/>
      <c r="L122" s="1033"/>
      <c r="M122" s="549"/>
      <c r="N122" s="1033"/>
      <c r="O122" s="379"/>
      <c r="P122" s="379"/>
      <c r="Q122" s="379"/>
      <c r="R122" s="379"/>
      <c r="S122" s="389"/>
      <c r="T122" s="389"/>
      <c r="U122" s="1598"/>
      <c r="V122" s="1598"/>
      <c r="W122" s="1095"/>
      <c r="X122" s="1113"/>
      <c r="Y122" s="1113"/>
      <c r="Z122" s="389"/>
      <c r="AA122" s="1598"/>
      <c r="AB122" s="1598"/>
      <c r="AC122" s="1095"/>
      <c r="AD122" s="1113"/>
      <c r="AE122" s="1113"/>
      <c r="AF122" s="379"/>
      <c r="AG122" s="379"/>
      <c r="AH122" s="379"/>
      <c r="AI122" s="481"/>
      <c r="AJ122" s="379"/>
      <c r="AK122" s="440"/>
      <c r="AM122" s="460">
        <v>122</v>
      </c>
      <c r="AN122" s="1078"/>
    </row>
    <row r="123" spans="1:54" ht="12" customHeight="1" x14ac:dyDescent="0.2">
      <c r="A123" s="440"/>
      <c r="B123" s="320"/>
      <c r="C123" s="1036"/>
      <c r="D123" s="1036"/>
      <c r="E123" s="1036"/>
      <c r="F123" s="1036"/>
      <c r="G123" s="1036"/>
      <c r="H123" s="1036"/>
      <c r="I123" s="1036"/>
      <c r="J123" s="1598"/>
      <c r="K123" s="1598"/>
      <c r="L123" s="1033"/>
      <c r="M123" s="498"/>
      <c r="N123" s="503"/>
      <c r="O123" s="1036"/>
      <c r="P123" s="1036"/>
      <c r="Q123" s="1036"/>
      <c r="R123" s="1036"/>
      <c r="S123" s="372"/>
      <c r="T123" s="372"/>
      <c r="U123" s="372"/>
      <c r="V123" s="372"/>
      <c r="W123" s="1096"/>
      <c r="X123" s="1110"/>
      <c r="Y123" s="1110"/>
      <c r="Z123" s="372"/>
      <c r="AA123" s="372"/>
      <c r="AB123" s="372"/>
      <c r="AC123" s="1096"/>
      <c r="AD123" s="1110"/>
      <c r="AE123" s="1110"/>
      <c r="AF123" s="372"/>
      <c r="AG123" s="372"/>
      <c r="AH123" s="372"/>
      <c r="AI123" s="482"/>
      <c r="AJ123" s="372"/>
      <c r="AK123" s="440"/>
      <c r="AM123" s="460">
        <v>123</v>
      </c>
      <c r="AN123" s="1078"/>
    </row>
    <row r="124" spans="1:54" ht="14.25" customHeight="1" x14ac:dyDescent="0.25">
      <c r="A124" s="440"/>
      <c r="B124" s="499">
        <v>3</v>
      </c>
      <c r="C124" s="494"/>
      <c r="D124" s="495"/>
      <c r="E124" s="1606" t="s">
        <v>48</v>
      </c>
      <c r="F124" s="1606"/>
      <c r="G124" s="1606"/>
      <c r="H124" s="1606"/>
      <c r="I124" s="1597"/>
      <c r="J124" s="1038"/>
      <c r="K124" s="462"/>
      <c r="L124" s="462"/>
      <c r="M124" s="498"/>
      <c r="N124" s="359"/>
      <c r="O124" s="363"/>
      <c r="P124" s="363"/>
      <c r="Q124" s="363"/>
      <c r="R124" s="363"/>
      <c r="S124" s="385">
        <f ca="1">S125+S142+S155+S164</f>
        <v>267453.27600000001</v>
      </c>
      <c r="T124" s="363"/>
      <c r="U124" s="358"/>
      <c r="V124" s="358"/>
      <c r="W124" s="1091"/>
      <c r="X124" s="1104"/>
      <c r="Y124" s="1104"/>
      <c r="Z124" s="363"/>
      <c r="AA124" s="358"/>
      <c r="AB124" s="358"/>
      <c r="AC124" s="1091"/>
      <c r="AD124" s="1104"/>
      <c r="AE124" s="1104"/>
      <c r="AF124" s="358"/>
      <c r="AG124" s="358"/>
      <c r="AH124" s="358"/>
      <c r="AI124" s="358"/>
      <c r="AJ124" s="358"/>
      <c r="AK124" s="440"/>
      <c r="AM124" s="460">
        <v>124</v>
      </c>
      <c r="AN124" s="1078"/>
    </row>
    <row r="125" spans="1:54" ht="14.25" customHeight="1" x14ac:dyDescent="0.25">
      <c r="A125" s="440"/>
      <c r="B125" s="1043"/>
      <c r="C125" s="1036" t="s">
        <v>47</v>
      </c>
      <c r="D125" s="494"/>
      <c r="E125" s="1596" t="s">
        <v>46</v>
      </c>
      <c r="F125" s="1596"/>
      <c r="G125" s="1596"/>
      <c r="H125" s="1596"/>
      <c r="I125" s="1597"/>
      <c r="J125" s="1038"/>
      <c r="K125" s="502"/>
      <c r="L125" s="502"/>
      <c r="M125" s="532"/>
      <c r="N125" s="463"/>
      <c r="O125" s="380"/>
      <c r="P125" s="363"/>
      <c r="Q125" s="363"/>
      <c r="R125" s="363"/>
      <c r="S125" s="355">
        <f ca="1">S126+S135+S136</f>
        <v>216030.87599999999</v>
      </c>
      <c r="T125" s="363"/>
      <c r="U125" s="358"/>
      <c r="V125" s="358"/>
      <c r="W125" s="1091"/>
      <c r="X125" s="1104"/>
      <c r="Y125" s="1104"/>
      <c r="Z125" s="363"/>
      <c r="AA125" s="358"/>
      <c r="AB125" s="358"/>
      <c r="AC125" s="1091"/>
      <c r="AD125" s="1104"/>
      <c r="AE125" s="1104"/>
      <c r="AF125" s="358"/>
      <c r="AG125" s="358"/>
      <c r="AH125" s="358"/>
      <c r="AI125" s="358"/>
      <c r="AJ125" s="358"/>
      <c r="AK125" s="440"/>
      <c r="AM125" s="460">
        <v>125</v>
      </c>
      <c r="AN125" s="1078"/>
    </row>
    <row r="126" spans="1:54" ht="12" customHeight="1" x14ac:dyDescent="0.25">
      <c r="A126" s="440"/>
      <c r="B126" s="1043"/>
      <c r="C126" s="380"/>
      <c r="D126" s="1037" t="s">
        <v>45</v>
      </c>
      <c r="E126" s="1599" t="s">
        <v>303</v>
      </c>
      <c r="F126" s="1599"/>
      <c r="G126" s="1599"/>
      <c r="H126" s="1599"/>
      <c r="I126" s="1597"/>
      <c r="J126" s="1038"/>
      <c r="K126" s="1038"/>
      <c r="L126" s="503"/>
      <c r="M126" s="498"/>
      <c r="N126" s="359"/>
      <c r="O126" s="363"/>
      <c r="P126" s="363"/>
      <c r="Q126" s="363"/>
      <c r="R126" s="363"/>
      <c r="S126" s="354">
        <f ca="1">SUBTOTAL(109,S128:S133)</f>
        <v>154002</v>
      </c>
      <c r="T126" s="363"/>
      <c r="U126" s="358"/>
      <c r="V126" s="358"/>
      <c r="W126" s="1091"/>
      <c r="X126" s="1104"/>
      <c r="Y126" s="1104"/>
      <c r="Z126" s="363"/>
      <c r="AA126" s="358"/>
      <c r="AB126" s="358"/>
      <c r="AC126" s="1091"/>
      <c r="AD126" s="1104"/>
      <c r="AE126" s="1104"/>
      <c r="AF126" s="358"/>
      <c r="AG126" s="358"/>
      <c r="AH126" s="358"/>
      <c r="AI126" s="358"/>
      <c r="AJ126" s="358"/>
      <c r="AK126" s="440"/>
      <c r="AM126" s="460">
        <v>126</v>
      </c>
      <c r="AN126" s="1078"/>
    </row>
    <row r="127" spans="1:54" ht="12" customHeight="1" x14ac:dyDescent="0.25">
      <c r="A127" s="440"/>
      <c r="B127" s="1043"/>
      <c r="C127" s="380"/>
      <c r="D127" s="1037"/>
      <c r="E127" s="1037"/>
      <c r="F127" s="1037"/>
      <c r="G127" s="1037"/>
      <c r="H127" s="1037"/>
      <c r="I127" s="1035"/>
      <c r="J127" s="1603" t="s">
        <v>188</v>
      </c>
      <c r="K127" s="1603"/>
      <c r="L127" s="503"/>
      <c r="M127" s="498"/>
      <c r="N127" s="359"/>
      <c r="O127" s="363"/>
      <c r="P127" s="363"/>
      <c r="Q127" s="363"/>
      <c r="R127" s="363"/>
      <c r="S127" s="354"/>
      <c r="T127" s="363"/>
      <c r="U127" s="358"/>
      <c r="V127" s="358"/>
      <c r="W127" s="1091"/>
      <c r="X127" s="1104"/>
      <c r="Y127" s="1104"/>
      <c r="Z127" s="363"/>
      <c r="AA127" s="358"/>
      <c r="AB127" s="358"/>
      <c r="AC127" s="1091"/>
      <c r="AD127" s="1104"/>
      <c r="AE127" s="1104"/>
      <c r="AF127" s="358"/>
      <c r="AG127" s="358"/>
      <c r="AH127" s="358"/>
      <c r="AI127" s="358"/>
      <c r="AJ127" s="358"/>
      <c r="AK127" s="440"/>
      <c r="AM127" s="460">
        <v>127</v>
      </c>
      <c r="AN127" s="1078"/>
    </row>
    <row r="128" spans="1:54" ht="12" customHeight="1" x14ac:dyDescent="0.2">
      <c r="A128" s="440"/>
      <c r="B128" s="1043"/>
      <c r="C128" s="380"/>
      <c r="D128" s="1037"/>
      <c r="E128" s="1084" t="str">
        <f t="shared" ref="E128:E133" ca="1" si="196">IF(AX128="E","",AN128)</f>
        <v>Wärmepumpe LD20</v>
      </c>
      <c r="F128" s="1085"/>
      <c r="G128" s="1264"/>
      <c r="H128" s="1264"/>
      <c r="I128" s="1265"/>
      <c r="J128" s="638"/>
      <c r="K128" s="550" t="s">
        <v>179</v>
      </c>
      <c r="L128" s="551"/>
      <c r="M128" s="340"/>
      <c r="N128" s="528" t="s">
        <v>69</v>
      </c>
      <c r="O128" s="339"/>
      <c r="P128" s="543" t="s">
        <v>70</v>
      </c>
      <c r="Q128" s="344"/>
      <c r="R128" s="522" t="s">
        <v>363</v>
      </c>
      <c r="S128" s="353">
        <f t="shared" ref="S128:S133" ca="1" si="197">IF(AY128="E",(M128*O128)+Q128,AO128)</f>
        <v>24012</v>
      </c>
      <c r="T128" s="523"/>
      <c r="U128" s="350"/>
      <c r="V128" s="308"/>
      <c r="W128" s="1090" t="str">
        <f t="shared" ref="W128:W133" ca="1" si="198">IF(AZ128="E",IF(AND(V128&lt;&gt;0,U128&lt;&gt;0),"X",IF(AND(V128&lt;&gt;0,U128=0),"A",IF(AND(V128=0,U128&lt;&gt;0),"P",""))),AR128)</f>
        <v/>
      </c>
      <c r="X128" s="1103">
        <f t="shared" ref="X128:X133" ca="1" si="199">IF(AZ128="E",IFERROR(IF(W128="X",0,IF(U128&gt;0,U128,V128/S128)),0),
IFERROR(IF(OR(AR128="X",AR128=0),0,
IF(AR128="P",AP128,IF(AR128="A",AQ128/S128,0))),0))</f>
        <v>0</v>
      </c>
      <c r="Y128" s="1120">
        <f t="shared" ref="Y128:Y133" ca="1" si="200">IF(AZ128="E",IFERROR(IF(W128="X",0,IF(V128&gt;0,V128,S128*U128)),0),
IFERROR(IF(OR(AR128="X",AR128="0"),0,IF(AR128="A",AQ128,S128*AP128)),0))</f>
        <v>0</v>
      </c>
      <c r="Z128" s="524"/>
      <c r="AA128" s="350"/>
      <c r="AB128" s="308"/>
      <c r="AC128" s="1090" t="str">
        <f t="shared" ref="AC128:AC133" ca="1" si="201">IF(BA128="E",IF(AND(AB128&lt;&gt;0,AA128&lt;&gt;0),"X",IF(AND(AB128&lt;&gt;0,AA128=0),"A",IF(AND(AB128=0,AA128&lt;&gt;0),"P",""))),AU128)</f>
        <v>A</v>
      </c>
      <c r="AD128" s="1103">
        <f t="shared" ref="AD128:AD133" ca="1" si="202">IF(BA128="E",IFERROR(IF(AC128="X",0,IF(AA128&gt;0,AA128,AB128/S128)),0),
IFERROR(IF(OR(AU128="X",AU128=0),0,
IF(AU128="P",AS128,IF(AU128="A",AT128/S128,0))),0))</f>
        <v>5.0183241712477095E-2</v>
      </c>
      <c r="AE128" s="1120">
        <f t="shared" ref="AE128:AE133" ca="1" si="203">IF(BA128="E",IFERROR(IF(AC128="X",0,IF(AB128&gt;0,AB128,S128*AA128)),0),
IFERROR(IF(OR(AU128="X",AU128=0),0,
IF(AU128="A",AT128,S128*AS128)),0))</f>
        <v>1205</v>
      </c>
      <c r="AF128" s="525"/>
      <c r="AG128" s="637"/>
      <c r="AH128" s="525"/>
      <c r="AI128" s="1086">
        <f t="shared" ref="AI128:AI133" ca="1" si="204">IF(BB128="E",AG128,AV128)</f>
        <v>20</v>
      </c>
      <c r="AJ128" s="380"/>
      <c r="AK128" s="440"/>
      <c r="AM128" s="460">
        <v>128</v>
      </c>
      <c r="AN128" s="1087" t="str">
        <f t="shared" ref="AN128:AN133" ca="1" si="205">IF($M$13=$AN$12,"",IF(ISTEXT(INDIRECT("'"&amp;$AM$20&amp;"'!"&amp;AN$21&amp;$AM128)),INDIRECT("'"&amp;$AM$20&amp;"'!"&amp;AN$21&amp;$AM128),INDIRECT("'"&amp;$AM$20&amp;"'!"&amp;AN$22&amp;$AM128)))</f>
        <v>Wärmepumpe LD20</v>
      </c>
      <c r="AO128" s="1083">
        <f t="shared" ref="AO128:AV133" ca="1" si="206">IF($M$13=$AN$12,"",INDIRECT("'"&amp;$AM$20&amp;"'!"&amp;AO$21&amp;$AM128))</f>
        <v>24012</v>
      </c>
      <c r="AP128" s="356">
        <f t="shared" ca="1" si="206"/>
        <v>0</v>
      </c>
      <c r="AQ128" s="357">
        <f t="shared" ca="1" si="206"/>
        <v>0</v>
      </c>
      <c r="AR128" s="524" t="str">
        <f t="shared" ca="1" si="206"/>
        <v/>
      </c>
      <c r="AS128" s="356">
        <f t="shared" ca="1" si="206"/>
        <v>5.0183241712477095E-2</v>
      </c>
      <c r="AT128" s="357">
        <f t="shared" ca="1" si="206"/>
        <v>1205</v>
      </c>
      <c r="AU128" s="524" t="str">
        <f t="shared" ca="1" si="206"/>
        <v>A</v>
      </c>
      <c r="AV128" s="1083">
        <f t="shared" ca="1" si="206"/>
        <v>20</v>
      </c>
      <c r="AX128" s="1083" t="str">
        <f t="shared" ref="AX128:AX133" si="207">IF($M$13=$AN$12,"E",IF(ISTEXT(F128),"E","U"))</f>
        <v>U</v>
      </c>
      <c r="AY128" s="1083" t="str">
        <f t="shared" ref="AY128:AY133" si="208">IF($M$13=$AN$12,"E",IF(OR(ISNUMBER(M128),ISNUMBER(O128),ISNUMBER(Q128)),"E","U"))</f>
        <v>U</v>
      </c>
      <c r="AZ128" s="1083" t="str">
        <f t="shared" ref="AZ128:AZ133" si="209">IF($M$13=$AN$12,"E",IF(OR(ISNUMBER(U128),ISNUMBER(V128)),"E","U"))</f>
        <v>U</v>
      </c>
      <c r="BA128" s="1083" t="str">
        <f t="shared" ref="BA128:BA133" si="210">IF($M$13=$AN$12,"E",IF(OR(ISNUMBER(AA128),ISNUMBER(AB128)),"E","U"))</f>
        <v>U</v>
      </c>
      <c r="BB128" s="1083" t="str">
        <f t="shared" ref="BB128:BB133" si="211">IF($M$13=$AN$12,"E",IF(ISNUMBER(AG128),"E","U"))</f>
        <v>U</v>
      </c>
    </row>
    <row r="129" spans="1:54" ht="12" customHeight="1" x14ac:dyDescent="0.2">
      <c r="A129" s="440"/>
      <c r="B129" s="1043"/>
      <c r="C129" s="380"/>
      <c r="D129" s="1037"/>
      <c r="E129" s="1084" t="str">
        <f t="shared" ca="1" si="196"/>
        <v>Sonden und Speicher  LD50</v>
      </c>
      <c r="F129" s="1085"/>
      <c r="G129" s="1264"/>
      <c r="H129" s="1264"/>
      <c r="I129" s="1265"/>
      <c r="J129" s="638"/>
      <c r="K129" s="520" t="s">
        <v>179</v>
      </c>
      <c r="L129" s="521"/>
      <c r="M129" s="340"/>
      <c r="N129" s="528" t="s">
        <v>69</v>
      </c>
      <c r="O129" s="339"/>
      <c r="P129" s="543" t="s">
        <v>70</v>
      </c>
      <c r="Q129" s="344"/>
      <c r="R129" s="522" t="s">
        <v>363</v>
      </c>
      <c r="S129" s="353">
        <f t="shared" ca="1" si="197"/>
        <v>82177.2</v>
      </c>
      <c r="T129" s="523"/>
      <c r="U129" s="350"/>
      <c r="V129" s="308"/>
      <c r="W129" s="1090" t="str">
        <f t="shared" ca="1" si="198"/>
        <v/>
      </c>
      <c r="X129" s="1103">
        <f t="shared" ca="1" si="199"/>
        <v>0</v>
      </c>
      <c r="Y129" s="1120">
        <f t="shared" ca="1" si="200"/>
        <v>0</v>
      </c>
      <c r="Z129" s="524"/>
      <c r="AA129" s="350"/>
      <c r="AB129" s="308"/>
      <c r="AC129" s="1090" t="str">
        <f t="shared" ca="1" si="201"/>
        <v/>
      </c>
      <c r="AD129" s="1103">
        <f t="shared" ca="1" si="202"/>
        <v>0</v>
      </c>
      <c r="AE129" s="1120">
        <f t="shared" ca="1" si="203"/>
        <v>0</v>
      </c>
      <c r="AF129" s="525"/>
      <c r="AG129" s="637"/>
      <c r="AH129" s="525"/>
      <c r="AI129" s="1086">
        <f t="shared" ca="1" si="204"/>
        <v>50</v>
      </c>
      <c r="AJ129" s="380"/>
      <c r="AK129" s="440"/>
      <c r="AM129" s="460">
        <v>129</v>
      </c>
      <c r="AN129" s="1087" t="str">
        <f t="shared" ca="1" si="205"/>
        <v>Sonden und Speicher  LD50</v>
      </c>
      <c r="AO129" s="1083">
        <f t="shared" ca="1" si="206"/>
        <v>82177.2</v>
      </c>
      <c r="AP129" s="356">
        <f t="shared" ca="1" si="206"/>
        <v>0</v>
      </c>
      <c r="AQ129" s="357">
        <f t="shared" ca="1" si="206"/>
        <v>0</v>
      </c>
      <c r="AR129" s="524" t="str">
        <f t="shared" ca="1" si="206"/>
        <v/>
      </c>
      <c r="AS129" s="356">
        <f t="shared" ca="1" si="206"/>
        <v>0</v>
      </c>
      <c r="AT129" s="357">
        <f t="shared" ca="1" si="206"/>
        <v>0</v>
      </c>
      <c r="AU129" s="524" t="str">
        <f t="shared" ca="1" si="206"/>
        <v/>
      </c>
      <c r="AV129" s="1083">
        <f t="shared" ca="1" si="206"/>
        <v>50</v>
      </c>
      <c r="AX129" s="1083" t="str">
        <f t="shared" si="207"/>
        <v>U</v>
      </c>
      <c r="AY129" s="1083" t="str">
        <f t="shared" si="208"/>
        <v>U</v>
      </c>
      <c r="AZ129" s="1083" t="str">
        <f t="shared" si="209"/>
        <v>U</v>
      </c>
      <c r="BA129" s="1083" t="str">
        <f t="shared" si="210"/>
        <v>U</v>
      </c>
      <c r="BB129" s="1083" t="str">
        <f t="shared" si="211"/>
        <v>U</v>
      </c>
    </row>
    <row r="130" spans="1:54" ht="12" customHeight="1" x14ac:dyDescent="0.2">
      <c r="A130" s="440"/>
      <c r="B130" s="1043"/>
      <c r="C130" s="380"/>
      <c r="D130" s="1037"/>
      <c r="E130" s="1084" t="str">
        <f t="shared" si="196"/>
        <v/>
      </c>
      <c r="F130" s="1085" t="s">
        <v>763</v>
      </c>
      <c r="G130" s="1264"/>
      <c r="H130" s="1264"/>
      <c r="I130" s="1265"/>
      <c r="J130" s="638"/>
      <c r="K130" s="520" t="s">
        <v>179</v>
      </c>
      <c r="L130" s="521"/>
      <c r="M130" s="340"/>
      <c r="N130" s="528" t="s">
        <v>69</v>
      </c>
      <c r="O130" s="339"/>
      <c r="P130" s="543" t="s">
        <v>70</v>
      </c>
      <c r="Q130" s="344">
        <f>27232*1.2</f>
        <v>32678.399999999998</v>
      </c>
      <c r="R130" s="522" t="s">
        <v>363</v>
      </c>
      <c r="S130" s="353">
        <f t="shared" si="197"/>
        <v>32678.399999999998</v>
      </c>
      <c r="T130" s="523"/>
      <c r="U130" s="350"/>
      <c r="V130" s="308"/>
      <c r="W130" s="1090" t="str">
        <f t="shared" ca="1" si="198"/>
        <v/>
      </c>
      <c r="X130" s="1103">
        <f t="shared" ca="1" si="199"/>
        <v>0</v>
      </c>
      <c r="Y130" s="1120">
        <f t="shared" ca="1" si="200"/>
        <v>0</v>
      </c>
      <c r="Z130" s="524"/>
      <c r="AA130" s="350"/>
      <c r="AB130" s="308">
        <v>309</v>
      </c>
      <c r="AC130" s="1090" t="str">
        <f t="shared" si="201"/>
        <v>A</v>
      </c>
      <c r="AD130" s="1103">
        <f t="shared" si="202"/>
        <v>9.4557873090481796E-3</v>
      </c>
      <c r="AE130" s="1120">
        <f t="shared" si="203"/>
        <v>309</v>
      </c>
      <c r="AF130" s="525"/>
      <c r="AG130" s="637">
        <v>25</v>
      </c>
      <c r="AH130" s="525"/>
      <c r="AI130" s="1086">
        <f t="shared" si="204"/>
        <v>25</v>
      </c>
      <c r="AJ130" s="380"/>
      <c r="AK130" s="440"/>
      <c r="AM130" s="460">
        <v>130</v>
      </c>
      <c r="AN130" s="1087">
        <f t="shared" ca="1" si="205"/>
        <v>0</v>
      </c>
      <c r="AO130" s="1083">
        <f t="shared" ca="1" si="206"/>
        <v>0</v>
      </c>
      <c r="AP130" s="356">
        <f t="shared" ca="1" si="206"/>
        <v>0</v>
      </c>
      <c r="AQ130" s="357">
        <f t="shared" ca="1" si="206"/>
        <v>0</v>
      </c>
      <c r="AR130" s="524" t="str">
        <f t="shared" ca="1" si="206"/>
        <v/>
      </c>
      <c r="AS130" s="356">
        <f t="shared" ca="1" si="206"/>
        <v>0</v>
      </c>
      <c r="AT130" s="357">
        <f t="shared" ca="1" si="206"/>
        <v>0</v>
      </c>
      <c r="AU130" s="524" t="str">
        <f t="shared" ca="1" si="206"/>
        <v/>
      </c>
      <c r="AV130" s="1083">
        <f t="shared" ca="1" si="206"/>
        <v>0</v>
      </c>
      <c r="AX130" s="1083" t="str">
        <f t="shared" si="207"/>
        <v>E</v>
      </c>
      <c r="AY130" s="1083" t="str">
        <f t="shared" si="208"/>
        <v>E</v>
      </c>
      <c r="AZ130" s="1083" t="str">
        <f t="shared" si="209"/>
        <v>U</v>
      </c>
      <c r="BA130" s="1083" t="str">
        <f t="shared" si="210"/>
        <v>E</v>
      </c>
      <c r="BB130" s="1083" t="str">
        <f t="shared" si="211"/>
        <v>E</v>
      </c>
    </row>
    <row r="131" spans="1:54" ht="12" customHeight="1" x14ac:dyDescent="0.2">
      <c r="A131" s="440"/>
      <c r="B131" s="1043"/>
      <c r="C131" s="380"/>
      <c r="D131" s="1037"/>
      <c r="E131" s="1084" t="str">
        <f t="shared" si="196"/>
        <v/>
      </c>
      <c r="F131" s="1085" t="s">
        <v>762</v>
      </c>
      <c r="G131" s="1264"/>
      <c r="H131" s="1264"/>
      <c r="I131" s="1265"/>
      <c r="J131" s="638"/>
      <c r="K131" s="520" t="s">
        <v>179</v>
      </c>
      <c r="L131" s="521"/>
      <c r="M131" s="340"/>
      <c r="N131" s="528" t="s">
        <v>69</v>
      </c>
      <c r="O131" s="339"/>
      <c r="P131" s="543" t="s">
        <v>70</v>
      </c>
      <c r="Q131" s="344">
        <f>12612*1.2</f>
        <v>15134.4</v>
      </c>
      <c r="R131" s="522" t="s">
        <v>363</v>
      </c>
      <c r="S131" s="353">
        <f t="shared" si="197"/>
        <v>15134.4</v>
      </c>
      <c r="T131" s="523"/>
      <c r="U131" s="350"/>
      <c r="V131" s="308"/>
      <c r="W131" s="1090" t="str">
        <f t="shared" ca="1" si="198"/>
        <v/>
      </c>
      <c r="X131" s="1103">
        <f t="shared" ca="1" si="199"/>
        <v>0</v>
      </c>
      <c r="Y131" s="1120">
        <f t="shared" ca="1" si="200"/>
        <v>0</v>
      </c>
      <c r="Z131" s="524"/>
      <c r="AA131" s="350"/>
      <c r="AB131" s="308"/>
      <c r="AC131" s="1090" t="str">
        <f t="shared" ca="1" si="201"/>
        <v/>
      </c>
      <c r="AD131" s="1103">
        <f t="shared" ca="1" si="202"/>
        <v>0</v>
      </c>
      <c r="AE131" s="1120">
        <f t="shared" ca="1" si="203"/>
        <v>0</v>
      </c>
      <c r="AF131" s="525"/>
      <c r="AG131" s="637">
        <v>50</v>
      </c>
      <c r="AH131" s="525"/>
      <c r="AI131" s="1086">
        <f t="shared" si="204"/>
        <v>50</v>
      </c>
      <c r="AJ131" s="380"/>
      <c r="AK131" s="440"/>
      <c r="AM131" s="460">
        <v>131</v>
      </c>
      <c r="AN131" s="1087">
        <f t="shared" ca="1" si="205"/>
        <v>0</v>
      </c>
      <c r="AO131" s="1083">
        <f t="shared" ca="1" si="206"/>
        <v>0</v>
      </c>
      <c r="AP131" s="356">
        <f t="shared" ca="1" si="206"/>
        <v>0</v>
      </c>
      <c r="AQ131" s="357">
        <f t="shared" ca="1" si="206"/>
        <v>0</v>
      </c>
      <c r="AR131" s="524" t="str">
        <f t="shared" ca="1" si="206"/>
        <v/>
      </c>
      <c r="AS131" s="356">
        <f t="shared" ca="1" si="206"/>
        <v>0</v>
      </c>
      <c r="AT131" s="357">
        <f t="shared" ca="1" si="206"/>
        <v>0</v>
      </c>
      <c r="AU131" s="524" t="str">
        <f t="shared" ca="1" si="206"/>
        <v/>
      </c>
      <c r="AV131" s="1083">
        <f t="shared" ca="1" si="206"/>
        <v>0</v>
      </c>
      <c r="AX131" s="1083" t="str">
        <f t="shared" si="207"/>
        <v>E</v>
      </c>
      <c r="AY131" s="1083" t="str">
        <f t="shared" si="208"/>
        <v>E</v>
      </c>
      <c r="AZ131" s="1083" t="str">
        <f t="shared" si="209"/>
        <v>U</v>
      </c>
      <c r="BA131" s="1083" t="str">
        <f t="shared" si="210"/>
        <v>U</v>
      </c>
      <c r="BB131" s="1083" t="str">
        <f t="shared" si="211"/>
        <v>E</v>
      </c>
    </row>
    <row r="132" spans="1:54" ht="12" customHeight="1" x14ac:dyDescent="0.2">
      <c r="A132" s="440"/>
      <c r="B132" s="1043"/>
      <c r="C132" s="380"/>
      <c r="D132" s="1037"/>
      <c r="E132" s="1084">
        <f t="shared" ca="1" si="196"/>
        <v>0</v>
      </c>
      <c r="F132" s="1085"/>
      <c r="G132" s="1264"/>
      <c r="H132" s="1264"/>
      <c r="I132" s="1265"/>
      <c r="J132" s="638"/>
      <c r="K132" s="520" t="s">
        <v>179</v>
      </c>
      <c r="L132" s="521"/>
      <c r="M132" s="340"/>
      <c r="N132" s="528" t="s">
        <v>69</v>
      </c>
      <c r="O132" s="339"/>
      <c r="P132" s="543" t="s">
        <v>70</v>
      </c>
      <c r="Q132" s="344"/>
      <c r="R132" s="522" t="s">
        <v>363</v>
      </c>
      <c r="S132" s="353">
        <f t="shared" ca="1" si="197"/>
        <v>0</v>
      </c>
      <c r="T132" s="523"/>
      <c r="U132" s="350"/>
      <c r="V132" s="308"/>
      <c r="W132" s="1090" t="str">
        <f t="shared" ca="1" si="198"/>
        <v/>
      </c>
      <c r="X132" s="1103">
        <f t="shared" ca="1" si="199"/>
        <v>0</v>
      </c>
      <c r="Y132" s="1120">
        <f t="shared" ca="1" si="200"/>
        <v>0</v>
      </c>
      <c r="Z132" s="524"/>
      <c r="AA132" s="350"/>
      <c r="AB132" s="308"/>
      <c r="AC132" s="1090" t="str">
        <f t="shared" ca="1" si="201"/>
        <v/>
      </c>
      <c r="AD132" s="1103">
        <f t="shared" ca="1" si="202"/>
        <v>0</v>
      </c>
      <c r="AE132" s="1120">
        <f t="shared" ca="1" si="203"/>
        <v>0</v>
      </c>
      <c r="AF132" s="525"/>
      <c r="AG132" s="637"/>
      <c r="AH132" s="525"/>
      <c r="AI132" s="1086">
        <f t="shared" ca="1" si="204"/>
        <v>0</v>
      </c>
      <c r="AJ132" s="380"/>
      <c r="AK132" s="440"/>
      <c r="AM132" s="460">
        <v>132</v>
      </c>
      <c r="AN132" s="1087">
        <f t="shared" ca="1" si="205"/>
        <v>0</v>
      </c>
      <c r="AO132" s="1083">
        <f t="shared" ca="1" si="206"/>
        <v>0</v>
      </c>
      <c r="AP132" s="356">
        <f t="shared" ca="1" si="206"/>
        <v>0</v>
      </c>
      <c r="AQ132" s="357">
        <f t="shared" ca="1" si="206"/>
        <v>0</v>
      </c>
      <c r="AR132" s="524" t="str">
        <f t="shared" ca="1" si="206"/>
        <v/>
      </c>
      <c r="AS132" s="356">
        <f t="shared" ca="1" si="206"/>
        <v>0</v>
      </c>
      <c r="AT132" s="357">
        <f t="shared" ca="1" si="206"/>
        <v>0</v>
      </c>
      <c r="AU132" s="524" t="str">
        <f t="shared" ca="1" si="206"/>
        <v/>
      </c>
      <c r="AV132" s="1083">
        <f t="shared" ca="1" si="206"/>
        <v>0</v>
      </c>
      <c r="AX132" s="1083" t="str">
        <f t="shared" si="207"/>
        <v>U</v>
      </c>
      <c r="AY132" s="1083" t="str">
        <f t="shared" si="208"/>
        <v>U</v>
      </c>
      <c r="AZ132" s="1083" t="str">
        <f t="shared" si="209"/>
        <v>U</v>
      </c>
      <c r="BA132" s="1083" t="str">
        <f t="shared" si="210"/>
        <v>U</v>
      </c>
      <c r="BB132" s="1083" t="str">
        <f t="shared" si="211"/>
        <v>U</v>
      </c>
    </row>
    <row r="133" spans="1:54" ht="12" customHeight="1" x14ac:dyDescent="0.2">
      <c r="A133" s="440"/>
      <c r="B133" s="1043"/>
      <c r="C133" s="380"/>
      <c r="D133" s="1037"/>
      <c r="E133" s="1084">
        <f t="shared" ca="1" si="196"/>
        <v>0</v>
      </c>
      <c r="F133" s="1085"/>
      <c r="G133" s="1264"/>
      <c r="H133" s="1264"/>
      <c r="I133" s="1265"/>
      <c r="J133" s="638"/>
      <c r="K133" s="520" t="s">
        <v>179</v>
      </c>
      <c r="L133" s="521"/>
      <c r="M133" s="340"/>
      <c r="N133" s="528" t="s">
        <v>69</v>
      </c>
      <c r="O133" s="339"/>
      <c r="P133" s="543" t="s">
        <v>70</v>
      </c>
      <c r="Q133" s="344"/>
      <c r="R133" s="522" t="s">
        <v>363</v>
      </c>
      <c r="S133" s="353">
        <f t="shared" ca="1" si="197"/>
        <v>0</v>
      </c>
      <c r="T133" s="523"/>
      <c r="U133" s="350"/>
      <c r="V133" s="308"/>
      <c r="W133" s="1090" t="str">
        <f t="shared" ca="1" si="198"/>
        <v/>
      </c>
      <c r="X133" s="1103">
        <f t="shared" ca="1" si="199"/>
        <v>0</v>
      </c>
      <c r="Y133" s="1120">
        <f t="shared" ca="1" si="200"/>
        <v>0</v>
      </c>
      <c r="Z133" s="524"/>
      <c r="AA133" s="350"/>
      <c r="AB133" s="308"/>
      <c r="AC133" s="1090" t="str">
        <f t="shared" ca="1" si="201"/>
        <v/>
      </c>
      <c r="AD133" s="1103">
        <f t="shared" ca="1" si="202"/>
        <v>0</v>
      </c>
      <c r="AE133" s="1120">
        <f t="shared" ca="1" si="203"/>
        <v>0</v>
      </c>
      <c r="AF133" s="525"/>
      <c r="AG133" s="637"/>
      <c r="AH133" s="525"/>
      <c r="AI133" s="1086">
        <f t="shared" ca="1" si="204"/>
        <v>0</v>
      </c>
      <c r="AJ133" s="380"/>
      <c r="AK133" s="440"/>
      <c r="AM133" s="460">
        <v>133</v>
      </c>
      <c r="AN133" s="1087">
        <f t="shared" ca="1" si="205"/>
        <v>0</v>
      </c>
      <c r="AO133" s="1083">
        <f t="shared" ca="1" si="206"/>
        <v>0</v>
      </c>
      <c r="AP133" s="356">
        <f t="shared" ca="1" si="206"/>
        <v>0</v>
      </c>
      <c r="AQ133" s="357">
        <f t="shared" ca="1" si="206"/>
        <v>0</v>
      </c>
      <c r="AR133" s="524" t="str">
        <f t="shared" ca="1" si="206"/>
        <v/>
      </c>
      <c r="AS133" s="356">
        <f t="shared" ca="1" si="206"/>
        <v>0</v>
      </c>
      <c r="AT133" s="357">
        <f t="shared" ca="1" si="206"/>
        <v>0</v>
      </c>
      <c r="AU133" s="524" t="str">
        <f t="shared" ca="1" si="206"/>
        <v/>
      </c>
      <c r="AV133" s="1083">
        <f t="shared" ca="1" si="206"/>
        <v>0</v>
      </c>
      <c r="AX133" s="1083" t="str">
        <f t="shared" si="207"/>
        <v>U</v>
      </c>
      <c r="AY133" s="1083" t="str">
        <f t="shared" si="208"/>
        <v>U</v>
      </c>
      <c r="AZ133" s="1083" t="str">
        <f t="shared" si="209"/>
        <v>U</v>
      </c>
      <c r="BA133" s="1083" t="str">
        <f t="shared" si="210"/>
        <v>U</v>
      </c>
      <c r="BB133" s="1083" t="str">
        <f t="shared" si="211"/>
        <v>U</v>
      </c>
    </row>
    <row r="134" spans="1:54" ht="12" customHeight="1" x14ac:dyDescent="0.25">
      <c r="A134" s="440"/>
      <c r="B134" s="1043"/>
      <c r="C134" s="380"/>
      <c r="D134" s="1037" t="s">
        <v>43</v>
      </c>
      <c r="E134" s="1599" t="s">
        <v>42</v>
      </c>
      <c r="F134" s="1599"/>
      <c r="G134" s="1599"/>
      <c r="H134" s="1599"/>
      <c r="I134" s="1605"/>
      <c r="J134" s="1038"/>
      <c r="K134" s="502"/>
      <c r="L134" s="502"/>
      <c r="M134" s="498"/>
      <c r="N134" s="359"/>
      <c r="O134" s="363"/>
      <c r="P134" s="363"/>
      <c r="Q134" s="363"/>
      <c r="R134" s="363"/>
      <c r="S134" s="365"/>
      <c r="T134" s="363"/>
      <c r="U134" s="375"/>
      <c r="V134" s="358"/>
      <c r="W134" s="1091"/>
      <c r="X134" s="1114"/>
      <c r="Y134" s="1104"/>
      <c r="Z134" s="363"/>
      <c r="AA134" s="375"/>
      <c r="AB134" s="358"/>
      <c r="AC134" s="1091"/>
      <c r="AD134" s="1114"/>
      <c r="AE134" s="1104"/>
      <c r="AF134" s="358"/>
      <c r="AG134" s="358"/>
      <c r="AH134" s="358"/>
      <c r="AI134" s="358"/>
      <c r="AJ134" s="380"/>
      <c r="AK134" s="440"/>
      <c r="AM134" s="460">
        <v>134</v>
      </c>
      <c r="AN134" s="1078"/>
    </row>
    <row r="135" spans="1:54" ht="12" customHeight="1" x14ac:dyDescent="0.25">
      <c r="A135" s="440"/>
      <c r="B135" s="1043"/>
      <c r="C135" s="380"/>
      <c r="D135" s="1037"/>
      <c r="E135" s="1037"/>
      <c r="F135" s="1037"/>
      <c r="G135" s="1037"/>
      <c r="H135" s="1037"/>
      <c r="I135" s="1038"/>
      <c r="J135" s="1038"/>
      <c r="K135" s="502"/>
      <c r="L135" s="502"/>
      <c r="M135" s="339"/>
      <c r="N135" s="528" t="s">
        <v>304</v>
      </c>
      <c r="O135" s="339"/>
      <c r="P135" s="543" t="s">
        <v>305</v>
      </c>
      <c r="Q135" s="344"/>
      <c r="R135" s="522" t="s">
        <v>363</v>
      </c>
      <c r="S135" s="353">
        <f ca="1">IF(AY135="E",(M135*O135)+Q135,AO135)</f>
        <v>21526.475999999999</v>
      </c>
      <c r="T135" s="523"/>
      <c r="U135" s="350"/>
      <c r="V135" s="308"/>
      <c r="W135" s="1090" t="str">
        <f ca="1">IF(AZ135="E",IF(AND(V135&lt;&gt;0,U135&lt;&gt;0),"X",IF(AND(V135&lt;&gt;0,U135=0),"A",IF(AND(V135=0,U135&lt;&gt;0),"P",""))),AR135)</f>
        <v/>
      </c>
      <c r="X135" s="1103">
        <f ca="1">IF(AZ135="E",IFERROR(IF(W135="X",0,IF(U135&gt;0,U135,V135/S135)),0),
IFERROR(IF(OR(AR135="X",AR135=0),0,
IF(AR135="P",AP135,IF(AR135="A",AQ135/S135,0))),0))</f>
        <v>0</v>
      </c>
      <c r="Y135" s="1120">
        <f ca="1">IF(AZ135="E",IFERROR(IF(W135="X",0,IF(V135&gt;0,V135,S135*U135)),0),
IFERROR(IF(OR(AR135="X",AR135="0"),0,IF(AR135="A",AQ135,S135*AP135)),0))</f>
        <v>0</v>
      </c>
      <c r="Z135" s="524"/>
      <c r="AA135" s="350"/>
      <c r="AB135" s="308"/>
      <c r="AC135" s="1090" t="str">
        <f ca="1">IF(BA135="E",IF(AND(AB135&lt;&gt;0,AA135&lt;&gt;0),"X",IF(AND(AB135&lt;&gt;0,AA135=0),"A",IF(AND(AB135=0,AA135&lt;&gt;0),"P",""))),AU135)</f>
        <v/>
      </c>
      <c r="AD135" s="1103">
        <f ca="1">IF(BA135="E",IFERROR(IF(AC135="X",0,IF(AA135&gt;0,AA135,AB135/S135)),0),
IFERROR(IF(OR(AU135="X",AU135=0),0,
IF(AU135="P",AS135,IF(AU135="A",AT135/S135,0))),0))</f>
        <v>0</v>
      </c>
      <c r="AE135" s="1120">
        <f ca="1">IF(BA135="E",IFERROR(IF(AC135="X",0,IF(AB135&gt;0,AB135,S135*AA135)),0),
IFERROR(IF(OR(AU135="X",AU135=0),0,
IF(AU135="A",AT135,S135*AS135)),0))</f>
        <v>0</v>
      </c>
      <c r="AF135" s="525"/>
      <c r="AG135" s="637"/>
      <c r="AH135" s="525"/>
      <c r="AI135" s="1086">
        <f ca="1">IF(BB135="E",AG135,AV135)</f>
        <v>50</v>
      </c>
      <c r="AJ135" s="380"/>
      <c r="AK135" s="440"/>
      <c r="AM135" s="460">
        <v>135</v>
      </c>
      <c r="AN135" s="1078"/>
      <c r="AO135" s="1083">
        <f t="shared" ref="AO135:AV135" ca="1" si="212">IF($M$13=$AN$12,"",INDIRECT("'"&amp;$AM$20&amp;"'!"&amp;AO$21&amp;$AM135))</f>
        <v>21526.475999999999</v>
      </c>
      <c r="AP135" s="356">
        <f t="shared" ca="1" si="212"/>
        <v>0</v>
      </c>
      <c r="AQ135" s="357">
        <f t="shared" ca="1" si="212"/>
        <v>0</v>
      </c>
      <c r="AR135" s="524" t="str">
        <f t="shared" ca="1" si="212"/>
        <v/>
      </c>
      <c r="AS135" s="356">
        <f t="shared" ca="1" si="212"/>
        <v>0</v>
      </c>
      <c r="AT135" s="357">
        <f t="shared" ca="1" si="212"/>
        <v>0</v>
      </c>
      <c r="AU135" s="524" t="str">
        <f t="shared" ca="1" si="212"/>
        <v/>
      </c>
      <c r="AV135" s="1083">
        <f t="shared" ca="1" si="212"/>
        <v>50</v>
      </c>
      <c r="AX135" s="1083" t="str">
        <f t="shared" ref="AX135" si="213">IF($M$13=$AN$12,"E",IF(ISTEXT(F135),"E","U"))</f>
        <v>U</v>
      </c>
      <c r="AY135" s="1083" t="str">
        <f t="shared" ref="AY135" si="214">IF($M$13=$AN$12,"E",IF(OR(ISNUMBER(M135),ISNUMBER(O135),ISNUMBER(Q135)),"E","U"))</f>
        <v>U</v>
      </c>
      <c r="AZ135" s="1083" t="str">
        <f t="shared" ref="AZ135" si="215">IF($M$13=$AN$12,"E",IF(OR(ISNUMBER(U135),ISNUMBER(V135)),"E","U"))</f>
        <v>U</v>
      </c>
      <c r="BA135" s="1083" t="str">
        <f t="shared" ref="BA135" si="216">IF($M$13=$AN$12,"E",IF(OR(ISNUMBER(AA135),ISNUMBER(AB135)),"E","U"))</f>
        <v>U</v>
      </c>
      <c r="BB135" s="1083" t="str">
        <f t="shared" ref="BB135" si="217">IF($M$13=$AN$12,"E",IF(ISNUMBER(AG135),"E","U"))</f>
        <v>U</v>
      </c>
    </row>
    <row r="136" spans="1:54" ht="12" customHeight="1" x14ac:dyDescent="0.25">
      <c r="A136" s="440"/>
      <c r="B136" s="1043"/>
      <c r="C136" s="380"/>
      <c r="D136" s="1037" t="s">
        <v>41</v>
      </c>
      <c r="E136" s="1599" t="s">
        <v>40</v>
      </c>
      <c r="F136" s="1599"/>
      <c r="G136" s="1599"/>
      <c r="H136" s="1599"/>
      <c r="I136" s="1597"/>
      <c r="J136" s="1038"/>
      <c r="K136" s="462"/>
      <c r="L136" s="462"/>
      <c r="M136" s="498"/>
      <c r="N136" s="361"/>
      <c r="O136" s="365"/>
      <c r="P136" s="365"/>
      <c r="Q136" s="365"/>
      <c r="R136" s="365"/>
      <c r="S136" s="354">
        <f ca="1">SUBTOTAL(109,S138:S141)</f>
        <v>40502.400000000001</v>
      </c>
      <c r="T136" s="363"/>
      <c r="U136" s="375"/>
      <c r="V136" s="358"/>
      <c r="W136" s="1091"/>
      <c r="X136" s="1114"/>
      <c r="Y136" s="1104"/>
      <c r="Z136" s="363"/>
      <c r="AA136" s="375"/>
      <c r="AB136" s="358"/>
      <c r="AC136" s="1091"/>
      <c r="AD136" s="1114"/>
      <c r="AE136" s="1104"/>
      <c r="AF136" s="358"/>
      <c r="AG136" s="358"/>
      <c r="AH136" s="358"/>
      <c r="AI136" s="358"/>
      <c r="AJ136" s="380"/>
      <c r="AK136" s="440"/>
      <c r="AM136" s="460">
        <v>136</v>
      </c>
      <c r="AN136" s="1078"/>
    </row>
    <row r="137" spans="1:54" ht="12" customHeight="1" x14ac:dyDescent="0.25">
      <c r="A137" s="440"/>
      <c r="B137" s="1043"/>
      <c r="C137" s="380"/>
      <c r="D137" s="1037"/>
      <c r="E137" s="1037"/>
      <c r="F137" s="1037"/>
      <c r="G137" s="1037"/>
      <c r="H137" s="1037"/>
      <c r="I137" s="1035"/>
      <c r="J137" s="1603" t="s">
        <v>452</v>
      </c>
      <c r="K137" s="1603"/>
      <c r="L137" s="462"/>
      <c r="M137" s="498"/>
      <c r="N137" s="361"/>
      <c r="O137" s="365"/>
      <c r="P137" s="365"/>
      <c r="Q137" s="365"/>
      <c r="R137" s="365"/>
      <c r="S137" s="354"/>
      <c r="T137" s="363"/>
      <c r="U137" s="375"/>
      <c r="V137" s="358"/>
      <c r="W137" s="1091"/>
      <c r="X137" s="1114"/>
      <c r="Y137" s="1104"/>
      <c r="Z137" s="363"/>
      <c r="AA137" s="375"/>
      <c r="AB137" s="358"/>
      <c r="AC137" s="1091"/>
      <c r="AD137" s="1114"/>
      <c r="AE137" s="1104"/>
      <c r="AF137" s="358"/>
      <c r="AG137" s="358"/>
      <c r="AH137" s="358"/>
      <c r="AI137" s="358"/>
      <c r="AJ137" s="380"/>
      <c r="AK137" s="440"/>
      <c r="AM137" s="460">
        <v>137</v>
      </c>
      <c r="AN137" s="1078"/>
    </row>
    <row r="138" spans="1:54" ht="12" customHeight="1" x14ac:dyDescent="0.2">
      <c r="A138" s="440"/>
      <c r="B138" s="1043"/>
      <c r="C138" s="380"/>
      <c r="D138" s="1037"/>
      <c r="E138" s="1084">
        <f ca="1">IF(AX138="E","",AN138)</f>
        <v>0</v>
      </c>
      <c r="F138" s="1085"/>
      <c r="G138" s="1264"/>
      <c r="H138" s="1264"/>
      <c r="I138" s="1265"/>
      <c r="J138" s="639"/>
      <c r="K138" s="520" t="s">
        <v>180</v>
      </c>
      <c r="L138" s="521"/>
      <c r="M138" s="340"/>
      <c r="N138" s="528" t="s">
        <v>67</v>
      </c>
      <c r="O138" s="339"/>
      <c r="P138" s="543" t="s">
        <v>68</v>
      </c>
      <c r="Q138" s="344"/>
      <c r="R138" s="522" t="s">
        <v>363</v>
      </c>
      <c r="S138" s="353">
        <f t="shared" ref="S138:S141" ca="1" si="218">IF(AY138="E",(M138*O138)+Q138,AO138)</f>
        <v>0</v>
      </c>
      <c r="T138" s="523"/>
      <c r="U138" s="350"/>
      <c r="V138" s="308"/>
      <c r="W138" s="1090" t="str">
        <f t="shared" ref="W138:W141" ca="1" si="219">IF(AZ138="E",IF(AND(V138&lt;&gt;0,U138&lt;&gt;0),"X",IF(AND(V138&lt;&gt;0,U138=0),"A",IF(AND(V138=0,U138&lt;&gt;0),"P",""))),AR138)</f>
        <v/>
      </c>
      <c r="X138" s="1103">
        <f t="shared" ref="X138:X141" ca="1" si="220">IF(AZ138="E",IFERROR(IF(W138="X",0,IF(U138&gt;0,U138,V138/S138)),0),
IFERROR(IF(OR(AR138="X",AR138=0),0,
IF(AR138="P",AP138,IF(AR138="A",AQ138/S138,0))),0))</f>
        <v>0</v>
      </c>
      <c r="Y138" s="1120">
        <f t="shared" ref="Y138:Y141" ca="1" si="221">IF(AZ138="E",IFERROR(IF(W138="X",0,IF(V138&gt;0,V138,S138*U138)),0),
IFERROR(IF(OR(AR138="X",AR138="0"),0,IF(AR138="A",AQ138,S138*AP138)),0))</f>
        <v>0</v>
      </c>
      <c r="Z138" s="524"/>
      <c r="AA138" s="350"/>
      <c r="AB138" s="308"/>
      <c r="AC138" s="1090" t="str">
        <f t="shared" ref="AC138:AC141" ca="1" si="222">IF(BA138="E",IF(AND(AB138&lt;&gt;0,AA138&lt;&gt;0),"X",IF(AND(AB138&lt;&gt;0,AA138=0),"A",IF(AND(AB138=0,AA138&lt;&gt;0),"P",""))),AU138)</f>
        <v/>
      </c>
      <c r="AD138" s="1103">
        <f t="shared" ref="AD138:AD141" ca="1" si="223">IF(BA138="E",IFERROR(IF(AC138="X",0,IF(AA138&gt;0,AA138,AB138/S138)),0),
IFERROR(IF(OR(AU138="X",AU138=0),0,
IF(AU138="P",AS138,IF(AU138="A",AT138/S138,0))),0))</f>
        <v>0</v>
      </c>
      <c r="AE138" s="1120">
        <f t="shared" ref="AE138:AE141" ca="1" si="224">IF(BA138="E",IFERROR(IF(AC138="X",0,IF(AB138&gt;0,AB138,S138*AA138)),0),
IFERROR(IF(OR(AU138="X",AU138=0),0,
IF(AU138="A",AT138,S138*AS138)),0))</f>
        <v>0</v>
      </c>
      <c r="AF138" s="525"/>
      <c r="AG138" s="637"/>
      <c r="AH138" s="525"/>
      <c r="AI138" s="1086">
        <f t="shared" ref="AI138:AI141" ca="1" si="225">IF(BB138="E",AG138,AV138)</f>
        <v>0</v>
      </c>
      <c r="AJ138" s="380"/>
      <c r="AK138" s="440"/>
      <c r="AM138" s="460">
        <v>138</v>
      </c>
      <c r="AN138" s="1087">
        <f t="shared" ref="AN138:AN141" ca="1" si="226">IF($M$13=$AN$12,"",IF(ISTEXT(INDIRECT("'"&amp;$AM$20&amp;"'!"&amp;AN$21&amp;$AM138)),INDIRECT("'"&amp;$AM$20&amp;"'!"&amp;AN$21&amp;$AM138),INDIRECT("'"&amp;$AM$20&amp;"'!"&amp;AN$22&amp;$AM138)))</f>
        <v>0</v>
      </c>
      <c r="AO138" s="1083">
        <f t="shared" ref="AO138:AV141" ca="1" si="227">IF($M$13=$AN$12,"",INDIRECT("'"&amp;$AM$20&amp;"'!"&amp;AO$21&amp;$AM138))</f>
        <v>0</v>
      </c>
      <c r="AP138" s="356">
        <f t="shared" ca="1" si="227"/>
        <v>0</v>
      </c>
      <c r="AQ138" s="357">
        <f t="shared" ca="1" si="227"/>
        <v>0</v>
      </c>
      <c r="AR138" s="524" t="str">
        <f t="shared" ca="1" si="227"/>
        <v/>
      </c>
      <c r="AS138" s="356">
        <f t="shared" ca="1" si="227"/>
        <v>0</v>
      </c>
      <c r="AT138" s="357">
        <f t="shared" ca="1" si="227"/>
        <v>0</v>
      </c>
      <c r="AU138" s="524" t="str">
        <f t="shared" ca="1" si="227"/>
        <v/>
      </c>
      <c r="AV138" s="1083">
        <f t="shared" ca="1" si="227"/>
        <v>0</v>
      </c>
      <c r="AX138" s="1083" t="str">
        <f t="shared" ref="AX138:AX141" si="228">IF($M$13=$AN$12,"E",IF(ISTEXT(F138),"E","U"))</f>
        <v>U</v>
      </c>
      <c r="AY138" s="1083" t="str">
        <f t="shared" ref="AY138:AY141" si="229">IF($M$13=$AN$12,"E",IF(OR(ISNUMBER(M138),ISNUMBER(O138),ISNUMBER(Q138)),"E","U"))</f>
        <v>U</v>
      </c>
      <c r="AZ138" s="1083" t="str">
        <f t="shared" ref="AZ138:AZ141" si="230">IF($M$13=$AN$12,"E",IF(OR(ISNUMBER(U138),ISNUMBER(V138)),"E","U"))</f>
        <v>U</v>
      </c>
      <c r="BA138" s="1083" t="str">
        <f t="shared" ref="BA138:BA141" si="231">IF($M$13=$AN$12,"E",IF(OR(ISNUMBER(AA138),ISNUMBER(AB138)),"E","U"))</f>
        <v>U</v>
      </c>
      <c r="BB138" s="1083" t="str">
        <f t="shared" ref="BB138:BB141" si="232">IF($M$13=$AN$12,"E",IF(ISNUMBER(AG138),"E","U"))</f>
        <v>U</v>
      </c>
    </row>
    <row r="139" spans="1:54" ht="12" customHeight="1" x14ac:dyDescent="0.2">
      <c r="A139" s="440"/>
      <c r="B139" s="1043"/>
      <c r="C139" s="380"/>
      <c r="D139" s="1037"/>
      <c r="E139" s="1084" t="str">
        <f ca="1">IF(AX139="E","",AN139)</f>
        <v>Fussbodenheizung LD50</v>
      </c>
      <c r="F139" s="1085"/>
      <c r="G139" s="1264"/>
      <c r="H139" s="1264"/>
      <c r="I139" s="1265"/>
      <c r="J139" s="638"/>
      <c r="K139" s="520" t="s">
        <v>180</v>
      </c>
      <c r="L139" s="521"/>
      <c r="M139" s="340"/>
      <c r="N139" s="528" t="s">
        <v>67</v>
      </c>
      <c r="O139" s="339"/>
      <c r="P139" s="543" t="s">
        <v>68</v>
      </c>
      <c r="Q139" s="344"/>
      <c r="R139" s="522" t="s">
        <v>363</v>
      </c>
      <c r="S139" s="353">
        <f t="shared" ca="1" si="218"/>
        <v>40502.400000000001</v>
      </c>
      <c r="T139" s="523"/>
      <c r="U139" s="350"/>
      <c r="V139" s="308"/>
      <c r="W139" s="1090" t="str">
        <f t="shared" ca="1" si="219"/>
        <v/>
      </c>
      <c r="X139" s="1103">
        <f t="shared" ca="1" si="220"/>
        <v>0</v>
      </c>
      <c r="Y139" s="1120">
        <f t="shared" ca="1" si="221"/>
        <v>0</v>
      </c>
      <c r="Z139" s="524"/>
      <c r="AA139" s="350"/>
      <c r="AB139" s="308"/>
      <c r="AC139" s="1090" t="str">
        <f t="shared" ca="1" si="222"/>
        <v/>
      </c>
      <c r="AD139" s="1103">
        <f t="shared" ca="1" si="223"/>
        <v>0</v>
      </c>
      <c r="AE139" s="1120">
        <f t="shared" ca="1" si="224"/>
        <v>0</v>
      </c>
      <c r="AF139" s="525"/>
      <c r="AG139" s="637"/>
      <c r="AH139" s="525"/>
      <c r="AI139" s="1086">
        <f t="shared" ca="1" si="225"/>
        <v>50</v>
      </c>
      <c r="AJ139" s="380"/>
      <c r="AK139" s="440"/>
      <c r="AM139" s="460">
        <v>139</v>
      </c>
      <c r="AN139" s="1087" t="str">
        <f t="shared" ca="1" si="226"/>
        <v>Fussbodenheizung LD50</v>
      </c>
      <c r="AO139" s="1083">
        <f t="shared" ca="1" si="227"/>
        <v>40502.400000000001</v>
      </c>
      <c r="AP139" s="356">
        <f t="shared" ca="1" si="227"/>
        <v>0</v>
      </c>
      <c r="AQ139" s="357">
        <f t="shared" ca="1" si="227"/>
        <v>0</v>
      </c>
      <c r="AR139" s="524" t="str">
        <f t="shared" ca="1" si="227"/>
        <v/>
      </c>
      <c r="AS139" s="356">
        <f t="shared" ca="1" si="227"/>
        <v>0</v>
      </c>
      <c r="AT139" s="357">
        <f t="shared" ca="1" si="227"/>
        <v>0</v>
      </c>
      <c r="AU139" s="524" t="str">
        <f t="shared" ca="1" si="227"/>
        <v/>
      </c>
      <c r="AV139" s="1083">
        <f t="shared" ca="1" si="227"/>
        <v>50</v>
      </c>
      <c r="AX139" s="1083" t="str">
        <f t="shared" si="228"/>
        <v>U</v>
      </c>
      <c r="AY139" s="1083" t="str">
        <f t="shared" si="229"/>
        <v>U</v>
      </c>
      <c r="AZ139" s="1083" t="str">
        <f t="shared" si="230"/>
        <v>U</v>
      </c>
      <c r="BA139" s="1083" t="str">
        <f t="shared" si="231"/>
        <v>U</v>
      </c>
      <c r="BB139" s="1083" t="str">
        <f t="shared" si="232"/>
        <v>U</v>
      </c>
    </row>
    <row r="140" spans="1:54" ht="12" customHeight="1" x14ac:dyDescent="0.2">
      <c r="A140" s="440"/>
      <c r="B140" s="1043"/>
      <c r="C140" s="380"/>
      <c r="D140" s="1037"/>
      <c r="E140" s="1084">
        <f ca="1">IF(AX140="E","",AN140)</f>
        <v>0</v>
      </c>
      <c r="F140" s="1085"/>
      <c r="G140" s="1264"/>
      <c r="H140" s="1264"/>
      <c r="I140" s="1265"/>
      <c r="J140" s="638"/>
      <c r="K140" s="520" t="s">
        <v>180</v>
      </c>
      <c r="L140" s="552"/>
      <c r="M140" s="339"/>
      <c r="N140" s="528" t="s">
        <v>67</v>
      </c>
      <c r="O140" s="339"/>
      <c r="P140" s="543" t="s">
        <v>68</v>
      </c>
      <c r="Q140" s="344"/>
      <c r="R140" s="522" t="s">
        <v>363</v>
      </c>
      <c r="S140" s="353">
        <f t="shared" ca="1" si="218"/>
        <v>0</v>
      </c>
      <c r="T140" s="523"/>
      <c r="U140" s="350"/>
      <c r="V140" s="308"/>
      <c r="W140" s="1090" t="str">
        <f t="shared" ca="1" si="219"/>
        <v/>
      </c>
      <c r="X140" s="1103">
        <f t="shared" ca="1" si="220"/>
        <v>0</v>
      </c>
      <c r="Y140" s="1120">
        <f t="shared" ca="1" si="221"/>
        <v>0</v>
      </c>
      <c r="Z140" s="524"/>
      <c r="AA140" s="350"/>
      <c r="AB140" s="308"/>
      <c r="AC140" s="1090" t="str">
        <f t="shared" ca="1" si="222"/>
        <v/>
      </c>
      <c r="AD140" s="1103">
        <f t="shared" ca="1" si="223"/>
        <v>0</v>
      </c>
      <c r="AE140" s="1120">
        <f t="shared" ca="1" si="224"/>
        <v>0</v>
      </c>
      <c r="AF140" s="525"/>
      <c r="AG140" s="637"/>
      <c r="AH140" s="525"/>
      <c r="AI140" s="1086">
        <f t="shared" ca="1" si="225"/>
        <v>0</v>
      </c>
      <c r="AJ140" s="380"/>
      <c r="AK140" s="440"/>
      <c r="AM140" s="460">
        <v>140</v>
      </c>
      <c r="AN140" s="1087">
        <f t="shared" ca="1" si="226"/>
        <v>0</v>
      </c>
      <c r="AO140" s="1083">
        <f t="shared" ca="1" si="227"/>
        <v>0</v>
      </c>
      <c r="AP140" s="356">
        <f t="shared" ca="1" si="227"/>
        <v>0</v>
      </c>
      <c r="AQ140" s="357">
        <f t="shared" ca="1" si="227"/>
        <v>0</v>
      </c>
      <c r="AR140" s="524" t="str">
        <f t="shared" ca="1" si="227"/>
        <v/>
      </c>
      <c r="AS140" s="356">
        <f t="shared" ca="1" si="227"/>
        <v>0</v>
      </c>
      <c r="AT140" s="357">
        <f t="shared" ca="1" si="227"/>
        <v>0</v>
      </c>
      <c r="AU140" s="524" t="str">
        <f t="shared" ca="1" si="227"/>
        <v/>
      </c>
      <c r="AV140" s="1083">
        <f t="shared" ca="1" si="227"/>
        <v>0</v>
      </c>
      <c r="AX140" s="1083" t="str">
        <f t="shared" si="228"/>
        <v>U</v>
      </c>
      <c r="AY140" s="1083" t="str">
        <f t="shared" si="229"/>
        <v>U</v>
      </c>
      <c r="AZ140" s="1083" t="str">
        <f t="shared" si="230"/>
        <v>U</v>
      </c>
      <c r="BA140" s="1083" t="str">
        <f t="shared" si="231"/>
        <v>U</v>
      </c>
      <c r="BB140" s="1083" t="str">
        <f t="shared" si="232"/>
        <v>U</v>
      </c>
    </row>
    <row r="141" spans="1:54" ht="12" customHeight="1" x14ac:dyDescent="0.2">
      <c r="A141" s="440"/>
      <c r="B141" s="1043"/>
      <c r="C141" s="380"/>
      <c r="D141" s="1037"/>
      <c r="E141" s="1084">
        <f ca="1">IF(AX141="E","",AN141)</f>
        <v>0</v>
      </c>
      <c r="F141" s="1085"/>
      <c r="G141" s="1264"/>
      <c r="H141" s="1264"/>
      <c r="I141" s="1265"/>
      <c r="J141" s="638"/>
      <c r="K141" s="520" t="s">
        <v>180</v>
      </c>
      <c r="L141" s="552"/>
      <c r="M141" s="339"/>
      <c r="N141" s="528" t="s">
        <v>67</v>
      </c>
      <c r="O141" s="339"/>
      <c r="P141" s="543" t="s">
        <v>68</v>
      </c>
      <c r="Q141" s="344"/>
      <c r="R141" s="522" t="s">
        <v>363</v>
      </c>
      <c r="S141" s="353">
        <f t="shared" ca="1" si="218"/>
        <v>0</v>
      </c>
      <c r="T141" s="523"/>
      <c r="U141" s="350"/>
      <c r="V141" s="308"/>
      <c r="W141" s="1090" t="str">
        <f t="shared" ca="1" si="219"/>
        <v/>
      </c>
      <c r="X141" s="1103">
        <f t="shared" ca="1" si="220"/>
        <v>0</v>
      </c>
      <c r="Y141" s="1120">
        <f t="shared" ca="1" si="221"/>
        <v>0</v>
      </c>
      <c r="Z141" s="524"/>
      <c r="AA141" s="350"/>
      <c r="AB141" s="308"/>
      <c r="AC141" s="1090" t="str">
        <f t="shared" ca="1" si="222"/>
        <v/>
      </c>
      <c r="AD141" s="1103">
        <f t="shared" ca="1" si="223"/>
        <v>0</v>
      </c>
      <c r="AE141" s="1120">
        <f t="shared" ca="1" si="224"/>
        <v>0</v>
      </c>
      <c r="AF141" s="525"/>
      <c r="AG141" s="637"/>
      <c r="AH141" s="525"/>
      <c r="AI141" s="1086">
        <f t="shared" ca="1" si="225"/>
        <v>0</v>
      </c>
      <c r="AJ141" s="380"/>
      <c r="AK141" s="440"/>
      <c r="AM141" s="460">
        <v>141</v>
      </c>
      <c r="AN141" s="1087">
        <f t="shared" ca="1" si="226"/>
        <v>0</v>
      </c>
      <c r="AO141" s="1083">
        <f t="shared" ca="1" si="227"/>
        <v>0</v>
      </c>
      <c r="AP141" s="356">
        <f t="shared" ca="1" si="227"/>
        <v>0</v>
      </c>
      <c r="AQ141" s="357">
        <f t="shared" ca="1" si="227"/>
        <v>0</v>
      </c>
      <c r="AR141" s="524" t="str">
        <f t="shared" ca="1" si="227"/>
        <v/>
      </c>
      <c r="AS141" s="356">
        <f t="shared" ca="1" si="227"/>
        <v>0</v>
      </c>
      <c r="AT141" s="357">
        <f t="shared" ca="1" si="227"/>
        <v>0</v>
      </c>
      <c r="AU141" s="524" t="str">
        <f t="shared" ca="1" si="227"/>
        <v/>
      </c>
      <c r="AV141" s="1083">
        <f t="shared" ca="1" si="227"/>
        <v>0</v>
      </c>
      <c r="AX141" s="1083" t="str">
        <f t="shared" si="228"/>
        <v>U</v>
      </c>
      <c r="AY141" s="1083" t="str">
        <f t="shared" si="229"/>
        <v>U</v>
      </c>
      <c r="AZ141" s="1083" t="str">
        <f t="shared" si="230"/>
        <v>U</v>
      </c>
      <c r="BA141" s="1083" t="str">
        <f t="shared" si="231"/>
        <v>U</v>
      </c>
      <c r="BB141" s="1083" t="str">
        <f t="shared" si="232"/>
        <v>U</v>
      </c>
    </row>
    <row r="142" spans="1:54" ht="14.25" customHeight="1" collapsed="1" x14ac:dyDescent="0.25">
      <c r="A142" s="440"/>
      <c r="B142" s="1043"/>
      <c r="C142" s="1036" t="s">
        <v>39</v>
      </c>
      <c r="D142" s="494"/>
      <c r="E142" s="1596" t="s">
        <v>38</v>
      </c>
      <c r="F142" s="1596"/>
      <c r="G142" s="1596"/>
      <c r="H142" s="1596"/>
      <c r="I142" s="1597"/>
      <c r="J142" s="1038"/>
      <c r="K142" s="462"/>
      <c r="L142" s="462"/>
      <c r="M142" s="498"/>
      <c r="N142" s="359"/>
      <c r="O142" s="363"/>
      <c r="P142" s="363"/>
      <c r="Q142" s="363"/>
      <c r="R142" s="363"/>
      <c r="S142" s="355">
        <f ca="1">S143+S147+S151</f>
        <v>51422.400000000001</v>
      </c>
      <c r="T142" s="363"/>
      <c r="U142" s="375"/>
      <c r="V142" s="358"/>
      <c r="W142" s="1091"/>
      <c r="X142" s="1114"/>
      <c r="Y142" s="1104"/>
      <c r="Z142" s="363"/>
      <c r="AA142" s="375"/>
      <c r="AB142" s="358"/>
      <c r="AC142" s="1091"/>
      <c r="AD142" s="1114"/>
      <c r="AE142" s="1104"/>
      <c r="AF142" s="358"/>
      <c r="AG142" s="358"/>
      <c r="AH142" s="358"/>
      <c r="AI142" s="358"/>
      <c r="AJ142" s="380"/>
      <c r="AK142" s="440"/>
      <c r="AM142" s="460">
        <v>142</v>
      </c>
      <c r="AN142" s="1078"/>
    </row>
    <row r="143" spans="1:54" ht="12" customHeight="1" x14ac:dyDescent="0.25">
      <c r="A143" s="440"/>
      <c r="B143" s="1043"/>
      <c r="C143" s="380"/>
      <c r="D143" s="1037" t="s">
        <v>37</v>
      </c>
      <c r="E143" s="1599" t="s">
        <v>36</v>
      </c>
      <c r="F143" s="1599"/>
      <c r="G143" s="1599"/>
      <c r="H143" s="1599"/>
      <c r="I143" s="1597"/>
      <c r="J143" s="1038"/>
      <c r="K143" s="462"/>
      <c r="L143" s="462"/>
      <c r="M143" s="498"/>
      <c r="N143" s="359"/>
      <c r="O143" s="363"/>
      <c r="P143" s="363"/>
      <c r="Q143" s="363"/>
      <c r="R143" s="363"/>
      <c r="S143" s="354">
        <f ca="1">SUBTOTAL(109,S145:S146)</f>
        <v>51422.400000000001</v>
      </c>
      <c r="T143" s="363"/>
      <c r="U143" s="375"/>
      <c r="V143" s="358"/>
      <c r="W143" s="1091"/>
      <c r="X143" s="1114"/>
      <c r="Y143" s="1104"/>
      <c r="Z143" s="363"/>
      <c r="AA143" s="375"/>
      <c r="AB143" s="358"/>
      <c r="AC143" s="1091"/>
      <c r="AD143" s="1114"/>
      <c r="AE143" s="1104"/>
      <c r="AF143" s="358"/>
      <c r="AG143" s="358"/>
      <c r="AH143" s="358"/>
      <c r="AI143" s="358"/>
      <c r="AJ143" s="380"/>
      <c r="AK143" s="440"/>
      <c r="AM143" s="460">
        <v>143</v>
      </c>
      <c r="AN143" s="1078"/>
    </row>
    <row r="144" spans="1:54" ht="12" customHeight="1" x14ac:dyDescent="0.25">
      <c r="A144" s="440"/>
      <c r="B144" s="1043"/>
      <c r="C144" s="380"/>
      <c r="D144" s="1037"/>
      <c r="E144" s="1037"/>
      <c r="F144" s="1037"/>
      <c r="G144" s="1037"/>
      <c r="H144" s="1037"/>
      <c r="I144" s="1035"/>
      <c r="J144" s="1603"/>
      <c r="K144" s="1603"/>
      <c r="L144" s="462"/>
      <c r="M144" s="498"/>
      <c r="N144" s="359"/>
      <c r="O144" s="363"/>
      <c r="P144" s="363"/>
      <c r="Q144" s="363"/>
      <c r="R144" s="363"/>
      <c r="S144" s="354"/>
      <c r="T144" s="363"/>
      <c r="U144" s="375"/>
      <c r="V144" s="358"/>
      <c r="W144" s="1091"/>
      <c r="X144" s="1114"/>
      <c r="Y144" s="1104"/>
      <c r="Z144" s="363"/>
      <c r="AA144" s="375"/>
      <c r="AB144" s="358"/>
      <c r="AC144" s="1091"/>
      <c r="AD144" s="1114"/>
      <c r="AE144" s="1104"/>
      <c r="AF144" s="358"/>
      <c r="AG144" s="358"/>
      <c r="AH144" s="358"/>
      <c r="AI144" s="358"/>
      <c r="AJ144" s="380"/>
      <c r="AK144" s="440"/>
      <c r="AM144" s="460">
        <v>144</v>
      </c>
      <c r="AN144" s="1078"/>
    </row>
    <row r="145" spans="1:54" ht="12" customHeight="1" x14ac:dyDescent="0.2">
      <c r="A145" s="440"/>
      <c r="B145" s="1043"/>
      <c r="C145" s="380"/>
      <c r="D145" s="1037"/>
      <c r="E145" s="1084" t="str">
        <f ca="1">IF(AX145="E","",AN145)</f>
        <v>Abluft- Ventilatoren LD15</v>
      </c>
      <c r="F145" s="1085"/>
      <c r="G145" s="1264"/>
      <c r="H145" s="1264"/>
      <c r="I145" s="1265"/>
      <c r="J145" s="638"/>
      <c r="K145" s="520"/>
      <c r="L145" s="521"/>
      <c r="M145" s="340"/>
      <c r="N145" s="553" t="s">
        <v>71</v>
      </c>
      <c r="O145" s="339"/>
      <c r="P145" s="524" t="s">
        <v>72</v>
      </c>
      <c r="Q145" s="344"/>
      <c r="R145" s="522" t="s">
        <v>363</v>
      </c>
      <c r="S145" s="353">
        <f t="shared" ref="S145:S146" ca="1" si="233">IF(AY145="E",(M145*O145)+Q145,AO145)</f>
        <v>6840</v>
      </c>
      <c r="T145" s="523"/>
      <c r="U145" s="350"/>
      <c r="V145" s="308"/>
      <c r="W145" s="1090" t="str">
        <f t="shared" ref="W145:W146" ca="1" si="234">IF(AZ145="E",IF(AND(V145&lt;&gt;0,U145&lt;&gt;0),"X",IF(AND(V145&lt;&gt;0,U145=0),"A",IF(AND(V145=0,U145&lt;&gt;0),"P",""))),AR145)</f>
        <v/>
      </c>
      <c r="X145" s="1103">
        <f t="shared" ref="X145:X146" ca="1" si="235">IF(AZ145="E",IFERROR(IF(W145="X",0,IF(U145&gt;0,U145,V145/S145)),0),
IFERROR(IF(OR(AR145="X",AR145=0),0,
IF(AR145="P",AP145,IF(AR145="A",AQ145/S145,0))),0))</f>
        <v>0</v>
      </c>
      <c r="Y145" s="1120">
        <f t="shared" ref="Y145:Y146" ca="1" si="236">IF(AZ145="E",IFERROR(IF(W145="X",0,IF(V145&gt;0,V145,S145*U145)),0),
IFERROR(IF(OR(AR145="X",AR145="0"),0,IF(AR145="A",AQ145,S145*AP145)),0))</f>
        <v>0</v>
      </c>
      <c r="Z145" s="524"/>
      <c r="AA145" s="350"/>
      <c r="AB145" s="308"/>
      <c r="AC145" s="1090" t="str">
        <f t="shared" ref="AC145:AC146" ca="1" si="237">IF(BA145="E",IF(AND(AB145&lt;&gt;0,AA145&lt;&gt;0),"X",IF(AND(AB145&lt;&gt;0,AA145=0),"A",IF(AND(AB145=0,AA145&lt;&gt;0),"P",""))),AU145)</f>
        <v/>
      </c>
      <c r="AD145" s="1103">
        <f t="shared" ref="AD145:AD146" ca="1" si="238">IF(BA145="E",IFERROR(IF(AC145="X",0,IF(AA145&gt;0,AA145,AB145/S145)),0),
IFERROR(IF(OR(AU145="X",AU145=0),0,
IF(AU145="P",AS145,IF(AU145="A",AT145/S145,0))),0))</f>
        <v>0</v>
      </c>
      <c r="AE145" s="1120">
        <f t="shared" ref="AE145:AE146" ca="1" si="239">IF(BA145="E",IFERROR(IF(AC145="X",0,IF(AB145&gt;0,AB145,S145*AA145)),0),
IFERROR(IF(OR(AU145="X",AU145=0),0,
IF(AU145="A",AT145,S145*AS145)),0))</f>
        <v>0</v>
      </c>
      <c r="AF145" s="525"/>
      <c r="AG145" s="637"/>
      <c r="AH145" s="525"/>
      <c r="AI145" s="1086">
        <f t="shared" ref="AI145:AI146" ca="1" si="240">IF(BB145="E",AG145,AV145)</f>
        <v>15</v>
      </c>
      <c r="AJ145" s="380"/>
      <c r="AK145" s="440"/>
      <c r="AM145" s="460">
        <v>145</v>
      </c>
      <c r="AN145" s="1087" t="str">
        <f t="shared" ref="AN145:AN146" ca="1" si="241">IF($M$13=$AN$12,"",IF(ISTEXT(INDIRECT("'"&amp;$AM$20&amp;"'!"&amp;AN$21&amp;$AM145)),INDIRECT("'"&amp;$AM$20&amp;"'!"&amp;AN$21&amp;$AM145),INDIRECT("'"&amp;$AM$20&amp;"'!"&amp;AN$22&amp;$AM145)))</f>
        <v>Abluft- Ventilatoren LD15</v>
      </c>
      <c r="AO145" s="1083">
        <f t="shared" ref="AO145:AV146" ca="1" si="242">IF($M$13=$AN$12,"",INDIRECT("'"&amp;$AM$20&amp;"'!"&amp;AO$21&amp;$AM145))</f>
        <v>6840</v>
      </c>
      <c r="AP145" s="356">
        <f t="shared" ca="1" si="242"/>
        <v>0</v>
      </c>
      <c r="AQ145" s="357">
        <f t="shared" ca="1" si="242"/>
        <v>0</v>
      </c>
      <c r="AR145" s="524" t="str">
        <f t="shared" ca="1" si="242"/>
        <v/>
      </c>
      <c r="AS145" s="356">
        <f t="shared" ca="1" si="242"/>
        <v>0</v>
      </c>
      <c r="AT145" s="357">
        <f t="shared" ca="1" si="242"/>
        <v>0</v>
      </c>
      <c r="AU145" s="524" t="str">
        <f t="shared" ca="1" si="242"/>
        <v/>
      </c>
      <c r="AV145" s="1083">
        <f t="shared" ca="1" si="242"/>
        <v>15</v>
      </c>
      <c r="AX145" s="1083" t="str">
        <f t="shared" ref="AX145:AX146" si="243">IF($M$13=$AN$12,"E",IF(ISTEXT(F145),"E","U"))</f>
        <v>U</v>
      </c>
      <c r="AY145" s="1083" t="str">
        <f t="shared" ref="AY145:AY146" si="244">IF($M$13=$AN$12,"E",IF(OR(ISNUMBER(M145),ISNUMBER(O145),ISNUMBER(Q145)),"E","U"))</f>
        <v>U</v>
      </c>
      <c r="AZ145" s="1083" t="str">
        <f t="shared" ref="AZ145:AZ146" si="245">IF($M$13=$AN$12,"E",IF(OR(ISNUMBER(U145),ISNUMBER(V145)),"E","U"))</f>
        <v>U</v>
      </c>
      <c r="BA145" s="1083" t="str">
        <f t="shared" ref="BA145:BA146" si="246">IF($M$13=$AN$12,"E",IF(OR(ISNUMBER(AA145),ISNUMBER(AB145)),"E","U"))</f>
        <v>U</v>
      </c>
      <c r="BB145" s="1083" t="str">
        <f t="shared" ref="BB145:BB146" si="247">IF($M$13=$AN$12,"E",IF(ISNUMBER(AG145),"E","U"))</f>
        <v>U</v>
      </c>
    </row>
    <row r="146" spans="1:54" ht="12" customHeight="1" x14ac:dyDescent="0.2">
      <c r="A146" s="440"/>
      <c r="B146" s="1043"/>
      <c r="C146" s="380"/>
      <c r="D146" s="1037"/>
      <c r="E146" s="1084" t="str">
        <f ca="1">IF(AX146="E","",AN146)</f>
        <v>Abluft mit Zuluftnachströmung LD50</v>
      </c>
      <c r="F146" s="1085"/>
      <c r="G146" s="1264"/>
      <c r="H146" s="1264"/>
      <c r="I146" s="1265"/>
      <c r="J146" s="638"/>
      <c r="K146" s="520"/>
      <c r="L146" s="521"/>
      <c r="M146" s="340"/>
      <c r="N146" s="553" t="s">
        <v>71</v>
      </c>
      <c r="O146" s="339"/>
      <c r="P146" s="524" t="s">
        <v>72</v>
      </c>
      <c r="Q146" s="344"/>
      <c r="R146" s="522" t="s">
        <v>363</v>
      </c>
      <c r="S146" s="353">
        <f t="shared" ca="1" si="233"/>
        <v>44582.400000000001</v>
      </c>
      <c r="T146" s="523"/>
      <c r="U146" s="350"/>
      <c r="V146" s="308"/>
      <c r="W146" s="1090" t="str">
        <f t="shared" ca="1" si="234"/>
        <v/>
      </c>
      <c r="X146" s="1103">
        <f t="shared" ca="1" si="235"/>
        <v>0</v>
      </c>
      <c r="Y146" s="1120">
        <f t="shared" ca="1" si="236"/>
        <v>0</v>
      </c>
      <c r="Z146" s="524"/>
      <c r="AA146" s="350"/>
      <c r="AB146" s="308"/>
      <c r="AC146" s="1090" t="str">
        <f t="shared" ca="1" si="237"/>
        <v>A</v>
      </c>
      <c r="AD146" s="1103">
        <f t="shared" ca="1" si="238"/>
        <v>3.117822279643985E-2</v>
      </c>
      <c r="AE146" s="1120">
        <f t="shared" ca="1" si="239"/>
        <v>1390</v>
      </c>
      <c r="AF146" s="525"/>
      <c r="AG146" s="637"/>
      <c r="AH146" s="525"/>
      <c r="AI146" s="1086">
        <f t="shared" ca="1" si="240"/>
        <v>50</v>
      </c>
      <c r="AJ146" s="380"/>
      <c r="AK146" s="440"/>
      <c r="AM146" s="460">
        <v>146</v>
      </c>
      <c r="AN146" s="1087" t="str">
        <f t="shared" ca="1" si="241"/>
        <v>Abluft mit Zuluftnachströmung LD50</v>
      </c>
      <c r="AO146" s="1083">
        <f t="shared" ca="1" si="242"/>
        <v>44582.400000000001</v>
      </c>
      <c r="AP146" s="356">
        <f t="shared" ca="1" si="242"/>
        <v>0</v>
      </c>
      <c r="AQ146" s="357">
        <f t="shared" ca="1" si="242"/>
        <v>0</v>
      </c>
      <c r="AR146" s="524" t="str">
        <f t="shared" ca="1" si="242"/>
        <v/>
      </c>
      <c r="AS146" s="356">
        <f t="shared" ca="1" si="242"/>
        <v>3.117822279643985E-2</v>
      </c>
      <c r="AT146" s="357">
        <f t="shared" ca="1" si="242"/>
        <v>1390</v>
      </c>
      <c r="AU146" s="524" t="str">
        <f t="shared" ca="1" si="242"/>
        <v>A</v>
      </c>
      <c r="AV146" s="1083">
        <f t="shared" ca="1" si="242"/>
        <v>50</v>
      </c>
      <c r="AX146" s="1083" t="str">
        <f t="shared" si="243"/>
        <v>U</v>
      </c>
      <c r="AY146" s="1083" t="str">
        <f t="shared" si="244"/>
        <v>U</v>
      </c>
      <c r="AZ146" s="1083" t="str">
        <f t="shared" si="245"/>
        <v>U</v>
      </c>
      <c r="BA146" s="1083" t="str">
        <f t="shared" si="246"/>
        <v>U</v>
      </c>
      <c r="BB146" s="1083" t="str">
        <f t="shared" si="247"/>
        <v>U</v>
      </c>
    </row>
    <row r="147" spans="1:54" ht="12" customHeight="1" x14ac:dyDescent="0.25">
      <c r="A147" s="440"/>
      <c r="B147" s="1043"/>
      <c r="C147" s="380"/>
      <c r="D147" s="1037" t="s">
        <v>35</v>
      </c>
      <c r="E147" s="1599" t="s">
        <v>194</v>
      </c>
      <c r="F147" s="1599"/>
      <c r="G147" s="1599"/>
      <c r="H147" s="1599"/>
      <c r="I147" s="1597"/>
      <c r="J147" s="1038"/>
      <c r="K147" s="462"/>
      <c r="L147" s="462"/>
      <c r="M147" s="498"/>
      <c r="N147" s="359"/>
      <c r="O147" s="365"/>
      <c r="P147" s="363"/>
      <c r="Q147" s="363"/>
      <c r="R147" s="363"/>
      <c r="S147" s="354">
        <f ca="1">SUBTOTAL(109,S149:S150)</f>
        <v>0</v>
      </c>
      <c r="T147" s="363"/>
      <c r="U147" s="376"/>
      <c r="V147" s="365"/>
      <c r="W147" s="1093"/>
      <c r="X147" s="1115"/>
      <c r="Y147" s="1122"/>
      <c r="Z147" s="363"/>
      <c r="AA147" s="376"/>
      <c r="AB147" s="365"/>
      <c r="AC147" s="1093"/>
      <c r="AD147" s="1115"/>
      <c r="AE147" s="1122"/>
      <c r="AF147" s="363"/>
      <c r="AG147" s="363"/>
      <c r="AH147" s="363"/>
      <c r="AI147" s="358"/>
      <c r="AJ147" s="380"/>
      <c r="AK147" s="440"/>
      <c r="AM147" s="460">
        <v>147</v>
      </c>
      <c r="AN147" s="1078"/>
    </row>
    <row r="148" spans="1:54" ht="12" customHeight="1" x14ac:dyDescent="0.25">
      <c r="A148" s="440"/>
      <c r="B148" s="1043"/>
      <c r="C148" s="380"/>
      <c r="D148" s="1037"/>
      <c r="E148" s="1037"/>
      <c r="F148" s="1037"/>
      <c r="G148" s="1037"/>
      <c r="H148" s="1037"/>
      <c r="I148" s="1035"/>
      <c r="J148" s="1603"/>
      <c r="K148" s="1603"/>
      <c r="L148" s="462"/>
      <c r="M148" s="498"/>
      <c r="N148" s="359"/>
      <c r="O148" s="365"/>
      <c r="P148" s="363"/>
      <c r="Q148" s="363"/>
      <c r="R148" s="363"/>
      <c r="S148" s="354"/>
      <c r="T148" s="363"/>
      <c r="U148" s="376"/>
      <c r="V148" s="365"/>
      <c r="W148" s="1093"/>
      <c r="X148" s="1115"/>
      <c r="Y148" s="1122"/>
      <c r="Z148" s="363"/>
      <c r="AA148" s="376"/>
      <c r="AB148" s="365"/>
      <c r="AC148" s="1093"/>
      <c r="AD148" s="1115"/>
      <c r="AE148" s="1122"/>
      <c r="AF148" s="363"/>
      <c r="AG148" s="363"/>
      <c r="AH148" s="363"/>
      <c r="AI148" s="358"/>
      <c r="AJ148" s="380"/>
      <c r="AK148" s="440"/>
      <c r="AM148" s="460">
        <v>148</v>
      </c>
      <c r="AN148" s="1078"/>
    </row>
    <row r="149" spans="1:54" ht="12" customHeight="1" x14ac:dyDescent="0.2">
      <c r="A149" s="440"/>
      <c r="B149" s="1043"/>
      <c r="C149" s="554"/>
      <c r="D149" s="1037"/>
      <c r="E149" s="1084">
        <f ca="1">IF(AX149="E","",AN149)</f>
        <v>0</v>
      </c>
      <c r="F149" s="1085"/>
      <c r="G149" s="1264"/>
      <c r="H149" s="1264"/>
      <c r="I149" s="1265"/>
      <c r="J149" s="638"/>
      <c r="K149" s="520"/>
      <c r="L149" s="521"/>
      <c r="M149" s="340"/>
      <c r="N149" s="553" t="s">
        <v>71</v>
      </c>
      <c r="O149" s="339"/>
      <c r="P149" s="524" t="s">
        <v>72</v>
      </c>
      <c r="Q149" s="344"/>
      <c r="R149" s="522" t="s">
        <v>363</v>
      </c>
      <c r="S149" s="353">
        <f t="shared" ref="S149:S150" ca="1" si="248">IF(AY149="E",(M149*O149)+Q149,AO149)</f>
        <v>0</v>
      </c>
      <c r="T149" s="523"/>
      <c r="U149" s="350"/>
      <c r="V149" s="308"/>
      <c r="W149" s="1090" t="str">
        <f t="shared" ref="W149:W150" ca="1" si="249">IF(AZ149="E",IF(AND(V149&lt;&gt;0,U149&lt;&gt;0),"X",IF(AND(V149&lt;&gt;0,U149=0),"A",IF(AND(V149=0,U149&lt;&gt;0),"P",""))),AR149)</f>
        <v/>
      </c>
      <c r="X149" s="1103">
        <f t="shared" ref="X149:X150" ca="1" si="250">IF(AZ149="E",IFERROR(IF(W149="X",0,IF(U149&gt;0,U149,V149/S149)),0),
IFERROR(IF(OR(AR149="X",AR149=0),0,
IF(AR149="P",AP149,IF(AR149="A",AQ149/S149,0))),0))</f>
        <v>0</v>
      </c>
      <c r="Y149" s="1120">
        <f t="shared" ref="Y149:Y150" ca="1" si="251">IF(AZ149="E",IFERROR(IF(W149="X",0,IF(V149&gt;0,V149,S149*U149)),0),
IFERROR(IF(OR(AR149="X",AR149="0"),0,IF(AR149="A",AQ149,S149*AP149)),0))</f>
        <v>0</v>
      </c>
      <c r="Z149" s="524"/>
      <c r="AA149" s="350"/>
      <c r="AB149" s="308"/>
      <c r="AC149" s="1090" t="str">
        <f t="shared" ref="AC149:AC150" ca="1" si="252">IF(BA149="E",IF(AND(AB149&lt;&gt;0,AA149&lt;&gt;0),"X",IF(AND(AB149&lt;&gt;0,AA149=0),"A",IF(AND(AB149=0,AA149&lt;&gt;0),"P",""))),AU149)</f>
        <v/>
      </c>
      <c r="AD149" s="1103">
        <f t="shared" ref="AD149:AD150" ca="1" si="253">IF(BA149="E",IFERROR(IF(AC149="X",0,IF(AA149&gt;0,AA149,AB149/S149)),0),
IFERROR(IF(OR(AU149="X",AU149=0),0,
IF(AU149="P",AS149,IF(AU149="A",AT149/S149,0))),0))</f>
        <v>0</v>
      </c>
      <c r="AE149" s="1120">
        <f t="shared" ref="AE149:AE150" ca="1" si="254">IF(BA149="E",IFERROR(IF(AC149="X",0,IF(AB149&gt;0,AB149,S149*AA149)),0),
IFERROR(IF(OR(AU149="X",AU149=0),0,
IF(AU149="A",AT149,S149*AS149)),0))</f>
        <v>0</v>
      </c>
      <c r="AF149" s="525"/>
      <c r="AG149" s="637"/>
      <c r="AH149" s="525"/>
      <c r="AI149" s="1086">
        <f t="shared" ref="AI149:AI150" ca="1" si="255">IF(BB149="E",AG149,AV149)</f>
        <v>0</v>
      </c>
      <c r="AJ149" s="380"/>
      <c r="AK149" s="440"/>
      <c r="AM149" s="460">
        <v>149</v>
      </c>
      <c r="AN149" s="1087">
        <f t="shared" ref="AN149:AN150" ca="1" si="256">IF($M$13=$AN$12,"",IF(ISTEXT(INDIRECT("'"&amp;$AM$20&amp;"'!"&amp;AN$21&amp;$AM149)),INDIRECT("'"&amp;$AM$20&amp;"'!"&amp;AN$21&amp;$AM149),INDIRECT("'"&amp;$AM$20&amp;"'!"&amp;AN$22&amp;$AM149)))</f>
        <v>0</v>
      </c>
      <c r="AO149" s="1083">
        <f t="shared" ref="AO149:AV150" ca="1" si="257">IF($M$13=$AN$12,"",INDIRECT("'"&amp;$AM$20&amp;"'!"&amp;AO$21&amp;$AM149))</f>
        <v>0</v>
      </c>
      <c r="AP149" s="356">
        <f t="shared" ca="1" si="257"/>
        <v>0</v>
      </c>
      <c r="AQ149" s="357">
        <f t="shared" ca="1" si="257"/>
        <v>0</v>
      </c>
      <c r="AR149" s="524" t="str">
        <f t="shared" ca="1" si="257"/>
        <v/>
      </c>
      <c r="AS149" s="356">
        <f t="shared" ca="1" si="257"/>
        <v>0</v>
      </c>
      <c r="AT149" s="357">
        <f t="shared" ca="1" si="257"/>
        <v>0</v>
      </c>
      <c r="AU149" s="524" t="str">
        <f t="shared" ca="1" si="257"/>
        <v/>
      </c>
      <c r="AV149" s="1083">
        <f t="shared" ca="1" si="257"/>
        <v>0</v>
      </c>
      <c r="AX149" s="1083" t="str">
        <f t="shared" ref="AX149:AX150" si="258">IF($M$13=$AN$12,"E",IF(ISTEXT(F149),"E","U"))</f>
        <v>U</v>
      </c>
      <c r="AY149" s="1083" t="str">
        <f t="shared" ref="AY149:AY150" si="259">IF($M$13=$AN$12,"E",IF(OR(ISNUMBER(M149),ISNUMBER(O149),ISNUMBER(Q149)),"E","U"))</f>
        <v>U</v>
      </c>
      <c r="AZ149" s="1083" t="str">
        <f t="shared" ref="AZ149:AZ150" si="260">IF($M$13=$AN$12,"E",IF(OR(ISNUMBER(U149),ISNUMBER(V149)),"E","U"))</f>
        <v>U</v>
      </c>
      <c r="BA149" s="1083" t="str">
        <f t="shared" ref="BA149:BA150" si="261">IF($M$13=$AN$12,"E",IF(OR(ISNUMBER(AA149),ISNUMBER(AB149)),"E","U"))</f>
        <v>U</v>
      </c>
      <c r="BB149" s="1083" t="str">
        <f t="shared" ref="BB149:BB150" si="262">IF($M$13=$AN$12,"E",IF(ISNUMBER(AG149),"E","U"))</f>
        <v>U</v>
      </c>
    </row>
    <row r="150" spans="1:54" ht="12" customHeight="1" x14ac:dyDescent="0.2">
      <c r="A150" s="440"/>
      <c r="B150" s="1043"/>
      <c r="C150" s="554"/>
      <c r="D150" s="1037"/>
      <c r="E150" s="1084">
        <f ca="1">IF(AX150="E","",AN150)</f>
        <v>0</v>
      </c>
      <c r="F150" s="1085"/>
      <c r="G150" s="1264"/>
      <c r="H150" s="1264"/>
      <c r="I150" s="1265"/>
      <c r="J150" s="638"/>
      <c r="K150" s="520"/>
      <c r="L150" s="521"/>
      <c r="M150" s="340"/>
      <c r="N150" s="553" t="s">
        <v>71</v>
      </c>
      <c r="O150" s="339"/>
      <c r="P150" s="524" t="s">
        <v>72</v>
      </c>
      <c r="Q150" s="344"/>
      <c r="R150" s="522" t="s">
        <v>363</v>
      </c>
      <c r="S150" s="353">
        <f t="shared" ca="1" si="248"/>
        <v>0</v>
      </c>
      <c r="T150" s="523"/>
      <c r="U150" s="350"/>
      <c r="V150" s="308"/>
      <c r="W150" s="1090" t="str">
        <f t="shared" ca="1" si="249"/>
        <v/>
      </c>
      <c r="X150" s="1103">
        <f t="shared" ca="1" si="250"/>
        <v>0</v>
      </c>
      <c r="Y150" s="1120">
        <f t="shared" ca="1" si="251"/>
        <v>0</v>
      </c>
      <c r="Z150" s="524"/>
      <c r="AA150" s="350"/>
      <c r="AB150" s="308"/>
      <c r="AC150" s="1090" t="str">
        <f t="shared" ca="1" si="252"/>
        <v/>
      </c>
      <c r="AD150" s="1103">
        <f t="shared" ca="1" si="253"/>
        <v>0</v>
      </c>
      <c r="AE150" s="1120">
        <f t="shared" ca="1" si="254"/>
        <v>0</v>
      </c>
      <c r="AF150" s="525"/>
      <c r="AG150" s="637"/>
      <c r="AH150" s="525"/>
      <c r="AI150" s="1086">
        <f t="shared" ca="1" si="255"/>
        <v>0</v>
      </c>
      <c r="AJ150" s="380"/>
      <c r="AK150" s="440"/>
      <c r="AM150" s="460">
        <v>150</v>
      </c>
      <c r="AN150" s="1087">
        <f t="shared" ca="1" si="256"/>
        <v>0</v>
      </c>
      <c r="AO150" s="1083">
        <f t="shared" ca="1" si="257"/>
        <v>0</v>
      </c>
      <c r="AP150" s="356">
        <f t="shared" ca="1" si="257"/>
        <v>0</v>
      </c>
      <c r="AQ150" s="357">
        <f t="shared" ca="1" si="257"/>
        <v>0</v>
      </c>
      <c r="AR150" s="524" t="str">
        <f t="shared" ca="1" si="257"/>
        <v/>
      </c>
      <c r="AS150" s="356">
        <f t="shared" ca="1" si="257"/>
        <v>0</v>
      </c>
      <c r="AT150" s="357">
        <f t="shared" ca="1" si="257"/>
        <v>0</v>
      </c>
      <c r="AU150" s="524" t="str">
        <f t="shared" ca="1" si="257"/>
        <v/>
      </c>
      <c r="AV150" s="1083">
        <f t="shared" ca="1" si="257"/>
        <v>0</v>
      </c>
      <c r="AX150" s="1083" t="str">
        <f t="shared" si="258"/>
        <v>U</v>
      </c>
      <c r="AY150" s="1083" t="str">
        <f t="shared" si="259"/>
        <v>U</v>
      </c>
      <c r="AZ150" s="1083" t="str">
        <f t="shared" si="260"/>
        <v>U</v>
      </c>
      <c r="BA150" s="1083" t="str">
        <f t="shared" si="261"/>
        <v>U</v>
      </c>
      <c r="BB150" s="1083" t="str">
        <f t="shared" si="262"/>
        <v>U</v>
      </c>
    </row>
    <row r="151" spans="1:54" ht="12" customHeight="1" x14ac:dyDescent="0.2">
      <c r="A151" s="440"/>
      <c r="B151" s="1043"/>
      <c r="C151" s="554"/>
      <c r="D151" s="1037" t="s">
        <v>327</v>
      </c>
      <c r="E151" s="1607" t="s">
        <v>307</v>
      </c>
      <c r="F151" s="1607"/>
      <c r="G151" s="1607"/>
      <c r="H151" s="1607"/>
      <c r="I151" s="1607"/>
      <c r="J151" s="519"/>
      <c r="K151" s="503"/>
      <c r="L151" s="503"/>
      <c r="M151" s="498"/>
      <c r="N151" s="359"/>
      <c r="O151" s="365"/>
      <c r="P151" s="363"/>
      <c r="Q151" s="363"/>
      <c r="R151" s="363"/>
      <c r="S151" s="354">
        <f ca="1">SUBTOTAL(109,S153:S154)</f>
        <v>0</v>
      </c>
      <c r="T151" s="363"/>
      <c r="U151" s="376"/>
      <c r="V151" s="365"/>
      <c r="W151" s="1093"/>
      <c r="X151" s="1115"/>
      <c r="Y151" s="1122"/>
      <c r="Z151" s="363"/>
      <c r="AA151" s="376"/>
      <c r="AB151" s="365"/>
      <c r="AC151" s="1093"/>
      <c r="AD151" s="1115"/>
      <c r="AE151" s="1122"/>
      <c r="AF151" s="363"/>
      <c r="AG151" s="363"/>
      <c r="AH151" s="363"/>
      <c r="AI151" s="358"/>
      <c r="AJ151" s="380"/>
      <c r="AK151" s="440"/>
      <c r="AM151" s="460">
        <v>151</v>
      </c>
      <c r="AN151" s="1078"/>
    </row>
    <row r="152" spans="1:54" ht="12" customHeight="1" x14ac:dyDescent="0.2">
      <c r="A152" s="440"/>
      <c r="B152" s="1043"/>
      <c r="C152" s="554"/>
      <c r="D152" s="1037"/>
      <c r="E152" s="1040"/>
      <c r="F152" s="1040"/>
      <c r="G152" s="1040"/>
      <c r="H152" s="1040"/>
      <c r="I152" s="1040"/>
      <c r="J152" s="1603"/>
      <c r="K152" s="1603"/>
      <c r="L152" s="503"/>
      <c r="M152" s="498"/>
      <c r="N152" s="359"/>
      <c r="O152" s="365"/>
      <c r="P152" s="363"/>
      <c r="Q152" s="363"/>
      <c r="R152" s="363"/>
      <c r="S152" s="354"/>
      <c r="T152" s="363"/>
      <c r="U152" s="376"/>
      <c r="V152" s="365"/>
      <c r="W152" s="1093"/>
      <c r="X152" s="1115"/>
      <c r="Y152" s="1122"/>
      <c r="Z152" s="363"/>
      <c r="AA152" s="376"/>
      <c r="AB152" s="365"/>
      <c r="AC152" s="1093"/>
      <c r="AD152" s="1115"/>
      <c r="AE152" s="1122"/>
      <c r="AF152" s="363"/>
      <c r="AG152" s="363"/>
      <c r="AH152" s="363"/>
      <c r="AI152" s="358"/>
      <c r="AJ152" s="380"/>
      <c r="AK152" s="440"/>
      <c r="AM152" s="460">
        <v>152</v>
      </c>
      <c r="AN152" s="1078"/>
    </row>
    <row r="153" spans="1:54" ht="12" customHeight="1" x14ac:dyDescent="0.2">
      <c r="A153" s="440"/>
      <c r="B153" s="1043"/>
      <c r="C153" s="554"/>
      <c r="D153" s="1037"/>
      <c r="E153" s="1084">
        <f ca="1">IF(AX153="E","",AN153)</f>
        <v>0</v>
      </c>
      <c r="F153" s="1085"/>
      <c r="G153" s="1264"/>
      <c r="H153" s="1264"/>
      <c r="I153" s="1265"/>
      <c r="J153" s="638"/>
      <c r="K153" s="520"/>
      <c r="L153" s="521"/>
      <c r="M153" s="340"/>
      <c r="N153" s="553" t="s">
        <v>71</v>
      </c>
      <c r="O153" s="339"/>
      <c r="P153" s="524" t="s">
        <v>72</v>
      </c>
      <c r="Q153" s="344"/>
      <c r="R153" s="522" t="s">
        <v>363</v>
      </c>
      <c r="S153" s="353">
        <f t="shared" ref="S153:S154" ca="1" si="263">IF(AY153="E",(M153*O153)+Q153,AO153)</f>
        <v>0</v>
      </c>
      <c r="T153" s="523"/>
      <c r="U153" s="350"/>
      <c r="V153" s="308"/>
      <c r="W153" s="1090" t="str">
        <f t="shared" ref="W153:W154" ca="1" si="264">IF(AZ153="E",IF(AND(V153&lt;&gt;0,U153&lt;&gt;0),"X",IF(AND(V153&lt;&gt;0,U153=0),"A",IF(AND(V153=0,U153&lt;&gt;0),"P",""))),AR153)</f>
        <v/>
      </c>
      <c r="X153" s="1103">
        <f t="shared" ref="X153:X154" ca="1" si="265">IF(AZ153="E",IFERROR(IF(W153="X",0,IF(U153&gt;0,U153,V153/S153)),0),
IFERROR(IF(OR(AR153="X",AR153=0),0,
IF(AR153="P",AP153,IF(AR153="A",AQ153/S153,0))),0))</f>
        <v>0</v>
      </c>
      <c r="Y153" s="1120">
        <f t="shared" ref="Y153:Y154" ca="1" si="266">IF(AZ153="E",IFERROR(IF(W153="X",0,IF(V153&gt;0,V153,S153*U153)),0),
IFERROR(IF(OR(AR153="X",AR153="0"),0,IF(AR153="A",AQ153,S153*AP153)),0))</f>
        <v>0</v>
      </c>
      <c r="Z153" s="524"/>
      <c r="AA153" s="350"/>
      <c r="AB153" s="308"/>
      <c r="AC153" s="1090" t="str">
        <f t="shared" ref="AC153:AC154" ca="1" si="267">IF(BA153="E",IF(AND(AB153&lt;&gt;0,AA153&lt;&gt;0),"X",IF(AND(AB153&lt;&gt;0,AA153=0),"A",IF(AND(AB153=0,AA153&lt;&gt;0),"P",""))),AU153)</f>
        <v/>
      </c>
      <c r="AD153" s="1103">
        <f t="shared" ref="AD153:AD154" ca="1" si="268">IF(BA153="E",IFERROR(IF(AC153="X",0,IF(AA153&gt;0,AA153,AB153/S153)),0),
IFERROR(IF(OR(AU153="X",AU153=0),0,
IF(AU153="P",AS153,IF(AU153="A",AT153/S153,0))),0))</f>
        <v>0</v>
      </c>
      <c r="AE153" s="1120">
        <f t="shared" ref="AE153:AE154" ca="1" si="269">IF(BA153="E",IFERROR(IF(AC153="X",0,IF(AB153&gt;0,AB153,S153*AA153)),0),
IFERROR(IF(OR(AU153="X",AU153=0),0,
IF(AU153="A",AT153,S153*AS153)),0))</f>
        <v>0</v>
      </c>
      <c r="AF153" s="525"/>
      <c r="AG153" s="637"/>
      <c r="AH153" s="525"/>
      <c r="AI153" s="1086">
        <f t="shared" ref="AI153:AI154" ca="1" si="270">IF(BB153="E",AG153,AV153)</f>
        <v>0</v>
      </c>
      <c r="AJ153" s="380"/>
      <c r="AK153" s="440"/>
      <c r="AM153" s="460">
        <v>153</v>
      </c>
      <c r="AN153" s="1087">
        <f t="shared" ref="AN153:AN154" ca="1" si="271">IF($M$13=$AN$12,"",IF(ISTEXT(INDIRECT("'"&amp;$AM$20&amp;"'!"&amp;AN$21&amp;$AM153)),INDIRECT("'"&amp;$AM$20&amp;"'!"&amp;AN$21&amp;$AM153),INDIRECT("'"&amp;$AM$20&amp;"'!"&amp;AN$22&amp;$AM153)))</f>
        <v>0</v>
      </c>
      <c r="AO153" s="1083">
        <f t="shared" ref="AO153:AV154" ca="1" si="272">IF($M$13=$AN$12,"",INDIRECT("'"&amp;$AM$20&amp;"'!"&amp;AO$21&amp;$AM153))</f>
        <v>0</v>
      </c>
      <c r="AP153" s="356">
        <f t="shared" ca="1" si="272"/>
        <v>0</v>
      </c>
      <c r="AQ153" s="357">
        <f t="shared" ca="1" si="272"/>
        <v>0</v>
      </c>
      <c r="AR153" s="524" t="str">
        <f t="shared" ca="1" si="272"/>
        <v/>
      </c>
      <c r="AS153" s="356">
        <f t="shared" ca="1" si="272"/>
        <v>0</v>
      </c>
      <c r="AT153" s="357">
        <f t="shared" ca="1" si="272"/>
        <v>0</v>
      </c>
      <c r="AU153" s="524" t="str">
        <f t="shared" ca="1" si="272"/>
        <v/>
      </c>
      <c r="AV153" s="1083">
        <f t="shared" ca="1" si="272"/>
        <v>0</v>
      </c>
      <c r="AX153" s="1083" t="str">
        <f t="shared" ref="AX153:AX154" si="273">IF($M$13=$AN$12,"E",IF(ISTEXT(F153),"E","U"))</f>
        <v>U</v>
      </c>
      <c r="AY153" s="1083" t="str">
        <f t="shared" ref="AY153:AY154" si="274">IF($M$13=$AN$12,"E",IF(OR(ISNUMBER(M153),ISNUMBER(O153),ISNUMBER(Q153)),"E","U"))</f>
        <v>U</v>
      </c>
      <c r="AZ153" s="1083" t="str">
        <f t="shared" ref="AZ153:AZ154" si="275">IF($M$13=$AN$12,"E",IF(OR(ISNUMBER(U153),ISNUMBER(V153)),"E","U"))</f>
        <v>U</v>
      </c>
      <c r="BA153" s="1083" t="str">
        <f t="shared" ref="BA153:BA154" si="276">IF($M$13=$AN$12,"E",IF(OR(ISNUMBER(AA153),ISNUMBER(AB153)),"E","U"))</f>
        <v>U</v>
      </c>
      <c r="BB153" s="1083" t="str">
        <f t="shared" ref="BB153:BB154" si="277">IF($M$13=$AN$12,"E",IF(ISNUMBER(AG153),"E","U"))</f>
        <v>U</v>
      </c>
    </row>
    <row r="154" spans="1:54" ht="12" customHeight="1" x14ac:dyDescent="0.2">
      <c r="A154" s="440"/>
      <c r="B154" s="1043"/>
      <c r="C154" s="554"/>
      <c r="D154" s="1037"/>
      <c r="E154" s="1084">
        <f ca="1">IF(AX154="E","",AN154)</f>
        <v>0</v>
      </c>
      <c r="F154" s="1085"/>
      <c r="G154" s="1264"/>
      <c r="H154" s="1264"/>
      <c r="I154" s="1265"/>
      <c r="J154" s="638"/>
      <c r="K154" s="520"/>
      <c r="L154" s="521"/>
      <c r="M154" s="340"/>
      <c r="N154" s="553" t="s">
        <v>71</v>
      </c>
      <c r="O154" s="339"/>
      <c r="P154" s="524" t="s">
        <v>72</v>
      </c>
      <c r="Q154" s="344"/>
      <c r="R154" s="522" t="s">
        <v>363</v>
      </c>
      <c r="S154" s="353">
        <f t="shared" ca="1" si="263"/>
        <v>0</v>
      </c>
      <c r="T154" s="523"/>
      <c r="U154" s="350"/>
      <c r="V154" s="308"/>
      <c r="W154" s="1090" t="str">
        <f t="shared" ca="1" si="264"/>
        <v/>
      </c>
      <c r="X154" s="1103">
        <f t="shared" ca="1" si="265"/>
        <v>0</v>
      </c>
      <c r="Y154" s="1120">
        <f t="shared" ca="1" si="266"/>
        <v>0</v>
      </c>
      <c r="Z154" s="524"/>
      <c r="AA154" s="350"/>
      <c r="AB154" s="308"/>
      <c r="AC154" s="1090" t="str">
        <f t="shared" ca="1" si="267"/>
        <v/>
      </c>
      <c r="AD154" s="1103">
        <f t="shared" ca="1" si="268"/>
        <v>0</v>
      </c>
      <c r="AE154" s="1120">
        <f t="shared" ca="1" si="269"/>
        <v>0</v>
      </c>
      <c r="AF154" s="525"/>
      <c r="AG154" s="637"/>
      <c r="AH154" s="525"/>
      <c r="AI154" s="1086">
        <f t="shared" ca="1" si="270"/>
        <v>0</v>
      </c>
      <c r="AJ154" s="380"/>
      <c r="AK154" s="440"/>
      <c r="AM154" s="460">
        <v>154</v>
      </c>
      <c r="AN154" s="1087">
        <f t="shared" ca="1" si="271"/>
        <v>0</v>
      </c>
      <c r="AO154" s="1083">
        <f t="shared" ca="1" si="272"/>
        <v>0</v>
      </c>
      <c r="AP154" s="356">
        <f t="shared" ca="1" si="272"/>
        <v>0</v>
      </c>
      <c r="AQ154" s="357">
        <f t="shared" ca="1" si="272"/>
        <v>0</v>
      </c>
      <c r="AR154" s="524" t="str">
        <f t="shared" ca="1" si="272"/>
        <v/>
      </c>
      <c r="AS154" s="356">
        <f t="shared" ca="1" si="272"/>
        <v>0</v>
      </c>
      <c r="AT154" s="357">
        <f t="shared" ca="1" si="272"/>
        <v>0</v>
      </c>
      <c r="AU154" s="524" t="str">
        <f t="shared" ca="1" si="272"/>
        <v/>
      </c>
      <c r="AV154" s="1083">
        <f t="shared" ca="1" si="272"/>
        <v>0</v>
      </c>
      <c r="AX154" s="1083" t="str">
        <f t="shared" si="273"/>
        <v>U</v>
      </c>
      <c r="AY154" s="1083" t="str">
        <f t="shared" si="274"/>
        <v>U</v>
      </c>
      <c r="AZ154" s="1083" t="str">
        <f t="shared" si="275"/>
        <v>U</v>
      </c>
      <c r="BA154" s="1083" t="str">
        <f t="shared" si="276"/>
        <v>U</v>
      </c>
      <c r="BB154" s="1083" t="str">
        <f t="shared" si="277"/>
        <v>U</v>
      </c>
    </row>
    <row r="155" spans="1:54" ht="14.25" customHeight="1" collapsed="1" x14ac:dyDescent="0.25">
      <c r="A155" s="440"/>
      <c r="B155" s="1043"/>
      <c r="C155" s="1036" t="s">
        <v>34</v>
      </c>
      <c r="D155" s="494"/>
      <c r="E155" s="1596" t="s">
        <v>33</v>
      </c>
      <c r="F155" s="1596"/>
      <c r="G155" s="1596"/>
      <c r="H155" s="1596"/>
      <c r="I155" s="1597"/>
      <c r="J155" s="1038"/>
      <c r="K155" s="462"/>
      <c r="L155" s="462"/>
      <c r="M155" s="498"/>
      <c r="N155" s="359"/>
      <c r="O155" s="365"/>
      <c r="P155" s="363"/>
      <c r="Q155" s="363"/>
      <c r="R155" s="363"/>
      <c r="S155" s="355">
        <f ca="1">S156+S163</f>
        <v>0</v>
      </c>
      <c r="T155" s="363"/>
      <c r="U155" s="375"/>
      <c r="V155" s="361"/>
      <c r="W155" s="1091"/>
      <c r="X155" s="1114"/>
      <c r="Y155" s="1121"/>
      <c r="Z155" s="363"/>
      <c r="AA155" s="375"/>
      <c r="AB155" s="361"/>
      <c r="AC155" s="1091"/>
      <c r="AD155" s="1114"/>
      <c r="AE155" s="1121"/>
      <c r="AF155" s="358"/>
      <c r="AG155" s="358"/>
      <c r="AH155" s="358"/>
      <c r="AI155" s="358"/>
      <c r="AJ155" s="380"/>
      <c r="AK155" s="440"/>
      <c r="AM155" s="460">
        <v>155</v>
      </c>
      <c r="AN155" s="1078"/>
    </row>
    <row r="156" spans="1:54" ht="12" customHeight="1" x14ac:dyDescent="0.25">
      <c r="A156" s="440"/>
      <c r="B156" s="1043"/>
      <c r="C156" s="380"/>
      <c r="D156" s="1037" t="s">
        <v>32</v>
      </c>
      <c r="E156" s="1599" t="s">
        <v>31</v>
      </c>
      <c r="F156" s="1599"/>
      <c r="G156" s="1599"/>
      <c r="H156" s="1599"/>
      <c r="I156" s="1597"/>
      <c r="J156" s="1038"/>
      <c r="K156" s="462"/>
      <c r="L156" s="462"/>
      <c r="M156" s="498"/>
      <c r="N156" s="359"/>
      <c r="O156" s="365"/>
      <c r="P156" s="363"/>
      <c r="Q156" s="363"/>
      <c r="R156" s="363"/>
      <c r="S156" s="354">
        <f ca="1">SUBTOTAL(109,S158:S161)</f>
        <v>0</v>
      </c>
      <c r="T156" s="363"/>
      <c r="U156" s="375"/>
      <c r="V156" s="361"/>
      <c r="W156" s="1091"/>
      <c r="X156" s="1114"/>
      <c r="Y156" s="1121"/>
      <c r="Z156" s="363"/>
      <c r="AA156" s="375"/>
      <c r="AB156" s="361"/>
      <c r="AC156" s="1091"/>
      <c r="AD156" s="1114"/>
      <c r="AE156" s="1121"/>
      <c r="AF156" s="358"/>
      <c r="AG156" s="358"/>
      <c r="AH156" s="358"/>
      <c r="AI156" s="358"/>
      <c r="AJ156" s="380"/>
      <c r="AK156" s="440"/>
      <c r="AM156" s="460">
        <v>156</v>
      </c>
      <c r="AN156" s="1078"/>
    </row>
    <row r="157" spans="1:54" ht="12" customHeight="1" x14ac:dyDescent="0.25">
      <c r="A157" s="440"/>
      <c r="B157" s="1043"/>
      <c r="C157" s="380"/>
      <c r="D157" s="1037"/>
      <c r="E157" s="1037"/>
      <c r="F157" s="1037"/>
      <c r="G157" s="1037"/>
      <c r="H157" s="1037"/>
      <c r="I157" s="1035"/>
      <c r="J157" s="1603" t="s">
        <v>188</v>
      </c>
      <c r="K157" s="1603"/>
      <c r="L157" s="462"/>
      <c r="M157" s="498"/>
      <c r="N157" s="359"/>
      <c r="O157" s="365"/>
      <c r="P157" s="363"/>
      <c r="Q157" s="363"/>
      <c r="R157" s="363"/>
      <c r="S157" s="354"/>
      <c r="T157" s="363"/>
      <c r="U157" s="375"/>
      <c r="V157" s="361"/>
      <c r="W157" s="1091"/>
      <c r="X157" s="1114"/>
      <c r="Y157" s="1121"/>
      <c r="Z157" s="363"/>
      <c r="AA157" s="375"/>
      <c r="AB157" s="361"/>
      <c r="AC157" s="1091"/>
      <c r="AD157" s="1114"/>
      <c r="AE157" s="1121"/>
      <c r="AF157" s="358"/>
      <c r="AG157" s="358"/>
      <c r="AH157" s="358"/>
      <c r="AI157" s="358"/>
      <c r="AJ157" s="380"/>
      <c r="AK157" s="440"/>
      <c r="AM157" s="460">
        <v>157</v>
      </c>
      <c r="AN157" s="1078"/>
    </row>
    <row r="158" spans="1:54" ht="12" customHeight="1" x14ac:dyDescent="0.2">
      <c r="A158" s="440"/>
      <c r="B158" s="1043"/>
      <c r="C158" s="380"/>
      <c r="D158" s="1037"/>
      <c r="E158" s="1084">
        <f ca="1">IF(AX158="E","",AN158)</f>
        <v>0</v>
      </c>
      <c r="F158" s="1085"/>
      <c r="G158" s="1264"/>
      <c r="H158" s="1264"/>
      <c r="I158" s="1265"/>
      <c r="J158" s="638"/>
      <c r="K158" s="550" t="s">
        <v>179</v>
      </c>
      <c r="L158" s="551"/>
      <c r="M158" s="340"/>
      <c r="N158" s="553" t="s">
        <v>559</v>
      </c>
      <c r="O158" s="339"/>
      <c r="P158" s="524" t="s">
        <v>560</v>
      </c>
      <c r="Q158" s="344"/>
      <c r="R158" s="522" t="s">
        <v>363</v>
      </c>
      <c r="S158" s="353">
        <f t="shared" ref="S158:S161" ca="1" si="278">IF(AY158="E",(M158*O158)+Q158,AO158)</f>
        <v>0</v>
      </c>
      <c r="T158" s="523"/>
      <c r="U158" s="350"/>
      <c r="V158" s="308"/>
      <c r="W158" s="1090" t="str">
        <f t="shared" ref="W158:W161" ca="1" si="279">IF(AZ158="E",IF(AND(V158&lt;&gt;0,U158&lt;&gt;0),"X",IF(AND(V158&lt;&gt;0,U158=0),"A",IF(AND(V158=0,U158&lt;&gt;0),"P",""))),AR158)</f>
        <v/>
      </c>
      <c r="X158" s="1103">
        <f t="shared" ref="X158:X161" ca="1" si="280">IF(AZ158="E",IFERROR(IF(W158="X",0,IF(U158&gt;0,U158,V158/S158)),0),
IFERROR(IF(OR(AR158="X",AR158=0),0,
IF(AR158="P",AP158,IF(AR158="A",AQ158/S158,0))),0))</f>
        <v>0</v>
      </c>
      <c r="Y158" s="1120">
        <f t="shared" ref="Y158:Y161" ca="1" si="281">IF(AZ158="E",IFERROR(IF(W158="X",0,IF(V158&gt;0,V158,S158*U158)),0),
IFERROR(IF(OR(AR158="X",AR158="0"),0,IF(AR158="A",AQ158,S158*AP158)),0))</f>
        <v>0</v>
      </c>
      <c r="Z158" s="524"/>
      <c r="AA158" s="350"/>
      <c r="AB158" s="308"/>
      <c r="AC158" s="1090" t="str">
        <f t="shared" ref="AC158:AC161" ca="1" si="282">IF(BA158="E",IF(AND(AB158&lt;&gt;0,AA158&lt;&gt;0),"X",IF(AND(AB158&lt;&gt;0,AA158=0),"A",IF(AND(AB158=0,AA158&lt;&gt;0),"P",""))),AU158)</f>
        <v/>
      </c>
      <c r="AD158" s="1103">
        <f t="shared" ref="AD158:AD161" ca="1" si="283">IF(BA158="E",IFERROR(IF(AC158="X",0,IF(AA158&gt;0,AA158,AB158/S158)),0),
IFERROR(IF(OR(AU158="X",AU158=0),0,
IF(AU158="P",AS158,IF(AU158="A",AT158/S158,0))),0))</f>
        <v>0</v>
      </c>
      <c r="AE158" s="1120">
        <f t="shared" ref="AE158:AE161" ca="1" si="284">IF(BA158="E",IFERROR(IF(AC158="X",0,IF(AB158&gt;0,AB158,S158*AA158)),0),
IFERROR(IF(OR(AU158="X",AU158=0),0,
IF(AU158="A",AT158,S158*AS158)),0))</f>
        <v>0</v>
      </c>
      <c r="AF158" s="525"/>
      <c r="AG158" s="637"/>
      <c r="AH158" s="525"/>
      <c r="AI158" s="1086">
        <f t="shared" ref="AI158:AI161" ca="1" si="285">IF(BB158="E",AG158,AV158)</f>
        <v>0</v>
      </c>
      <c r="AJ158" s="380"/>
      <c r="AK158" s="440"/>
      <c r="AM158" s="460">
        <v>158</v>
      </c>
      <c r="AN158" s="1087">
        <f t="shared" ref="AN158:AN161" ca="1" si="286">IF($M$13=$AN$12,"",IF(ISTEXT(INDIRECT("'"&amp;$AM$20&amp;"'!"&amp;AN$21&amp;$AM158)),INDIRECT("'"&amp;$AM$20&amp;"'!"&amp;AN$21&amp;$AM158),INDIRECT("'"&amp;$AM$20&amp;"'!"&amp;AN$22&amp;$AM158)))</f>
        <v>0</v>
      </c>
      <c r="AO158" s="1083">
        <f t="shared" ref="AO158:AV161" ca="1" si="287">IF($M$13=$AN$12,"",INDIRECT("'"&amp;$AM$20&amp;"'!"&amp;AO$21&amp;$AM158))</f>
        <v>0</v>
      </c>
      <c r="AP158" s="356">
        <f t="shared" ca="1" si="287"/>
        <v>0</v>
      </c>
      <c r="AQ158" s="357">
        <f t="shared" ca="1" si="287"/>
        <v>0</v>
      </c>
      <c r="AR158" s="524" t="str">
        <f t="shared" ca="1" si="287"/>
        <v/>
      </c>
      <c r="AS158" s="356">
        <f t="shared" ca="1" si="287"/>
        <v>0</v>
      </c>
      <c r="AT158" s="357">
        <f t="shared" ca="1" si="287"/>
        <v>0</v>
      </c>
      <c r="AU158" s="524" t="str">
        <f t="shared" ca="1" si="287"/>
        <v/>
      </c>
      <c r="AV158" s="1083">
        <f t="shared" ca="1" si="287"/>
        <v>0</v>
      </c>
      <c r="AX158" s="1083" t="str">
        <f t="shared" ref="AX158:AX161" si="288">IF($M$13=$AN$12,"E",IF(ISTEXT(F158),"E","U"))</f>
        <v>U</v>
      </c>
      <c r="AY158" s="1083" t="str">
        <f t="shared" ref="AY158:AY161" si="289">IF($M$13=$AN$12,"E",IF(OR(ISNUMBER(M158),ISNUMBER(O158),ISNUMBER(Q158)),"E","U"))</f>
        <v>U</v>
      </c>
      <c r="AZ158" s="1083" t="str">
        <f t="shared" ref="AZ158:AZ161" si="290">IF($M$13=$AN$12,"E",IF(OR(ISNUMBER(U158),ISNUMBER(V158)),"E","U"))</f>
        <v>U</v>
      </c>
      <c r="BA158" s="1083" t="str">
        <f t="shared" ref="BA158:BA161" si="291">IF($M$13=$AN$12,"E",IF(OR(ISNUMBER(AA158),ISNUMBER(AB158)),"E","U"))</f>
        <v>U</v>
      </c>
      <c r="BB158" s="1083" t="str">
        <f t="shared" ref="BB158:BB161" si="292">IF($M$13=$AN$12,"E",IF(ISNUMBER(AG158),"E","U"))</f>
        <v>U</v>
      </c>
    </row>
    <row r="159" spans="1:54" ht="12" customHeight="1" x14ac:dyDescent="0.2">
      <c r="A159" s="440"/>
      <c r="B159" s="1043"/>
      <c r="C159" s="380"/>
      <c r="D159" s="1037"/>
      <c r="E159" s="1084">
        <f ca="1">IF(AX159="E","",AN159)</f>
        <v>0</v>
      </c>
      <c r="F159" s="1085"/>
      <c r="G159" s="1264"/>
      <c r="H159" s="1264"/>
      <c r="I159" s="1265"/>
      <c r="J159" s="638"/>
      <c r="K159" s="550" t="s">
        <v>179</v>
      </c>
      <c r="L159" s="551"/>
      <c r="M159" s="340"/>
      <c r="N159" s="553" t="s">
        <v>69</v>
      </c>
      <c r="O159" s="339"/>
      <c r="P159" s="524" t="s">
        <v>70</v>
      </c>
      <c r="Q159" s="344"/>
      <c r="R159" s="522" t="s">
        <v>363</v>
      </c>
      <c r="S159" s="353">
        <f t="shared" ca="1" si="278"/>
        <v>0</v>
      </c>
      <c r="T159" s="523"/>
      <c r="U159" s="350"/>
      <c r="V159" s="308"/>
      <c r="W159" s="1090" t="str">
        <f t="shared" ca="1" si="279"/>
        <v/>
      </c>
      <c r="X159" s="1103">
        <f t="shared" ca="1" si="280"/>
        <v>0</v>
      </c>
      <c r="Y159" s="1120">
        <f t="shared" ca="1" si="281"/>
        <v>0</v>
      </c>
      <c r="Z159" s="524"/>
      <c r="AA159" s="350"/>
      <c r="AB159" s="308"/>
      <c r="AC159" s="1090" t="str">
        <f t="shared" ca="1" si="282"/>
        <v/>
      </c>
      <c r="AD159" s="1103">
        <f t="shared" ca="1" si="283"/>
        <v>0</v>
      </c>
      <c r="AE159" s="1120">
        <f t="shared" ca="1" si="284"/>
        <v>0</v>
      </c>
      <c r="AF159" s="525"/>
      <c r="AG159" s="637"/>
      <c r="AH159" s="525"/>
      <c r="AI159" s="1086">
        <f t="shared" ca="1" si="285"/>
        <v>0</v>
      </c>
      <c r="AJ159" s="380"/>
      <c r="AK159" s="440"/>
      <c r="AM159" s="460">
        <v>159</v>
      </c>
      <c r="AN159" s="1087">
        <f t="shared" ca="1" si="286"/>
        <v>0</v>
      </c>
      <c r="AO159" s="1083">
        <f t="shared" ca="1" si="287"/>
        <v>0</v>
      </c>
      <c r="AP159" s="356">
        <f t="shared" ca="1" si="287"/>
        <v>0</v>
      </c>
      <c r="AQ159" s="357">
        <f t="shared" ca="1" si="287"/>
        <v>0</v>
      </c>
      <c r="AR159" s="524" t="str">
        <f t="shared" ca="1" si="287"/>
        <v/>
      </c>
      <c r="AS159" s="356">
        <f t="shared" ca="1" si="287"/>
        <v>0</v>
      </c>
      <c r="AT159" s="357">
        <f t="shared" ca="1" si="287"/>
        <v>0</v>
      </c>
      <c r="AU159" s="524" t="str">
        <f t="shared" ca="1" si="287"/>
        <v/>
      </c>
      <c r="AV159" s="1083">
        <f t="shared" ca="1" si="287"/>
        <v>0</v>
      </c>
      <c r="AX159" s="1083" t="str">
        <f t="shared" si="288"/>
        <v>U</v>
      </c>
      <c r="AY159" s="1083" t="str">
        <f t="shared" si="289"/>
        <v>U</v>
      </c>
      <c r="AZ159" s="1083" t="str">
        <f t="shared" si="290"/>
        <v>U</v>
      </c>
      <c r="BA159" s="1083" t="str">
        <f t="shared" si="291"/>
        <v>U</v>
      </c>
      <c r="BB159" s="1083" t="str">
        <f t="shared" si="292"/>
        <v>U</v>
      </c>
    </row>
    <row r="160" spans="1:54" ht="12" customHeight="1" x14ac:dyDescent="0.2">
      <c r="A160" s="440"/>
      <c r="B160" s="1043"/>
      <c r="C160" s="380"/>
      <c r="D160" s="1037"/>
      <c r="E160" s="1084">
        <f ca="1">IF(AX160="E","",AN160)</f>
        <v>0</v>
      </c>
      <c r="F160" s="1085"/>
      <c r="G160" s="1264"/>
      <c r="H160" s="1264"/>
      <c r="I160" s="1265"/>
      <c r="J160" s="638"/>
      <c r="K160" s="550" t="s">
        <v>179</v>
      </c>
      <c r="L160" s="551"/>
      <c r="M160" s="340"/>
      <c r="N160" s="553" t="s">
        <v>69</v>
      </c>
      <c r="O160" s="339"/>
      <c r="P160" s="524" t="s">
        <v>70</v>
      </c>
      <c r="Q160" s="344"/>
      <c r="R160" s="522" t="s">
        <v>363</v>
      </c>
      <c r="S160" s="353">
        <f t="shared" ca="1" si="278"/>
        <v>0</v>
      </c>
      <c r="T160" s="523"/>
      <c r="U160" s="350"/>
      <c r="V160" s="308"/>
      <c r="W160" s="1090" t="str">
        <f t="shared" ca="1" si="279"/>
        <v/>
      </c>
      <c r="X160" s="1103">
        <f t="shared" ca="1" si="280"/>
        <v>0</v>
      </c>
      <c r="Y160" s="1120">
        <f t="shared" ca="1" si="281"/>
        <v>0</v>
      </c>
      <c r="Z160" s="524"/>
      <c r="AA160" s="350"/>
      <c r="AB160" s="308"/>
      <c r="AC160" s="1090" t="str">
        <f t="shared" ca="1" si="282"/>
        <v/>
      </c>
      <c r="AD160" s="1103">
        <f t="shared" ca="1" si="283"/>
        <v>0</v>
      </c>
      <c r="AE160" s="1120">
        <f t="shared" ca="1" si="284"/>
        <v>0</v>
      </c>
      <c r="AF160" s="525"/>
      <c r="AG160" s="637"/>
      <c r="AH160" s="525"/>
      <c r="AI160" s="1086">
        <f t="shared" ca="1" si="285"/>
        <v>0</v>
      </c>
      <c r="AJ160" s="380"/>
      <c r="AK160" s="440"/>
      <c r="AM160" s="460">
        <v>160</v>
      </c>
      <c r="AN160" s="1087">
        <f t="shared" ca="1" si="286"/>
        <v>0</v>
      </c>
      <c r="AO160" s="1083">
        <f t="shared" ca="1" si="287"/>
        <v>0</v>
      </c>
      <c r="AP160" s="356">
        <f t="shared" ca="1" si="287"/>
        <v>0</v>
      </c>
      <c r="AQ160" s="357">
        <f t="shared" ca="1" si="287"/>
        <v>0</v>
      </c>
      <c r="AR160" s="524" t="str">
        <f t="shared" ca="1" si="287"/>
        <v/>
      </c>
      <c r="AS160" s="356">
        <f t="shared" ca="1" si="287"/>
        <v>0</v>
      </c>
      <c r="AT160" s="357">
        <f t="shared" ca="1" si="287"/>
        <v>0</v>
      </c>
      <c r="AU160" s="524" t="str">
        <f t="shared" ca="1" si="287"/>
        <v/>
      </c>
      <c r="AV160" s="1083">
        <f t="shared" ca="1" si="287"/>
        <v>0</v>
      </c>
      <c r="AX160" s="1083" t="str">
        <f t="shared" si="288"/>
        <v>U</v>
      </c>
      <c r="AY160" s="1083" t="str">
        <f t="shared" si="289"/>
        <v>U</v>
      </c>
      <c r="AZ160" s="1083" t="str">
        <f t="shared" si="290"/>
        <v>U</v>
      </c>
      <c r="BA160" s="1083" t="str">
        <f t="shared" si="291"/>
        <v>U</v>
      </c>
      <c r="BB160" s="1083" t="str">
        <f t="shared" si="292"/>
        <v>U</v>
      </c>
    </row>
    <row r="161" spans="1:54" ht="12" customHeight="1" x14ac:dyDescent="0.2">
      <c r="A161" s="440"/>
      <c r="B161" s="1043"/>
      <c r="C161" s="380"/>
      <c r="D161" s="1037"/>
      <c r="E161" s="1084">
        <f ca="1">IF(AX161="E","",AN161)</f>
        <v>0</v>
      </c>
      <c r="F161" s="1085"/>
      <c r="G161" s="1264"/>
      <c r="H161" s="1264"/>
      <c r="I161" s="1265"/>
      <c r="J161" s="638"/>
      <c r="K161" s="550" t="s">
        <v>179</v>
      </c>
      <c r="L161" s="551"/>
      <c r="M161" s="340"/>
      <c r="N161" s="553" t="s">
        <v>69</v>
      </c>
      <c r="O161" s="339"/>
      <c r="P161" s="524" t="s">
        <v>70</v>
      </c>
      <c r="Q161" s="344"/>
      <c r="R161" s="522" t="s">
        <v>363</v>
      </c>
      <c r="S161" s="353">
        <f t="shared" ca="1" si="278"/>
        <v>0</v>
      </c>
      <c r="T161" s="523"/>
      <c r="U161" s="350"/>
      <c r="V161" s="308"/>
      <c r="W161" s="1090" t="str">
        <f t="shared" ca="1" si="279"/>
        <v/>
      </c>
      <c r="X161" s="1103">
        <f t="shared" ca="1" si="280"/>
        <v>0</v>
      </c>
      <c r="Y161" s="1120">
        <f t="shared" ca="1" si="281"/>
        <v>0</v>
      </c>
      <c r="Z161" s="524"/>
      <c r="AA161" s="350"/>
      <c r="AB161" s="308"/>
      <c r="AC161" s="1090" t="str">
        <f t="shared" ca="1" si="282"/>
        <v/>
      </c>
      <c r="AD161" s="1103">
        <f t="shared" ca="1" si="283"/>
        <v>0</v>
      </c>
      <c r="AE161" s="1120">
        <f t="shared" ca="1" si="284"/>
        <v>0</v>
      </c>
      <c r="AF161" s="525"/>
      <c r="AG161" s="637"/>
      <c r="AH161" s="525"/>
      <c r="AI161" s="1086">
        <f t="shared" ca="1" si="285"/>
        <v>0</v>
      </c>
      <c r="AJ161" s="380"/>
      <c r="AK161" s="440"/>
      <c r="AM161" s="460">
        <v>161</v>
      </c>
      <c r="AN161" s="1087">
        <f t="shared" ca="1" si="286"/>
        <v>0</v>
      </c>
      <c r="AO161" s="1083">
        <f t="shared" ca="1" si="287"/>
        <v>0</v>
      </c>
      <c r="AP161" s="356">
        <f t="shared" ca="1" si="287"/>
        <v>0</v>
      </c>
      <c r="AQ161" s="357">
        <f t="shared" ca="1" si="287"/>
        <v>0</v>
      </c>
      <c r="AR161" s="524" t="str">
        <f t="shared" ca="1" si="287"/>
        <v/>
      </c>
      <c r="AS161" s="356">
        <f t="shared" ca="1" si="287"/>
        <v>0</v>
      </c>
      <c r="AT161" s="357">
        <f t="shared" ca="1" si="287"/>
        <v>0</v>
      </c>
      <c r="AU161" s="524" t="str">
        <f t="shared" ca="1" si="287"/>
        <v/>
      </c>
      <c r="AV161" s="1083">
        <f t="shared" ca="1" si="287"/>
        <v>0</v>
      </c>
      <c r="AX161" s="1083" t="str">
        <f t="shared" si="288"/>
        <v>U</v>
      </c>
      <c r="AY161" s="1083" t="str">
        <f t="shared" si="289"/>
        <v>U</v>
      </c>
      <c r="AZ161" s="1083" t="str">
        <f t="shared" si="290"/>
        <v>U</v>
      </c>
      <c r="BA161" s="1083" t="str">
        <f t="shared" si="291"/>
        <v>U</v>
      </c>
      <c r="BB161" s="1083" t="str">
        <f t="shared" si="292"/>
        <v>U</v>
      </c>
    </row>
    <row r="162" spans="1:54" ht="12" customHeight="1" x14ac:dyDescent="0.25">
      <c r="A162" s="440"/>
      <c r="B162" s="1043"/>
      <c r="C162" s="380"/>
      <c r="D162" s="1037" t="s">
        <v>30</v>
      </c>
      <c r="E162" s="1599" t="s">
        <v>29</v>
      </c>
      <c r="F162" s="1599"/>
      <c r="G162" s="1599"/>
      <c r="H162" s="1599"/>
      <c r="I162" s="1597"/>
      <c r="J162" s="1038"/>
      <c r="K162" s="462"/>
      <c r="L162" s="462"/>
      <c r="M162" s="498"/>
      <c r="N162" s="359"/>
      <c r="O162" s="365"/>
      <c r="P162" s="363"/>
      <c r="Q162" s="363"/>
      <c r="R162" s="363"/>
      <c r="S162" s="355"/>
      <c r="T162" s="363"/>
      <c r="U162" s="375"/>
      <c r="V162" s="361"/>
      <c r="W162" s="1091"/>
      <c r="X162" s="1114"/>
      <c r="Y162" s="1121"/>
      <c r="Z162" s="363"/>
      <c r="AA162" s="375"/>
      <c r="AB162" s="361"/>
      <c r="AC162" s="1091"/>
      <c r="AD162" s="1114"/>
      <c r="AE162" s="1121"/>
      <c r="AF162" s="358"/>
      <c r="AG162" s="358"/>
      <c r="AH162" s="358"/>
      <c r="AI162" s="358"/>
      <c r="AJ162" s="380"/>
      <c r="AK162" s="440"/>
      <c r="AM162" s="460">
        <v>162</v>
      </c>
      <c r="AN162" s="1078"/>
    </row>
    <row r="163" spans="1:54" ht="12" customHeight="1" x14ac:dyDescent="0.25">
      <c r="A163" s="440"/>
      <c r="B163" s="1043"/>
      <c r="C163" s="380"/>
      <c r="D163" s="1037"/>
      <c r="E163" s="1037"/>
      <c r="F163" s="1037"/>
      <c r="G163" s="1037"/>
      <c r="H163" s="1037"/>
      <c r="I163" s="1035"/>
      <c r="J163" s="1038"/>
      <c r="K163" s="462"/>
      <c r="L163" s="462"/>
      <c r="M163" s="339"/>
      <c r="N163" s="359"/>
      <c r="O163" s="339"/>
      <c r="P163" s="363"/>
      <c r="Q163" s="344"/>
      <c r="R163" s="522" t="s">
        <v>363</v>
      </c>
      <c r="S163" s="353">
        <f ca="1">IF(AY163="E",(M163*O163)+Q163,AO163)</f>
        <v>0</v>
      </c>
      <c r="T163" s="523"/>
      <c r="U163" s="350"/>
      <c r="V163" s="308"/>
      <c r="W163" s="1090" t="str">
        <f ca="1">IF(AZ163="E",IF(AND(V163&lt;&gt;0,U163&lt;&gt;0),"X",IF(AND(V163&lt;&gt;0,U163=0),"A",IF(AND(V163=0,U163&lt;&gt;0),"P",""))),AR163)</f>
        <v/>
      </c>
      <c r="X163" s="1103">
        <f ca="1">IF(AZ163="E",IFERROR(IF(W163="X",0,IF(U163&gt;0,U163,V163/S163)),0),
IFERROR(IF(OR(AR163="X",AR163=0),0,
IF(AR163="P",AP163,IF(AR163="A",AQ163/S163,0))),0))</f>
        <v>0</v>
      </c>
      <c r="Y163" s="1120">
        <f ca="1">IF(AZ163="E",IFERROR(IF(W163="X",0,IF(V163&gt;0,V163,S163*U163)),0),
IFERROR(IF(OR(AR163="X",AR163="0"),0,IF(AR163="A",AQ163,S163*AP163)),0))</f>
        <v>0</v>
      </c>
      <c r="Z163" s="524"/>
      <c r="AA163" s="350"/>
      <c r="AB163" s="308"/>
      <c r="AC163" s="1090" t="str">
        <f ca="1">IF(BA163="E",IF(AND(AB163&lt;&gt;0,AA163&lt;&gt;0),"X",IF(AND(AB163&lt;&gt;0,AA163=0),"A",IF(AND(AB163=0,AA163&lt;&gt;0),"P",""))),AU163)</f>
        <v/>
      </c>
      <c r="AD163" s="1103">
        <f ca="1">IF(BA163="E",IFERROR(IF(AC163="X",0,IF(AA163&gt;0,AA163,AB163/S163)),0),
IFERROR(IF(OR(AU163="X",AU163=0),0,
IF(AU163="P",AS163,IF(AU163="A",AT163/S163,0))),0))</f>
        <v>0</v>
      </c>
      <c r="AE163" s="1120">
        <f ca="1">IF(BA163="E",IFERROR(IF(AC163="X",0,IF(AB163&gt;0,AB163,S163*AA163)),0),
IFERROR(IF(OR(AU163="X",AU163=0),0,
IF(AU163="A",AT163,S163*AS163)),0))</f>
        <v>0</v>
      </c>
      <c r="AF163" s="525"/>
      <c r="AG163" s="637"/>
      <c r="AH163" s="525"/>
      <c r="AI163" s="1086">
        <f ca="1">IF(BB163="E",AG163,AV163)</f>
        <v>0</v>
      </c>
      <c r="AJ163" s="380"/>
      <c r="AK163" s="440"/>
      <c r="AM163" s="460">
        <v>163</v>
      </c>
      <c r="AN163" s="1078"/>
      <c r="AO163" s="1083">
        <f t="shared" ref="AO163:AV163" ca="1" si="293">IF($M$13=$AN$12,"",INDIRECT("'"&amp;$AM$20&amp;"'!"&amp;AO$21&amp;$AM163))</f>
        <v>0</v>
      </c>
      <c r="AP163" s="356">
        <f t="shared" ca="1" si="293"/>
        <v>0</v>
      </c>
      <c r="AQ163" s="357">
        <f t="shared" ca="1" si="293"/>
        <v>0</v>
      </c>
      <c r="AR163" s="524" t="str">
        <f t="shared" ca="1" si="293"/>
        <v/>
      </c>
      <c r="AS163" s="356">
        <f t="shared" ca="1" si="293"/>
        <v>0</v>
      </c>
      <c r="AT163" s="357">
        <f t="shared" ca="1" si="293"/>
        <v>0</v>
      </c>
      <c r="AU163" s="524" t="str">
        <f t="shared" ca="1" si="293"/>
        <v/>
      </c>
      <c r="AV163" s="1083">
        <f t="shared" ca="1" si="293"/>
        <v>0</v>
      </c>
      <c r="AX163" s="1083" t="str">
        <f t="shared" ref="AX163" si="294">IF($M$13=$AN$12,"E",IF(ISTEXT(F163),"E","U"))</f>
        <v>U</v>
      </c>
      <c r="AY163" s="1083" t="str">
        <f t="shared" ref="AY163" si="295">IF($M$13=$AN$12,"E",IF(OR(ISNUMBER(M163),ISNUMBER(O163),ISNUMBER(Q163)),"E","U"))</f>
        <v>U</v>
      </c>
      <c r="AZ163" s="1083" t="str">
        <f t="shared" ref="AZ163" si="296">IF($M$13=$AN$12,"E",IF(OR(ISNUMBER(U163),ISNUMBER(V163)),"E","U"))</f>
        <v>U</v>
      </c>
      <c r="BA163" s="1083" t="str">
        <f t="shared" ref="BA163" si="297">IF($M$13=$AN$12,"E",IF(OR(ISNUMBER(AA163),ISNUMBER(AB163)),"E","U"))</f>
        <v>U</v>
      </c>
      <c r="BB163" s="1083" t="str">
        <f t="shared" ref="BB163" si="298">IF($M$13=$AN$12,"E",IF(ISNUMBER(AG163),"E","U"))</f>
        <v>U</v>
      </c>
    </row>
    <row r="164" spans="1:54" ht="14.25" customHeight="1" x14ac:dyDescent="0.25">
      <c r="A164" s="440"/>
      <c r="B164" s="1043"/>
      <c r="C164" s="1036" t="s">
        <v>28</v>
      </c>
      <c r="D164" s="494"/>
      <c r="E164" s="1596" t="s">
        <v>27</v>
      </c>
      <c r="F164" s="1596"/>
      <c r="G164" s="1596"/>
      <c r="H164" s="1596"/>
      <c r="I164" s="1597"/>
      <c r="J164" s="1038"/>
      <c r="K164" s="462"/>
      <c r="L164" s="462"/>
      <c r="M164" s="498"/>
      <c r="N164" s="359"/>
      <c r="O164" s="365"/>
      <c r="P164" s="363"/>
      <c r="Q164" s="363"/>
      <c r="R164" s="363"/>
      <c r="S164" s="355">
        <f ca="1">S165</f>
        <v>0</v>
      </c>
      <c r="T164" s="363"/>
      <c r="U164" s="375"/>
      <c r="V164" s="361"/>
      <c r="W164" s="1091"/>
      <c r="X164" s="1114"/>
      <c r="Y164" s="1121"/>
      <c r="Z164" s="363"/>
      <c r="AA164" s="375"/>
      <c r="AB164" s="361"/>
      <c r="AC164" s="1091"/>
      <c r="AD164" s="1114"/>
      <c r="AE164" s="1121"/>
      <c r="AF164" s="358"/>
      <c r="AG164" s="358"/>
      <c r="AH164" s="358"/>
      <c r="AI164" s="358"/>
      <c r="AJ164" s="380"/>
      <c r="AK164" s="440"/>
      <c r="AM164" s="460">
        <v>164</v>
      </c>
      <c r="AN164" s="1078"/>
    </row>
    <row r="165" spans="1:54" ht="12" customHeight="1" x14ac:dyDescent="0.25">
      <c r="A165" s="440"/>
      <c r="B165" s="1043"/>
      <c r="C165" s="380"/>
      <c r="D165" s="1037" t="s">
        <v>26</v>
      </c>
      <c r="E165" s="1599" t="s">
        <v>25</v>
      </c>
      <c r="F165" s="1599"/>
      <c r="G165" s="1599"/>
      <c r="H165" s="1599"/>
      <c r="I165" s="1605"/>
      <c r="J165" s="1038"/>
      <c r="K165" s="502"/>
      <c r="L165" s="502"/>
      <c r="M165" s="498"/>
      <c r="N165" s="359"/>
      <c r="O165" s="365"/>
      <c r="P165" s="363"/>
      <c r="Q165" s="363"/>
      <c r="R165" s="363"/>
      <c r="S165" s="354">
        <f ca="1">SUBTOTAL(109,S167:S170)</f>
        <v>0</v>
      </c>
      <c r="T165" s="363"/>
      <c r="U165" s="375"/>
      <c r="V165" s="361"/>
      <c r="W165" s="1091"/>
      <c r="X165" s="1114"/>
      <c r="Y165" s="1121"/>
      <c r="Z165" s="363"/>
      <c r="AA165" s="375"/>
      <c r="AB165" s="361"/>
      <c r="AC165" s="1091"/>
      <c r="AD165" s="1114"/>
      <c r="AE165" s="1121"/>
      <c r="AF165" s="358"/>
      <c r="AG165" s="358"/>
      <c r="AH165" s="358"/>
      <c r="AI165" s="358"/>
      <c r="AJ165" s="380"/>
      <c r="AK165" s="440"/>
      <c r="AM165" s="460">
        <v>165</v>
      </c>
      <c r="AN165" s="1078"/>
    </row>
    <row r="166" spans="1:54" ht="12" customHeight="1" x14ac:dyDescent="0.25">
      <c r="A166" s="440"/>
      <c r="B166" s="1043"/>
      <c r="C166" s="380"/>
      <c r="D166" s="1037"/>
      <c r="E166" s="1037"/>
      <c r="F166" s="1037"/>
      <c r="G166" s="1037"/>
      <c r="H166" s="1037"/>
      <c r="I166" s="1038"/>
      <c r="J166" s="1038"/>
      <c r="K166" s="502"/>
      <c r="L166" s="502"/>
      <c r="M166" s="498"/>
      <c r="N166" s="359"/>
      <c r="O166" s="365"/>
      <c r="P166" s="363"/>
      <c r="Q166" s="363"/>
      <c r="R166" s="363"/>
      <c r="S166" s="354"/>
      <c r="T166" s="363"/>
      <c r="U166" s="375"/>
      <c r="V166" s="361"/>
      <c r="W166" s="1091"/>
      <c r="X166" s="1114"/>
      <c r="Y166" s="1121"/>
      <c r="Z166" s="363"/>
      <c r="AA166" s="375"/>
      <c r="AB166" s="361"/>
      <c r="AC166" s="1091"/>
      <c r="AD166" s="1114"/>
      <c r="AE166" s="1121"/>
      <c r="AF166" s="358"/>
      <c r="AG166" s="358"/>
      <c r="AH166" s="358"/>
      <c r="AI166" s="358"/>
      <c r="AJ166" s="380"/>
      <c r="AK166" s="440"/>
      <c r="AM166" s="460">
        <v>166</v>
      </c>
      <c r="AN166" s="1078"/>
    </row>
    <row r="167" spans="1:54" ht="12" customHeight="1" x14ac:dyDescent="0.2">
      <c r="A167" s="440"/>
      <c r="B167" s="1043"/>
      <c r="C167" s="380"/>
      <c r="D167" s="1037"/>
      <c r="E167" s="1084">
        <f ca="1">IF(AX167="E","",AN167)</f>
        <v>0</v>
      </c>
      <c r="F167" s="1085"/>
      <c r="G167" s="1264"/>
      <c r="H167" s="1264"/>
      <c r="I167" s="1265"/>
      <c r="J167" s="638"/>
      <c r="K167" s="555"/>
      <c r="L167" s="541"/>
      <c r="M167" s="340"/>
      <c r="N167" s="553" t="s">
        <v>69</v>
      </c>
      <c r="O167" s="339"/>
      <c r="P167" s="525" t="s">
        <v>70</v>
      </c>
      <c r="Q167" s="344"/>
      <c r="R167" s="522" t="s">
        <v>363</v>
      </c>
      <c r="S167" s="353">
        <f t="shared" ref="S167:S170" ca="1" si="299">IF(AY167="E",(M167*O167)+Q167,AO167)</f>
        <v>0</v>
      </c>
      <c r="T167" s="523"/>
      <c r="U167" s="350"/>
      <c r="V167" s="308"/>
      <c r="W167" s="1090" t="str">
        <f t="shared" ref="W167:W170" ca="1" si="300">IF(AZ167="E",IF(AND(V167&lt;&gt;0,U167&lt;&gt;0),"X",IF(AND(V167&lt;&gt;0,U167=0),"A",IF(AND(V167=0,U167&lt;&gt;0),"P",""))),AR167)</f>
        <v/>
      </c>
      <c r="X167" s="1103">
        <f t="shared" ref="X167:X170" ca="1" si="301">IF(AZ167="E",IFERROR(IF(W167="X",0,IF(U167&gt;0,U167,V167/S167)),0),
IFERROR(IF(OR(AR167="X",AR167=0),0,
IF(AR167="P",AP167,IF(AR167="A",AQ167/S167,0))),0))</f>
        <v>0</v>
      </c>
      <c r="Y167" s="1120">
        <f t="shared" ref="Y167:Y170" ca="1" si="302">IF(AZ167="E",IFERROR(IF(W167="X",0,IF(V167&gt;0,V167,S167*U167)),0),
IFERROR(IF(OR(AR167="X",AR167="0"),0,IF(AR167="A",AQ167,S167*AP167)),0))</f>
        <v>0</v>
      </c>
      <c r="Z167" s="524"/>
      <c r="AA167" s="350"/>
      <c r="AB167" s="308"/>
      <c r="AC167" s="1090" t="str">
        <f t="shared" ref="AC167:AC170" ca="1" si="303">IF(BA167="E",IF(AND(AB167&lt;&gt;0,AA167&lt;&gt;0),"X",IF(AND(AB167&lt;&gt;0,AA167=0),"A",IF(AND(AB167=0,AA167&lt;&gt;0),"P",""))),AU167)</f>
        <v/>
      </c>
      <c r="AD167" s="1103">
        <f t="shared" ref="AD167:AD170" ca="1" si="304">IF(BA167="E",IFERROR(IF(AC167="X",0,IF(AA167&gt;0,AA167,AB167/S167)),0),
IFERROR(IF(OR(AU167="X",AU167=0),0,
IF(AU167="P",AS167,IF(AU167="A",AT167/S167,0))),0))</f>
        <v>0</v>
      </c>
      <c r="AE167" s="1120">
        <f t="shared" ref="AE167:AE170" ca="1" si="305">IF(BA167="E",IFERROR(IF(AC167="X",0,IF(AB167&gt;0,AB167,S167*AA167)),0),
IFERROR(IF(OR(AU167="X",AU167=0),0,
IF(AU167="A",AT167,S167*AS167)),0))</f>
        <v>0</v>
      </c>
      <c r="AF167" s="525"/>
      <c r="AG167" s="637"/>
      <c r="AH167" s="525"/>
      <c r="AI167" s="1086">
        <f t="shared" ref="AI167:AI170" ca="1" si="306">IF(BB167="E",AG167,AV167)</f>
        <v>0</v>
      </c>
      <c r="AJ167" s="380"/>
      <c r="AK167" s="440"/>
      <c r="AM167" s="460">
        <v>167</v>
      </c>
      <c r="AN167" s="1087">
        <f t="shared" ref="AN167:AN170" ca="1" si="307">IF($M$13=$AN$12,"",IF(ISTEXT(INDIRECT("'"&amp;$AM$20&amp;"'!"&amp;AN$21&amp;$AM167)),INDIRECT("'"&amp;$AM$20&amp;"'!"&amp;AN$21&amp;$AM167),INDIRECT("'"&amp;$AM$20&amp;"'!"&amp;AN$22&amp;$AM167)))</f>
        <v>0</v>
      </c>
      <c r="AO167" s="1083">
        <f t="shared" ref="AO167:AV170" ca="1" si="308">IF($M$13=$AN$12,"",INDIRECT("'"&amp;$AM$20&amp;"'!"&amp;AO$21&amp;$AM167))</f>
        <v>0</v>
      </c>
      <c r="AP167" s="356">
        <f t="shared" ca="1" si="308"/>
        <v>0</v>
      </c>
      <c r="AQ167" s="357">
        <f t="shared" ca="1" si="308"/>
        <v>0</v>
      </c>
      <c r="AR167" s="524" t="str">
        <f t="shared" ca="1" si="308"/>
        <v/>
      </c>
      <c r="AS167" s="356">
        <f t="shared" ca="1" si="308"/>
        <v>0</v>
      </c>
      <c r="AT167" s="357">
        <f t="shared" ca="1" si="308"/>
        <v>0</v>
      </c>
      <c r="AU167" s="524" t="str">
        <f t="shared" ca="1" si="308"/>
        <v/>
      </c>
      <c r="AV167" s="1083">
        <f t="shared" ca="1" si="308"/>
        <v>0</v>
      </c>
      <c r="AX167" s="1083" t="str">
        <f t="shared" ref="AX167:AX170" si="309">IF($M$13=$AN$12,"E",IF(ISTEXT(F167),"E","U"))</f>
        <v>U</v>
      </c>
      <c r="AY167" s="1083" t="str">
        <f t="shared" ref="AY167:AY170" si="310">IF($M$13=$AN$12,"E",IF(OR(ISNUMBER(M167),ISNUMBER(O167),ISNUMBER(Q167)),"E","U"))</f>
        <v>U</v>
      </c>
      <c r="AZ167" s="1083" t="str">
        <f t="shared" ref="AZ167:AZ170" si="311">IF($M$13=$AN$12,"E",IF(OR(ISNUMBER(U167),ISNUMBER(V167)),"E","U"))</f>
        <v>U</v>
      </c>
      <c r="BA167" s="1083" t="str">
        <f t="shared" ref="BA167:BA170" si="312">IF($M$13=$AN$12,"E",IF(OR(ISNUMBER(AA167),ISNUMBER(AB167)),"E","U"))</f>
        <v>U</v>
      </c>
      <c r="BB167" s="1083" t="str">
        <f t="shared" ref="BB167:BB170" si="313">IF($M$13=$AN$12,"E",IF(ISNUMBER(AG167),"E","U"))</f>
        <v>U</v>
      </c>
    </row>
    <row r="168" spans="1:54" ht="12" customHeight="1" x14ac:dyDescent="0.2">
      <c r="A168" s="440"/>
      <c r="B168" s="1043"/>
      <c r="C168" s="380"/>
      <c r="D168" s="1037"/>
      <c r="E168" s="1084">
        <f ca="1">IF(AX168="E","",AN168)</f>
        <v>0</v>
      </c>
      <c r="F168" s="1085"/>
      <c r="G168" s="1264"/>
      <c r="H168" s="1264"/>
      <c r="I168" s="1265"/>
      <c r="J168" s="638"/>
      <c r="K168" s="555"/>
      <c r="L168" s="541"/>
      <c r="M168" s="340"/>
      <c r="N168" s="553"/>
      <c r="O168" s="339"/>
      <c r="P168" s="525"/>
      <c r="Q168" s="344"/>
      <c r="R168" s="522" t="s">
        <v>363</v>
      </c>
      <c r="S168" s="353">
        <f t="shared" ca="1" si="299"/>
        <v>0</v>
      </c>
      <c r="T168" s="523"/>
      <c r="U168" s="350"/>
      <c r="V168" s="308"/>
      <c r="W168" s="1090" t="str">
        <f t="shared" ca="1" si="300"/>
        <v/>
      </c>
      <c r="X168" s="1103">
        <f t="shared" ca="1" si="301"/>
        <v>0</v>
      </c>
      <c r="Y168" s="1120">
        <f t="shared" ca="1" si="302"/>
        <v>0</v>
      </c>
      <c r="Z168" s="524"/>
      <c r="AA168" s="350"/>
      <c r="AB168" s="308"/>
      <c r="AC168" s="1090" t="str">
        <f t="shared" ca="1" si="303"/>
        <v/>
      </c>
      <c r="AD168" s="1103">
        <f t="shared" ca="1" si="304"/>
        <v>0</v>
      </c>
      <c r="AE168" s="1120">
        <f t="shared" ca="1" si="305"/>
        <v>0</v>
      </c>
      <c r="AF168" s="525"/>
      <c r="AG168" s="637"/>
      <c r="AH168" s="525"/>
      <c r="AI168" s="1086">
        <f t="shared" ca="1" si="306"/>
        <v>0</v>
      </c>
      <c r="AJ168" s="380"/>
      <c r="AK168" s="440"/>
      <c r="AM168" s="460">
        <v>168</v>
      </c>
      <c r="AN168" s="1087">
        <f t="shared" ca="1" si="307"/>
        <v>0</v>
      </c>
      <c r="AO168" s="1083">
        <f t="shared" ca="1" si="308"/>
        <v>0</v>
      </c>
      <c r="AP168" s="356">
        <f t="shared" ca="1" si="308"/>
        <v>0</v>
      </c>
      <c r="AQ168" s="357">
        <f t="shared" ca="1" si="308"/>
        <v>0</v>
      </c>
      <c r="AR168" s="524" t="str">
        <f t="shared" ca="1" si="308"/>
        <v/>
      </c>
      <c r="AS168" s="356">
        <f t="shared" ca="1" si="308"/>
        <v>0</v>
      </c>
      <c r="AT168" s="357">
        <f t="shared" ca="1" si="308"/>
        <v>0</v>
      </c>
      <c r="AU168" s="524" t="str">
        <f t="shared" ca="1" si="308"/>
        <v/>
      </c>
      <c r="AV168" s="1083">
        <f t="shared" ca="1" si="308"/>
        <v>0</v>
      </c>
      <c r="AX168" s="1083" t="str">
        <f t="shared" si="309"/>
        <v>U</v>
      </c>
      <c r="AY168" s="1083" t="str">
        <f t="shared" si="310"/>
        <v>U</v>
      </c>
      <c r="AZ168" s="1083" t="str">
        <f t="shared" si="311"/>
        <v>U</v>
      </c>
      <c r="BA168" s="1083" t="str">
        <f t="shared" si="312"/>
        <v>U</v>
      </c>
      <c r="BB168" s="1083" t="str">
        <f t="shared" si="313"/>
        <v>U</v>
      </c>
    </row>
    <row r="169" spans="1:54" ht="12" customHeight="1" x14ac:dyDescent="0.2">
      <c r="A169" s="440"/>
      <c r="B169" s="1043"/>
      <c r="C169" s="380"/>
      <c r="D169" s="1037"/>
      <c r="E169" s="1084">
        <f ca="1">IF(AX169="E","",AN169)</f>
        <v>0</v>
      </c>
      <c r="F169" s="1085"/>
      <c r="G169" s="1264"/>
      <c r="H169" s="1264"/>
      <c r="I169" s="1265"/>
      <c r="J169" s="638"/>
      <c r="K169" s="555"/>
      <c r="L169" s="541"/>
      <c r="M169" s="340"/>
      <c r="N169" s="553"/>
      <c r="O169" s="339"/>
      <c r="P169" s="525"/>
      <c r="Q169" s="344"/>
      <c r="R169" s="522" t="s">
        <v>363</v>
      </c>
      <c r="S169" s="353">
        <f t="shared" ca="1" si="299"/>
        <v>0</v>
      </c>
      <c r="T169" s="523"/>
      <c r="U169" s="350"/>
      <c r="V169" s="308"/>
      <c r="W169" s="1090" t="str">
        <f t="shared" ca="1" si="300"/>
        <v/>
      </c>
      <c r="X169" s="1103">
        <f t="shared" ca="1" si="301"/>
        <v>0</v>
      </c>
      <c r="Y169" s="1120">
        <f t="shared" ca="1" si="302"/>
        <v>0</v>
      </c>
      <c r="Z169" s="524"/>
      <c r="AA169" s="350"/>
      <c r="AB169" s="308"/>
      <c r="AC169" s="1090" t="str">
        <f t="shared" ca="1" si="303"/>
        <v/>
      </c>
      <c r="AD169" s="1103">
        <f t="shared" ca="1" si="304"/>
        <v>0</v>
      </c>
      <c r="AE169" s="1120">
        <f t="shared" ca="1" si="305"/>
        <v>0</v>
      </c>
      <c r="AF169" s="525"/>
      <c r="AG169" s="637"/>
      <c r="AH169" s="525"/>
      <c r="AI169" s="1086">
        <f t="shared" ca="1" si="306"/>
        <v>0</v>
      </c>
      <c r="AJ169" s="380"/>
      <c r="AK169" s="440"/>
      <c r="AM169" s="460">
        <v>169</v>
      </c>
      <c r="AN169" s="1087">
        <f t="shared" ca="1" si="307"/>
        <v>0</v>
      </c>
      <c r="AO169" s="1083">
        <f t="shared" ca="1" si="308"/>
        <v>0</v>
      </c>
      <c r="AP169" s="356">
        <f t="shared" ca="1" si="308"/>
        <v>0</v>
      </c>
      <c r="AQ169" s="357">
        <f t="shared" ca="1" si="308"/>
        <v>0</v>
      </c>
      <c r="AR169" s="524" t="str">
        <f t="shared" ca="1" si="308"/>
        <v/>
      </c>
      <c r="AS169" s="356">
        <f t="shared" ca="1" si="308"/>
        <v>0</v>
      </c>
      <c r="AT169" s="357">
        <f t="shared" ca="1" si="308"/>
        <v>0</v>
      </c>
      <c r="AU169" s="524" t="str">
        <f t="shared" ca="1" si="308"/>
        <v/>
      </c>
      <c r="AV169" s="1083">
        <f t="shared" ca="1" si="308"/>
        <v>0</v>
      </c>
      <c r="AX169" s="1083" t="str">
        <f t="shared" si="309"/>
        <v>U</v>
      </c>
      <c r="AY169" s="1083" t="str">
        <f t="shared" si="310"/>
        <v>U</v>
      </c>
      <c r="AZ169" s="1083" t="str">
        <f t="shared" si="311"/>
        <v>U</v>
      </c>
      <c r="BA169" s="1083" t="str">
        <f t="shared" si="312"/>
        <v>U</v>
      </c>
      <c r="BB169" s="1083" t="str">
        <f t="shared" si="313"/>
        <v>U</v>
      </c>
    </row>
    <row r="170" spans="1:54" ht="12" customHeight="1" x14ac:dyDescent="0.2">
      <c r="A170" s="440"/>
      <c r="B170" s="1043"/>
      <c r="C170" s="380"/>
      <c r="D170" s="1037"/>
      <c r="E170" s="1084">
        <f ca="1">IF(AX170="E","",AN170)</f>
        <v>0</v>
      </c>
      <c r="F170" s="1085"/>
      <c r="G170" s="1264"/>
      <c r="H170" s="1264"/>
      <c r="I170" s="1265"/>
      <c r="J170" s="638"/>
      <c r="K170" s="555"/>
      <c r="L170" s="541"/>
      <c r="M170" s="340"/>
      <c r="N170" s="553"/>
      <c r="O170" s="339"/>
      <c r="P170" s="525"/>
      <c r="Q170" s="344"/>
      <c r="R170" s="522" t="s">
        <v>363</v>
      </c>
      <c r="S170" s="353">
        <f t="shared" ca="1" si="299"/>
        <v>0</v>
      </c>
      <c r="T170" s="523"/>
      <c r="U170" s="350"/>
      <c r="V170" s="308"/>
      <c r="W170" s="1090" t="str">
        <f t="shared" ca="1" si="300"/>
        <v/>
      </c>
      <c r="X170" s="1103">
        <f t="shared" ca="1" si="301"/>
        <v>0</v>
      </c>
      <c r="Y170" s="1120">
        <f t="shared" ca="1" si="302"/>
        <v>0</v>
      </c>
      <c r="Z170" s="524"/>
      <c r="AA170" s="350"/>
      <c r="AB170" s="308"/>
      <c r="AC170" s="1090" t="str">
        <f t="shared" ca="1" si="303"/>
        <v/>
      </c>
      <c r="AD170" s="1103">
        <f t="shared" ca="1" si="304"/>
        <v>0</v>
      </c>
      <c r="AE170" s="1120">
        <f t="shared" ca="1" si="305"/>
        <v>0</v>
      </c>
      <c r="AF170" s="525"/>
      <c r="AG170" s="637"/>
      <c r="AH170" s="525"/>
      <c r="AI170" s="1086">
        <f t="shared" ca="1" si="306"/>
        <v>0</v>
      </c>
      <c r="AJ170" s="380"/>
      <c r="AK170" s="440"/>
      <c r="AM170" s="460">
        <v>170</v>
      </c>
      <c r="AN170" s="1087">
        <f t="shared" ca="1" si="307"/>
        <v>0</v>
      </c>
      <c r="AO170" s="1083">
        <f t="shared" ca="1" si="308"/>
        <v>0</v>
      </c>
      <c r="AP170" s="356">
        <f t="shared" ca="1" si="308"/>
        <v>0</v>
      </c>
      <c r="AQ170" s="357">
        <f t="shared" ca="1" si="308"/>
        <v>0</v>
      </c>
      <c r="AR170" s="524" t="str">
        <f t="shared" ca="1" si="308"/>
        <v/>
      </c>
      <c r="AS170" s="356">
        <f t="shared" ca="1" si="308"/>
        <v>0</v>
      </c>
      <c r="AT170" s="357">
        <f t="shared" ca="1" si="308"/>
        <v>0</v>
      </c>
      <c r="AU170" s="524" t="str">
        <f t="shared" ca="1" si="308"/>
        <v/>
      </c>
      <c r="AV170" s="1083">
        <f t="shared" ca="1" si="308"/>
        <v>0</v>
      </c>
      <c r="AX170" s="1083" t="str">
        <f t="shared" si="309"/>
        <v>U</v>
      </c>
      <c r="AY170" s="1083" t="str">
        <f t="shared" si="310"/>
        <v>U</v>
      </c>
      <c r="AZ170" s="1083" t="str">
        <f t="shared" si="311"/>
        <v>U</v>
      </c>
      <c r="BA170" s="1083" t="str">
        <f t="shared" si="312"/>
        <v>U</v>
      </c>
      <c r="BB170" s="1083" t="str">
        <f t="shared" si="313"/>
        <v>U</v>
      </c>
    </row>
    <row r="171" spans="1:54" ht="12" customHeight="1" collapsed="1" x14ac:dyDescent="0.2">
      <c r="A171" s="440"/>
      <c r="B171" s="324"/>
      <c r="C171" s="378"/>
      <c r="D171" s="374"/>
      <c r="E171" s="374"/>
      <c r="F171" s="374"/>
      <c r="G171" s="374"/>
      <c r="H171" s="374"/>
      <c r="I171" s="374"/>
      <c r="J171" s="374"/>
      <c r="K171" s="374"/>
      <c r="L171" s="374"/>
      <c r="M171" s="545"/>
      <c r="N171" s="544"/>
      <c r="O171" s="374"/>
      <c r="P171" s="374"/>
      <c r="Q171" s="374"/>
      <c r="R171" s="374"/>
      <c r="S171" s="374"/>
      <c r="T171" s="374"/>
      <c r="U171" s="374"/>
      <c r="V171" s="374"/>
      <c r="W171" s="1097"/>
      <c r="X171" s="1112"/>
      <c r="Y171" s="1112"/>
      <c r="Z171" s="374"/>
      <c r="AA171" s="374"/>
      <c r="AB171" s="374"/>
      <c r="AC171" s="1097"/>
      <c r="AD171" s="1112"/>
      <c r="AE171" s="1112"/>
      <c r="AF171" s="374"/>
      <c r="AG171" s="374"/>
      <c r="AH171" s="374"/>
      <c r="AI171" s="556"/>
      <c r="AJ171" s="374"/>
      <c r="AK171" s="440"/>
      <c r="AM171" s="460">
        <v>171</v>
      </c>
      <c r="AN171" s="1078"/>
    </row>
    <row r="172" spans="1:54" ht="12" customHeight="1" x14ac:dyDescent="0.2">
      <c r="A172" s="440"/>
      <c r="B172" s="547"/>
      <c r="C172" s="548"/>
      <c r="D172" s="548"/>
      <c r="E172" s="548"/>
      <c r="F172" s="548"/>
      <c r="G172" s="548"/>
      <c r="H172" s="548"/>
      <c r="I172" s="548"/>
      <c r="J172" s="1604"/>
      <c r="K172" s="1604"/>
      <c r="L172" s="1039"/>
      <c r="M172" s="558"/>
      <c r="N172" s="1039"/>
      <c r="O172" s="389"/>
      <c r="P172" s="389"/>
      <c r="Q172" s="379"/>
      <c r="R172" s="379"/>
      <c r="S172" s="379"/>
      <c r="T172" s="379"/>
      <c r="U172" s="1598"/>
      <c r="V172" s="1598"/>
      <c r="W172" s="1095"/>
      <c r="X172" s="1113"/>
      <c r="Y172" s="1113"/>
      <c r="Z172" s="379"/>
      <c r="AA172" s="1598"/>
      <c r="AB172" s="1598"/>
      <c r="AC172" s="1095"/>
      <c r="AD172" s="1113"/>
      <c r="AE172" s="1113"/>
      <c r="AF172" s="379"/>
      <c r="AG172" s="379"/>
      <c r="AH172" s="379"/>
      <c r="AI172" s="481"/>
      <c r="AJ172" s="379"/>
      <c r="AK172" s="440"/>
      <c r="AM172" s="460">
        <v>172</v>
      </c>
      <c r="AN172" s="1078"/>
    </row>
    <row r="173" spans="1:54" ht="12" customHeight="1" x14ac:dyDescent="0.2">
      <c r="A173" s="440"/>
      <c r="B173" s="320"/>
      <c r="C173" s="1036"/>
      <c r="D173" s="1036"/>
      <c r="E173" s="1036"/>
      <c r="F173" s="1036"/>
      <c r="G173" s="1036"/>
      <c r="H173" s="1036"/>
      <c r="I173" s="1036"/>
      <c r="J173" s="1598"/>
      <c r="K173" s="1598"/>
      <c r="L173" s="1033"/>
      <c r="M173" s="498"/>
      <c r="N173" s="503"/>
      <c r="O173" s="1036"/>
      <c r="P173" s="1036"/>
      <c r="Q173" s="1036"/>
      <c r="R173" s="1036"/>
      <c r="S173" s="372"/>
      <c r="T173" s="372"/>
      <c r="U173" s="372"/>
      <c r="V173" s="372"/>
      <c r="W173" s="1096"/>
      <c r="X173" s="1110"/>
      <c r="Y173" s="1110"/>
      <c r="Z173" s="372"/>
      <c r="AA173" s="372"/>
      <c r="AB173" s="372"/>
      <c r="AC173" s="1096"/>
      <c r="AD173" s="1110"/>
      <c r="AE173" s="1110"/>
      <c r="AF173" s="372"/>
      <c r="AG173" s="372"/>
      <c r="AH173" s="372"/>
      <c r="AI173" s="482"/>
      <c r="AJ173" s="372"/>
      <c r="AK173" s="440"/>
      <c r="AM173" s="460">
        <v>173</v>
      </c>
      <c r="AN173" s="1078"/>
    </row>
    <row r="174" spans="1:54" ht="14.25" customHeight="1" x14ac:dyDescent="0.2">
      <c r="A174" s="440"/>
      <c r="B174" s="499">
        <v>4</v>
      </c>
      <c r="C174" s="494"/>
      <c r="D174" s="495"/>
      <c r="E174" s="1034" t="s">
        <v>23</v>
      </c>
      <c r="F174" s="1034"/>
      <c r="G174" s="1034"/>
      <c r="H174" s="1034"/>
      <c r="I174" s="380"/>
      <c r="J174" s="380"/>
      <c r="K174" s="463"/>
      <c r="L174" s="463"/>
      <c r="M174" s="498"/>
      <c r="N174" s="359"/>
      <c r="O174" s="363"/>
      <c r="P174" s="363"/>
      <c r="Q174" s="363"/>
      <c r="R174" s="363"/>
      <c r="S174" s="385">
        <f ca="1">S175+S181</f>
        <v>188442.408</v>
      </c>
      <c r="T174" s="363"/>
      <c r="U174" s="358"/>
      <c r="V174" s="358"/>
      <c r="W174" s="1091"/>
      <c r="X174" s="1104"/>
      <c r="Y174" s="1104"/>
      <c r="Z174" s="363"/>
      <c r="AA174" s="358"/>
      <c r="AB174" s="358"/>
      <c r="AC174" s="1091"/>
      <c r="AD174" s="1104"/>
      <c r="AE174" s="1104"/>
      <c r="AF174" s="358"/>
      <c r="AG174" s="358"/>
      <c r="AH174" s="358"/>
      <c r="AI174" s="358"/>
      <c r="AJ174" s="358"/>
      <c r="AK174" s="440"/>
      <c r="AM174" s="460">
        <v>174</v>
      </c>
      <c r="AN174" s="1078"/>
    </row>
    <row r="175" spans="1:54" ht="14.25" customHeight="1" x14ac:dyDescent="0.25">
      <c r="A175" s="440"/>
      <c r="B175" s="1043"/>
      <c r="C175" s="1036" t="s">
        <v>22</v>
      </c>
      <c r="D175" s="494"/>
      <c r="E175" s="1596" t="s">
        <v>21</v>
      </c>
      <c r="F175" s="1596"/>
      <c r="G175" s="1596"/>
      <c r="H175" s="1596"/>
      <c r="I175" s="1597"/>
      <c r="J175" s="1038"/>
      <c r="K175" s="462"/>
      <c r="L175" s="462"/>
      <c r="M175" s="498"/>
      <c r="N175" s="359"/>
      <c r="O175" s="363"/>
      <c r="P175" s="363"/>
      <c r="Q175" s="363"/>
      <c r="R175" s="363"/>
      <c r="S175" s="355">
        <f ca="1">S176</f>
        <v>0</v>
      </c>
      <c r="T175" s="363"/>
      <c r="U175" s="358"/>
      <c r="V175" s="358"/>
      <c r="W175" s="1091"/>
      <c r="X175" s="1104"/>
      <c r="Y175" s="1104"/>
      <c r="Z175" s="363"/>
      <c r="AA175" s="358"/>
      <c r="AB175" s="358"/>
      <c r="AC175" s="1091"/>
      <c r="AD175" s="1104"/>
      <c r="AE175" s="1104"/>
      <c r="AF175" s="358"/>
      <c r="AG175" s="358"/>
      <c r="AH175" s="358"/>
      <c r="AI175" s="358"/>
      <c r="AJ175" s="358"/>
      <c r="AK175" s="440"/>
      <c r="AM175" s="460">
        <v>175</v>
      </c>
      <c r="AN175" s="1078"/>
    </row>
    <row r="176" spans="1:54" ht="12" customHeight="1" x14ac:dyDescent="0.25">
      <c r="A176" s="440"/>
      <c r="B176" s="1043"/>
      <c r="C176" s="380"/>
      <c r="D176" s="1037" t="s">
        <v>20</v>
      </c>
      <c r="E176" s="1599" t="s">
        <v>19</v>
      </c>
      <c r="F176" s="1599"/>
      <c r="G176" s="1599"/>
      <c r="H176" s="1599"/>
      <c r="I176" s="1597"/>
      <c r="J176" s="1038"/>
      <c r="K176" s="529"/>
      <c r="L176" s="503"/>
      <c r="M176" s="498"/>
      <c r="N176" s="359"/>
      <c r="O176" s="363"/>
      <c r="P176" s="363"/>
      <c r="Q176" s="363"/>
      <c r="R176" s="363"/>
      <c r="S176" s="390">
        <f ca="1">SUBTOTAL(109,S178:S180)</f>
        <v>0</v>
      </c>
      <c r="T176" s="363"/>
      <c r="U176" s="358"/>
      <c r="V176" s="358"/>
      <c r="W176" s="1091"/>
      <c r="X176" s="1104"/>
      <c r="Y176" s="1104"/>
      <c r="Z176" s="363"/>
      <c r="AA176" s="358"/>
      <c r="AB176" s="358"/>
      <c r="AC176" s="1091"/>
      <c r="AD176" s="1104"/>
      <c r="AE176" s="1104"/>
      <c r="AF176" s="358"/>
      <c r="AG176" s="358"/>
      <c r="AH176" s="358"/>
      <c r="AI176" s="358"/>
      <c r="AJ176" s="380"/>
      <c r="AK176" s="440"/>
      <c r="AM176" s="460">
        <v>176</v>
      </c>
      <c r="AN176" s="1078"/>
    </row>
    <row r="177" spans="1:54" ht="12" customHeight="1" x14ac:dyDescent="0.25">
      <c r="A177" s="440"/>
      <c r="B177" s="1043"/>
      <c r="C177" s="380"/>
      <c r="D177" s="1037"/>
      <c r="E177" s="1037"/>
      <c r="F177" s="1037"/>
      <c r="G177" s="1037"/>
      <c r="H177" s="1037"/>
      <c r="I177" s="1035"/>
      <c r="J177" s="1603" t="s">
        <v>170</v>
      </c>
      <c r="K177" s="1603"/>
      <c r="L177" s="503"/>
      <c r="M177" s="498"/>
      <c r="N177" s="359"/>
      <c r="O177" s="363"/>
      <c r="P177" s="363"/>
      <c r="Q177" s="363"/>
      <c r="R177" s="363"/>
      <c r="S177" s="390"/>
      <c r="T177" s="363"/>
      <c r="U177" s="358"/>
      <c r="V177" s="358"/>
      <c r="W177" s="1091"/>
      <c r="X177" s="1104"/>
      <c r="Y177" s="1104"/>
      <c r="Z177" s="363"/>
      <c r="AA177" s="358"/>
      <c r="AB177" s="358"/>
      <c r="AC177" s="1091"/>
      <c r="AD177" s="1104"/>
      <c r="AE177" s="1104"/>
      <c r="AF177" s="358"/>
      <c r="AG177" s="358"/>
      <c r="AH177" s="358"/>
      <c r="AI177" s="358"/>
      <c r="AJ177" s="380"/>
      <c r="AK177" s="440"/>
      <c r="AM177" s="460">
        <v>177</v>
      </c>
      <c r="AN177" s="1078"/>
    </row>
    <row r="178" spans="1:54" ht="12" customHeight="1" x14ac:dyDescent="0.2">
      <c r="A178" s="440"/>
      <c r="B178" s="1043"/>
      <c r="C178" s="380"/>
      <c r="D178" s="1037"/>
      <c r="E178" s="1084">
        <f ca="1">IF(AX178="E","",AN178)</f>
        <v>0</v>
      </c>
      <c r="F178" s="1085"/>
      <c r="G178" s="1264"/>
      <c r="H178" s="1264"/>
      <c r="I178" s="1265"/>
      <c r="J178" s="638"/>
      <c r="K178" s="520" t="s">
        <v>177</v>
      </c>
      <c r="L178" s="521"/>
      <c r="M178" s="340"/>
      <c r="N178" s="528" t="s">
        <v>67</v>
      </c>
      <c r="O178" s="339"/>
      <c r="P178" s="543" t="s">
        <v>68</v>
      </c>
      <c r="Q178" s="344"/>
      <c r="R178" s="522" t="s">
        <v>363</v>
      </c>
      <c r="S178" s="353">
        <f t="shared" ref="S178:S180" ca="1" si="314">IF(AY178="E",(M178*O178)+Q178,AO178)</f>
        <v>0</v>
      </c>
      <c r="T178" s="523"/>
      <c r="U178" s="350"/>
      <c r="V178" s="308"/>
      <c r="W178" s="1090" t="str">
        <f t="shared" ref="W178:W180" ca="1" si="315">IF(AZ178="E",IF(AND(V178&lt;&gt;0,U178&lt;&gt;0),"X",IF(AND(V178&lt;&gt;0,U178=0),"A",IF(AND(V178=0,U178&lt;&gt;0),"P",""))),AR178)</f>
        <v/>
      </c>
      <c r="X178" s="1103">
        <f t="shared" ref="X178:X180" ca="1" si="316">IF(AZ178="E",IFERROR(IF(W178="X",0,IF(U178&gt;0,U178,V178/S178)),0),
IFERROR(IF(OR(AR178="X",AR178=0),0,
IF(AR178="P",AP178,IF(AR178="A",AQ178/S178,0))),0))</f>
        <v>0</v>
      </c>
      <c r="Y178" s="1120">
        <f t="shared" ref="Y178:Y180" ca="1" si="317">IF(AZ178="E",IFERROR(IF(W178="X",0,IF(V178&gt;0,V178,S178*U178)),0),
IFERROR(IF(OR(AR178="X",AR178="0"),0,IF(AR178="A",AQ178,S178*AP178)),0))</f>
        <v>0</v>
      </c>
      <c r="Z178" s="524"/>
      <c r="AA178" s="350"/>
      <c r="AB178" s="308"/>
      <c r="AC178" s="1090" t="str">
        <f t="shared" ref="AC178:AC180" ca="1" si="318">IF(BA178="E",IF(AND(AB178&lt;&gt;0,AA178&lt;&gt;0),"X",IF(AND(AB178&lt;&gt;0,AA178=0),"A",IF(AND(AB178=0,AA178&lt;&gt;0),"P",""))),AU178)</f>
        <v/>
      </c>
      <c r="AD178" s="1103">
        <f t="shared" ref="AD178:AD180" ca="1" si="319">IF(BA178="E",IFERROR(IF(AC178="X",0,IF(AA178&gt;0,AA178,AB178/S178)),0),
IFERROR(IF(OR(AU178="X",AU178=0),0,
IF(AU178="P",AS178,IF(AU178="A",AT178/S178,0))),0))</f>
        <v>0</v>
      </c>
      <c r="AE178" s="1120">
        <f t="shared" ref="AE178:AE180" ca="1" si="320">IF(BA178="E",IFERROR(IF(AC178="X",0,IF(AB178&gt;0,AB178,S178*AA178)),0),
IFERROR(IF(OR(AU178="X",AU178=0),0,
IF(AU178="A",AT178,S178*AS178)),0))</f>
        <v>0</v>
      </c>
      <c r="AF178" s="525"/>
      <c r="AG178" s="637"/>
      <c r="AH178" s="525"/>
      <c r="AI178" s="1086">
        <f t="shared" ref="AI178:AI180" ca="1" si="321">IF(BB178="E",AG178,AV178)</f>
        <v>0</v>
      </c>
      <c r="AJ178" s="380"/>
      <c r="AK178" s="440"/>
      <c r="AM178" s="460">
        <v>178</v>
      </c>
      <c r="AN178" s="1087">
        <f t="shared" ref="AN178:AN180" ca="1" si="322">IF($M$13=$AN$12,"",IF(ISTEXT(INDIRECT("'"&amp;$AM$20&amp;"'!"&amp;AN$21&amp;$AM178)),INDIRECT("'"&amp;$AM$20&amp;"'!"&amp;AN$21&amp;$AM178),INDIRECT("'"&amp;$AM$20&amp;"'!"&amp;AN$22&amp;$AM178)))</f>
        <v>0</v>
      </c>
      <c r="AO178" s="1083">
        <f t="shared" ref="AO178:AV180" ca="1" si="323">IF($M$13=$AN$12,"",INDIRECT("'"&amp;$AM$20&amp;"'!"&amp;AO$21&amp;$AM178))</f>
        <v>0</v>
      </c>
      <c r="AP178" s="356">
        <f t="shared" ca="1" si="323"/>
        <v>0</v>
      </c>
      <c r="AQ178" s="357">
        <f t="shared" ca="1" si="323"/>
        <v>0</v>
      </c>
      <c r="AR178" s="524" t="str">
        <f t="shared" ca="1" si="323"/>
        <v/>
      </c>
      <c r="AS178" s="356">
        <f t="shared" ca="1" si="323"/>
        <v>0</v>
      </c>
      <c r="AT178" s="357">
        <f t="shared" ca="1" si="323"/>
        <v>0</v>
      </c>
      <c r="AU178" s="524" t="str">
        <f t="shared" ca="1" si="323"/>
        <v/>
      </c>
      <c r="AV178" s="1083">
        <f t="shared" ca="1" si="323"/>
        <v>0</v>
      </c>
      <c r="AX178" s="1083" t="str">
        <f t="shared" ref="AX178:AX180" si="324">IF($M$13=$AN$12,"E",IF(ISTEXT(F178),"E","U"))</f>
        <v>U</v>
      </c>
      <c r="AY178" s="1083" t="str">
        <f t="shared" ref="AY178:AY180" si="325">IF($M$13=$AN$12,"E",IF(OR(ISNUMBER(M178),ISNUMBER(O178),ISNUMBER(Q178)),"E","U"))</f>
        <v>U</v>
      </c>
      <c r="AZ178" s="1083" t="str">
        <f t="shared" ref="AZ178:AZ180" si="326">IF($M$13=$AN$12,"E",IF(OR(ISNUMBER(U178),ISNUMBER(V178)),"E","U"))</f>
        <v>U</v>
      </c>
      <c r="BA178" s="1083" t="str">
        <f t="shared" ref="BA178:BA180" si="327">IF($M$13=$AN$12,"E",IF(OR(ISNUMBER(AA178),ISNUMBER(AB178)),"E","U"))</f>
        <v>U</v>
      </c>
      <c r="BB178" s="1083" t="str">
        <f t="shared" ref="BB178:BB180" si="328">IF($M$13=$AN$12,"E",IF(ISNUMBER(AG178),"E","U"))</f>
        <v>U</v>
      </c>
    </row>
    <row r="179" spans="1:54" ht="12" customHeight="1" x14ac:dyDescent="0.2">
      <c r="A179" s="440"/>
      <c r="B179" s="1043"/>
      <c r="C179" s="380"/>
      <c r="D179" s="1037"/>
      <c r="E179" s="1084">
        <f ca="1">IF(AX179="E","",AN179)</f>
        <v>0</v>
      </c>
      <c r="F179" s="1085"/>
      <c r="G179" s="1264"/>
      <c r="H179" s="1264"/>
      <c r="I179" s="1265"/>
      <c r="J179" s="638"/>
      <c r="K179" s="520" t="s">
        <v>177</v>
      </c>
      <c r="L179" s="521"/>
      <c r="M179" s="340"/>
      <c r="N179" s="528" t="s">
        <v>67</v>
      </c>
      <c r="O179" s="339"/>
      <c r="P179" s="543" t="s">
        <v>68</v>
      </c>
      <c r="Q179" s="344"/>
      <c r="R179" s="522" t="s">
        <v>363</v>
      </c>
      <c r="S179" s="353">
        <f t="shared" ca="1" si="314"/>
        <v>0</v>
      </c>
      <c r="T179" s="523"/>
      <c r="U179" s="350"/>
      <c r="V179" s="308"/>
      <c r="W179" s="1090" t="str">
        <f t="shared" ca="1" si="315"/>
        <v/>
      </c>
      <c r="X179" s="1103">
        <f t="shared" ca="1" si="316"/>
        <v>0</v>
      </c>
      <c r="Y179" s="1120">
        <f t="shared" ca="1" si="317"/>
        <v>0</v>
      </c>
      <c r="Z179" s="524"/>
      <c r="AA179" s="350"/>
      <c r="AB179" s="308"/>
      <c r="AC179" s="1090" t="str">
        <f t="shared" ca="1" si="318"/>
        <v/>
      </c>
      <c r="AD179" s="1103">
        <f t="shared" ca="1" si="319"/>
        <v>0</v>
      </c>
      <c r="AE179" s="1120">
        <f t="shared" ca="1" si="320"/>
        <v>0</v>
      </c>
      <c r="AF179" s="525"/>
      <c r="AG179" s="637"/>
      <c r="AH179" s="525"/>
      <c r="AI179" s="1086">
        <f t="shared" ca="1" si="321"/>
        <v>0</v>
      </c>
      <c r="AJ179" s="380"/>
      <c r="AK179" s="440"/>
      <c r="AM179" s="460">
        <v>179</v>
      </c>
      <c r="AN179" s="1087">
        <f t="shared" ca="1" si="322"/>
        <v>0</v>
      </c>
      <c r="AO179" s="1083">
        <f t="shared" ca="1" si="323"/>
        <v>0</v>
      </c>
      <c r="AP179" s="356">
        <f t="shared" ca="1" si="323"/>
        <v>0</v>
      </c>
      <c r="AQ179" s="357">
        <f t="shared" ca="1" si="323"/>
        <v>0</v>
      </c>
      <c r="AR179" s="524" t="str">
        <f t="shared" ca="1" si="323"/>
        <v/>
      </c>
      <c r="AS179" s="356">
        <f t="shared" ca="1" si="323"/>
        <v>0</v>
      </c>
      <c r="AT179" s="357">
        <f t="shared" ca="1" si="323"/>
        <v>0</v>
      </c>
      <c r="AU179" s="524" t="str">
        <f t="shared" ca="1" si="323"/>
        <v/>
      </c>
      <c r="AV179" s="1083">
        <f t="shared" ca="1" si="323"/>
        <v>0</v>
      </c>
      <c r="AX179" s="1083" t="str">
        <f t="shared" si="324"/>
        <v>U</v>
      </c>
      <c r="AY179" s="1083" t="str">
        <f t="shared" si="325"/>
        <v>U</v>
      </c>
      <c r="AZ179" s="1083" t="str">
        <f t="shared" si="326"/>
        <v>U</v>
      </c>
      <c r="BA179" s="1083" t="str">
        <f t="shared" si="327"/>
        <v>U</v>
      </c>
      <c r="BB179" s="1083" t="str">
        <f t="shared" si="328"/>
        <v>U</v>
      </c>
    </row>
    <row r="180" spans="1:54" ht="12" customHeight="1" x14ac:dyDescent="0.2">
      <c r="A180" s="440"/>
      <c r="B180" s="1043"/>
      <c r="C180" s="380"/>
      <c r="D180" s="1037"/>
      <c r="E180" s="1084">
        <f ca="1">IF(AX180="E","",AN180)</f>
        <v>0</v>
      </c>
      <c r="F180" s="1085"/>
      <c r="G180" s="1264"/>
      <c r="H180" s="1264"/>
      <c r="I180" s="1265"/>
      <c r="J180" s="638"/>
      <c r="K180" s="520" t="s">
        <v>177</v>
      </c>
      <c r="L180" s="521"/>
      <c r="M180" s="340"/>
      <c r="N180" s="528" t="s">
        <v>67</v>
      </c>
      <c r="O180" s="339"/>
      <c r="P180" s="543" t="s">
        <v>68</v>
      </c>
      <c r="Q180" s="344"/>
      <c r="R180" s="522" t="s">
        <v>363</v>
      </c>
      <c r="S180" s="353">
        <f t="shared" ca="1" si="314"/>
        <v>0</v>
      </c>
      <c r="T180" s="523"/>
      <c r="U180" s="350"/>
      <c r="V180" s="308"/>
      <c r="W180" s="1090" t="str">
        <f t="shared" ca="1" si="315"/>
        <v/>
      </c>
      <c r="X180" s="1103">
        <f t="shared" ca="1" si="316"/>
        <v>0</v>
      </c>
      <c r="Y180" s="1120">
        <f t="shared" ca="1" si="317"/>
        <v>0</v>
      </c>
      <c r="Z180" s="524"/>
      <c r="AA180" s="350"/>
      <c r="AB180" s="308"/>
      <c r="AC180" s="1090" t="str">
        <f t="shared" ca="1" si="318"/>
        <v/>
      </c>
      <c r="AD180" s="1103">
        <f t="shared" ca="1" si="319"/>
        <v>0</v>
      </c>
      <c r="AE180" s="1120">
        <f t="shared" ca="1" si="320"/>
        <v>0</v>
      </c>
      <c r="AF180" s="525"/>
      <c r="AG180" s="637"/>
      <c r="AH180" s="525"/>
      <c r="AI180" s="1086">
        <f t="shared" ca="1" si="321"/>
        <v>0</v>
      </c>
      <c r="AJ180" s="380"/>
      <c r="AK180" s="440"/>
      <c r="AM180" s="460">
        <v>180</v>
      </c>
      <c r="AN180" s="1087">
        <f t="shared" ca="1" si="322"/>
        <v>0</v>
      </c>
      <c r="AO180" s="1083">
        <f t="shared" ca="1" si="323"/>
        <v>0</v>
      </c>
      <c r="AP180" s="356">
        <f t="shared" ca="1" si="323"/>
        <v>0</v>
      </c>
      <c r="AQ180" s="357">
        <f t="shared" ca="1" si="323"/>
        <v>0</v>
      </c>
      <c r="AR180" s="524" t="str">
        <f t="shared" ca="1" si="323"/>
        <v/>
      </c>
      <c r="AS180" s="356">
        <f t="shared" ca="1" si="323"/>
        <v>0</v>
      </c>
      <c r="AT180" s="357">
        <f t="shared" ca="1" si="323"/>
        <v>0</v>
      </c>
      <c r="AU180" s="524" t="str">
        <f t="shared" ca="1" si="323"/>
        <v/>
      </c>
      <c r="AV180" s="1083">
        <f t="shared" ca="1" si="323"/>
        <v>0</v>
      </c>
      <c r="AX180" s="1083" t="str">
        <f t="shared" si="324"/>
        <v>U</v>
      </c>
      <c r="AY180" s="1083" t="str">
        <f t="shared" si="325"/>
        <v>U</v>
      </c>
      <c r="AZ180" s="1083" t="str">
        <f t="shared" si="326"/>
        <v>U</v>
      </c>
      <c r="BA180" s="1083" t="str">
        <f t="shared" si="327"/>
        <v>U</v>
      </c>
      <c r="BB180" s="1083" t="str">
        <f t="shared" si="328"/>
        <v>U</v>
      </c>
    </row>
    <row r="181" spans="1:54" ht="14.25" customHeight="1" x14ac:dyDescent="0.25">
      <c r="A181" s="440"/>
      <c r="B181" s="1043"/>
      <c r="C181" s="1036" t="s">
        <v>18</v>
      </c>
      <c r="D181" s="494"/>
      <c r="E181" s="1596" t="s">
        <v>17</v>
      </c>
      <c r="F181" s="1596"/>
      <c r="G181" s="1596"/>
      <c r="H181" s="1596"/>
      <c r="I181" s="1597"/>
      <c r="J181" s="1038"/>
      <c r="K181" s="462"/>
      <c r="L181" s="462"/>
      <c r="M181" s="498"/>
      <c r="N181" s="359"/>
      <c r="O181" s="363"/>
      <c r="P181" s="363"/>
      <c r="Q181" s="363"/>
      <c r="R181" s="363"/>
      <c r="S181" s="355">
        <f ca="1">S182+S186+S195</f>
        <v>188442.408</v>
      </c>
      <c r="T181" s="363"/>
      <c r="U181" s="375"/>
      <c r="V181" s="358"/>
      <c r="W181" s="1091"/>
      <c r="X181" s="1114"/>
      <c r="Y181" s="1104"/>
      <c r="Z181" s="363"/>
      <c r="AA181" s="375"/>
      <c r="AB181" s="358"/>
      <c r="AC181" s="1091"/>
      <c r="AD181" s="1114"/>
      <c r="AE181" s="1104"/>
      <c r="AF181" s="358"/>
      <c r="AG181" s="358"/>
      <c r="AH181" s="358"/>
      <c r="AI181" s="358"/>
      <c r="AJ181" s="380"/>
      <c r="AK181" s="440"/>
      <c r="AM181" s="460">
        <v>181</v>
      </c>
      <c r="AN181" s="1078"/>
    </row>
    <row r="182" spans="1:54" ht="12" customHeight="1" x14ac:dyDescent="0.25">
      <c r="A182" s="440"/>
      <c r="B182" s="1043"/>
      <c r="C182" s="380"/>
      <c r="D182" s="1037" t="s">
        <v>342</v>
      </c>
      <c r="E182" s="1599" t="s">
        <v>182</v>
      </c>
      <c r="F182" s="1599"/>
      <c r="G182" s="1599"/>
      <c r="H182" s="1599"/>
      <c r="I182" s="1597"/>
      <c r="J182" s="1038"/>
      <c r="K182" s="529"/>
      <c r="L182" s="503"/>
      <c r="M182" s="498"/>
      <c r="N182" s="359"/>
      <c r="O182" s="363"/>
      <c r="P182" s="363"/>
      <c r="Q182" s="363"/>
      <c r="R182" s="363"/>
      <c r="S182" s="390">
        <f ca="1">SUBTOTAL(109,S184:S185)</f>
        <v>0</v>
      </c>
      <c r="T182" s="363"/>
      <c r="U182" s="375"/>
      <c r="V182" s="358"/>
      <c r="W182" s="1091"/>
      <c r="X182" s="1114"/>
      <c r="Y182" s="1104"/>
      <c r="Z182" s="363"/>
      <c r="AA182" s="375"/>
      <c r="AB182" s="358"/>
      <c r="AC182" s="1091"/>
      <c r="AD182" s="1114"/>
      <c r="AE182" s="1104"/>
      <c r="AF182" s="358"/>
      <c r="AG182" s="358"/>
      <c r="AH182" s="358"/>
      <c r="AI182" s="358"/>
      <c r="AJ182" s="380"/>
      <c r="AK182" s="440"/>
      <c r="AM182" s="460">
        <v>182</v>
      </c>
      <c r="AN182" s="1078"/>
    </row>
    <row r="183" spans="1:54" ht="12" customHeight="1" x14ac:dyDescent="0.25">
      <c r="A183" s="440"/>
      <c r="B183" s="1043"/>
      <c r="C183" s="380"/>
      <c r="D183" s="1037"/>
      <c r="E183" s="1037"/>
      <c r="F183" s="1037"/>
      <c r="G183" s="1037"/>
      <c r="H183" s="1037"/>
      <c r="I183" s="1035"/>
      <c r="J183" s="1603" t="s">
        <v>170</v>
      </c>
      <c r="K183" s="1603"/>
      <c r="L183" s="503"/>
      <c r="M183" s="498"/>
      <c r="N183" s="359"/>
      <c r="O183" s="363"/>
      <c r="P183" s="363"/>
      <c r="Q183" s="363"/>
      <c r="R183" s="363"/>
      <c r="S183" s="390"/>
      <c r="T183" s="363"/>
      <c r="U183" s="375"/>
      <c r="V183" s="358"/>
      <c r="W183" s="1091"/>
      <c r="X183" s="1114"/>
      <c r="Y183" s="1104"/>
      <c r="Z183" s="363"/>
      <c r="AA183" s="375"/>
      <c r="AB183" s="358"/>
      <c r="AC183" s="1091"/>
      <c r="AD183" s="1114"/>
      <c r="AE183" s="1104"/>
      <c r="AF183" s="358"/>
      <c r="AG183" s="358"/>
      <c r="AH183" s="358"/>
      <c r="AI183" s="358"/>
      <c r="AJ183" s="380"/>
      <c r="AK183" s="440"/>
      <c r="AM183" s="460">
        <v>183</v>
      </c>
      <c r="AN183" s="1078"/>
    </row>
    <row r="184" spans="1:54" ht="12" customHeight="1" x14ac:dyDescent="0.2">
      <c r="A184" s="440"/>
      <c r="B184" s="1043"/>
      <c r="C184" s="380"/>
      <c r="D184" s="1037"/>
      <c r="E184" s="1084">
        <f ca="1">IF(AX184="E","",AN184)</f>
        <v>0</v>
      </c>
      <c r="F184" s="1085"/>
      <c r="G184" s="1264"/>
      <c r="H184" s="1264"/>
      <c r="I184" s="1265"/>
      <c r="J184" s="638"/>
      <c r="K184" s="520" t="s">
        <v>177</v>
      </c>
      <c r="L184" s="521"/>
      <c r="M184" s="340"/>
      <c r="N184" s="528" t="s">
        <v>67</v>
      </c>
      <c r="O184" s="339"/>
      <c r="P184" s="543" t="s">
        <v>68</v>
      </c>
      <c r="Q184" s="344"/>
      <c r="R184" s="522" t="s">
        <v>363</v>
      </c>
      <c r="S184" s="353">
        <f t="shared" ref="S184:S185" ca="1" si="329">IF(AY184="E",(M184*O184)+Q184,AO184)</f>
        <v>0</v>
      </c>
      <c r="T184" s="523"/>
      <c r="U184" s="350"/>
      <c r="V184" s="308"/>
      <c r="W184" s="1090" t="str">
        <f t="shared" ref="W184:W185" ca="1" si="330">IF(AZ184="E",IF(AND(V184&lt;&gt;0,U184&lt;&gt;0),"X",IF(AND(V184&lt;&gt;0,U184=0),"A",IF(AND(V184=0,U184&lt;&gt;0),"P",""))),AR184)</f>
        <v/>
      </c>
      <c r="X184" s="1103">
        <f t="shared" ref="X184:X185" ca="1" si="331">IF(AZ184="E",IFERROR(IF(W184="X",0,IF(U184&gt;0,U184,V184/S184)),0),
IFERROR(IF(OR(AR184="X",AR184=0),0,
IF(AR184="P",AP184,IF(AR184="A",AQ184/S184,0))),0))</f>
        <v>0</v>
      </c>
      <c r="Y184" s="1120">
        <f t="shared" ref="Y184:Y185" ca="1" si="332">IF(AZ184="E",IFERROR(IF(W184="X",0,IF(V184&gt;0,V184,S184*U184)),0),
IFERROR(IF(OR(AR184="X",AR184="0"),0,IF(AR184="A",AQ184,S184*AP184)),0))</f>
        <v>0</v>
      </c>
      <c r="Z184" s="524"/>
      <c r="AA184" s="350"/>
      <c r="AB184" s="308"/>
      <c r="AC184" s="1090" t="str">
        <f t="shared" ref="AC184:AC185" ca="1" si="333">IF(BA184="E",IF(AND(AB184&lt;&gt;0,AA184&lt;&gt;0),"X",IF(AND(AB184&lt;&gt;0,AA184=0),"A",IF(AND(AB184=0,AA184&lt;&gt;0),"P",""))),AU184)</f>
        <v/>
      </c>
      <c r="AD184" s="1103">
        <f t="shared" ref="AD184:AD185" ca="1" si="334">IF(BA184="E",IFERROR(IF(AC184="X",0,IF(AA184&gt;0,AA184,AB184/S184)),0),
IFERROR(IF(OR(AU184="X",AU184=0),0,
IF(AU184="P",AS184,IF(AU184="A",AT184/S184,0))),0))</f>
        <v>0</v>
      </c>
      <c r="AE184" s="1120">
        <f t="shared" ref="AE184:AE185" ca="1" si="335">IF(BA184="E",IFERROR(IF(AC184="X",0,IF(AB184&gt;0,AB184,S184*AA184)),0),
IFERROR(IF(OR(AU184="X",AU184=0),0,
IF(AU184="A",AT184,S184*AS184)),0))</f>
        <v>0</v>
      </c>
      <c r="AF184" s="525"/>
      <c r="AG184" s="637"/>
      <c r="AH184" s="525"/>
      <c r="AI184" s="1086">
        <f t="shared" ref="AI184:AI185" ca="1" si="336">IF(BB184="E",AG184,AV184)</f>
        <v>0</v>
      </c>
      <c r="AJ184" s="380"/>
      <c r="AK184" s="440"/>
      <c r="AM184" s="460">
        <v>184</v>
      </c>
      <c r="AN184" s="1087">
        <f t="shared" ref="AN184:AN185" ca="1" si="337">IF($M$13=$AN$12,"",IF(ISTEXT(INDIRECT("'"&amp;$AM$20&amp;"'!"&amp;AN$21&amp;$AM184)),INDIRECT("'"&amp;$AM$20&amp;"'!"&amp;AN$21&amp;$AM184),INDIRECT("'"&amp;$AM$20&amp;"'!"&amp;AN$22&amp;$AM184)))</f>
        <v>0</v>
      </c>
      <c r="AO184" s="1083">
        <f t="shared" ref="AO184:AV185" ca="1" si="338">IF($M$13=$AN$12,"",INDIRECT("'"&amp;$AM$20&amp;"'!"&amp;AO$21&amp;$AM184))</f>
        <v>0</v>
      </c>
      <c r="AP184" s="356">
        <f t="shared" ca="1" si="338"/>
        <v>0</v>
      </c>
      <c r="AQ184" s="357">
        <f t="shared" ca="1" si="338"/>
        <v>0</v>
      </c>
      <c r="AR184" s="524" t="str">
        <f t="shared" ca="1" si="338"/>
        <v/>
      </c>
      <c r="AS184" s="356">
        <f t="shared" ca="1" si="338"/>
        <v>0</v>
      </c>
      <c r="AT184" s="357">
        <f t="shared" ca="1" si="338"/>
        <v>0</v>
      </c>
      <c r="AU184" s="524" t="str">
        <f t="shared" ca="1" si="338"/>
        <v/>
      </c>
      <c r="AV184" s="1083">
        <f t="shared" ca="1" si="338"/>
        <v>0</v>
      </c>
      <c r="AX184" s="1083" t="str">
        <f t="shared" ref="AX184:AX185" si="339">IF($M$13=$AN$12,"E",IF(ISTEXT(F184),"E","U"))</f>
        <v>U</v>
      </c>
      <c r="AY184" s="1083" t="str">
        <f t="shared" ref="AY184:AY185" si="340">IF($M$13=$AN$12,"E",IF(OR(ISNUMBER(M184),ISNUMBER(O184),ISNUMBER(Q184)),"E","U"))</f>
        <v>U</v>
      </c>
      <c r="AZ184" s="1083" t="str">
        <f t="shared" ref="AZ184:AZ185" si="341">IF($M$13=$AN$12,"E",IF(OR(ISNUMBER(U184),ISNUMBER(V184)),"E","U"))</f>
        <v>U</v>
      </c>
      <c r="BA184" s="1083" t="str">
        <f t="shared" ref="BA184:BA185" si="342">IF($M$13=$AN$12,"E",IF(OR(ISNUMBER(AA184),ISNUMBER(AB184)),"E","U"))</f>
        <v>U</v>
      </c>
      <c r="BB184" s="1083" t="str">
        <f t="shared" ref="BB184:BB185" si="343">IF($M$13=$AN$12,"E",IF(ISNUMBER(AG184),"E","U"))</f>
        <v>U</v>
      </c>
    </row>
    <row r="185" spans="1:54" ht="12" customHeight="1" x14ac:dyDescent="0.2">
      <c r="A185" s="440"/>
      <c r="B185" s="1043"/>
      <c r="C185" s="380"/>
      <c r="D185" s="1037"/>
      <c r="E185" s="1084">
        <f ca="1">IF(AX185="E","",AN185)</f>
        <v>0</v>
      </c>
      <c r="F185" s="1085"/>
      <c r="G185" s="1264"/>
      <c r="H185" s="1264"/>
      <c r="I185" s="1265"/>
      <c r="J185" s="638"/>
      <c r="K185" s="520" t="s">
        <v>177</v>
      </c>
      <c r="L185" s="521"/>
      <c r="M185" s="340"/>
      <c r="N185" s="528" t="s">
        <v>67</v>
      </c>
      <c r="O185" s="339"/>
      <c r="P185" s="543" t="s">
        <v>68</v>
      </c>
      <c r="Q185" s="344"/>
      <c r="R185" s="522" t="s">
        <v>363</v>
      </c>
      <c r="S185" s="353">
        <f t="shared" ca="1" si="329"/>
        <v>0</v>
      </c>
      <c r="T185" s="523"/>
      <c r="U185" s="350"/>
      <c r="V185" s="308"/>
      <c r="W185" s="1090" t="str">
        <f t="shared" ca="1" si="330"/>
        <v/>
      </c>
      <c r="X185" s="1103">
        <f t="shared" ca="1" si="331"/>
        <v>0</v>
      </c>
      <c r="Y185" s="1120">
        <f t="shared" ca="1" si="332"/>
        <v>0</v>
      </c>
      <c r="Z185" s="524"/>
      <c r="AA185" s="350"/>
      <c r="AB185" s="308"/>
      <c r="AC185" s="1090" t="str">
        <f t="shared" ca="1" si="333"/>
        <v/>
      </c>
      <c r="AD185" s="1103">
        <f t="shared" ca="1" si="334"/>
        <v>0</v>
      </c>
      <c r="AE185" s="1120">
        <f t="shared" ca="1" si="335"/>
        <v>0</v>
      </c>
      <c r="AF185" s="525"/>
      <c r="AG185" s="637"/>
      <c r="AH185" s="525"/>
      <c r="AI185" s="1086">
        <f t="shared" ca="1" si="336"/>
        <v>0</v>
      </c>
      <c r="AJ185" s="380"/>
      <c r="AK185" s="440"/>
      <c r="AM185" s="460">
        <v>185</v>
      </c>
      <c r="AN185" s="1087">
        <f t="shared" ca="1" si="337"/>
        <v>0</v>
      </c>
      <c r="AO185" s="1083">
        <f t="shared" ca="1" si="338"/>
        <v>0</v>
      </c>
      <c r="AP185" s="356">
        <f t="shared" ca="1" si="338"/>
        <v>0</v>
      </c>
      <c r="AQ185" s="357">
        <f t="shared" ca="1" si="338"/>
        <v>0</v>
      </c>
      <c r="AR185" s="524" t="str">
        <f t="shared" ca="1" si="338"/>
        <v/>
      </c>
      <c r="AS185" s="356">
        <f t="shared" ca="1" si="338"/>
        <v>0</v>
      </c>
      <c r="AT185" s="357">
        <f t="shared" ca="1" si="338"/>
        <v>0</v>
      </c>
      <c r="AU185" s="524" t="str">
        <f t="shared" ca="1" si="338"/>
        <v/>
      </c>
      <c r="AV185" s="1083">
        <f t="shared" ca="1" si="338"/>
        <v>0</v>
      </c>
      <c r="AX185" s="1083" t="str">
        <f t="shared" si="339"/>
        <v>U</v>
      </c>
      <c r="AY185" s="1083" t="str">
        <f t="shared" si="340"/>
        <v>U</v>
      </c>
      <c r="AZ185" s="1083" t="str">
        <f t="shared" si="341"/>
        <v>U</v>
      </c>
      <c r="BA185" s="1083" t="str">
        <f t="shared" si="342"/>
        <v>U</v>
      </c>
      <c r="BB185" s="1083" t="str">
        <f t="shared" si="343"/>
        <v>U</v>
      </c>
    </row>
    <row r="186" spans="1:54" ht="12" customHeight="1" x14ac:dyDescent="0.25">
      <c r="A186" s="440"/>
      <c r="B186" s="1043"/>
      <c r="C186" s="380"/>
      <c r="D186" s="1037" t="s">
        <v>343</v>
      </c>
      <c r="E186" s="1599" t="s">
        <v>183</v>
      </c>
      <c r="F186" s="1599"/>
      <c r="G186" s="1599"/>
      <c r="H186" s="1599"/>
      <c r="I186" s="1597"/>
      <c r="J186" s="1038"/>
      <c r="K186" s="529"/>
      <c r="L186" s="503"/>
      <c r="M186" s="498"/>
      <c r="N186" s="361"/>
      <c r="O186" s="365"/>
      <c r="P186" s="365"/>
      <c r="Q186" s="365"/>
      <c r="R186" s="365"/>
      <c r="S186" s="390">
        <f ca="1">SUBTOTAL(109,S188:S194)</f>
        <v>153092.80799999999</v>
      </c>
      <c r="T186" s="363"/>
      <c r="U186" s="375"/>
      <c r="V186" s="361"/>
      <c r="W186" s="1091"/>
      <c r="X186" s="1114"/>
      <c r="Y186" s="1121"/>
      <c r="Z186" s="363"/>
      <c r="AA186" s="375"/>
      <c r="AB186" s="361"/>
      <c r="AC186" s="1091"/>
      <c r="AD186" s="1114"/>
      <c r="AE186" s="1121"/>
      <c r="AF186" s="358"/>
      <c r="AG186" s="358"/>
      <c r="AH186" s="358"/>
      <c r="AI186" s="358"/>
      <c r="AJ186" s="380"/>
      <c r="AK186" s="440"/>
      <c r="AM186" s="460">
        <v>186</v>
      </c>
      <c r="AN186" s="1078"/>
    </row>
    <row r="187" spans="1:54" ht="12" customHeight="1" x14ac:dyDescent="0.25">
      <c r="A187" s="440"/>
      <c r="B187" s="1043"/>
      <c r="C187" s="380"/>
      <c r="D187" s="1037"/>
      <c r="E187" s="1037"/>
      <c r="F187" s="1037"/>
      <c r="G187" s="1037"/>
      <c r="H187" s="1037"/>
      <c r="I187" s="1035"/>
      <c r="J187" s="1603" t="s">
        <v>306</v>
      </c>
      <c r="K187" s="1603"/>
      <c r="L187" s="503"/>
      <c r="M187" s="498"/>
      <c r="N187" s="361"/>
      <c r="O187" s="365"/>
      <c r="P187" s="365"/>
      <c r="Q187" s="365"/>
      <c r="R187" s="365"/>
      <c r="S187" s="390"/>
      <c r="T187" s="363"/>
      <c r="U187" s="375"/>
      <c r="V187" s="361"/>
      <c r="W187" s="1091"/>
      <c r="X187" s="1114"/>
      <c r="Y187" s="1121"/>
      <c r="Z187" s="363"/>
      <c r="AA187" s="375"/>
      <c r="AB187" s="361"/>
      <c r="AC187" s="1091"/>
      <c r="AD187" s="1114"/>
      <c r="AE187" s="1121"/>
      <c r="AF187" s="358"/>
      <c r="AG187" s="358"/>
      <c r="AH187" s="358"/>
      <c r="AI187" s="358"/>
      <c r="AJ187" s="380"/>
      <c r="AK187" s="440"/>
      <c r="AM187" s="460">
        <v>187</v>
      </c>
      <c r="AN187" s="1078"/>
    </row>
    <row r="188" spans="1:54" ht="12" customHeight="1" x14ac:dyDescent="0.2">
      <c r="A188" s="440"/>
      <c r="B188" s="1043"/>
      <c r="C188" s="380"/>
      <c r="D188" s="1037"/>
      <c r="E188" s="1084" t="str">
        <f t="shared" ref="E188:E194" ca="1" si="344">IF(AX188="E","",AN188)</f>
        <v>Holz/Alufenster Uw=0,55</v>
      </c>
      <c r="F188" s="1085"/>
      <c r="G188" s="1264"/>
      <c r="H188" s="1264"/>
      <c r="I188" s="1265"/>
      <c r="J188" s="638"/>
      <c r="K188" s="520" t="s">
        <v>177</v>
      </c>
      <c r="L188" s="521"/>
      <c r="M188" s="340"/>
      <c r="N188" s="528" t="s">
        <v>67</v>
      </c>
      <c r="O188" s="339"/>
      <c r="P188" s="543" t="s">
        <v>68</v>
      </c>
      <c r="Q188" s="344"/>
      <c r="R188" s="522" t="s">
        <v>363</v>
      </c>
      <c r="S188" s="353">
        <f t="shared" ref="S188:S194" ca="1" si="345">IF(AY188="E",(M188*O188)+Q188,AO188)</f>
        <v>153092.80799999999</v>
      </c>
      <c r="T188" s="523"/>
      <c r="U188" s="350"/>
      <c r="V188" s="308"/>
      <c r="W188" s="1090" t="str">
        <f t="shared" ref="W188:W194" ca="1" si="346">IF(AZ188="E",IF(AND(V188&lt;&gt;0,U188&lt;&gt;0),"X",IF(AND(V188&lt;&gt;0,U188=0),"A",IF(AND(V188=0,U188&lt;&gt;0),"P",""))),AR188)</f>
        <v/>
      </c>
      <c r="X188" s="1103">
        <f t="shared" ref="X188:X194" ca="1" si="347">IF(AZ188="E",IFERROR(IF(W188="X",0,IF(U188&gt;0,U188,V188/S188)),0),
IFERROR(IF(OR(AR188="X",AR188=0),0,
IF(AR188="P",AP188,IF(AR188="A",AQ188/S188,0))),0))</f>
        <v>0</v>
      </c>
      <c r="Y188" s="1120">
        <f t="shared" ref="Y188:Y194" ca="1" si="348">IF(AZ188="E",IFERROR(IF(W188="X",0,IF(V188&gt;0,V188,S188*U188)),0),
IFERROR(IF(OR(AR188="X",AR188="0"),0,IF(AR188="A",AQ188,S188*AP188)),0))</f>
        <v>0</v>
      </c>
      <c r="Z188" s="524"/>
      <c r="AA188" s="350"/>
      <c r="AB188" s="308"/>
      <c r="AC188" s="1090" t="str">
        <f t="shared" ref="AC188:AC194" ca="1" si="349">IF(BA188="E",IF(AND(AB188&lt;&gt;0,AA188&lt;&gt;0),"X",IF(AND(AB188&lt;&gt;0,AA188=0),"A",IF(AND(AB188=0,AA188&lt;&gt;0),"P",""))),AU188)</f>
        <v>A</v>
      </c>
      <c r="AD188" s="1103">
        <f t="shared" ref="AD188:AD194" ca="1" si="350">IF(BA188="E",IFERROR(IF(AC188="X",0,IF(AA188&gt;0,AA188,AB188/S188)),0),
IFERROR(IF(OR(AU188="X",AU188=0),0,
IF(AU188="P",AS188,IF(AU188="A",AT188/S188,0))),0))</f>
        <v>2.4037706591677386E-3</v>
      </c>
      <c r="AE188" s="1120">
        <f t="shared" ref="AE188:AE194" ca="1" si="351">IF(BA188="E",IFERROR(IF(AC188="X",0,IF(AB188&gt;0,AB188,S188*AA188)),0),
IFERROR(IF(OR(AU188="X",AU188=0),0,
IF(AU188="A",AT188,S188*AS188)),0))</f>
        <v>368</v>
      </c>
      <c r="AF188" s="525"/>
      <c r="AG188" s="637"/>
      <c r="AH188" s="525"/>
      <c r="AI188" s="1086">
        <f t="shared" ref="AI188:AI194" ca="1" si="352">IF(BB188="E",AG188,AV188)</f>
        <v>50</v>
      </c>
      <c r="AJ188" s="380"/>
      <c r="AK188" s="440"/>
      <c r="AM188" s="460">
        <v>188</v>
      </c>
      <c r="AN188" s="1087" t="str">
        <f t="shared" ref="AN188:AN194" ca="1" si="353">IF($M$13=$AN$12,"",IF(ISTEXT(INDIRECT("'"&amp;$AM$20&amp;"'!"&amp;AN$21&amp;$AM188)),INDIRECT("'"&amp;$AM$20&amp;"'!"&amp;AN$21&amp;$AM188),INDIRECT("'"&amp;$AM$20&amp;"'!"&amp;AN$22&amp;$AM188)))</f>
        <v>Holz/Alufenster Uw=0,55</v>
      </c>
      <c r="AO188" s="1083">
        <f t="shared" ref="AO188:AV194" ca="1" si="354">IF($M$13=$AN$12,"",INDIRECT("'"&amp;$AM$20&amp;"'!"&amp;AO$21&amp;$AM188))</f>
        <v>153092.80799999999</v>
      </c>
      <c r="AP188" s="356">
        <f t="shared" ca="1" si="354"/>
        <v>0</v>
      </c>
      <c r="AQ188" s="357">
        <f t="shared" ca="1" si="354"/>
        <v>0</v>
      </c>
      <c r="AR188" s="524" t="str">
        <f t="shared" ca="1" si="354"/>
        <v/>
      </c>
      <c r="AS188" s="356">
        <f t="shared" ca="1" si="354"/>
        <v>2.4037706591677386E-3</v>
      </c>
      <c r="AT188" s="357">
        <f t="shared" ca="1" si="354"/>
        <v>368</v>
      </c>
      <c r="AU188" s="524" t="str">
        <f t="shared" ca="1" si="354"/>
        <v>A</v>
      </c>
      <c r="AV188" s="1083">
        <f t="shared" ca="1" si="354"/>
        <v>50</v>
      </c>
      <c r="AX188" s="1083" t="str">
        <f t="shared" ref="AX188:AX194" si="355">IF($M$13=$AN$12,"E",IF(ISTEXT(F188),"E","U"))</f>
        <v>U</v>
      </c>
      <c r="AY188" s="1083" t="str">
        <f t="shared" ref="AY188:AY194" si="356">IF($M$13=$AN$12,"E",IF(OR(ISNUMBER(M188),ISNUMBER(O188),ISNUMBER(Q188)),"E","U"))</f>
        <v>U</v>
      </c>
      <c r="AZ188" s="1083" t="str">
        <f t="shared" ref="AZ188:AZ194" si="357">IF($M$13=$AN$12,"E",IF(OR(ISNUMBER(U188),ISNUMBER(V188)),"E","U"))</f>
        <v>U</v>
      </c>
      <c r="BA188" s="1083" t="str">
        <f t="shared" ref="BA188:BA194" si="358">IF($M$13=$AN$12,"E",IF(OR(ISNUMBER(AA188),ISNUMBER(AB188)),"E","U"))</f>
        <v>U</v>
      </c>
      <c r="BB188" s="1083" t="str">
        <f t="shared" ref="BB188:BB194" si="359">IF($M$13=$AN$12,"E",IF(ISNUMBER(AG188),"E","U"))</f>
        <v>U</v>
      </c>
    </row>
    <row r="189" spans="1:54" ht="12" customHeight="1" x14ac:dyDescent="0.2">
      <c r="A189" s="440"/>
      <c r="B189" s="1043"/>
      <c r="C189" s="380"/>
      <c r="D189" s="1037"/>
      <c r="E189" s="1084">
        <f t="shared" ca="1" si="344"/>
        <v>0</v>
      </c>
      <c r="F189" s="1085"/>
      <c r="G189" s="1264"/>
      <c r="H189" s="1264"/>
      <c r="I189" s="1265"/>
      <c r="J189" s="638"/>
      <c r="K189" s="520" t="s">
        <v>177</v>
      </c>
      <c r="L189" s="521"/>
      <c r="M189" s="340"/>
      <c r="N189" s="528" t="s">
        <v>67</v>
      </c>
      <c r="O189" s="339"/>
      <c r="P189" s="543" t="s">
        <v>68</v>
      </c>
      <c r="Q189" s="344"/>
      <c r="R189" s="522" t="s">
        <v>363</v>
      </c>
      <c r="S189" s="353">
        <f t="shared" ca="1" si="345"/>
        <v>0</v>
      </c>
      <c r="T189" s="523"/>
      <c r="U189" s="350"/>
      <c r="V189" s="308"/>
      <c r="W189" s="1090" t="str">
        <f t="shared" ca="1" si="346"/>
        <v/>
      </c>
      <c r="X189" s="1103">
        <f t="shared" ca="1" si="347"/>
        <v>0</v>
      </c>
      <c r="Y189" s="1120">
        <f t="shared" ca="1" si="348"/>
        <v>0</v>
      </c>
      <c r="Z189" s="524"/>
      <c r="AA189" s="350"/>
      <c r="AB189" s="308"/>
      <c r="AC189" s="1090" t="str">
        <f t="shared" ca="1" si="349"/>
        <v/>
      </c>
      <c r="AD189" s="1103">
        <f t="shared" ca="1" si="350"/>
        <v>0</v>
      </c>
      <c r="AE189" s="1120">
        <f t="shared" ca="1" si="351"/>
        <v>0</v>
      </c>
      <c r="AF189" s="525"/>
      <c r="AG189" s="637"/>
      <c r="AH189" s="525"/>
      <c r="AI189" s="1086">
        <f t="shared" ca="1" si="352"/>
        <v>0</v>
      </c>
      <c r="AJ189" s="380"/>
      <c r="AK189" s="440"/>
      <c r="AM189" s="460">
        <v>189</v>
      </c>
      <c r="AN189" s="1087">
        <f t="shared" ca="1" si="353"/>
        <v>0</v>
      </c>
      <c r="AO189" s="1083">
        <f t="shared" ca="1" si="354"/>
        <v>0</v>
      </c>
      <c r="AP189" s="356">
        <f t="shared" ca="1" si="354"/>
        <v>0</v>
      </c>
      <c r="AQ189" s="357">
        <f t="shared" ca="1" si="354"/>
        <v>0</v>
      </c>
      <c r="AR189" s="524" t="str">
        <f t="shared" ca="1" si="354"/>
        <v/>
      </c>
      <c r="AS189" s="356">
        <f t="shared" ca="1" si="354"/>
        <v>0</v>
      </c>
      <c r="AT189" s="357">
        <f t="shared" ca="1" si="354"/>
        <v>0</v>
      </c>
      <c r="AU189" s="524" t="str">
        <f t="shared" ca="1" si="354"/>
        <v/>
      </c>
      <c r="AV189" s="1083">
        <f t="shared" ca="1" si="354"/>
        <v>0</v>
      </c>
      <c r="AX189" s="1083" t="str">
        <f t="shared" si="355"/>
        <v>U</v>
      </c>
      <c r="AY189" s="1083" t="str">
        <f t="shared" si="356"/>
        <v>U</v>
      </c>
      <c r="AZ189" s="1083" t="str">
        <f t="shared" si="357"/>
        <v>U</v>
      </c>
      <c r="BA189" s="1083" t="str">
        <f t="shared" si="358"/>
        <v>U</v>
      </c>
      <c r="BB189" s="1083" t="str">
        <f t="shared" si="359"/>
        <v>U</v>
      </c>
    </row>
    <row r="190" spans="1:54" ht="12" customHeight="1" x14ac:dyDescent="0.2">
      <c r="A190" s="440"/>
      <c r="B190" s="1043"/>
      <c r="C190" s="380"/>
      <c r="D190" s="1037"/>
      <c r="E190" s="1084">
        <f t="shared" ca="1" si="344"/>
        <v>0</v>
      </c>
      <c r="F190" s="1085"/>
      <c r="G190" s="1264"/>
      <c r="H190" s="1264"/>
      <c r="I190" s="1265"/>
      <c r="J190" s="638"/>
      <c r="K190" s="520" t="s">
        <v>177</v>
      </c>
      <c r="L190" s="521"/>
      <c r="M190" s="340"/>
      <c r="N190" s="528" t="s">
        <v>67</v>
      </c>
      <c r="O190" s="339"/>
      <c r="P190" s="543" t="s">
        <v>68</v>
      </c>
      <c r="Q190" s="344"/>
      <c r="R190" s="522" t="s">
        <v>363</v>
      </c>
      <c r="S190" s="353">
        <f t="shared" ca="1" si="345"/>
        <v>0</v>
      </c>
      <c r="T190" s="523"/>
      <c r="U190" s="350"/>
      <c r="V190" s="308"/>
      <c r="W190" s="1090" t="str">
        <f t="shared" ca="1" si="346"/>
        <v/>
      </c>
      <c r="X190" s="1103">
        <f t="shared" ca="1" si="347"/>
        <v>0</v>
      </c>
      <c r="Y190" s="1120">
        <f t="shared" ca="1" si="348"/>
        <v>0</v>
      </c>
      <c r="Z190" s="524"/>
      <c r="AA190" s="350"/>
      <c r="AB190" s="308"/>
      <c r="AC190" s="1090" t="str">
        <f t="shared" ca="1" si="349"/>
        <v/>
      </c>
      <c r="AD190" s="1103">
        <f t="shared" ca="1" si="350"/>
        <v>0</v>
      </c>
      <c r="AE190" s="1120">
        <f t="shared" ca="1" si="351"/>
        <v>0</v>
      </c>
      <c r="AF190" s="525"/>
      <c r="AG190" s="637"/>
      <c r="AH190" s="525"/>
      <c r="AI190" s="1086">
        <f t="shared" ca="1" si="352"/>
        <v>0</v>
      </c>
      <c r="AJ190" s="380"/>
      <c r="AK190" s="440"/>
      <c r="AM190" s="460">
        <v>190</v>
      </c>
      <c r="AN190" s="1087">
        <f t="shared" ca="1" si="353"/>
        <v>0</v>
      </c>
      <c r="AO190" s="1083">
        <f t="shared" ca="1" si="354"/>
        <v>0</v>
      </c>
      <c r="AP190" s="356">
        <f t="shared" ca="1" si="354"/>
        <v>0</v>
      </c>
      <c r="AQ190" s="357">
        <f t="shared" ca="1" si="354"/>
        <v>0</v>
      </c>
      <c r="AR190" s="524" t="str">
        <f t="shared" ca="1" si="354"/>
        <v/>
      </c>
      <c r="AS190" s="356">
        <f t="shared" ca="1" si="354"/>
        <v>0</v>
      </c>
      <c r="AT190" s="357">
        <f t="shared" ca="1" si="354"/>
        <v>0</v>
      </c>
      <c r="AU190" s="524" t="str">
        <f t="shared" ca="1" si="354"/>
        <v/>
      </c>
      <c r="AV190" s="1083">
        <f t="shared" ca="1" si="354"/>
        <v>0</v>
      </c>
      <c r="AX190" s="1083" t="str">
        <f t="shared" si="355"/>
        <v>U</v>
      </c>
      <c r="AY190" s="1083" t="str">
        <f t="shared" si="356"/>
        <v>U</v>
      </c>
      <c r="AZ190" s="1083" t="str">
        <f t="shared" si="357"/>
        <v>U</v>
      </c>
      <c r="BA190" s="1083" t="str">
        <f t="shared" si="358"/>
        <v>U</v>
      </c>
      <c r="BB190" s="1083" t="str">
        <f t="shared" si="359"/>
        <v>U</v>
      </c>
    </row>
    <row r="191" spans="1:54" ht="12" customHeight="1" x14ac:dyDescent="0.25">
      <c r="A191" s="440"/>
      <c r="B191" s="1043"/>
      <c r="C191" s="380"/>
      <c r="D191" s="1037"/>
      <c r="E191" s="1084">
        <f t="shared" ca="1" si="344"/>
        <v>0</v>
      </c>
      <c r="F191" s="1085"/>
      <c r="G191" s="1264"/>
      <c r="H191" s="1264"/>
      <c r="I191" s="1265"/>
      <c r="J191" s="638"/>
      <c r="K191" s="520" t="s">
        <v>177</v>
      </c>
      <c r="L191" s="521"/>
      <c r="M191" s="340"/>
      <c r="N191" s="528" t="s">
        <v>67</v>
      </c>
      <c r="O191" s="339"/>
      <c r="P191" s="543" t="s">
        <v>68</v>
      </c>
      <c r="Q191" s="344"/>
      <c r="R191" s="522" t="s">
        <v>363</v>
      </c>
      <c r="S191" s="353">
        <f t="shared" ca="1" si="345"/>
        <v>0</v>
      </c>
      <c r="T191" s="523"/>
      <c r="U191" s="350"/>
      <c r="V191" s="308"/>
      <c r="W191" s="1090" t="str">
        <f t="shared" ca="1" si="346"/>
        <v/>
      </c>
      <c r="X191" s="1103">
        <f t="shared" ca="1" si="347"/>
        <v>0</v>
      </c>
      <c r="Y191" s="1120">
        <f t="shared" ca="1" si="348"/>
        <v>0</v>
      </c>
      <c r="Z191" s="524"/>
      <c r="AA191" s="350"/>
      <c r="AB191" s="308"/>
      <c r="AC191" s="1090" t="str">
        <f t="shared" ca="1" si="349"/>
        <v/>
      </c>
      <c r="AD191" s="1103">
        <f t="shared" ca="1" si="350"/>
        <v>0</v>
      </c>
      <c r="AE191" s="1120">
        <f t="shared" ca="1" si="351"/>
        <v>0</v>
      </c>
      <c r="AF191" s="525"/>
      <c r="AG191" s="637"/>
      <c r="AH191" s="525"/>
      <c r="AI191" s="1086">
        <f t="shared" ca="1" si="352"/>
        <v>0</v>
      </c>
      <c r="AJ191" s="380"/>
      <c r="AK191" s="440"/>
      <c r="AL191" s="395"/>
      <c r="AM191" s="460">
        <v>191</v>
      </c>
      <c r="AN191" s="1087">
        <f t="shared" ca="1" si="353"/>
        <v>0</v>
      </c>
      <c r="AO191" s="1083">
        <f t="shared" ca="1" si="354"/>
        <v>0</v>
      </c>
      <c r="AP191" s="356">
        <f t="shared" ca="1" si="354"/>
        <v>0</v>
      </c>
      <c r="AQ191" s="357">
        <f t="shared" ca="1" si="354"/>
        <v>0</v>
      </c>
      <c r="AR191" s="524" t="str">
        <f t="shared" ca="1" si="354"/>
        <v/>
      </c>
      <c r="AS191" s="356">
        <f t="shared" ca="1" si="354"/>
        <v>0</v>
      </c>
      <c r="AT191" s="357">
        <f t="shared" ca="1" si="354"/>
        <v>0</v>
      </c>
      <c r="AU191" s="524" t="str">
        <f t="shared" ca="1" si="354"/>
        <v/>
      </c>
      <c r="AV191" s="1083">
        <f t="shared" ca="1" si="354"/>
        <v>0</v>
      </c>
      <c r="AX191" s="1083" t="str">
        <f t="shared" si="355"/>
        <v>U</v>
      </c>
      <c r="AY191" s="1083" t="str">
        <f t="shared" si="356"/>
        <v>U</v>
      </c>
      <c r="AZ191" s="1083" t="str">
        <f t="shared" si="357"/>
        <v>U</v>
      </c>
      <c r="BA191" s="1083" t="str">
        <f t="shared" si="358"/>
        <v>U</v>
      </c>
      <c r="BB191" s="1083" t="str">
        <f t="shared" si="359"/>
        <v>U</v>
      </c>
    </row>
    <row r="192" spans="1:54" ht="12" customHeight="1" x14ac:dyDescent="0.25">
      <c r="A192" s="440"/>
      <c r="B192" s="1043"/>
      <c r="C192" s="380"/>
      <c r="D192" s="1037"/>
      <c r="E192" s="1084">
        <f t="shared" ca="1" si="344"/>
        <v>0</v>
      </c>
      <c r="F192" s="1085"/>
      <c r="G192" s="1264"/>
      <c r="H192" s="1264"/>
      <c r="I192" s="1265"/>
      <c r="J192" s="638"/>
      <c r="K192" s="520" t="s">
        <v>177</v>
      </c>
      <c r="L192" s="521"/>
      <c r="M192" s="340"/>
      <c r="N192" s="528" t="s">
        <v>67</v>
      </c>
      <c r="O192" s="339"/>
      <c r="P192" s="543" t="s">
        <v>68</v>
      </c>
      <c r="Q192" s="344"/>
      <c r="R192" s="522" t="s">
        <v>363</v>
      </c>
      <c r="S192" s="353">
        <f t="shared" ca="1" si="345"/>
        <v>0</v>
      </c>
      <c r="T192" s="523"/>
      <c r="U192" s="350"/>
      <c r="V192" s="308"/>
      <c r="W192" s="1090" t="str">
        <f t="shared" ca="1" si="346"/>
        <v/>
      </c>
      <c r="X192" s="1103">
        <f t="shared" ca="1" si="347"/>
        <v>0</v>
      </c>
      <c r="Y192" s="1120">
        <f t="shared" ca="1" si="348"/>
        <v>0</v>
      </c>
      <c r="Z192" s="524"/>
      <c r="AA192" s="350"/>
      <c r="AB192" s="308"/>
      <c r="AC192" s="1090" t="str">
        <f t="shared" ca="1" si="349"/>
        <v/>
      </c>
      <c r="AD192" s="1103">
        <f t="shared" ca="1" si="350"/>
        <v>0</v>
      </c>
      <c r="AE192" s="1120">
        <f t="shared" ca="1" si="351"/>
        <v>0</v>
      </c>
      <c r="AF192" s="525"/>
      <c r="AG192" s="637"/>
      <c r="AH192" s="525"/>
      <c r="AI192" s="1086">
        <f t="shared" ca="1" si="352"/>
        <v>0</v>
      </c>
      <c r="AJ192" s="380"/>
      <c r="AK192" s="440"/>
      <c r="AL192" s="395"/>
      <c r="AM192" s="460">
        <v>192</v>
      </c>
      <c r="AN192" s="1087">
        <f t="shared" ca="1" si="353"/>
        <v>0</v>
      </c>
      <c r="AO192" s="1083">
        <f t="shared" ca="1" si="354"/>
        <v>0</v>
      </c>
      <c r="AP192" s="356">
        <f t="shared" ca="1" si="354"/>
        <v>0</v>
      </c>
      <c r="AQ192" s="357">
        <f t="shared" ca="1" si="354"/>
        <v>0</v>
      </c>
      <c r="AR192" s="524" t="str">
        <f t="shared" ca="1" si="354"/>
        <v/>
      </c>
      <c r="AS192" s="356">
        <f t="shared" ca="1" si="354"/>
        <v>0</v>
      </c>
      <c r="AT192" s="357">
        <f t="shared" ca="1" si="354"/>
        <v>0</v>
      </c>
      <c r="AU192" s="524" t="str">
        <f t="shared" ca="1" si="354"/>
        <v/>
      </c>
      <c r="AV192" s="1083">
        <f t="shared" ca="1" si="354"/>
        <v>0</v>
      </c>
      <c r="AX192" s="1083" t="str">
        <f t="shared" si="355"/>
        <v>U</v>
      </c>
      <c r="AY192" s="1083" t="str">
        <f t="shared" si="356"/>
        <v>U</v>
      </c>
      <c r="AZ192" s="1083" t="str">
        <f t="shared" si="357"/>
        <v>U</v>
      </c>
      <c r="BA192" s="1083" t="str">
        <f t="shared" si="358"/>
        <v>U</v>
      </c>
      <c r="BB192" s="1083" t="str">
        <f t="shared" si="359"/>
        <v>U</v>
      </c>
    </row>
    <row r="193" spans="1:54" ht="12" customHeight="1" x14ac:dyDescent="0.25">
      <c r="A193" s="440"/>
      <c r="B193" s="1043"/>
      <c r="C193" s="380"/>
      <c r="D193" s="1037"/>
      <c r="E193" s="1084">
        <f t="shared" ca="1" si="344"/>
        <v>0</v>
      </c>
      <c r="F193" s="1085"/>
      <c r="G193" s="1264"/>
      <c r="H193" s="1264"/>
      <c r="I193" s="1265"/>
      <c r="J193" s="638"/>
      <c r="K193" s="520" t="s">
        <v>177</v>
      </c>
      <c r="L193" s="521"/>
      <c r="M193" s="340"/>
      <c r="N193" s="528" t="s">
        <v>67</v>
      </c>
      <c r="O193" s="339"/>
      <c r="P193" s="543" t="s">
        <v>68</v>
      </c>
      <c r="Q193" s="344"/>
      <c r="R193" s="522" t="s">
        <v>363</v>
      </c>
      <c r="S193" s="353">
        <f t="shared" ca="1" si="345"/>
        <v>0</v>
      </c>
      <c r="T193" s="523"/>
      <c r="U193" s="350"/>
      <c r="V193" s="308"/>
      <c r="W193" s="1090" t="str">
        <f t="shared" ca="1" si="346"/>
        <v/>
      </c>
      <c r="X193" s="1103">
        <f t="shared" ca="1" si="347"/>
        <v>0</v>
      </c>
      <c r="Y193" s="1120">
        <f t="shared" ca="1" si="348"/>
        <v>0</v>
      </c>
      <c r="Z193" s="524"/>
      <c r="AA193" s="350"/>
      <c r="AB193" s="308"/>
      <c r="AC193" s="1090" t="str">
        <f t="shared" ca="1" si="349"/>
        <v/>
      </c>
      <c r="AD193" s="1103">
        <f t="shared" ca="1" si="350"/>
        <v>0</v>
      </c>
      <c r="AE193" s="1120">
        <f t="shared" ca="1" si="351"/>
        <v>0</v>
      </c>
      <c r="AF193" s="525"/>
      <c r="AG193" s="637"/>
      <c r="AH193" s="525"/>
      <c r="AI193" s="1086">
        <f t="shared" ca="1" si="352"/>
        <v>0</v>
      </c>
      <c r="AJ193" s="380"/>
      <c r="AK193" s="440"/>
      <c r="AL193" s="395"/>
      <c r="AM193" s="460">
        <v>193</v>
      </c>
      <c r="AN193" s="1087">
        <f t="shared" ca="1" si="353"/>
        <v>0</v>
      </c>
      <c r="AO193" s="1083">
        <f t="shared" ca="1" si="354"/>
        <v>0</v>
      </c>
      <c r="AP193" s="356">
        <f t="shared" ca="1" si="354"/>
        <v>0</v>
      </c>
      <c r="AQ193" s="357">
        <f t="shared" ca="1" si="354"/>
        <v>0</v>
      </c>
      <c r="AR193" s="524" t="str">
        <f t="shared" ca="1" si="354"/>
        <v/>
      </c>
      <c r="AS193" s="356">
        <f t="shared" ca="1" si="354"/>
        <v>0</v>
      </c>
      <c r="AT193" s="357">
        <f t="shared" ca="1" si="354"/>
        <v>0</v>
      </c>
      <c r="AU193" s="524" t="str">
        <f t="shared" ca="1" si="354"/>
        <v/>
      </c>
      <c r="AV193" s="1083">
        <f t="shared" ca="1" si="354"/>
        <v>0</v>
      </c>
      <c r="AX193" s="1083" t="str">
        <f t="shared" si="355"/>
        <v>U</v>
      </c>
      <c r="AY193" s="1083" t="str">
        <f t="shared" si="356"/>
        <v>U</v>
      </c>
      <c r="AZ193" s="1083" t="str">
        <f t="shared" si="357"/>
        <v>U</v>
      </c>
      <c r="BA193" s="1083" t="str">
        <f t="shared" si="358"/>
        <v>U</v>
      </c>
      <c r="BB193" s="1083" t="str">
        <f t="shared" si="359"/>
        <v>U</v>
      </c>
    </row>
    <row r="194" spans="1:54" ht="12" customHeight="1" x14ac:dyDescent="0.25">
      <c r="A194" s="440"/>
      <c r="B194" s="1043"/>
      <c r="C194" s="380"/>
      <c r="D194" s="1037"/>
      <c r="E194" s="1084">
        <f t="shared" ca="1" si="344"/>
        <v>0</v>
      </c>
      <c r="F194" s="1085"/>
      <c r="G194" s="1264"/>
      <c r="H194" s="1264"/>
      <c r="I194" s="1265"/>
      <c r="J194" s="638"/>
      <c r="K194" s="520" t="s">
        <v>177</v>
      </c>
      <c r="L194" s="521"/>
      <c r="M194" s="340"/>
      <c r="N194" s="528" t="s">
        <v>67</v>
      </c>
      <c r="O194" s="339"/>
      <c r="P194" s="543" t="s">
        <v>68</v>
      </c>
      <c r="Q194" s="344"/>
      <c r="R194" s="522" t="s">
        <v>363</v>
      </c>
      <c r="S194" s="353">
        <f t="shared" ca="1" si="345"/>
        <v>0</v>
      </c>
      <c r="T194" s="523"/>
      <c r="U194" s="350"/>
      <c r="V194" s="308"/>
      <c r="W194" s="1090" t="str">
        <f t="shared" ca="1" si="346"/>
        <v/>
      </c>
      <c r="X194" s="1103">
        <f t="shared" ca="1" si="347"/>
        <v>0</v>
      </c>
      <c r="Y194" s="1120">
        <f t="shared" ca="1" si="348"/>
        <v>0</v>
      </c>
      <c r="Z194" s="524"/>
      <c r="AA194" s="350"/>
      <c r="AB194" s="308"/>
      <c r="AC194" s="1090" t="str">
        <f t="shared" ca="1" si="349"/>
        <v/>
      </c>
      <c r="AD194" s="1103">
        <f t="shared" ca="1" si="350"/>
        <v>0</v>
      </c>
      <c r="AE194" s="1120">
        <f t="shared" ca="1" si="351"/>
        <v>0</v>
      </c>
      <c r="AF194" s="525"/>
      <c r="AG194" s="637"/>
      <c r="AH194" s="525"/>
      <c r="AI194" s="1086">
        <f t="shared" ca="1" si="352"/>
        <v>0</v>
      </c>
      <c r="AJ194" s="380"/>
      <c r="AK194" s="440"/>
      <c r="AL194" s="395"/>
      <c r="AM194" s="460">
        <v>194</v>
      </c>
      <c r="AN194" s="1087">
        <f t="shared" ca="1" si="353"/>
        <v>0</v>
      </c>
      <c r="AO194" s="1083">
        <f t="shared" ca="1" si="354"/>
        <v>0</v>
      </c>
      <c r="AP194" s="356">
        <f t="shared" ca="1" si="354"/>
        <v>0</v>
      </c>
      <c r="AQ194" s="357">
        <f t="shared" ca="1" si="354"/>
        <v>0</v>
      </c>
      <c r="AR194" s="524" t="str">
        <f t="shared" ca="1" si="354"/>
        <v/>
      </c>
      <c r="AS194" s="356">
        <f t="shared" ca="1" si="354"/>
        <v>0</v>
      </c>
      <c r="AT194" s="357">
        <f t="shared" ca="1" si="354"/>
        <v>0</v>
      </c>
      <c r="AU194" s="524" t="str">
        <f t="shared" ca="1" si="354"/>
        <v/>
      </c>
      <c r="AV194" s="1083">
        <f t="shared" ca="1" si="354"/>
        <v>0</v>
      </c>
      <c r="AX194" s="1083" t="str">
        <f t="shared" si="355"/>
        <v>U</v>
      </c>
      <c r="AY194" s="1083" t="str">
        <f t="shared" si="356"/>
        <v>U</v>
      </c>
      <c r="AZ194" s="1083" t="str">
        <f t="shared" si="357"/>
        <v>U</v>
      </c>
      <c r="BA194" s="1083" t="str">
        <f t="shared" si="358"/>
        <v>U</v>
      </c>
      <c r="BB194" s="1083" t="str">
        <f t="shared" si="359"/>
        <v>U</v>
      </c>
    </row>
    <row r="195" spans="1:54" ht="12" customHeight="1" x14ac:dyDescent="0.25">
      <c r="A195" s="440"/>
      <c r="B195" s="1043"/>
      <c r="C195" s="380"/>
      <c r="D195" s="1037" t="s">
        <v>16</v>
      </c>
      <c r="E195" s="1599" t="s">
        <v>15</v>
      </c>
      <c r="F195" s="1599"/>
      <c r="G195" s="1599"/>
      <c r="H195" s="1599"/>
      <c r="I195" s="1597"/>
      <c r="J195" s="1038"/>
      <c r="K195" s="529"/>
      <c r="L195" s="503"/>
      <c r="M195" s="498"/>
      <c r="N195" s="361"/>
      <c r="O195" s="365"/>
      <c r="P195" s="365"/>
      <c r="Q195" s="365"/>
      <c r="R195" s="365"/>
      <c r="S195" s="390">
        <f ca="1">SUBTOTAL(109,S197:S200)</f>
        <v>35349.599999999999</v>
      </c>
      <c r="T195" s="363"/>
      <c r="U195" s="375"/>
      <c r="V195" s="361"/>
      <c r="W195" s="1091"/>
      <c r="X195" s="1114"/>
      <c r="Y195" s="1121"/>
      <c r="Z195" s="363"/>
      <c r="AA195" s="375"/>
      <c r="AB195" s="361"/>
      <c r="AC195" s="1091"/>
      <c r="AD195" s="1114"/>
      <c r="AE195" s="1121"/>
      <c r="AF195" s="358"/>
      <c r="AG195" s="358"/>
      <c r="AH195" s="358"/>
      <c r="AI195" s="358"/>
      <c r="AJ195" s="380"/>
      <c r="AK195" s="440"/>
      <c r="AL195" s="395"/>
      <c r="AM195" s="460">
        <v>195</v>
      </c>
      <c r="AN195" s="1078"/>
    </row>
    <row r="196" spans="1:54" ht="12" customHeight="1" x14ac:dyDescent="0.25">
      <c r="A196" s="440"/>
      <c r="B196" s="1043"/>
      <c r="C196" s="380"/>
      <c r="D196" s="1037"/>
      <c r="E196" s="1037"/>
      <c r="F196" s="1037"/>
      <c r="G196" s="1037"/>
      <c r="H196" s="1037"/>
      <c r="I196" s="1035"/>
      <c r="J196" s="1603" t="s">
        <v>181</v>
      </c>
      <c r="K196" s="1603"/>
      <c r="L196" s="503"/>
      <c r="M196" s="498"/>
      <c r="N196" s="361"/>
      <c r="O196" s="365"/>
      <c r="P196" s="365"/>
      <c r="Q196" s="365"/>
      <c r="R196" s="365"/>
      <c r="S196" s="390"/>
      <c r="T196" s="363"/>
      <c r="U196" s="375"/>
      <c r="V196" s="361"/>
      <c r="W196" s="1091"/>
      <c r="X196" s="1114"/>
      <c r="Y196" s="1121"/>
      <c r="Z196" s="363"/>
      <c r="AA196" s="375"/>
      <c r="AB196" s="361"/>
      <c r="AC196" s="1091"/>
      <c r="AD196" s="1114"/>
      <c r="AE196" s="1121"/>
      <c r="AF196" s="358"/>
      <c r="AG196" s="358"/>
      <c r="AH196" s="358"/>
      <c r="AI196" s="358"/>
      <c r="AJ196" s="380"/>
      <c r="AK196" s="440"/>
      <c r="AL196" s="395"/>
      <c r="AM196" s="460">
        <v>196</v>
      </c>
      <c r="AN196" s="1078"/>
    </row>
    <row r="197" spans="1:54" ht="12" customHeight="1" x14ac:dyDescent="0.2">
      <c r="A197" s="440"/>
      <c r="B197" s="1043"/>
      <c r="C197" s="380"/>
      <c r="D197" s="1037"/>
      <c r="E197" s="1084" t="str">
        <f ca="1">IF(AX197="E","",AN197)</f>
        <v>Vollverschattung+gedämmt. Jalousiekasten</v>
      </c>
      <c r="F197" s="1085"/>
      <c r="G197" s="1264"/>
      <c r="H197" s="1264"/>
      <c r="I197" s="1265"/>
      <c r="J197" s="638"/>
      <c r="K197" s="555" t="s">
        <v>95</v>
      </c>
      <c r="L197" s="541"/>
      <c r="M197" s="340"/>
      <c r="N197" s="528" t="s">
        <v>67</v>
      </c>
      <c r="O197" s="339"/>
      <c r="P197" s="543" t="s">
        <v>68</v>
      </c>
      <c r="Q197" s="344"/>
      <c r="R197" s="522" t="s">
        <v>363</v>
      </c>
      <c r="S197" s="353">
        <f t="shared" ref="S197:S200" ca="1" si="360">IF(AY197="E",(M197*O197)+Q197,AO197)</f>
        <v>35349.599999999999</v>
      </c>
      <c r="T197" s="523"/>
      <c r="U197" s="350"/>
      <c r="V197" s="308"/>
      <c r="W197" s="1090" t="str">
        <f t="shared" ref="W197:W200" ca="1" si="361">IF(AZ197="E",IF(AND(V197&lt;&gt;0,U197&lt;&gt;0),"X",IF(AND(V197&lt;&gt;0,U197=0),"A",IF(AND(V197=0,U197&lt;&gt;0),"P",""))),AR197)</f>
        <v/>
      </c>
      <c r="X197" s="1103">
        <f t="shared" ref="X197:X200" ca="1" si="362">IF(AZ197="E",IFERROR(IF(W197="X",0,IF(U197&gt;0,U197,V197/S197)),0),
IFERROR(IF(OR(AR197="X",AR197=0),0,
IF(AR197="P",AP197,IF(AR197="A",AQ197/S197,0))),0))</f>
        <v>0</v>
      </c>
      <c r="Y197" s="1120">
        <f t="shared" ref="Y197:Y200" ca="1" si="363">IF(AZ197="E",IFERROR(IF(W197="X",0,IF(V197&gt;0,V197,S197*U197)),0),
IFERROR(IF(OR(AR197="X",AR197="0"),0,IF(AR197="A",AQ197,S197*AP197)),0))</f>
        <v>0</v>
      </c>
      <c r="Z197" s="524"/>
      <c r="AA197" s="350"/>
      <c r="AB197" s="308"/>
      <c r="AC197" s="1090" t="str">
        <f t="shared" ref="AC197:AC200" ca="1" si="364">IF(BA197="E",IF(AND(AB197&lt;&gt;0,AA197&lt;&gt;0),"X",IF(AND(AB197&lt;&gt;0,AA197=0),"A",IF(AND(AB197=0,AA197&lt;&gt;0),"P",""))),AU197)</f>
        <v>A</v>
      </c>
      <c r="AD197" s="1103">
        <f t="shared" ref="AD197:AD200" ca="1" si="365">IF(BA197="E",IFERROR(IF(AC197="X",0,IF(AA197&gt;0,AA197,AB197/S197)),0),
IFERROR(IF(OR(AU197="X",AU197=0),0,
IF(AU197="P",AS197,IF(AU197="A",AT197/S197,0))),0))</f>
        <v>1.0183990766515039E-2</v>
      </c>
      <c r="AE197" s="1120">
        <f t="shared" ref="AE197:AE200" ca="1" si="366">IF(BA197="E",IFERROR(IF(AC197="X",0,IF(AB197&gt;0,AB197,S197*AA197)),0),
IFERROR(IF(OR(AU197="X",AU197=0),0,
IF(AU197="A",AT197,S197*AS197)),0))</f>
        <v>360</v>
      </c>
      <c r="AF197" s="525"/>
      <c r="AG197" s="637"/>
      <c r="AH197" s="525"/>
      <c r="AI197" s="1086">
        <f t="shared" ref="AI197:AI200" ca="1" si="367">IF(BB197="E",AG197,AV197)</f>
        <v>25</v>
      </c>
      <c r="AJ197" s="380"/>
      <c r="AK197" s="440"/>
      <c r="AM197" s="460">
        <v>197</v>
      </c>
      <c r="AN197" s="1087" t="str">
        <f t="shared" ref="AN197:AN200" ca="1" si="368">IF($M$13=$AN$12,"",IF(ISTEXT(INDIRECT("'"&amp;$AM$20&amp;"'!"&amp;AN$21&amp;$AM197)),INDIRECT("'"&amp;$AM$20&amp;"'!"&amp;AN$21&amp;$AM197),INDIRECT("'"&amp;$AM$20&amp;"'!"&amp;AN$22&amp;$AM197)))</f>
        <v>Vollverschattung+gedämmt. Jalousiekasten</v>
      </c>
      <c r="AO197" s="1083">
        <f t="shared" ref="AO197:AV200" ca="1" si="369">IF($M$13=$AN$12,"",INDIRECT("'"&amp;$AM$20&amp;"'!"&amp;AO$21&amp;$AM197))</f>
        <v>35349.599999999999</v>
      </c>
      <c r="AP197" s="356">
        <f t="shared" ca="1" si="369"/>
        <v>0</v>
      </c>
      <c r="AQ197" s="357">
        <f t="shared" ca="1" si="369"/>
        <v>0</v>
      </c>
      <c r="AR197" s="524" t="str">
        <f t="shared" ca="1" si="369"/>
        <v/>
      </c>
      <c r="AS197" s="356">
        <f t="shared" ca="1" si="369"/>
        <v>1.0183990766515039E-2</v>
      </c>
      <c r="AT197" s="357">
        <f t="shared" ca="1" si="369"/>
        <v>360</v>
      </c>
      <c r="AU197" s="524" t="str">
        <f t="shared" ca="1" si="369"/>
        <v>A</v>
      </c>
      <c r="AV197" s="1083">
        <f t="shared" ca="1" si="369"/>
        <v>25</v>
      </c>
      <c r="AX197" s="1083" t="str">
        <f t="shared" ref="AX197:AX200" si="370">IF($M$13=$AN$12,"E",IF(ISTEXT(F197),"E","U"))</f>
        <v>U</v>
      </c>
      <c r="AY197" s="1083" t="str">
        <f t="shared" ref="AY197:AY200" si="371">IF($M$13=$AN$12,"E",IF(OR(ISNUMBER(M197),ISNUMBER(O197),ISNUMBER(Q197)),"E","U"))</f>
        <v>U</v>
      </c>
      <c r="AZ197" s="1083" t="str">
        <f t="shared" ref="AZ197:AZ200" si="372">IF($M$13=$AN$12,"E",IF(OR(ISNUMBER(U197),ISNUMBER(V197)),"E","U"))</f>
        <v>U</v>
      </c>
      <c r="BA197" s="1083" t="str">
        <f t="shared" ref="BA197:BA200" si="373">IF($M$13=$AN$12,"E",IF(OR(ISNUMBER(AA197),ISNUMBER(AB197)),"E","U"))</f>
        <v>U</v>
      </c>
      <c r="BB197" s="1083" t="str">
        <f t="shared" ref="BB197:BB200" si="374">IF($M$13=$AN$12,"E",IF(ISNUMBER(AG197),"E","U"))</f>
        <v>U</v>
      </c>
    </row>
    <row r="198" spans="1:54" ht="12" customHeight="1" x14ac:dyDescent="0.2">
      <c r="A198" s="440"/>
      <c r="B198" s="1043"/>
      <c r="C198" s="380"/>
      <c r="D198" s="1037"/>
      <c r="E198" s="1084">
        <f ca="1">IF(AX198="E","",AN198)</f>
        <v>0</v>
      </c>
      <c r="F198" s="1085"/>
      <c r="G198" s="1264"/>
      <c r="H198" s="1264"/>
      <c r="I198" s="1265"/>
      <c r="J198" s="638"/>
      <c r="K198" s="555" t="s">
        <v>95</v>
      </c>
      <c r="L198" s="541"/>
      <c r="M198" s="341"/>
      <c r="N198" s="528" t="s">
        <v>67</v>
      </c>
      <c r="O198" s="345"/>
      <c r="P198" s="543" t="s">
        <v>68</v>
      </c>
      <c r="Q198" s="344"/>
      <c r="R198" s="522" t="s">
        <v>363</v>
      </c>
      <c r="S198" s="353">
        <f t="shared" ca="1" si="360"/>
        <v>0</v>
      </c>
      <c r="T198" s="523"/>
      <c r="U198" s="350"/>
      <c r="V198" s="308"/>
      <c r="W198" s="1090" t="str">
        <f t="shared" ca="1" si="361"/>
        <v/>
      </c>
      <c r="X198" s="1103">
        <f t="shared" ca="1" si="362"/>
        <v>0</v>
      </c>
      <c r="Y198" s="1120">
        <f t="shared" ca="1" si="363"/>
        <v>0</v>
      </c>
      <c r="Z198" s="524"/>
      <c r="AA198" s="350"/>
      <c r="AB198" s="308"/>
      <c r="AC198" s="1090" t="str">
        <f t="shared" ca="1" si="364"/>
        <v/>
      </c>
      <c r="AD198" s="1103">
        <f t="shared" ca="1" si="365"/>
        <v>0</v>
      </c>
      <c r="AE198" s="1120">
        <f t="shared" ca="1" si="366"/>
        <v>0</v>
      </c>
      <c r="AF198" s="525"/>
      <c r="AG198" s="637"/>
      <c r="AH198" s="525"/>
      <c r="AI198" s="1086">
        <f t="shared" ca="1" si="367"/>
        <v>0</v>
      </c>
      <c r="AJ198" s="380"/>
      <c r="AK198" s="440"/>
      <c r="AM198" s="460">
        <v>198</v>
      </c>
      <c r="AN198" s="1087">
        <f t="shared" ca="1" si="368"/>
        <v>0</v>
      </c>
      <c r="AO198" s="1083">
        <f t="shared" ca="1" si="369"/>
        <v>0</v>
      </c>
      <c r="AP198" s="356">
        <f t="shared" ca="1" si="369"/>
        <v>0</v>
      </c>
      <c r="AQ198" s="357">
        <f t="shared" ca="1" si="369"/>
        <v>0</v>
      </c>
      <c r="AR198" s="524" t="str">
        <f t="shared" ca="1" si="369"/>
        <v/>
      </c>
      <c r="AS198" s="356">
        <f t="shared" ca="1" si="369"/>
        <v>0</v>
      </c>
      <c r="AT198" s="357">
        <f t="shared" ca="1" si="369"/>
        <v>0</v>
      </c>
      <c r="AU198" s="524" t="str">
        <f t="shared" ca="1" si="369"/>
        <v/>
      </c>
      <c r="AV198" s="1083">
        <f t="shared" ca="1" si="369"/>
        <v>0</v>
      </c>
      <c r="AX198" s="1083" t="str">
        <f t="shared" si="370"/>
        <v>U</v>
      </c>
      <c r="AY198" s="1083" t="str">
        <f t="shared" si="371"/>
        <v>U</v>
      </c>
      <c r="AZ198" s="1083" t="str">
        <f t="shared" si="372"/>
        <v>U</v>
      </c>
      <c r="BA198" s="1083" t="str">
        <f t="shared" si="373"/>
        <v>U</v>
      </c>
      <c r="BB198" s="1083" t="str">
        <f t="shared" si="374"/>
        <v>U</v>
      </c>
    </row>
    <row r="199" spans="1:54" ht="12" customHeight="1" x14ac:dyDescent="0.2">
      <c r="A199" s="440"/>
      <c r="B199" s="1043"/>
      <c r="C199" s="380"/>
      <c r="D199" s="1037"/>
      <c r="E199" s="1084">
        <f ca="1">IF(AX199="E","",AN199)</f>
        <v>0</v>
      </c>
      <c r="F199" s="1085"/>
      <c r="G199" s="1264"/>
      <c r="H199" s="1264"/>
      <c r="I199" s="1265"/>
      <c r="J199" s="638"/>
      <c r="K199" s="555" t="s">
        <v>95</v>
      </c>
      <c r="L199" s="541"/>
      <c r="M199" s="341"/>
      <c r="N199" s="528" t="s">
        <v>67</v>
      </c>
      <c r="O199" s="345"/>
      <c r="P199" s="543" t="s">
        <v>68</v>
      </c>
      <c r="Q199" s="344"/>
      <c r="R199" s="522" t="s">
        <v>363</v>
      </c>
      <c r="S199" s="353">
        <f t="shared" ca="1" si="360"/>
        <v>0</v>
      </c>
      <c r="T199" s="523"/>
      <c r="U199" s="350"/>
      <c r="V199" s="308"/>
      <c r="W199" s="1090" t="str">
        <f t="shared" ca="1" si="361"/>
        <v/>
      </c>
      <c r="X199" s="1103">
        <f t="shared" ca="1" si="362"/>
        <v>0</v>
      </c>
      <c r="Y199" s="1120">
        <f t="shared" ca="1" si="363"/>
        <v>0</v>
      </c>
      <c r="Z199" s="524"/>
      <c r="AA199" s="350"/>
      <c r="AB199" s="308"/>
      <c r="AC199" s="1090" t="str">
        <f t="shared" ca="1" si="364"/>
        <v/>
      </c>
      <c r="AD199" s="1103">
        <f t="shared" ca="1" si="365"/>
        <v>0</v>
      </c>
      <c r="AE199" s="1120">
        <f t="shared" ca="1" si="366"/>
        <v>0</v>
      </c>
      <c r="AF199" s="525"/>
      <c r="AG199" s="637"/>
      <c r="AH199" s="525"/>
      <c r="AI199" s="1086">
        <f t="shared" ca="1" si="367"/>
        <v>0</v>
      </c>
      <c r="AJ199" s="380"/>
      <c r="AK199" s="440"/>
      <c r="AM199" s="460">
        <v>199</v>
      </c>
      <c r="AN199" s="1087">
        <f t="shared" ca="1" si="368"/>
        <v>0</v>
      </c>
      <c r="AO199" s="1083">
        <f t="shared" ca="1" si="369"/>
        <v>0</v>
      </c>
      <c r="AP199" s="356">
        <f t="shared" ca="1" si="369"/>
        <v>0</v>
      </c>
      <c r="AQ199" s="357">
        <f t="shared" ca="1" si="369"/>
        <v>0</v>
      </c>
      <c r="AR199" s="524" t="str">
        <f t="shared" ca="1" si="369"/>
        <v/>
      </c>
      <c r="AS199" s="356">
        <f t="shared" ca="1" si="369"/>
        <v>0</v>
      </c>
      <c r="AT199" s="357">
        <f t="shared" ca="1" si="369"/>
        <v>0</v>
      </c>
      <c r="AU199" s="524" t="str">
        <f t="shared" ca="1" si="369"/>
        <v/>
      </c>
      <c r="AV199" s="1083">
        <f t="shared" ca="1" si="369"/>
        <v>0</v>
      </c>
      <c r="AX199" s="1083" t="str">
        <f t="shared" si="370"/>
        <v>U</v>
      </c>
      <c r="AY199" s="1083" t="str">
        <f t="shared" si="371"/>
        <v>U</v>
      </c>
      <c r="AZ199" s="1083" t="str">
        <f t="shared" si="372"/>
        <v>U</v>
      </c>
      <c r="BA199" s="1083" t="str">
        <f t="shared" si="373"/>
        <v>U</v>
      </c>
      <c r="BB199" s="1083" t="str">
        <f t="shared" si="374"/>
        <v>U</v>
      </c>
    </row>
    <row r="200" spans="1:54" ht="12" customHeight="1" x14ac:dyDescent="0.2">
      <c r="A200" s="440"/>
      <c r="B200" s="1043"/>
      <c r="C200" s="380"/>
      <c r="D200" s="1037"/>
      <c r="E200" s="1084">
        <f ca="1">IF(AX200="E","",AN200)</f>
        <v>0</v>
      </c>
      <c r="F200" s="1085"/>
      <c r="G200" s="1264"/>
      <c r="H200" s="1264"/>
      <c r="I200" s="1265"/>
      <c r="J200" s="638"/>
      <c r="K200" s="555" t="s">
        <v>95</v>
      </c>
      <c r="L200" s="541"/>
      <c r="M200" s="340"/>
      <c r="N200" s="528" t="s">
        <v>67</v>
      </c>
      <c r="O200" s="339"/>
      <c r="P200" s="543" t="s">
        <v>68</v>
      </c>
      <c r="Q200" s="344"/>
      <c r="R200" s="522" t="s">
        <v>363</v>
      </c>
      <c r="S200" s="353">
        <f t="shared" ca="1" si="360"/>
        <v>0</v>
      </c>
      <c r="T200" s="523"/>
      <c r="U200" s="350"/>
      <c r="V200" s="308"/>
      <c r="W200" s="1090" t="str">
        <f t="shared" ca="1" si="361"/>
        <v/>
      </c>
      <c r="X200" s="1103">
        <f t="shared" ca="1" si="362"/>
        <v>0</v>
      </c>
      <c r="Y200" s="1120">
        <f t="shared" ca="1" si="363"/>
        <v>0</v>
      </c>
      <c r="Z200" s="524"/>
      <c r="AA200" s="350"/>
      <c r="AB200" s="308"/>
      <c r="AC200" s="1090" t="str">
        <f t="shared" ca="1" si="364"/>
        <v/>
      </c>
      <c r="AD200" s="1103">
        <f t="shared" ca="1" si="365"/>
        <v>0</v>
      </c>
      <c r="AE200" s="1120">
        <f t="shared" ca="1" si="366"/>
        <v>0</v>
      </c>
      <c r="AF200" s="525"/>
      <c r="AG200" s="637"/>
      <c r="AH200" s="525"/>
      <c r="AI200" s="1086">
        <f t="shared" ca="1" si="367"/>
        <v>0</v>
      </c>
      <c r="AJ200" s="380"/>
      <c r="AK200" s="440"/>
      <c r="AM200" s="460">
        <v>200</v>
      </c>
      <c r="AN200" s="1087">
        <f t="shared" ca="1" si="368"/>
        <v>0</v>
      </c>
      <c r="AO200" s="1083">
        <f t="shared" ca="1" si="369"/>
        <v>0</v>
      </c>
      <c r="AP200" s="356">
        <f t="shared" ca="1" si="369"/>
        <v>0</v>
      </c>
      <c r="AQ200" s="357">
        <f t="shared" ca="1" si="369"/>
        <v>0</v>
      </c>
      <c r="AR200" s="524" t="str">
        <f t="shared" ca="1" si="369"/>
        <v/>
      </c>
      <c r="AS200" s="356">
        <f t="shared" ca="1" si="369"/>
        <v>0</v>
      </c>
      <c r="AT200" s="357">
        <f t="shared" ca="1" si="369"/>
        <v>0</v>
      </c>
      <c r="AU200" s="524" t="str">
        <f t="shared" ca="1" si="369"/>
        <v/>
      </c>
      <c r="AV200" s="1083">
        <f t="shared" ca="1" si="369"/>
        <v>0</v>
      </c>
      <c r="AX200" s="1083" t="str">
        <f t="shared" si="370"/>
        <v>U</v>
      </c>
      <c r="AY200" s="1083" t="str">
        <f t="shared" si="371"/>
        <v>U</v>
      </c>
      <c r="AZ200" s="1083" t="str">
        <f t="shared" si="372"/>
        <v>U</v>
      </c>
      <c r="BA200" s="1083" t="str">
        <f t="shared" si="373"/>
        <v>U</v>
      </c>
      <c r="BB200" s="1083" t="str">
        <f t="shared" si="374"/>
        <v>U</v>
      </c>
    </row>
    <row r="201" spans="1:54" ht="12" customHeight="1" collapsed="1" x14ac:dyDescent="0.2">
      <c r="A201" s="440"/>
      <c r="B201" s="324"/>
      <c r="C201" s="378"/>
      <c r="D201" s="374"/>
      <c r="E201" s="374"/>
      <c r="F201" s="374"/>
      <c r="G201" s="374"/>
      <c r="H201" s="374"/>
      <c r="I201" s="374"/>
      <c r="J201" s="374"/>
      <c r="K201" s="374"/>
      <c r="L201" s="374"/>
      <c r="M201" s="545"/>
      <c r="N201" s="544"/>
      <c r="O201" s="374"/>
      <c r="P201" s="374"/>
      <c r="Q201" s="374"/>
      <c r="R201" s="374"/>
      <c r="S201" s="374"/>
      <c r="T201" s="374"/>
      <c r="U201" s="374"/>
      <c r="V201" s="374"/>
      <c r="W201" s="1097"/>
      <c r="X201" s="1112"/>
      <c r="Y201" s="1112"/>
      <c r="Z201" s="374"/>
      <c r="AA201" s="374"/>
      <c r="AB201" s="374"/>
      <c r="AC201" s="1097"/>
      <c r="AD201" s="1112"/>
      <c r="AE201" s="1112"/>
      <c r="AF201" s="374"/>
      <c r="AG201" s="374"/>
      <c r="AH201" s="374"/>
      <c r="AI201" s="556"/>
      <c r="AJ201" s="374"/>
      <c r="AK201" s="440"/>
      <c r="AM201" s="460">
        <v>201</v>
      </c>
      <c r="AN201" s="1078"/>
    </row>
    <row r="202" spans="1:54" ht="12" customHeight="1" x14ac:dyDescent="0.2">
      <c r="A202" s="440"/>
      <c r="B202" s="320"/>
      <c r="C202" s="1036"/>
      <c r="D202" s="1036"/>
      <c r="E202" s="1036"/>
      <c r="F202" s="1036"/>
      <c r="G202" s="1036"/>
      <c r="H202" s="1036"/>
      <c r="I202" s="1036"/>
      <c r="J202" s="1036"/>
      <c r="K202" s="503"/>
      <c r="L202" s="503"/>
      <c r="M202" s="549"/>
      <c r="N202" s="1033"/>
      <c r="O202" s="379"/>
      <c r="P202" s="379"/>
      <c r="Q202" s="379"/>
      <c r="R202" s="379"/>
      <c r="S202" s="379"/>
      <c r="T202" s="379"/>
      <c r="U202" s="1598"/>
      <c r="V202" s="1598"/>
      <c r="W202" s="1095"/>
      <c r="X202" s="1113"/>
      <c r="Y202" s="1113"/>
      <c r="Z202" s="379"/>
      <c r="AA202" s="1598"/>
      <c r="AB202" s="1598"/>
      <c r="AC202" s="1095"/>
      <c r="AD202" s="1113"/>
      <c r="AE202" s="1113"/>
      <c r="AF202" s="379"/>
      <c r="AG202" s="379"/>
      <c r="AH202" s="379"/>
      <c r="AI202" s="481"/>
      <c r="AJ202" s="379"/>
      <c r="AK202" s="440"/>
      <c r="AM202" s="460">
        <v>202</v>
      </c>
      <c r="AN202" s="1078"/>
    </row>
    <row r="203" spans="1:54" ht="12" customHeight="1" x14ac:dyDescent="0.2">
      <c r="A203" s="440"/>
      <c r="B203" s="320"/>
      <c r="C203" s="1036"/>
      <c r="D203" s="1036"/>
      <c r="E203" s="1036"/>
      <c r="F203" s="1036"/>
      <c r="G203" s="1036"/>
      <c r="H203" s="1036"/>
      <c r="I203" s="1036"/>
      <c r="J203" s="1036"/>
      <c r="K203" s="503"/>
      <c r="L203" s="503"/>
      <c r="M203" s="498"/>
      <c r="N203" s="503"/>
      <c r="O203" s="1036"/>
      <c r="P203" s="1036"/>
      <c r="Q203" s="1036"/>
      <c r="R203" s="1036"/>
      <c r="S203" s="372"/>
      <c r="T203" s="372"/>
      <c r="U203" s="372"/>
      <c r="V203" s="372"/>
      <c r="W203" s="1096"/>
      <c r="X203" s="1110"/>
      <c r="Y203" s="1110"/>
      <c r="Z203" s="372"/>
      <c r="AA203" s="372"/>
      <c r="AB203" s="372"/>
      <c r="AC203" s="1096"/>
      <c r="AD203" s="1110"/>
      <c r="AE203" s="1110"/>
      <c r="AF203" s="372"/>
      <c r="AG203" s="372"/>
      <c r="AH203" s="372"/>
      <c r="AI203" s="482"/>
      <c r="AJ203" s="372"/>
      <c r="AK203" s="440"/>
      <c r="AM203" s="460">
        <v>203</v>
      </c>
      <c r="AN203" s="1078"/>
    </row>
    <row r="204" spans="1:54" ht="14.25" customHeight="1" x14ac:dyDescent="0.25">
      <c r="A204" s="440"/>
      <c r="B204" s="499">
        <v>5</v>
      </c>
      <c r="C204" s="494"/>
      <c r="D204" s="495"/>
      <c r="E204" s="1606" t="s">
        <v>13</v>
      </c>
      <c r="F204" s="1606"/>
      <c r="G204" s="1606"/>
      <c r="H204" s="1606"/>
      <c r="I204" s="1597"/>
      <c r="J204" s="1038"/>
      <c r="K204" s="462"/>
      <c r="L204" s="462"/>
      <c r="M204" s="498"/>
      <c r="N204" s="359"/>
      <c r="O204" s="363"/>
      <c r="P204" s="363"/>
      <c r="Q204" s="363"/>
      <c r="R204" s="363"/>
      <c r="S204" s="385">
        <f ca="1">S205</f>
        <v>158175.552</v>
      </c>
      <c r="T204" s="363"/>
      <c r="U204" s="363"/>
      <c r="V204" s="363"/>
      <c r="W204" s="1093"/>
      <c r="X204" s="1116"/>
      <c r="Y204" s="1116"/>
      <c r="Z204" s="363"/>
      <c r="AA204" s="363"/>
      <c r="AB204" s="363"/>
      <c r="AC204" s="1093"/>
      <c r="AD204" s="1116"/>
      <c r="AE204" s="1116"/>
      <c r="AF204" s="363"/>
      <c r="AG204" s="363"/>
      <c r="AH204" s="363"/>
      <c r="AI204" s="358"/>
      <c r="AJ204" s="363"/>
      <c r="AK204" s="440"/>
      <c r="AM204" s="460">
        <v>204</v>
      </c>
      <c r="AN204" s="1078"/>
    </row>
    <row r="205" spans="1:54" ht="14.25" customHeight="1" x14ac:dyDescent="0.25">
      <c r="A205" s="440"/>
      <c r="B205" s="1042"/>
      <c r="C205" s="1036" t="s">
        <v>12</v>
      </c>
      <c r="D205" s="494"/>
      <c r="E205" s="1596" t="s">
        <v>11</v>
      </c>
      <c r="F205" s="1596"/>
      <c r="G205" s="1596"/>
      <c r="H205" s="1596"/>
      <c r="I205" s="1597"/>
      <c r="J205" s="1038"/>
      <c r="K205" s="462"/>
      <c r="L205" s="462"/>
      <c r="M205" s="498"/>
      <c r="N205" s="359"/>
      <c r="O205" s="363"/>
      <c r="P205" s="363"/>
      <c r="Q205" s="363"/>
      <c r="R205" s="363"/>
      <c r="S205" s="355">
        <f ca="1">SUBTOTAL(109,S207:S211)</f>
        <v>158175.552</v>
      </c>
      <c r="T205" s="363"/>
      <c r="U205" s="363"/>
      <c r="V205" s="377"/>
      <c r="W205" s="1093"/>
      <c r="X205" s="1116"/>
      <c r="Y205" s="1125"/>
      <c r="Z205" s="363"/>
      <c r="AA205" s="363"/>
      <c r="AB205" s="377"/>
      <c r="AC205" s="1093"/>
      <c r="AD205" s="1116"/>
      <c r="AE205" s="1125"/>
      <c r="AF205" s="363"/>
      <c r="AG205" s="363"/>
      <c r="AH205" s="363"/>
      <c r="AI205" s="358"/>
      <c r="AJ205" s="363"/>
      <c r="AK205" s="440"/>
      <c r="AM205" s="460">
        <v>205</v>
      </c>
      <c r="AN205" s="1078"/>
    </row>
    <row r="206" spans="1:54" ht="14.25" customHeight="1" x14ac:dyDescent="0.25">
      <c r="A206" s="440"/>
      <c r="B206" s="1042"/>
      <c r="C206" s="1036"/>
      <c r="D206" s="494"/>
      <c r="E206" s="1036"/>
      <c r="F206" s="1036"/>
      <c r="G206" s="1036"/>
      <c r="H206" s="1036"/>
      <c r="I206" s="1035"/>
      <c r="J206" s="1038"/>
      <c r="K206" s="462"/>
      <c r="L206" s="462"/>
      <c r="M206" s="498"/>
      <c r="N206" s="359"/>
      <c r="O206" s="363"/>
      <c r="P206" s="363"/>
      <c r="Q206" s="363"/>
      <c r="R206" s="363"/>
      <c r="S206" s="355"/>
      <c r="T206" s="363"/>
      <c r="U206" s="363"/>
      <c r="V206" s="377"/>
      <c r="W206" s="1093"/>
      <c r="X206" s="1116"/>
      <c r="Y206" s="1125"/>
      <c r="Z206" s="363"/>
      <c r="AA206" s="363"/>
      <c r="AB206" s="377"/>
      <c r="AC206" s="1093"/>
      <c r="AD206" s="1116"/>
      <c r="AE206" s="1125"/>
      <c r="AF206" s="363"/>
      <c r="AG206" s="363"/>
      <c r="AH206" s="363"/>
      <c r="AI206" s="358"/>
      <c r="AJ206" s="363"/>
      <c r="AK206" s="440"/>
      <c r="AM206" s="460">
        <v>206</v>
      </c>
      <c r="AN206" s="1078"/>
    </row>
    <row r="207" spans="1:54" ht="12" customHeight="1" x14ac:dyDescent="0.2">
      <c r="A207" s="440"/>
      <c r="B207" s="1043"/>
      <c r="C207" s="380"/>
      <c r="D207" s="380"/>
      <c r="E207" s="1084" t="str">
        <f ca="1">IF(AX207="E","",AN207)</f>
        <v>Elektroaussbau</v>
      </c>
      <c r="F207" s="1085"/>
      <c r="G207" s="1264"/>
      <c r="H207" s="1264"/>
      <c r="I207" s="1265"/>
      <c r="J207" s="559"/>
      <c r="K207" s="463"/>
      <c r="L207" s="463"/>
      <c r="M207" s="339"/>
      <c r="N207" s="361"/>
      <c r="O207" s="339"/>
      <c r="P207" s="365"/>
      <c r="Q207" s="344"/>
      <c r="R207" s="522" t="s">
        <v>363</v>
      </c>
      <c r="S207" s="353">
        <f t="shared" ref="S207:S211" ca="1" si="375">IF(AY207="E",(M207*O207)+Q207,AO207)</f>
        <v>158175.552</v>
      </c>
      <c r="T207" s="523"/>
      <c r="U207" s="350"/>
      <c r="V207" s="308"/>
      <c r="W207" s="1090" t="str">
        <f t="shared" ref="W207:W211" ca="1" si="376">IF(AZ207="E",IF(AND(V207&lt;&gt;0,U207&lt;&gt;0),"X",IF(AND(V207&lt;&gt;0,U207=0),"A",IF(AND(V207=0,U207&lt;&gt;0),"P",""))),AR207)</f>
        <v/>
      </c>
      <c r="X207" s="1103">
        <f t="shared" ref="X207:X211" ca="1" si="377">IF(AZ207="E",IFERROR(IF(W207="X",0,IF(U207&gt;0,U207,V207/S207)),0),
IFERROR(IF(OR(AR207="X",AR207=0),0,
IF(AR207="P",AP207,IF(AR207="A",AQ207/S207,0))),0))</f>
        <v>0</v>
      </c>
      <c r="Y207" s="1120">
        <f t="shared" ref="Y207:Y211" ca="1" si="378">IF(AZ207="E",IFERROR(IF(W207="X",0,IF(V207&gt;0,V207,S207*U207)),0),
IFERROR(IF(OR(AR207="X",AR207="0"),0,IF(AR207="A",AQ207,S207*AP207)),0))</f>
        <v>0</v>
      </c>
      <c r="Z207" s="524"/>
      <c r="AA207" s="350"/>
      <c r="AB207" s="308"/>
      <c r="AC207" s="1090" t="str">
        <f t="shared" ref="AC207:AC211" ca="1" si="379">IF(BA207="E",IF(AND(AB207&lt;&gt;0,AA207&lt;&gt;0),"X",IF(AND(AB207&lt;&gt;0,AA207=0),"A",IF(AND(AB207=0,AA207&lt;&gt;0),"P",""))),AU207)</f>
        <v/>
      </c>
      <c r="AD207" s="1103">
        <f t="shared" ref="AD207:AD211" ca="1" si="380">IF(BA207="E",IFERROR(IF(AC207="X",0,IF(AA207&gt;0,AA207,AB207/S207)),0),
IFERROR(IF(OR(AU207="X",AU207=0),0,
IF(AU207="P",AS207,IF(AU207="A",AT207/S207,0))),0))</f>
        <v>0</v>
      </c>
      <c r="AE207" s="1120">
        <f t="shared" ref="AE207:AE211" ca="1" si="381">IF(BA207="E",IFERROR(IF(AC207="X",0,IF(AB207&gt;0,AB207,S207*AA207)),0),
IFERROR(IF(OR(AU207="X",AU207=0),0,
IF(AU207="A",AT207,S207*AS207)),0))</f>
        <v>0</v>
      </c>
      <c r="AF207" s="525"/>
      <c r="AG207" s="637"/>
      <c r="AH207" s="525"/>
      <c r="AI207" s="1086">
        <f t="shared" ref="AI207:AI211" ca="1" si="382">IF(BB207="E",AG207,AV207)</f>
        <v>50</v>
      </c>
      <c r="AJ207" s="380"/>
      <c r="AK207" s="440"/>
      <c r="AM207" s="460">
        <v>207</v>
      </c>
      <c r="AN207" s="1087" t="str">
        <f t="shared" ref="AN207:AN211" ca="1" si="383">IF($M$13=$AN$12,"",IF(ISTEXT(INDIRECT("'"&amp;$AM$20&amp;"'!"&amp;AN$21&amp;$AM207)),INDIRECT("'"&amp;$AM$20&amp;"'!"&amp;AN$21&amp;$AM207),INDIRECT("'"&amp;$AM$20&amp;"'!"&amp;AN$22&amp;$AM207)))</f>
        <v>Elektroaussbau</v>
      </c>
      <c r="AO207" s="1083">
        <f t="shared" ref="AO207:AV211" ca="1" si="384">IF($M$13=$AN$12,"",INDIRECT("'"&amp;$AM$20&amp;"'!"&amp;AO$21&amp;$AM207))</f>
        <v>158175.552</v>
      </c>
      <c r="AP207" s="356">
        <f t="shared" ca="1" si="384"/>
        <v>0</v>
      </c>
      <c r="AQ207" s="357">
        <f t="shared" ca="1" si="384"/>
        <v>0</v>
      </c>
      <c r="AR207" s="524" t="str">
        <f t="shared" ca="1" si="384"/>
        <v/>
      </c>
      <c r="AS207" s="356">
        <f t="shared" ca="1" si="384"/>
        <v>0</v>
      </c>
      <c r="AT207" s="357">
        <f t="shared" ca="1" si="384"/>
        <v>0</v>
      </c>
      <c r="AU207" s="524" t="str">
        <f t="shared" ca="1" si="384"/>
        <v/>
      </c>
      <c r="AV207" s="1083">
        <f t="shared" ca="1" si="384"/>
        <v>50</v>
      </c>
      <c r="AX207" s="1083" t="str">
        <f t="shared" ref="AX207:AX211" si="385">IF($M$13=$AN$12,"E",IF(ISTEXT(F207),"E","U"))</f>
        <v>U</v>
      </c>
      <c r="AY207" s="1083" t="str">
        <f t="shared" ref="AY207:AY211" si="386">IF($M$13=$AN$12,"E",IF(OR(ISNUMBER(M207),ISNUMBER(O207),ISNUMBER(Q207)),"E","U"))</f>
        <v>U</v>
      </c>
      <c r="AZ207" s="1083" t="str">
        <f t="shared" ref="AZ207:AZ211" si="387">IF($M$13=$AN$12,"E",IF(OR(ISNUMBER(U207),ISNUMBER(V207)),"E","U"))</f>
        <v>U</v>
      </c>
      <c r="BA207" s="1083" t="str">
        <f t="shared" ref="BA207:BA211" si="388">IF($M$13=$AN$12,"E",IF(OR(ISNUMBER(AA207),ISNUMBER(AB207)),"E","U"))</f>
        <v>U</v>
      </c>
      <c r="BB207" s="1083" t="str">
        <f t="shared" ref="BB207:BB211" si="389">IF($M$13=$AN$12,"E",IF(ISNUMBER(AG207),"E","U"))</f>
        <v>U</v>
      </c>
    </row>
    <row r="208" spans="1:54" ht="12" customHeight="1" x14ac:dyDescent="0.2">
      <c r="A208" s="440"/>
      <c r="B208" s="1043"/>
      <c r="C208" s="380"/>
      <c r="D208" s="380"/>
      <c r="E208" s="1084">
        <f ca="1">IF(AX208="E","",AN208)</f>
        <v>0</v>
      </c>
      <c r="F208" s="1085"/>
      <c r="G208" s="1264"/>
      <c r="H208" s="1264"/>
      <c r="I208" s="1265"/>
      <c r="J208" s="559"/>
      <c r="K208" s="463"/>
      <c r="L208" s="463"/>
      <c r="M208" s="339"/>
      <c r="N208" s="361"/>
      <c r="O208" s="339"/>
      <c r="P208" s="365"/>
      <c r="Q208" s="344"/>
      <c r="R208" s="522" t="s">
        <v>363</v>
      </c>
      <c r="S208" s="353">
        <f t="shared" ca="1" si="375"/>
        <v>0</v>
      </c>
      <c r="T208" s="523"/>
      <c r="U208" s="350"/>
      <c r="V208" s="308"/>
      <c r="W208" s="1090" t="str">
        <f t="shared" ca="1" si="376"/>
        <v/>
      </c>
      <c r="X208" s="1103">
        <f t="shared" ca="1" si="377"/>
        <v>0</v>
      </c>
      <c r="Y208" s="1120">
        <f t="shared" ca="1" si="378"/>
        <v>0</v>
      </c>
      <c r="Z208" s="524"/>
      <c r="AA208" s="350"/>
      <c r="AB208" s="308"/>
      <c r="AC208" s="1090" t="str">
        <f t="shared" ca="1" si="379"/>
        <v/>
      </c>
      <c r="AD208" s="1103">
        <f t="shared" ca="1" si="380"/>
        <v>0</v>
      </c>
      <c r="AE208" s="1120">
        <f t="shared" ca="1" si="381"/>
        <v>0</v>
      </c>
      <c r="AF208" s="525"/>
      <c r="AG208" s="637"/>
      <c r="AH208" s="525"/>
      <c r="AI208" s="1086">
        <f t="shared" ca="1" si="382"/>
        <v>0</v>
      </c>
      <c r="AJ208" s="380"/>
      <c r="AK208" s="440"/>
      <c r="AM208" s="460">
        <v>208</v>
      </c>
      <c r="AN208" s="1087">
        <f t="shared" ca="1" si="383"/>
        <v>0</v>
      </c>
      <c r="AO208" s="1083">
        <f t="shared" ca="1" si="384"/>
        <v>0</v>
      </c>
      <c r="AP208" s="356">
        <f t="shared" ca="1" si="384"/>
        <v>0</v>
      </c>
      <c r="AQ208" s="357">
        <f t="shared" ca="1" si="384"/>
        <v>0</v>
      </c>
      <c r="AR208" s="524" t="str">
        <f t="shared" ca="1" si="384"/>
        <v/>
      </c>
      <c r="AS208" s="356">
        <f t="shared" ca="1" si="384"/>
        <v>0</v>
      </c>
      <c r="AT208" s="357">
        <f t="shared" ca="1" si="384"/>
        <v>0</v>
      </c>
      <c r="AU208" s="524" t="str">
        <f t="shared" ca="1" si="384"/>
        <v/>
      </c>
      <c r="AV208" s="1083">
        <f t="shared" ca="1" si="384"/>
        <v>0</v>
      </c>
      <c r="AX208" s="1083" t="str">
        <f t="shared" si="385"/>
        <v>U</v>
      </c>
      <c r="AY208" s="1083" t="str">
        <f t="shared" si="386"/>
        <v>U</v>
      </c>
      <c r="AZ208" s="1083" t="str">
        <f t="shared" si="387"/>
        <v>U</v>
      </c>
      <c r="BA208" s="1083" t="str">
        <f t="shared" si="388"/>
        <v>U</v>
      </c>
      <c r="BB208" s="1083" t="str">
        <f t="shared" si="389"/>
        <v>U</v>
      </c>
    </row>
    <row r="209" spans="1:54" ht="12" customHeight="1" x14ac:dyDescent="0.2">
      <c r="A209" s="440"/>
      <c r="B209" s="1043"/>
      <c r="C209" s="380"/>
      <c r="D209" s="380"/>
      <c r="E209" s="1084">
        <f ca="1">IF(AX209="E","",AN209)</f>
        <v>0</v>
      </c>
      <c r="F209" s="1085"/>
      <c r="G209" s="1264"/>
      <c r="H209" s="1264"/>
      <c r="I209" s="1265"/>
      <c r="J209" s="559"/>
      <c r="K209" s="463"/>
      <c r="L209" s="463"/>
      <c r="M209" s="339"/>
      <c r="N209" s="361"/>
      <c r="O209" s="339"/>
      <c r="P209" s="365"/>
      <c r="Q209" s="344"/>
      <c r="R209" s="522" t="s">
        <v>363</v>
      </c>
      <c r="S209" s="353">
        <f t="shared" ca="1" si="375"/>
        <v>0</v>
      </c>
      <c r="T209" s="523"/>
      <c r="U209" s="350"/>
      <c r="V209" s="308"/>
      <c r="W209" s="1090" t="str">
        <f t="shared" ca="1" si="376"/>
        <v/>
      </c>
      <c r="X209" s="1103">
        <f t="shared" ca="1" si="377"/>
        <v>0</v>
      </c>
      <c r="Y209" s="1120">
        <f t="shared" ca="1" si="378"/>
        <v>0</v>
      </c>
      <c r="Z209" s="524"/>
      <c r="AA209" s="350"/>
      <c r="AB209" s="308"/>
      <c r="AC209" s="1090" t="str">
        <f t="shared" ca="1" si="379"/>
        <v/>
      </c>
      <c r="AD209" s="1103">
        <f t="shared" ca="1" si="380"/>
        <v>0</v>
      </c>
      <c r="AE209" s="1120">
        <f t="shared" ca="1" si="381"/>
        <v>0</v>
      </c>
      <c r="AF209" s="525"/>
      <c r="AG209" s="637"/>
      <c r="AH209" s="525"/>
      <c r="AI209" s="1086">
        <f t="shared" ca="1" si="382"/>
        <v>0</v>
      </c>
      <c r="AJ209" s="380"/>
      <c r="AK209" s="440"/>
      <c r="AM209" s="460">
        <v>209</v>
      </c>
      <c r="AN209" s="1087">
        <f t="shared" ca="1" si="383"/>
        <v>0</v>
      </c>
      <c r="AO209" s="1083">
        <f t="shared" ca="1" si="384"/>
        <v>0</v>
      </c>
      <c r="AP209" s="356">
        <f t="shared" ca="1" si="384"/>
        <v>0</v>
      </c>
      <c r="AQ209" s="357">
        <f t="shared" ca="1" si="384"/>
        <v>0</v>
      </c>
      <c r="AR209" s="524" t="str">
        <f t="shared" ca="1" si="384"/>
        <v/>
      </c>
      <c r="AS209" s="356">
        <f t="shared" ca="1" si="384"/>
        <v>0</v>
      </c>
      <c r="AT209" s="357">
        <f t="shared" ca="1" si="384"/>
        <v>0</v>
      </c>
      <c r="AU209" s="524" t="str">
        <f t="shared" ca="1" si="384"/>
        <v/>
      </c>
      <c r="AV209" s="1083">
        <f t="shared" ca="1" si="384"/>
        <v>0</v>
      </c>
      <c r="AX209" s="1083" t="str">
        <f t="shared" si="385"/>
        <v>U</v>
      </c>
      <c r="AY209" s="1083" t="str">
        <f t="shared" si="386"/>
        <v>U</v>
      </c>
      <c r="AZ209" s="1083" t="str">
        <f t="shared" si="387"/>
        <v>U</v>
      </c>
      <c r="BA209" s="1083" t="str">
        <f t="shared" si="388"/>
        <v>U</v>
      </c>
      <c r="BB209" s="1083" t="str">
        <f t="shared" si="389"/>
        <v>U</v>
      </c>
    </row>
    <row r="210" spans="1:54" ht="12" customHeight="1" x14ac:dyDescent="0.2">
      <c r="A210" s="440"/>
      <c r="B210" s="1043"/>
      <c r="C210" s="380"/>
      <c r="D210" s="380"/>
      <c r="E210" s="1084">
        <f ca="1">IF(AX210="E","",AN210)</f>
        <v>0</v>
      </c>
      <c r="F210" s="1085"/>
      <c r="G210" s="1264"/>
      <c r="H210" s="1264"/>
      <c r="I210" s="1265"/>
      <c r="J210" s="559"/>
      <c r="K210" s="463"/>
      <c r="L210" s="463"/>
      <c r="M210" s="339"/>
      <c r="N210" s="361"/>
      <c r="O210" s="339"/>
      <c r="P210" s="365"/>
      <c r="Q210" s="344"/>
      <c r="R210" s="522" t="s">
        <v>363</v>
      </c>
      <c r="S210" s="353">
        <f t="shared" ca="1" si="375"/>
        <v>0</v>
      </c>
      <c r="T210" s="523"/>
      <c r="U210" s="350"/>
      <c r="V210" s="308"/>
      <c r="W210" s="1090" t="str">
        <f t="shared" ca="1" si="376"/>
        <v/>
      </c>
      <c r="X210" s="1103">
        <f t="shared" ca="1" si="377"/>
        <v>0</v>
      </c>
      <c r="Y210" s="1120">
        <f t="shared" ca="1" si="378"/>
        <v>0</v>
      </c>
      <c r="Z210" s="524"/>
      <c r="AA210" s="350"/>
      <c r="AB210" s="308"/>
      <c r="AC210" s="1090" t="str">
        <f t="shared" ca="1" si="379"/>
        <v/>
      </c>
      <c r="AD210" s="1103">
        <f t="shared" ca="1" si="380"/>
        <v>0</v>
      </c>
      <c r="AE210" s="1120">
        <f t="shared" ca="1" si="381"/>
        <v>0</v>
      </c>
      <c r="AF210" s="525"/>
      <c r="AG210" s="637"/>
      <c r="AH210" s="525"/>
      <c r="AI210" s="1086">
        <f t="shared" ca="1" si="382"/>
        <v>0</v>
      </c>
      <c r="AJ210" s="380"/>
      <c r="AK210" s="440"/>
      <c r="AM210" s="460">
        <v>210</v>
      </c>
      <c r="AN210" s="1087">
        <f t="shared" ca="1" si="383"/>
        <v>0</v>
      </c>
      <c r="AO210" s="1083">
        <f t="shared" ca="1" si="384"/>
        <v>0</v>
      </c>
      <c r="AP210" s="356">
        <f t="shared" ca="1" si="384"/>
        <v>0</v>
      </c>
      <c r="AQ210" s="357">
        <f t="shared" ca="1" si="384"/>
        <v>0</v>
      </c>
      <c r="AR210" s="524" t="str">
        <f t="shared" ca="1" si="384"/>
        <v/>
      </c>
      <c r="AS210" s="356">
        <f t="shared" ca="1" si="384"/>
        <v>0</v>
      </c>
      <c r="AT210" s="357">
        <f t="shared" ca="1" si="384"/>
        <v>0</v>
      </c>
      <c r="AU210" s="524" t="str">
        <f t="shared" ca="1" si="384"/>
        <v/>
      </c>
      <c r="AV210" s="1083">
        <f t="shared" ca="1" si="384"/>
        <v>0</v>
      </c>
      <c r="AX210" s="1083" t="str">
        <f t="shared" si="385"/>
        <v>U</v>
      </c>
      <c r="AY210" s="1083" t="str">
        <f t="shared" si="386"/>
        <v>U</v>
      </c>
      <c r="AZ210" s="1083" t="str">
        <f t="shared" si="387"/>
        <v>U</v>
      </c>
      <c r="BA210" s="1083" t="str">
        <f t="shared" si="388"/>
        <v>U</v>
      </c>
      <c r="BB210" s="1083" t="str">
        <f t="shared" si="389"/>
        <v>U</v>
      </c>
    </row>
    <row r="211" spans="1:54" ht="12" customHeight="1" x14ac:dyDescent="0.2">
      <c r="A211" s="440"/>
      <c r="B211" s="1043"/>
      <c r="C211" s="380"/>
      <c r="D211" s="380"/>
      <c r="E211" s="1084">
        <f ca="1">IF(AX211="E","",AN211)</f>
        <v>0</v>
      </c>
      <c r="F211" s="1085"/>
      <c r="G211" s="1264"/>
      <c r="H211" s="1264"/>
      <c r="I211" s="1265"/>
      <c r="J211" s="559"/>
      <c r="K211" s="463"/>
      <c r="L211" s="463"/>
      <c r="M211" s="339"/>
      <c r="N211" s="361"/>
      <c r="O211" s="339"/>
      <c r="P211" s="365"/>
      <c r="Q211" s="344"/>
      <c r="R211" s="522" t="s">
        <v>363</v>
      </c>
      <c r="S211" s="353">
        <f t="shared" ca="1" si="375"/>
        <v>0</v>
      </c>
      <c r="T211" s="523"/>
      <c r="U211" s="350"/>
      <c r="V211" s="308"/>
      <c r="W211" s="1090" t="str">
        <f t="shared" ca="1" si="376"/>
        <v/>
      </c>
      <c r="X211" s="1103">
        <f t="shared" ca="1" si="377"/>
        <v>0</v>
      </c>
      <c r="Y211" s="1120">
        <f t="shared" ca="1" si="378"/>
        <v>0</v>
      </c>
      <c r="Z211" s="524"/>
      <c r="AA211" s="350"/>
      <c r="AB211" s="308"/>
      <c r="AC211" s="1090" t="str">
        <f t="shared" ca="1" si="379"/>
        <v/>
      </c>
      <c r="AD211" s="1103">
        <f t="shared" ca="1" si="380"/>
        <v>0</v>
      </c>
      <c r="AE211" s="1120">
        <f t="shared" ca="1" si="381"/>
        <v>0</v>
      </c>
      <c r="AF211" s="525"/>
      <c r="AG211" s="637"/>
      <c r="AH211" s="525"/>
      <c r="AI211" s="1086">
        <f t="shared" ca="1" si="382"/>
        <v>0</v>
      </c>
      <c r="AJ211" s="380"/>
      <c r="AK211" s="440"/>
      <c r="AM211" s="460">
        <v>211</v>
      </c>
      <c r="AN211" s="1087">
        <f t="shared" ca="1" si="383"/>
        <v>0</v>
      </c>
      <c r="AO211" s="1083">
        <f t="shared" ca="1" si="384"/>
        <v>0</v>
      </c>
      <c r="AP211" s="356">
        <f t="shared" ca="1" si="384"/>
        <v>0</v>
      </c>
      <c r="AQ211" s="357">
        <f t="shared" ca="1" si="384"/>
        <v>0</v>
      </c>
      <c r="AR211" s="524" t="str">
        <f t="shared" ca="1" si="384"/>
        <v/>
      </c>
      <c r="AS211" s="356">
        <f t="shared" ca="1" si="384"/>
        <v>0</v>
      </c>
      <c r="AT211" s="357">
        <f t="shared" ca="1" si="384"/>
        <v>0</v>
      </c>
      <c r="AU211" s="524" t="str">
        <f t="shared" ca="1" si="384"/>
        <v/>
      </c>
      <c r="AV211" s="1083">
        <f t="shared" ca="1" si="384"/>
        <v>0</v>
      </c>
      <c r="AX211" s="1083" t="str">
        <f t="shared" si="385"/>
        <v>U</v>
      </c>
      <c r="AY211" s="1083" t="str">
        <f t="shared" si="386"/>
        <v>U</v>
      </c>
      <c r="AZ211" s="1083" t="str">
        <f t="shared" si="387"/>
        <v>U</v>
      </c>
      <c r="BA211" s="1083" t="str">
        <f t="shared" si="388"/>
        <v>U</v>
      </c>
      <c r="BB211" s="1083" t="str">
        <f t="shared" si="389"/>
        <v>U</v>
      </c>
    </row>
    <row r="212" spans="1:54" ht="12" customHeight="1" collapsed="1" x14ac:dyDescent="0.2">
      <c r="A212" s="440"/>
      <c r="B212" s="324"/>
      <c r="C212" s="378"/>
      <c r="D212" s="378"/>
      <c r="E212" s="378"/>
      <c r="F212" s="378"/>
      <c r="G212" s="378"/>
      <c r="H212" s="378"/>
      <c r="I212" s="378"/>
      <c r="J212" s="378"/>
      <c r="K212" s="378"/>
      <c r="L212" s="378"/>
      <c r="M212" s="560"/>
      <c r="N212" s="561"/>
      <c r="O212" s="378"/>
      <c r="P212" s="378"/>
      <c r="Q212" s="378"/>
      <c r="R212" s="378"/>
      <c r="S212" s="378"/>
      <c r="T212" s="378"/>
      <c r="U212" s="378"/>
      <c r="V212" s="378"/>
      <c r="W212" s="1098"/>
      <c r="X212" s="1117"/>
      <c r="Y212" s="1117"/>
      <c r="Z212" s="378"/>
      <c r="AA212" s="378"/>
      <c r="AB212" s="378"/>
      <c r="AC212" s="1098"/>
      <c r="AD212" s="1117"/>
      <c r="AE212" s="1117"/>
      <c r="AF212" s="378"/>
      <c r="AG212" s="378"/>
      <c r="AH212" s="378"/>
      <c r="AI212" s="562"/>
      <c r="AJ212" s="378"/>
      <c r="AK212" s="440"/>
      <c r="AM212" s="460">
        <v>212</v>
      </c>
      <c r="AN212" s="1078"/>
    </row>
    <row r="213" spans="1:54" ht="12" customHeight="1" x14ac:dyDescent="0.2">
      <c r="A213" s="440"/>
      <c r="B213" s="320"/>
      <c r="C213" s="1036"/>
      <c r="D213" s="1036"/>
      <c r="E213" s="1036"/>
      <c r="F213" s="1036"/>
      <c r="G213" s="1036"/>
      <c r="H213" s="1036"/>
      <c r="I213" s="1036"/>
      <c r="J213" s="1036"/>
      <c r="K213" s="503"/>
      <c r="L213" s="503"/>
      <c r="M213" s="549"/>
      <c r="N213" s="1033"/>
      <c r="O213" s="379"/>
      <c r="P213" s="379"/>
      <c r="Q213" s="379"/>
      <c r="R213" s="379"/>
      <c r="S213" s="379"/>
      <c r="T213" s="379"/>
      <c r="U213" s="379"/>
      <c r="V213" s="379"/>
      <c r="W213" s="1099"/>
      <c r="X213" s="1118"/>
      <c r="Y213" s="1118"/>
      <c r="Z213" s="379"/>
      <c r="AA213" s="379"/>
      <c r="AB213" s="379"/>
      <c r="AC213" s="1099"/>
      <c r="AD213" s="1118"/>
      <c r="AE213" s="1118"/>
      <c r="AF213" s="379"/>
      <c r="AG213" s="379"/>
      <c r="AH213" s="379"/>
      <c r="AI213" s="481"/>
      <c r="AJ213" s="379"/>
      <c r="AK213" s="440"/>
      <c r="AM213" s="460">
        <v>213</v>
      </c>
      <c r="AN213" s="1078"/>
    </row>
    <row r="214" spans="1:54" ht="12" customHeight="1" x14ac:dyDescent="0.2">
      <c r="A214" s="440"/>
      <c r="B214" s="320"/>
      <c r="C214" s="1036"/>
      <c r="D214" s="1036"/>
      <c r="E214" s="1036"/>
      <c r="F214" s="1036"/>
      <c r="G214" s="1036"/>
      <c r="H214" s="1036"/>
      <c r="I214" s="1036"/>
      <c r="J214" s="1036"/>
      <c r="K214" s="503"/>
      <c r="L214" s="503"/>
      <c r="M214" s="498"/>
      <c r="N214" s="503"/>
      <c r="O214" s="1036"/>
      <c r="P214" s="1036"/>
      <c r="Q214" s="1036"/>
      <c r="R214" s="1036"/>
      <c r="S214" s="372"/>
      <c r="T214" s="372"/>
      <c r="U214" s="372"/>
      <c r="V214" s="372"/>
      <c r="W214" s="1096"/>
      <c r="X214" s="1110"/>
      <c r="Y214" s="1110"/>
      <c r="Z214" s="372"/>
      <c r="AA214" s="372"/>
      <c r="AB214" s="372"/>
      <c r="AC214" s="1096"/>
      <c r="AD214" s="1110"/>
      <c r="AE214" s="1110"/>
      <c r="AF214" s="372"/>
      <c r="AG214" s="372"/>
      <c r="AH214" s="372"/>
      <c r="AI214" s="482"/>
      <c r="AJ214" s="372"/>
      <c r="AK214" s="440"/>
      <c r="AM214" s="460">
        <v>214</v>
      </c>
      <c r="AN214" s="1078"/>
    </row>
    <row r="215" spans="1:54" ht="12" customHeight="1" x14ac:dyDescent="0.25">
      <c r="A215" s="440"/>
      <c r="B215" s="499">
        <v>6</v>
      </c>
      <c r="C215" s="495"/>
      <c r="D215" s="495"/>
      <c r="E215" s="1606" t="s">
        <v>10</v>
      </c>
      <c r="F215" s="1606"/>
      <c r="G215" s="1606"/>
      <c r="H215" s="1606"/>
      <c r="I215" s="1605"/>
      <c r="J215" s="1038"/>
      <c r="K215" s="502"/>
      <c r="L215" s="502"/>
      <c r="M215" s="498"/>
      <c r="N215" s="503"/>
      <c r="O215" s="1036"/>
      <c r="P215" s="1036"/>
      <c r="Q215" s="1036"/>
      <c r="R215" s="1036"/>
      <c r="S215" s="385">
        <f ca="1">SUBTOTAL(109,S216)</f>
        <v>0</v>
      </c>
      <c r="T215" s="372"/>
      <c r="U215" s="372"/>
      <c r="V215" s="372"/>
      <c r="W215" s="1096"/>
      <c r="X215" s="1110"/>
      <c r="Y215" s="1110"/>
      <c r="Z215" s="372"/>
      <c r="AA215" s="372"/>
      <c r="AB215" s="372"/>
      <c r="AC215" s="1096"/>
      <c r="AD215" s="1110"/>
      <c r="AE215" s="1110"/>
      <c r="AF215" s="372"/>
      <c r="AG215" s="372"/>
      <c r="AH215" s="372"/>
      <c r="AI215" s="482"/>
      <c r="AJ215" s="372"/>
      <c r="AK215" s="440"/>
      <c r="AM215" s="460">
        <v>215</v>
      </c>
      <c r="AN215" s="1078"/>
    </row>
    <row r="216" spans="1:54" ht="12" customHeight="1" x14ac:dyDescent="0.25">
      <c r="A216" s="440"/>
      <c r="B216" s="499"/>
      <c r="C216" s="495"/>
      <c r="D216" s="495"/>
      <c r="E216" s="1034"/>
      <c r="F216" s="1034"/>
      <c r="G216" s="1034"/>
      <c r="H216" s="1034"/>
      <c r="I216" s="1038"/>
      <c r="J216" s="1038"/>
      <c r="K216" s="502"/>
      <c r="L216" s="502"/>
      <c r="M216" s="339"/>
      <c r="N216" s="361"/>
      <c r="O216" s="339"/>
      <c r="P216" s="365"/>
      <c r="Q216" s="344"/>
      <c r="R216" s="522" t="s">
        <v>363</v>
      </c>
      <c r="S216" s="353">
        <f ca="1">IF(AY216="E",(M216*O216)+Q216,AO216)</f>
        <v>0</v>
      </c>
      <c r="T216" s="523"/>
      <c r="U216" s="350"/>
      <c r="V216" s="308"/>
      <c r="W216" s="1090" t="str">
        <f ca="1">IF(AZ216="E",IF(AND(V216&lt;&gt;0,U216&lt;&gt;0),"X",IF(AND(V216&lt;&gt;0,U216=0),"A",IF(AND(V216=0,U216&lt;&gt;0),"P",""))),AR216)</f>
        <v/>
      </c>
      <c r="X216" s="1103">
        <f ca="1">IF(AZ216="E",IFERROR(IF(W216="X",0,IF(U216&gt;0,U216,V216/S216)),0),
IFERROR(IF(OR(AR216="X",AR216=0),0,
IF(AR216="P",AP216,IF(AR216="A",AQ216/S216,0))),0))</f>
        <v>0</v>
      </c>
      <c r="Y216" s="1120">
        <f ca="1">IF(AZ216="E",IFERROR(IF(W216="X",0,IF(V216&gt;0,V216,S216*U216)),0),
IFERROR(IF(OR(AR216="X",AR216="0"),0,IF(AR216="A",AQ216,S216*AP216)),0))</f>
        <v>0</v>
      </c>
      <c r="Z216" s="524"/>
      <c r="AA216" s="350"/>
      <c r="AB216" s="308"/>
      <c r="AC216" s="1090" t="str">
        <f ca="1">IF(BA216="E",IF(AND(AB216&lt;&gt;0,AA216&lt;&gt;0),"X",IF(AND(AB216&lt;&gt;0,AA216=0),"A",IF(AND(AB216=0,AA216&lt;&gt;0),"P",""))),AU216)</f>
        <v/>
      </c>
      <c r="AD216" s="1103">
        <f ca="1">IF(BA216="E",IFERROR(IF(AC216="X",0,IF(AA216&gt;0,AA216,AB216/S216)),0),
IFERROR(IF(OR(AU216="X",AU216=0),0,
IF(AU216="P",AS216,IF(AU216="A",AT216/S216,0))),0))</f>
        <v>0</v>
      </c>
      <c r="AE216" s="1120">
        <f ca="1">IF(BA216="E",IFERROR(IF(AC216="X",0,IF(AB216&gt;0,AB216,S216*AA216)),0),
IFERROR(IF(OR(AU216="X",AU216=0),0,
IF(AU216="A",AT216,S216*AS216)),0))</f>
        <v>0</v>
      </c>
      <c r="AF216" s="525"/>
      <c r="AG216" s="637"/>
      <c r="AH216" s="525"/>
      <c r="AI216" s="1086">
        <f ca="1">IF(BB216="E",AG216,AV216)</f>
        <v>0</v>
      </c>
      <c r="AJ216" s="380"/>
      <c r="AK216" s="440"/>
      <c r="AM216" s="460">
        <v>216</v>
      </c>
      <c r="AN216" s="1078"/>
      <c r="AO216" s="1083">
        <f t="shared" ref="AO216:AV216" ca="1" si="390">IF($M$13=$AN$12,"",INDIRECT("'"&amp;$AM$20&amp;"'!"&amp;AO$21&amp;$AM216))</f>
        <v>0</v>
      </c>
      <c r="AP216" s="356">
        <f t="shared" ca="1" si="390"/>
        <v>0</v>
      </c>
      <c r="AQ216" s="357">
        <f t="shared" ca="1" si="390"/>
        <v>0</v>
      </c>
      <c r="AR216" s="524" t="str">
        <f t="shared" ca="1" si="390"/>
        <v/>
      </c>
      <c r="AS216" s="356">
        <f t="shared" ca="1" si="390"/>
        <v>0</v>
      </c>
      <c r="AT216" s="357">
        <f t="shared" ca="1" si="390"/>
        <v>0</v>
      </c>
      <c r="AU216" s="524" t="str">
        <f t="shared" ca="1" si="390"/>
        <v/>
      </c>
      <c r="AV216" s="1083">
        <f t="shared" ca="1" si="390"/>
        <v>0</v>
      </c>
      <c r="AX216" s="1083" t="str">
        <f t="shared" ref="AX216" si="391">IF($M$13=$AN$12,"E",IF(ISTEXT(F216),"E","U"))</f>
        <v>U</v>
      </c>
      <c r="AY216" s="1083" t="str">
        <f t="shared" ref="AY216" si="392">IF($M$13=$AN$12,"E",IF(OR(ISNUMBER(M216),ISNUMBER(O216),ISNUMBER(Q216)),"E","U"))</f>
        <v>U</v>
      </c>
      <c r="AZ216" s="1083" t="str">
        <f t="shared" ref="AZ216" si="393">IF($M$13=$AN$12,"E",IF(OR(ISNUMBER(U216),ISNUMBER(V216)),"E","U"))</f>
        <v>U</v>
      </c>
      <c r="BA216" s="1083" t="str">
        <f t="shared" ref="BA216" si="394">IF($M$13=$AN$12,"E",IF(OR(ISNUMBER(AA216),ISNUMBER(AB216)),"E","U"))</f>
        <v>U</v>
      </c>
      <c r="BB216" s="1083" t="str">
        <f t="shared" ref="BB216" si="395">IF($M$13=$AN$12,"E",IF(ISNUMBER(AG216),"E","U"))</f>
        <v>U</v>
      </c>
    </row>
    <row r="217" spans="1:54" ht="12" customHeight="1" x14ac:dyDescent="0.25">
      <c r="A217" s="440"/>
      <c r="B217" s="505"/>
      <c r="C217" s="563"/>
      <c r="D217" s="563"/>
      <c r="E217" s="506"/>
      <c r="F217" s="506"/>
      <c r="G217" s="506"/>
      <c r="H217" s="506"/>
      <c r="I217" s="507"/>
      <c r="J217" s="507"/>
      <c r="K217" s="508"/>
      <c r="L217" s="508"/>
      <c r="M217" s="564"/>
      <c r="N217" s="517"/>
      <c r="O217" s="371"/>
      <c r="P217" s="371"/>
      <c r="Q217" s="371"/>
      <c r="R217" s="371"/>
      <c r="S217" s="371"/>
      <c r="T217" s="371"/>
      <c r="U217" s="371"/>
      <c r="V217" s="371"/>
      <c r="W217" s="1100"/>
      <c r="X217" s="1108"/>
      <c r="Y217" s="1108"/>
      <c r="Z217" s="371"/>
      <c r="AA217" s="371"/>
      <c r="AB217" s="371"/>
      <c r="AC217" s="1100"/>
      <c r="AD217" s="1108"/>
      <c r="AE217" s="1108"/>
      <c r="AF217" s="371"/>
      <c r="AG217" s="371"/>
      <c r="AH217" s="371"/>
      <c r="AI217" s="565"/>
      <c r="AJ217" s="371"/>
      <c r="AK217" s="440"/>
      <c r="AM217" s="460">
        <v>217</v>
      </c>
      <c r="AN217" s="1078"/>
    </row>
    <row r="218" spans="1:54" ht="12" customHeight="1" x14ac:dyDescent="0.2">
      <c r="A218" s="440"/>
      <c r="B218" s="320"/>
      <c r="C218" s="1036"/>
      <c r="D218" s="1036"/>
      <c r="E218" s="1036"/>
      <c r="F218" s="1036"/>
      <c r="G218" s="1036"/>
      <c r="H218" s="1036"/>
      <c r="I218" s="380"/>
      <c r="J218" s="380"/>
      <c r="K218" s="463"/>
      <c r="L218" s="463"/>
      <c r="M218" s="549"/>
      <c r="N218" s="1033"/>
      <c r="O218" s="379"/>
      <c r="P218" s="379"/>
      <c r="Q218" s="379"/>
      <c r="R218" s="379"/>
      <c r="S218" s="379"/>
      <c r="T218" s="379"/>
      <c r="U218" s="379"/>
      <c r="V218" s="379"/>
      <c r="W218" s="1099"/>
      <c r="X218" s="1118"/>
      <c r="Y218" s="1118"/>
      <c r="Z218" s="379"/>
      <c r="AA218" s="379"/>
      <c r="AB218" s="379"/>
      <c r="AC218" s="1099"/>
      <c r="AD218" s="1118"/>
      <c r="AE218" s="1118"/>
      <c r="AF218" s="379"/>
      <c r="AG218" s="379"/>
      <c r="AH218" s="379"/>
      <c r="AI218" s="481"/>
      <c r="AJ218" s="379"/>
      <c r="AK218" s="440"/>
      <c r="AM218" s="460">
        <v>218</v>
      </c>
      <c r="AN218" s="1078"/>
    </row>
    <row r="219" spans="1:54" ht="12" customHeight="1" x14ac:dyDescent="0.2">
      <c r="A219" s="440"/>
      <c r="B219" s="320"/>
      <c r="C219" s="1036"/>
      <c r="D219" s="1036"/>
      <c r="E219" s="1036"/>
      <c r="F219" s="1036"/>
      <c r="G219" s="1036"/>
      <c r="H219" s="1036"/>
      <c r="I219" s="380"/>
      <c r="J219" s="380"/>
      <c r="K219" s="463"/>
      <c r="L219" s="463"/>
      <c r="M219" s="498"/>
      <c r="N219" s="503"/>
      <c r="O219" s="1036"/>
      <c r="P219" s="1036"/>
      <c r="Q219" s="1036"/>
      <c r="R219" s="1036"/>
      <c r="S219" s="372"/>
      <c r="T219" s="372"/>
      <c r="U219" s="372"/>
      <c r="V219" s="372"/>
      <c r="W219" s="1096"/>
      <c r="X219" s="1110"/>
      <c r="Y219" s="1110"/>
      <c r="Z219" s="372"/>
      <c r="AA219" s="372"/>
      <c r="AB219" s="372"/>
      <c r="AC219" s="1096"/>
      <c r="AD219" s="1110"/>
      <c r="AE219" s="1110"/>
      <c r="AF219" s="372"/>
      <c r="AG219" s="372"/>
      <c r="AH219" s="372"/>
      <c r="AI219" s="482"/>
      <c r="AJ219" s="372"/>
      <c r="AK219" s="440"/>
      <c r="AM219" s="460">
        <v>219</v>
      </c>
      <c r="AN219" s="1078"/>
    </row>
    <row r="220" spans="1:54" ht="12" customHeight="1" x14ac:dyDescent="0.25">
      <c r="A220" s="440"/>
      <c r="B220" s="499">
        <v>7</v>
      </c>
      <c r="C220" s="494"/>
      <c r="D220" s="495"/>
      <c r="E220" s="1606" t="s">
        <v>9</v>
      </c>
      <c r="F220" s="1606"/>
      <c r="G220" s="1606"/>
      <c r="H220" s="1606"/>
      <c r="I220" s="1597"/>
      <c r="J220" s="1038"/>
      <c r="K220" s="462"/>
      <c r="L220" s="462"/>
      <c r="M220" s="363"/>
      <c r="N220" s="363"/>
      <c r="O220" s="363"/>
      <c r="P220" s="363"/>
      <c r="Q220" s="363"/>
      <c r="R220" s="363"/>
      <c r="S220" s="385">
        <f ca="1">S221</f>
        <v>526746</v>
      </c>
      <c r="T220" s="363"/>
      <c r="U220" s="363"/>
      <c r="V220" s="363"/>
      <c r="W220" s="1093"/>
      <c r="X220" s="1116"/>
      <c r="Y220" s="1116"/>
      <c r="Z220" s="363"/>
      <c r="AA220" s="363"/>
      <c r="AB220" s="363"/>
      <c r="AC220" s="1093"/>
      <c r="AD220" s="1116"/>
      <c r="AE220" s="1116"/>
      <c r="AF220" s="363"/>
      <c r="AG220" s="363"/>
      <c r="AH220" s="363"/>
      <c r="AI220" s="358"/>
      <c r="AJ220" s="363"/>
      <c r="AK220" s="440"/>
      <c r="AM220" s="460">
        <v>220</v>
      </c>
      <c r="AN220" s="1078"/>
    </row>
    <row r="221" spans="1:54" ht="12" customHeight="1" x14ac:dyDescent="0.25">
      <c r="A221" s="440"/>
      <c r="B221" s="499"/>
      <c r="C221" s="494"/>
      <c r="D221" s="495"/>
      <c r="E221" s="1034"/>
      <c r="F221" s="1034"/>
      <c r="G221" s="1034"/>
      <c r="H221" s="1034"/>
      <c r="I221" s="1035"/>
      <c r="J221" s="1038"/>
      <c r="K221" s="462"/>
      <c r="L221" s="462"/>
      <c r="M221" s="363"/>
      <c r="N221" s="363"/>
      <c r="O221" s="363"/>
      <c r="P221" s="363"/>
      <c r="Q221" s="363"/>
      <c r="R221" s="363"/>
      <c r="S221" s="355">
        <f ca="1">SUBTOTAL(109,S222:S227)</f>
        <v>526746</v>
      </c>
      <c r="T221" s="363"/>
      <c r="U221" s="363"/>
      <c r="V221" s="363"/>
      <c r="W221" s="1093"/>
      <c r="X221" s="1116"/>
      <c r="Y221" s="1116"/>
      <c r="Z221" s="363"/>
      <c r="AA221" s="363"/>
      <c r="AB221" s="363"/>
      <c r="AC221" s="1093"/>
      <c r="AD221" s="1116"/>
      <c r="AE221" s="1116"/>
      <c r="AF221" s="363"/>
      <c r="AG221" s="363"/>
      <c r="AH221" s="363"/>
      <c r="AI221" s="358"/>
      <c r="AJ221" s="363"/>
      <c r="AK221" s="440"/>
      <c r="AM221" s="460">
        <v>221</v>
      </c>
      <c r="AN221" s="1078"/>
    </row>
    <row r="222" spans="1:54" ht="12" customHeight="1" x14ac:dyDescent="0.25">
      <c r="A222" s="440"/>
      <c r="B222" s="499"/>
      <c r="C222" s="495"/>
      <c r="D222" s="495"/>
      <c r="E222" s="1084" t="str">
        <f t="shared" ref="E222:E227" ca="1" si="396">IF(AX222="E","",AN222)</f>
        <v>sämtliche Planungs- und Dienstleistungen</v>
      </c>
      <c r="F222" s="1085"/>
      <c r="G222" s="1264"/>
      <c r="H222" s="1264"/>
      <c r="I222" s="1265"/>
      <c r="J222" s="1038"/>
      <c r="K222" s="462"/>
      <c r="L222" s="462"/>
      <c r="M222" s="339"/>
      <c r="N222" s="361"/>
      <c r="O222" s="339"/>
      <c r="P222" s="365"/>
      <c r="Q222" s="344"/>
      <c r="R222" s="522" t="s">
        <v>363</v>
      </c>
      <c r="S222" s="353">
        <f t="shared" ref="S222:S227" ca="1" si="397">IF(AY222="E",(M222*O222)+Q222,AO222)</f>
        <v>526746</v>
      </c>
      <c r="T222" s="363"/>
      <c r="U222" s="363"/>
      <c r="V222" s="363"/>
      <c r="W222" s="1093"/>
      <c r="X222" s="1116"/>
      <c r="Y222" s="1116"/>
      <c r="Z222" s="363"/>
      <c r="AA222" s="363"/>
      <c r="AB222" s="363"/>
      <c r="AC222" s="1093"/>
      <c r="AD222" s="1116"/>
      <c r="AE222" s="1116"/>
      <c r="AF222" s="363"/>
      <c r="AG222" s="363"/>
      <c r="AH222" s="363"/>
      <c r="AI222" s="358"/>
      <c r="AJ222" s="363"/>
      <c r="AK222" s="440"/>
      <c r="AM222" s="460">
        <v>222</v>
      </c>
      <c r="AN222" s="1087" t="str">
        <f t="shared" ref="AN222:AN227" ca="1" si="398">IF($M$13=$AN$12,"",IF(ISTEXT(INDIRECT("'"&amp;$AM$20&amp;"'!"&amp;AN$21&amp;$AM222)),INDIRECT("'"&amp;$AM$20&amp;"'!"&amp;AN$21&amp;$AM222),INDIRECT("'"&amp;$AM$20&amp;"'!"&amp;AN$22&amp;$AM222)))</f>
        <v>sämtliche Planungs- und Dienstleistungen</v>
      </c>
      <c r="AO222" s="1083">
        <f t="shared" ref="AO222:AO227" ca="1" si="399">IF($M$13=$AN$12,"",INDIRECT("'"&amp;$AM$20&amp;"'!"&amp;AO$21&amp;$AM222))</f>
        <v>526746</v>
      </c>
      <c r="AX222" s="1083" t="str">
        <f t="shared" ref="AX222:AX227" si="400">IF($M$13=$AN$12,"E",IF(ISTEXT(F222),"E","U"))</f>
        <v>U</v>
      </c>
      <c r="AY222" s="1083" t="str">
        <f t="shared" ref="AY222:AY227" si="401">IF($M$13=$AN$12,"E",IF(OR(ISNUMBER(M222),ISNUMBER(O222),ISNUMBER(Q222)),"E","U"))</f>
        <v>U</v>
      </c>
    </row>
    <row r="223" spans="1:54" ht="12" customHeight="1" x14ac:dyDescent="0.25">
      <c r="A223" s="440"/>
      <c r="B223" s="499"/>
      <c r="C223" s="495"/>
      <c r="D223" s="495"/>
      <c r="E223" s="1084">
        <f t="shared" ca="1" si="396"/>
        <v>0</v>
      </c>
      <c r="F223" s="1085"/>
      <c r="G223" s="1264"/>
      <c r="H223" s="1264"/>
      <c r="I223" s="1265"/>
      <c r="J223" s="1038"/>
      <c r="K223" s="462"/>
      <c r="L223" s="462"/>
      <c r="M223" s="339"/>
      <c r="N223" s="361"/>
      <c r="O223" s="339"/>
      <c r="P223" s="365"/>
      <c r="Q223" s="344"/>
      <c r="R223" s="522" t="s">
        <v>363</v>
      </c>
      <c r="S223" s="353">
        <f t="shared" ca="1" si="397"/>
        <v>0</v>
      </c>
      <c r="T223" s="363"/>
      <c r="U223" s="363"/>
      <c r="V223" s="363"/>
      <c r="W223" s="1093"/>
      <c r="X223" s="1116"/>
      <c r="Y223" s="1116"/>
      <c r="Z223" s="363"/>
      <c r="AA223" s="363"/>
      <c r="AB223" s="363"/>
      <c r="AC223" s="1093"/>
      <c r="AD223" s="1116"/>
      <c r="AE223" s="1116"/>
      <c r="AF223" s="363"/>
      <c r="AG223" s="363"/>
      <c r="AH223" s="363"/>
      <c r="AI223" s="358"/>
      <c r="AJ223" s="363"/>
      <c r="AK223" s="440"/>
      <c r="AM223" s="460">
        <v>223</v>
      </c>
      <c r="AN223" s="1087">
        <f t="shared" ca="1" si="398"/>
        <v>0</v>
      </c>
      <c r="AO223" s="1083">
        <f t="shared" ca="1" si="399"/>
        <v>0</v>
      </c>
      <c r="AX223" s="1083" t="str">
        <f t="shared" si="400"/>
        <v>U</v>
      </c>
      <c r="AY223" s="1083" t="str">
        <f t="shared" si="401"/>
        <v>U</v>
      </c>
    </row>
    <row r="224" spans="1:54" ht="12" customHeight="1" x14ac:dyDescent="0.25">
      <c r="A224" s="440"/>
      <c r="B224" s="499"/>
      <c r="C224" s="495"/>
      <c r="D224" s="495"/>
      <c r="E224" s="1084">
        <f t="shared" ca="1" si="396"/>
        <v>0</v>
      </c>
      <c r="F224" s="1085"/>
      <c r="G224" s="1264"/>
      <c r="H224" s="1264"/>
      <c r="I224" s="1265"/>
      <c r="J224" s="1038"/>
      <c r="K224" s="462"/>
      <c r="L224" s="462"/>
      <c r="M224" s="339"/>
      <c r="N224" s="361"/>
      <c r="O224" s="339"/>
      <c r="P224" s="365"/>
      <c r="Q224" s="344"/>
      <c r="R224" s="522" t="s">
        <v>363</v>
      </c>
      <c r="S224" s="353">
        <f t="shared" ca="1" si="397"/>
        <v>0</v>
      </c>
      <c r="T224" s="363"/>
      <c r="U224" s="363"/>
      <c r="V224" s="363"/>
      <c r="W224" s="1093"/>
      <c r="X224" s="1116"/>
      <c r="Y224" s="1116"/>
      <c r="Z224" s="363"/>
      <c r="AA224" s="363"/>
      <c r="AB224" s="363"/>
      <c r="AC224" s="1093"/>
      <c r="AD224" s="1116"/>
      <c r="AE224" s="1116"/>
      <c r="AF224" s="363"/>
      <c r="AG224" s="363"/>
      <c r="AH224" s="363"/>
      <c r="AI224" s="358"/>
      <c r="AJ224" s="363"/>
      <c r="AK224" s="440"/>
      <c r="AM224" s="460">
        <v>224</v>
      </c>
      <c r="AN224" s="1087">
        <f t="shared" ca="1" si="398"/>
        <v>0</v>
      </c>
      <c r="AO224" s="1083">
        <f t="shared" ca="1" si="399"/>
        <v>0</v>
      </c>
      <c r="AX224" s="1083" t="str">
        <f t="shared" si="400"/>
        <v>U</v>
      </c>
      <c r="AY224" s="1083" t="str">
        <f t="shared" si="401"/>
        <v>U</v>
      </c>
    </row>
    <row r="225" spans="1:51" ht="12" customHeight="1" x14ac:dyDescent="0.25">
      <c r="A225" s="440"/>
      <c r="B225" s="499"/>
      <c r="C225" s="495"/>
      <c r="D225" s="495"/>
      <c r="E225" s="1084">
        <f t="shared" ca="1" si="396"/>
        <v>0</v>
      </c>
      <c r="F225" s="1085"/>
      <c r="G225" s="1264"/>
      <c r="H225" s="1264"/>
      <c r="I225" s="1265"/>
      <c r="J225" s="1038"/>
      <c r="K225" s="462"/>
      <c r="L225" s="462"/>
      <c r="M225" s="339"/>
      <c r="N225" s="361"/>
      <c r="O225" s="339"/>
      <c r="P225" s="365"/>
      <c r="Q225" s="344"/>
      <c r="R225" s="522" t="s">
        <v>363</v>
      </c>
      <c r="S225" s="353">
        <f t="shared" ca="1" si="397"/>
        <v>0</v>
      </c>
      <c r="T225" s="363"/>
      <c r="U225" s="363"/>
      <c r="V225" s="363"/>
      <c r="W225" s="1093"/>
      <c r="X225" s="1116"/>
      <c r="Y225" s="1116"/>
      <c r="Z225" s="363"/>
      <c r="AA225" s="363"/>
      <c r="AB225" s="363"/>
      <c r="AC225" s="1093"/>
      <c r="AD225" s="1116"/>
      <c r="AE225" s="1116"/>
      <c r="AF225" s="363"/>
      <c r="AG225" s="363"/>
      <c r="AH225" s="363"/>
      <c r="AI225" s="358"/>
      <c r="AJ225" s="363"/>
      <c r="AK225" s="440"/>
      <c r="AM225" s="460">
        <v>225</v>
      </c>
      <c r="AN225" s="1087">
        <f t="shared" ca="1" si="398"/>
        <v>0</v>
      </c>
      <c r="AO225" s="1083">
        <f t="shared" ca="1" si="399"/>
        <v>0</v>
      </c>
      <c r="AX225" s="1083" t="str">
        <f t="shared" si="400"/>
        <v>U</v>
      </c>
      <c r="AY225" s="1083" t="str">
        <f t="shared" si="401"/>
        <v>U</v>
      </c>
    </row>
    <row r="226" spans="1:51" ht="12" customHeight="1" x14ac:dyDescent="0.25">
      <c r="A226" s="440"/>
      <c r="B226" s="499"/>
      <c r="C226" s="495"/>
      <c r="D226" s="495"/>
      <c r="E226" s="1084">
        <f t="shared" ca="1" si="396"/>
        <v>0</v>
      </c>
      <c r="F226" s="1085"/>
      <c r="G226" s="1264"/>
      <c r="H226" s="1264"/>
      <c r="I226" s="1265"/>
      <c r="J226" s="1038"/>
      <c r="K226" s="462"/>
      <c r="L226" s="462"/>
      <c r="M226" s="339"/>
      <c r="N226" s="361"/>
      <c r="O226" s="339"/>
      <c r="P226" s="365"/>
      <c r="Q226" s="344"/>
      <c r="R226" s="522" t="s">
        <v>363</v>
      </c>
      <c r="S226" s="353">
        <f t="shared" ca="1" si="397"/>
        <v>0</v>
      </c>
      <c r="T226" s="363"/>
      <c r="U226" s="363"/>
      <c r="V226" s="363"/>
      <c r="W226" s="1093"/>
      <c r="X226" s="1116"/>
      <c r="Y226" s="1116"/>
      <c r="Z226" s="363"/>
      <c r="AA226" s="363"/>
      <c r="AB226" s="363"/>
      <c r="AC226" s="1093"/>
      <c r="AD226" s="1116"/>
      <c r="AE226" s="1116"/>
      <c r="AF226" s="363"/>
      <c r="AG226" s="363"/>
      <c r="AH226" s="363"/>
      <c r="AI226" s="358"/>
      <c r="AJ226" s="363"/>
      <c r="AK226" s="440"/>
      <c r="AM226" s="460">
        <v>226</v>
      </c>
      <c r="AN226" s="1087">
        <f t="shared" ca="1" si="398"/>
        <v>0</v>
      </c>
      <c r="AO226" s="1083">
        <f t="shared" ca="1" si="399"/>
        <v>0</v>
      </c>
      <c r="AX226" s="1083" t="str">
        <f t="shared" si="400"/>
        <v>U</v>
      </c>
      <c r="AY226" s="1083" t="str">
        <f t="shared" si="401"/>
        <v>U</v>
      </c>
    </row>
    <row r="227" spans="1:51" ht="12" customHeight="1" x14ac:dyDescent="0.25">
      <c r="A227" s="440"/>
      <c r="B227" s="499"/>
      <c r="C227" s="495"/>
      <c r="D227" s="495"/>
      <c r="E227" s="1084">
        <f t="shared" ca="1" si="396"/>
        <v>0</v>
      </c>
      <c r="F227" s="1085"/>
      <c r="G227" s="1264"/>
      <c r="H227" s="1264"/>
      <c r="I227" s="1265"/>
      <c r="J227" s="1038"/>
      <c r="K227" s="462"/>
      <c r="L227" s="462"/>
      <c r="M227" s="339"/>
      <c r="N227" s="361"/>
      <c r="O227" s="339"/>
      <c r="P227" s="365"/>
      <c r="Q227" s="344"/>
      <c r="R227" s="522" t="s">
        <v>363</v>
      </c>
      <c r="S227" s="353">
        <f t="shared" ca="1" si="397"/>
        <v>0</v>
      </c>
      <c r="T227" s="363"/>
      <c r="U227" s="363"/>
      <c r="V227" s="363"/>
      <c r="W227" s="1093"/>
      <c r="X227" s="1116"/>
      <c r="Y227" s="1116"/>
      <c r="Z227" s="363"/>
      <c r="AA227" s="363"/>
      <c r="AB227" s="363"/>
      <c r="AC227" s="1093"/>
      <c r="AD227" s="1116"/>
      <c r="AE227" s="1116"/>
      <c r="AF227" s="363"/>
      <c r="AG227" s="363"/>
      <c r="AH227" s="363"/>
      <c r="AI227" s="358"/>
      <c r="AJ227" s="363"/>
      <c r="AK227" s="440"/>
      <c r="AM227" s="460">
        <v>227</v>
      </c>
      <c r="AN227" s="1087">
        <f t="shared" ca="1" si="398"/>
        <v>0</v>
      </c>
      <c r="AO227" s="1083">
        <f t="shared" ca="1" si="399"/>
        <v>0</v>
      </c>
      <c r="AX227" s="1083" t="str">
        <f t="shared" si="400"/>
        <v>U</v>
      </c>
      <c r="AY227" s="1083" t="str">
        <f t="shared" si="401"/>
        <v>U</v>
      </c>
    </row>
    <row r="228" spans="1:51" ht="12" customHeight="1" collapsed="1" x14ac:dyDescent="0.25">
      <c r="A228" s="440"/>
      <c r="B228" s="505"/>
      <c r="C228" s="563"/>
      <c r="D228" s="563"/>
      <c r="E228" s="506"/>
      <c r="F228" s="506"/>
      <c r="G228" s="506"/>
      <c r="H228" s="506"/>
      <c r="I228" s="507"/>
      <c r="J228" s="507"/>
      <c r="K228" s="508"/>
      <c r="L228" s="508"/>
      <c r="M228" s="564"/>
      <c r="N228" s="517"/>
      <c r="O228" s="371"/>
      <c r="P228" s="371"/>
      <c r="Q228" s="371"/>
      <c r="R228" s="371"/>
      <c r="S228" s="391"/>
      <c r="T228" s="371"/>
      <c r="U228" s="371"/>
      <c r="V228" s="371"/>
      <c r="W228" s="1100"/>
      <c r="X228" s="1108"/>
      <c r="Y228" s="1108"/>
      <c r="Z228" s="371"/>
      <c r="AA228" s="371"/>
      <c r="AB228" s="371"/>
      <c r="AC228" s="1100"/>
      <c r="AD228" s="1108"/>
      <c r="AE228" s="1108"/>
      <c r="AF228" s="371"/>
      <c r="AG228" s="371"/>
      <c r="AH228" s="371"/>
      <c r="AI228" s="373"/>
      <c r="AJ228" s="371"/>
      <c r="AK228" s="440"/>
      <c r="AM228" s="460">
        <v>228</v>
      </c>
      <c r="AN228" s="1078"/>
    </row>
    <row r="229" spans="1:51" ht="12" customHeight="1" x14ac:dyDescent="0.2">
      <c r="A229" s="440"/>
      <c r="B229" s="320"/>
      <c r="C229" s="1036"/>
      <c r="D229" s="1036"/>
      <c r="E229" s="1036"/>
      <c r="F229" s="1036"/>
      <c r="G229" s="1036"/>
      <c r="H229" s="1036"/>
      <c r="I229" s="380"/>
      <c r="J229" s="380"/>
      <c r="K229" s="463"/>
      <c r="L229" s="463"/>
      <c r="M229" s="498"/>
      <c r="N229" s="503"/>
      <c r="O229" s="1036"/>
      <c r="P229" s="1036"/>
      <c r="Q229" s="1036"/>
      <c r="R229" s="1036"/>
      <c r="S229" s="379"/>
      <c r="T229" s="379"/>
      <c r="U229" s="379"/>
      <c r="V229" s="379"/>
      <c r="W229" s="1099"/>
      <c r="X229" s="1118"/>
      <c r="Y229" s="1118"/>
      <c r="Z229" s="379"/>
      <c r="AA229" s="379"/>
      <c r="AB229" s="379"/>
      <c r="AC229" s="1099"/>
      <c r="AD229" s="1118"/>
      <c r="AE229" s="1118"/>
      <c r="AF229" s="379"/>
      <c r="AG229" s="379"/>
      <c r="AH229" s="379"/>
      <c r="AI229" s="481"/>
      <c r="AJ229" s="379"/>
      <c r="AK229" s="440"/>
      <c r="AM229" s="460">
        <v>229</v>
      </c>
      <c r="AN229" s="1078"/>
    </row>
    <row r="230" spans="1:51" ht="12" customHeight="1" x14ac:dyDescent="0.2">
      <c r="A230" s="440"/>
      <c r="B230" s="320"/>
      <c r="C230" s="1036"/>
      <c r="D230" s="1036"/>
      <c r="E230" s="1036"/>
      <c r="F230" s="1036"/>
      <c r="G230" s="1036"/>
      <c r="H230" s="1036"/>
      <c r="I230" s="380"/>
      <c r="J230" s="380"/>
      <c r="K230" s="463"/>
      <c r="L230" s="463"/>
      <c r="M230" s="498"/>
      <c r="N230" s="503"/>
      <c r="O230" s="1036"/>
      <c r="P230" s="1036"/>
      <c r="Q230" s="1036"/>
      <c r="R230" s="1036"/>
      <c r="S230" s="372"/>
      <c r="T230" s="372"/>
      <c r="U230" s="372"/>
      <c r="V230" s="372"/>
      <c r="W230" s="1096"/>
      <c r="X230" s="1110"/>
      <c r="Y230" s="1110"/>
      <c r="Z230" s="372"/>
      <c r="AA230" s="372"/>
      <c r="AB230" s="372"/>
      <c r="AC230" s="1096"/>
      <c r="AD230" s="1110"/>
      <c r="AE230" s="1110"/>
      <c r="AF230" s="372"/>
      <c r="AG230" s="372"/>
      <c r="AH230" s="372"/>
      <c r="AI230" s="482"/>
      <c r="AJ230" s="372"/>
      <c r="AK230" s="440"/>
      <c r="AM230" s="460">
        <v>230</v>
      </c>
      <c r="AN230" s="1078"/>
    </row>
    <row r="231" spans="1:51" ht="14.25" customHeight="1" x14ac:dyDescent="0.25">
      <c r="A231" s="440"/>
      <c r="B231" s="499">
        <v>8</v>
      </c>
      <c r="C231" s="494"/>
      <c r="D231" s="495"/>
      <c r="E231" s="1606" t="s">
        <v>7</v>
      </c>
      <c r="F231" s="1606"/>
      <c r="G231" s="1606"/>
      <c r="H231" s="1606"/>
      <c r="I231" s="1597"/>
      <c r="J231" s="1038"/>
      <c r="K231" s="462"/>
      <c r="L231" s="462"/>
      <c r="M231" s="498"/>
      <c r="N231" s="359"/>
      <c r="O231" s="363"/>
      <c r="P231" s="363"/>
      <c r="Q231" s="363"/>
      <c r="R231" s="363"/>
      <c r="S231" s="385">
        <f ca="1">S232</f>
        <v>0</v>
      </c>
      <c r="T231" s="363"/>
      <c r="U231" s="363"/>
      <c r="V231" s="363"/>
      <c r="W231" s="1093"/>
      <c r="X231" s="1116"/>
      <c r="Y231" s="1116"/>
      <c r="Z231" s="363"/>
      <c r="AA231" s="363"/>
      <c r="AB231" s="363"/>
      <c r="AC231" s="1093"/>
      <c r="AD231" s="1116"/>
      <c r="AE231" s="1116"/>
      <c r="AF231" s="363"/>
      <c r="AG231" s="363"/>
      <c r="AH231" s="363"/>
      <c r="AI231" s="358"/>
      <c r="AJ231" s="363"/>
      <c r="AK231" s="440"/>
      <c r="AM231" s="460">
        <v>231</v>
      </c>
      <c r="AN231" s="1078"/>
    </row>
    <row r="232" spans="1:51" ht="14.25" customHeight="1" x14ac:dyDescent="0.25">
      <c r="A232" s="440"/>
      <c r="B232" s="1043"/>
      <c r="C232" s="1036" t="s">
        <v>6</v>
      </c>
      <c r="D232" s="494"/>
      <c r="E232" s="1596" t="s">
        <v>5</v>
      </c>
      <c r="F232" s="1596"/>
      <c r="G232" s="1596"/>
      <c r="H232" s="1596"/>
      <c r="I232" s="1597"/>
      <c r="J232" s="1038"/>
      <c r="K232" s="462"/>
      <c r="L232" s="462"/>
      <c r="M232" s="498"/>
      <c r="N232" s="359"/>
      <c r="O232" s="363"/>
      <c r="P232" s="363"/>
      <c r="Q232" s="363"/>
      <c r="R232" s="363"/>
      <c r="S232" s="355">
        <f ca="1">SUBTOTAL(109,S233:S234)</f>
        <v>0</v>
      </c>
      <c r="T232" s="363"/>
      <c r="U232" s="363"/>
      <c r="V232" s="363"/>
      <c r="W232" s="1093"/>
      <c r="X232" s="1116"/>
      <c r="Y232" s="1116"/>
      <c r="Z232" s="363"/>
      <c r="AA232" s="363"/>
      <c r="AB232" s="363"/>
      <c r="AC232" s="1093"/>
      <c r="AD232" s="1116"/>
      <c r="AE232" s="1116"/>
      <c r="AF232" s="363"/>
      <c r="AG232" s="363"/>
      <c r="AH232" s="363"/>
      <c r="AI232" s="358"/>
      <c r="AJ232" s="363"/>
      <c r="AK232" s="440"/>
      <c r="AM232" s="460">
        <v>232</v>
      </c>
      <c r="AN232" s="1078"/>
    </row>
    <row r="233" spans="1:51" ht="12" customHeight="1" x14ac:dyDescent="0.25">
      <c r="A233" s="440"/>
      <c r="B233" s="1043"/>
      <c r="C233" s="380"/>
      <c r="D233" s="1037" t="s">
        <v>4</v>
      </c>
      <c r="E233" s="1599" t="s">
        <v>3</v>
      </c>
      <c r="F233" s="1599"/>
      <c r="G233" s="1599"/>
      <c r="H233" s="1599"/>
      <c r="I233" s="1597"/>
      <c r="J233" s="1038"/>
      <c r="K233" s="462"/>
      <c r="L233" s="462"/>
      <c r="M233" s="339"/>
      <c r="N233" s="361"/>
      <c r="O233" s="339"/>
      <c r="P233" s="363"/>
      <c r="Q233" s="351"/>
      <c r="R233" s="522" t="s">
        <v>363</v>
      </c>
      <c r="S233" s="353">
        <f t="shared" ref="S233:S234" ca="1" si="402">IF(AY233="E",(M233*O233)+Q233,AO233)</f>
        <v>0</v>
      </c>
      <c r="T233" s="363"/>
      <c r="U233" s="363"/>
      <c r="V233" s="363"/>
      <c r="W233" s="1093"/>
      <c r="X233" s="1116"/>
      <c r="Y233" s="1116"/>
      <c r="Z233" s="363"/>
      <c r="AA233" s="363"/>
      <c r="AB233" s="363"/>
      <c r="AC233" s="1093"/>
      <c r="AD233" s="1116"/>
      <c r="AE233" s="1116"/>
      <c r="AF233" s="363"/>
      <c r="AG233" s="363"/>
      <c r="AH233" s="363"/>
      <c r="AI233" s="358"/>
      <c r="AJ233" s="363"/>
      <c r="AK233" s="440"/>
      <c r="AM233" s="460">
        <v>233</v>
      </c>
      <c r="AN233" s="1078"/>
      <c r="AO233" s="1083">
        <f ca="1">IF($M$13=$AN$12,"",INDIRECT("'"&amp;$AM$20&amp;"'!"&amp;AO$21&amp;$AM233))</f>
        <v>0</v>
      </c>
      <c r="AY233" s="1083" t="str">
        <f>IF($M$13=$AN$12,"E",IF(OR(ISNUMBER(M233),ISNUMBER(O233),ISNUMBER(Q233)),"E","U"))</f>
        <v>U</v>
      </c>
    </row>
    <row r="234" spans="1:51" ht="12" customHeight="1" x14ac:dyDescent="0.25">
      <c r="A234" s="440"/>
      <c r="B234" s="1043"/>
      <c r="C234" s="380"/>
      <c r="D234" s="1037" t="s">
        <v>2</v>
      </c>
      <c r="E234" s="1599" t="s">
        <v>1</v>
      </c>
      <c r="F234" s="1599"/>
      <c r="G234" s="1599"/>
      <c r="H234" s="1599"/>
      <c r="I234" s="1605"/>
      <c r="J234" s="1038"/>
      <c r="K234" s="502"/>
      <c r="L234" s="502"/>
      <c r="M234" s="339"/>
      <c r="N234" s="361"/>
      <c r="O234" s="339"/>
      <c r="P234" s="363"/>
      <c r="Q234" s="344"/>
      <c r="R234" s="522" t="s">
        <v>363</v>
      </c>
      <c r="S234" s="353">
        <f t="shared" ca="1" si="402"/>
        <v>0</v>
      </c>
      <c r="T234" s="363"/>
      <c r="U234" s="363"/>
      <c r="V234" s="363"/>
      <c r="W234" s="1093"/>
      <c r="X234" s="1116"/>
      <c r="Y234" s="1116"/>
      <c r="Z234" s="363"/>
      <c r="AA234" s="363"/>
      <c r="AB234" s="363"/>
      <c r="AC234" s="1093"/>
      <c r="AD234" s="1116"/>
      <c r="AE234" s="1116"/>
      <c r="AF234" s="363"/>
      <c r="AG234" s="363"/>
      <c r="AH234" s="363"/>
      <c r="AI234" s="358"/>
      <c r="AJ234" s="363"/>
      <c r="AK234" s="440"/>
      <c r="AM234" s="460">
        <v>234</v>
      </c>
      <c r="AN234" s="1078"/>
      <c r="AO234" s="1083">
        <f ca="1">IF($M$13=$AN$12,"",INDIRECT("'"&amp;$AM$20&amp;"'!"&amp;AO$21&amp;$AM234))</f>
        <v>0</v>
      </c>
      <c r="AY234" s="1083" t="str">
        <f>IF($M$13=$AN$12,"E",IF(OR(ISNUMBER(M234),ISNUMBER(O234),ISNUMBER(Q234)),"E","U"))</f>
        <v>U</v>
      </c>
    </row>
    <row r="235" spans="1:51" ht="12" customHeight="1" collapsed="1" x14ac:dyDescent="0.25">
      <c r="A235" s="440"/>
      <c r="B235" s="324"/>
      <c r="C235" s="378"/>
      <c r="D235" s="374"/>
      <c r="E235" s="374"/>
      <c r="F235" s="374"/>
      <c r="G235" s="374"/>
      <c r="H235" s="374"/>
      <c r="I235" s="374"/>
      <c r="J235" s="507"/>
      <c r="K235" s="508"/>
      <c r="L235" s="508"/>
      <c r="M235" s="564"/>
      <c r="N235" s="517"/>
      <c r="O235" s="371"/>
      <c r="P235" s="371"/>
      <c r="Q235" s="371"/>
      <c r="R235" s="371"/>
      <c r="S235" s="371"/>
      <c r="T235" s="371"/>
      <c r="U235" s="371"/>
      <c r="V235" s="371"/>
      <c r="W235" s="1100"/>
      <c r="X235" s="1108"/>
      <c r="Y235" s="1108"/>
      <c r="Z235" s="371"/>
      <c r="AA235" s="371"/>
      <c r="AB235" s="371"/>
      <c r="AC235" s="1100"/>
      <c r="AD235" s="1108"/>
      <c r="AE235" s="1108"/>
      <c r="AF235" s="371"/>
      <c r="AG235" s="371"/>
      <c r="AH235" s="371"/>
      <c r="AI235" s="373"/>
      <c r="AJ235" s="371"/>
      <c r="AK235" s="440"/>
      <c r="AM235" s="460">
        <v>235</v>
      </c>
      <c r="AN235" s="1078"/>
    </row>
    <row r="236" spans="1:51" ht="12" customHeight="1" x14ac:dyDescent="0.2">
      <c r="A236" s="440"/>
      <c r="B236" s="320"/>
      <c r="C236" s="1036"/>
      <c r="D236" s="1036"/>
      <c r="E236" s="1036"/>
      <c r="F236" s="1036"/>
      <c r="G236" s="1036"/>
      <c r="H236" s="1036"/>
      <c r="I236" s="1036"/>
      <c r="J236" s="1036"/>
      <c r="K236" s="503"/>
      <c r="L236" s="503"/>
      <c r="M236" s="549"/>
      <c r="N236" s="1033"/>
      <c r="O236" s="379"/>
      <c r="P236" s="379"/>
      <c r="Q236" s="379"/>
      <c r="R236" s="379"/>
      <c r="S236" s="379"/>
      <c r="T236" s="379"/>
      <c r="U236" s="379"/>
      <c r="V236" s="379"/>
      <c r="W236" s="1099"/>
      <c r="X236" s="1118"/>
      <c r="Y236" s="1118"/>
      <c r="Z236" s="379"/>
      <c r="AA236" s="379"/>
      <c r="AB236" s="379"/>
      <c r="AC236" s="1099"/>
      <c r="AD236" s="1118"/>
      <c r="AE236" s="1118"/>
      <c r="AF236" s="379"/>
      <c r="AG236" s="379"/>
      <c r="AH236" s="379"/>
      <c r="AI236" s="481"/>
      <c r="AJ236" s="379"/>
      <c r="AK236" s="440"/>
      <c r="AM236" s="460">
        <v>236</v>
      </c>
      <c r="AN236" s="1078"/>
    </row>
    <row r="237" spans="1:51" ht="12" customHeight="1" x14ac:dyDescent="0.2">
      <c r="A237" s="440"/>
      <c r="B237" s="320"/>
      <c r="C237" s="1036"/>
      <c r="D237" s="1036"/>
      <c r="E237" s="1036"/>
      <c r="F237" s="1036"/>
      <c r="G237" s="1036"/>
      <c r="H237" s="1036"/>
      <c r="I237" s="1036"/>
      <c r="J237" s="1036"/>
      <c r="K237" s="503"/>
      <c r="L237" s="503"/>
      <c r="M237" s="498"/>
      <c r="N237" s="503"/>
      <c r="O237" s="1036"/>
      <c r="P237" s="1036"/>
      <c r="Q237" s="1036"/>
      <c r="R237" s="1036"/>
      <c r="S237" s="372"/>
      <c r="T237" s="372"/>
      <c r="U237" s="372"/>
      <c r="V237" s="372"/>
      <c r="W237" s="1096"/>
      <c r="X237" s="1110"/>
      <c r="Y237" s="1110"/>
      <c r="Z237" s="372"/>
      <c r="AA237" s="372"/>
      <c r="AB237" s="372"/>
      <c r="AC237" s="1096"/>
      <c r="AD237" s="1110"/>
      <c r="AE237" s="1110"/>
      <c r="AF237" s="372"/>
      <c r="AG237" s="372"/>
      <c r="AH237" s="372"/>
      <c r="AI237" s="482"/>
      <c r="AJ237" s="372"/>
      <c r="AK237" s="440"/>
      <c r="AM237" s="460">
        <v>237</v>
      </c>
      <c r="AN237" s="1078"/>
    </row>
    <row r="238" spans="1:51" ht="12" customHeight="1" x14ac:dyDescent="0.25">
      <c r="A238" s="440"/>
      <c r="B238" s="499">
        <v>9</v>
      </c>
      <c r="C238" s="380"/>
      <c r="D238" s="495"/>
      <c r="E238" s="1606" t="s">
        <v>0</v>
      </c>
      <c r="F238" s="1606"/>
      <c r="G238" s="1606"/>
      <c r="H238" s="1606"/>
      <c r="I238" s="1605"/>
      <c r="J238" s="1038"/>
      <c r="K238" s="502"/>
      <c r="L238" s="502"/>
      <c r="M238" s="498"/>
      <c r="N238" s="503"/>
      <c r="O238" s="1036"/>
      <c r="P238" s="1036"/>
      <c r="Q238" s="1036"/>
      <c r="R238" s="1036"/>
      <c r="S238" s="385">
        <f ca="1">S239</f>
        <v>0</v>
      </c>
      <c r="T238" s="363"/>
      <c r="U238" s="363"/>
      <c r="V238" s="363"/>
      <c r="W238" s="1093"/>
      <c r="X238" s="1116"/>
      <c r="Y238" s="1116"/>
      <c r="Z238" s="363"/>
      <c r="AA238" s="363"/>
      <c r="AB238" s="363"/>
      <c r="AC238" s="1093"/>
      <c r="AD238" s="1116"/>
      <c r="AE238" s="1116"/>
      <c r="AF238" s="363"/>
      <c r="AG238" s="363"/>
      <c r="AH238" s="363"/>
      <c r="AI238" s="358"/>
      <c r="AJ238" s="363"/>
      <c r="AK238" s="440"/>
      <c r="AM238" s="460">
        <v>238</v>
      </c>
      <c r="AN238" s="1078"/>
    </row>
    <row r="239" spans="1:51" ht="12" customHeight="1" x14ac:dyDescent="0.25">
      <c r="A239" s="440"/>
      <c r="B239" s="499"/>
      <c r="C239" s="380"/>
      <c r="D239" s="495"/>
      <c r="E239" s="1034"/>
      <c r="F239" s="1034"/>
      <c r="G239" s="1034"/>
      <c r="H239" s="1034"/>
      <c r="I239" s="1038"/>
      <c r="J239" s="1038"/>
      <c r="K239" s="502"/>
      <c r="L239" s="502"/>
      <c r="M239" s="339"/>
      <c r="N239" s="361"/>
      <c r="O239" s="339"/>
      <c r="P239" s="363"/>
      <c r="Q239" s="344"/>
      <c r="R239" s="522" t="s">
        <v>363</v>
      </c>
      <c r="S239" s="353">
        <f ca="1">IF(AY239="E",(M239*O239)+Q239,AO239)</f>
        <v>0</v>
      </c>
      <c r="T239" s="363"/>
      <c r="U239" s="363"/>
      <c r="V239" s="363"/>
      <c r="W239" s="1093"/>
      <c r="X239" s="1116"/>
      <c r="Y239" s="1116"/>
      <c r="Z239" s="363"/>
      <c r="AA239" s="363"/>
      <c r="AB239" s="363"/>
      <c r="AC239" s="1093"/>
      <c r="AD239" s="1116"/>
      <c r="AE239" s="1116"/>
      <c r="AF239" s="363"/>
      <c r="AG239" s="363"/>
      <c r="AH239" s="363"/>
      <c r="AI239" s="358"/>
      <c r="AJ239" s="363"/>
      <c r="AK239" s="440"/>
      <c r="AM239" s="460">
        <v>239</v>
      </c>
      <c r="AN239" s="1078"/>
      <c r="AO239" s="1083">
        <f ca="1">IF($M$13=$AN$12,"",INDIRECT("'"&amp;$AM$20&amp;"'!"&amp;AO$21&amp;$AM239))</f>
        <v>0</v>
      </c>
      <c r="AY239" s="1083" t="str">
        <f>IF($M$13=$AN$12,"E",IF(OR(ISNUMBER(M239),ISNUMBER(O239),ISNUMBER(Q239)),"E","U"))</f>
        <v>U</v>
      </c>
    </row>
    <row r="240" spans="1:51" ht="11.25" x14ac:dyDescent="0.2">
      <c r="A240" s="440"/>
      <c r="B240" s="324"/>
      <c r="C240" s="378"/>
      <c r="D240" s="378"/>
      <c r="E240" s="378"/>
      <c r="F240" s="378"/>
      <c r="G240" s="378"/>
      <c r="H240" s="378"/>
      <c r="I240" s="378"/>
      <c r="J240" s="378"/>
      <c r="K240" s="561"/>
      <c r="L240" s="561"/>
      <c r="M240" s="560"/>
      <c r="N240" s="561"/>
      <c r="O240" s="378"/>
      <c r="P240" s="378"/>
      <c r="Q240" s="378"/>
      <c r="R240" s="378"/>
      <c r="S240" s="378"/>
      <c r="T240" s="378"/>
      <c r="U240" s="378"/>
      <c r="V240" s="378"/>
      <c r="W240" s="1098"/>
      <c r="X240" s="1117"/>
      <c r="Y240" s="1117"/>
      <c r="Z240" s="378"/>
      <c r="AA240" s="378"/>
      <c r="AB240" s="378"/>
      <c r="AC240" s="1098"/>
      <c r="AD240" s="1117"/>
      <c r="AE240" s="1117"/>
      <c r="AF240" s="378"/>
      <c r="AG240" s="378"/>
      <c r="AH240" s="378"/>
      <c r="AI240" s="510"/>
      <c r="AJ240" s="378"/>
      <c r="AK240" s="440"/>
      <c r="AM240" s="460">
        <v>240</v>
      </c>
      <c r="AN240" s="1078"/>
    </row>
    <row r="241" spans="1:54" ht="11.25" x14ac:dyDescent="0.2">
      <c r="A241" s="440"/>
      <c r="B241" s="1043"/>
      <c r="C241" s="380"/>
      <c r="D241" s="380"/>
      <c r="E241" s="380"/>
      <c r="F241" s="380"/>
      <c r="G241" s="380"/>
      <c r="H241" s="380"/>
      <c r="I241" s="380"/>
      <c r="J241" s="380"/>
      <c r="K241" s="463"/>
      <c r="L241" s="463"/>
      <c r="M241" s="532"/>
      <c r="N241" s="463"/>
      <c r="O241" s="380"/>
      <c r="P241" s="380"/>
      <c r="Q241" s="380"/>
      <c r="R241" s="380"/>
      <c r="S241" s="380"/>
      <c r="T241" s="380"/>
      <c r="U241" s="380"/>
      <c r="V241" s="380"/>
      <c r="W241" s="1101"/>
      <c r="X241" s="1119"/>
      <c r="Y241" s="1119"/>
      <c r="Z241" s="380"/>
      <c r="AA241" s="380"/>
      <c r="AB241" s="380"/>
      <c r="AC241" s="1101"/>
      <c r="AD241" s="1119"/>
      <c r="AE241" s="1119"/>
      <c r="AF241" s="380"/>
      <c r="AG241" s="380"/>
      <c r="AH241" s="380"/>
      <c r="AI241" s="464"/>
      <c r="AJ241" s="380"/>
      <c r="AK241" s="440"/>
      <c r="AM241" s="460">
        <v>241</v>
      </c>
      <c r="AN241" s="1078"/>
    </row>
    <row r="242" spans="1:54" ht="11.25" x14ac:dyDescent="0.2">
      <c r="A242" s="440"/>
      <c r="B242" s="1043"/>
      <c r="C242" s="380"/>
      <c r="D242" s="380"/>
      <c r="E242" s="380"/>
      <c r="F242" s="380"/>
      <c r="G242" s="380"/>
      <c r="H242" s="380"/>
      <c r="I242" s="380"/>
      <c r="J242" s="380"/>
      <c r="K242" s="463"/>
      <c r="L242" s="463"/>
      <c r="M242" s="532"/>
      <c r="N242" s="463"/>
      <c r="O242" s="380"/>
      <c r="P242" s="380"/>
      <c r="Q242" s="380"/>
      <c r="R242" s="380"/>
      <c r="S242" s="380"/>
      <c r="T242" s="380"/>
      <c r="U242" s="380"/>
      <c r="V242" s="380"/>
      <c r="W242" s="1101"/>
      <c r="X242" s="1119"/>
      <c r="Y242" s="1119"/>
      <c r="Z242" s="380"/>
      <c r="AA242" s="380"/>
      <c r="AB242" s="380"/>
      <c r="AC242" s="1101"/>
      <c r="AD242" s="1119"/>
      <c r="AE242" s="1119"/>
      <c r="AF242" s="380"/>
      <c r="AG242" s="380"/>
      <c r="AH242" s="380"/>
      <c r="AI242" s="464"/>
      <c r="AJ242" s="380"/>
      <c r="AK242" s="440"/>
      <c r="AM242" s="460">
        <v>242</v>
      </c>
      <c r="AN242" s="1078"/>
    </row>
    <row r="243" spans="1:54" x14ac:dyDescent="0.25">
      <c r="A243" s="440"/>
      <c r="B243" s="493" t="s">
        <v>362</v>
      </c>
      <c r="C243" s="494"/>
      <c r="D243" s="495"/>
      <c r="E243" s="1606" t="s">
        <v>272</v>
      </c>
      <c r="F243" s="1606"/>
      <c r="G243" s="1606"/>
      <c r="H243" s="1606"/>
      <c r="I243" s="1597"/>
      <c r="J243" s="1038"/>
      <c r="K243" s="462"/>
      <c r="L243" s="462"/>
      <c r="M243" s="498"/>
      <c r="N243" s="359"/>
      <c r="O243" s="363"/>
      <c r="P243" s="363"/>
      <c r="Q243" s="363"/>
      <c r="R243" s="363"/>
      <c r="S243" s="385">
        <f ca="1">S244</f>
        <v>1845816.6599999997</v>
      </c>
      <c r="T243" s="363"/>
      <c r="U243" s="363"/>
      <c r="V243" s="363"/>
      <c r="W243" s="1093"/>
      <c r="X243" s="1116"/>
      <c r="Y243" s="1116"/>
      <c r="Z243" s="363"/>
      <c r="AA243" s="363"/>
      <c r="AB243" s="363"/>
      <c r="AC243" s="1093"/>
      <c r="AD243" s="1116"/>
      <c r="AE243" s="1116"/>
      <c r="AF243" s="363"/>
      <c r="AG243" s="363"/>
      <c r="AH243" s="363"/>
      <c r="AI243" s="358"/>
      <c r="AJ243" s="363"/>
      <c r="AK243" s="440"/>
      <c r="AM243" s="460">
        <v>243</v>
      </c>
      <c r="AN243" s="1078"/>
    </row>
    <row r="244" spans="1:54" ht="14.25" customHeight="1" x14ac:dyDescent="0.25">
      <c r="A244" s="440"/>
      <c r="B244" s="1043"/>
      <c r="C244" s="1036"/>
      <c r="D244" s="494"/>
      <c r="E244" s="1596" t="s">
        <v>359</v>
      </c>
      <c r="F244" s="1596"/>
      <c r="G244" s="1596"/>
      <c r="H244" s="1596"/>
      <c r="I244" s="1597"/>
      <c r="J244" s="1038"/>
      <c r="K244" s="462"/>
      <c r="L244" s="462"/>
      <c r="M244" s="498"/>
      <c r="N244" s="359"/>
      <c r="O244" s="363"/>
      <c r="P244" s="363"/>
      <c r="Q244" s="363"/>
      <c r="R244" s="363"/>
      <c r="S244" s="355">
        <f ca="1">SUBTOTAL(109,S246:S250)</f>
        <v>1845816.6599999997</v>
      </c>
      <c r="T244" s="363"/>
      <c r="U244" s="363"/>
      <c r="V244" s="363"/>
      <c r="W244" s="1093"/>
      <c r="X244" s="1116"/>
      <c r="Y244" s="1116"/>
      <c r="Z244" s="363"/>
      <c r="AA244" s="363"/>
      <c r="AB244" s="363"/>
      <c r="AC244" s="1093"/>
      <c r="AD244" s="1116"/>
      <c r="AE244" s="1116"/>
      <c r="AF244" s="363"/>
      <c r="AG244" s="363"/>
      <c r="AH244" s="363"/>
      <c r="AI244" s="358"/>
      <c r="AJ244" s="363"/>
      <c r="AK244" s="440"/>
      <c r="AM244" s="460">
        <v>244</v>
      </c>
      <c r="AN244" s="1078"/>
    </row>
    <row r="245" spans="1:54" ht="11.25" customHeight="1" x14ac:dyDescent="0.25">
      <c r="A245" s="440"/>
      <c r="B245" s="1042"/>
      <c r="C245" s="1036"/>
      <c r="D245" s="494"/>
      <c r="E245" s="1036"/>
      <c r="F245" s="1036"/>
      <c r="G245" s="1036"/>
      <c r="H245" s="1036"/>
      <c r="I245" s="1035"/>
      <c r="J245" s="1038"/>
      <c r="K245" s="462"/>
      <c r="L245" s="462"/>
      <c r="M245" s="498"/>
      <c r="N245" s="359"/>
      <c r="O245" s="363"/>
      <c r="P245" s="363"/>
      <c r="Q245" s="363"/>
      <c r="R245" s="363"/>
      <c r="S245" s="355"/>
      <c r="T245" s="363"/>
      <c r="U245" s="363"/>
      <c r="V245" s="363"/>
      <c r="W245" s="1093"/>
      <c r="X245" s="1116"/>
      <c r="Y245" s="1116"/>
      <c r="Z245" s="363"/>
      <c r="AA245" s="363"/>
      <c r="AB245" s="363"/>
      <c r="AC245" s="1093"/>
      <c r="AD245" s="1116"/>
      <c r="AE245" s="1116"/>
      <c r="AF245" s="363"/>
      <c r="AG245" s="363"/>
      <c r="AH245" s="363"/>
      <c r="AI245" s="358"/>
      <c r="AJ245" s="363"/>
      <c r="AK245" s="440"/>
      <c r="AM245" s="460">
        <v>245</v>
      </c>
      <c r="AN245" s="1078"/>
    </row>
    <row r="246" spans="1:54" ht="12" customHeight="1" x14ac:dyDescent="0.25">
      <c r="A246" s="440"/>
      <c r="B246" s="1043"/>
      <c r="C246" s="380"/>
      <c r="D246" s="1037"/>
      <c r="E246" s="1084" t="str">
        <f ca="1">IF(AX246="E","",AN246)</f>
        <v>Baumeister</v>
      </c>
      <c r="F246" s="1085"/>
      <c r="G246" s="1264"/>
      <c r="H246" s="1264"/>
      <c r="I246" s="1265"/>
      <c r="J246" s="1038"/>
      <c r="K246" s="462"/>
      <c r="L246" s="462"/>
      <c r="M246" s="345"/>
      <c r="N246" s="528"/>
      <c r="O246" s="345"/>
      <c r="P246" s="543"/>
      <c r="Q246" s="344"/>
      <c r="R246" s="522" t="s">
        <v>363</v>
      </c>
      <c r="S246" s="353">
        <f t="shared" ref="S246:S250" ca="1" si="403">IF(AY246="E",(M246*O246)+Q246,AO246)</f>
        <v>1116603.8639999998</v>
      </c>
      <c r="T246" s="523"/>
      <c r="U246" s="350"/>
      <c r="V246" s="308"/>
      <c r="W246" s="1090" t="str">
        <f t="shared" ref="W246:W250" ca="1" si="404">IF(AZ246="E",IF(AND(V246&lt;&gt;0,U246&lt;&gt;0),"X",IF(AND(V246&lt;&gt;0,U246=0),"A",IF(AND(V246=0,U246&lt;&gt;0),"P",""))),AR246)</f>
        <v/>
      </c>
      <c r="X246" s="1103">
        <f t="shared" ref="X246:X250" ca="1" si="405">IF(AZ246="E",IFERROR(IF(W246="X",0,IF(U246&gt;0,U246,V246/S246)),0),
IFERROR(IF(OR(AR246="X",AR246=0),0,
IF(AR246="P",AP246,IF(AR246="A",AQ246/S246,0))),0))</f>
        <v>0</v>
      </c>
      <c r="Y246" s="1120">
        <f t="shared" ref="Y246:Y250" ca="1" si="406">IF(AZ246="E",IFERROR(IF(W246="X",0,IF(V246&gt;0,V246,S246*U246)),0),
IFERROR(IF(OR(AR246="X",AR246="0"),0,IF(AR246="A",AQ246,S246*AP246)),0))</f>
        <v>0</v>
      </c>
      <c r="Z246" s="524"/>
      <c r="AA246" s="350"/>
      <c r="AB246" s="308"/>
      <c r="AC246" s="1090" t="str">
        <f t="shared" ref="AC246:AC250" ca="1" si="407">IF(BA246="E",IF(AND(AB246&lt;&gt;0,AA246&lt;&gt;0),"X",IF(AND(AB246&lt;&gt;0,AA246=0),"A",IF(AND(AB246=0,AA246&lt;&gt;0),"P",""))),AU246)</f>
        <v/>
      </c>
      <c r="AD246" s="1103">
        <f t="shared" ref="AD246:AD250" ca="1" si="408">IF(BA246="E",IFERROR(IF(AC246="X",0,IF(AA246&gt;0,AA246,AB246/S246)),0),
IFERROR(IF(OR(AU246="X",AU246=0),0,
IF(AU246="P",AS246,IF(AU246="A",AT246/S246,0))),0))</f>
        <v>0</v>
      </c>
      <c r="AE246" s="1120">
        <f t="shared" ref="AE246:AE250" ca="1" si="409">IF(BA246="E",IFERROR(IF(AC246="X",0,IF(AB246&gt;0,AB246,S246*AA246)),0),
IFERROR(IF(OR(AU246="X",AU246=0),0,
IF(AU246="A",AT246,S246*AS246)),0))</f>
        <v>0</v>
      </c>
      <c r="AF246" s="525"/>
      <c r="AG246" s="637"/>
      <c r="AH246" s="525"/>
      <c r="AI246" s="1086">
        <f t="shared" ref="AI246:AI250" ca="1" si="410">IF(BB246="E",AG246,AV246)</f>
        <v>100</v>
      </c>
      <c r="AJ246" s="380"/>
      <c r="AK246" s="440"/>
      <c r="AM246" s="460">
        <v>246</v>
      </c>
      <c r="AN246" s="1087" t="str">
        <f t="shared" ref="AN246:AN250" ca="1" si="411">IF($M$13=$AN$12,"",IF(ISTEXT(INDIRECT("'"&amp;$AM$20&amp;"'!"&amp;AN$21&amp;$AM246)),INDIRECT("'"&amp;$AM$20&amp;"'!"&amp;AN$21&amp;$AM246),INDIRECT("'"&amp;$AM$20&amp;"'!"&amp;AN$22&amp;$AM246)))</f>
        <v>Baumeister</v>
      </c>
      <c r="AO246" s="1083">
        <f t="shared" ref="AO246:AV250" ca="1" si="412">IF($M$13=$AN$12,"",INDIRECT("'"&amp;$AM$20&amp;"'!"&amp;AO$21&amp;$AM246))</f>
        <v>1116603.8639999998</v>
      </c>
      <c r="AP246" s="356">
        <f t="shared" ca="1" si="412"/>
        <v>0</v>
      </c>
      <c r="AQ246" s="357">
        <f t="shared" ca="1" si="412"/>
        <v>0</v>
      </c>
      <c r="AR246" s="524" t="str">
        <f t="shared" ca="1" si="412"/>
        <v/>
      </c>
      <c r="AS246" s="356">
        <f t="shared" ca="1" si="412"/>
        <v>0</v>
      </c>
      <c r="AT246" s="357">
        <f t="shared" ca="1" si="412"/>
        <v>0</v>
      </c>
      <c r="AU246" s="524" t="str">
        <f t="shared" ca="1" si="412"/>
        <v/>
      </c>
      <c r="AV246" s="1083">
        <f t="shared" ca="1" si="412"/>
        <v>100</v>
      </c>
      <c r="AX246" s="1083" t="str">
        <f t="shared" ref="AX246:AX250" si="413">IF($M$13=$AN$12,"E",IF(ISTEXT(F246),"E","U"))</f>
        <v>U</v>
      </c>
      <c r="AY246" s="1083" t="str">
        <f t="shared" ref="AY246:AY250" si="414">IF($M$13=$AN$12,"E",IF(OR(ISNUMBER(M246),ISNUMBER(O246),ISNUMBER(Q246)),"E","U"))</f>
        <v>U</v>
      </c>
      <c r="AZ246" s="1083" t="str">
        <f t="shared" ref="AZ246:AZ250" si="415">IF($M$13=$AN$12,"E",IF(OR(ISNUMBER(U246),ISNUMBER(V246)),"E","U"))</f>
        <v>U</v>
      </c>
      <c r="BA246" s="1083" t="str">
        <f t="shared" ref="BA246:BA250" si="416">IF($M$13=$AN$12,"E",IF(OR(ISNUMBER(AA246),ISNUMBER(AB246)),"E","U"))</f>
        <v>U</v>
      </c>
      <c r="BB246" s="1083" t="str">
        <f t="shared" ref="BB246:BB250" si="417">IF($M$13=$AN$12,"E",IF(ISNUMBER(AG246),"E","U"))</f>
        <v>U</v>
      </c>
    </row>
    <row r="247" spans="1:54" ht="12" customHeight="1" x14ac:dyDescent="0.25">
      <c r="A247" s="440"/>
      <c r="B247" s="1043"/>
      <c r="C247" s="380"/>
      <c r="D247" s="1037"/>
      <c r="E247" s="1084" t="str">
        <f ca="1">IF(AX247="E","",AN247)</f>
        <v>Zimmermann</v>
      </c>
      <c r="F247" s="1085"/>
      <c r="G247" s="1264"/>
      <c r="H247" s="1264"/>
      <c r="I247" s="1265"/>
      <c r="J247" s="1038"/>
      <c r="K247" s="462"/>
      <c r="L247" s="462"/>
      <c r="M247" s="345"/>
      <c r="N247" s="528"/>
      <c r="O247" s="345"/>
      <c r="P247" s="543"/>
      <c r="Q247" s="344"/>
      <c r="R247" s="522" t="s">
        <v>363</v>
      </c>
      <c r="S247" s="353">
        <f t="shared" ca="1" si="403"/>
        <v>22720.5</v>
      </c>
      <c r="T247" s="523"/>
      <c r="U247" s="350"/>
      <c r="V247" s="308"/>
      <c r="W247" s="1090" t="str">
        <f t="shared" ca="1" si="404"/>
        <v/>
      </c>
      <c r="X247" s="1103">
        <f t="shared" ca="1" si="405"/>
        <v>0</v>
      </c>
      <c r="Y247" s="1120">
        <f t="shared" ca="1" si="406"/>
        <v>0</v>
      </c>
      <c r="Z247" s="524"/>
      <c r="AA247" s="350"/>
      <c r="AB247" s="308"/>
      <c r="AC247" s="1090" t="str">
        <f t="shared" ca="1" si="407"/>
        <v/>
      </c>
      <c r="AD247" s="1103">
        <f t="shared" ca="1" si="408"/>
        <v>0</v>
      </c>
      <c r="AE247" s="1120">
        <f t="shared" ca="1" si="409"/>
        <v>0</v>
      </c>
      <c r="AF247" s="525"/>
      <c r="AG247" s="637"/>
      <c r="AH247" s="525"/>
      <c r="AI247" s="1086">
        <f t="shared" ca="1" si="410"/>
        <v>50</v>
      </c>
      <c r="AJ247" s="380"/>
      <c r="AK247" s="440"/>
      <c r="AM247" s="460">
        <v>247</v>
      </c>
      <c r="AN247" s="1087" t="str">
        <f t="shared" ca="1" si="411"/>
        <v>Zimmermann</v>
      </c>
      <c r="AO247" s="1083">
        <f t="shared" ca="1" si="412"/>
        <v>22720.5</v>
      </c>
      <c r="AP247" s="356">
        <f t="shared" ca="1" si="412"/>
        <v>0</v>
      </c>
      <c r="AQ247" s="357">
        <f t="shared" ca="1" si="412"/>
        <v>0</v>
      </c>
      <c r="AR247" s="524" t="str">
        <f t="shared" ca="1" si="412"/>
        <v/>
      </c>
      <c r="AS247" s="356">
        <f t="shared" ca="1" si="412"/>
        <v>0</v>
      </c>
      <c r="AT247" s="357">
        <f t="shared" ca="1" si="412"/>
        <v>0</v>
      </c>
      <c r="AU247" s="524" t="str">
        <f t="shared" ca="1" si="412"/>
        <v/>
      </c>
      <c r="AV247" s="1083">
        <f t="shared" ca="1" si="412"/>
        <v>50</v>
      </c>
      <c r="AX247" s="1083" t="str">
        <f t="shared" si="413"/>
        <v>U</v>
      </c>
      <c r="AY247" s="1083" t="str">
        <f t="shared" si="414"/>
        <v>U</v>
      </c>
      <c r="AZ247" s="1083" t="str">
        <f t="shared" si="415"/>
        <v>U</v>
      </c>
      <c r="BA247" s="1083" t="str">
        <f t="shared" si="416"/>
        <v>U</v>
      </c>
      <c r="BB247" s="1083" t="str">
        <f t="shared" si="417"/>
        <v>U</v>
      </c>
    </row>
    <row r="248" spans="1:54" ht="12" customHeight="1" x14ac:dyDescent="0.25">
      <c r="A248" s="440"/>
      <c r="B248" s="1043"/>
      <c r="C248" s="380"/>
      <c r="D248" s="1037"/>
      <c r="E248" s="1084" t="str">
        <f ca="1">IF(AX248="E","",AN248)</f>
        <v>alle sonst. mit LD100</v>
      </c>
      <c r="F248" s="1085"/>
      <c r="G248" s="1264"/>
      <c r="H248" s="1264"/>
      <c r="I248" s="1265"/>
      <c r="J248" s="1038"/>
      <c r="K248" s="462"/>
      <c r="L248" s="462"/>
      <c r="M248" s="345"/>
      <c r="N248" s="528"/>
      <c r="O248" s="345"/>
      <c r="P248" s="543"/>
      <c r="Q248" s="344"/>
      <c r="R248" s="522" t="s">
        <v>363</v>
      </c>
      <c r="S248" s="353">
        <f t="shared" ca="1" si="403"/>
        <v>507862.68</v>
      </c>
      <c r="T248" s="523"/>
      <c r="U248" s="350"/>
      <c r="V248" s="308"/>
      <c r="W248" s="1090" t="str">
        <f t="shared" ca="1" si="404"/>
        <v/>
      </c>
      <c r="X248" s="1103">
        <f t="shared" ca="1" si="405"/>
        <v>0</v>
      </c>
      <c r="Y248" s="1120">
        <f t="shared" ca="1" si="406"/>
        <v>0</v>
      </c>
      <c r="Z248" s="524"/>
      <c r="AA248" s="350"/>
      <c r="AB248" s="308"/>
      <c r="AC248" s="1090" t="str">
        <f t="shared" ca="1" si="407"/>
        <v/>
      </c>
      <c r="AD248" s="1103">
        <f t="shared" ca="1" si="408"/>
        <v>0</v>
      </c>
      <c r="AE248" s="1120">
        <f t="shared" ca="1" si="409"/>
        <v>0</v>
      </c>
      <c r="AF248" s="525"/>
      <c r="AG248" s="637"/>
      <c r="AH248" s="525"/>
      <c r="AI248" s="1086">
        <f t="shared" ca="1" si="410"/>
        <v>100</v>
      </c>
      <c r="AJ248" s="380"/>
      <c r="AK248" s="440"/>
      <c r="AM248" s="460">
        <v>248</v>
      </c>
      <c r="AN248" s="1087" t="str">
        <f t="shared" ca="1" si="411"/>
        <v>alle sonst. mit LD100</v>
      </c>
      <c r="AO248" s="1083">
        <f t="shared" ca="1" si="412"/>
        <v>507862.68</v>
      </c>
      <c r="AP248" s="356">
        <f t="shared" ca="1" si="412"/>
        <v>0</v>
      </c>
      <c r="AQ248" s="357">
        <f t="shared" ca="1" si="412"/>
        <v>0</v>
      </c>
      <c r="AR248" s="524" t="str">
        <f t="shared" ca="1" si="412"/>
        <v/>
      </c>
      <c r="AS248" s="356">
        <f t="shared" ca="1" si="412"/>
        <v>0</v>
      </c>
      <c r="AT248" s="357">
        <f t="shared" ca="1" si="412"/>
        <v>0</v>
      </c>
      <c r="AU248" s="524" t="str">
        <f t="shared" ca="1" si="412"/>
        <v/>
      </c>
      <c r="AV248" s="1083">
        <f t="shared" ca="1" si="412"/>
        <v>100</v>
      </c>
      <c r="AX248" s="1083" t="str">
        <f t="shared" si="413"/>
        <v>U</v>
      </c>
      <c r="AY248" s="1083" t="str">
        <f t="shared" si="414"/>
        <v>U</v>
      </c>
      <c r="AZ248" s="1083" t="str">
        <f t="shared" si="415"/>
        <v>U</v>
      </c>
      <c r="BA248" s="1083" t="str">
        <f t="shared" si="416"/>
        <v>U</v>
      </c>
      <c r="BB248" s="1083" t="str">
        <f t="shared" si="417"/>
        <v>U</v>
      </c>
    </row>
    <row r="249" spans="1:54" ht="12" customHeight="1" x14ac:dyDescent="0.25">
      <c r="A249" s="440"/>
      <c r="B249" s="1043"/>
      <c r="C249" s="380"/>
      <c r="D249" s="1037"/>
      <c r="E249" s="1084" t="str">
        <f ca="1">IF(AX249="E","",AN249)</f>
        <v>Trockenbau</v>
      </c>
      <c r="F249" s="1085"/>
      <c r="G249" s="1264"/>
      <c r="H249" s="1264"/>
      <c r="I249" s="1265"/>
      <c r="J249" s="1038"/>
      <c r="K249" s="462"/>
      <c r="L249" s="462"/>
      <c r="M249" s="345"/>
      <c r="N249" s="528"/>
      <c r="O249" s="345"/>
      <c r="P249" s="543"/>
      <c r="Q249" s="344"/>
      <c r="R249" s="522" t="s">
        <v>363</v>
      </c>
      <c r="S249" s="353">
        <f t="shared" ca="1" si="403"/>
        <v>138950.43599999999</v>
      </c>
      <c r="T249" s="523"/>
      <c r="U249" s="350"/>
      <c r="V249" s="308"/>
      <c r="W249" s="1090" t="str">
        <f t="shared" ca="1" si="404"/>
        <v/>
      </c>
      <c r="X249" s="1103">
        <f t="shared" ca="1" si="405"/>
        <v>0</v>
      </c>
      <c r="Y249" s="1120">
        <f t="shared" ca="1" si="406"/>
        <v>0</v>
      </c>
      <c r="Z249" s="524"/>
      <c r="AA249" s="350"/>
      <c r="AB249" s="308"/>
      <c r="AC249" s="1090" t="str">
        <f t="shared" ca="1" si="407"/>
        <v/>
      </c>
      <c r="AD249" s="1103">
        <f t="shared" ca="1" si="408"/>
        <v>0</v>
      </c>
      <c r="AE249" s="1120">
        <f t="shared" ca="1" si="409"/>
        <v>0</v>
      </c>
      <c r="AF249" s="525"/>
      <c r="AG249" s="637"/>
      <c r="AH249" s="525"/>
      <c r="AI249" s="1086">
        <f t="shared" ca="1" si="410"/>
        <v>50</v>
      </c>
      <c r="AJ249" s="380"/>
      <c r="AK249" s="440"/>
      <c r="AM249" s="460">
        <v>249</v>
      </c>
      <c r="AN249" s="1087" t="str">
        <f t="shared" ca="1" si="411"/>
        <v>Trockenbau</v>
      </c>
      <c r="AO249" s="1083">
        <f t="shared" ca="1" si="412"/>
        <v>138950.43599999999</v>
      </c>
      <c r="AP249" s="356">
        <f t="shared" ca="1" si="412"/>
        <v>0</v>
      </c>
      <c r="AQ249" s="357">
        <f t="shared" ca="1" si="412"/>
        <v>0</v>
      </c>
      <c r="AR249" s="524" t="str">
        <f t="shared" ca="1" si="412"/>
        <v/>
      </c>
      <c r="AS249" s="356">
        <f t="shared" ca="1" si="412"/>
        <v>0</v>
      </c>
      <c r="AT249" s="357">
        <f t="shared" ca="1" si="412"/>
        <v>0</v>
      </c>
      <c r="AU249" s="524" t="str">
        <f t="shared" ca="1" si="412"/>
        <v/>
      </c>
      <c r="AV249" s="1083">
        <f t="shared" ca="1" si="412"/>
        <v>50</v>
      </c>
      <c r="AX249" s="1083" t="str">
        <f t="shared" si="413"/>
        <v>U</v>
      </c>
      <c r="AY249" s="1083" t="str">
        <f t="shared" si="414"/>
        <v>U</v>
      </c>
      <c r="AZ249" s="1083" t="str">
        <f t="shared" si="415"/>
        <v>U</v>
      </c>
      <c r="BA249" s="1083" t="str">
        <f t="shared" si="416"/>
        <v>U</v>
      </c>
      <c r="BB249" s="1083" t="str">
        <f t="shared" si="417"/>
        <v>U</v>
      </c>
    </row>
    <row r="250" spans="1:54" ht="12" customHeight="1" x14ac:dyDescent="0.25">
      <c r="A250" s="440"/>
      <c r="B250" s="1043"/>
      <c r="C250" s="380"/>
      <c r="D250" s="1037"/>
      <c r="E250" s="1084" t="str">
        <f ca="1">IF(AX250="E","",AN250)</f>
        <v>Türen mit Stahlzargen</v>
      </c>
      <c r="F250" s="1085"/>
      <c r="G250" s="1264"/>
      <c r="H250" s="1264"/>
      <c r="I250" s="1265"/>
      <c r="J250" s="1038"/>
      <c r="K250" s="462"/>
      <c r="L250" s="462"/>
      <c r="M250" s="344"/>
      <c r="N250" s="528"/>
      <c r="O250" s="344"/>
      <c r="P250" s="543"/>
      <c r="Q250" s="344"/>
      <c r="R250" s="522" t="s">
        <v>363</v>
      </c>
      <c r="S250" s="353">
        <f t="shared" ca="1" si="403"/>
        <v>59679.18</v>
      </c>
      <c r="T250" s="523"/>
      <c r="U250" s="350"/>
      <c r="V250" s="308"/>
      <c r="W250" s="1090" t="str">
        <f t="shared" ca="1" si="404"/>
        <v/>
      </c>
      <c r="X250" s="1103">
        <f t="shared" ca="1" si="405"/>
        <v>0</v>
      </c>
      <c r="Y250" s="1120">
        <f t="shared" ca="1" si="406"/>
        <v>0</v>
      </c>
      <c r="Z250" s="524"/>
      <c r="AA250" s="350"/>
      <c r="AB250" s="308"/>
      <c r="AC250" s="1090" t="str">
        <f t="shared" ca="1" si="407"/>
        <v/>
      </c>
      <c r="AD250" s="1103">
        <f t="shared" ca="1" si="408"/>
        <v>0</v>
      </c>
      <c r="AE250" s="1120">
        <f t="shared" ca="1" si="409"/>
        <v>0</v>
      </c>
      <c r="AF250" s="525"/>
      <c r="AG250" s="637"/>
      <c r="AH250" s="525"/>
      <c r="AI250" s="1086">
        <f t="shared" ca="1" si="410"/>
        <v>100</v>
      </c>
      <c r="AJ250" s="380"/>
      <c r="AK250" s="440"/>
      <c r="AM250" s="460">
        <v>250</v>
      </c>
      <c r="AN250" s="1087" t="str">
        <f t="shared" ca="1" si="411"/>
        <v>Türen mit Stahlzargen</v>
      </c>
      <c r="AO250" s="1083">
        <f t="shared" ca="1" si="412"/>
        <v>59679.18</v>
      </c>
      <c r="AP250" s="356">
        <f t="shared" ca="1" si="412"/>
        <v>0</v>
      </c>
      <c r="AQ250" s="357">
        <f t="shared" ca="1" si="412"/>
        <v>0</v>
      </c>
      <c r="AR250" s="524" t="str">
        <f t="shared" ca="1" si="412"/>
        <v/>
      </c>
      <c r="AS250" s="356">
        <f t="shared" ca="1" si="412"/>
        <v>0</v>
      </c>
      <c r="AT250" s="357">
        <f t="shared" ca="1" si="412"/>
        <v>0</v>
      </c>
      <c r="AU250" s="524" t="str">
        <f t="shared" ca="1" si="412"/>
        <v/>
      </c>
      <c r="AV250" s="1083">
        <f t="shared" ca="1" si="412"/>
        <v>100</v>
      </c>
      <c r="AX250" s="1083" t="str">
        <f t="shared" si="413"/>
        <v>U</v>
      </c>
      <c r="AY250" s="1083" t="str">
        <f t="shared" si="414"/>
        <v>U</v>
      </c>
      <c r="AZ250" s="1083" t="str">
        <f t="shared" si="415"/>
        <v>U</v>
      </c>
      <c r="BA250" s="1083" t="str">
        <f t="shared" si="416"/>
        <v>U</v>
      </c>
      <c r="BB250" s="1083" t="str">
        <f t="shared" si="417"/>
        <v>U</v>
      </c>
    </row>
    <row r="251" spans="1:54" ht="11.25" collapsed="1" x14ac:dyDescent="0.2">
      <c r="A251" s="440"/>
      <c r="B251" s="324"/>
      <c r="C251" s="378"/>
      <c r="D251" s="378"/>
      <c r="E251" s="378"/>
      <c r="F251" s="378"/>
      <c r="G251" s="378"/>
      <c r="H251" s="378"/>
      <c r="I251" s="378"/>
      <c r="J251" s="378"/>
      <c r="K251" s="378"/>
      <c r="L251" s="378"/>
      <c r="M251" s="560"/>
      <c r="N251" s="561"/>
      <c r="O251" s="378"/>
      <c r="P251" s="378"/>
      <c r="Q251" s="378"/>
      <c r="R251" s="378"/>
      <c r="S251" s="378"/>
      <c r="T251" s="378"/>
      <c r="U251" s="378"/>
      <c r="V251" s="378"/>
      <c r="W251" s="378"/>
      <c r="X251" s="378"/>
      <c r="Y251" s="378"/>
      <c r="Z251" s="378"/>
      <c r="AA251" s="378"/>
      <c r="AB251" s="378"/>
      <c r="AC251" s="378"/>
      <c r="AD251" s="378"/>
      <c r="AE251" s="378"/>
      <c r="AF251" s="378"/>
      <c r="AG251" s="378"/>
      <c r="AH251" s="378"/>
      <c r="AI251" s="510"/>
      <c r="AJ251" s="378"/>
      <c r="AK251" s="440"/>
      <c r="AM251" s="460">
        <v>251</v>
      </c>
      <c r="AN251" s="1078"/>
    </row>
    <row r="252" spans="1:54" ht="11.25" x14ac:dyDescent="0.2">
      <c r="A252" s="440"/>
      <c r="B252" s="1043"/>
      <c r="C252" s="380"/>
      <c r="D252" s="380"/>
      <c r="E252" s="380"/>
      <c r="F252" s="380"/>
      <c r="G252" s="380"/>
      <c r="H252" s="380"/>
      <c r="I252" s="380"/>
      <c r="J252" s="380"/>
      <c r="K252" s="463"/>
      <c r="L252" s="463"/>
      <c r="M252" s="532"/>
      <c r="N252" s="463"/>
      <c r="O252" s="380"/>
      <c r="P252" s="380"/>
      <c r="Q252" s="380"/>
      <c r="R252" s="380"/>
      <c r="S252" s="380"/>
      <c r="T252" s="380"/>
      <c r="U252" s="380"/>
      <c r="V252" s="380"/>
      <c r="W252" s="380"/>
      <c r="X252" s="380"/>
      <c r="Y252" s="380"/>
      <c r="Z252" s="380"/>
      <c r="AA252" s="380"/>
      <c r="AB252" s="380"/>
      <c r="AC252" s="380"/>
      <c r="AD252" s="380"/>
      <c r="AE252" s="380"/>
      <c r="AF252" s="380"/>
      <c r="AG252" s="380"/>
      <c r="AH252" s="380"/>
      <c r="AI252" s="464"/>
      <c r="AJ252" s="380"/>
      <c r="AK252" s="440"/>
      <c r="AM252" s="460">
        <v>252</v>
      </c>
      <c r="AN252" s="1078"/>
    </row>
    <row r="253" spans="1:54" ht="11.25" x14ac:dyDescent="0.2">
      <c r="A253" s="440"/>
      <c r="B253" s="1043"/>
      <c r="C253" s="380"/>
      <c r="D253" s="380"/>
      <c r="E253" s="380"/>
      <c r="F253" s="380"/>
      <c r="G253" s="380"/>
      <c r="H253" s="380"/>
      <c r="I253" s="380"/>
      <c r="J253" s="380"/>
      <c r="K253" s="463"/>
      <c r="L253" s="463"/>
      <c r="M253" s="532"/>
      <c r="N253" s="463"/>
      <c r="O253" s="380"/>
      <c r="P253" s="380"/>
      <c r="Q253" s="380"/>
      <c r="R253" s="380"/>
      <c r="S253" s="380"/>
      <c r="T253" s="380"/>
      <c r="U253" s="380"/>
      <c r="V253" s="380"/>
      <c r="W253" s="380"/>
      <c r="X253" s="380"/>
      <c r="Y253" s="380"/>
      <c r="Z253" s="380"/>
      <c r="AA253" s="380"/>
      <c r="AB253" s="380"/>
      <c r="AC253" s="380"/>
      <c r="AD253" s="380"/>
      <c r="AE253" s="380"/>
      <c r="AF253" s="380"/>
      <c r="AG253" s="380"/>
      <c r="AH253" s="380"/>
      <c r="AI253" s="464"/>
      <c r="AJ253" s="380"/>
      <c r="AK253" s="440"/>
      <c r="AM253" s="460">
        <v>253</v>
      </c>
      <c r="AN253" s="1078"/>
    </row>
    <row r="254" spans="1:54" ht="12.75" customHeight="1" x14ac:dyDescent="0.25">
      <c r="A254" s="440"/>
      <c r="B254" s="493" t="s">
        <v>366</v>
      </c>
      <c r="C254" s="494"/>
      <c r="D254" s="495"/>
      <c r="E254" s="1606" t="s">
        <v>365</v>
      </c>
      <c r="F254" s="1606"/>
      <c r="G254" s="1606"/>
      <c r="H254" s="1606"/>
      <c r="I254" s="1597"/>
      <c r="J254" s="1038"/>
      <c r="K254" s="462"/>
      <c r="L254" s="462"/>
      <c r="M254" s="498"/>
      <c r="N254" s="359"/>
      <c r="O254" s="363"/>
      <c r="P254" s="363"/>
      <c r="Q254" s="363"/>
      <c r="R254" s="363"/>
      <c r="S254" s="385">
        <f ca="1">S255</f>
        <v>0</v>
      </c>
      <c r="T254" s="363"/>
      <c r="U254" s="363"/>
      <c r="V254" s="363"/>
      <c r="W254" s="363"/>
      <c r="X254" s="363"/>
      <c r="Y254" s="363"/>
      <c r="Z254" s="363"/>
      <c r="AA254" s="363"/>
      <c r="AB254" s="363"/>
      <c r="AC254" s="363"/>
      <c r="AD254" s="363"/>
      <c r="AE254" s="363"/>
      <c r="AF254" s="363"/>
      <c r="AG254" s="363"/>
      <c r="AH254" s="363"/>
      <c r="AI254" s="358"/>
      <c r="AJ254" s="363"/>
      <c r="AK254" s="440"/>
      <c r="AM254" s="460">
        <v>254</v>
      </c>
      <c r="AN254" s="1078"/>
    </row>
    <row r="255" spans="1:54" ht="12.75" customHeight="1" x14ac:dyDescent="0.25">
      <c r="A255" s="440"/>
      <c r="B255" s="493"/>
      <c r="C255" s="494"/>
      <c r="D255" s="495"/>
      <c r="E255" s="1034"/>
      <c r="F255" s="1034"/>
      <c r="G255" s="1034"/>
      <c r="H255" s="1034"/>
      <c r="I255" s="1035"/>
      <c r="J255" s="1038"/>
      <c r="K255" s="462"/>
      <c r="L255" s="462"/>
      <c r="M255" s="498"/>
      <c r="N255" s="359"/>
      <c r="O255" s="363"/>
      <c r="P255" s="363"/>
      <c r="Q255" s="363"/>
      <c r="R255" s="363"/>
      <c r="S255" s="355">
        <f ca="1">SUBTOTAL(109,S256:S258)</f>
        <v>0</v>
      </c>
      <c r="T255" s="363"/>
      <c r="U255" s="363"/>
      <c r="V255" s="363"/>
      <c r="W255" s="363"/>
      <c r="X255" s="363"/>
      <c r="Y255" s="363"/>
      <c r="Z255" s="363"/>
      <c r="AA255" s="363"/>
      <c r="AB255" s="363"/>
      <c r="AC255" s="363"/>
      <c r="AD255" s="363"/>
      <c r="AE255" s="363"/>
      <c r="AF255" s="363"/>
      <c r="AG255" s="363"/>
      <c r="AH255" s="363"/>
      <c r="AI255" s="358"/>
      <c r="AJ255" s="363"/>
      <c r="AK255" s="440"/>
      <c r="AM255" s="460">
        <v>255</v>
      </c>
      <c r="AN255" s="1078"/>
    </row>
    <row r="256" spans="1:54" ht="11.25" x14ac:dyDescent="0.2">
      <c r="A256" s="440"/>
      <c r="B256" s="1043"/>
      <c r="C256" s="380"/>
      <c r="D256" s="380"/>
      <c r="E256" s="1084">
        <f ca="1">IF(AX256="E","",AN256)</f>
        <v>0</v>
      </c>
      <c r="F256" s="1085"/>
      <c r="G256" s="1264"/>
      <c r="H256" s="1264"/>
      <c r="I256" s="1265"/>
      <c r="J256" s="559"/>
      <c r="K256" s="463"/>
      <c r="L256" s="463"/>
      <c r="M256" s="339"/>
      <c r="N256" s="359" t="s">
        <v>67</v>
      </c>
      <c r="O256" s="339"/>
      <c r="P256" s="363"/>
      <c r="Q256" s="344"/>
      <c r="R256" s="522" t="s">
        <v>363</v>
      </c>
      <c r="S256" s="353">
        <f t="shared" ref="S256:S258" ca="1" si="418">IF(AY256="E",(M256*O256)+Q256,AO256)</f>
        <v>0</v>
      </c>
      <c r="T256" s="363"/>
      <c r="U256" s="381"/>
      <c r="V256" s="363"/>
      <c r="W256" s="363"/>
      <c r="X256" s="381"/>
      <c r="Y256" s="363"/>
      <c r="Z256" s="363"/>
      <c r="AA256" s="381"/>
      <c r="AB256" s="363"/>
      <c r="AC256" s="363"/>
      <c r="AD256" s="381"/>
      <c r="AE256" s="363"/>
      <c r="AF256" s="363"/>
      <c r="AG256" s="363"/>
      <c r="AH256" s="363"/>
      <c r="AI256" s="358"/>
      <c r="AJ256" s="363"/>
      <c r="AK256" s="440"/>
      <c r="AM256" s="460">
        <v>256</v>
      </c>
      <c r="AN256" s="1087">
        <f ca="1">IF($M$13=$AN$12,"",IF(ISTEXT(INDIRECT("'"&amp;$AM$20&amp;"'!"&amp;AN$21&amp;$AM256)),INDIRECT("'"&amp;$AM$20&amp;"'!"&amp;AN$21&amp;$AM256),INDIRECT("'"&amp;$AM$20&amp;"'!"&amp;AN$22&amp;$AM256)))</f>
        <v>0</v>
      </c>
      <c r="AO256" s="1083">
        <f ca="1">IF($M$13=$AN$12,"",INDIRECT("'"&amp;$AM$20&amp;"'!"&amp;AO$21&amp;$AM256))</f>
        <v>0</v>
      </c>
      <c r="AX256" s="1083" t="str">
        <f>IF($M$13=$AN$12,"E",IF(ISTEXT(F256),"E","U"))</f>
        <v>U</v>
      </c>
      <c r="AY256" s="1083" t="str">
        <f>IF($M$13=$AN$12,"E",IF(OR(ISNUMBER(M256),ISNUMBER(O256),ISNUMBER(Q256)),"E","U"))</f>
        <v>U</v>
      </c>
    </row>
    <row r="257" spans="1:51" ht="11.25" x14ac:dyDescent="0.2">
      <c r="A257" s="440"/>
      <c r="B257" s="1043"/>
      <c r="C257" s="380"/>
      <c r="D257" s="380"/>
      <c r="E257" s="1084">
        <f ca="1">IF(AX257="E","",AN257)</f>
        <v>0</v>
      </c>
      <c r="F257" s="1085"/>
      <c r="G257" s="1264"/>
      <c r="H257" s="1264"/>
      <c r="I257" s="1265"/>
      <c r="J257" s="559"/>
      <c r="K257" s="463"/>
      <c r="L257" s="463"/>
      <c r="M257" s="339"/>
      <c r="N257" s="359" t="s">
        <v>67</v>
      </c>
      <c r="O257" s="339"/>
      <c r="P257" s="363"/>
      <c r="Q257" s="344"/>
      <c r="R257" s="522" t="s">
        <v>363</v>
      </c>
      <c r="S257" s="353">
        <f t="shared" ca="1" si="418"/>
        <v>0</v>
      </c>
      <c r="T257" s="380"/>
      <c r="U257" s="380"/>
      <c r="V257" s="380"/>
      <c r="W257" s="380"/>
      <c r="X257" s="380"/>
      <c r="Y257" s="380"/>
      <c r="Z257" s="380"/>
      <c r="AA257" s="380"/>
      <c r="AB257" s="380"/>
      <c r="AC257" s="380"/>
      <c r="AD257" s="380"/>
      <c r="AE257" s="380"/>
      <c r="AF257" s="380"/>
      <c r="AG257" s="380"/>
      <c r="AH257" s="380"/>
      <c r="AI257" s="464"/>
      <c r="AJ257" s="380"/>
      <c r="AK257" s="440"/>
      <c r="AM257" s="460">
        <v>257</v>
      </c>
      <c r="AN257" s="1087">
        <f ca="1">IF($M$13=$AN$12,"",IF(ISTEXT(INDIRECT("'"&amp;$AM$20&amp;"'!"&amp;AN$21&amp;$AM257)),INDIRECT("'"&amp;$AM$20&amp;"'!"&amp;AN$21&amp;$AM257),INDIRECT("'"&amp;$AM$20&amp;"'!"&amp;AN$22&amp;$AM257)))</f>
        <v>0</v>
      </c>
      <c r="AO257" s="1083">
        <f ca="1">IF($M$13=$AN$12,"",INDIRECT("'"&amp;$AM$20&amp;"'!"&amp;AO$21&amp;$AM257))</f>
        <v>0</v>
      </c>
      <c r="AX257" s="1083" t="str">
        <f>IF($M$13=$AN$12,"E",IF(ISTEXT(F257),"E","U"))</f>
        <v>U</v>
      </c>
      <c r="AY257" s="1083" t="str">
        <f>IF($M$13=$AN$12,"E",IF(OR(ISNUMBER(M257),ISNUMBER(O257),ISNUMBER(Q257)),"E","U"))</f>
        <v>U</v>
      </c>
    </row>
    <row r="258" spans="1:51" ht="11.25" x14ac:dyDescent="0.2">
      <c r="A258" s="440"/>
      <c r="B258" s="1043"/>
      <c r="C258" s="380"/>
      <c r="D258" s="380"/>
      <c r="E258" s="1084">
        <f ca="1">IF(AX258="E","",AN258)</f>
        <v>0</v>
      </c>
      <c r="F258" s="1085"/>
      <c r="G258" s="1264"/>
      <c r="H258" s="1264"/>
      <c r="I258" s="1265"/>
      <c r="J258" s="559"/>
      <c r="K258" s="463"/>
      <c r="L258" s="463"/>
      <c r="M258" s="339"/>
      <c r="N258" s="359" t="s">
        <v>67</v>
      </c>
      <c r="O258" s="339"/>
      <c r="P258" s="363"/>
      <c r="Q258" s="344"/>
      <c r="R258" s="522" t="s">
        <v>363</v>
      </c>
      <c r="S258" s="353">
        <f t="shared" ca="1" si="418"/>
        <v>0</v>
      </c>
      <c r="T258" s="380"/>
      <c r="U258" s="380"/>
      <c r="V258" s="380"/>
      <c r="W258" s="380"/>
      <c r="X258" s="380"/>
      <c r="Y258" s="380"/>
      <c r="Z258" s="380"/>
      <c r="AA258" s="380"/>
      <c r="AB258" s="380"/>
      <c r="AC258" s="380"/>
      <c r="AD258" s="380"/>
      <c r="AE258" s="380"/>
      <c r="AF258" s="380"/>
      <c r="AG258" s="380"/>
      <c r="AH258" s="380"/>
      <c r="AI258" s="464"/>
      <c r="AJ258" s="380"/>
      <c r="AK258" s="440"/>
      <c r="AM258" s="460">
        <v>258</v>
      </c>
      <c r="AN258" s="1087">
        <f ca="1">IF($M$13=$AN$12,"",IF(ISTEXT(INDIRECT("'"&amp;$AM$20&amp;"'!"&amp;AN$21&amp;$AM258)),INDIRECT("'"&amp;$AM$20&amp;"'!"&amp;AN$21&amp;$AM258),INDIRECT("'"&amp;$AM$20&amp;"'!"&amp;AN$22&amp;$AM258)))</f>
        <v>0</v>
      </c>
      <c r="AO258" s="1083">
        <f ca="1">IF($M$13=$AN$12,"",INDIRECT("'"&amp;$AM$20&amp;"'!"&amp;AO$21&amp;$AM258))</f>
        <v>0</v>
      </c>
      <c r="AX258" s="1083" t="str">
        <f>IF($M$13=$AN$12,"E",IF(ISTEXT(F258),"E","U"))</f>
        <v>U</v>
      </c>
      <c r="AY258" s="1083" t="str">
        <f>IF($M$13=$AN$12,"E",IF(OR(ISNUMBER(M258),ISNUMBER(O258),ISNUMBER(Q258)),"E","U"))</f>
        <v>U</v>
      </c>
    </row>
    <row r="259" spans="1:51" ht="11.25" collapsed="1" x14ac:dyDescent="0.2">
      <c r="A259" s="440"/>
      <c r="B259" s="1043"/>
      <c r="C259" s="380"/>
      <c r="D259" s="380"/>
      <c r="E259" s="380"/>
      <c r="F259" s="380"/>
      <c r="G259" s="380"/>
      <c r="H259" s="380"/>
      <c r="I259" s="380"/>
      <c r="J259" s="380"/>
      <c r="K259" s="463"/>
      <c r="L259" s="463"/>
      <c r="M259" s="380"/>
      <c r="N259" s="463"/>
      <c r="O259" s="380"/>
      <c r="P259" s="380"/>
      <c r="Q259" s="380"/>
      <c r="R259" s="380"/>
      <c r="S259" s="380"/>
      <c r="T259" s="380"/>
      <c r="U259" s="380"/>
      <c r="V259" s="380"/>
      <c r="W259" s="380"/>
      <c r="X259" s="380"/>
      <c r="Y259" s="380"/>
      <c r="Z259" s="380"/>
      <c r="AA259" s="380"/>
      <c r="AB259" s="380"/>
      <c r="AC259" s="380"/>
      <c r="AD259" s="380"/>
      <c r="AE259" s="380"/>
      <c r="AF259" s="380"/>
      <c r="AG259" s="380"/>
      <c r="AH259" s="380"/>
      <c r="AI259" s="464"/>
      <c r="AJ259" s="380"/>
      <c r="AK259" s="440"/>
      <c r="AM259" s="460">
        <v>259</v>
      </c>
      <c r="AN259" s="1078"/>
    </row>
    <row r="260" spans="1:51" ht="11.25" x14ac:dyDescent="0.2">
      <c r="A260" s="440"/>
      <c r="B260" s="1043"/>
      <c r="C260" s="380"/>
      <c r="D260" s="380"/>
      <c r="E260" s="380"/>
      <c r="F260" s="380"/>
      <c r="G260" s="380"/>
      <c r="H260" s="380"/>
      <c r="I260" s="380"/>
      <c r="J260" s="380"/>
      <c r="K260" s="463"/>
      <c r="L260" s="463"/>
      <c r="M260" s="380"/>
      <c r="N260" s="463"/>
      <c r="O260" s="380"/>
      <c r="P260" s="380"/>
      <c r="Q260" s="380"/>
      <c r="R260" s="380"/>
      <c r="S260" s="380"/>
      <c r="T260" s="380"/>
      <c r="U260" s="380"/>
      <c r="V260" s="380"/>
      <c r="W260" s="380"/>
      <c r="X260" s="380"/>
      <c r="Y260" s="380"/>
      <c r="Z260" s="380"/>
      <c r="AA260" s="380"/>
      <c r="AB260" s="380"/>
      <c r="AC260" s="380"/>
      <c r="AD260" s="380"/>
      <c r="AE260" s="380"/>
      <c r="AF260" s="380"/>
      <c r="AG260" s="380"/>
      <c r="AH260" s="380"/>
      <c r="AI260" s="464"/>
      <c r="AJ260" s="380"/>
      <c r="AK260" s="440"/>
      <c r="AM260" s="460">
        <v>260</v>
      </c>
      <c r="AN260" s="1078"/>
    </row>
    <row r="261" spans="1:51" ht="11.25" x14ac:dyDescent="0.2">
      <c r="A261" s="440"/>
      <c r="B261" s="324"/>
      <c r="C261" s="378"/>
      <c r="D261" s="378"/>
      <c r="E261" s="378"/>
      <c r="F261" s="378"/>
      <c r="G261" s="378"/>
      <c r="H261" s="378"/>
      <c r="I261" s="378"/>
      <c r="J261" s="378"/>
      <c r="K261" s="561"/>
      <c r="L261" s="561"/>
      <c r="M261" s="378"/>
      <c r="N261" s="561"/>
      <c r="O261" s="378"/>
      <c r="P261" s="378"/>
      <c r="Q261" s="378"/>
      <c r="R261" s="378"/>
      <c r="S261" s="378"/>
      <c r="T261" s="378"/>
      <c r="U261" s="378"/>
      <c r="V261" s="378"/>
      <c r="W261" s="378"/>
      <c r="X261" s="378"/>
      <c r="Y261" s="378"/>
      <c r="Z261" s="378"/>
      <c r="AA261" s="378"/>
      <c r="AB261" s="378"/>
      <c r="AC261" s="378"/>
      <c r="AD261" s="378"/>
      <c r="AE261" s="378"/>
      <c r="AF261" s="378"/>
      <c r="AG261" s="378"/>
      <c r="AH261" s="378"/>
      <c r="AI261" s="510"/>
      <c r="AJ261" s="378"/>
      <c r="AK261" s="440"/>
      <c r="AM261" s="460">
        <v>261</v>
      </c>
      <c r="AN261" s="1078"/>
    </row>
    <row r="262" spans="1:51" ht="11.25" x14ac:dyDescent="0.2">
      <c r="A262" s="440"/>
      <c r="B262" s="440"/>
      <c r="C262" s="440"/>
      <c r="D262" s="440"/>
      <c r="E262" s="440"/>
      <c r="F262" s="440"/>
      <c r="G262" s="440"/>
      <c r="H262" s="440"/>
      <c r="I262" s="440"/>
      <c r="J262" s="440"/>
      <c r="K262" s="440"/>
      <c r="L262" s="440"/>
      <c r="M262" s="440"/>
      <c r="N262" s="440"/>
      <c r="O262" s="440"/>
      <c r="P262" s="440"/>
      <c r="Q262" s="440"/>
      <c r="R262" s="440"/>
      <c r="S262" s="440"/>
      <c r="T262" s="440"/>
      <c r="U262" s="440"/>
      <c r="V262" s="440"/>
      <c r="W262" s="440"/>
      <c r="X262" s="440"/>
      <c r="Y262" s="440"/>
      <c r="Z262" s="440"/>
      <c r="AA262" s="440"/>
      <c r="AB262" s="440"/>
      <c r="AC262" s="440"/>
      <c r="AD262" s="440"/>
      <c r="AE262" s="440"/>
      <c r="AF262" s="440"/>
      <c r="AG262" s="440"/>
      <c r="AH262" s="440"/>
      <c r="AI262" s="440"/>
      <c r="AJ262" s="440"/>
      <c r="AK262" s="440"/>
    </row>
    <row r="263" spans="1:51" ht="11.25" x14ac:dyDescent="0.2">
      <c r="AC263" s="569"/>
      <c r="AD263" s="460"/>
    </row>
    <row r="264" spans="1:51" ht="11.25" x14ac:dyDescent="0.2">
      <c r="Z264" s="568"/>
      <c r="AA264" s="569"/>
      <c r="AB264" s="569"/>
      <c r="AC264" s="569"/>
      <c r="AD264" s="460"/>
    </row>
    <row r="265" spans="1:51" ht="11.25" x14ac:dyDescent="0.2">
      <c r="Z265" s="568"/>
      <c r="AA265" s="569"/>
      <c r="AB265" s="569"/>
      <c r="AC265" s="569"/>
      <c r="AD265" s="460"/>
    </row>
    <row r="266" spans="1:51" ht="11.25" x14ac:dyDescent="0.2">
      <c r="Z266" s="568"/>
      <c r="AA266" s="569"/>
      <c r="AB266" s="569"/>
      <c r="AC266" s="569"/>
      <c r="AD266" s="460"/>
    </row>
    <row r="267" spans="1:51" ht="11.25" x14ac:dyDescent="0.2">
      <c r="Z267" s="568"/>
      <c r="AA267" s="569"/>
      <c r="AB267" s="569"/>
      <c r="AC267" s="569"/>
      <c r="AD267" s="460"/>
    </row>
    <row r="268" spans="1:51" ht="11.25" x14ac:dyDescent="0.2">
      <c r="Z268" s="568"/>
      <c r="AA268" s="569"/>
      <c r="AB268" s="569"/>
      <c r="AC268" s="569"/>
      <c r="AD268" s="460"/>
    </row>
    <row r="269" spans="1:51" ht="11.25" x14ac:dyDescent="0.2">
      <c r="Z269" s="568"/>
      <c r="AA269" s="569"/>
      <c r="AB269" s="569"/>
      <c r="AC269" s="569"/>
      <c r="AD269" s="460"/>
    </row>
    <row r="270" spans="1:51" ht="11.25" x14ac:dyDescent="0.2">
      <c r="AC270" s="569"/>
      <c r="AD270" s="460"/>
    </row>
    <row r="271" spans="1:51" ht="11.25" x14ac:dyDescent="0.2">
      <c r="AC271" s="569"/>
      <c r="AD271" s="460"/>
    </row>
    <row r="272" spans="1:51" ht="11.25" x14ac:dyDescent="0.2">
      <c r="AC272" s="569"/>
      <c r="AD272" s="460"/>
    </row>
    <row r="273" spans="26:30" ht="11.25" x14ac:dyDescent="0.2">
      <c r="AC273" s="569"/>
      <c r="AD273" s="460"/>
    </row>
    <row r="274" spans="26:30" ht="11.25" x14ac:dyDescent="0.2">
      <c r="AC274" s="569"/>
      <c r="AD274" s="460"/>
    </row>
    <row r="275" spans="26:30" ht="11.25" x14ac:dyDescent="0.2">
      <c r="AC275" s="569"/>
      <c r="AD275" s="460"/>
    </row>
    <row r="276" spans="26:30" ht="11.25" x14ac:dyDescent="0.2">
      <c r="AC276" s="569"/>
      <c r="AD276" s="460"/>
    </row>
    <row r="277" spans="26:30" ht="11.25" x14ac:dyDescent="0.2">
      <c r="AC277" s="569"/>
      <c r="AD277" s="460"/>
    </row>
    <row r="278" spans="26:30" ht="11.25" x14ac:dyDescent="0.2">
      <c r="Z278" s="568"/>
      <c r="AA278" s="569"/>
      <c r="AB278" s="569"/>
      <c r="AC278" s="569"/>
      <c r="AD278" s="460"/>
    </row>
    <row r="279" spans="26:30" ht="11.25" x14ac:dyDescent="0.2">
      <c r="Z279" s="568"/>
      <c r="AA279" s="569"/>
      <c r="AB279" s="569"/>
      <c r="AC279" s="569"/>
      <c r="AD279" s="460"/>
    </row>
    <row r="280" spans="26:30" ht="11.25" x14ac:dyDescent="0.2">
      <c r="Z280" s="568"/>
      <c r="AA280" s="569"/>
      <c r="AB280" s="569"/>
      <c r="AC280" s="569"/>
      <c r="AD280" s="460"/>
    </row>
    <row r="281" spans="26:30" ht="11.25" x14ac:dyDescent="0.2">
      <c r="Z281" s="568"/>
      <c r="AA281" s="569"/>
      <c r="AB281" s="569"/>
      <c r="AC281" s="569"/>
      <c r="AD281" s="460"/>
    </row>
    <row r="282" spans="26:30" ht="11.25" x14ac:dyDescent="0.2">
      <c r="Z282" s="568"/>
      <c r="AA282" s="569"/>
      <c r="AB282" s="569"/>
      <c r="AC282" s="569"/>
      <c r="AD282" s="460"/>
    </row>
    <row r="283" spans="26:30" ht="11.25" x14ac:dyDescent="0.2">
      <c r="Z283" s="568"/>
      <c r="AA283" s="569"/>
      <c r="AB283" s="569"/>
      <c r="AC283" s="569"/>
      <c r="AD283" s="460"/>
    </row>
    <row r="284" spans="26:30" ht="11.25" x14ac:dyDescent="0.2">
      <c r="Z284" s="568"/>
      <c r="AA284" s="569"/>
      <c r="AB284" s="569"/>
      <c r="AC284" s="569"/>
      <c r="AD284" s="460"/>
    </row>
    <row r="285" spans="26:30" ht="11.25" x14ac:dyDescent="0.2">
      <c r="Z285" s="568"/>
      <c r="AA285" s="569"/>
      <c r="AB285" s="569"/>
      <c r="AC285" s="569"/>
      <c r="AD285" s="460"/>
    </row>
    <row r="286" spans="26:30" ht="11.25" x14ac:dyDescent="0.2">
      <c r="Z286" s="568"/>
      <c r="AA286" s="569"/>
      <c r="AB286" s="569"/>
      <c r="AC286" s="569"/>
      <c r="AD286" s="460"/>
    </row>
    <row r="287" spans="26:30" ht="11.25" x14ac:dyDescent="0.2">
      <c r="Z287" s="568"/>
      <c r="AA287" s="569"/>
      <c r="AB287" s="569"/>
      <c r="AC287" s="569"/>
      <c r="AD287" s="460"/>
    </row>
    <row r="288" spans="26:30" ht="11.25" x14ac:dyDescent="0.2">
      <c r="Z288" s="568"/>
      <c r="AA288" s="569"/>
      <c r="AB288" s="569"/>
      <c r="AC288" s="569"/>
      <c r="AD288" s="460"/>
    </row>
    <row r="289" spans="26:30" ht="11.25" x14ac:dyDescent="0.2">
      <c r="Z289" s="568"/>
      <c r="AA289" s="569"/>
      <c r="AB289" s="569"/>
      <c r="AC289" s="569"/>
      <c r="AD289" s="460"/>
    </row>
    <row r="290" spans="26:30" ht="11.25" x14ac:dyDescent="0.2">
      <c r="Z290" s="568"/>
      <c r="AA290" s="569"/>
      <c r="AB290" s="569"/>
      <c r="AC290" s="569"/>
      <c r="AD290" s="460"/>
    </row>
    <row r="291" spans="26:30" ht="11.25" x14ac:dyDescent="0.2">
      <c r="Z291" s="568"/>
      <c r="AA291" s="569"/>
      <c r="AB291" s="569"/>
      <c r="AC291" s="569"/>
      <c r="AD291" s="460"/>
    </row>
    <row r="292" spans="26:30" ht="11.25" x14ac:dyDescent="0.2">
      <c r="Z292" s="568"/>
      <c r="AA292" s="569"/>
      <c r="AB292" s="569"/>
      <c r="AC292" s="569"/>
      <c r="AD292" s="460"/>
    </row>
    <row r="293" spans="26:30" ht="11.25" x14ac:dyDescent="0.2">
      <c r="Z293" s="568"/>
      <c r="AA293" s="569"/>
      <c r="AB293" s="569"/>
      <c r="AC293" s="569"/>
      <c r="AD293" s="460"/>
    </row>
    <row r="294" spans="26:30" ht="11.25" x14ac:dyDescent="0.2">
      <c r="Z294" s="568"/>
      <c r="AA294" s="569"/>
      <c r="AB294" s="569"/>
      <c r="AC294" s="569"/>
      <c r="AD294" s="460"/>
    </row>
    <row r="295" spans="26:30" ht="11.25" x14ac:dyDescent="0.2">
      <c r="Z295" s="568"/>
      <c r="AA295" s="569"/>
      <c r="AB295" s="569"/>
      <c r="AC295" s="569"/>
      <c r="AD295" s="460"/>
    </row>
    <row r="296" spans="26:30" ht="11.25" x14ac:dyDescent="0.2">
      <c r="Z296" s="568"/>
      <c r="AA296" s="569"/>
      <c r="AB296" s="569"/>
      <c r="AC296" s="569"/>
      <c r="AD296" s="460"/>
    </row>
    <row r="297" spans="26:30" ht="11.25" x14ac:dyDescent="0.2">
      <c r="Z297" s="568"/>
      <c r="AA297" s="569"/>
      <c r="AB297" s="569"/>
      <c r="AC297" s="569"/>
      <c r="AD297" s="460"/>
    </row>
    <row r="298" spans="26:30" ht="11.25" x14ac:dyDescent="0.2">
      <c r="Z298" s="568"/>
      <c r="AA298" s="569"/>
      <c r="AB298" s="569"/>
      <c r="AC298" s="569"/>
      <c r="AD298" s="460"/>
    </row>
    <row r="299" spans="26:30" ht="11.25" x14ac:dyDescent="0.2">
      <c r="Z299" s="568"/>
      <c r="AA299" s="569"/>
      <c r="AB299" s="569"/>
      <c r="AC299" s="569"/>
      <c r="AD299" s="460"/>
    </row>
    <row r="300" spans="26:30" ht="11.25" x14ac:dyDescent="0.2">
      <c r="Z300" s="568"/>
      <c r="AA300" s="569"/>
      <c r="AB300" s="569"/>
      <c r="AC300" s="569"/>
      <c r="AD300" s="460"/>
    </row>
    <row r="301" spans="26:30" ht="11.25" x14ac:dyDescent="0.2">
      <c r="Z301" s="568"/>
      <c r="AA301" s="569"/>
      <c r="AB301" s="569"/>
      <c r="AC301" s="569"/>
      <c r="AD301" s="460"/>
    </row>
    <row r="302" spans="26:30" ht="11.25" x14ac:dyDescent="0.2">
      <c r="Z302" s="568"/>
      <c r="AA302" s="569"/>
      <c r="AB302" s="569"/>
      <c r="AC302" s="569"/>
      <c r="AD302" s="460"/>
    </row>
    <row r="303" spans="26:30" ht="11.25" x14ac:dyDescent="0.2">
      <c r="Z303" s="568"/>
      <c r="AA303" s="569"/>
      <c r="AB303" s="569"/>
      <c r="AC303" s="569"/>
      <c r="AD303" s="460"/>
    </row>
    <row r="304" spans="26:30" ht="11.25" x14ac:dyDescent="0.2">
      <c r="Z304" s="568"/>
      <c r="AA304" s="569"/>
      <c r="AB304" s="569"/>
      <c r="AC304" s="569"/>
      <c r="AD304" s="460"/>
    </row>
    <row r="305" spans="26:30" ht="11.25" x14ac:dyDescent="0.2">
      <c r="Z305" s="568"/>
      <c r="AA305" s="569"/>
      <c r="AB305" s="569"/>
      <c r="AC305" s="569"/>
      <c r="AD305" s="460"/>
    </row>
    <row r="306" spans="26:30" ht="11.25" x14ac:dyDescent="0.2">
      <c r="Z306" s="568"/>
      <c r="AA306" s="569"/>
      <c r="AB306" s="569"/>
      <c r="AC306" s="569"/>
      <c r="AD306" s="460"/>
    </row>
    <row r="307" spans="26:30" ht="11.25" x14ac:dyDescent="0.2">
      <c r="Z307" s="568"/>
      <c r="AA307" s="569"/>
      <c r="AB307" s="569"/>
      <c r="AC307" s="569"/>
      <c r="AD307" s="460"/>
    </row>
    <row r="308" spans="26:30" ht="11.25" x14ac:dyDescent="0.2">
      <c r="Z308" s="568"/>
      <c r="AA308" s="569"/>
      <c r="AB308" s="569"/>
      <c r="AC308" s="569"/>
      <c r="AD308" s="460"/>
    </row>
    <row r="309" spans="26:30" ht="11.25" x14ac:dyDescent="0.2">
      <c r="Z309" s="568"/>
      <c r="AA309" s="569"/>
      <c r="AB309" s="569"/>
      <c r="AC309" s="569"/>
      <c r="AD309" s="460"/>
    </row>
    <row r="310" spans="26:30" ht="11.25" x14ac:dyDescent="0.2">
      <c r="Z310" s="568"/>
      <c r="AA310" s="569"/>
      <c r="AB310" s="569"/>
      <c r="AC310" s="569"/>
      <c r="AD310" s="460"/>
    </row>
    <row r="311" spans="26:30" ht="11.25" x14ac:dyDescent="0.2">
      <c r="Z311" s="568"/>
      <c r="AA311" s="569"/>
      <c r="AB311" s="569"/>
      <c r="AC311" s="569"/>
      <c r="AD311" s="460"/>
    </row>
    <row r="312" spans="26:30" ht="11.25" x14ac:dyDescent="0.2">
      <c r="Z312" s="568"/>
      <c r="AA312" s="569"/>
      <c r="AB312" s="569"/>
      <c r="AC312" s="569"/>
      <c r="AD312" s="460"/>
    </row>
    <row r="313" spans="26:30" ht="11.25" x14ac:dyDescent="0.2">
      <c r="Z313" s="568"/>
      <c r="AA313" s="569"/>
      <c r="AB313" s="569"/>
      <c r="AC313" s="569"/>
      <c r="AD313" s="460"/>
    </row>
    <row r="314" spans="26:30" ht="11.25" x14ac:dyDescent="0.2">
      <c r="Z314" s="568"/>
      <c r="AA314" s="569"/>
      <c r="AB314" s="569"/>
      <c r="AC314" s="569"/>
      <c r="AD314" s="460"/>
    </row>
    <row r="315" spans="26:30" ht="11.25" x14ac:dyDescent="0.2">
      <c r="Z315" s="568"/>
      <c r="AA315" s="569"/>
      <c r="AB315" s="569"/>
      <c r="AC315" s="569"/>
      <c r="AD315" s="460"/>
    </row>
    <row r="316" spans="26:30" ht="11.25" x14ac:dyDescent="0.2">
      <c r="Z316" s="568"/>
      <c r="AA316" s="569"/>
      <c r="AB316" s="569"/>
      <c r="AC316" s="569"/>
      <c r="AD316" s="460"/>
    </row>
    <row r="317" spans="26:30" ht="11.25" x14ac:dyDescent="0.2">
      <c r="Z317" s="568"/>
      <c r="AA317" s="569"/>
      <c r="AB317" s="569"/>
      <c r="AC317" s="569"/>
      <c r="AD317" s="460"/>
    </row>
    <row r="318" spans="26:30" ht="11.25" x14ac:dyDescent="0.2">
      <c r="Z318" s="568"/>
      <c r="AA318" s="569"/>
      <c r="AB318" s="569"/>
      <c r="AC318" s="569"/>
      <c r="AD318" s="460"/>
    </row>
    <row r="319" spans="26:30" ht="11.25" x14ac:dyDescent="0.2">
      <c r="Z319" s="568"/>
      <c r="AA319" s="569"/>
      <c r="AB319" s="569"/>
      <c r="AC319" s="569"/>
      <c r="AD319" s="460"/>
    </row>
    <row r="320" spans="26:30" ht="11.25" x14ac:dyDescent="0.2">
      <c r="Z320" s="568"/>
      <c r="AA320" s="569"/>
      <c r="AB320" s="569"/>
      <c r="AC320" s="569"/>
      <c r="AD320" s="460"/>
    </row>
    <row r="321" spans="26:30" ht="11.25" x14ac:dyDescent="0.2">
      <c r="Z321" s="568"/>
      <c r="AA321" s="569"/>
      <c r="AB321" s="569"/>
      <c r="AC321" s="569"/>
      <c r="AD321" s="460"/>
    </row>
    <row r="322" spans="26:30" ht="11.25" x14ac:dyDescent="0.2">
      <c r="Z322" s="568"/>
      <c r="AA322" s="569"/>
      <c r="AB322" s="569"/>
      <c r="AC322" s="569"/>
      <c r="AD322" s="460"/>
    </row>
    <row r="323" spans="26:30" ht="11.25" x14ac:dyDescent="0.2">
      <c r="Z323" s="568"/>
      <c r="AA323" s="569"/>
      <c r="AB323" s="569"/>
      <c r="AC323" s="569"/>
      <c r="AD323" s="460"/>
    </row>
    <row r="324" spans="26:30" ht="11.25" x14ac:dyDescent="0.2">
      <c r="Z324" s="568"/>
      <c r="AA324" s="569"/>
      <c r="AB324" s="569"/>
      <c r="AC324" s="569"/>
      <c r="AD324" s="460"/>
    </row>
    <row r="325" spans="26:30" ht="11.25" x14ac:dyDescent="0.2">
      <c r="Z325" s="568"/>
      <c r="AA325" s="569"/>
      <c r="AB325" s="569"/>
      <c r="AC325" s="569"/>
      <c r="AD325" s="460"/>
    </row>
    <row r="326" spans="26:30" ht="11.25" x14ac:dyDescent="0.2">
      <c r="Z326" s="568"/>
      <c r="AA326" s="569"/>
      <c r="AB326" s="569"/>
      <c r="AC326" s="569"/>
      <c r="AD326" s="460"/>
    </row>
    <row r="327" spans="26:30" ht="11.25" x14ac:dyDescent="0.2">
      <c r="Z327" s="568"/>
      <c r="AA327" s="569"/>
      <c r="AB327" s="569"/>
      <c r="AC327" s="569"/>
      <c r="AD327" s="460"/>
    </row>
    <row r="328" spans="26:30" ht="11.25" x14ac:dyDescent="0.2">
      <c r="Z328" s="568"/>
      <c r="AA328" s="569"/>
      <c r="AB328" s="569"/>
      <c r="AC328" s="569"/>
      <c r="AD328" s="460"/>
    </row>
    <row r="329" spans="26:30" ht="11.25" x14ac:dyDescent="0.2">
      <c r="Z329" s="568"/>
      <c r="AA329" s="569"/>
      <c r="AB329" s="569"/>
      <c r="AC329" s="569"/>
      <c r="AD329" s="460"/>
    </row>
    <row r="330" spans="26:30" ht="11.25" x14ac:dyDescent="0.2">
      <c r="Z330" s="568"/>
      <c r="AA330" s="569"/>
      <c r="AB330" s="569"/>
      <c r="AC330" s="569"/>
      <c r="AD330" s="460"/>
    </row>
    <row r="331" spans="26:30" ht="11.25" x14ac:dyDescent="0.2">
      <c r="Z331" s="568"/>
      <c r="AA331" s="569"/>
      <c r="AB331" s="569"/>
      <c r="AC331" s="569"/>
      <c r="AD331" s="460"/>
    </row>
    <row r="332" spans="26:30" ht="11.25" x14ac:dyDescent="0.2">
      <c r="Z332" s="568"/>
      <c r="AA332" s="569"/>
      <c r="AB332" s="569"/>
      <c r="AC332" s="569"/>
      <c r="AD332" s="460"/>
    </row>
    <row r="333" spans="26:30" ht="11.25" x14ac:dyDescent="0.2">
      <c r="Z333" s="568"/>
      <c r="AA333" s="569"/>
      <c r="AB333" s="569"/>
      <c r="AC333" s="569"/>
      <c r="AD333" s="460"/>
    </row>
    <row r="334" spans="26:30" ht="11.25" x14ac:dyDescent="0.2">
      <c r="Z334" s="568"/>
      <c r="AA334" s="569"/>
      <c r="AB334" s="569"/>
      <c r="AC334" s="569"/>
      <c r="AD334" s="460"/>
    </row>
    <row r="335" spans="26:30" ht="11.25" x14ac:dyDescent="0.2">
      <c r="Z335" s="568"/>
      <c r="AA335" s="569"/>
      <c r="AB335" s="569"/>
      <c r="AC335" s="569"/>
      <c r="AD335" s="460"/>
    </row>
    <row r="336" spans="26:30" ht="11.25" x14ac:dyDescent="0.2">
      <c r="Z336" s="568"/>
      <c r="AA336" s="569"/>
      <c r="AB336" s="569"/>
      <c r="AC336" s="569"/>
      <c r="AD336" s="460"/>
    </row>
    <row r="337" spans="26:30" ht="11.25" x14ac:dyDescent="0.2">
      <c r="Z337" s="568"/>
      <c r="AA337" s="569"/>
      <c r="AB337" s="569"/>
      <c r="AC337" s="569"/>
      <c r="AD337" s="460"/>
    </row>
    <row r="338" spans="26:30" ht="11.25" x14ac:dyDescent="0.2">
      <c r="Z338" s="568"/>
      <c r="AA338" s="569"/>
      <c r="AB338" s="569"/>
      <c r="AC338" s="569"/>
      <c r="AD338" s="460"/>
    </row>
    <row r="339" spans="26:30" ht="11.25" x14ac:dyDescent="0.2">
      <c r="Z339" s="568"/>
      <c r="AA339" s="569"/>
      <c r="AB339" s="569"/>
      <c r="AC339" s="569"/>
      <c r="AD339" s="460"/>
    </row>
    <row r="340" spans="26:30" ht="11.25" x14ac:dyDescent="0.2">
      <c r="Z340" s="568"/>
      <c r="AA340" s="569"/>
      <c r="AB340" s="569"/>
      <c r="AC340" s="569"/>
      <c r="AD340" s="460"/>
    </row>
    <row r="341" spans="26:30" ht="11.25" x14ac:dyDescent="0.2">
      <c r="Z341" s="568"/>
      <c r="AA341" s="569"/>
      <c r="AB341" s="569"/>
      <c r="AC341" s="569"/>
      <c r="AD341" s="460"/>
    </row>
    <row r="342" spans="26:30" ht="11.25" x14ac:dyDescent="0.2">
      <c r="Z342" s="568"/>
      <c r="AA342" s="569"/>
      <c r="AB342" s="569"/>
      <c r="AC342" s="569"/>
      <c r="AD342" s="460"/>
    </row>
    <row r="343" spans="26:30" ht="11.25" x14ac:dyDescent="0.2">
      <c r="Z343" s="568"/>
      <c r="AA343" s="569"/>
      <c r="AB343" s="569"/>
      <c r="AC343" s="569"/>
      <c r="AD343" s="460"/>
    </row>
    <row r="344" spans="26:30" ht="11.25" x14ac:dyDescent="0.2">
      <c r="Z344" s="568"/>
      <c r="AA344" s="569"/>
      <c r="AB344" s="569"/>
      <c r="AC344" s="569"/>
      <c r="AD344" s="460"/>
    </row>
    <row r="345" spans="26:30" ht="11.25" x14ac:dyDescent="0.2">
      <c r="Z345" s="568"/>
      <c r="AA345" s="569"/>
      <c r="AB345" s="569"/>
      <c r="AC345" s="569"/>
      <c r="AD345" s="460"/>
    </row>
    <row r="346" spans="26:30" ht="11.25" x14ac:dyDescent="0.2">
      <c r="Z346" s="568"/>
      <c r="AA346" s="569"/>
      <c r="AB346" s="569"/>
      <c r="AC346" s="569"/>
      <c r="AD346" s="460"/>
    </row>
    <row r="347" spans="26:30" ht="11.25" x14ac:dyDescent="0.2">
      <c r="Z347" s="568"/>
      <c r="AA347" s="569"/>
      <c r="AB347" s="569"/>
      <c r="AC347" s="569"/>
      <c r="AD347" s="460"/>
    </row>
    <row r="348" spans="26:30" ht="11.25" x14ac:dyDescent="0.2">
      <c r="Z348" s="568"/>
      <c r="AA348" s="569"/>
      <c r="AB348" s="569"/>
      <c r="AC348" s="569"/>
      <c r="AD348" s="460"/>
    </row>
    <row r="349" spans="26:30" ht="11.25" x14ac:dyDescent="0.2">
      <c r="Z349" s="568"/>
      <c r="AA349" s="569"/>
      <c r="AB349" s="569"/>
      <c r="AC349" s="569"/>
      <c r="AD349" s="460"/>
    </row>
    <row r="350" spans="26:30" ht="11.25" x14ac:dyDescent="0.2">
      <c r="Z350" s="568"/>
      <c r="AA350" s="569"/>
      <c r="AB350" s="569"/>
      <c r="AC350" s="569"/>
      <c r="AD350" s="460"/>
    </row>
    <row r="351" spans="26:30" ht="11.25" x14ac:dyDescent="0.2">
      <c r="Z351" s="568"/>
      <c r="AA351" s="569"/>
      <c r="AB351" s="569"/>
      <c r="AC351" s="569"/>
      <c r="AD351" s="460"/>
    </row>
    <row r="352" spans="26:30" ht="11.25" x14ac:dyDescent="0.2">
      <c r="Z352" s="568"/>
      <c r="AA352" s="569"/>
      <c r="AB352" s="569"/>
      <c r="AC352" s="569"/>
      <c r="AD352" s="460"/>
    </row>
    <row r="353" spans="26:30" ht="11.25" x14ac:dyDescent="0.2">
      <c r="Z353" s="568"/>
      <c r="AA353" s="569"/>
      <c r="AB353" s="569"/>
      <c r="AC353" s="569"/>
      <c r="AD353" s="460"/>
    </row>
    <row r="354" spans="26:30" ht="11.25" x14ac:dyDescent="0.2">
      <c r="Z354" s="568"/>
      <c r="AA354" s="569"/>
      <c r="AB354" s="569"/>
      <c r="AC354" s="569"/>
      <c r="AD354" s="460"/>
    </row>
    <row r="355" spans="26:30" ht="11.25" x14ac:dyDescent="0.2">
      <c r="Z355" s="568"/>
      <c r="AA355" s="569"/>
      <c r="AB355" s="569"/>
      <c r="AC355" s="569"/>
      <c r="AD355" s="460"/>
    </row>
    <row r="356" spans="26:30" ht="11.25" x14ac:dyDescent="0.2">
      <c r="Z356" s="568"/>
      <c r="AA356" s="569"/>
      <c r="AB356" s="569"/>
      <c r="AC356" s="569"/>
      <c r="AD356" s="460"/>
    </row>
    <row r="357" spans="26:30" ht="11.25" x14ac:dyDescent="0.2">
      <c r="Z357" s="568"/>
      <c r="AA357" s="569"/>
      <c r="AB357" s="569"/>
      <c r="AC357" s="569"/>
      <c r="AD357" s="460"/>
    </row>
    <row r="358" spans="26:30" ht="11.25" x14ac:dyDescent="0.2">
      <c r="Z358" s="568"/>
      <c r="AA358" s="569"/>
      <c r="AB358" s="569"/>
      <c r="AC358" s="569"/>
      <c r="AD358" s="460"/>
    </row>
    <row r="359" spans="26:30" ht="11.25" x14ac:dyDescent="0.2">
      <c r="Z359" s="568"/>
      <c r="AA359" s="569"/>
      <c r="AB359" s="569"/>
      <c r="AC359" s="569"/>
      <c r="AD359" s="460"/>
    </row>
    <row r="360" spans="26:30" ht="11.25" x14ac:dyDescent="0.2">
      <c r="Z360" s="568"/>
      <c r="AA360" s="569"/>
      <c r="AB360" s="569"/>
      <c r="AC360" s="569"/>
      <c r="AD360" s="460"/>
    </row>
    <row r="361" spans="26:30" ht="11.25" x14ac:dyDescent="0.2">
      <c r="Z361" s="568"/>
      <c r="AA361" s="569"/>
      <c r="AB361" s="569"/>
      <c r="AC361" s="569"/>
      <c r="AD361" s="460"/>
    </row>
    <row r="362" spans="26:30" ht="11.25" x14ac:dyDescent="0.2">
      <c r="Z362" s="568"/>
      <c r="AA362" s="569"/>
      <c r="AB362" s="569"/>
      <c r="AC362" s="569"/>
      <c r="AD362" s="460"/>
    </row>
    <row r="363" spans="26:30" ht="11.25" x14ac:dyDescent="0.2">
      <c r="Z363" s="568"/>
      <c r="AA363" s="569"/>
      <c r="AB363" s="569"/>
      <c r="AC363" s="569"/>
      <c r="AD363" s="460"/>
    </row>
    <row r="364" spans="26:30" ht="11.25" x14ac:dyDescent="0.2">
      <c r="Z364" s="568"/>
      <c r="AA364" s="569"/>
      <c r="AB364" s="569"/>
      <c r="AC364" s="569"/>
      <c r="AD364" s="460"/>
    </row>
    <row r="365" spans="26:30" ht="11.25" x14ac:dyDescent="0.2">
      <c r="Z365" s="568"/>
      <c r="AA365" s="569"/>
      <c r="AB365" s="569"/>
      <c r="AC365" s="569"/>
      <c r="AD365" s="460"/>
    </row>
    <row r="366" spans="26:30" ht="11.25" x14ac:dyDescent="0.2">
      <c r="Z366" s="568"/>
      <c r="AA366" s="569"/>
      <c r="AB366" s="569"/>
      <c r="AC366" s="569"/>
      <c r="AD366" s="460"/>
    </row>
    <row r="367" spans="26:30" ht="11.25" x14ac:dyDescent="0.2">
      <c r="Z367" s="568"/>
      <c r="AA367" s="569"/>
      <c r="AB367" s="569"/>
      <c r="AC367" s="569"/>
      <c r="AD367" s="460"/>
    </row>
    <row r="368" spans="26:30" ht="11.25" x14ac:dyDescent="0.2">
      <c r="Z368" s="568"/>
      <c r="AA368" s="569"/>
      <c r="AB368" s="569"/>
      <c r="AC368" s="569"/>
      <c r="AD368" s="460"/>
    </row>
    <row r="369" spans="26:30" ht="11.25" x14ac:dyDescent="0.2">
      <c r="Z369" s="568"/>
      <c r="AA369" s="569"/>
      <c r="AB369" s="569"/>
      <c r="AC369" s="569"/>
      <c r="AD369" s="460"/>
    </row>
    <row r="370" spans="26:30" ht="11.25" x14ac:dyDescent="0.2">
      <c r="Z370" s="568"/>
      <c r="AA370" s="569"/>
      <c r="AB370" s="569"/>
      <c r="AC370" s="569"/>
      <c r="AD370" s="460"/>
    </row>
    <row r="371" spans="26:30" ht="11.25" x14ac:dyDescent="0.2">
      <c r="Z371" s="568"/>
      <c r="AA371" s="569"/>
      <c r="AB371" s="569"/>
      <c r="AC371" s="569"/>
      <c r="AD371" s="460"/>
    </row>
    <row r="372" spans="26:30" ht="11.25" x14ac:dyDescent="0.2">
      <c r="Z372" s="568"/>
      <c r="AA372" s="569"/>
      <c r="AB372" s="569"/>
      <c r="AC372" s="569"/>
      <c r="AD372" s="460"/>
    </row>
    <row r="373" spans="26:30" ht="11.25" x14ac:dyDescent="0.2">
      <c r="Z373" s="568"/>
      <c r="AA373" s="569"/>
      <c r="AB373" s="569"/>
      <c r="AC373" s="569"/>
      <c r="AD373" s="460"/>
    </row>
    <row r="374" spans="26:30" ht="11.25" x14ac:dyDescent="0.2">
      <c r="Z374" s="568"/>
      <c r="AA374" s="569"/>
      <c r="AB374" s="569"/>
      <c r="AC374" s="569"/>
      <c r="AD374" s="460"/>
    </row>
    <row r="375" spans="26:30" ht="11.25" x14ac:dyDescent="0.2">
      <c r="Z375" s="568"/>
      <c r="AA375" s="569"/>
      <c r="AB375" s="569"/>
      <c r="AC375" s="569"/>
      <c r="AD375" s="460"/>
    </row>
    <row r="376" spans="26:30" ht="11.25" x14ac:dyDescent="0.2">
      <c r="Z376" s="568"/>
      <c r="AA376" s="569"/>
      <c r="AB376" s="569"/>
      <c r="AC376" s="569"/>
      <c r="AD376" s="460"/>
    </row>
    <row r="377" spans="26:30" ht="11.25" x14ac:dyDescent="0.2">
      <c r="AD377" s="460"/>
    </row>
    <row r="378" spans="26:30" ht="11.25" x14ac:dyDescent="0.2">
      <c r="AD378" s="460"/>
    </row>
    <row r="379" spans="26:30" ht="11.25" x14ac:dyDescent="0.2">
      <c r="AD379" s="460"/>
    </row>
    <row r="380" spans="26:30" ht="11.25" x14ac:dyDescent="0.2">
      <c r="AD380" s="460"/>
    </row>
    <row r="381" spans="26:30" ht="11.25" x14ac:dyDescent="0.2">
      <c r="AD381" s="460"/>
    </row>
    <row r="382" spans="26:30" ht="11.25" x14ac:dyDescent="0.2">
      <c r="AD382" s="460"/>
    </row>
    <row r="383" spans="26:30" ht="11.25" x14ac:dyDescent="0.2">
      <c r="AD383" s="460"/>
    </row>
    <row r="384" spans="26:30" ht="11.25" x14ac:dyDescent="0.2">
      <c r="AD384" s="460"/>
    </row>
    <row r="385" spans="30:30" ht="11.25" x14ac:dyDescent="0.2">
      <c r="AD385" s="460"/>
    </row>
    <row r="386" spans="30:30" ht="11.25" x14ac:dyDescent="0.2">
      <c r="AD386" s="460"/>
    </row>
    <row r="387" spans="30:30" ht="11.25" x14ac:dyDescent="0.2">
      <c r="AD387" s="460"/>
    </row>
    <row r="388" spans="30:30" ht="11.25" x14ac:dyDescent="0.2">
      <c r="AD388" s="460"/>
    </row>
    <row r="389" spans="30:30" ht="11.25" x14ac:dyDescent="0.2">
      <c r="AD389" s="460"/>
    </row>
    <row r="390" spans="30:30" ht="11.25" x14ac:dyDescent="0.2">
      <c r="AD390" s="460"/>
    </row>
    <row r="391" spans="30:30" ht="11.25" x14ac:dyDescent="0.2">
      <c r="AD391" s="460"/>
    </row>
    <row r="392" spans="30:30" ht="11.25" x14ac:dyDescent="0.2">
      <c r="AD392" s="460"/>
    </row>
    <row r="393" spans="30:30" ht="11.25" x14ac:dyDescent="0.2">
      <c r="AD393" s="460"/>
    </row>
    <row r="394" spans="30:30" ht="11.25" x14ac:dyDescent="0.2">
      <c r="AD394" s="460"/>
    </row>
    <row r="395" spans="30:30" ht="11.25" x14ac:dyDescent="0.2">
      <c r="AD395" s="460"/>
    </row>
    <row r="396" spans="30:30" ht="11.25" x14ac:dyDescent="0.2">
      <c r="AD396" s="460"/>
    </row>
    <row r="397" spans="30:30" ht="11.25" x14ac:dyDescent="0.2">
      <c r="AD397" s="460"/>
    </row>
    <row r="398" spans="30:30" ht="11.25" x14ac:dyDescent="0.2">
      <c r="AD398" s="460"/>
    </row>
    <row r="399" spans="30:30" ht="11.25" x14ac:dyDescent="0.2">
      <c r="AD399" s="460"/>
    </row>
    <row r="400" spans="30:30" ht="11.25" x14ac:dyDescent="0.2">
      <c r="AD400" s="460"/>
    </row>
    <row r="401" spans="30:30" ht="11.25" x14ac:dyDescent="0.2">
      <c r="AD401" s="460"/>
    </row>
    <row r="402" spans="30:30" ht="11.25" x14ac:dyDescent="0.2">
      <c r="AD402" s="460"/>
    </row>
    <row r="403" spans="30:30" ht="11.25" x14ac:dyDescent="0.2">
      <c r="AD403" s="460"/>
    </row>
    <row r="404" spans="30:30" ht="11.25" x14ac:dyDescent="0.2">
      <c r="AD404" s="460"/>
    </row>
    <row r="405" spans="30:30" ht="11.25" x14ac:dyDescent="0.2">
      <c r="AD405" s="460"/>
    </row>
    <row r="406" spans="30:30" ht="11.25" x14ac:dyDescent="0.2">
      <c r="AD406" s="460"/>
    </row>
    <row r="407" spans="30:30" ht="11.25" x14ac:dyDescent="0.2">
      <c r="AD407" s="460"/>
    </row>
    <row r="408" spans="30:30" ht="11.25" x14ac:dyDescent="0.2">
      <c r="AD408" s="460"/>
    </row>
    <row r="409" spans="30:30" ht="11.25" x14ac:dyDescent="0.2">
      <c r="AD409" s="460"/>
    </row>
    <row r="410" spans="30:30" ht="11.25" x14ac:dyDescent="0.2">
      <c r="AD410" s="460"/>
    </row>
    <row r="411" spans="30:30" ht="11.25" x14ac:dyDescent="0.2">
      <c r="AD411" s="460"/>
    </row>
    <row r="412" spans="30:30" ht="11.25" x14ac:dyDescent="0.2">
      <c r="AD412" s="460"/>
    </row>
    <row r="413" spans="30:30" ht="11.25" x14ac:dyDescent="0.2">
      <c r="AD413" s="460"/>
    </row>
    <row r="414" spans="30:30" ht="11.25" x14ac:dyDescent="0.2">
      <c r="AD414" s="460"/>
    </row>
    <row r="415" spans="30:30" ht="11.25" x14ac:dyDescent="0.2">
      <c r="AD415" s="460"/>
    </row>
    <row r="416" spans="30:30" ht="11.25" x14ac:dyDescent="0.2">
      <c r="AD416" s="460"/>
    </row>
    <row r="417" spans="30:30" ht="11.25" x14ac:dyDescent="0.2">
      <c r="AD417" s="460"/>
    </row>
    <row r="418" spans="30:30" ht="11.25" x14ac:dyDescent="0.2">
      <c r="AD418" s="460"/>
    </row>
    <row r="419" spans="30:30" ht="11.25" x14ac:dyDescent="0.2">
      <c r="AD419" s="460"/>
    </row>
    <row r="420" spans="30:30" ht="11.25" x14ac:dyDescent="0.2">
      <c r="AD420" s="460"/>
    </row>
    <row r="421" spans="30:30" ht="11.25" x14ac:dyDescent="0.2">
      <c r="AD421" s="460"/>
    </row>
    <row r="422" spans="30:30" ht="11.25" x14ac:dyDescent="0.2">
      <c r="AD422" s="460"/>
    </row>
    <row r="423" spans="30:30" ht="11.25" x14ac:dyDescent="0.2">
      <c r="AD423" s="460"/>
    </row>
    <row r="424" spans="30:30" ht="11.25" x14ac:dyDescent="0.2">
      <c r="AD424" s="460"/>
    </row>
    <row r="425" spans="30:30" ht="11.25" x14ac:dyDescent="0.2">
      <c r="AD425" s="460"/>
    </row>
    <row r="426" spans="30:30" ht="11.25" x14ac:dyDescent="0.2">
      <c r="AD426" s="460"/>
    </row>
    <row r="427" spans="30:30" ht="11.25" x14ac:dyDescent="0.2">
      <c r="AD427" s="460"/>
    </row>
    <row r="428" spans="30:30" ht="11.25" x14ac:dyDescent="0.2">
      <c r="AD428" s="460"/>
    </row>
    <row r="429" spans="30:30" ht="11.25" x14ac:dyDescent="0.2">
      <c r="AD429" s="460"/>
    </row>
    <row r="430" spans="30:30" ht="11.25" x14ac:dyDescent="0.2">
      <c r="AD430" s="460"/>
    </row>
    <row r="431" spans="30:30" ht="11.25" x14ac:dyDescent="0.2">
      <c r="AD431" s="460"/>
    </row>
    <row r="432" spans="30:30" ht="11.25" x14ac:dyDescent="0.2">
      <c r="AD432" s="460"/>
    </row>
    <row r="433" spans="30:30" ht="11.25" x14ac:dyDescent="0.2">
      <c r="AD433" s="460"/>
    </row>
    <row r="434" spans="30:30" ht="11.25" x14ac:dyDescent="0.2">
      <c r="AD434" s="460"/>
    </row>
    <row r="435" spans="30:30" ht="11.25" x14ac:dyDescent="0.2">
      <c r="AD435" s="460"/>
    </row>
    <row r="436" spans="30:30" ht="11.25" x14ac:dyDescent="0.2">
      <c r="AD436" s="460"/>
    </row>
    <row r="437" spans="30:30" ht="11.25" x14ac:dyDescent="0.2">
      <c r="AD437" s="460"/>
    </row>
    <row r="438" spans="30:30" ht="11.25" x14ac:dyDescent="0.2">
      <c r="AD438" s="460"/>
    </row>
    <row r="439" spans="30:30" ht="11.25" x14ac:dyDescent="0.2">
      <c r="AD439" s="460"/>
    </row>
    <row r="440" spans="30:30" ht="11.25" x14ac:dyDescent="0.2">
      <c r="AD440" s="460"/>
    </row>
    <row r="441" spans="30:30" ht="11.25" x14ac:dyDescent="0.2">
      <c r="AD441" s="460"/>
    </row>
    <row r="442" spans="30:30" ht="11.25" x14ac:dyDescent="0.2">
      <c r="AD442" s="460"/>
    </row>
    <row r="443" spans="30:30" ht="11.25" x14ac:dyDescent="0.2">
      <c r="AD443" s="460"/>
    </row>
    <row r="444" spans="30:30" ht="11.25" x14ac:dyDescent="0.2">
      <c r="AD444" s="460"/>
    </row>
    <row r="445" spans="30:30" ht="11.25" x14ac:dyDescent="0.2">
      <c r="AD445" s="460"/>
    </row>
    <row r="446" spans="30:30" ht="11.25" x14ac:dyDescent="0.2">
      <c r="AD446" s="460"/>
    </row>
    <row r="447" spans="30:30" ht="11.25" x14ac:dyDescent="0.2">
      <c r="AD447" s="460"/>
    </row>
    <row r="448" spans="30:30" ht="11.25" x14ac:dyDescent="0.2">
      <c r="AD448" s="460"/>
    </row>
    <row r="449" spans="30:30" ht="11.25" x14ac:dyDescent="0.2">
      <c r="AD449" s="460"/>
    </row>
    <row r="450" spans="30:30" ht="11.25" x14ac:dyDescent="0.2">
      <c r="AD450" s="460"/>
    </row>
    <row r="451" spans="30:30" ht="11.25" x14ac:dyDescent="0.2">
      <c r="AD451" s="460"/>
    </row>
    <row r="452" spans="30:30" ht="11.25" x14ac:dyDescent="0.2">
      <c r="AD452" s="460"/>
    </row>
    <row r="453" spans="30:30" ht="11.25" x14ac:dyDescent="0.2">
      <c r="AD453" s="460"/>
    </row>
    <row r="454" spans="30:30" ht="11.25" x14ac:dyDescent="0.2">
      <c r="AD454" s="460"/>
    </row>
    <row r="455" spans="30:30" ht="11.25" x14ac:dyDescent="0.2">
      <c r="AD455" s="460"/>
    </row>
    <row r="456" spans="30:30" ht="11.25" x14ac:dyDescent="0.2">
      <c r="AD456" s="460"/>
    </row>
    <row r="457" spans="30:30" ht="11.25" x14ac:dyDescent="0.2">
      <c r="AD457" s="460"/>
    </row>
    <row r="458" spans="30:30" ht="11.25" x14ac:dyDescent="0.2">
      <c r="AD458" s="460"/>
    </row>
    <row r="459" spans="30:30" ht="11.25" x14ac:dyDescent="0.2">
      <c r="AD459" s="460"/>
    </row>
    <row r="460" spans="30:30" ht="11.25" x14ac:dyDescent="0.2">
      <c r="AD460" s="460"/>
    </row>
    <row r="461" spans="30:30" ht="11.25" x14ac:dyDescent="0.2">
      <c r="AD461" s="460"/>
    </row>
    <row r="462" spans="30:30" ht="11.25" x14ac:dyDescent="0.2">
      <c r="AD462" s="460"/>
    </row>
    <row r="463" spans="30:30" ht="11.25" x14ac:dyDescent="0.2">
      <c r="AD463" s="460"/>
    </row>
    <row r="464" spans="30:30" ht="11.25" x14ac:dyDescent="0.2">
      <c r="AD464" s="460"/>
    </row>
    <row r="465" spans="30:30" ht="11.25" x14ac:dyDescent="0.2">
      <c r="AD465" s="460"/>
    </row>
    <row r="466" spans="30:30" ht="11.25" x14ac:dyDescent="0.2">
      <c r="AD466" s="460"/>
    </row>
    <row r="467" spans="30:30" ht="11.25" x14ac:dyDescent="0.2">
      <c r="AD467" s="460"/>
    </row>
    <row r="468" spans="30:30" ht="11.25" x14ac:dyDescent="0.2">
      <c r="AD468" s="460"/>
    </row>
    <row r="469" spans="30:30" ht="11.25" x14ac:dyDescent="0.2">
      <c r="AD469" s="460"/>
    </row>
    <row r="470" spans="30:30" ht="11.25" x14ac:dyDescent="0.2">
      <c r="AD470" s="460"/>
    </row>
    <row r="471" spans="30:30" ht="11.25" x14ac:dyDescent="0.2">
      <c r="AD471" s="460"/>
    </row>
    <row r="472" spans="30:30" ht="11.25" x14ac:dyDescent="0.2">
      <c r="AD472" s="460"/>
    </row>
    <row r="473" spans="30:30" ht="11.25" x14ac:dyDescent="0.2">
      <c r="AD473" s="460"/>
    </row>
    <row r="474" spans="30:30" ht="11.25" x14ac:dyDescent="0.2">
      <c r="AD474" s="460"/>
    </row>
    <row r="475" spans="30:30" ht="11.25" x14ac:dyDescent="0.2">
      <c r="AD475" s="460"/>
    </row>
    <row r="476" spans="30:30" ht="11.25" x14ac:dyDescent="0.2">
      <c r="AD476" s="460"/>
    </row>
    <row r="477" spans="30:30" ht="11.25" x14ac:dyDescent="0.2">
      <c r="AD477" s="460"/>
    </row>
    <row r="478" spans="30:30" ht="11.25" x14ac:dyDescent="0.2">
      <c r="AD478" s="460"/>
    </row>
    <row r="479" spans="30:30" ht="11.25" x14ac:dyDescent="0.2">
      <c r="AD479" s="460"/>
    </row>
    <row r="480" spans="30:30" ht="11.25" x14ac:dyDescent="0.2">
      <c r="AD480" s="460"/>
    </row>
    <row r="481" spans="30:30" ht="11.25" x14ac:dyDescent="0.2">
      <c r="AD481" s="460"/>
    </row>
    <row r="482" spans="30:30" ht="11.25" x14ac:dyDescent="0.2">
      <c r="AD482" s="460"/>
    </row>
    <row r="483" spans="30:30" ht="11.25" x14ac:dyDescent="0.2">
      <c r="AD483" s="460"/>
    </row>
    <row r="484" spans="30:30" ht="11.25" x14ac:dyDescent="0.2">
      <c r="AD484" s="460"/>
    </row>
    <row r="485" spans="30:30" ht="11.25" x14ac:dyDescent="0.2">
      <c r="AD485" s="460"/>
    </row>
    <row r="486" spans="30:30" ht="11.25" x14ac:dyDescent="0.2">
      <c r="AD486" s="460"/>
    </row>
    <row r="487" spans="30:30" ht="11.25" x14ac:dyDescent="0.2">
      <c r="AD487" s="460"/>
    </row>
    <row r="488" spans="30:30" ht="11.25" x14ac:dyDescent="0.2">
      <c r="AD488" s="460"/>
    </row>
    <row r="489" spans="30:30" ht="11.25" x14ac:dyDescent="0.2">
      <c r="AD489" s="460"/>
    </row>
    <row r="490" spans="30:30" ht="11.25" x14ac:dyDescent="0.2">
      <c r="AD490" s="460"/>
    </row>
    <row r="491" spans="30:30" ht="11.25" x14ac:dyDescent="0.2">
      <c r="AD491" s="460"/>
    </row>
    <row r="492" spans="30:30" ht="11.25" x14ac:dyDescent="0.2">
      <c r="AD492" s="460"/>
    </row>
    <row r="493" spans="30:30" ht="11.25" x14ac:dyDescent="0.2">
      <c r="AD493" s="460"/>
    </row>
    <row r="494" spans="30:30" ht="11.25" x14ac:dyDescent="0.2">
      <c r="AD494" s="460"/>
    </row>
    <row r="495" spans="30:30" ht="11.25" x14ac:dyDescent="0.2">
      <c r="AD495" s="460"/>
    </row>
    <row r="496" spans="30:30" ht="11.25" x14ac:dyDescent="0.2">
      <c r="AD496" s="460"/>
    </row>
    <row r="497" spans="30:30" ht="11.25" x14ac:dyDescent="0.2">
      <c r="AD497" s="460"/>
    </row>
    <row r="498" spans="30:30" ht="11.25" x14ac:dyDescent="0.2">
      <c r="AD498" s="460"/>
    </row>
    <row r="499" spans="30:30" ht="11.25" x14ac:dyDescent="0.2">
      <c r="AD499" s="460"/>
    </row>
    <row r="500" spans="30:30" ht="11.25" x14ac:dyDescent="0.2">
      <c r="AD500" s="460"/>
    </row>
    <row r="501" spans="30:30" ht="11.25" x14ac:dyDescent="0.2">
      <c r="AD501" s="460"/>
    </row>
    <row r="502" spans="30:30" ht="11.25" x14ac:dyDescent="0.2">
      <c r="AD502" s="460"/>
    </row>
    <row r="503" spans="30:30" ht="11.25" x14ac:dyDescent="0.2">
      <c r="AD503" s="460"/>
    </row>
    <row r="504" spans="30:30" ht="11.25" x14ac:dyDescent="0.2">
      <c r="AD504" s="460"/>
    </row>
    <row r="505" spans="30:30" ht="11.25" x14ac:dyDescent="0.2">
      <c r="AD505" s="460"/>
    </row>
    <row r="506" spans="30:30" ht="11.25" x14ac:dyDescent="0.2">
      <c r="AD506" s="460"/>
    </row>
    <row r="507" spans="30:30" ht="11.25" x14ac:dyDescent="0.2">
      <c r="AD507" s="460"/>
    </row>
    <row r="508" spans="30:30" ht="11.25" x14ac:dyDescent="0.2">
      <c r="AD508" s="460"/>
    </row>
    <row r="509" spans="30:30" ht="11.25" x14ac:dyDescent="0.2">
      <c r="AD509" s="460"/>
    </row>
    <row r="510" spans="30:30" ht="11.25" x14ac:dyDescent="0.2">
      <c r="AD510" s="460"/>
    </row>
    <row r="511" spans="30:30" ht="11.25" x14ac:dyDescent="0.2">
      <c r="AD511" s="460"/>
    </row>
    <row r="512" spans="30:30" ht="11.25" x14ac:dyDescent="0.2">
      <c r="AD512" s="460"/>
    </row>
    <row r="513" spans="30:30" ht="11.25" x14ac:dyDescent="0.2">
      <c r="AD513" s="460"/>
    </row>
    <row r="514" spans="30:30" ht="11.25" x14ac:dyDescent="0.2">
      <c r="AD514" s="460"/>
    </row>
    <row r="515" spans="30:30" ht="11.25" x14ac:dyDescent="0.2">
      <c r="AD515" s="460"/>
    </row>
    <row r="516" spans="30:30" ht="11.25" x14ac:dyDescent="0.2">
      <c r="AD516" s="460"/>
    </row>
    <row r="517" spans="30:30" ht="11.25" x14ac:dyDescent="0.2">
      <c r="AD517" s="460"/>
    </row>
    <row r="518" spans="30:30" ht="11.25" x14ac:dyDescent="0.2">
      <c r="AD518" s="460"/>
    </row>
    <row r="519" spans="30:30" ht="11.25" x14ac:dyDescent="0.2">
      <c r="AD519" s="460"/>
    </row>
    <row r="520" spans="30:30" ht="11.25" x14ac:dyDescent="0.2">
      <c r="AD520" s="460"/>
    </row>
    <row r="521" spans="30:30" ht="11.25" x14ac:dyDescent="0.2">
      <c r="AD521" s="460"/>
    </row>
    <row r="522" spans="30:30" ht="11.25" x14ac:dyDescent="0.2">
      <c r="AD522" s="460"/>
    </row>
    <row r="523" spans="30:30" ht="11.25" x14ac:dyDescent="0.2">
      <c r="AD523" s="460"/>
    </row>
    <row r="524" spans="30:30" ht="11.25" x14ac:dyDescent="0.2">
      <c r="AD524" s="460"/>
    </row>
    <row r="525" spans="30:30" ht="11.25" x14ac:dyDescent="0.2">
      <c r="AD525" s="460"/>
    </row>
    <row r="526" spans="30:30" ht="11.25" x14ac:dyDescent="0.2">
      <c r="AD526" s="460"/>
    </row>
    <row r="527" spans="30:30" ht="11.25" x14ac:dyDescent="0.2">
      <c r="AD527" s="460"/>
    </row>
    <row r="528" spans="30:30" ht="11.25" x14ac:dyDescent="0.2">
      <c r="AD528" s="460"/>
    </row>
    <row r="529" spans="30:30" ht="11.25" x14ac:dyDescent="0.2">
      <c r="AD529" s="460"/>
    </row>
    <row r="530" spans="30:30" ht="11.25" x14ac:dyDescent="0.2">
      <c r="AD530" s="460"/>
    </row>
    <row r="531" spans="30:30" ht="11.25" x14ac:dyDescent="0.2">
      <c r="AD531" s="460"/>
    </row>
    <row r="532" spans="30:30" ht="11.25" x14ac:dyDescent="0.2">
      <c r="AD532" s="460"/>
    </row>
    <row r="533" spans="30:30" ht="11.25" x14ac:dyDescent="0.2">
      <c r="AD533" s="460"/>
    </row>
    <row r="534" spans="30:30" ht="11.25" x14ac:dyDescent="0.2">
      <c r="AD534" s="460"/>
    </row>
    <row r="535" spans="30:30" ht="11.25" x14ac:dyDescent="0.2">
      <c r="AD535" s="460"/>
    </row>
    <row r="536" spans="30:30" ht="11.25" x14ac:dyDescent="0.2">
      <c r="AD536" s="460"/>
    </row>
    <row r="537" spans="30:30" ht="11.25" x14ac:dyDescent="0.2">
      <c r="AD537" s="460"/>
    </row>
    <row r="538" spans="30:30" ht="11.25" x14ac:dyDescent="0.2">
      <c r="AD538" s="460"/>
    </row>
    <row r="539" spans="30:30" ht="11.25" x14ac:dyDescent="0.2">
      <c r="AD539" s="460"/>
    </row>
    <row r="540" spans="30:30" ht="11.25" x14ac:dyDescent="0.2">
      <c r="AD540" s="460"/>
    </row>
    <row r="541" spans="30:30" ht="11.25" x14ac:dyDescent="0.2">
      <c r="AD541" s="460"/>
    </row>
    <row r="542" spans="30:30" ht="11.25" x14ac:dyDescent="0.2">
      <c r="AD542" s="460"/>
    </row>
    <row r="543" spans="30:30" ht="11.25" x14ac:dyDescent="0.2">
      <c r="AD543" s="460"/>
    </row>
    <row r="544" spans="30:30" ht="11.25" x14ac:dyDescent="0.2">
      <c r="AD544" s="460"/>
    </row>
    <row r="545" spans="30:30" ht="11.25" x14ac:dyDescent="0.2">
      <c r="AD545" s="460"/>
    </row>
    <row r="546" spans="30:30" ht="11.25" x14ac:dyDescent="0.2">
      <c r="AD546" s="460"/>
    </row>
    <row r="547" spans="30:30" ht="11.25" x14ac:dyDescent="0.2">
      <c r="AD547" s="460"/>
    </row>
    <row r="548" spans="30:30" ht="11.25" x14ac:dyDescent="0.2">
      <c r="AD548" s="460"/>
    </row>
    <row r="549" spans="30:30" ht="11.25" x14ac:dyDescent="0.2">
      <c r="AD549" s="460"/>
    </row>
    <row r="550" spans="30:30" ht="11.25" x14ac:dyDescent="0.2">
      <c r="AD550" s="460"/>
    </row>
    <row r="551" spans="30:30" ht="11.25" x14ac:dyDescent="0.2">
      <c r="AD551" s="460"/>
    </row>
    <row r="552" spans="30:30" ht="11.25" x14ac:dyDescent="0.2">
      <c r="AD552" s="460"/>
    </row>
    <row r="553" spans="30:30" ht="11.25" x14ac:dyDescent="0.2">
      <c r="AD553" s="460"/>
    </row>
    <row r="554" spans="30:30" ht="11.25" x14ac:dyDescent="0.2">
      <c r="AD554" s="460"/>
    </row>
    <row r="555" spans="30:30" ht="11.25" x14ac:dyDescent="0.2">
      <c r="AD555" s="460"/>
    </row>
    <row r="556" spans="30:30" ht="11.25" x14ac:dyDescent="0.2">
      <c r="AD556" s="460"/>
    </row>
    <row r="557" spans="30:30" ht="11.25" x14ac:dyDescent="0.2">
      <c r="AD557" s="460"/>
    </row>
    <row r="558" spans="30:30" ht="11.25" x14ac:dyDescent="0.2">
      <c r="AD558" s="460"/>
    </row>
    <row r="559" spans="30:30" ht="11.25" x14ac:dyDescent="0.2">
      <c r="AD559" s="460"/>
    </row>
    <row r="560" spans="30:30" ht="11.25" x14ac:dyDescent="0.2">
      <c r="AD560" s="460"/>
    </row>
    <row r="561" spans="30:30" ht="11.25" x14ac:dyDescent="0.2">
      <c r="AD561" s="460"/>
    </row>
    <row r="562" spans="30:30" ht="11.25" x14ac:dyDescent="0.2">
      <c r="AD562" s="460"/>
    </row>
    <row r="563" spans="30:30" ht="11.25" x14ac:dyDescent="0.2">
      <c r="AD563" s="460"/>
    </row>
    <row r="564" spans="30:30" ht="11.25" x14ac:dyDescent="0.2">
      <c r="AD564" s="460"/>
    </row>
    <row r="565" spans="30:30" ht="11.25" x14ac:dyDescent="0.2">
      <c r="AD565" s="460"/>
    </row>
    <row r="566" spans="30:30" ht="11.25" x14ac:dyDescent="0.2">
      <c r="AD566" s="460"/>
    </row>
    <row r="567" spans="30:30" ht="11.25" x14ac:dyDescent="0.2">
      <c r="AD567" s="460"/>
    </row>
    <row r="568" spans="30:30" ht="11.25" x14ac:dyDescent="0.2">
      <c r="AD568" s="460"/>
    </row>
    <row r="569" spans="30:30" ht="11.25" x14ac:dyDescent="0.2">
      <c r="AD569" s="460"/>
    </row>
    <row r="570" spans="30:30" ht="11.25" x14ac:dyDescent="0.2">
      <c r="AD570" s="460"/>
    </row>
    <row r="571" spans="30:30" ht="11.25" x14ac:dyDescent="0.2">
      <c r="AD571" s="460"/>
    </row>
    <row r="572" spans="30:30" ht="11.25" x14ac:dyDescent="0.2">
      <c r="AD572" s="460"/>
    </row>
    <row r="573" spans="30:30" ht="11.25" x14ac:dyDescent="0.2">
      <c r="AD573" s="460"/>
    </row>
    <row r="574" spans="30:30" ht="11.25" x14ac:dyDescent="0.2">
      <c r="AD574" s="460"/>
    </row>
    <row r="575" spans="30:30" ht="11.25" x14ac:dyDescent="0.2">
      <c r="AD575" s="460"/>
    </row>
    <row r="576" spans="30:30" ht="11.25" x14ac:dyDescent="0.2">
      <c r="AD576" s="460"/>
    </row>
    <row r="577" spans="30:30" ht="11.25" x14ac:dyDescent="0.2">
      <c r="AD577" s="460"/>
    </row>
    <row r="578" spans="30:30" ht="11.25" x14ac:dyDescent="0.2">
      <c r="AD578" s="460"/>
    </row>
    <row r="579" spans="30:30" ht="11.25" x14ac:dyDescent="0.2">
      <c r="AD579" s="460"/>
    </row>
    <row r="580" spans="30:30" ht="11.25" x14ac:dyDescent="0.2">
      <c r="AD580" s="460"/>
    </row>
    <row r="581" spans="30:30" ht="11.25" x14ac:dyDescent="0.2">
      <c r="AD581" s="460"/>
    </row>
    <row r="582" spans="30:30" ht="11.25" x14ac:dyDescent="0.2">
      <c r="AD582" s="460"/>
    </row>
    <row r="583" spans="30:30" ht="11.25" x14ac:dyDescent="0.2">
      <c r="AD583" s="460"/>
    </row>
    <row r="584" spans="30:30" ht="11.25" x14ac:dyDescent="0.2">
      <c r="AD584" s="460"/>
    </row>
    <row r="585" spans="30:30" ht="11.25" x14ac:dyDescent="0.2">
      <c r="AD585" s="460"/>
    </row>
    <row r="586" spans="30:30" ht="11.25" x14ac:dyDescent="0.2">
      <c r="AD586" s="460"/>
    </row>
    <row r="587" spans="30:30" ht="11.25" x14ac:dyDescent="0.2">
      <c r="AD587" s="460"/>
    </row>
    <row r="588" spans="30:30" ht="11.25" x14ac:dyDescent="0.2">
      <c r="AD588" s="460"/>
    </row>
    <row r="589" spans="30:30" ht="11.25" x14ac:dyDescent="0.2">
      <c r="AD589" s="460"/>
    </row>
    <row r="590" spans="30:30" ht="11.25" x14ac:dyDescent="0.2">
      <c r="AD590" s="460"/>
    </row>
    <row r="591" spans="30:30" ht="11.25" x14ac:dyDescent="0.2">
      <c r="AD591" s="460"/>
    </row>
    <row r="592" spans="30:30" ht="11.25" x14ac:dyDescent="0.2">
      <c r="AD592" s="460"/>
    </row>
    <row r="593" spans="30:30" ht="11.25" x14ac:dyDescent="0.2">
      <c r="AD593" s="460"/>
    </row>
    <row r="594" spans="30:30" ht="11.25" x14ac:dyDescent="0.2">
      <c r="AD594" s="460"/>
    </row>
    <row r="595" spans="30:30" ht="11.25" x14ac:dyDescent="0.2">
      <c r="AD595" s="460"/>
    </row>
    <row r="596" spans="30:30" ht="11.25" x14ac:dyDescent="0.2">
      <c r="AD596" s="460"/>
    </row>
    <row r="597" spans="30:30" ht="11.25" x14ac:dyDescent="0.2">
      <c r="AD597" s="460"/>
    </row>
    <row r="598" spans="30:30" ht="11.25" x14ac:dyDescent="0.2">
      <c r="AD598" s="460"/>
    </row>
    <row r="599" spans="30:30" ht="11.25" x14ac:dyDescent="0.2">
      <c r="AD599" s="460"/>
    </row>
    <row r="600" spans="30:30" ht="11.25" x14ac:dyDescent="0.2">
      <c r="AD600" s="460"/>
    </row>
    <row r="601" spans="30:30" ht="11.25" x14ac:dyDescent="0.2">
      <c r="AD601" s="460"/>
    </row>
    <row r="602" spans="30:30" ht="11.25" x14ac:dyDescent="0.2">
      <c r="AD602" s="460"/>
    </row>
    <row r="603" spans="30:30" ht="11.25" x14ac:dyDescent="0.2">
      <c r="AD603" s="460"/>
    </row>
    <row r="604" spans="30:30" ht="11.25" x14ac:dyDescent="0.2">
      <c r="AD604" s="460"/>
    </row>
    <row r="605" spans="30:30" ht="11.25" x14ac:dyDescent="0.2">
      <c r="AD605" s="460"/>
    </row>
    <row r="606" spans="30:30" ht="11.25" x14ac:dyDescent="0.2">
      <c r="AD606" s="460"/>
    </row>
    <row r="607" spans="30:30" ht="11.25" x14ac:dyDescent="0.2">
      <c r="AD607" s="460"/>
    </row>
    <row r="608" spans="30:30" ht="11.25" x14ac:dyDescent="0.2">
      <c r="AD608" s="460"/>
    </row>
    <row r="609" spans="30:30" ht="11.25" x14ac:dyDescent="0.2">
      <c r="AD609" s="460"/>
    </row>
    <row r="610" spans="30:30" ht="11.25" x14ac:dyDescent="0.2">
      <c r="AD610" s="460"/>
    </row>
    <row r="611" spans="30:30" ht="11.25" x14ac:dyDescent="0.2">
      <c r="AD611" s="460"/>
    </row>
    <row r="612" spans="30:30" ht="11.25" x14ac:dyDescent="0.2">
      <c r="AD612" s="460"/>
    </row>
    <row r="613" spans="30:30" ht="11.25" x14ac:dyDescent="0.2">
      <c r="AD613" s="460"/>
    </row>
    <row r="614" spans="30:30" ht="11.25" x14ac:dyDescent="0.2">
      <c r="AD614" s="460"/>
    </row>
    <row r="615" spans="30:30" ht="11.25" x14ac:dyDescent="0.2">
      <c r="AD615" s="460"/>
    </row>
    <row r="616" spans="30:30" ht="11.25" x14ac:dyDescent="0.2">
      <c r="AD616" s="460"/>
    </row>
    <row r="617" spans="30:30" ht="11.25" x14ac:dyDescent="0.2">
      <c r="AD617" s="460"/>
    </row>
    <row r="618" spans="30:30" ht="11.25" x14ac:dyDescent="0.2">
      <c r="AD618" s="460"/>
    </row>
    <row r="619" spans="30:30" ht="11.25" x14ac:dyDescent="0.2">
      <c r="AD619" s="460"/>
    </row>
    <row r="620" spans="30:30" ht="11.25" x14ac:dyDescent="0.2">
      <c r="AD620" s="460"/>
    </row>
    <row r="621" spans="30:30" ht="11.25" x14ac:dyDescent="0.2">
      <c r="AD621" s="460"/>
    </row>
    <row r="622" spans="30:30" ht="11.25" x14ac:dyDescent="0.2">
      <c r="AD622" s="460"/>
    </row>
  </sheetData>
  <sheetProtection sheet="1" objects="1" scenarios="1" selectLockedCells="1"/>
  <mergeCells count="113">
    <mergeCell ref="E233:I233"/>
    <mergeCell ref="E234:I234"/>
    <mergeCell ref="E238:I238"/>
    <mergeCell ref="E243:I243"/>
    <mergeCell ref="E244:I244"/>
    <mergeCell ref="E231:I231"/>
    <mergeCell ref="E254:I254"/>
    <mergeCell ref="U202:V202"/>
    <mergeCell ref="E195:I195"/>
    <mergeCell ref="J196:K196"/>
    <mergeCell ref="E215:I215"/>
    <mergeCell ref="E220:I220"/>
    <mergeCell ref="AA202:AB202"/>
    <mergeCell ref="E204:I204"/>
    <mergeCell ref="E205:I205"/>
    <mergeCell ref="E232:I232"/>
    <mergeCell ref="U172:V172"/>
    <mergeCell ref="AA172:AB172"/>
    <mergeCell ref="E186:I186"/>
    <mergeCell ref="J187:K187"/>
    <mergeCell ref="E181:I181"/>
    <mergeCell ref="E182:I182"/>
    <mergeCell ref="J183:K183"/>
    <mergeCell ref="E164:I164"/>
    <mergeCell ref="E165:I165"/>
    <mergeCell ref="E155:I155"/>
    <mergeCell ref="E156:I156"/>
    <mergeCell ref="J173:K173"/>
    <mergeCell ref="E175:I175"/>
    <mergeCell ref="E176:I176"/>
    <mergeCell ref="J177:K177"/>
    <mergeCell ref="J172:K172"/>
    <mergeCell ref="J157:K157"/>
    <mergeCell ref="E147:I147"/>
    <mergeCell ref="J148:K148"/>
    <mergeCell ref="E151:I151"/>
    <mergeCell ref="J152:K152"/>
    <mergeCell ref="E142:I142"/>
    <mergeCell ref="E143:I143"/>
    <mergeCell ref="J144:K144"/>
    <mergeCell ref="E162:I162"/>
    <mergeCell ref="E125:I125"/>
    <mergeCell ref="E126:I126"/>
    <mergeCell ref="J127:K127"/>
    <mergeCell ref="J122:K122"/>
    <mergeCell ref="U122:V122"/>
    <mergeCell ref="AA122:AB122"/>
    <mergeCell ref="E134:I134"/>
    <mergeCell ref="E136:I136"/>
    <mergeCell ref="J137:K137"/>
    <mergeCell ref="AA113:AB113"/>
    <mergeCell ref="J114:K114"/>
    <mergeCell ref="E115:I115"/>
    <mergeCell ref="E116:I116"/>
    <mergeCell ref="E117:I117"/>
    <mergeCell ref="J113:K113"/>
    <mergeCell ref="U113:V113"/>
    <mergeCell ref="J123:K123"/>
    <mergeCell ref="E124:I124"/>
    <mergeCell ref="J88:K88"/>
    <mergeCell ref="E92:K92"/>
    <mergeCell ref="J94:K94"/>
    <mergeCell ref="E82:I82"/>
    <mergeCell ref="J83:K83"/>
    <mergeCell ref="E87:I87"/>
    <mergeCell ref="E102:K102"/>
    <mergeCell ref="E98:I98"/>
    <mergeCell ref="J99:K99"/>
    <mergeCell ref="E53:I53"/>
    <mergeCell ref="E54:I54"/>
    <mergeCell ref="J55:K55"/>
    <mergeCell ref="E47:I47"/>
    <mergeCell ref="J48:K48"/>
    <mergeCell ref="J75:K75"/>
    <mergeCell ref="E64:I64"/>
    <mergeCell ref="J65:K65"/>
    <mergeCell ref="J69:K69"/>
    <mergeCell ref="E59:I59"/>
    <mergeCell ref="J60:K60"/>
    <mergeCell ref="E73:I73"/>
    <mergeCell ref="E74:I74"/>
    <mergeCell ref="E23:I23"/>
    <mergeCell ref="M13:O13"/>
    <mergeCell ref="E39:I39"/>
    <mergeCell ref="E40:I40"/>
    <mergeCell ref="E41:I41"/>
    <mergeCell ref="J42:K42"/>
    <mergeCell ref="H35:I35"/>
    <mergeCell ref="J37:K37"/>
    <mergeCell ref="U37:V37"/>
    <mergeCell ref="X37:Y37"/>
    <mergeCell ref="AA37:AB37"/>
    <mergeCell ref="J38:K38"/>
    <mergeCell ref="E26:I26"/>
    <mergeCell ref="E31:I31"/>
    <mergeCell ref="E32:I32"/>
    <mergeCell ref="E33:I33"/>
    <mergeCell ref="D34:E34"/>
    <mergeCell ref="F34:G34"/>
    <mergeCell ref="H34:I34"/>
    <mergeCell ref="B1:AJ1"/>
    <mergeCell ref="AG19:AH19"/>
    <mergeCell ref="AP19:AQ19"/>
    <mergeCell ref="AS19:AT19"/>
    <mergeCell ref="J18:K18"/>
    <mergeCell ref="U18:Y18"/>
    <mergeCell ref="AA18:AE18"/>
    <mergeCell ref="J20:K20"/>
    <mergeCell ref="J19:K19"/>
    <mergeCell ref="U19:V19"/>
    <mergeCell ref="X19:Y19"/>
    <mergeCell ref="AA19:AB19"/>
    <mergeCell ref="AD19:AE19"/>
  </mergeCells>
  <conditionalFormatting sqref="W43:W48 W53:W55 W59:W60 W64:W65 W68:W69 W73:W75 W82:W83 W87:W88 W92:W94 W98:W99 W102:W103 W111 W121:W127 W134 W136:W137 W142:W144 W147:W148 W151:W152 W155:W157 W162 W164:W166 W171:W177 W181:W183 W186:W187 W195:W196 W201:W206 W212:W215 W217:W245 W113:W118">
    <cfRule type="cellIs" dxfId="214" priority="63" operator="equal">
      <formula>"X"</formula>
    </cfRule>
  </conditionalFormatting>
  <conditionalFormatting sqref="AC47:AC48 AC53:AC55 AC59:AC60 AC64:AC65 AC68:AC69 AC73:AC75 AC82:AC83 AC87:AC88 AC92:AC94 AC98:AC99 AC102:AC103 AC111 AC121:AC127 AC134 AC136:AC137 AC142:AC144 AC147:AC148 AC151:AC152 AC155:AC157 AC162 AC164:AC166 AC171:AC177 AC181:AC183 AC186:AC187 AC195:AC196 AC201:AC206 AC212:AC215 AC217:AC245 AC113:AC118">
    <cfRule type="cellIs" dxfId="213" priority="62" operator="equal">
      <formula>"X"</formula>
    </cfRule>
  </conditionalFormatting>
  <conditionalFormatting sqref="AC43:AC46">
    <cfRule type="cellIs" dxfId="212" priority="61" operator="equal">
      <formula>"X"</formula>
    </cfRule>
  </conditionalFormatting>
  <conditionalFormatting sqref="W49:W52">
    <cfRule type="cellIs" dxfId="211" priority="60" operator="equal">
      <formula>"X"</formula>
    </cfRule>
  </conditionalFormatting>
  <conditionalFormatting sqref="AC49:AC52">
    <cfRule type="cellIs" dxfId="210" priority="59" operator="equal">
      <formula>"X"</formula>
    </cfRule>
  </conditionalFormatting>
  <conditionalFormatting sqref="W56:W58">
    <cfRule type="cellIs" dxfId="209" priority="58" operator="equal">
      <formula>"X"</formula>
    </cfRule>
  </conditionalFormatting>
  <conditionalFormatting sqref="AC56:AC58">
    <cfRule type="cellIs" dxfId="208" priority="57" operator="equal">
      <formula>"X"</formula>
    </cfRule>
  </conditionalFormatting>
  <conditionalFormatting sqref="W61:W63">
    <cfRule type="cellIs" dxfId="207" priority="56" operator="equal">
      <formula>"X"</formula>
    </cfRule>
  </conditionalFormatting>
  <conditionalFormatting sqref="AC61:AC63">
    <cfRule type="cellIs" dxfId="206" priority="55" operator="equal">
      <formula>"X"</formula>
    </cfRule>
  </conditionalFormatting>
  <conditionalFormatting sqref="W66:W67">
    <cfRule type="cellIs" dxfId="205" priority="54" operator="equal">
      <formula>"X"</formula>
    </cfRule>
  </conditionalFormatting>
  <conditionalFormatting sqref="AC66:AC67">
    <cfRule type="cellIs" dxfId="204" priority="53" operator="equal">
      <formula>"X"</formula>
    </cfRule>
  </conditionalFormatting>
  <conditionalFormatting sqref="W70:W72">
    <cfRule type="cellIs" dxfId="203" priority="52" operator="equal">
      <formula>"X"</formula>
    </cfRule>
  </conditionalFormatting>
  <conditionalFormatting sqref="AC70:AC72">
    <cfRule type="cellIs" dxfId="202" priority="51" operator="equal">
      <formula>"X"</formula>
    </cfRule>
  </conditionalFormatting>
  <conditionalFormatting sqref="W76:W81">
    <cfRule type="cellIs" dxfId="201" priority="50" operator="equal">
      <formula>"X"</formula>
    </cfRule>
  </conditionalFormatting>
  <conditionalFormatting sqref="AC76:AC81">
    <cfRule type="cellIs" dxfId="200" priority="49" operator="equal">
      <formula>"X"</formula>
    </cfRule>
  </conditionalFormatting>
  <conditionalFormatting sqref="W84:W86">
    <cfRule type="cellIs" dxfId="199" priority="48" operator="equal">
      <formula>"X"</formula>
    </cfRule>
  </conditionalFormatting>
  <conditionalFormatting sqref="AC84:AC86">
    <cfRule type="cellIs" dxfId="198" priority="47" operator="equal">
      <formula>"X"</formula>
    </cfRule>
  </conditionalFormatting>
  <conditionalFormatting sqref="W89:W91">
    <cfRule type="cellIs" dxfId="197" priority="46" operator="equal">
      <formula>"X"</formula>
    </cfRule>
  </conditionalFormatting>
  <conditionalFormatting sqref="AC89:AC91">
    <cfRule type="cellIs" dxfId="196" priority="45" operator="equal">
      <formula>"X"</formula>
    </cfRule>
  </conditionalFormatting>
  <conditionalFormatting sqref="W95:W97">
    <cfRule type="cellIs" dxfId="195" priority="44" operator="equal">
      <formula>"X"</formula>
    </cfRule>
  </conditionalFormatting>
  <conditionalFormatting sqref="AC95:AC97">
    <cfRule type="cellIs" dxfId="194" priority="43" operator="equal">
      <formula>"X"</formula>
    </cfRule>
  </conditionalFormatting>
  <conditionalFormatting sqref="W100:W101">
    <cfRule type="cellIs" dxfId="193" priority="42" operator="equal">
      <formula>"X"</formula>
    </cfRule>
  </conditionalFormatting>
  <conditionalFormatting sqref="AC100:AC101">
    <cfRule type="cellIs" dxfId="192" priority="41" operator="equal">
      <formula>"X"</formula>
    </cfRule>
  </conditionalFormatting>
  <conditionalFormatting sqref="W104:W110">
    <cfRule type="cellIs" dxfId="191" priority="40" operator="equal">
      <formula>"X"</formula>
    </cfRule>
  </conditionalFormatting>
  <conditionalFormatting sqref="AC104:AC110">
    <cfRule type="cellIs" dxfId="190" priority="39" operator="equal">
      <formula>"X"</formula>
    </cfRule>
  </conditionalFormatting>
  <conditionalFormatting sqref="W119:W120">
    <cfRule type="cellIs" dxfId="189" priority="38" operator="equal">
      <formula>"X"</formula>
    </cfRule>
  </conditionalFormatting>
  <conditionalFormatting sqref="AC119:AC120">
    <cfRule type="cellIs" dxfId="188" priority="37" operator="equal">
      <formula>"X"</formula>
    </cfRule>
  </conditionalFormatting>
  <conditionalFormatting sqref="W128:W133">
    <cfRule type="cellIs" dxfId="187" priority="36" operator="equal">
      <formula>"X"</formula>
    </cfRule>
  </conditionalFormatting>
  <conditionalFormatting sqref="AC128:AC133">
    <cfRule type="cellIs" dxfId="186" priority="35" operator="equal">
      <formula>"X"</formula>
    </cfRule>
  </conditionalFormatting>
  <conditionalFormatting sqref="W135">
    <cfRule type="cellIs" dxfId="185" priority="34" operator="equal">
      <formula>"X"</formula>
    </cfRule>
  </conditionalFormatting>
  <conditionalFormatting sqref="AC135">
    <cfRule type="cellIs" dxfId="184" priority="33" operator="equal">
      <formula>"X"</formula>
    </cfRule>
  </conditionalFormatting>
  <conditionalFormatting sqref="W138:W141">
    <cfRule type="cellIs" dxfId="183" priority="32" operator="equal">
      <formula>"X"</formula>
    </cfRule>
  </conditionalFormatting>
  <conditionalFormatting sqref="AC138:AC141">
    <cfRule type="cellIs" dxfId="182" priority="31" operator="equal">
      <formula>"X"</formula>
    </cfRule>
  </conditionalFormatting>
  <conditionalFormatting sqref="W145:W146">
    <cfRule type="cellIs" dxfId="181" priority="30" operator="equal">
      <formula>"X"</formula>
    </cfRule>
  </conditionalFormatting>
  <conditionalFormatting sqref="AC145:AC146">
    <cfRule type="cellIs" dxfId="180" priority="29" operator="equal">
      <formula>"X"</formula>
    </cfRule>
  </conditionalFormatting>
  <conditionalFormatting sqref="W149:W150">
    <cfRule type="cellIs" dxfId="179" priority="28" operator="equal">
      <formula>"X"</formula>
    </cfRule>
  </conditionalFormatting>
  <conditionalFormatting sqref="AC149:AC150">
    <cfRule type="cellIs" dxfId="178" priority="27" operator="equal">
      <formula>"X"</formula>
    </cfRule>
  </conditionalFormatting>
  <conditionalFormatting sqref="W153:W154">
    <cfRule type="cellIs" dxfId="177" priority="26" operator="equal">
      <formula>"X"</formula>
    </cfRule>
  </conditionalFormatting>
  <conditionalFormatting sqref="AC153:AC154">
    <cfRule type="cellIs" dxfId="176" priority="25" operator="equal">
      <formula>"X"</formula>
    </cfRule>
  </conditionalFormatting>
  <conditionalFormatting sqref="W158:W161">
    <cfRule type="cellIs" dxfId="175" priority="24" operator="equal">
      <formula>"X"</formula>
    </cfRule>
  </conditionalFormatting>
  <conditionalFormatting sqref="AC158:AC161">
    <cfRule type="cellIs" dxfId="174" priority="23" operator="equal">
      <formula>"X"</formula>
    </cfRule>
  </conditionalFormatting>
  <conditionalFormatting sqref="W163">
    <cfRule type="cellIs" dxfId="173" priority="22" operator="equal">
      <formula>"X"</formula>
    </cfRule>
  </conditionalFormatting>
  <conditionalFormatting sqref="AC163">
    <cfRule type="cellIs" dxfId="172" priority="21" operator="equal">
      <formula>"X"</formula>
    </cfRule>
  </conditionalFormatting>
  <conditionalFormatting sqref="W167:W170">
    <cfRule type="cellIs" dxfId="171" priority="20" operator="equal">
      <formula>"X"</formula>
    </cfRule>
  </conditionalFormatting>
  <conditionalFormatting sqref="AC167:AC170">
    <cfRule type="cellIs" dxfId="170" priority="19" operator="equal">
      <formula>"X"</formula>
    </cfRule>
  </conditionalFormatting>
  <conditionalFormatting sqref="W178:W180">
    <cfRule type="cellIs" dxfId="169" priority="18" operator="equal">
      <formula>"X"</formula>
    </cfRule>
  </conditionalFormatting>
  <conditionalFormatting sqref="AC178:AC180">
    <cfRule type="cellIs" dxfId="168" priority="17" operator="equal">
      <formula>"X"</formula>
    </cfRule>
  </conditionalFormatting>
  <conditionalFormatting sqref="W184:W185">
    <cfRule type="cellIs" dxfId="167" priority="16" operator="equal">
      <formula>"X"</formula>
    </cfRule>
  </conditionalFormatting>
  <conditionalFormatting sqref="AC184:AC185">
    <cfRule type="cellIs" dxfId="166" priority="15" operator="equal">
      <formula>"X"</formula>
    </cfRule>
  </conditionalFormatting>
  <conditionalFormatting sqref="W188:W194">
    <cfRule type="cellIs" dxfId="165" priority="14" operator="equal">
      <formula>"X"</formula>
    </cfRule>
  </conditionalFormatting>
  <conditionalFormatting sqref="AC188:AC194">
    <cfRule type="cellIs" dxfId="164" priority="13" operator="equal">
      <formula>"X"</formula>
    </cfRule>
  </conditionalFormatting>
  <conditionalFormatting sqref="W197:W200">
    <cfRule type="cellIs" dxfId="163" priority="12" operator="equal">
      <formula>"X"</formula>
    </cfRule>
  </conditionalFormatting>
  <conditionalFormatting sqref="AC197:AC200">
    <cfRule type="cellIs" dxfId="162" priority="11" operator="equal">
      <formula>"X"</formula>
    </cfRule>
  </conditionalFormatting>
  <conditionalFormatting sqref="W207:W211">
    <cfRule type="cellIs" dxfId="161" priority="10" operator="equal">
      <formula>"X"</formula>
    </cfRule>
  </conditionalFormatting>
  <conditionalFormatting sqref="AC207:AC211">
    <cfRule type="cellIs" dxfId="160" priority="9" operator="equal">
      <formula>"X"</formula>
    </cfRule>
  </conditionalFormatting>
  <conditionalFormatting sqref="W216">
    <cfRule type="cellIs" dxfId="159" priority="8" operator="equal">
      <formula>"X"</formula>
    </cfRule>
  </conditionalFormatting>
  <conditionalFormatting sqref="AC216">
    <cfRule type="cellIs" dxfId="158" priority="7" operator="equal">
      <formula>"X"</formula>
    </cfRule>
  </conditionalFormatting>
  <conditionalFormatting sqref="W246:W250">
    <cfRule type="cellIs" dxfId="157" priority="6" operator="equal">
      <formula>"X"</formula>
    </cfRule>
  </conditionalFormatting>
  <conditionalFormatting sqref="AC246:AC250">
    <cfRule type="cellIs" dxfId="156" priority="5" operator="equal">
      <formula>"X"</formula>
    </cfRule>
  </conditionalFormatting>
  <conditionalFormatting sqref="X43:X111 X113:X250">
    <cfRule type="expression" dxfId="155" priority="4">
      <formula>IF(W43="P",TRUE,FALSE)</formula>
    </cfRule>
  </conditionalFormatting>
  <conditionalFormatting sqref="Y43:Y111 Y113:Y250">
    <cfRule type="expression" dxfId="154" priority="3">
      <formula>IF(W43="A",TRUE,FALSE)</formula>
    </cfRule>
  </conditionalFormatting>
  <conditionalFormatting sqref="AD43:AD111 AD113:AD250">
    <cfRule type="expression" dxfId="153" priority="2">
      <formula>IF(AC43="P",TRUE,FALSE)</formula>
    </cfRule>
  </conditionalFormatting>
  <conditionalFormatting sqref="AE43:AE111 AE113:AE250">
    <cfRule type="expression" dxfId="152" priority="1">
      <formula>IF(AC43="A",TRUE,FALSE)</formula>
    </cfRule>
  </conditionalFormatting>
  <pageMargins left="0.23622047244094491" right="0.23622047244094491" top="0.55118110236220474" bottom="0.55118110236220474" header="0.31496062992125984" footer="0.31496062992125984"/>
  <pageSetup paperSize="9" scale="66" fitToHeight="0" orientation="landscape" r:id="rId1"/>
  <rowBreaks count="4" manualBreakCount="4">
    <brk id="52" max="16383" man="1"/>
    <brk id="111" max="16383" man="1"/>
    <brk id="171" max="16383" man="1"/>
    <brk id="2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4842" r:id="rId4" name="Drop Down 122">
              <controlPr defaultSize="0" autoLine="0" autoPict="0">
                <anchor moveWithCells="1">
                  <from>
                    <xdr:col>12</xdr:col>
                    <xdr:colOff>0</xdr:colOff>
                    <xdr:row>11</xdr:row>
                    <xdr:rowOff>152400</xdr:rowOff>
                  </from>
                  <to>
                    <xdr:col>15</xdr:col>
                    <xdr:colOff>57150</xdr:colOff>
                    <xdr:row>13</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6">
    <tabColor theme="5" tint="0.39997558519241921"/>
    <outlinePr summaryBelow="0" summaryRight="0"/>
  </sheetPr>
  <dimension ref="A1:AC401"/>
  <sheetViews>
    <sheetView showGridLines="0" showRowColHeaders="0" showZeros="0" zoomScaleNormal="100" workbookViewId="0">
      <pane ySplit="1" topLeftCell="A2" activePane="bottomLeft" state="frozen"/>
      <selection activeCell="I1" sqref="I1"/>
      <selection pane="bottomLeft" activeCell="G14" sqref="G14"/>
    </sheetView>
  </sheetViews>
  <sheetFormatPr baseColWidth="10" defaultRowHeight="11.25" x14ac:dyDescent="0.2"/>
  <cols>
    <col min="1" max="1" width="4.28515625" style="460" customWidth="1"/>
    <col min="2" max="2" width="2.7109375" style="327" customWidth="1"/>
    <col min="3" max="3" width="3.85546875" style="327" customWidth="1"/>
    <col min="4" max="4" width="10.7109375" style="327" customWidth="1"/>
    <col min="5" max="5" width="7" style="327" customWidth="1"/>
    <col min="6" max="6" width="16.28515625" style="327" customWidth="1"/>
    <col min="7" max="7" width="18" style="327" customWidth="1"/>
    <col min="8" max="8" width="12.85546875" style="327" customWidth="1"/>
    <col min="9" max="10" width="17.42578125" style="327" customWidth="1"/>
    <col min="11" max="12" width="16.140625" style="327" customWidth="1"/>
    <col min="13" max="13" width="11.7109375" style="327" customWidth="1"/>
    <col min="14" max="14" width="13.85546875" style="327" customWidth="1"/>
    <col min="15" max="18" width="11.42578125" style="327" customWidth="1"/>
    <col min="19" max="19" width="4.28515625" style="460" customWidth="1"/>
    <col min="20" max="20" width="11.42578125" style="327"/>
    <col min="21" max="21" width="14.42578125" style="327" customWidth="1"/>
    <col min="22" max="22" width="11.42578125" style="327"/>
    <col min="23" max="23" width="14.28515625" style="327" customWidth="1"/>
    <col min="24" max="24" width="11.42578125" style="327" customWidth="1"/>
    <col min="25" max="29" width="11.42578125" style="327"/>
    <col min="30" max="30" width="14" style="327" customWidth="1"/>
    <col min="31" max="16384" width="11.42578125" style="327"/>
  </cols>
  <sheetData>
    <row r="1" spans="1:26" ht="24.95" customHeight="1" x14ac:dyDescent="0.2">
      <c r="A1" s="459"/>
      <c r="B1" s="1609" t="str">
        <f>"Eingabe: Finanzierungs- und Folgekosten - Variante: "&amp;'1. Projektangaben'!C25&amp;" "&amp;LISTEN!E38&amp;""</f>
        <v xml:space="preserve">Eingabe: Finanzierungs- und Folgekosten - Variante: PH-WDVS-WP-Abl-mittl.Sol-ohne PV </v>
      </c>
      <c r="C1" s="1609"/>
      <c r="D1" s="1609"/>
      <c r="E1" s="1609"/>
      <c r="F1" s="1609"/>
      <c r="G1" s="1609"/>
      <c r="H1" s="1609"/>
      <c r="I1" s="1609"/>
      <c r="J1" s="1609"/>
      <c r="K1" s="1609"/>
      <c r="L1" s="1609"/>
      <c r="M1" s="1609"/>
      <c r="N1" s="1609"/>
      <c r="O1" s="1609"/>
      <c r="P1" s="1609"/>
      <c r="Q1" s="1609"/>
      <c r="R1" s="1609"/>
      <c r="S1" s="459"/>
      <c r="T1" s="571"/>
    </row>
    <row r="2" spans="1:26" ht="50.1" customHeight="1" x14ac:dyDescent="0.2">
      <c r="A2" s="440"/>
      <c r="B2" s="1164"/>
      <c r="C2" s="1165"/>
      <c r="D2" s="1165"/>
      <c r="E2" s="1165"/>
      <c r="F2" s="1165"/>
      <c r="G2" s="1165"/>
      <c r="H2" s="1165"/>
      <c r="I2" s="1165"/>
      <c r="J2" s="1165"/>
      <c r="K2" s="1165"/>
      <c r="L2" s="1165"/>
      <c r="M2" s="1165"/>
      <c r="N2" s="1165"/>
      <c r="O2" s="1165"/>
      <c r="P2" s="1165"/>
      <c r="Q2" s="1165"/>
      <c r="R2" s="1165"/>
      <c r="S2" s="440"/>
    </row>
    <row r="3" spans="1:26" ht="12.95" customHeight="1" x14ac:dyDescent="0.2">
      <c r="A3" s="440"/>
      <c r="B3" s="759" t="s">
        <v>106</v>
      </c>
      <c r="C3" s="628"/>
      <c r="D3" s="628"/>
      <c r="E3" s="628"/>
      <c r="F3" s="628"/>
      <c r="G3" s="628"/>
      <c r="H3" s="628"/>
      <c r="I3" s="628"/>
      <c r="J3" s="628"/>
      <c r="K3" s="628"/>
      <c r="L3" s="610"/>
      <c r="M3" s="628"/>
      <c r="N3" s="628"/>
      <c r="O3" s="610"/>
      <c r="P3" s="610"/>
      <c r="Q3" s="610"/>
      <c r="R3" s="610"/>
      <c r="S3" s="440"/>
      <c r="T3" s="571"/>
    </row>
    <row r="4" spans="1:26" ht="12.95" customHeight="1" x14ac:dyDescent="0.2">
      <c r="A4" s="440"/>
      <c r="B4" s="610"/>
      <c r="C4" s="610"/>
      <c r="D4" s="610"/>
      <c r="E4" s="437" t="str">
        <f>'1. Projektangaben'!$B$4</f>
        <v>Bauvorhaben</v>
      </c>
      <c r="F4" s="404" t="str">
        <f>IF('1. Projektangaben'!$C$4="","",'1. Projektangaben'!$C$4)</f>
        <v>KliNaWo</v>
      </c>
      <c r="G4" s="406"/>
      <c r="H4" s="1403" t="str">
        <f>'1. Projektangaben'!$H$4</f>
        <v>Architekt</v>
      </c>
      <c r="I4" s="404" t="str">
        <f>IF('1. Projektangaben'!$I$4="","",'1. Projektangaben'!$I$4)</f>
        <v>Walser und Werle Architekten</v>
      </c>
      <c r="J4" s="447"/>
      <c r="K4" s="1404"/>
      <c r="L4" s="1404"/>
      <c r="M4" s="572"/>
      <c r="N4" s="610"/>
      <c r="O4" s="610"/>
      <c r="P4" s="610"/>
      <c r="Q4" s="610"/>
      <c r="R4" s="610"/>
      <c r="S4" s="440"/>
      <c r="T4" s="458"/>
      <c r="W4" s="573"/>
      <c r="X4" s="574"/>
      <c r="Y4" s="569"/>
      <c r="Z4" s="571"/>
    </row>
    <row r="5" spans="1:26" ht="12.95" customHeight="1" x14ac:dyDescent="0.2">
      <c r="A5" s="440"/>
      <c r="B5" s="610"/>
      <c r="C5" s="610"/>
      <c r="D5" s="610"/>
      <c r="E5" s="437" t="str">
        <f>'1. Projektangaben'!$B$5</f>
        <v>Bauherr</v>
      </c>
      <c r="F5" s="404" t="str">
        <f>IF('1. Projektangaben'!$C$5="","",'1. Projektangaben'!$C$5)</f>
        <v>privater Bauträger</v>
      </c>
      <c r="G5" s="443"/>
      <c r="H5" s="1403" t="str">
        <f>'1. Projektangaben'!$H$5</f>
        <v>Baujahr</v>
      </c>
      <c r="I5" s="1402">
        <f>IF('1. Projektangaben'!$I$5="","",'1. Projektangaben'!$I$5)</f>
        <v>2017</v>
      </c>
      <c r="J5" s="1404"/>
      <c r="K5" s="1404"/>
      <c r="L5" s="1404"/>
      <c r="M5" s="628"/>
      <c r="N5" s="610"/>
      <c r="O5" s="610"/>
      <c r="P5" s="610"/>
      <c r="Q5" s="610"/>
      <c r="R5" s="610"/>
      <c r="S5" s="440"/>
      <c r="T5" s="458"/>
      <c r="W5" s="573"/>
      <c r="X5" s="574"/>
      <c r="Y5" s="569"/>
      <c r="Z5" s="571"/>
    </row>
    <row r="6" spans="1:26" ht="12.95" customHeight="1" x14ac:dyDescent="0.2">
      <c r="A6" s="440"/>
      <c r="B6" s="610"/>
      <c r="C6" s="610"/>
      <c r="D6" s="610"/>
      <c r="E6" s="437" t="str">
        <f>'1. Projektangaben'!$B$6</f>
        <v>Adresse, Ort</v>
      </c>
      <c r="F6" s="404" t="str">
        <f>IF('1. Projektangaben'!$C$6="","",'1. Projektangaben'!$C$6)</f>
        <v>Siedlungsstrasse, Feldkirch</v>
      </c>
      <c r="G6" s="443"/>
      <c r="H6" s="1403" t="str">
        <f>'1. Projektangaben'!$H$6</f>
        <v>Personen</v>
      </c>
      <c r="I6" s="1402">
        <f>IF('1. Projektangaben'!$I$6="","",'1. Projektangaben'!$I$6)</f>
        <v>54</v>
      </c>
      <c r="J6" s="1404"/>
      <c r="K6" s="1404"/>
      <c r="L6" s="1404"/>
      <c r="M6" s="328"/>
      <c r="N6" s="610"/>
      <c r="O6" s="610"/>
      <c r="P6" s="610"/>
      <c r="Q6" s="610"/>
      <c r="R6" s="610"/>
      <c r="S6" s="440"/>
      <c r="T6" s="458"/>
      <c r="W6" s="573"/>
      <c r="X6" s="574"/>
      <c r="Y6" s="571"/>
      <c r="Z6" s="571"/>
    </row>
    <row r="7" spans="1:26" ht="12.95" customHeight="1" x14ac:dyDescent="0.2">
      <c r="A7" s="440"/>
      <c r="B7" s="610"/>
      <c r="C7" s="610"/>
      <c r="D7" s="610"/>
      <c r="E7" s="437" t="str">
        <f>'1. Projektangaben'!B7</f>
        <v>Gebäudetyp</v>
      </c>
      <c r="F7" s="1409" t="str">
        <f>IF('1. Projektangaben'!$C$7="","",'1. Projektangaben'!$C$7)</f>
        <v>Mehrfamilienhaus</v>
      </c>
      <c r="G7" s="1216" t="str">
        <f>'1. Projektangaben'!$E$7</f>
        <v>18+1 WE</v>
      </c>
      <c r="H7" s="1403" t="str">
        <f>'1. Projektangaben'!$H$7</f>
        <v>Anmerkung</v>
      </c>
      <c r="I7" s="404" t="str">
        <f>IF('1. Projektangaben'!$I$7="","",'1. Projektangaben'!$I$7)</f>
        <v>Beispiele verschiedener Varianten</v>
      </c>
      <c r="J7" s="447"/>
      <c r="K7" s="1404"/>
      <c r="L7" s="1404"/>
      <c r="M7" s="572"/>
      <c r="N7" s="610"/>
      <c r="O7" s="610"/>
      <c r="P7" s="610"/>
      <c r="Q7" s="610"/>
      <c r="R7" s="610"/>
      <c r="S7" s="440"/>
      <c r="T7" s="458"/>
      <c r="W7" s="458"/>
      <c r="X7" s="458"/>
      <c r="Y7" s="458"/>
      <c r="Z7" s="458"/>
    </row>
    <row r="8" spans="1:26" ht="12.95" customHeight="1" x14ac:dyDescent="0.2">
      <c r="A8" s="440"/>
      <c r="B8" s="446"/>
      <c r="C8" s="610"/>
      <c r="D8" s="610"/>
      <c r="E8" s="437" t="s">
        <v>111</v>
      </c>
      <c r="F8" s="469" t="str">
        <f>'1. Projektangaben'!E25</f>
        <v>PHSol</v>
      </c>
      <c r="G8" s="470"/>
      <c r="H8" s="1403" t="str">
        <f>'1. Projektangaben'!G22</f>
        <v>EBF</v>
      </c>
      <c r="I8" s="1402">
        <f>'1. Projektangaben'!G23</f>
        <v>1410.2</v>
      </c>
      <c r="J8" s="1404" t="s">
        <v>67</v>
      </c>
      <c r="K8" s="1404"/>
      <c r="L8" s="1404"/>
      <c r="M8" s="628"/>
      <c r="N8" s="610"/>
      <c r="O8" s="610"/>
      <c r="P8" s="610"/>
      <c r="Q8" s="610"/>
      <c r="R8" s="610"/>
      <c r="S8" s="440"/>
      <c r="T8" s="458"/>
    </row>
    <row r="9" spans="1:26" ht="12.95" customHeight="1" x14ac:dyDescent="0.2">
      <c r="A9" s="440"/>
      <c r="B9" s="628"/>
      <c r="C9" s="628"/>
      <c r="D9" s="628"/>
      <c r="E9" s="628"/>
      <c r="F9" s="628"/>
      <c r="G9" s="628"/>
      <c r="H9" s="628"/>
      <c r="I9" s="628"/>
      <c r="J9" s="628"/>
      <c r="K9" s="628"/>
      <c r="L9" s="628"/>
      <c r="M9" s="628"/>
      <c r="N9" s="628"/>
      <c r="O9" s="610"/>
      <c r="P9" s="610"/>
      <c r="Q9" s="610"/>
      <c r="R9" s="610"/>
      <c r="S9" s="440"/>
      <c r="T9" s="458"/>
    </row>
    <row r="10" spans="1:26" ht="39.950000000000003" customHeight="1" x14ac:dyDescent="0.2">
      <c r="A10" s="440"/>
      <c r="B10" s="1164"/>
      <c r="C10" s="1165"/>
      <c r="D10" s="1165"/>
      <c r="E10" s="1165"/>
      <c r="F10" s="1165"/>
      <c r="G10" s="1165"/>
      <c r="H10" s="1165"/>
      <c r="I10" s="1165"/>
      <c r="J10" s="1165"/>
      <c r="K10" s="1165"/>
      <c r="L10" s="1165"/>
      <c r="M10" s="1165"/>
      <c r="N10" s="1165"/>
      <c r="O10" s="1165"/>
      <c r="P10" s="1165"/>
      <c r="Q10" s="1165"/>
      <c r="R10" s="1165"/>
      <c r="S10" s="440"/>
    </row>
    <row r="11" spans="1:26" ht="12.95" customHeight="1" x14ac:dyDescent="0.2">
      <c r="A11" s="440"/>
      <c r="B11" s="577"/>
      <c r="C11" s="578"/>
      <c r="D11" s="578"/>
      <c r="E11" s="579"/>
      <c r="F11" s="579"/>
      <c r="G11" s="579"/>
      <c r="H11" s="579"/>
      <c r="I11" s="578"/>
      <c r="J11" s="578"/>
      <c r="K11" s="578"/>
      <c r="L11" s="578"/>
      <c r="M11" s="578"/>
      <c r="N11" s="578"/>
      <c r="O11" s="1151"/>
      <c r="P11" s="1151"/>
      <c r="Q11" s="1151"/>
      <c r="R11" s="1151"/>
      <c r="S11" s="440"/>
    </row>
    <row r="12" spans="1:26" ht="18" customHeight="1" thickBot="1" x14ac:dyDescent="0.25">
      <c r="A12" s="440"/>
      <c r="B12" s="577"/>
      <c r="C12" s="1151"/>
      <c r="D12" s="1151"/>
      <c r="E12" s="579"/>
      <c r="F12" s="579"/>
      <c r="G12" s="328" t="s">
        <v>65</v>
      </c>
      <c r="H12" s="1151"/>
      <c r="I12" s="1151"/>
      <c r="J12" s="1151"/>
      <c r="K12" s="1151"/>
      <c r="L12" s="1151"/>
      <c r="M12" s="578"/>
      <c r="N12" s="1151"/>
      <c r="O12" s="1151"/>
      <c r="P12" s="1151"/>
      <c r="Q12" s="1151"/>
      <c r="R12" s="1151"/>
      <c r="S12" s="440"/>
    </row>
    <row r="13" spans="1:26" ht="18" customHeight="1" thickBot="1" x14ac:dyDescent="0.25">
      <c r="A13" s="440"/>
      <c r="B13" s="577"/>
      <c r="C13" s="1151"/>
      <c r="D13" s="1151"/>
      <c r="E13" s="1151"/>
      <c r="F13" s="580" t="s">
        <v>193</v>
      </c>
      <c r="G13" s="581">
        <f ca="1">SUM(BERECHNUNG!O549:O655)</f>
        <v>4072142.2919999999</v>
      </c>
      <c r="H13" s="1150"/>
      <c r="I13" s="1150"/>
      <c r="J13" s="1150"/>
      <c r="K13" s="1150"/>
      <c r="L13" s="1150"/>
      <c r="M13" s="1175" t="s">
        <v>400</v>
      </c>
      <c r="N13" s="1176"/>
      <c r="O13" s="1176"/>
      <c r="P13" s="1177"/>
      <c r="Q13" s="1151"/>
      <c r="R13" s="1151"/>
      <c r="S13" s="440"/>
    </row>
    <row r="14" spans="1:26" ht="18" customHeight="1" x14ac:dyDescent="0.2">
      <c r="A14" s="440"/>
      <c r="B14" s="577"/>
      <c r="C14" s="1151"/>
      <c r="D14" s="1151"/>
      <c r="E14" s="1150"/>
      <c r="F14" s="582" t="str">
        <f>"- Einmalzuschuss"</f>
        <v>- Einmalzuschuss</v>
      </c>
      <c r="G14" s="346">
        <v>20750</v>
      </c>
      <c r="H14" s="1150"/>
      <c r="I14" s="1143" t="s">
        <v>439</v>
      </c>
      <c r="J14" s="1143" t="s">
        <v>440</v>
      </c>
      <c r="K14" s="1150"/>
      <c r="L14" s="1150"/>
      <c r="M14" s="1412"/>
      <c r="N14" s="1413"/>
      <c r="O14" s="1422"/>
      <c r="P14" s="1423"/>
      <c r="Q14" s="1151"/>
      <c r="R14" s="1151"/>
      <c r="S14" s="440"/>
    </row>
    <row r="15" spans="1:26" ht="18" customHeight="1" thickBot="1" x14ac:dyDescent="0.25">
      <c r="A15" s="440"/>
      <c r="B15" s="577"/>
      <c r="C15" s="1151"/>
      <c r="D15" s="1151"/>
      <c r="E15" s="583"/>
      <c r="F15" s="584" t="str">
        <f>"- Summe Jährlicher Zuschüsse"</f>
        <v>- Summe Jährlicher Zuschüsse</v>
      </c>
      <c r="G15" s="457">
        <f>I15*J15</f>
        <v>0</v>
      </c>
      <c r="H15" s="585"/>
      <c r="I15" s="347"/>
      <c r="J15" s="348"/>
      <c r="K15" s="1150"/>
      <c r="L15" s="1150"/>
      <c r="M15" s="1415"/>
      <c r="N15" s="1416"/>
      <c r="O15" s="1417"/>
      <c r="P15" s="1424"/>
      <c r="Q15" s="1151"/>
      <c r="R15" s="1151"/>
      <c r="S15" s="440"/>
    </row>
    <row r="16" spans="1:26" ht="18" customHeight="1" x14ac:dyDescent="0.2">
      <c r="A16" s="440"/>
      <c r="B16" s="577"/>
      <c r="C16" s="1151"/>
      <c r="D16" s="1151"/>
      <c r="E16" s="1150"/>
      <c r="F16" s="582" t="str">
        <f>"= Gesamtkosten nach  Abzug Zuschüsse"</f>
        <v>= Gesamtkosten nach  Abzug Zuschüsse</v>
      </c>
      <c r="G16" s="586">
        <f ca="1">G13-G14-G15</f>
        <v>4051392.2919999999</v>
      </c>
      <c r="H16" s="1143" t="s">
        <v>195</v>
      </c>
      <c r="I16" s="1431" t="s">
        <v>849</v>
      </c>
      <c r="J16" s="587"/>
      <c r="K16" s="1150"/>
      <c r="L16" s="1150"/>
      <c r="M16" s="1418"/>
      <c r="N16" s="1414"/>
      <c r="O16" s="1417"/>
      <c r="P16" s="1424"/>
      <c r="Q16" s="1151"/>
      <c r="R16" s="1151"/>
      <c r="S16" s="440"/>
    </row>
    <row r="17" spans="1:19" ht="18" customHeight="1" thickBot="1" x14ac:dyDescent="0.25">
      <c r="A17" s="440"/>
      <c r="B17" s="577"/>
      <c r="C17" s="1151"/>
      <c r="D17" s="1151"/>
      <c r="E17" s="583"/>
      <c r="F17" s="584" t="str">
        <f>"- Eigenkapitaleinsatz"</f>
        <v>- Eigenkapitaleinsatz</v>
      </c>
      <c r="G17" s="1427">
        <f>IF(I17="",'1. Projektangaben'!$O$12,I17)</f>
        <v>1114633.632</v>
      </c>
      <c r="H17" s="588">
        <f ca="1">IF(G13=0,0,G17/G16)</f>
        <v>0.27512359990440544</v>
      </c>
      <c r="I17" s="1434"/>
      <c r="J17" s="589"/>
      <c r="K17" s="1150"/>
      <c r="L17" s="1150"/>
      <c r="M17" s="1418"/>
      <c r="N17" s="1414"/>
      <c r="O17" s="1417"/>
      <c r="P17" s="1424"/>
      <c r="Q17" s="1151"/>
      <c r="R17" s="1151"/>
      <c r="S17" s="440"/>
    </row>
    <row r="18" spans="1:19" ht="18" customHeight="1" thickBot="1" x14ac:dyDescent="0.25">
      <c r="A18" s="440"/>
      <c r="B18" s="577"/>
      <c r="C18" s="1151"/>
      <c r="D18" s="1151"/>
      <c r="E18" s="590"/>
      <c r="F18" s="591" t="str">
        <f>"= Fremdkapitaleinsatz"</f>
        <v>= Fremdkapitaleinsatz</v>
      </c>
      <c r="G18" s="592">
        <f ca="1">G16-G17</f>
        <v>2936758.66</v>
      </c>
      <c r="H18" s="593">
        <f ca="1">1-H17</f>
        <v>0.72487640009559451</v>
      </c>
      <c r="I18" s="1150"/>
      <c r="J18" s="1150"/>
      <c r="K18" s="1150"/>
      <c r="L18" s="1150"/>
      <c r="M18" s="1418"/>
      <c r="N18" s="1414"/>
      <c r="O18" s="1417"/>
      <c r="P18" s="1424"/>
      <c r="Q18" s="1151"/>
      <c r="R18" s="1151"/>
      <c r="S18" s="440"/>
    </row>
    <row r="19" spans="1:19" ht="18" customHeight="1" thickTop="1" x14ac:dyDescent="0.2">
      <c r="A19" s="440"/>
      <c r="B19" s="577"/>
      <c r="C19" s="1151"/>
      <c r="D19" s="1151"/>
      <c r="E19" s="1150"/>
      <c r="F19" s="594" t="s">
        <v>112</v>
      </c>
      <c r="G19" s="1429">
        <f>N20</f>
        <v>1702597.6</v>
      </c>
      <c r="H19" s="595">
        <f ca="1">IF(G16=0,0,G19/G16)</f>
        <v>0.42024999735572388</v>
      </c>
      <c r="I19" s="1150"/>
      <c r="J19" s="1150"/>
      <c r="K19" s="1150"/>
      <c r="L19" s="1150"/>
      <c r="M19" s="1419"/>
      <c r="N19" s="1414" t="s">
        <v>873</v>
      </c>
      <c r="O19" s="1417"/>
      <c r="P19" s="1424"/>
      <c r="Q19" s="1151"/>
      <c r="R19" s="1151"/>
      <c r="S19" s="440"/>
    </row>
    <row r="20" spans="1:19" ht="18" customHeight="1" x14ac:dyDescent="0.2">
      <c r="A20" s="440"/>
      <c r="B20" s="577"/>
      <c r="C20" s="578"/>
      <c r="D20" s="578"/>
      <c r="E20" s="579"/>
      <c r="F20" s="596" t="s">
        <v>191</v>
      </c>
      <c r="G20" s="1428">
        <f ca="1">G18-G19</f>
        <v>1234161.06</v>
      </c>
      <c r="H20" s="597">
        <f ca="1">IFERROR(IF(G16=0,0,G20/G18),0)</f>
        <v>0.42024599324753503</v>
      </c>
      <c r="I20" s="1150"/>
      <c r="J20" s="1150"/>
      <c r="K20" s="1150"/>
      <c r="L20" s="1150"/>
      <c r="M20" s="1420"/>
      <c r="N20" s="1421">
        <f>1198*'1. Projektangaben'!G25</f>
        <v>1702597.6</v>
      </c>
      <c r="O20" s="1417"/>
      <c r="P20" s="1424"/>
      <c r="Q20" s="1151"/>
      <c r="R20" s="1151"/>
      <c r="S20" s="440"/>
    </row>
    <row r="21" spans="1:19" ht="18" customHeight="1" x14ac:dyDescent="0.2">
      <c r="A21" s="440"/>
      <c r="B21" s="577"/>
      <c r="C21" s="578"/>
      <c r="D21" s="1181" t="s">
        <v>793</v>
      </c>
      <c r="E21" s="578"/>
      <c r="F21" s="578"/>
      <c r="G21" s="1150"/>
      <c r="H21" s="598"/>
      <c r="I21" s="589"/>
      <c r="J21" s="589"/>
      <c r="K21" s="1150"/>
      <c r="L21" s="1150"/>
      <c r="M21" s="1418"/>
      <c r="N21" s="1414"/>
      <c r="O21" s="1417"/>
      <c r="P21" s="1424"/>
      <c r="Q21" s="1151"/>
      <c r="R21" s="1151"/>
      <c r="S21" s="440"/>
    </row>
    <row r="22" spans="1:19" ht="18" customHeight="1" x14ac:dyDescent="0.25">
      <c r="A22" s="483"/>
      <c r="B22" s="577"/>
      <c r="C22" s="599"/>
      <c r="D22" s="1432" t="s">
        <v>191</v>
      </c>
      <c r="E22" s="600"/>
      <c r="F22" s="1147" t="s">
        <v>202</v>
      </c>
      <c r="G22" s="1147" t="s">
        <v>113</v>
      </c>
      <c r="H22" s="1147" t="s">
        <v>115</v>
      </c>
      <c r="I22" s="1147" t="s">
        <v>114</v>
      </c>
      <c r="J22" s="1147"/>
      <c r="K22" s="1150"/>
      <c r="L22" s="1150"/>
      <c r="M22" s="1418"/>
      <c r="N22" s="1414"/>
      <c r="O22" s="1417"/>
      <c r="P22" s="1424"/>
      <c r="Q22" s="1151"/>
      <c r="R22" s="1151"/>
      <c r="S22" s="483"/>
    </row>
    <row r="23" spans="1:19" ht="18" customHeight="1" thickBot="1" x14ac:dyDescent="0.25">
      <c r="A23" s="440"/>
      <c r="B23" s="577"/>
      <c r="C23" s="599"/>
      <c r="D23" s="578"/>
      <c r="E23" s="599"/>
      <c r="F23" s="328" t="s">
        <v>65</v>
      </c>
      <c r="G23" s="328" t="s">
        <v>66</v>
      </c>
      <c r="H23" s="328" t="s">
        <v>204</v>
      </c>
      <c r="I23" s="328" t="s">
        <v>93</v>
      </c>
      <c r="J23" s="328"/>
      <c r="K23" s="1150"/>
      <c r="L23" s="1150"/>
      <c r="M23" s="1410"/>
      <c r="N23" s="1411"/>
      <c r="O23" s="314"/>
      <c r="P23" s="1425"/>
      <c r="Q23" s="1151"/>
      <c r="R23" s="1151"/>
      <c r="S23" s="440"/>
    </row>
    <row r="24" spans="1:19" ht="18" customHeight="1" x14ac:dyDescent="0.2">
      <c r="A24" s="440"/>
      <c r="B24" s="577"/>
      <c r="C24" s="599"/>
      <c r="D24" s="599" t="s">
        <v>468</v>
      </c>
      <c r="E24" s="599"/>
      <c r="F24" s="602"/>
      <c r="G24" s="313"/>
      <c r="H24" s="217"/>
      <c r="I24" s="602"/>
      <c r="J24" s="602"/>
      <c r="K24" s="1150"/>
      <c r="L24" s="1150"/>
      <c r="M24" s="578"/>
      <c r="N24" s="578"/>
      <c r="O24" s="1151"/>
      <c r="P24" s="1151"/>
      <c r="Q24" s="1151"/>
      <c r="R24" s="1151"/>
      <c r="S24" s="440"/>
    </row>
    <row r="25" spans="1:19" ht="18" customHeight="1" x14ac:dyDescent="0.2">
      <c r="A25" s="440"/>
      <c r="B25" s="577"/>
      <c r="C25" s="599"/>
      <c r="D25" s="599" t="s">
        <v>469</v>
      </c>
      <c r="E25" s="599"/>
      <c r="F25" s="1430">
        <f ca="1">G20</f>
        <v>1234161.06</v>
      </c>
      <c r="G25" s="601">
        <f ca="1">IF(F25=0,"",IF(ISNUMBER(G24),G24,'1. Projektangaben'!$F$12))</f>
        <v>35</v>
      </c>
      <c r="H25" s="642">
        <f ca="1">IF(F25=0,"",IF(ISNUMBER(H24),H24,'1. Projektangaben'!$F$14))</f>
        <v>0.02</v>
      </c>
      <c r="I25" s="601">
        <f ca="1">IFERROR(PMT(H25,G25,F25,,0)*-1,"")</f>
        <v>49369.168897197917</v>
      </c>
      <c r="J25" s="602"/>
      <c r="K25" s="1150"/>
      <c r="L25" s="1150"/>
      <c r="M25" s="578"/>
      <c r="N25" s="578"/>
      <c r="O25" s="1151"/>
      <c r="P25" s="1151"/>
      <c r="Q25" s="1151"/>
      <c r="R25" s="1151"/>
      <c r="S25" s="440"/>
    </row>
    <row r="26" spans="1:19" ht="12.95" customHeight="1" x14ac:dyDescent="0.2">
      <c r="A26" s="440"/>
      <c r="B26" s="577"/>
      <c r="C26" s="582"/>
      <c r="D26" s="582"/>
      <c r="E26" s="455"/>
      <c r="F26" s="603" t="str">
        <f>IF(G24&gt;'1. Projektangaben'!F12,"Achtung, Kreditlaufzeit ist länger als Betrachtungszeitraum!","")</f>
        <v/>
      </c>
      <c r="G26" s="1150"/>
      <c r="H26" s="1150"/>
      <c r="I26" s="1150"/>
      <c r="J26" s="1150"/>
      <c r="K26" s="1151"/>
      <c r="L26" s="1151"/>
      <c r="M26" s="1151"/>
      <c r="N26" s="1151"/>
      <c r="O26" s="1151"/>
      <c r="P26" s="1151"/>
      <c r="Q26" s="1151"/>
      <c r="R26" s="1151"/>
      <c r="S26" s="440"/>
    </row>
    <row r="27" spans="1:19" ht="12.95" customHeight="1" x14ac:dyDescent="0.2">
      <c r="A27" s="440"/>
      <c r="B27" s="577"/>
      <c r="C27" s="582"/>
      <c r="D27" s="1432" t="s">
        <v>207</v>
      </c>
      <c r="E27" s="1141"/>
      <c r="F27" s="605"/>
      <c r="G27" s="605"/>
      <c r="H27" s="605"/>
      <c r="I27" s="605"/>
      <c r="J27" s="605"/>
      <c r="K27" s="1151"/>
      <c r="L27" s="1151"/>
      <c r="M27" s="1151"/>
      <c r="N27" s="1151"/>
      <c r="O27" s="1151"/>
      <c r="P27" s="1151"/>
      <c r="Q27" s="1151"/>
      <c r="R27" s="1151"/>
      <c r="S27" s="440"/>
    </row>
    <row r="28" spans="1:19" ht="12.95" customHeight="1" x14ac:dyDescent="0.2">
      <c r="A28" s="440"/>
      <c r="B28" s="577"/>
      <c r="C28" s="582"/>
      <c r="D28" s="1433" t="s">
        <v>206</v>
      </c>
      <c r="E28" s="455"/>
      <c r="F28" s="1143" t="s">
        <v>203</v>
      </c>
      <c r="G28" s="1150"/>
      <c r="H28" s="449" t="s">
        <v>372</v>
      </c>
      <c r="I28" s="1150"/>
      <c r="J28" s="1150"/>
      <c r="K28" s="1151"/>
      <c r="L28" s="1151"/>
      <c r="M28" s="1151"/>
      <c r="N28" s="1151"/>
      <c r="O28" s="1151"/>
      <c r="P28" s="1151"/>
      <c r="Q28" s="1151"/>
      <c r="R28" s="1151"/>
      <c r="S28" s="440"/>
    </row>
    <row r="29" spans="1:19" ht="12.95" customHeight="1" x14ac:dyDescent="0.2">
      <c r="A29" s="440"/>
      <c r="B29" s="577"/>
      <c r="C29" s="582"/>
      <c r="D29" s="1151"/>
      <c r="E29" s="455"/>
      <c r="F29" s="313">
        <v>35</v>
      </c>
      <c r="G29" s="1150" t="s">
        <v>161</v>
      </c>
      <c r="H29" s="313">
        <v>12</v>
      </c>
      <c r="I29" s="1150" t="s">
        <v>371</v>
      </c>
      <c r="J29" s="1151"/>
      <c r="K29" s="1151"/>
      <c r="L29" s="1151"/>
      <c r="M29" s="1151"/>
      <c r="N29" s="1151"/>
      <c r="O29" s="1151"/>
      <c r="P29" s="1151"/>
      <c r="Q29" s="1151"/>
      <c r="R29" s="1151"/>
      <c r="S29" s="440"/>
    </row>
    <row r="30" spans="1:19" ht="12.95" customHeight="1" x14ac:dyDescent="0.2">
      <c r="A30" s="440"/>
      <c r="B30" s="577"/>
      <c r="C30" s="582"/>
      <c r="D30" s="603" t="str">
        <f>IF(F29&gt;'1. Projektangaben'!F12,"Achtung, Kreditlaufzeit ist länger als Betrachtungszeitraum!","")</f>
        <v/>
      </c>
      <c r="E30" s="1151"/>
      <c r="F30" s="1150"/>
      <c r="G30" s="1150"/>
      <c r="H30" s="1150"/>
      <c r="I30" s="1150"/>
      <c r="J30" s="1150"/>
      <c r="K30" s="1151"/>
      <c r="L30" s="1151"/>
      <c r="M30" s="1151"/>
      <c r="N30" s="1151"/>
      <c r="O30" s="1151"/>
      <c r="P30" s="1151"/>
      <c r="Q30" s="1151"/>
      <c r="R30" s="1151"/>
      <c r="S30" s="440"/>
    </row>
    <row r="31" spans="1:19" ht="12.95" customHeight="1" x14ac:dyDescent="0.2">
      <c r="A31" s="440"/>
      <c r="B31" s="577"/>
      <c r="C31" s="582"/>
      <c r="D31" s="603"/>
      <c r="E31" s="1151"/>
      <c r="F31" s="1150"/>
      <c r="G31" s="1150"/>
      <c r="H31" s="1150"/>
      <c r="I31" s="1150"/>
      <c r="J31" s="1150"/>
      <c r="K31" s="1151"/>
      <c r="L31" s="1151"/>
      <c r="M31" s="1151"/>
      <c r="N31" s="1151"/>
      <c r="O31" s="1151"/>
      <c r="P31" s="1151"/>
      <c r="Q31" s="1151"/>
      <c r="R31" s="1151"/>
      <c r="S31" s="440"/>
    </row>
    <row r="32" spans="1:19" ht="12.95" customHeight="1" x14ac:dyDescent="0.2">
      <c r="A32" s="440"/>
      <c r="B32" s="577"/>
      <c r="C32" s="579"/>
      <c r="D32" s="942" t="s">
        <v>351</v>
      </c>
      <c r="E32" s="1143"/>
      <c r="F32" s="1143"/>
      <c r="G32" s="1143"/>
      <c r="H32" s="1143" t="s">
        <v>113</v>
      </c>
      <c r="I32" s="1143" t="s">
        <v>245</v>
      </c>
      <c r="J32" s="1143" t="s">
        <v>114</v>
      </c>
      <c r="K32" s="1151"/>
      <c r="L32" s="1151"/>
      <c r="M32" s="1151"/>
      <c r="N32" s="1151"/>
      <c r="O32" s="1151"/>
      <c r="P32" s="1151"/>
      <c r="Q32" s="1151"/>
      <c r="R32" s="1151"/>
      <c r="S32" s="440"/>
    </row>
    <row r="33" spans="1:29" ht="12.95" customHeight="1" x14ac:dyDescent="0.2">
      <c r="A33" s="440"/>
      <c r="B33" s="577"/>
      <c r="C33" s="578"/>
      <c r="D33" s="328" t="s">
        <v>349</v>
      </c>
      <c r="E33" s="328"/>
      <c r="F33" s="328" t="s">
        <v>350</v>
      </c>
      <c r="G33" s="328"/>
      <c r="H33" s="328" t="s">
        <v>66</v>
      </c>
      <c r="I33" s="328" t="s">
        <v>204</v>
      </c>
      <c r="J33" s="328" t="s">
        <v>93</v>
      </c>
      <c r="K33" s="1151"/>
      <c r="L33" s="1151"/>
      <c r="M33" s="1151"/>
      <c r="N33" s="1151"/>
      <c r="O33" s="1151"/>
      <c r="P33" s="1151"/>
      <c r="Q33" s="1151"/>
      <c r="R33" s="1151"/>
      <c r="S33" s="440"/>
      <c r="AC33" s="606"/>
    </row>
    <row r="34" spans="1:29" ht="12.95" customHeight="1" x14ac:dyDescent="0.2">
      <c r="A34" s="440"/>
      <c r="B34" s="577"/>
      <c r="C34" s="578"/>
      <c r="D34" s="1142">
        <v>1</v>
      </c>
      <c r="E34" s="1142" t="str">
        <f>"-"</f>
        <v>-</v>
      </c>
      <c r="F34" s="313">
        <v>5</v>
      </c>
      <c r="G34" s="603" t="str">
        <f>IF(F34&gt;$F$29,"Achtung! Wert liegt über gesamster Kreditlaufzeit","")</f>
        <v/>
      </c>
      <c r="H34" s="1142">
        <f>IF(OR(D34="",F34=""),"",F34-D34+1)</f>
        <v>5</v>
      </c>
      <c r="I34" s="218">
        <v>1.4999999999999999E-2</v>
      </c>
      <c r="J34" s="607">
        <f t="shared" ref="J34:J40" si="0">IF(OR($G$19="",$G$19=0,F34=""),"",$G$19*I34+$H$29)</f>
        <v>25550.964</v>
      </c>
      <c r="K34" s="1151"/>
      <c r="L34" s="1151"/>
      <c r="M34" s="1151"/>
      <c r="N34" s="1151"/>
      <c r="O34" s="1151"/>
      <c r="P34" s="1151"/>
      <c r="Q34" s="1151"/>
      <c r="R34" s="1151"/>
      <c r="S34" s="440"/>
    </row>
    <row r="35" spans="1:29" ht="12.95" customHeight="1" x14ac:dyDescent="0.2">
      <c r="A35" s="440"/>
      <c r="B35" s="577"/>
      <c r="C35" s="578"/>
      <c r="D35" s="1142">
        <f>IF(OR(F34="",F34=0,F34=$F$29),"",1+F34)</f>
        <v>6</v>
      </c>
      <c r="E35" s="1142" t="str">
        <f t="shared" ref="E35:E40" si="1">"-"</f>
        <v>-</v>
      </c>
      <c r="F35" s="313">
        <v>10</v>
      </c>
      <c r="G35" s="603" t="str">
        <f>IF(F35&gt;$F$29,"Achtung! Wert liegt über gesamster Kreditlaufzeit","")</f>
        <v/>
      </c>
      <c r="H35" s="1142">
        <f t="shared" ref="H35:H40" si="2">IF(OR(D35="",F35=""),"",F35-D35+1)</f>
        <v>5</v>
      </c>
      <c r="I35" s="218">
        <v>2.5000000000000001E-2</v>
      </c>
      <c r="J35" s="607">
        <f t="shared" si="0"/>
        <v>42576.94</v>
      </c>
      <c r="K35" s="1151"/>
      <c r="L35" s="1151"/>
      <c r="M35" s="1151"/>
      <c r="N35" s="1151"/>
      <c r="O35" s="1151"/>
      <c r="P35" s="1151"/>
      <c r="Q35" s="1151"/>
      <c r="R35" s="1151"/>
      <c r="S35" s="440"/>
    </row>
    <row r="36" spans="1:29" ht="12.95" customHeight="1" x14ac:dyDescent="0.2">
      <c r="A36" s="440"/>
      <c r="B36" s="577"/>
      <c r="C36" s="578"/>
      <c r="D36" s="1142">
        <f>IF(OR(F35="",F35=0,F35=$F$29),"",1+F35)</f>
        <v>11</v>
      </c>
      <c r="E36" s="1142" t="str">
        <f t="shared" si="1"/>
        <v>-</v>
      </c>
      <c r="F36" s="313">
        <v>15</v>
      </c>
      <c r="G36" s="603" t="str">
        <f t="shared" ref="G36:G40" si="3">IF(F36&gt;$F$29,"Achtung! Wert liegt über gesamster Kreditlaufzeit","")</f>
        <v/>
      </c>
      <c r="H36" s="1142">
        <f t="shared" si="2"/>
        <v>5</v>
      </c>
      <c r="I36" s="218">
        <v>3.5000000000000003E-2</v>
      </c>
      <c r="J36" s="607">
        <f t="shared" si="0"/>
        <v>59602.916000000012</v>
      </c>
      <c r="K36" s="1151"/>
      <c r="L36" s="1151"/>
      <c r="M36" s="1151"/>
      <c r="N36" s="1151"/>
      <c r="O36" s="1151"/>
      <c r="P36" s="1151"/>
      <c r="Q36" s="1151"/>
      <c r="R36" s="1151"/>
      <c r="S36" s="440"/>
    </row>
    <row r="37" spans="1:29" ht="12.95" customHeight="1" x14ac:dyDescent="0.2">
      <c r="A37" s="440"/>
      <c r="B37" s="577"/>
      <c r="C37" s="578"/>
      <c r="D37" s="1142">
        <f>IF(OR(F36="",F36=0,F36=$F$29),"",1+F36)</f>
        <v>16</v>
      </c>
      <c r="E37" s="1142" t="str">
        <f t="shared" si="1"/>
        <v>-</v>
      </c>
      <c r="F37" s="313">
        <v>20</v>
      </c>
      <c r="G37" s="603" t="str">
        <f t="shared" si="3"/>
        <v/>
      </c>
      <c r="H37" s="1142">
        <f t="shared" si="2"/>
        <v>5</v>
      </c>
      <c r="I37" s="218">
        <v>4.4999999999999998E-2</v>
      </c>
      <c r="J37" s="607">
        <f t="shared" si="0"/>
        <v>76628.892000000007</v>
      </c>
      <c r="K37" s="1151"/>
      <c r="L37" s="1151"/>
      <c r="M37" s="1151"/>
      <c r="N37" s="1151"/>
      <c r="O37" s="1151"/>
      <c r="P37" s="1151"/>
      <c r="Q37" s="1151"/>
      <c r="R37" s="1151"/>
      <c r="S37" s="440"/>
    </row>
    <row r="38" spans="1:29" ht="12.95" customHeight="1" x14ac:dyDescent="0.2">
      <c r="A38" s="440"/>
      <c r="B38" s="577"/>
      <c r="C38" s="578"/>
      <c r="D38" s="1142">
        <f t="shared" ref="D38:D40" si="4">IF(OR(F37="",F37=0,F37=$F$29),"",1+F37)</f>
        <v>21</v>
      </c>
      <c r="E38" s="1142" t="str">
        <f t="shared" si="1"/>
        <v>-</v>
      </c>
      <c r="F38" s="313">
        <v>25</v>
      </c>
      <c r="G38" s="603" t="str">
        <f t="shared" si="3"/>
        <v/>
      </c>
      <c r="H38" s="1142">
        <f t="shared" si="2"/>
        <v>5</v>
      </c>
      <c r="I38" s="218">
        <v>5.5E-2</v>
      </c>
      <c r="J38" s="607">
        <f t="shared" si="0"/>
        <v>93654.868000000002</v>
      </c>
      <c r="K38" s="1151"/>
      <c r="L38" s="1151"/>
      <c r="M38" s="1151"/>
      <c r="N38" s="1151"/>
      <c r="O38" s="1151"/>
      <c r="P38" s="1151"/>
      <c r="Q38" s="1151"/>
      <c r="R38" s="1151"/>
      <c r="S38" s="440"/>
    </row>
    <row r="39" spans="1:29" ht="12.95" customHeight="1" x14ac:dyDescent="0.2">
      <c r="A39" s="440"/>
      <c r="B39" s="577"/>
      <c r="C39" s="578"/>
      <c r="D39" s="1142">
        <f t="shared" si="4"/>
        <v>26</v>
      </c>
      <c r="E39" s="1142" t="str">
        <f t="shared" si="1"/>
        <v>-</v>
      </c>
      <c r="F39" s="313">
        <v>30</v>
      </c>
      <c r="G39" s="603" t="str">
        <f t="shared" si="3"/>
        <v/>
      </c>
      <c r="H39" s="1142">
        <f t="shared" si="2"/>
        <v>5</v>
      </c>
      <c r="I39" s="218">
        <v>0.06</v>
      </c>
      <c r="J39" s="607">
        <f t="shared" si="0"/>
        <v>102167.856</v>
      </c>
      <c r="K39" s="1151"/>
      <c r="L39" s="1151"/>
      <c r="M39" s="1151"/>
      <c r="N39" s="1151"/>
      <c r="O39" s="1151"/>
      <c r="P39" s="1151"/>
      <c r="Q39" s="1151"/>
      <c r="R39" s="1151"/>
      <c r="S39" s="440"/>
    </row>
    <row r="40" spans="1:29" ht="12.95" customHeight="1" x14ac:dyDescent="0.2">
      <c r="A40" s="440"/>
      <c r="B40" s="577"/>
      <c r="C40" s="578"/>
      <c r="D40" s="1142">
        <f t="shared" si="4"/>
        <v>31</v>
      </c>
      <c r="E40" s="1142" t="str">
        <f t="shared" si="1"/>
        <v>-</v>
      </c>
      <c r="F40" s="313">
        <v>35</v>
      </c>
      <c r="G40" s="603" t="str">
        <f t="shared" si="3"/>
        <v/>
      </c>
      <c r="H40" s="1142">
        <f t="shared" si="2"/>
        <v>5</v>
      </c>
      <c r="I40" s="218">
        <v>6.5000000000000002E-2</v>
      </c>
      <c r="J40" s="607">
        <f t="shared" si="0"/>
        <v>110680.84400000001</v>
      </c>
      <c r="K40" s="1151"/>
      <c r="L40" s="1151"/>
      <c r="M40" s="1151"/>
      <c r="N40" s="1151"/>
      <c r="O40" s="1151"/>
      <c r="P40" s="1151"/>
      <c r="Q40" s="1151"/>
      <c r="R40" s="1151"/>
      <c r="S40" s="440"/>
    </row>
    <row r="41" spans="1:29" ht="12.95" customHeight="1" x14ac:dyDescent="0.2">
      <c r="A41" s="440"/>
      <c r="B41" s="1151"/>
      <c r="C41" s="1151"/>
      <c r="D41" s="1151"/>
      <c r="E41" s="1151"/>
      <c r="F41" s="1151"/>
      <c r="G41" s="1151"/>
      <c r="H41" s="1151"/>
      <c r="I41" s="1151"/>
      <c r="J41" s="1151"/>
      <c r="K41" s="1151"/>
      <c r="L41" s="1151"/>
      <c r="M41" s="1151"/>
      <c r="N41" s="1151"/>
      <c r="O41" s="1151"/>
      <c r="P41" s="1151"/>
      <c r="Q41" s="1151"/>
      <c r="R41" s="1151"/>
      <c r="S41" s="440"/>
    </row>
    <row r="42" spans="1:29" ht="12.95" customHeight="1" x14ac:dyDescent="0.2">
      <c r="A42" s="440"/>
      <c r="B42" s="577"/>
      <c r="C42" s="578"/>
      <c r="D42" s="578"/>
      <c r="E42" s="579"/>
      <c r="F42" s="579"/>
      <c r="G42" s="579"/>
      <c r="H42" s="1151"/>
      <c r="I42" s="1151"/>
      <c r="J42" s="1151"/>
      <c r="K42" s="1151"/>
      <c r="L42" s="317"/>
      <c r="M42" s="317"/>
      <c r="N42" s="608"/>
      <c r="O42" s="317"/>
      <c r="P42" s="317"/>
      <c r="Q42" s="317"/>
      <c r="R42" s="317"/>
      <c r="S42" s="440"/>
    </row>
    <row r="43" spans="1:29" ht="39.950000000000003" customHeight="1" x14ac:dyDescent="0.2">
      <c r="A43" s="440"/>
      <c r="B43" s="1164"/>
      <c r="C43" s="1165"/>
      <c r="D43" s="1165"/>
      <c r="E43" s="1165"/>
      <c r="F43" s="1165"/>
      <c r="G43" s="1165"/>
      <c r="H43" s="1165"/>
      <c r="I43" s="1165"/>
      <c r="J43" s="1165"/>
      <c r="K43" s="1165"/>
      <c r="L43" s="1165"/>
      <c r="M43" s="1165"/>
      <c r="N43" s="1165"/>
      <c r="O43" s="1165"/>
      <c r="P43" s="1165"/>
      <c r="Q43" s="1165"/>
      <c r="R43" s="1165"/>
      <c r="S43" s="440"/>
    </row>
    <row r="44" spans="1:29" ht="12.95" customHeight="1" x14ac:dyDescent="0.2">
      <c r="A44" s="440"/>
      <c r="B44" s="413"/>
      <c r="C44" s="628"/>
      <c r="D44" s="628"/>
      <c r="E44" s="414"/>
      <c r="F44" s="414"/>
      <c r="G44" s="414"/>
      <c r="H44" s="414"/>
      <c r="I44" s="628"/>
      <c r="J44" s="628"/>
      <c r="K44" s="1053" t="s">
        <v>94</v>
      </c>
      <c r="L44" s="438"/>
      <c r="M44" s="628"/>
      <c r="N44" s="628"/>
      <c r="O44" s="610"/>
      <c r="P44" s="610"/>
      <c r="Q44" s="610"/>
      <c r="R44" s="610"/>
      <c r="S44" s="440"/>
    </row>
    <row r="45" spans="1:29" ht="12.95" customHeight="1" x14ac:dyDescent="0.2">
      <c r="A45" s="440"/>
      <c r="B45" s="413"/>
      <c r="C45" s="628"/>
      <c r="D45" s="628"/>
      <c r="E45" s="414"/>
      <c r="F45" s="414"/>
      <c r="G45" s="414"/>
      <c r="H45" s="414"/>
      <c r="I45" s="628"/>
      <c r="J45" s="628"/>
      <c r="K45" s="319" t="s">
        <v>93</v>
      </c>
      <c r="L45" s="319"/>
      <c r="M45" s="628"/>
      <c r="N45" s="628"/>
      <c r="O45" s="610"/>
      <c r="P45" s="610"/>
      <c r="Q45" s="610"/>
      <c r="R45" s="610"/>
      <c r="S45" s="440"/>
    </row>
    <row r="46" spans="1:29" ht="12.95" customHeight="1" x14ac:dyDescent="0.2">
      <c r="A46" s="440"/>
      <c r="B46" s="609" t="s">
        <v>60</v>
      </c>
      <c r="C46" s="494"/>
      <c r="D46" s="1618" t="s">
        <v>73</v>
      </c>
      <c r="E46" s="1625"/>
      <c r="F46" s="1626"/>
      <c r="G46" s="611"/>
      <c r="H46" s="611"/>
      <c r="I46" s="611"/>
      <c r="J46" s="611"/>
      <c r="K46" s="1131">
        <f ca="1">SUM(K47:K48)</f>
        <v>2996.3999999999996</v>
      </c>
      <c r="L46" s="328"/>
      <c r="M46" s="628"/>
      <c r="N46" s="628"/>
      <c r="O46" s="610"/>
      <c r="P46" s="610"/>
      <c r="Q46" s="610"/>
      <c r="R46" s="610"/>
      <c r="S46" s="440"/>
    </row>
    <row r="47" spans="1:29" ht="12.95" customHeight="1" x14ac:dyDescent="0.2">
      <c r="A47" s="440"/>
      <c r="B47" s="320"/>
      <c r="C47" s="320" t="s">
        <v>74</v>
      </c>
      <c r="D47" s="1621" t="s">
        <v>75</v>
      </c>
      <c r="E47" s="1621"/>
      <c r="F47" s="1621"/>
      <c r="G47" s="1621"/>
      <c r="H47" s="610"/>
      <c r="I47" s="610"/>
      <c r="J47" s="610"/>
      <c r="K47" s="306"/>
      <c r="L47" s="438"/>
      <c r="M47" s="438"/>
      <c r="N47" s="438"/>
      <c r="O47" s="610"/>
      <c r="P47" s="610"/>
      <c r="Q47" s="610"/>
      <c r="R47" s="610"/>
      <c r="S47" s="440"/>
    </row>
    <row r="48" spans="1:29" ht="12.95" customHeight="1" x14ac:dyDescent="0.2">
      <c r="A48" s="440"/>
      <c r="B48" s="320"/>
      <c r="C48" s="320" t="s">
        <v>76</v>
      </c>
      <c r="D48" s="1621" t="s">
        <v>77</v>
      </c>
      <c r="E48" s="1621"/>
      <c r="F48" s="1621"/>
      <c r="G48" s="1621"/>
      <c r="H48" s="628"/>
      <c r="I48" s="628"/>
      <c r="J48" s="628"/>
      <c r="K48" s="620">
        <f ca="1">SUM(K49:K51)</f>
        <v>2996.3999999999996</v>
      </c>
      <c r="L48" s="438"/>
      <c r="M48" s="628"/>
      <c r="N48" s="319"/>
      <c r="O48" s="610"/>
      <c r="P48" s="610"/>
      <c r="Q48" s="610"/>
      <c r="R48" s="610"/>
      <c r="S48" s="440"/>
    </row>
    <row r="49" spans="1:19" ht="12.95" customHeight="1" x14ac:dyDescent="0.2">
      <c r="A49" s="440"/>
      <c r="B49" s="320"/>
      <c r="C49" s="320"/>
      <c r="D49" s="753"/>
      <c r="E49" s="753"/>
      <c r="F49" s="753"/>
      <c r="G49" s="753"/>
      <c r="H49" s="753"/>
      <c r="I49" s="753"/>
      <c r="J49" s="621" t="s">
        <v>531</v>
      </c>
      <c r="K49" s="1133">
        <f ca="1">BERECHNUNG!T148+'PV-Einspeisung'!AB146</f>
        <v>2996.3999999999996</v>
      </c>
      <c r="L49" s="749"/>
      <c r="M49" s="751"/>
      <c r="N49" s="319"/>
      <c r="O49" s="754"/>
      <c r="P49" s="754"/>
      <c r="Q49" s="754"/>
      <c r="R49" s="754"/>
      <c r="S49" s="440"/>
    </row>
    <row r="50" spans="1:19" ht="12.95" customHeight="1" x14ac:dyDescent="0.2">
      <c r="A50" s="440"/>
      <c r="B50" s="320"/>
      <c r="C50" s="320"/>
      <c r="D50" s="753"/>
      <c r="E50" s="753"/>
      <c r="F50" s="753"/>
      <c r="G50" s="753"/>
      <c r="H50" s="753"/>
      <c r="I50" s="753"/>
      <c r="J50" s="621" t="s">
        <v>532</v>
      </c>
      <c r="K50" s="1132"/>
      <c r="L50" s="749"/>
      <c r="M50" s="751"/>
      <c r="N50" s="319"/>
      <c r="O50" s="754"/>
      <c r="P50" s="754"/>
      <c r="Q50" s="754"/>
      <c r="R50" s="754"/>
      <c r="S50" s="440"/>
    </row>
    <row r="51" spans="1:19" ht="12.95" customHeight="1" x14ac:dyDescent="0.2">
      <c r="A51" s="440"/>
      <c r="B51" s="320"/>
      <c r="C51" s="320"/>
      <c r="D51" s="753"/>
      <c r="E51" s="753"/>
      <c r="F51" s="753"/>
      <c r="G51" s="753"/>
      <c r="H51" s="753"/>
      <c r="I51" s="753"/>
      <c r="J51" s="621" t="s">
        <v>272</v>
      </c>
      <c r="K51" s="1132"/>
      <c r="L51" s="749"/>
      <c r="M51" s="751"/>
      <c r="N51" s="319"/>
      <c r="O51" s="754"/>
      <c r="P51" s="754"/>
      <c r="Q51" s="754"/>
      <c r="R51" s="754"/>
      <c r="S51" s="440"/>
    </row>
    <row r="52" spans="1:19" ht="12.95" customHeight="1" x14ac:dyDescent="0.2">
      <c r="A52" s="440"/>
      <c r="B52" s="321"/>
      <c r="C52" s="321"/>
      <c r="D52" s="612"/>
      <c r="E52" s="612"/>
      <c r="F52" s="612"/>
      <c r="G52" s="612"/>
      <c r="H52" s="324"/>
      <c r="I52" s="324"/>
      <c r="J52" s="324"/>
      <c r="K52" s="613"/>
      <c r="L52" s="613"/>
      <c r="M52" s="324"/>
      <c r="N52" s="318"/>
      <c r="O52" s="318"/>
      <c r="P52" s="318"/>
      <c r="Q52" s="318"/>
      <c r="R52" s="319"/>
      <c r="S52" s="440"/>
    </row>
    <row r="53" spans="1:19" ht="12.95" customHeight="1" x14ac:dyDescent="0.2">
      <c r="A53" s="440"/>
      <c r="B53" s="320"/>
      <c r="C53" s="320"/>
      <c r="D53" s="614"/>
      <c r="E53" s="614"/>
      <c r="F53" s="614"/>
      <c r="G53" s="614"/>
      <c r="H53" s="628"/>
      <c r="I53" s="628"/>
      <c r="J53" s="628"/>
      <c r="K53" s="1053" t="s">
        <v>94</v>
      </c>
      <c r="L53" s="438"/>
      <c r="M53" s="628"/>
      <c r="N53" s="319"/>
      <c r="O53" s="319"/>
      <c r="P53" s="319"/>
      <c r="Q53" s="319"/>
      <c r="R53" s="319"/>
      <c r="S53" s="440"/>
    </row>
    <row r="54" spans="1:19" ht="12.95" customHeight="1" x14ac:dyDescent="0.2">
      <c r="A54" s="440"/>
      <c r="B54" s="320"/>
      <c r="C54" s="320"/>
      <c r="D54" s="320"/>
      <c r="E54" s="320"/>
      <c r="F54" s="320"/>
      <c r="G54" s="320"/>
      <c r="H54" s="628"/>
      <c r="I54" s="628"/>
      <c r="J54" s="628"/>
      <c r="K54" s="319" t="s">
        <v>93</v>
      </c>
      <c r="L54" s="319"/>
      <c r="M54" s="628"/>
      <c r="N54" s="319"/>
      <c r="O54" s="319"/>
      <c r="P54" s="319"/>
      <c r="Q54" s="319"/>
      <c r="R54" s="319"/>
      <c r="S54" s="440"/>
    </row>
    <row r="55" spans="1:19" ht="12.95" customHeight="1" x14ac:dyDescent="0.2">
      <c r="A55" s="440"/>
      <c r="B55" s="609" t="s">
        <v>55</v>
      </c>
      <c r="C55" s="494"/>
      <c r="D55" s="609" t="s">
        <v>78</v>
      </c>
      <c r="E55" s="609"/>
      <c r="F55" s="609"/>
      <c r="G55" s="322"/>
      <c r="H55" s="610"/>
      <c r="I55" s="610"/>
      <c r="J55" s="610"/>
      <c r="K55" s="1131">
        <f>SUM(K56:K56)</f>
        <v>0</v>
      </c>
      <c r="L55" s="328"/>
      <c r="M55" s="320"/>
      <c r="N55" s="320"/>
      <c r="O55" s="320"/>
      <c r="P55" s="320"/>
      <c r="Q55" s="320"/>
      <c r="R55" s="320"/>
      <c r="S55" s="440"/>
    </row>
    <row r="56" spans="1:19" ht="12.95" customHeight="1" x14ac:dyDescent="0.2">
      <c r="A56" s="440"/>
      <c r="B56" s="628"/>
      <c r="C56" s="320" t="s">
        <v>80</v>
      </c>
      <c r="D56" s="1621" t="s">
        <v>79</v>
      </c>
      <c r="E56" s="1622"/>
      <c r="F56" s="1617"/>
      <c r="G56" s="1617"/>
      <c r="H56" s="610"/>
      <c r="I56" s="610"/>
      <c r="J56" s="610"/>
      <c r="K56" s="1132"/>
      <c r="L56" s="438"/>
      <c r="M56" s="320"/>
      <c r="N56" s="320"/>
      <c r="O56" s="320"/>
      <c r="P56" s="320"/>
      <c r="Q56" s="320"/>
      <c r="R56" s="320"/>
      <c r="S56" s="440"/>
    </row>
    <row r="57" spans="1:19" ht="12.95" customHeight="1" x14ac:dyDescent="0.2">
      <c r="A57" s="440"/>
      <c r="B57" s="324"/>
      <c r="C57" s="321"/>
      <c r="D57" s="321"/>
      <c r="E57" s="321"/>
      <c r="F57" s="321"/>
      <c r="G57" s="321"/>
      <c r="H57" s="321"/>
      <c r="I57" s="321"/>
      <c r="J57" s="321"/>
      <c r="K57" s="321"/>
      <c r="L57" s="321"/>
      <c r="M57" s="321"/>
      <c r="N57" s="321"/>
      <c r="O57" s="321"/>
      <c r="P57" s="321"/>
      <c r="Q57" s="321"/>
      <c r="R57" s="320"/>
      <c r="S57" s="440"/>
    </row>
    <row r="58" spans="1:19" ht="12.95" customHeight="1" x14ac:dyDescent="0.2">
      <c r="A58" s="440"/>
      <c r="B58" s="628"/>
      <c r="C58" s="320"/>
      <c r="D58" s="614"/>
      <c r="E58" s="623"/>
      <c r="F58" s="624"/>
      <c r="G58" s="624"/>
      <c r="H58" s="628"/>
      <c r="I58" s="320"/>
      <c r="J58" s="320"/>
      <c r="K58" s="616" t="s">
        <v>94</v>
      </c>
      <c r="L58" s="616"/>
      <c r="M58" s="320"/>
      <c r="N58" s="320"/>
      <c r="O58" s="320"/>
      <c r="P58" s="320"/>
      <c r="Q58" s="320"/>
      <c r="R58" s="320"/>
      <c r="S58" s="440"/>
    </row>
    <row r="59" spans="1:19" ht="12.95" customHeight="1" x14ac:dyDescent="0.2">
      <c r="A59" s="440"/>
      <c r="B59" s="628"/>
      <c r="C59" s="320"/>
      <c r="D59" s="614"/>
      <c r="E59" s="623"/>
      <c r="F59" s="624"/>
      <c r="G59" s="624"/>
      <c r="H59" s="628"/>
      <c r="I59" s="320"/>
      <c r="J59" s="320"/>
      <c r="K59" s="328" t="s">
        <v>93</v>
      </c>
      <c r="L59" s="328"/>
      <c r="M59" s="320"/>
      <c r="N59" s="320"/>
      <c r="O59" s="320"/>
      <c r="P59" s="320"/>
      <c r="Q59" s="320"/>
      <c r="R59" s="320"/>
      <c r="S59" s="440"/>
    </row>
    <row r="60" spans="1:19" ht="12.95" customHeight="1" x14ac:dyDescent="0.2">
      <c r="A60" s="440"/>
      <c r="B60" s="609" t="s">
        <v>49</v>
      </c>
      <c r="C60" s="494"/>
      <c r="D60" s="1618" t="s">
        <v>187</v>
      </c>
      <c r="E60" s="1618"/>
      <c r="F60" s="1618"/>
      <c r="G60" s="322"/>
      <c r="H60" s="322"/>
      <c r="I60" s="610"/>
      <c r="J60" s="610"/>
      <c r="K60" s="1131">
        <f ca="1">SUM(K63:K80,K89,K84:K85)</f>
        <v>8364.2718772799999</v>
      </c>
      <c r="L60" s="628"/>
      <c r="M60" s="610"/>
      <c r="N60" s="322"/>
      <c r="O60" s="322"/>
      <c r="P60" s="322"/>
      <c r="Q60" s="322"/>
      <c r="R60" s="322"/>
      <c r="S60" s="440"/>
    </row>
    <row r="61" spans="1:19" ht="12.95" customHeight="1" x14ac:dyDescent="0.2">
      <c r="A61" s="440"/>
      <c r="B61" s="320"/>
      <c r="C61" s="320" t="s">
        <v>81</v>
      </c>
      <c r="D61" s="1621" t="s">
        <v>168</v>
      </c>
      <c r="E61" s="1621"/>
      <c r="F61" s="1621"/>
      <c r="G61" s="623" t="s">
        <v>453</v>
      </c>
      <c r="H61" s="610" t="s">
        <v>321</v>
      </c>
      <c r="I61" s="446" t="s">
        <v>319</v>
      </c>
      <c r="J61" s="446" t="s">
        <v>208</v>
      </c>
      <c r="K61" s="1056"/>
      <c r="L61" s="610"/>
      <c r="M61" s="610"/>
      <c r="N61" s="610"/>
      <c r="O61" s="610"/>
      <c r="P61" s="610"/>
      <c r="Q61" s="610"/>
      <c r="R61" s="610"/>
      <c r="S61" s="440"/>
    </row>
    <row r="62" spans="1:19" ht="12.75" customHeight="1" x14ac:dyDescent="0.2">
      <c r="A62" s="440"/>
      <c r="B62" s="320"/>
      <c r="C62" s="320"/>
      <c r="D62" s="418" t="s">
        <v>352</v>
      </c>
      <c r="E62" s="610"/>
      <c r="F62" s="610"/>
      <c r="G62" s="328" t="s">
        <v>122</v>
      </c>
      <c r="H62" s="446" t="s">
        <v>121</v>
      </c>
      <c r="I62" s="446" t="s">
        <v>320</v>
      </c>
      <c r="J62" s="446" t="s">
        <v>209</v>
      </c>
      <c r="K62" s="1056"/>
      <c r="L62" s="610"/>
      <c r="M62" s="610"/>
      <c r="N62" s="610"/>
      <c r="O62" s="610"/>
      <c r="P62" s="610"/>
      <c r="Q62" s="610"/>
      <c r="R62" s="610"/>
      <c r="S62" s="440"/>
    </row>
    <row r="63" spans="1:19" ht="12.75" customHeight="1" x14ac:dyDescent="0.2">
      <c r="A63" s="440"/>
      <c r="B63" s="320"/>
      <c r="C63" s="320"/>
      <c r="D63" s="610"/>
      <c r="E63" s="617" t="str">
        <f>'2. Energie KW.'!E15</f>
        <v>Heizung</v>
      </c>
      <c r="F63" s="708" t="str">
        <f ca="1">VLOOKUP($E63,'2. Energie KW.'!$E$77:$J$94,2,FALSE)</f>
        <v>Wärmepumpenstrom</v>
      </c>
      <c r="G63" s="618">
        <f ca="1">IFERROR(IF(OR(F63="",F63="keine"),0,LOOKUP(MATCH(F63,'1. Projektangaben'!$C$36:$C$43,0),'1. Projektangaben'!$B$36:$B$43,'1. Projektangaben'!$D$36:$D$43)),0)</f>
        <v>0.12156</v>
      </c>
      <c r="H63" s="1142">
        <f>VLOOKUP($E63,'2. Energie KW.'!$E$77:$J$94,6,FALSE)</f>
        <v>7.28</v>
      </c>
      <c r="I63" s="619">
        <f ca="1">G63*H63</f>
        <v>0.88495679999999999</v>
      </c>
      <c r="J63" s="619">
        <f t="shared" ref="J63:J80" ca="1" si="5">IF(OR(F63="",F63="keine"),0,$I$8)</f>
        <v>1410.2</v>
      </c>
      <c r="K63" s="620">
        <f ca="1">J63*I63</f>
        <v>1247.9660793600001</v>
      </c>
      <c r="L63" s="710"/>
      <c r="M63" s="610"/>
      <c r="N63" s="610"/>
      <c r="O63" s="610"/>
      <c r="P63" s="610"/>
      <c r="Q63" s="610"/>
      <c r="R63" s="610"/>
      <c r="S63" s="440"/>
    </row>
    <row r="64" spans="1:19" ht="12.75" customHeight="1" x14ac:dyDescent="0.2">
      <c r="A64" s="440"/>
      <c r="B64" s="320"/>
      <c r="C64" s="320"/>
      <c r="D64" s="610"/>
      <c r="E64" s="617" t="str">
        <f>'2. Energie KW.'!E16</f>
        <v>Heizung 2</v>
      </c>
      <c r="F64" s="1142">
        <f ca="1">VLOOKUP($E64,'2. Energie KW.'!$E$77:$J$94,2,FALSE)</f>
        <v>0</v>
      </c>
      <c r="G64" s="618">
        <f ca="1">IFERROR(IF(OR(F64="",F64="keine"),0,LOOKUP(MATCH(F64,'1. Projektangaben'!$C$36:$C$43,0),'1. Projektangaben'!$B$36:$B$43,'1. Projektangaben'!$D$36:$D$43)),0)</f>
        <v>0</v>
      </c>
      <c r="H64" s="1142">
        <f ca="1">VLOOKUP($E64,'2. Energie KW.'!$E$77:$J$94,6,FALSE)</f>
        <v>0</v>
      </c>
      <c r="I64" s="619">
        <f t="shared" ref="I64:I80" ca="1" si="6">G64*H64</f>
        <v>0</v>
      </c>
      <c r="J64" s="619">
        <f t="shared" ca="1" si="5"/>
        <v>1410.2</v>
      </c>
      <c r="K64" s="620">
        <f ca="1">J64*I64</f>
        <v>0</v>
      </c>
      <c r="L64" s="325"/>
      <c r="M64" s="610"/>
      <c r="N64" s="610"/>
      <c r="O64" s="610"/>
      <c r="P64" s="610"/>
      <c r="Q64" s="610"/>
      <c r="R64" s="610"/>
      <c r="S64" s="440"/>
    </row>
    <row r="65" spans="1:19" ht="12.75" customHeight="1" x14ac:dyDescent="0.2">
      <c r="A65" s="440"/>
      <c r="B65" s="320"/>
      <c r="C65" s="320"/>
      <c r="D65" s="610"/>
      <c r="E65" s="617" t="str">
        <f>'2. Energie KW.'!E17</f>
        <v>Warmwasser</v>
      </c>
      <c r="F65" s="1142" t="str">
        <f ca="1">VLOOKUP($E65,'2. Energie KW.'!$E$77:$J$94,2,FALSE)</f>
        <v>Wärmepumpenstrom</v>
      </c>
      <c r="G65" s="618">
        <f ca="1">IFERROR(IF(OR(F65="",F65="keine"),0,LOOKUP(MATCH(F65,'1. Projektangaben'!$C$36:$C$43,0),'1. Projektangaben'!$B$36:$B$43,'1. Projektangaben'!$D$36:$D$43)),0)</f>
        <v>0.12156</v>
      </c>
      <c r="H65" s="1142">
        <f>VLOOKUP($E65,'2. Energie KW.'!$E$77:$J$94,6,FALSE)</f>
        <v>6.1</v>
      </c>
      <c r="I65" s="619">
        <f t="shared" ca="1" si="6"/>
        <v>0.74151599999999995</v>
      </c>
      <c r="J65" s="619">
        <f t="shared" ca="1" si="5"/>
        <v>1410.2</v>
      </c>
      <c r="K65" s="620">
        <f t="shared" ref="K65:K80" ca="1" si="7">J65*I65</f>
        <v>1045.6858631999999</v>
      </c>
      <c r="L65" s="325"/>
      <c r="M65" s="610"/>
      <c r="N65" s="610"/>
      <c r="O65" s="610"/>
      <c r="P65" s="610"/>
      <c r="Q65" s="610"/>
      <c r="R65" s="610"/>
      <c r="S65" s="440"/>
    </row>
    <row r="66" spans="1:19" ht="12.75" customHeight="1" x14ac:dyDescent="0.2">
      <c r="A66" s="440"/>
      <c r="B66" s="320"/>
      <c r="C66" s="320"/>
      <c r="D66" s="610"/>
      <c r="E66" s="617" t="str">
        <f>'2. Energie KW.'!E18</f>
        <v>Warmwasser 2</v>
      </c>
      <c r="F66" s="1142">
        <f ca="1">VLOOKUP($E66,'2. Energie KW.'!$E$77:$J$94,2,FALSE)</f>
        <v>0</v>
      </c>
      <c r="G66" s="618">
        <f ca="1">IFERROR(IF(OR(F66="",F66="keine"),0,LOOKUP(MATCH(F66,'1. Projektangaben'!$C$36:$C$43,0),'1. Projektangaben'!$B$36:$B$43,'1. Projektangaben'!$D$36:$D$43)),0)</f>
        <v>0</v>
      </c>
      <c r="H66" s="1142">
        <f ca="1">VLOOKUP($E66,'2. Energie KW.'!$E$77:$J$94,6,FALSE)</f>
        <v>0</v>
      </c>
      <c r="I66" s="619">
        <f t="shared" ca="1" si="6"/>
        <v>0</v>
      </c>
      <c r="J66" s="619">
        <f t="shared" ca="1" si="5"/>
        <v>1410.2</v>
      </c>
      <c r="K66" s="620">
        <f t="shared" ca="1" si="7"/>
        <v>0</v>
      </c>
      <c r="L66" s="325"/>
      <c r="M66" s="610"/>
      <c r="N66" s="610"/>
      <c r="O66" s="610"/>
      <c r="P66" s="610"/>
      <c r="Q66" s="610"/>
      <c r="R66" s="610"/>
      <c r="S66" s="440"/>
    </row>
    <row r="67" spans="1:19" ht="12.75" customHeight="1" x14ac:dyDescent="0.2">
      <c r="A67" s="440"/>
      <c r="B67" s="320"/>
      <c r="C67" s="320"/>
      <c r="D67" s="610"/>
      <c r="E67" s="617" t="str">
        <f>'2. Energie KW.'!E19</f>
        <v>Klimatisierung</v>
      </c>
      <c r="F67" s="1142">
        <f ca="1">VLOOKUP($E67,'2. Energie KW.'!$E$77:$J$94,2,FALSE)</f>
        <v>0</v>
      </c>
      <c r="G67" s="618">
        <f ca="1">IFERROR(IF(OR(F67="",F67="keine"),0,LOOKUP(MATCH(F67,'1. Projektangaben'!$C$36:$C$43,0),'1. Projektangaben'!$B$36:$B$43,'1. Projektangaben'!$D$36:$D$43)),0)</f>
        <v>0</v>
      </c>
      <c r="H67" s="1142">
        <f ca="1">VLOOKUP($E67,'2. Energie KW.'!$E$77:$J$94,6,FALSE)</f>
        <v>0</v>
      </c>
      <c r="I67" s="619">
        <f t="shared" ca="1" si="6"/>
        <v>0</v>
      </c>
      <c r="J67" s="619">
        <f t="shared" ca="1" si="5"/>
        <v>1410.2</v>
      </c>
      <c r="K67" s="620">
        <f t="shared" ca="1" si="7"/>
        <v>0</v>
      </c>
      <c r="L67" s="325"/>
      <c r="M67" s="610"/>
      <c r="N67" s="610"/>
      <c r="O67" s="610"/>
      <c r="P67" s="610"/>
      <c r="Q67" s="610"/>
      <c r="R67" s="610"/>
      <c r="S67" s="440"/>
    </row>
    <row r="68" spans="1:19" ht="12.75" customHeight="1" x14ac:dyDescent="0.2">
      <c r="A68" s="440"/>
      <c r="B68" s="320"/>
      <c r="C68" s="320"/>
      <c r="D68" s="610"/>
      <c r="E68" s="617" t="str">
        <f>'2. Energie KW.'!E20</f>
        <v>Kühlung</v>
      </c>
      <c r="F68" s="1142">
        <f ca="1">VLOOKUP($E68,'2. Energie KW.'!$E$77:$J$94,2,FALSE)</f>
        <v>0</v>
      </c>
      <c r="G68" s="618">
        <f ca="1">IFERROR(IF(OR(F68="",F68="keine"),0,LOOKUP(MATCH(F68,'1. Projektangaben'!$C$36:$C$43,0),'1. Projektangaben'!$B$36:$B$43,'1. Projektangaben'!$D$36:$D$43)),0)</f>
        <v>0</v>
      </c>
      <c r="H68" s="1142">
        <f ca="1">VLOOKUP($E68,'2. Energie KW.'!$E$77:$J$94,6,FALSE)</f>
        <v>0</v>
      </c>
      <c r="I68" s="619">
        <f t="shared" ca="1" si="6"/>
        <v>0</v>
      </c>
      <c r="J68" s="619">
        <f t="shared" ca="1" si="5"/>
        <v>1410.2</v>
      </c>
      <c r="K68" s="620">
        <f t="shared" ca="1" si="7"/>
        <v>0</v>
      </c>
      <c r="L68" s="325"/>
      <c r="M68" s="610"/>
      <c r="N68" s="610"/>
      <c r="O68" s="610"/>
      <c r="P68" s="610"/>
      <c r="Q68" s="610"/>
      <c r="R68" s="610"/>
      <c r="S68" s="440"/>
    </row>
    <row r="69" spans="1:19" ht="12.75" customHeight="1" x14ac:dyDescent="0.2">
      <c r="A69" s="440"/>
      <c r="B69" s="320"/>
      <c r="C69" s="320"/>
      <c r="D69" s="610"/>
      <c r="E69" s="617" t="str">
        <f>'2. Energie KW.'!E21</f>
        <v>Hilfstrom Heizung</v>
      </c>
      <c r="F69" s="1142" t="str">
        <f>VLOOKUP($E69,'2. Energie KW.'!$E$77:$J$94,2,FALSE)</f>
        <v>Strom</v>
      </c>
      <c r="G69" s="618">
        <f>IFERROR(IF(OR(F69="",F69="keine"),0,LOOKUP(MATCH(F69,'1. Projektangaben'!$C$36:$C$43,0),'1. Projektangaben'!$B$36:$B$43,'1. Projektangaben'!$D$36:$D$43)),0)</f>
        <v>0.15551999999999999</v>
      </c>
      <c r="H69" s="1142">
        <f>VLOOKUP($E69,'2. Energie KW.'!$E$77:$J$94,6,FALSE)</f>
        <v>0.78</v>
      </c>
      <c r="I69" s="619">
        <f t="shared" si="6"/>
        <v>0.1213056</v>
      </c>
      <c r="J69" s="619">
        <f t="shared" si="5"/>
        <v>1410.2</v>
      </c>
      <c r="K69" s="620">
        <f t="shared" si="7"/>
        <v>171.06515712000001</v>
      </c>
      <c r="L69" s="325"/>
      <c r="M69" s="610"/>
      <c r="N69" s="610"/>
      <c r="O69" s="610"/>
      <c r="P69" s="610"/>
      <c r="Q69" s="610"/>
      <c r="R69" s="610"/>
      <c r="S69" s="440"/>
    </row>
    <row r="70" spans="1:19" ht="12.75" customHeight="1" x14ac:dyDescent="0.2">
      <c r="A70" s="440"/>
      <c r="B70" s="320"/>
      <c r="C70" s="320"/>
      <c r="D70" s="610"/>
      <c r="E70" s="617" t="str">
        <f>'2. Energie KW.'!E22</f>
        <v>Hilfsstrom Warmwasser</v>
      </c>
      <c r="F70" s="1142" t="str">
        <f>VLOOKUP($E70,'2. Energie KW.'!$E$77:$J$94,2,FALSE)</f>
        <v>Strom</v>
      </c>
      <c r="G70" s="618">
        <f>IFERROR(IF(OR(F70="",F70="keine"),0,LOOKUP(MATCH(F70,'1. Projektangaben'!$C$36:$C$43,0),'1. Projektangaben'!$B$36:$B$43,'1. Projektangaben'!$D$36:$D$43)),0)</f>
        <v>0.15551999999999999</v>
      </c>
      <c r="H70" s="1142">
        <f>VLOOKUP($E70,'2. Energie KW.'!$E$77:$J$94,6,FALSE)</f>
        <v>0.5</v>
      </c>
      <c r="I70" s="619">
        <f t="shared" si="6"/>
        <v>7.7759999999999996E-2</v>
      </c>
      <c r="J70" s="619">
        <f t="shared" si="5"/>
        <v>1410.2</v>
      </c>
      <c r="K70" s="620">
        <f t="shared" si="7"/>
        <v>109.657152</v>
      </c>
      <c r="L70" s="325"/>
      <c r="M70" s="610"/>
      <c r="N70" s="610"/>
      <c r="O70" s="610"/>
      <c r="P70" s="610"/>
      <c r="Q70" s="610"/>
      <c r="R70" s="610"/>
      <c r="S70" s="440"/>
    </row>
    <row r="71" spans="1:19" ht="12.75" customHeight="1" x14ac:dyDescent="0.2">
      <c r="A71" s="440"/>
      <c r="B71" s="320"/>
      <c r="C71" s="320"/>
      <c r="D71" s="610"/>
      <c r="E71" s="617" t="str">
        <f>'2. Energie KW.'!E23</f>
        <v>Hilfsstrom Solaranlage</v>
      </c>
      <c r="F71" s="1142" t="str">
        <f>VLOOKUP($E71,'2. Energie KW.'!$E$77:$J$94,2,FALSE)</f>
        <v>Strom</v>
      </c>
      <c r="G71" s="618">
        <f>IFERROR(IF(OR(F71="",F71="keine"),0,LOOKUP(MATCH(F71,'1. Projektangaben'!$C$36:$C$43,0),'1. Projektangaben'!$B$36:$B$43,'1. Projektangaben'!$D$36:$D$43)),0)</f>
        <v>0.15551999999999999</v>
      </c>
      <c r="H71" s="1142">
        <f ca="1">VLOOKUP($E71,'2. Energie KW.'!$E$77:$J$94,6,FALSE)</f>
        <v>0</v>
      </c>
      <c r="I71" s="619">
        <f t="shared" ca="1" si="6"/>
        <v>0</v>
      </c>
      <c r="J71" s="619">
        <f t="shared" si="5"/>
        <v>1410.2</v>
      </c>
      <c r="K71" s="620">
        <f t="shared" ca="1" si="7"/>
        <v>0</v>
      </c>
      <c r="L71" s="325"/>
      <c r="M71" s="610"/>
      <c r="N71" s="610"/>
      <c r="O71" s="610"/>
      <c r="P71" s="610"/>
      <c r="Q71" s="610"/>
      <c r="R71" s="610"/>
      <c r="S71" s="440"/>
    </row>
    <row r="72" spans="1:19" ht="12.75" customHeight="1" x14ac:dyDescent="0.2">
      <c r="A72" s="440"/>
      <c r="B72" s="320"/>
      <c r="C72" s="320"/>
      <c r="D72" s="610"/>
      <c r="E72" s="617" t="str">
        <f>'2. Energie KW.'!E24</f>
        <v>Hilfsstrom Klimatisierung</v>
      </c>
      <c r="F72" s="1142" t="str">
        <f>VLOOKUP($E72,'2. Energie KW.'!$E$77:$J$94,2,FALSE)</f>
        <v>Strom</v>
      </c>
      <c r="G72" s="618">
        <f>IFERROR(IF(OR(F72="",F72="keine"),0,LOOKUP(MATCH(F72,'1. Projektangaben'!$C$36:$C$43,0),'1. Projektangaben'!$B$36:$B$43,'1. Projektangaben'!$D$36:$D$43)),0)</f>
        <v>0.15551999999999999</v>
      </c>
      <c r="H72" s="1142">
        <f ca="1">VLOOKUP($E72,'2. Energie KW.'!$E$77:$J$94,6,FALSE)</f>
        <v>0</v>
      </c>
      <c r="I72" s="619">
        <f t="shared" ca="1" si="6"/>
        <v>0</v>
      </c>
      <c r="J72" s="619">
        <f t="shared" si="5"/>
        <v>1410.2</v>
      </c>
      <c r="K72" s="620">
        <f t="shared" ca="1" si="7"/>
        <v>0</v>
      </c>
      <c r="L72" s="325"/>
      <c r="M72" s="610"/>
      <c r="N72" s="610"/>
      <c r="O72" s="610"/>
      <c r="P72" s="610"/>
      <c r="Q72" s="610"/>
      <c r="R72" s="610"/>
      <c r="S72" s="440"/>
    </row>
    <row r="73" spans="1:19" ht="12.75" customHeight="1" x14ac:dyDescent="0.2">
      <c r="A73" s="440"/>
      <c r="B73" s="320"/>
      <c r="C73" s="320"/>
      <c r="D73" s="610"/>
      <c r="E73" s="617" t="str">
        <f>'2. Energie KW.'!E25</f>
        <v>Hilfsstrom Lüftung</v>
      </c>
      <c r="F73" s="1142" t="str">
        <f>VLOOKUP($E73,'2. Energie KW.'!$E$77:$J$94,2,FALSE)</f>
        <v>Strom</v>
      </c>
      <c r="G73" s="618">
        <f>IFERROR(IF(OR(F73="",F73="keine"),0,LOOKUP(MATCH(F73,'1. Projektangaben'!$C$36:$C$43,0),'1. Projektangaben'!$B$36:$B$43,'1. Projektangaben'!$D$36:$D$43)),0)</f>
        <v>0.15551999999999999</v>
      </c>
      <c r="H73" s="1142">
        <f ca="1">VLOOKUP($E73,'2. Energie KW.'!$E$77:$J$94,6,FALSE)</f>
        <v>1.4</v>
      </c>
      <c r="I73" s="619">
        <f t="shared" ca="1" si="6"/>
        <v>0.21772799999999998</v>
      </c>
      <c r="J73" s="619">
        <f t="shared" si="5"/>
        <v>1410.2</v>
      </c>
      <c r="K73" s="620">
        <f t="shared" ca="1" si="7"/>
        <v>307.04002559999998</v>
      </c>
      <c r="L73" s="325"/>
      <c r="M73" s="610"/>
      <c r="N73" s="610"/>
      <c r="O73" s="610"/>
      <c r="P73" s="610"/>
      <c r="Q73" s="610"/>
      <c r="R73" s="610"/>
      <c r="S73" s="440"/>
    </row>
    <row r="74" spans="1:19" ht="12.75" customHeight="1" x14ac:dyDescent="0.2">
      <c r="A74" s="440"/>
      <c r="B74" s="320"/>
      <c r="C74" s="320"/>
      <c r="D74" s="610"/>
      <c r="E74" s="617" t="str">
        <f>'2. Energie KW.'!E26</f>
        <v>Hilfsstrom Kühlung</v>
      </c>
      <c r="F74" s="1142" t="str">
        <f>VLOOKUP($E74,'2. Energie KW.'!$E$77:$J$94,2,FALSE)</f>
        <v>Strom</v>
      </c>
      <c r="G74" s="618">
        <f>IFERROR(IF(OR(F74="",F74="keine"),0,LOOKUP(MATCH(F74,'1. Projektangaben'!$C$36:$C$43,0),'1. Projektangaben'!$B$36:$B$43,'1. Projektangaben'!$D$36:$D$43)),0)</f>
        <v>0.15551999999999999</v>
      </c>
      <c r="H74" s="1142">
        <f ca="1">VLOOKUP($E74,'2. Energie KW.'!$E$77:$J$94,6,FALSE)</f>
        <v>0</v>
      </c>
      <c r="I74" s="619">
        <f t="shared" ca="1" si="6"/>
        <v>0</v>
      </c>
      <c r="J74" s="619">
        <f t="shared" si="5"/>
        <v>1410.2</v>
      </c>
      <c r="K74" s="620">
        <f t="shared" ca="1" si="7"/>
        <v>0</v>
      </c>
      <c r="L74" s="325"/>
      <c r="M74" s="610"/>
      <c r="N74" s="610"/>
      <c r="O74" s="610"/>
      <c r="P74" s="610"/>
      <c r="Q74" s="610"/>
      <c r="R74" s="610"/>
      <c r="S74" s="440"/>
    </row>
    <row r="75" spans="1:19" ht="12.75" customHeight="1" x14ac:dyDescent="0.2">
      <c r="A75" s="440"/>
      <c r="B75" s="320"/>
      <c r="C75" s="320"/>
      <c r="D75" s="610"/>
      <c r="E75" s="617" t="str">
        <f>'2. Energie KW.'!E27</f>
        <v>Beleuchtung</v>
      </c>
      <c r="F75" s="1142" t="str">
        <f>VLOOKUP($E75,'2. Energie KW.'!$E$77:$J$94,2,FALSE)</f>
        <v>Strom</v>
      </c>
      <c r="G75" s="618">
        <f>IFERROR(IF(OR(F75="",F75="keine"),0,LOOKUP(MATCH(F75,'1. Projektangaben'!$C$36:$C$43,0),'1. Projektangaben'!$B$36:$B$43,'1. Projektangaben'!$D$36:$D$43)),0)</f>
        <v>0.15551999999999999</v>
      </c>
      <c r="H75" s="1142">
        <f ca="1">VLOOKUP($E75,'2. Energie KW.'!$E$77:$J$94,6,FALSE)</f>
        <v>0</v>
      </c>
      <c r="I75" s="619">
        <f t="shared" ca="1" si="6"/>
        <v>0</v>
      </c>
      <c r="J75" s="619">
        <f t="shared" si="5"/>
        <v>1410.2</v>
      </c>
      <c r="K75" s="620">
        <f t="shared" ca="1" si="7"/>
        <v>0</v>
      </c>
      <c r="L75" s="325"/>
      <c r="M75" s="610"/>
      <c r="N75" s="610"/>
      <c r="O75" s="610"/>
      <c r="P75" s="610"/>
      <c r="Q75" s="610"/>
      <c r="R75" s="610"/>
      <c r="S75" s="440"/>
    </row>
    <row r="76" spans="1:19" ht="12.75" customHeight="1" x14ac:dyDescent="0.2">
      <c r="A76" s="440"/>
      <c r="B76" s="320"/>
      <c r="C76" s="320"/>
      <c r="D76" s="610"/>
      <c r="E76" s="617" t="str">
        <f>'2. Energie KW.'!E28</f>
        <v>EDV</v>
      </c>
      <c r="F76" s="1142" t="str">
        <f>VLOOKUP($E76,'2. Energie KW.'!$E$77:$J$94,2,FALSE)</f>
        <v>Strom</v>
      </c>
      <c r="G76" s="618">
        <f>IFERROR(IF(OR(F76="",F76="keine"),0,LOOKUP(MATCH(F76,'1. Projektangaben'!$C$36:$C$43,0),'1. Projektangaben'!$B$36:$B$43,'1. Projektangaben'!$D$36:$D$43)),0)</f>
        <v>0.15551999999999999</v>
      </c>
      <c r="H76" s="1142">
        <f ca="1">VLOOKUP($E76,'2. Energie KW.'!$E$77:$J$94,6,FALSE)</f>
        <v>0</v>
      </c>
      <c r="I76" s="619">
        <f t="shared" ca="1" si="6"/>
        <v>0</v>
      </c>
      <c r="J76" s="619">
        <f t="shared" si="5"/>
        <v>1410.2</v>
      </c>
      <c r="K76" s="620">
        <f t="shared" ca="1" si="7"/>
        <v>0</v>
      </c>
      <c r="L76" s="325"/>
      <c r="M76" s="610"/>
      <c r="N76" s="610"/>
      <c r="O76" s="610"/>
      <c r="P76" s="610"/>
      <c r="Q76" s="610"/>
      <c r="R76" s="610"/>
      <c r="S76" s="440"/>
    </row>
    <row r="77" spans="1:19" ht="12.75" customHeight="1" x14ac:dyDescent="0.2">
      <c r="A77" s="440"/>
      <c r="B77" s="320"/>
      <c r="C77" s="320"/>
      <c r="D77" s="610"/>
      <c r="E77" s="617" t="str">
        <f>'2. Energie KW.'!E29</f>
        <v>Haushaltsstrom</v>
      </c>
      <c r="F77" s="1142" t="str">
        <f>VLOOKUP($E77,'2. Energie KW.'!$E$77:$J$94,2,FALSE)</f>
        <v>Strom</v>
      </c>
      <c r="G77" s="618">
        <f>IFERROR(IF(OR(F77="",F77="keine"),0,LOOKUP(MATCH(F77,'1. Projektangaben'!$C$36:$C$43,0),'1. Projektangaben'!$B$36:$B$43,'1. Projektangaben'!$D$36:$D$43)),0)</f>
        <v>0.15551999999999999</v>
      </c>
      <c r="H77" s="1142">
        <f ca="1">VLOOKUP($E77,'2. Energie KW.'!$E$77:$J$94,6,FALSE)</f>
        <v>25</v>
      </c>
      <c r="I77" s="619">
        <f t="shared" ca="1" si="6"/>
        <v>3.8879999999999999</v>
      </c>
      <c r="J77" s="619">
        <f t="shared" si="5"/>
        <v>1410.2</v>
      </c>
      <c r="K77" s="620">
        <f t="shared" ca="1" si="7"/>
        <v>5482.8576000000003</v>
      </c>
      <c r="L77" s="325"/>
      <c r="M77" s="610"/>
      <c r="N77" s="610"/>
      <c r="O77" s="610"/>
      <c r="P77" s="610"/>
      <c r="Q77" s="610"/>
      <c r="R77" s="610"/>
      <c r="S77" s="440"/>
    </row>
    <row r="78" spans="1:19" ht="12.75" customHeight="1" x14ac:dyDescent="0.2">
      <c r="A78" s="440"/>
      <c r="B78" s="320"/>
      <c r="C78" s="320"/>
      <c r="D78" s="610"/>
      <c r="E78" s="617" t="str">
        <f>'2. Energie KW.'!E30</f>
        <v>Befeuchten</v>
      </c>
      <c r="F78" s="1142">
        <f ca="1">VLOOKUP($E78,'2. Energie KW.'!$E$77:$J$94,2,FALSE)</f>
        <v>0</v>
      </c>
      <c r="G78" s="618">
        <f ca="1">IFERROR(IF(OR(F78="",F78="keine"),0,LOOKUP(MATCH(F78,'1. Projektangaben'!$C$36:$C$43,0),'1. Projektangaben'!$B$36:$B$43,'1. Projektangaben'!$D$36:$D$43)),0)</f>
        <v>0</v>
      </c>
      <c r="H78" s="1142">
        <f ca="1">VLOOKUP($E78,'2. Energie KW.'!$E$77:$J$94,6,FALSE)</f>
        <v>0</v>
      </c>
      <c r="I78" s="619">
        <f t="shared" ca="1" si="6"/>
        <v>0</v>
      </c>
      <c r="J78" s="619">
        <f t="shared" ca="1" si="5"/>
        <v>1410.2</v>
      </c>
      <c r="K78" s="620">
        <f t="shared" ca="1" si="7"/>
        <v>0</v>
      </c>
      <c r="L78" s="325"/>
      <c r="M78" s="610"/>
      <c r="N78" s="610"/>
      <c r="O78" s="610"/>
      <c r="P78" s="610"/>
      <c r="Q78" s="610"/>
      <c r="R78" s="610"/>
      <c r="S78" s="440"/>
    </row>
    <row r="79" spans="1:19" ht="12.75" customHeight="1" x14ac:dyDescent="0.2">
      <c r="A79" s="440"/>
      <c r="B79" s="320"/>
      <c r="C79" s="320"/>
      <c r="D79" s="610"/>
      <c r="E79" s="617" t="str">
        <f>'2. Energie KW.'!E31</f>
        <v>Entfeuchten</v>
      </c>
      <c r="F79" s="1142">
        <f ca="1">VLOOKUP($E79,'2. Energie KW.'!$E$77:$J$94,2,FALSE)</f>
        <v>0</v>
      </c>
      <c r="G79" s="618">
        <f ca="1">IFERROR(IF(OR(F79="",F79="keine"),0,LOOKUP(MATCH(F79,'1. Projektangaben'!$C$36:$C$43,0),'1. Projektangaben'!$B$36:$B$43,'1. Projektangaben'!$D$36:$D$43)),0)</f>
        <v>0</v>
      </c>
      <c r="H79" s="1142">
        <f ca="1">VLOOKUP($E79,'2. Energie KW.'!$E$77:$J$94,6,FALSE)</f>
        <v>0</v>
      </c>
      <c r="I79" s="619">
        <f t="shared" ca="1" si="6"/>
        <v>0</v>
      </c>
      <c r="J79" s="619">
        <f t="shared" ca="1" si="5"/>
        <v>1410.2</v>
      </c>
      <c r="K79" s="620">
        <f t="shared" ca="1" si="7"/>
        <v>0</v>
      </c>
      <c r="L79" s="325"/>
      <c r="M79" s="610"/>
      <c r="N79" s="610"/>
      <c r="O79" s="610"/>
      <c r="P79" s="610"/>
      <c r="Q79" s="610"/>
      <c r="R79" s="610"/>
      <c r="S79" s="440"/>
    </row>
    <row r="80" spans="1:19" ht="12.75" customHeight="1" x14ac:dyDescent="0.2">
      <c r="A80" s="440"/>
      <c r="B80" s="320"/>
      <c r="C80" s="320"/>
      <c r="D80" s="610"/>
      <c r="E80" s="617" t="str">
        <f>'2. Energie KW.'!E32</f>
        <v>Sonstiges</v>
      </c>
      <c r="F80" s="1142">
        <f ca="1">VLOOKUP($E80,'2. Energie KW.'!$E$77:$J$94,2,FALSE)</f>
        <v>0</v>
      </c>
      <c r="G80" s="618">
        <f ca="1">IFERROR(IF(OR(F80="",F80="keine"),0,LOOKUP(MATCH(F80,'1. Projektangaben'!$C$36:$C$43,0),'1. Projektangaben'!$B$36:$B$43,'1. Projektangaben'!$D$36:$D$43)),0)</f>
        <v>0</v>
      </c>
      <c r="H80" s="1142">
        <f ca="1">VLOOKUP($E80,'2. Energie KW.'!$E$77:$J$94,6,FALSE)</f>
        <v>0</v>
      </c>
      <c r="I80" s="619">
        <f t="shared" ca="1" si="6"/>
        <v>0</v>
      </c>
      <c r="J80" s="619">
        <f t="shared" ca="1" si="5"/>
        <v>1410.2</v>
      </c>
      <c r="K80" s="620">
        <f t="shared" ca="1" si="7"/>
        <v>0</v>
      </c>
      <c r="L80" s="325"/>
      <c r="M80" s="610"/>
      <c r="N80" s="610"/>
      <c r="O80" s="610"/>
      <c r="P80" s="610"/>
      <c r="Q80" s="610"/>
      <c r="R80" s="610"/>
      <c r="S80" s="440"/>
    </row>
    <row r="81" spans="1:19" ht="12.75" customHeight="1" x14ac:dyDescent="0.2">
      <c r="A81" s="440"/>
      <c r="B81" s="320"/>
      <c r="C81" s="320"/>
      <c r="D81" s="610"/>
      <c r="E81" s="610"/>
      <c r="F81" s="446"/>
      <c r="G81" s="610"/>
      <c r="H81" s="610"/>
      <c r="I81" s="610"/>
      <c r="J81" s="610"/>
      <c r="K81" s="1056"/>
      <c r="L81" s="643"/>
      <c r="M81" s="610"/>
      <c r="N81" s="610"/>
      <c r="O81" s="610"/>
      <c r="P81" s="610"/>
      <c r="Q81" s="610"/>
      <c r="R81" s="610"/>
      <c r="S81" s="440"/>
    </row>
    <row r="82" spans="1:19" ht="12.75" customHeight="1" x14ac:dyDescent="0.2">
      <c r="A82" s="440"/>
      <c r="B82" s="320"/>
      <c r="C82" s="320"/>
      <c r="D82" s="754"/>
      <c r="E82" s="754"/>
      <c r="F82" s="446"/>
      <c r="G82" s="754"/>
      <c r="H82" s="754"/>
      <c r="I82" s="754"/>
      <c r="J82" s="754"/>
      <c r="K82" s="1053" t="s">
        <v>94</v>
      </c>
      <c r="L82" s="643"/>
      <c r="M82" s="610"/>
      <c r="N82" s="610"/>
      <c r="O82" s="610"/>
      <c r="P82" s="610"/>
      <c r="Q82" s="610"/>
      <c r="R82" s="610"/>
      <c r="S82" s="440"/>
    </row>
    <row r="83" spans="1:19" ht="12.75" customHeight="1" x14ac:dyDescent="0.2">
      <c r="A83" s="440"/>
      <c r="B83" s="320"/>
      <c r="C83" s="320"/>
      <c r="D83" s="418" t="s">
        <v>548</v>
      </c>
      <c r="E83" s="748"/>
      <c r="F83" s="446"/>
      <c r="G83" s="328" t="s">
        <v>122</v>
      </c>
      <c r="H83" s="446" t="s">
        <v>123</v>
      </c>
      <c r="I83" s="751"/>
      <c r="J83" s="751"/>
      <c r="K83" s="328" t="s">
        <v>93</v>
      </c>
      <c r="L83" s="643"/>
      <c r="M83" s="610"/>
      <c r="N83" s="610"/>
      <c r="O83" s="610"/>
      <c r="P83" s="610"/>
      <c r="Q83" s="610"/>
      <c r="R83" s="610"/>
      <c r="S83" s="440"/>
    </row>
    <row r="84" spans="1:19" ht="12.75" customHeight="1" x14ac:dyDescent="0.2">
      <c r="A84" s="440"/>
      <c r="B84" s="320"/>
      <c r="C84" s="320"/>
      <c r="D84" s="754"/>
      <c r="E84" s="621" t="s">
        <v>549</v>
      </c>
      <c r="F84" s="576" t="s">
        <v>82</v>
      </c>
      <c r="G84" s="618">
        <f>IFERROR(IF(OR(F84="",F84="keine"),0,LOOKUP(MATCH(F84,'1. Projektangaben'!$C$36:$C$43,0),'1. Projektangaben'!$B$36:$B$43,'1. Projektangaben'!$D$36:$D$43)),0)</f>
        <v>0.15551999999999999</v>
      </c>
      <c r="H84" s="619">
        <f ca="1">'2. Energie KW.'!J99</f>
        <v>0</v>
      </c>
      <c r="I84" s="751"/>
      <c r="J84" s="622"/>
      <c r="K84" s="620">
        <f ca="1">G84*H84*-1</f>
        <v>0</v>
      </c>
      <c r="L84" s="643"/>
      <c r="M84" s="610"/>
      <c r="N84" s="610"/>
      <c r="O84" s="610"/>
      <c r="P84" s="610"/>
      <c r="Q84" s="610"/>
      <c r="R84" s="610"/>
      <c r="S84" s="440"/>
    </row>
    <row r="85" spans="1:19" ht="12.75" customHeight="1" x14ac:dyDescent="0.2">
      <c r="A85" s="440"/>
      <c r="B85" s="320"/>
      <c r="C85" s="320"/>
      <c r="D85" s="754"/>
      <c r="E85" s="621" t="str">
        <f>'2. Energie KW.'!E36</f>
        <v>Stromeinspeisung PV</v>
      </c>
      <c r="F85" s="1623" t="s">
        <v>534</v>
      </c>
      <c r="G85" s="1624"/>
      <c r="H85" s="619">
        <f ca="1">'2. Energie KW.'!J98-H84</f>
        <v>0</v>
      </c>
      <c r="I85" s="751"/>
      <c r="J85" s="622"/>
      <c r="K85" s="620">
        <f ca="1">'PV-Einspeisung'!AA146*-1</f>
        <v>0</v>
      </c>
      <c r="L85" s="325"/>
      <c r="M85" s="628"/>
      <c r="N85" s="628"/>
      <c r="O85" s="628"/>
      <c r="P85" s="628"/>
      <c r="Q85" s="628"/>
      <c r="R85" s="628"/>
      <c r="S85" s="440"/>
    </row>
    <row r="86" spans="1:19" ht="12.75" customHeight="1" x14ac:dyDescent="0.2">
      <c r="A86" s="440"/>
      <c r="B86" s="320"/>
      <c r="C86" s="320"/>
      <c r="D86" s="610"/>
      <c r="E86" s="610"/>
      <c r="F86" s="621"/>
      <c r="G86" s="446"/>
      <c r="H86" s="610"/>
      <c r="I86" s="324"/>
      <c r="J86" s="324"/>
      <c r="K86" s="1056"/>
      <c r="L86" s="610"/>
      <c r="M86" s="610"/>
      <c r="N86" s="610"/>
      <c r="O86" s="610"/>
      <c r="P86" s="610"/>
      <c r="Q86" s="610"/>
      <c r="R86" s="628"/>
      <c r="S86" s="440"/>
    </row>
    <row r="87" spans="1:19" ht="12.95" customHeight="1" x14ac:dyDescent="0.2">
      <c r="A87" s="440"/>
      <c r="B87" s="320"/>
      <c r="C87" s="547"/>
      <c r="D87" s="557"/>
      <c r="E87" s="557"/>
      <c r="F87" s="557"/>
      <c r="G87" s="557"/>
      <c r="H87" s="605"/>
      <c r="I87" s="610"/>
      <c r="J87" s="610"/>
      <c r="K87" s="1054" t="s">
        <v>94</v>
      </c>
      <c r="L87" s="438"/>
      <c r="M87" s="628"/>
      <c r="N87" s="628"/>
      <c r="O87" s="628"/>
      <c r="P87" s="628"/>
      <c r="Q87" s="628"/>
      <c r="R87" s="628"/>
      <c r="S87" s="440"/>
    </row>
    <row r="88" spans="1:19" ht="12.95" customHeight="1" x14ac:dyDescent="0.2">
      <c r="A88" s="440"/>
      <c r="B88" s="320"/>
      <c r="C88" s="320"/>
      <c r="D88" s="438"/>
      <c r="E88" s="438"/>
      <c r="F88" s="438"/>
      <c r="G88" s="438"/>
      <c r="H88" s="610"/>
      <c r="I88" s="610"/>
      <c r="J88" s="610"/>
      <c r="K88" s="319" t="s">
        <v>93</v>
      </c>
      <c r="L88" s="319"/>
      <c r="M88" s="610"/>
      <c r="N88" s="610"/>
      <c r="O88" s="610"/>
      <c r="P88" s="610"/>
      <c r="Q88" s="610"/>
      <c r="R88" s="610"/>
      <c r="S88" s="440"/>
    </row>
    <row r="89" spans="1:19" ht="12.95" customHeight="1" x14ac:dyDescent="0.2">
      <c r="A89" s="440"/>
      <c r="B89" s="320"/>
      <c r="C89" s="320" t="s">
        <v>86</v>
      </c>
      <c r="D89" s="1621" t="s">
        <v>83</v>
      </c>
      <c r="E89" s="1615"/>
      <c r="F89" s="1616"/>
      <c r="G89" s="1616"/>
      <c r="H89" s="438"/>
      <c r="I89" s="628"/>
      <c r="J89" s="628"/>
      <c r="K89" s="306"/>
      <c r="L89" s="438"/>
      <c r="M89" s="628"/>
      <c r="N89" s="628"/>
      <c r="O89" s="628"/>
      <c r="P89" s="628"/>
      <c r="Q89" s="628"/>
      <c r="R89" s="628"/>
      <c r="S89" s="440"/>
    </row>
    <row r="90" spans="1:19" ht="12.95" customHeight="1" x14ac:dyDescent="0.2">
      <c r="A90" s="440"/>
      <c r="B90" s="321"/>
      <c r="C90" s="321"/>
      <c r="D90" s="612"/>
      <c r="E90" s="625"/>
      <c r="F90" s="626"/>
      <c r="G90" s="626"/>
      <c r="H90" s="613"/>
      <c r="I90" s="324"/>
      <c r="J90" s="324"/>
      <c r="K90" s="613"/>
      <c r="L90" s="613"/>
      <c r="M90" s="324"/>
      <c r="N90" s="324"/>
      <c r="O90" s="324"/>
      <c r="P90" s="324"/>
      <c r="Q90" s="324"/>
      <c r="R90" s="628"/>
      <c r="S90" s="440"/>
    </row>
    <row r="91" spans="1:19" ht="12.95" customHeight="1" x14ac:dyDescent="0.2">
      <c r="A91" s="440"/>
      <c r="B91" s="320"/>
      <c r="C91" s="320"/>
      <c r="D91" s="614"/>
      <c r="E91" s="623"/>
      <c r="F91" s="624"/>
      <c r="G91" s="624"/>
      <c r="H91" s="438"/>
      <c r="I91" s="628"/>
      <c r="J91" s="628"/>
      <c r="K91" s="1053" t="s">
        <v>94</v>
      </c>
      <c r="L91" s="438"/>
      <c r="M91" s="628"/>
      <c r="N91" s="628"/>
      <c r="O91" s="628"/>
      <c r="P91" s="628"/>
      <c r="Q91" s="628"/>
      <c r="R91" s="628"/>
      <c r="S91" s="440"/>
    </row>
    <row r="92" spans="1:19" ht="12.95" customHeight="1" x14ac:dyDescent="0.2">
      <c r="A92" s="440"/>
      <c r="B92" s="320"/>
      <c r="C92" s="320"/>
      <c r="D92" s="320"/>
      <c r="E92" s="628"/>
      <c r="F92" s="629"/>
      <c r="G92" s="438"/>
      <c r="H92" s="438"/>
      <c r="I92" s="610"/>
      <c r="J92" s="610"/>
      <c r="K92" s="319" t="s">
        <v>93</v>
      </c>
      <c r="L92" s="319"/>
      <c r="M92" s="628"/>
      <c r="N92" s="628"/>
      <c r="O92" s="628"/>
      <c r="P92" s="628"/>
      <c r="Q92" s="628"/>
      <c r="R92" s="628"/>
      <c r="S92" s="440"/>
    </row>
    <row r="93" spans="1:19" ht="12.95" customHeight="1" x14ac:dyDescent="0.2">
      <c r="A93" s="440"/>
      <c r="B93" s="609" t="s">
        <v>24</v>
      </c>
      <c r="C93" s="494"/>
      <c r="D93" s="1614" t="s">
        <v>84</v>
      </c>
      <c r="E93" s="1616"/>
      <c r="F93" s="1616"/>
      <c r="G93" s="1617"/>
      <c r="H93" s="438"/>
      <c r="I93" s="610"/>
      <c r="J93" s="610"/>
      <c r="K93" s="1131">
        <f>K95+K96+K94</f>
        <v>0</v>
      </c>
      <c r="L93" s="628"/>
      <c r="M93" s="628"/>
      <c r="N93" s="628"/>
      <c r="O93" s="628"/>
      <c r="P93" s="628"/>
      <c r="Q93" s="628"/>
      <c r="R93" s="628"/>
      <c r="S93" s="440"/>
    </row>
    <row r="94" spans="1:19" ht="12.95" customHeight="1" x14ac:dyDescent="0.2">
      <c r="A94" s="440"/>
      <c r="B94" s="609"/>
      <c r="C94" s="320" t="s">
        <v>407</v>
      </c>
      <c r="D94" s="1621" t="s">
        <v>408</v>
      </c>
      <c r="E94" s="1622"/>
      <c r="F94" s="1617"/>
      <c r="G94" s="1617"/>
      <c r="H94" s="322"/>
      <c r="I94" s="610"/>
      <c r="J94" s="610"/>
      <c r="K94" s="1132"/>
      <c r="L94" s="628"/>
      <c r="M94" s="628"/>
      <c r="N94" s="628"/>
      <c r="O94" s="628"/>
      <c r="P94" s="628"/>
      <c r="Q94" s="628"/>
      <c r="R94" s="628"/>
      <c r="S94" s="440"/>
    </row>
    <row r="95" spans="1:19" ht="12.95" customHeight="1" x14ac:dyDescent="0.2">
      <c r="A95" s="440"/>
      <c r="B95" s="320"/>
      <c r="C95" s="320" t="s">
        <v>85</v>
      </c>
      <c r="D95" s="1621" t="s">
        <v>87</v>
      </c>
      <c r="E95" s="1622"/>
      <c r="F95" s="1617"/>
      <c r="G95" s="1617"/>
      <c r="H95" s="322"/>
      <c r="I95" s="610"/>
      <c r="J95" s="610"/>
      <c r="K95" s="1132"/>
      <c r="L95" s="438"/>
      <c r="M95" s="322"/>
      <c r="N95" s="322"/>
      <c r="O95" s="322"/>
      <c r="P95" s="322"/>
      <c r="Q95" s="322"/>
      <c r="R95" s="322"/>
      <c r="S95" s="440"/>
    </row>
    <row r="96" spans="1:19" ht="12.95" customHeight="1" x14ac:dyDescent="0.2">
      <c r="A96" s="440"/>
      <c r="B96" s="320"/>
      <c r="C96" s="320" t="s">
        <v>88</v>
      </c>
      <c r="D96" s="1621" t="s">
        <v>89</v>
      </c>
      <c r="E96" s="1615"/>
      <c r="F96" s="1616"/>
      <c r="G96" s="1616"/>
      <c r="H96" s="438"/>
      <c r="I96" s="628"/>
      <c r="J96" s="628"/>
      <c r="K96" s="1132"/>
      <c r="L96" s="438"/>
      <c r="M96" s="325"/>
      <c r="N96" s="325"/>
      <c r="O96" s="325"/>
      <c r="P96" s="325"/>
      <c r="Q96" s="325"/>
      <c r="R96" s="325"/>
      <c r="S96" s="440"/>
    </row>
    <row r="97" spans="1:19" ht="12.95" customHeight="1" x14ac:dyDescent="0.2">
      <c r="A97" s="440"/>
      <c r="B97" s="320"/>
      <c r="C97" s="320"/>
      <c r="D97" s="612"/>
      <c r="E97" s="625"/>
      <c r="F97" s="626"/>
      <c r="G97" s="626"/>
      <c r="H97" s="613"/>
      <c r="I97" s="324"/>
      <c r="J97" s="324"/>
      <c r="K97" s="613"/>
      <c r="L97" s="613"/>
      <c r="M97" s="326"/>
      <c r="N97" s="326"/>
      <c r="O97" s="326"/>
      <c r="P97" s="326"/>
      <c r="Q97" s="326"/>
      <c r="R97" s="325"/>
      <c r="S97" s="440"/>
    </row>
    <row r="98" spans="1:19" ht="12.95" customHeight="1" x14ac:dyDescent="0.2">
      <c r="A98" s="440"/>
      <c r="B98" s="605"/>
      <c r="C98" s="605"/>
      <c r="D98" s="628"/>
      <c r="E98" s="628"/>
      <c r="F98" s="628"/>
      <c r="G98" s="628"/>
      <c r="H98" s="322"/>
      <c r="I98" s="610"/>
      <c r="J98" s="610"/>
      <c r="K98" s="1053" t="s">
        <v>94</v>
      </c>
      <c r="L98" s="438"/>
      <c r="M98" s="322"/>
      <c r="N98" s="322"/>
      <c r="O98" s="322"/>
      <c r="P98" s="322"/>
      <c r="Q98" s="322"/>
      <c r="R98" s="322"/>
      <c r="S98" s="440"/>
    </row>
    <row r="99" spans="1:19" ht="12.95" customHeight="1" x14ac:dyDescent="0.2">
      <c r="A99" s="440"/>
      <c r="B99" s="609" t="s">
        <v>14</v>
      </c>
      <c r="C99" s="449"/>
      <c r="D99" s="1618" t="s">
        <v>90</v>
      </c>
      <c r="E99" s="1619"/>
      <c r="F99" s="1620"/>
      <c r="G99" s="628"/>
      <c r="H99" s="322"/>
      <c r="I99" s="610"/>
      <c r="J99" s="610"/>
      <c r="K99" s="319" t="s">
        <v>93</v>
      </c>
      <c r="L99" s="319"/>
      <c r="M99" s="322"/>
      <c r="N99" s="322"/>
      <c r="O99" s="322"/>
      <c r="P99" s="322"/>
      <c r="Q99" s="322"/>
      <c r="R99" s="322"/>
      <c r="S99" s="440"/>
    </row>
    <row r="100" spans="1:19" ht="12.95" customHeight="1" x14ac:dyDescent="0.2">
      <c r="A100" s="440"/>
      <c r="B100" s="320"/>
      <c r="C100" s="320"/>
      <c r="D100" s="610"/>
      <c r="E100" s="610"/>
      <c r="F100" s="1612"/>
      <c r="G100" s="1613"/>
      <c r="H100" s="1613"/>
      <c r="I100" s="426"/>
      <c r="J100" s="409"/>
      <c r="K100" s="306"/>
      <c r="L100" s="613"/>
      <c r="M100" s="326"/>
      <c r="N100" s="326"/>
      <c r="O100" s="326"/>
      <c r="P100" s="326"/>
      <c r="Q100" s="326"/>
      <c r="R100" s="325"/>
      <c r="S100" s="440"/>
    </row>
    <row r="101" spans="1:19" ht="12.95" customHeight="1" x14ac:dyDescent="0.2">
      <c r="A101" s="440"/>
      <c r="B101" s="547"/>
      <c r="C101" s="547"/>
      <c r="D101" s="630"/>
      <c r="E101" s="631"/>
      <c r="F101" s="632"/>
      <c r="G101" s="632"/>
      <c r="H101" s="438"/>
      <c r="I101" s="628"/>
      <c r="J101" s="628"/>
      <c r="K101" s="1053" t="s">
        <v>94</v>
      </c>
      <c r="L101" s="438"/>
      <c r="M101" s="325"/>
      <c r="N101" s="325"/>
      <c r="O101" s="325"/>
      <c r="P101" s="325"/>
      <c r="Q101" s="325"/>
      <c r="R101" s="325"/>
      <c r="S101" s="440"/>
    </row>
    <row r="102" spans="1:19" ht="12.95" customHeight="1" x14ac:dyDescent="0.2">
      <c r="A102" s="440"/>
      <c r="B102" s="628"/>
      <c r="C102" s="628"/>
      <c r="D102" s="628"/>
      <c r="E102" s="628"/>
      <c r="F102" s="628"/>
      <c r="G102" s="610"/>
      <c r="H102" s="322"/>
      <c r="I102" s="610"/>
      <c r="J102" s="610"/>
      <c r="K102" s="319" t="s">
        <v>93</v>
      </c>
      <c r="L102" s="319"/>
      <c r="M102" s="322"/>
      <c r="N102" s="322"/>
      <c r="O102" s="322"/>
      <c r="P102" s="322"/>
      <c r="Q102" s="322"/>
      <c r="R102" s="322"/>
      <c r="S102" s="440"/>
    </row>
    <row r="103" spans="1:19" ht="12.95" customHeight="1" x14ac:dyDescent="0.2">
      <c r="A103" s="440"/>
      <c r="B103" s="609" t="s">
        <v>8</v>
      </c>
      <c r="C103" s="494"/>
      <c r="D103" s="1614" t="s">
        <v>91</v>
      </c>
      <c r="E103" s="1615"/>
      <c r="F103" s="1616"/>
      <c r="G103" s="1617"/>
      <c r="H103" s="322"/>
      <c r="I103" s="610"/>
      <c r="J103" s="610"/>
      <c r="K103" s="1131">
        <f>K104+K105+K106</f>
        <v>0</v>
      </c>
      <c r="L103" s="628"/>
      <c r="M103" s="322"/>
      <c r="N103" s="322"/>
      <c r="O103" s="322"/>
      <c r="P103" s="322"/>
      <c r="Q103" s="322"/>
      <c r="R103" s="322"/>
      <c r="S103" s="440"/>
    </row>
    <row r="104" spans="1:19" ht="12.95" customHeight="1" x14ac:dyDescent="0.2">
      <c r="A104" s="440"/>
      <c r="B104" s="320"/>
      <c r="C104" s="320"/>
      <c r="D104" s="320"/>
      <c r="E104" s="610"/>
      <c r="F104" s="1612"/>
      <c r="G104" s="1613"/>
      <c r="H104" s="1613"/>
      <c r="I104" s="610"/>
      <c r="J104" s="610"/>
      <c r="K104" s="1132"/>
      <c r="L104" s="438"/>
      <c r="M104" s="325"/>
      <c r="N104" s="325"/>
      <c r="O104" s="325"/>
      <c r="P104" s="325"/>
      <c r="Q104" s="325"/>
      <c r="R104" s="325"/>
      <c r="S104" s="440"/>
    </row>
    <row r="105" spans="1:19" ht="12.95" customHeight="1" x14ac:dyDescent="0.2">
      <c r="A105" s="440"/>
      <c r="B105" s="320"/>
      <c r="C105" s="320"/>
      <c r="D105" s="320"/>
      <c r="E105" s="610"/>
      <c r="F105" s="1612"/>
      <c r="G105" s="1613"/>
      <c r="H105" s="1613"/>
      <c r="I105" s="610"/>
      <c r="J105" s="610"/>
      <c r="K105" s="1132"/>
      <c r="L105" s="438"/>
      <c r="M105" s="325"/>
      <c r="N105" s="325"/>
      <c r="O105" s="325"/>
      <c r="P105" s="325"/>
      <c r="Q105" s="325"/>
      <c r="R105" s="325"/>
      <c r="S105" s="440"/>
    </row>
    <row r="106" spans="1:19" ht="12.95" customHeight="1" x14ac:dyDescent="0.2">
      <c r="A106" s="440"/>
      <c r="B106" s="320"/>
      <c r="C106" s="320"/>
      <c r="D106" s="320"/>
      <c r="E106" s="610"/>
      <c r="F106" s="1612"/>
      <c r="G106" s="1613"/>
      <c r="H106" s="1613"/>
      <c r="I106" s="628"/>
      <c r="J106" s="628"/>
      <c r="K106" s="1132"/>
      <c r="L106" s="438"/>
      <c r="M106" s="325"/>
      <c r="N106" s="325"/>
      <c r="O106" s="325"/>
      <c r="P106" s="325"/>
      <c r="Q106" s="325"/>
      <c r="R106" s="325"/>
      <c r="S106" s="440"/>
    </row>
    <row r="107" spans="1:19" ht="12.95" customHeight="1" x14ac:dyDescent="0.2">
      <c r="A107" s="440"/>
      <c r="B107" s="423"/>
      <c r="C107" s="423"/>
      <c r="D107" s="423"/>
      <c r="E107" s="423"/>
      <c r="F107" s="423"/>
      <c r="G107" s="633"/>
      <c r="H107" s="633"/>
      <c r="I107" s="324"/>
      <c r="J107" s="324"/>
      <c r="K107" s="613"/>
      <c r="L107" s="613"/>
      <c r="M107" s="326"/>
      <c r="N107" s="326"/>
      <c r="O107" s="326"/>
      <c r="P107" s="326"/>
      <c r="Q107" s="326"/>
      <c r="R107" s="325"/>
      <c r="S107" s="440"/>
    </row>
    <row r="108" spans="1:19" x14ac:dyDescent="0.2">
      <c r="A108" s="440"/>
      <c r="B108" s="610"/>
      <c r="C108" s="610"/>
      <c r="D108" s="610"/>
      <c r="E108" s="610"/>
      <c r="F108" s="610"/>
      <c r="G108" s="610"/>
      <c r="H108" s="610"/>
      <c r="I108" s="610"/>
      <c r="J108" s="610"/>
      <c r="K108" s="1053" t="s">
        <v>94</v>
      </c>
      <c r="L108" s="610"/>
      <c r="M108" s="610"/>
      <c r="N108" s="610"/>
      <c r="O108" s="610"/>
      <c r="P108" s="610"/>
      <c r="Q108" s="610"/>
      <c r="R108" s="610"/>
      <c r="S108" s="440"/>
    </row>
    <row r="109" spans="1:19" x14ac:dyDescent="0.2">
      <c r="A109" s="440"/>
      <c r="B109" s="610"/>
      <c r="C109" s="610"/>
      <c r="D109" s="610"/>
      <c r="E109" s="610"/>
      <c r="F109" s="610"/>
      <c r="G109" s="610"/>
      <c r="H109" s="610"/>
      <c r="I109" s="610"/>
      <c r="J109" s="610"/>
      <c r="K109" s="319" t="s">
        <v>93</v>
      </c>
      <c r="L109" s="610"/>
      <c r="M109" s="610"/>
      <c r="N109" s="610"/>
      <c r="O109" s="610"/>
      <c r="P109" s="610"/>
      <c r="Q109" s="610"/>
      <c r="R109" s="610"/>
      <c r="S109" s="440"/>
    </row>
    <row r="110" spans="1:19" ht="15" x14ac:dyDescent="0.2">
      <c r="A110" s="440"/>
      <c r="B110" s="609" t="s">
        <v>409</v>
      </c>
      <c r="C110" s="494"/>
      <c r="D110" s="1618" t="s">
        <v>406</v>
      </c>
      <c r="E110" s="1619"/>
      <c r="F110" s="1620"/>
      <c r="G110" s="610"/>
      <c r="H110" s="610"/>
      <c r="I110" s="610"/>
      <c r="J110" s="610"/>
      <c r="K110" s="1131">
        <f>K112+K113+K114</f>
        <v>0</v>
      </c>
      <c r="L110" s="610"/>
      <c r="M110" s="610"/>
      <c r="N110" s="610"/>
      <c r="O110" s="610"/>
      <c r="P110" s="610"/>
      <c r="Q110" s="610"/>
      <c r="R110" s="610"/>
      <c r="S110" s="440"/>
    </row>
    <row r="111" spans="1:19" ht="15" x14ac:dyDescent="0.2">
      <c r="A111" s="440"/>
      <c r="B111" s="609"/>
      <c r="C111" s="494"/>
      <c r="D111" s="609"/>
      <c r="E111" s="628"/>
      <c r="F111" s="629"/>
      <c r="G111" s="610"/>
      <c r="H111" s="610"/>
      <c r="I111" s="610"/>
      <c r="J111" s="610"/>
      <c r="K111" s="1056"/>
      <c r="L111" s="610"/>
      <c r="M111" s="610"/>
      <c r="N111" s="610"/>
      <c r="O111" s="610"/>
      <c r="P111" s="610"/>
      <c r="Q111" s="610"/>
      <c r="R111" s="610"/>
      <c r="S111" s="440"/>
    </row>
    <row r="112" spans="1:19" ht="15" x14ac:dyDescent="0.2">
      <c r="A112" s="440"/>
      <c r="B112" s="610"/>
      <c r="C112" s="610"/>
      <c r="D112" s="610"/>
      <c r="E112" s="610"/>
      <c r="F112" s="1612"/>
      <c r="G112" s="1613"/>
      <c r="H112" s="1613"/>
      <c r="I112" s="610"/>
      <c r="J112" s="610"/>
      <c r="K112" s="1132"/>
      <c r="L112" s="610"/>
      <c r="M112" s="610"/>
      <c r="N112" s="610"/>
      <c r="O112" s="610"/>
      <c r="P112" s="610"/>
      <c r="Q112" s="610"/>
      <c r="R112" s="610"/>
      <c r="S112" s="440"/>
    </row>
    <row r="113" spans="1:19" ht="15" x14ac:dyDescent="0.2">
      <c r="A113" s="440"/>
      <c r="B113" s="610"/>
      <c r="C113" s="610"/>
      <c r="D113" s="610"/>
      <c r="E113" s="610"/>
      <c r="F113" s="1612"/>
      <c r="G113" s="1613"/>
      <c r="H113" s="1613"/>
      <c r="I113" s="610"/>
      <c r="J113" s="610"/>
      <c r="K113" s="1132"/>
      <c r="L113" s="610"/>
      <c r="M113" s="610"/>
      <c r="N113" s="610"/>
      <c r="O113" s="610"/>
      <c r="P113" s="610"/>
      <c r="Q113" s="610"/>
      <c r="R113" s="610"/>
      <c r="S113" s="440"/>
    </row>
    <row r="114" spans="1:19" ht="15" x14ac:dyDescent="0.2">
      <c r="A114" s="440"/>
      <c r="B114" s="610"/>
      <c r="C114" s="610"/>
      <c r="D114" s="610"/>
      <c r="E114" s="610"/>
      <c r="F114" s="1612"/>
      <c r="G114" s="1613"/>
      <c r="H114" s="1613"/>
      <c r="I114" s="610"/>
      <c r="J114" s="610"/>
      <c r="K114" s="1132"/>
      <c r="L114" s="610"/>
      <c r="M114" s="610"/>
      <c r="N114" s="610"/>
      <c r="O114" s="610"/>
      <c r="P114" s="610"/>
      <c r="Q114" s="610"/>
      <c r="R114" s="610"/>
      <c r="S114" s="440"/>
    </row>
    <row r="115" spans="1:19" x14ac:dyDescent="0.2">
      <c r="A115" s="440"/>
      <c r="B115" s="324"/>
      <c r="C115" s="324"/>
      <c r="D115" s="324"/>
      <c r="E115" s="324"/>
      <c r="F115" s="324"/>
      <c r="G115" s="324"/>
      <c r="H115" s="324"/>
      <c r="I115" s="324"/>
      <c r="J115" s="324"/>
      <c r="K115" s="324"/>
      <c r="L115" s="324"/>
      <c r="M115" s="324"/>
      <c r="N115" s="324"/>
      <c r="O115" s="324"/>
      <c r="P115" s="324"/>
      <c r="Q115" s="324"/>
      <c r="R115" s="628"/>
      <c r="S115" s="440"/>
    </row>
    <row r="116" spans="1:19" x14ac:dyDescent="0.2">
      <c r="A116" s="440"/>
      <c r="B116" s="440"/>
      <c r="C116" s="440"/>
      <c r="D116" s="329"/>
      <c r="E116" s="329"/>
      <c r="F116" s="329"/>
      <c r="G116" s="329"/>
      <c r="H116" s="329"/>
      <c r="I116" s="329"/>
      <c r="J116" s="329"/>
      <c r="K116" s="329"/>
      <c r="L116" s="329"/>
      <c r="M116" s="329"/>
      <c r="N116" s="329"/>
      <c r="O116" s="329"/>
      <c r="P116" s="329"/>
      <c r="Q116" s="329"/>
      <c r="R116" s="440"/>
      <c r="S116" s="440"/>
    </row>
    <row r="117" spans="1:19" x14ac:dyDescent="0.2">
      <c r="A117" s="440"/>
      <c r="S117" s="440"/>
    </row>
    <row r="118" spans="1:19" x14ac:dyDescent="0.2">
      <c r="A118" s="440"/>
      <c r="S118" s="440"/>
    </row>
    <row r="119" spans="1:19" x14ac:dyDescent="0.2">
      <c r="A119" s="440"/>
      <c r="S119" s="440"/>
    </row>
    <row r="120" spans="1:19" x14ac:dyDescent="0.2">
      <c r="A120" s="440"/>
      <c r="S120" s="440"/>
    </row>
    <row r="121" spans="1:19" x14ac:dyDescent="0.2">
      <c r="A121" s="440"/>
      <c r="S121" s="440"/>
    </row>
    <row r="122" spans="1:19" x14ac:dyDescent="0.2">
      <c r="A122" s="440"/>
      <c r="S122" s="440"/>
    </row>
    <row r="123" spans="1:19" x14ac:dyDescent="0.2">
      <c r="A123" s="440"/>
      <c r="S123" s="440"/>
    </row>
    <row r="124" spans="1:19" x14ac:dyDescent="0.2">
      <c r="A124" s="440"/>
      <c r="S124" s="440"/>
    </row>
    <row r="125" spans="1:19" x14ac:dyDescent="0.2">
      <c r="A125" s="440"/>
      <c r="S125" s="440"/>
    </row>
    <row r="126" spans="1:19" x14ac:dyDescent="0.2">
      <c r="A126" s="440"/>
      <c r="S126" s="440"/>
    </row>
    <row r="127" spans="1:19" x14ac:dyDescent="0.2">
      <c r="A127" s="440"/>
      <c r="S127" s="440"/>
    </row>
    <row r="128" spans="1:19" x14ac:dyDescent="0.2">
      <c r="A128" s="440"/>
      <c r="S128" s="440"/>
    </row>
    <row r="129" spans="1:19" x14ac:dyDescent="0.2">
      <c r="A129" s="440"/>
      <c r="S129" s="440"/>
    </row>
    <row r="130" spans="1:19" x14ac:dyDescent="0.2">
      <c r="A130" s="440"/>
      <c r="S130" s="440"/>
    </row>
    <row r="131" spans="1:19" x14ac:dyDescent="0.2">
      <c r="A131" s="440"/>
      <c r="S131" s="440"/>
    </row>
    <row r="132" spans="1:19" x14ac:dyDescent="0.2">
      <c r="A132" s="440"/>
      <c r="S132" s="440"/>
    </row>
    <row r="133" spans="1:19" x14ac:dyDescent="0.2">
      <c r="A133" s="440"/>
      <c r="S133" s="440"/>
    </row>
    <row r="134" spans="1:19" x14ac:dyDescent="0.2">
      <c r="A134" s="440"/>
      <c r="S134" s="440"/>
    </row>
    <row r="135" spans="1:19" x14ac:dyDescent="0.2">
      <c r="A135" s="440"/>
      <c r="S135" s="440"/>
    </row>
    <row r="136" spans="1:19" x14ac:dyDescent="0.2">
      <c r="A136" s="440"/>
      <c r="S136" s="440"/>
    </row>
    <row r="137" spans="1:19" x14ac:dyDescent="0.2">
      <c r="A137" s="440"/>
      <c r="S137" s="440"/>
    </row>
    <row r="138" spans="1:19" x14ac:dyDescent="0.2">
      <c r="A138" s="440"/>
      <c r="S138" s="440"/>
    </row>
    <row r="139" spans="1:19" x14ac:dyDescent="0.2">
      <c r="A139" s="440"/>
      <c r="S139" s="440"/>
    </row>
    <row r="140" spans="1:19" x14ac:dyDescent="0.2">
      <c r="A140" s="440"/>
      <c r="S140" s="440"/>
    </row>
    <row r="141" spans="1:19" x14ac:dyDescent="0.2">
      <c r="A141" s="440"/>
      <c r="S141" s="440"/>
    </row>
    <row r="142" spans="1:19" x14ac:dyDescent="0.2">
      <c r="A142" s="440"/>
      <c r="S142" s="440"/>
    </row>
    <row r="143" spans="1:19" x14ac:dyDescent="0.2">
      <c r="A143" s="440"/>
      <c r="S143" s="440"/>
    </row>
    <row r="144" spans="1:19" x14ac:dyDescent="0.2">
      <c r="A144" s="440"/>
      <c r="S144" s="440"/>
    </row>
    <row r="145" spans="1:19" x14ac:dyDescent="0.2">
      <c r="A145" s="440"/>
      <c r="S145" s="440"/>
    </row>
    <row r="146" spans="1:19" x14ac:dyDescent="0.2">
      <c r="A146" s="440"/>
      <c r="S146" s="440"/>
    </row>
    <row r="147" spans="1:19" x14ac:dyDescent="0.2">
      <c r="A147" s="440"/>
      <c r="S147" s="440"/>
    </row>
    <row r="148" spans="1:19" x14ac:dyDescent="0.2">
      <c r="A148" s="440"/>
      <c r="S148" s="440"/>
    </row>
    <row r="149" spans="1:19" x14ac:dyDescent="0.2">
      <c r="A149" s="440"/>
      <c r="S149" s="440"/>
    </row>
    <row r="150" spans="1:19" x14ac:dyDescent="0.2">
      <c r="A150" s="440"/>
      <c r="S150" s="440"/>
    </row>
    <row r="151" spans="1:19" x14ac:dyDescent="0.2">
      <c r="A151" s="440"/>
      <c r="S151" s="440"/>
    </row>
    <row r="152" spans="1:19" x14ac:dyDescent="0.2">
      <c r="A152" s="440"/>
      <c r="S152" s="440"/>
    </row>
    <row r="153" spans="1:19" x14ac:dyDescent="0.2">
      <c r="A153" s="440"/>
      <c r="S153" s="440"/>
    </row>
    <row r="154" spans="1:19" x14ac:dyDescent="0.2">
      <c r="A154" s="440"/>
      <c r="S154" s="440"/>
    </row>
    <row r="155" spans="1:19" x14ac:dyDescent="0.2">
      <c r="A155" s="440"/>
      <c r="S155" s="440"/>
    </row>
    <row r="156" spans="1:19" x14ac:dyDescent="0.2">
      <c r="A156" s="440"/>
      <c r="S156" s="440"/>
    </row>
    <row r="157" spans="1:19" ht="11.25" customHeight="1" x14ac:dyDescent="0.2">
      <c r="A157" s="440"/>
      <c r="S157" s="440"/>
    </row>
    <row r="158" spans="1:19" x14ac:dyDescent="0.2">
      <c r="A158" s="440"/>
      <c r="S158" s="440"/>
    </row>
    <row r="159" spans="1:19" x14ac:dyDescent="0.2">
      <c r="A159" s="440"/>
      <c r="S159" s="440"/>
    </row>
    <row r="160" spans="1:19" x14ac:dyDescent="0.2">
      <c r="A160" s="440"/>
      <c r="S160" s="440"/>
    </row>
    <row r="161" spans="1:19" x14ac:dyDescent="0.2">
      <c r="A161" s="440"/>
      <c r="S161" s="440"/>
    </row>
    <row r="162" spans="1:19" x14ac:dyDescent="0.2">
      <c r="A162" s="440"/>
      <c r="S162" s="440"/>
    </row>
    <row r="163" spans="1:19" x14ac:dyDescent="0.2">
      <c r="A163" s="440"/>
      <c r="S163" s="440"/>
    </row>
    <row r="164" spans="1:19" x14ac:dyDescent="0.2">
      <c r="A164" s="440"/>
      <c r="S164" s="440"/>
    </row>
    <row r="165" spans="1:19" x14ac:dyDescent="0.2">
      <c r="A165" s="440"/>
      <c r="S165" s="440"/>
    </row>
    <row r="166" spans="1:19" x14ac:dyDescent="0.2">
      <c r="A166" s="440"/>
      <c r="S166" s="440"/>
    </row>
    <row r="167" spans="1:19" x14ac:dyDescent="0.2">
      <c r="A167" s="440"/>
      <c r="S167" s="440"/>
    </row>
    <row r="168" spans="1:19" x14ac:dyDescent="0.2">
      <c r="A168" s="440"/>
      <c r="S168" s="440"/>
    </row>
    <row r="169" spans="1:19" x14ac:dyDescent="0.2">
      <c r="A169" s="440"/>
      <c r="S169" s="440"/>
    </row>
    <row r="170" spans="1:19" x14ac:dyDescent="0.2">
      <c r="A170" s="440"/>
      <c r="S170" s="440"/>
    </row>
    <row r="171" spans="1:19" x14ac:dyDescent="0.2">
      <c r="A171" s="440"/>
      <c r="S171" s="440"/>
    </row>
    <row r="172" spans="1:19" x14ac:dyDescent="0.2">
      <c r="A172" s="440"/>
      <c r="S172" s="440"/>
    </row>
    <row r="173" spans="1:19" x14ac:dyDescent="0.2">
      <c r="A173" s="440"/>
      <c r="S173" s="440"/>
    </row>
    <row r="174" spans="1:19" x14ac:dyDescent="0.2">
      <c r="A174" s="440"/>
      <c r="S174" s="440"/>
    </row>
    <row r="175" spans="1:19" x14ac:dyDescent="0.2">
      <c r="A175" s="440"/>
      <c r="S175" s="440"/>
    </row>
    <row r="176" spans="1:19" x14ac:dyDescent="0.2">
      <c r="A176" s="440"/>
      <c r="S176" s="440"/>
    </row>
    <row r="177" spans="1:19" x14ac:dyDescent="0.2">
      <c r="A177" s="440"/>
      <c r="S177" s="440"/>
    </row>
    <row r="178" spans="1:19" x14ac:dyDescent="0.2">
      <c r="A178" s="440"/>
      <c r="S178" s="440"/>
    </row>
    <row r="179" spans="1:19" x14ac:dyDescent="0.2">
      <c r="A179" s="440"/>
      <c r="S179" s="440"/>
    </row>
    <row r="180" spans="1:19" x14ac:dyDescent="0.2">
      <c r="A180" s="440"/>
      <c r="S180" s="440"/>
    </row>
    <row r="181" spans="1:19" x14ac:dyDescent="0.2">
      <c r="A181" s="440"/>
      <c r="S181" s="440"/>
    </row>
    <row r="182" spans="1:19" x14ac:dyDescent="0.2">
      <c r="A182" s="440"/>
      <c r="S182" s="440"/>
    </row>
    <row r="183" spans="1:19" x14ac:dyDescent="0.2">
      <c r="A183" s="440"/>
      <c r="S183" s="440"/>
    </row>
    <row r="184" spans="1:19" x14ac:dyDescent="0.2">
      <c r="A184" s="440"/>
      <c r="S184" s="440"/>
    </row>
    <row r="185" spans="1:19" x14ac:dyDescent="0.2">
      <c r="A185" s="440"/>
      <c r="S185" s="440"/>
    </row>
    <row r="186" spans="1:19" x14ac:dyDescent="0.2">
      <c r="A186" s="440"/>
      <c r="S186" s="440"/>
    </row>
    <row r="187" spans="1:19" x14ac:dyDescent="0.2">
      <c r="A187" s="440"/>
      <c r="S187" s="440"/>
    </row>
    <row r="188" spans="1:19" x14ac:dyDescent="0.2">
      <c r="A188" s="440"/>
      <c r="S188" s="440"/>
    </row>
    <row r="189" spans="1:19" x14ac:dyDescent="0.2">
      <c r="A189" s="440"/>
      <c r="S189" s="440"/>
    </row>
    <row r="190" spans="1:19" x14ac:dyDescent="0.2">
      <c r="A190" s="440"/>
      <c r="S190" s="440"/>
    </row>
    <row r="191" spans="1:19" x14ac:dyDescent="0.2">
      <c r="A191" s="440"/>
      <c r="S191" s="440"/>
    </row>
    <row r="192" spans="1:19" x14ac:dyDescent="0.2">
      <c r="A192" s="440"/>
      <c r="S192" s="440"/>
    </row>
    <row r="193" spans="1:19" x14ac:dyDescent="0.2">
      <c r="A193" s="440"/>
      <c r="S193" s="440"/>
    </row>
    <row r="194" spans="1:19" x14ac:dyDescent="0.2">
      <c r="A194" s="440"/>
      <c r="S194" s="440"/>
    </row>
    <row r="195" spans="1:19" x14ac:dyDescent="0.2">
      <c r="A195" s="440"/>
      <c r="S195" s="440"/>
    </row>
    <row r="196" spans="1:19" x14ac:dyDescent="0.2">
      <c r="A196" s="440"/>
      <c r="S196" s="440"/>
    </row>
    <row r="197" spans="1:19" x14ac:dyDescent="0.2">
      <c r="A197" s="440"/>
      <c r="S197" s="440"/>
    </row>
    <row r="198" spans="1:19" x14ac:dyDescent="0.2">
      <c r="A198" s="440"/>
      <c r="S198" s="440"/>
    </row>
    <row r="199" spans="1:19" x14ac:dyDescent="0.2">
      <c r="A199" s="440"/>
      <c r="S199" s="440"/>
    </row>
    <row r="200" spans="1:19" x14ac:dyDescent="0.2">
      <c r="A200" s="440"/>
      <c r="S200" s="440"/>
    </row>
    <row r="201" spans="1:19" x14ac:dyDescent="0.2">
      <c r="A201" s="440"/>
      <c r="S201" s="440"/>
    </row>
    <row r="202" spans="1:19" x14ac:dyDescent="0.2">
      <c r="A202" s="440"/>
      <c r="S202" s="440"/>
    </row>
    <row r="203" spans="1:19" x14ac:dyDescent="0.2">
      <c r="A203" s="440"/>
      <c r="S203" s="440"/>
    </row>
    <row r="204" spans="1:19" x14ac:dyDescent="0.2">
      <c r="A204" s="440"/>
      <c r="S204" s="440"/>
    </row>
    <row r="205" spans="1:19" x14ac:dyDescent="0.2">
      <c r="A205" s="440"/>
      <c r="S205" s="440"/>
    </row>
    <row r="206" spans="1:19" x14ac:dyDescent="0.2">
      <c r="A206" s="440"/>
      <c r="S206" s="440"/>
    </row>
    <row r="207" spans="1:19" x14ac:dyDescent="0.2">
      <c r="A207" s="440"/>
      <c r="S207" s="440"/>
    </row>
    <row r="208" spans="1:19" x14ac:dyDescent="0.2">
      <c r="A208" s="440"/>
      <c r="S208" s="440"/>
    </row>
    <row r="209" spans="1:19" x14ac:dyDescent="0.2">
      <c r="A209" s="440"/>
      <c r="S209" s="440"/>
    </row>
    <row r="210" spans="1:19" x14ac:dyDescent="0.2">
      <c r="A210" s="440"/>
      <c r="S210" s="440"/>
    </row>
    <row r="211" spans="1:19" x14ac:dyDescent="0.2">
      <c r="A211" s="440"/>
      <c r="S211" s="440"/>
    </row>
    <row r="212" spans="1:19" x14ac:dyDescent="0.2">
      <c r="A212" s="440"/>
      <c r="S212" s="440"/>
    </row>
    <row r="213" spans="1:19" x14ac:dyDescent="0.2">
      <c r="A213" s="440"/>
      <c r="S213" s="440"/>
    </row>
    <row r="214" spans="1:19" x14ac:dyDescent="0.2">
      <c r="A214" s="440"/>
      <c r="S214" s="440"/>
    </row>
    <row r="215" spans="1:19" x14ac:dyDescent="0.2">
      <c r="A215" s="440"/>
      <c r="S215" s="440"/>
    </row>
    <row r="216" spans="1:19" x14ac:dyDescent="0.2">
      <c r="A216" s="440"/>
      <c r="S216" s="440"/>
    </row>
    <row r="217" spans="1:19" x14ac:dyDescent="0.2">
      <c r="A217" s="440"/>
      <c r="S217" s="440"/>
    </row>
    <row r="218" spans="1:19" x14ac:dyDescent="0.2">
      <c r="A218" s="440"/>
      <c r="S218" s="440"/>
    </row>
    <row r="219" spans="1:19" x14ac:dyDescent="0.2">
      <c r="A219" s="440"/>
      <c r="S219" s="440"/>
    </row>
    <row r="220" spans="1:19" x14ac:dyDescent="0.2">
      <c r="A220" s="440"/>
      <c r="S220" s="440"/>
    </row>
    <row r="221" spans="1:19" x14ac:dyDescent="0.2">
      <c r="A221" s="440"/>
      <c r="S221" s="440"/>
    </row>
    <row r="222" spans="1:19" x14ac:dyDescent="0.2">
      <c r="A222" s="440"/>
      <c r="S222" s="440"/>
    </row>
    <row r="223" spans="1:19" x14ac:dyDescent="0.2">
      <c r="A223" s="440"/>
      <c r="S223" s="440"/>
    </row>
    <row r="224" spans="1:19" x14ac:dyDescent="0.2">
      <c r="A224" s="440"/>
      <c r="S224" s="440"/>
    </row>
    <row r="225" spans="1:19" x14ac:dyDescent="0.2">
      <c r="A225" s="440"/>
      <c r="S225" s="440"/>
    </row>
    <row r="226" spans="1:19" x14ac:dyDescent="0.2">
      <c r="A226" s="440"/>
      <c r="S226" s="440"/>
    </row>
    <row r="227" spans="1:19" x14ac:dyDescent="0.2">
      <c r="A227" s="440"/>
      <c r="S227" s="440"/>
    </row>
    <row r="228" spans="1:19" x14ac:dyDescent="0.2">
      <c r="A228" s="440"/>
      <c r="S228" s="440"/>
    </row>
    <row r="229" spans="1:19" x14ac:dyDescent="0.2">
      <c r="A229" s="440"/>
      <c r="S229" s="440"/>
    </row>
    <row r="230" spans="1:19" x14ac:dyDescent="0.2">
      <c r="A230" s="440"/>
      <c r="S230" s="440"/>
    </row>
    <row r="231" spans="1:19" x14ac:dyDescent="0.2">
      <c r="A231" s="440"/>
      <c r="S231" s="440"/>
    </row>
    <row r="232" spans="1:19" x14ac:dyDescent="0.2">
      <c r="A232" s="440"/>
      <c r="S232" s="440"/>
    </row>
    <row r="233" spans="1:19" x14ac:dyDescent="0.2">
      <c r="A233" s="440"/>
      <c r="S233" s="440"/>
    </row>
    <row r="234" spans="1:19" x14ac:dyDescent="0.2">
      <c r="A234" s="440"/>
      <c r="S234" s="440"/>
    </row>
    <row r="235" spans="1:19" x14ac:dyDescent="0.2">
      <c r="A235" s="440"/>
      <c r="S235" s="440"/>
    </row>
    <row r="236" spans="1:19" x14ac:dyDescent="0.2">
      <c r="A236" s="440"/>
      <c r="S236" s="440"/>
    </row>
    <row r="237" spans="1:19" x14ac:dyDescent="0.2">
      <c r="A237" s="440"/>
      <c r="S237" s="440"/>
    </row>
    <row r="238" spans="1:19" x14ac:dyDescent="0.2">
      <c r="A238" s="440"/>
      <c r="S238" s="440"/>
    </row>
    <row r="239" spans="1:19" x14ac:dyDescent="0.2">
      <c r="A239" s="440"/>
      <c r="S239" s="440"/>
    </row>
    <row r="240" spans="1:19" x14ac:dyDescent="0.2">
      <c r="A240" s="440"/>
      <c r="S240" s="440"/>
    </row>
    <row r="241" spans="1:19" x14ac:dyDescent="0.2">
      <c r="A241" s="440"/>
      <c r="S241" s="440"/>
    </row>
    <row r="242" spans="1:19" x14ac:dyDescent="0.2">
      <c r="A242" s="440"/>
      <c r="S242" s="440"/>
    </row>
    <row r="243" spans="1:19" x14ac:dyDescent="0.2">
      <c r="A243" s="440"/>
      <c r="S243" s="440"/>
    </row>
    <row r="244" spans="1:19" x14ac:dyDescent="0.2">
      <c r="A244" s="440"/>
      <c r="S244" s="440"/>
    </row>
    <row r="245" spans="1:19" x14ac:dyDescent="0.2">
      <c r="A245" s="440"/>
      <c r="S245" s="440"/>
    </row>
    <row r="246" spans="1:19" x14ac:dyDescent="0.2">
      <c r="A246" s="440"/>
      <c r="S246" s="440"/>
    </row>
    <row r="247" spans="1:19" x14ac:dyDescent="0.2">
      <c r="A247" s="440"/>
      <c r="S247" s="440"/>
    </row>
    <row r="248" spans="1:19" x14ac:dyDescent="0.2">
      <c r="A248" s="440"/>
      <c r="S248" s="440"/>
    </row>
    <row r="249" spans="1:19" x14ac:dyDescent="0.2">
      <c r="A249" s="440"/>
      <c r="S249" s="440"/>
    </row>
    <row r="250" spans="1:19" x14ac:dyDescent="0.2">
      <c r="A250" s="440"/>
      <c r="S250" s="440"/>
    </row>
    <row r="251" spans="1:19" x14ac:dyDescent="0.2">
      <c r="A251" s="440"/>
      <c r="S251" s="440"/>
    </row>
    <row r="252" spans="1:19" x14ac:dyDescent="0.2">
      <c r="A252" s="440"/>
      <c r="S252" s="440"/>
    </row>
    <row r="253" spans="1:19" x14ac:dyDescent="0.2">
      <c r="A253" s="440"/>
      <c r="S253" s="440"/>
    </row>
    <row r="254" spans="1:19" x14ac:dyDescent="0.2">
      <c r="A254" s="440"/>
      <c r="S254" s="440"/>
    </row>
    <row r="255" spans="1:19" x14ac:dyDescent="0.2">
      <c r="A255" s="440"/>
      <c r="S255" s="440"/>
    </row>
    <row r="256" spans="1:19" x14ac:dyDescent="0.2">
      <c r="A256" s="440"/>
      <c r="S256" s="440"/>
    </row>
    <row r="257" spans="1:19" x14ac:dyDescent="0.2">
      <c r="A257" s="440"/>
      <c r="S257" s="440"/>
    </row>
    <row r="258" spans="1:19" x14ac:dyDescent="0.2">
      <c r="A258" s="440"/>
      <c r="S258" s="440"/>
    </row>
    <row r="259" spans="1:19" x14ac:dyDescent="0.2">
      <c r="A259" s="440"/>
      <c r="S259" s="440"/>
    </row>
    <row r="260" spans="1:19" x14ac:dyDescent="0.2">
      <c r="A260" s="440"/>
      <c r="S260" s="440"/>
    </row>
    <row r="261" spans="1:19" x14ac:dyDescent="0.2">
      <c r="A261" s="440"/>
      <c r="S261" s="440"/>
    </row>
    <row r="350" spans="3:3" x14ac:dyDescent="0.2">
      <c r="C350" s="634" t="s">
        <v>248</v>
      </c>
    </row>
    <row r="351" spans="3:3" x14ac:dyDescent="0.2">
      <c r="C351" s="634">
        <v>0</v>
      </c>
    </row>
    <row r="352" spans="3:3" x14ac:dyDescent="0.2">
      <c r="C352" s="634">
        <v>1</v>
      </c>
    </row>
    <row r="353" spans="3:3" x14ac:dyDescent="0.2">
      <c r="C353" s="634">
        <v>2</v>
      </c>
    </row>
    <row r="354" spans="3:3" x14ac:dyDescent="0.2">
      <c r="C354" s="634">
        <v>3</v>
      </c>
    </row>
    <row r="355" spans="3:3" x14ac:dyDescent="0.2">
      <c r="C355" s="634">
        <v>4</v>
      </c>
    </row>
    <row r="356" spans="3:3" x14ac:dyDescent="0.2">
      <c r="C356" s="634">
        <v>5</v>
      </c>
    </row>
    <row r="357" spans="3:3" x14ac:dyDescent="0.2">
      <c r="C357" s="634">
        <v>6</v>
      </c>
    </row>
    <row r="358" spans="3:3" x14ac:dyDescent="0.2">
      <c r="C358" s="634">
        <v>7</v>
      </c>
    </row>
    <row r="359" spans="3:3" x14ac:dyDescent="0.2">
      <c r="C359" s="634">
        <v>8</v>
      </c>
    </row>
    <row r="360" spans="3:3" x14ac:dyDescent="0.2">
      <c r="C360" s="634">
        <v>9</v>
      </c>
    </row>
    <row r="361" spans="3:3" x14ac:dyDescent="0.2">
      <c r="C361" s="634">
        <v>10</v>
      </c>
    </row>
    <row r="362" spans="3:3" x14ac:dyDescent="0.2">
      <c r="C362" s="634">
        <v>11</v>
      </c>
    </row>
    <row r="363" spans="3:3" x14ac:dyDescent="0.2">
      <c r="C363" s="634">
        <v>12</v>
      </c>
    </row>
    <row r="364" spans="3:3" x14ac:dyDescent="0.2">
      <c r="C364" s="634">
        <v>13</v>
      </c>
    </row>
    <row r="365" spans="3:3" x14ac:dyDescent="0.2">
      <c r="C365" s="634">
        <v>14</v>
      </c>
    </row>
    <row r="366" spans="3:3" x14ac:dyDescent="0.2">
      <c r="C366" s="634">
        <v>15</v>
      </c>
    </row>
    <row r="367" spans="3:3" x14ac:dyDescent="0.2">
      <c r="C367" s="634">
        <v>16</v>
      </c>
    </row>
    <row r="368" spans="3:3" x14ac:dyDescent="0.2">
      <c r="C368" s="634">
        <v>17</v>
      </c>
    </row>
    <row r="369" spans="3:3" x14ac:dyDescent="0.2">
      <c r="C369" s="634">
        <v>18</v>
      </c>
    </row>
    <row r="370" spans="3:3" x14ac:dyDescent="0.2">
      <c r="C370" s="634">
        <v>19</v>
      </c>
    </row>
    <row r="371" spans="3:3" x14ac:dyDescent="0.2">
      <c r="C371" s="634">
        <v>20</v>
      </c>
    </row>
    <row r="372" spans="3:3" x14ac:dyDescent="0.2">
      <c r="C372" s="634">
        <v>21</v>
      </c>
    </row>
    <row r="373" spans="3:3" x14ac:dyDescent="0.2">
      <c r="C373" s="634">
        <v>22</v>
      </c>
    </row>
    <row r="374" spans="3:3" x14ac:dyDescent="0.2">
      <c r="C374" s="634">
        <v>23</v>
      </c>
    </row>
    <row r="375" spans="3:3" x14ac:dyDescent="0.2">
      <c r="C375" s="634">
        <v>24</v>
      </c>
    </row>
    <row r="376" spans="3:3" x14ac:dyDescent="0.2">
      <c r="C376" s="634">
        <v>25</v>
      </c>
    </row>
    <row r="377" spans="3:3" x14ac:dyDescent="0.2">
      <c r="C377" s="634">
        <v>26</v>
      </c>
    </row>
    <row r="378" spans="3:3" x14ac:dyDescent="0.2">
      <c r="C378" s="634">
        <v>27</v>
      </c>
    </row>
    <row r="379" spans="3:3" x14ac:dyDescent="0.2">
      <c r="C379" s="634">
        <v>28</v>
      </c>
    </row>
    <row r="380" spans="3:3" x14ac:dyDescent="0.2">
      <c r="C380" s="634">
        <v>29</v>
      </c>
    </row>
    <row r="381" spans="3:3" x14ac:dyDescent="0.2">
      <c r="C381" s="634">
        <v>30</v>
      </c>
    </row>
    <row r="382" spans="3:3" x14ac:dyDescent="0.2">
      <c r="C382" s="634">
        <v>31</v>
      </c>
    </row>
    <row r="383" spans="3:3" x14ac:dyDescent="0.2">
      <c r="C383" s="634">
        <v>32</v>
      </c>
    </row>
    <row r="384" spans="3:3" x14ac:dyDescent="0.2">
      <c r="C384" s="634">
        <v>33</v>
      </c>
    </row>
    <row r="385" spans="3:3" x14ac:dyDescent="0.2">
      <c r="C385" s="634">
        <v>34</v>
      </c>
    </row>
    <row r="386" spans="3:3" x14ac:dyDescent="0.2">
      <c r="C386" s="634">
        <v>35</v>
      </c>
    </row>
    <row r="387" spans="3:3" x14ac:dyDescent="0.2">
      <c r="C387" s="634">
        <v>36</v>
      </c>
    </row>
    <row r="388" spans="3:3" x14ac:dyDescent="0.2">
      <c r="C388" s="634">
        <v>37</v>
      </c>
    </row>
    <row r="389" spans="3:3" x14ac:dyDescent="0.2">
      <c r="C389" s="634">
        <v>38</v>
      </c>
    </row>
    <row r="390" spans="3:3" x14ac:dyDescent="0.2">
      <c r="C390" s="634">
        <v>39</v>
      </c>
    </row>
    <row r="391" spans="3:3" x14ac:dyDescent="0.2">
      <c r="C391" s="634">
        <v>40</v>
      </c>
    </row>
    <row r="392" spans="3:3" x14ac:dyDescent="0.2">
      <c r="C392" s="634">
        <v>41</v>
      </c>
    </row>
    <row r="393" spans="3:3" x14ac:dyDescent="0.2">
      <c r="C393" s="634">
        <v>42</v>
      </c>
    </row>
    <row r="394" spans="3:3" x14ac:dyDescent="0.2">
      <c r="C394" s="634">
        <v>43</v>
      </c>
    </row>
    <row r="395" spans="3:3" x14ac:dyDescent="0.2">
      <c r="C395" s="634">
        <v>44</v>
      </c>
    </row>
    <row r="396" spans="3:3" x14ac:dyDescent="0.2">
      <c r="C396" s="634">
        <v>45</v>
      </c>
    </row>
    <row r="397" spans="3:3" x14ac:dyDescent="0.2">
      <c r="C397" s="634">
        <v>46</v>
      </c>
    </row>
    <row r="398" spans="3:3" x14ac:dyDescent="0.2">
      <c r="C398" s="634">
        <v>47</v>
      </c>
    </row>
    <row r="399" spans="3:3" x14ac:dyDescent="0.2">
      <c r="C399" s="634">
        <v>48</v>
      </c>
    </row>
    <row r="400" spans="3:3" x14ac:dyDescent="0.2">
      <c r="C400" s="634">
        <v>49</v>
      </c>
    </row>
    <row r="401" spans="3:3" x14ac:dyDescent="0.2">
      <c r="C401" s="634">
        <v>50</v>
      </c>
    </row>
  </sheetData>
  <sheetProtection sheet="1" objects="1" scenarios="1" selectLockedCells="1"/>
  <dataConsolidate/>
  <mergeCells count="23">
    <mergeCell ref="F113:H113"/>
    <mergeCell ref="F114:H114"/>
    <mergeCell ref="D103:G103"/>
    <mergeCell ref="F104:H104"/>
    <mergeCell ref="F105:H105"/>
    <mergeCell ref="F106:H106"/>
    <mergeCell ref="D110:F110"/>
    <mergeCell ref="F112:H112"/>
    <mergeCell ref="B1:R1"/>
    <mergeCell ref="D46:F46"/>
    <mergeCell ref="F100:H100"/>
    <mergeCell ref="D47:G47"/>
    <mergeCell ref="D48:G48"/>
    <mergeCell ref="D56:G56"/>
    <mergeCell ref="D60:F60"/>
    <mergeCell ref="D61:F61"/>
    <mergeCell ref="D89:G89"/>
    <mergeCell ref="D93:G93"/>
    <mergeCell ref="D94:G94"/>
    <mergeCell ref="D95:G95"/>
    <mergeCell ref="D96:G96"/>
    <mergeCell ref="D99:F99"/>
    <mergeCell ref="F85:G85"/>
  </mergeCells>
  <dataValidations xWindow="352" yWindow="590" count="5">
    <dataValidation type="custom" allowBlank="1" showInputMessage="1" showErrorMessage="1" errorTitle="Zu hoher Anteil" error="Anteil für Zinsbegünstigtern Kredit übersteigt Fremdkapitaleinsatz!!!" sqref="G19">
      <formula1>H19&lt;=1</formula1>
    </dataValidation>
    <dataValidation type="whole" operator="lessThanOrEqual" allowBlank="1" showInputMessage="1" showErrorMessage="1" errorTitle="Bereichsfehler" error="Zeitraum kann nicht größer als 50 Jahre sein!" sqref="J15">
      <formula1>50</formula1>
    </dataValidation>
    <dataValidation type="custom" allowBlank="1" showInputMessage="1" showErrorMessage="1" errorTitle="Fehler in der Eingabe" error="Nachfolgender Wert muss größer als vorheriger sein!!!" sqref="F41 F35:F38">
      <formula1>F35&gt;F34</formula1>
    </dataValidation>
    <dataValidation type="custom" allowBlank="1" showInputMessage="1" showErrorMessage="1" errorTitle="Fehler in der Eingabe" error="Nachfolgender Wert muss größer als vorheriger sein!!!" sqref="F40">
      <formula1>F40&gt;F37</formula1>
    </dataValidation>
    <dataValidation type="custom" allowBlank="1" showInputMessage="1" showErrorMessage="1" errorTitle="Fehler in der Eingabe" error="Nachfolgender Wert muss größer als vorheriger sein!!!" sqref="F39">
      <formula1>F39&gt;F37</formula1>
    </dataValidation>
  </dataValidations>
  <pageMargins left="0.7" right="0.7" top="0.78740157499999996" bottom="0.78740157499999996"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 id="{5D3EF29C-B733-46C3-9F3B-01B5199DD3DF}">
            <xm:f>OR('1. Projektangaben'!$P$60="x",'1. Projektangaben'!$P$60="X")</xm:f>
            <x14:dxf>
              <font>
                <color theme="0" tint="-0.14996795556505021"/>
              </font>
              <fill>
                <patternFill>
                  <bgColor theme="0" tint="-0.14996795556505021"/>
                </patternFill>
              </fill>
              <border>
                <left/>
                <right/>
                <top/>
                <bottom/>
                <vertical/>
                <horizontal/>
              </border>
            </x14:dxf>
          </x14:cfRule>
          <xm:sqref>B11:R13 B29:R42 B14:L15 Q14:R23 B21:L21 B19:E20 G19:L20 B18:L18 B17:F17 B16:H16 J16:L17 E22:L23 B22:C28 E24:R28</xm:sqref>
        </x14:conditionalFormatting>
        <x14:conditionalFormatting xmlns:xm="http://schemas.microsoft.com/office/excel/2006/main">
          <x14:cfRule type="expression" priority="8" id="{DF22259F-9077-4561-B713-FB066EBA9616}">
            <xm:f>OR('1. Projektangaben'!$P$60="",'1. Projektangaben'!$P$60="0")</xm:f>
            <x14:dxf>
              <font>
                <color theme="0" tint="-0.14996795556505021"/>
              </font>
            </x14:dxf>
          </x14:cfRule>
          <x14:cfRule type="expression" priority="9" id="{CEC7F8B9-2DFE-4D39-B53B-DBCE58C255FA}">
            <xm:f>OR('1. Projektangaben'!$P$60="x",'1. Projektangaben'!$P$60="X")</xm:f>
            <x14:dxf>
              <font>
                <color rgb="FFDA0000"/>
              </font>
            </x14:dxf>
          </x14:cfRule>
          <xm:sqref>D21:K21</xm:sqref>
        </x14:conditionalFormatting>
        <x14:conditionalFormatting xmlns:xm="http://schemas.microsoft.com/office/excel/2006/main">
          <x14:cfRule type="expression" priority="7" id="{2B8F1CF9-61C9-4D86-82B2-A029A5E7781C}">
            <xm:f>OR('1. Projektangaben'!$P$60="x",'1. Projektangaben'!$P$60="X")</xm:f>
            <x14:dxf>
              <font>
                <color theme="0" tint="-0.14996795556505021"/>
              </font>
              <fill>
                <patternFill>
                  <bgColor theme="0" tint="-0.14996795556505021"/>
                </patternFill>
              </fill>
              <border>
                <left/>
                <right/>
                <top/>
                <bottom/>
                <vertical/>
                <horizontal/>
              </border>
            </x14:dxf>
          </x14:cfRule>
          <xm:sqref>M14:P23</xm:sqref>
        </x14:conditionalFormatting>
        <x14:conditionalFormatting xmlns:xm="http://schemas.microsoft.com/office/excel/2006/main">
          <x14:cfRule type="expression" priority="6" id="{34D0EBAC-B11F-4821-AA52-3F04DF426D06}">
            <xm:f>OR('1. Projektangaben'!$P$60="x",'1. Projektangaben'!$P$60="X")</xm:f>
            <x14:dxf>
              <font>
                <color theme="0" tint="-0.14996795556505021"/>
              </font>
              <fill>
                <patternFill>
                  <bgColor theme="0" tint="-0.14996795556505021"/>
                </patternFill>
              </fill>
              <border>
                <left/>
                <right/>
                <top/>
                <bottom/>
                <vertical/>
                <horizontal/>
              </border>
            </x14:dxf>
          </x14:cfRule>
          <xm:sqref>F19:F20</xm:sqref>
        </x14:conditionalFormatting>
        <x14:conditionalFormatting xmlns:xm="http://schemas.microsoft.com/office/excel/2006/main">
          <x14:cfRule type="expression" priority="4" id="{5EDDF84B-77BE-4912-AE32-3039E627795D}">
            <xm:f>OR('1. Projektangaben'!$P$60="x",'1. Projektangaben'!$P$60="X")</xm:f>
            <x14:dxf>
              <font>
                <color theme="0" tint="-0.14996795556505021"/>
              </font>
              <fill>
                <patternFill>
                  <bgColor theme="0" tint="-0.14996795556505021"/>
                </patternFill>
              </fill>
              <border>
                <left/>
                <right/>
                <top/>
                <bottom/>
                <vertical/>
                <horizontal/>
              </border>
            </x14:dxf>
          </x14:cfRule>
          <xm:sqref>G17:H17</xm:sqref>
        </x14:conditionalFormatting>
        <x14:conditionalFormatting xmlns:xm="http://schemas.microsoft.com/office/excel/2006/main">
          <x14:cfRule type="expression" priority="3" id="{E2EF0E39-8F65-4A27-8F94-375674154AD8}">
            <xm:f>OR('1. Projektangaben'!$P$60="x",'1. Projektangaben'!$P$60="X")</xm:f>
            <x14:dxf>
              <font>
                <color theme="0" tint="-0.14996795556505021"/>
              </font>
              <fill>
                <patternFill>
                  <bgColor theme="0" tint="-0.14996795556505021"/>
                </patternFill>
              </fill>
              <border>
                <left/>
                <right/>
                <top/>
                <bottom/>
                <vertical/>
                <horizontal/>
              </border>
            </x14:dxf>
          </x14:cfRule>
          <xm:sqref>I16</xm:sqref>
        </x14:conditionalFormatting>
        <x14:conditionalFormatting xmlns:xm="http://schemas.microsoft.com/office/excel/2006/main">
          <x14:cfRule type="expression" priority="2" id="{DA3BEFD9-5C9D-419C-99F7-076EF9C46AEA}">
            <xm:f>OR('1. Projektangaben'!$P$60="x",'1. Projektangaben'!$P$60="X")</xm:f>
            <x14:dxf>
              <font>
                <color theme="0" tint="-0.14996795556505021"/>
              </font>
              <fill>
                <patternFill>
                  <bgColor theme="0" tint="-0.14996795556505021"/>
                </patternFill>
              </fill>
              <border>
                <left/>
                <right/>
                <top/>
                <bottom/>
                <vertical/>
                <horizontal/>
              </border>
            </x14:dxf>
          </x14:cfRule>
          <xm:sqref>D22:D28</xm:sqref>
        </x14:conditionalFormatting>
        <x14:conditionalFormatting xmlns:xm="http://schemas.microsoft.com/office/excel/2006/main">
          <x14:cfRule type="expression" priority="1" id="{D729A1A8-BB4D-463E-B8A1-32F0EC107BB8}">
            <xm:f>OR('1. Projektangaben'!$P$60="x",'1. Projektangaben'!$P$60="X")</xm:f>
            <x14:dxf>
              <font>
                <color theme="0" tint="-0.14996795556505021"/>
              </font>
              <fill>
                <patternFill>
                  <bgColor theme="0" tint="-0.14996795556505021"/>
                </patternFill>
              </fill>
              <border>
                <left/>
                <right/>
                <top/>
                <bottom/>
                <vertical/>
                <horizontal/>
              </border>
            </x14:dxf>
          </x14:cfRule>
          <xm:sqref>I17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8">
    <tabColor rgb="FF48BA20"/>
    <outlinePr summaryBelow="0" summaryRight="0"/>
    <pageSetUpPr fitToPage="1"/>
  </sheetPr>
  <dimension ref="A1:BN622"/>
  <sheetViews>
    <sheetView showGridLines="0" showRowColHeaders="0" showZeros="0" zoomScaleNormal="100" workbookViewId="0">
      <pane ySplit="20" topLeftCell="A36" activePane="bottomLeft" state="frozen"/>
      <selection activeCell="I16" sqref="I16"/>
      <selection pane="bottomLeft" activeCell="M13" sqref="M13:O13"/>
    </sheetView>
  </sheetViews>
  <sheetFormatPr baseColWidth="10" defaultRowHeight="15" x14ac:dyDescent="0.25"/>
  <cols>
    <col min="1" max="1" width="4.28515625" style="460" customWidth="1"/>
    <col min="2" max="2" width="2.42578125" style="566" customWidth="1"/>
    <col min="3" max="3" width="3" style="460" customWidth="1"/>
    <col min="4" max="4" width="7.140625" style="460" customWidth="1"/>
    <col min="5" max="5" width="3" style="460" customWidth="1"/>
    <col min="6" max="6" width="6.42578125" style="460" customWidth="1"/>
    <col min="7" max="7" width="5.85546875" style="460" customWidth="1"/>
    <col min="8" max="9" width="8.28515625" style="460" customWidth="1"/>
    <col min="10" max="10" width="5" style="460" customWidth="1"/>
    <col min="11" max="11" width="5.5703125" style="567" customWidth="1"/>
    <col min="12" max="12" width="1.85546875" style="568" customWidth="1"/>
    <col min="13" max="13" width="6.42578125" style="460" customWidth="1"/>
    <col min="14" max="14" width="4.42578125" style="568" customWidth="1"/>
    <col min="15" max="15" width="11.85546875" style="460" customWidth="1"/>
    <col min="16" max="16" width="6.140625" style="460" customWidth="1"/>
    <col min="17" max="17" width="12.85546875" style="569" customWidth="1"/>
    <col min="18" max="18" width="5.28515625" style="460" customWidth="1"/>
    <col min="19" max="19" width="10.5703125" style="460" customWidth="1"/>
    <col min="20" max="20" width="5.42578125" style="460" customWidth="1"/>
    <col min="21" max="21" width="6" style="569" customWidth="1"/>
    <col min="22" max="22" width="8.42578125" style="460" customWidth="1"/>
    <col min="23" max="23" width="5" style="460" customWidth="1"/>
    <col min="24" max="24" width="6" style="460" customWidth="1"/>
    <col min="25" max="25" width="7.5703125" style="570" customWidth="1"/>
    <col min="26" max="26" width="4.42578125" style="567" customWidth="1"/>
    <col min="27" max="27" width="5.5703125" style="460" customWidth="1"/>
    <col min="28" max="28" width="8.28515625" style="460" customWidth="1"/>
    <col min="29" max="29" width="5" style="460" customWidth="1"/>
    <col min="30" max="30" width="6" style="395" customWidth="1"/>
    <col min="31" max="31" width="7.5703125" style="460" customWidth="1"/>
    <col min="32" max="32" width="2.7109375" style="460" customWidth="1"/>
    <col min="33" max="33" width="4.85546875" style="460" customWidth="1"/>
    <col min="34" max="34" width="2.7109375" style="460" customWidth="1"/>
    <col min="35" max="35" width="5.28515625" style="460" customWidth="1"/>
    <col min="36" max="36" width="2.7109375" style="460" customWidth="1"/>
    <col min="37" max="37" width="4.28515625" style="460" customWidth="1"/>
    <col min="38" max="38" width="6.140625" style="460" hidden="1" customWidth="1"/>
    <col min="39" max="39" width="8.42578125" style="460" hidden="1" customWidth="1"/>
    <col min="40" max="41" width="8.5703125" style="460" hidden="1" customWidth="1"/>
    <col min="42" max="42" width="7.140625" style="460" hidden="1" customWidth="1"/>
    <col min="43" max="43" width="6.7109375" style="460" hidden="1" customWidth="1"/>
    <col min="44" max="44" width="2.7109375" style="460" hidden="1" customWidth="1"/>
    <col min="45" max="45" width="7.140625" style="460" hidden="1" customWidth="1"/>
    <col min="46" max="46" width="7.5703125" style="460" hidden="1" customWidth="1"/>
    <col min="47" max="47" width="3.140625" style="460" hidden="1" customWidth="1"/>
    <col min="48" max="48" width="5.5703125" style="460" hidden="1" customWidth="1"/>
    <col min="49" max="49" width="8.42578125" style="460" hidden="1" customWidth="1"/>
    <col min="50" max="54" width="5.28515625" style="460" hidden="1" customWidth="1"/>
    <col min="55" max="55" width="11.42578125" style="460" customWidth="1"/>
    <col min="56" max="16384" width="11.42578125" style="460"/>
  </cols>
  <sheetData>
    <row r="1" spans="1:66" ht="24.95" customHeight="1" x14ac:dyDescent="0.2">
      <c r="A1" s="459"/>
      <c r="B1" s="1609" t="str">
        <f>"Eingabe: Investitions- und Wartungskosten - Variante: "&amp;'1. Projektangaben'!C26&amp;" "&amp;LISTEN!E38&amp;""</f>
        <v xml:space="preserve">Eingabe: Investitions- und Wartungskosten - Variante: PH-WDVS-WP-WRG-mittl.Sol-ohne PV </v>
      </c>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459"/>
    </row>
    <row r="2" spans="1:66" s="327" customFormat="1" ht="50.1" customHeight="1" x14ac:dyDescent="0.2">
      <c r="A2" s="440"/>
      <c r="B2" s="1164"/>
      <c r="C2" s="1165"/>
      <c r="D2" s="1165"/>
      <c r="E2" s="1165"/>
      <c r="F2" s="1165"/>
      <c r="G2" s="1165"/>
      <c r="H2" s="1165"/>
      <c r="I2" s="1165"/>
      <c r="J2" s="1165"/>
      <c r="K2" s="1165"/>
      <c r="L2" s="1165"/>
      <c r="M2" s="1165"/>
      <c r="N2" s="1165"/>
      <c r="O2" s="1165"/>
      <c r="P2" s="1165"/>
      <c r="Q2" s="1165"/>
      <c r="R2" s="1165"/>
      <c r="S2" s="1165"/>
      <c r="T2" s="1165"/>
      <c r="U2" s="440"/>
      <c r="V2" s="440"/>
      <c r="W2" s="440"/>
      <c r="X2" s="440"/>
      <c r="Y2" s="440"/>
      <c r="Z2" s="440"/>
      <c r="AA2" s="440"/>
      <c r="AB2" s="440"/>
      <c r="AC2" s="440"/>
      <c r="AD2" s="440"/>
      <c r="AE2" s="440"/>
      <c r="AF2" s="440"/>
      <c r="AG2" s="440"/>
      <c r="AH2" s="440"/>
      <c r="AI2" s="440"/>
      <c r="AJ2" s="440"/>
      <c r="AK2" s="440"/>
    </row>
    <row r="3" spans="1:66" ht="12.95" customHeight="1" x14ac:dyDescent="0.2">
      <c r="A3" s="440"/>
      <c r="B3" s="759" t="s">
        <v>107</v>
      </c>
      <c r="C3" s="380"/>
      <c r="D3" s="380"/>
      <c r="E3" s="380"/>
      <c r="F3" s="380"/>
      <c r="G3" s="380"/>
      <c r="H3" s="380"/>
      <c r="I3" s="380"/>
      <c r="J3" s="380"/>
      <c r="K3" s="463"/>
      <c r="L3" s="463"/>
      <c r="M3" s="380"/>
      <c r="N3" s="463"/>
      <c r="O3" s="380"/>
      <c r="P3" s="380"/>
      <c r="Q3" s="380"/>
      <c r="R3" s="380"/>
      <c r="S3" s="380"/>
      <c r="T3" s="380"/>
      <c r="U3" s="380"/>
      <c r="V3" s="380"/>
      <c r="W3" s="380"/>
      <c r="X3" s="380"/>
      <c r="Y3" s="380"/>
      <c r="Z3" s="380"/>
      <c r="AA3" s="380"/>
      <c r="AB3" s="380"/>
      <c r="AC3" s="380"/>
      <c r="AD3" s="464"/>
      <c r="AE3" s="464"/>
      <c r="AF3" s="464"/>
      <c r="AG3" s="464"/>
      <c r="AH3" s="464"/>
      <c r="AI3" s="464"/>
      <c r="AJ3" s="464"/>
      <c r="AK3" s="440"/>
    </row>
    <row r="4" spans="1:66" ht="12.95" customHeight="1" x14ac:dyDescent="0.25">
      <c r="A4" s="440"/>
      <c r="B4" s="628"/>
      <c r="C4" s="511"/>
      <c r="D4" s="511"/>
      <c r="E4" s="380"/>
      <c r="F4" s="380"/>
      <c r="G4" s="437" t="str">
        <f>'1. Projektangaben'!$B$4</f>
        <v>Bauvorhaben</v>
      </c>
      <c r="H4" s="404" t="str">
        <f>IF('1. Projektangaben'!$C$4="","",'1. Projektangaben'!$C$4)</f>
        <v>KliNaWo</v>
      </c>
      <c r="I4" s="405"/>
      <c r="J4" s="405"/>
      <c r="K4" s="405"/>
      <c r="L4" s="466"/>
      <c r="M4" s="467"/>
      <c r="N4" s="463"/>
      <c r="O4" s="437" t="str">
        <f>'1. Projektangaben'!$H$4</f>
        <v>Architekt</v>
      </c>
      <c r="P4" s="404" t="str">
        <f>IF('1. Projektangaben'!$I$4="","",'1. Projektangaben'!$I$4)</f>
        <v>Walser und Werle Architekten</v>
      </c>
      <c r="Q4" s="412"/>
      <c r="R4" s="422"/>
      <c r="S4" s="575"/>
      <c r="T4" s="380"/>
      <c r="U4" s="380"/>
      <c r="V4" s="380"/>
      <c r="W4" s="380"/>
      <c r="X4" s="380"/>
      <c r="Y4" s="380"/>
      <c r="Z4" s="380"/>
      <c r="AA4" s="380"/>
      <c r="AB4" s="380"/>
      <c r="AC4" s="380"/>
      <c r="AD4" s="464"/>
      <c r="AE4" s="464"/>
      <c r="AF4" s="464"/>
      <c r="AG4" s="464"/>
      <c r="AH4" s="464"/>
      <c r="AI4" s="464"/>
      <c r="AJ4" s="464"/>
      <c r="AK4" s="440"/>
    </row>
    <row r="5" spans="1:66" ht="12.95" customHeight="1" x14ac:dyDescent="0.25">
      <c r="A5" s="440"/>
      <c r="B5" s="628"/>
      <c r="C5" s="511"/>
      <c r="D5" s="511"/>
      <c r="E5" s="380"/>
      <c r="F5" s="380"/>
      <c r="G5" s="437" t="str">
        <f>'1. Projektangaben'!$B$5</f>
        <v>Bauherr</v>
      </c>
      <c r="H5" s="408" t="str">
        <f>IF('1. Projektangaben'!$C$5="","",'1. Projektangaben'!$C$5)</f>
        <v>privater Bauträger</v>
      </c>
      <c r="I5" s="444"/>
      <c r="J5" s="444"/>
      <c r="K5" s="405"/>
      <c r="L5" s="466"/>
      <c r="M5" s="467"/>
      <c r="N5" s="463"/>
      <c r="O5" s="437" t="str">
        <f>'1. Projektangaben'!$H$5</f>
        <v>Baujahr</v>
      </c>
      <c r="P5" s="450">
        <f>IF('1. Projektangaben'!$I$5="","",'1. Projektangaben'!$I$5)</f>
        <v>2017</v>
      </c>
      <c r="Q5" s="328"/>
      <c r="R5" s="380"/>
      <c r="S5" s="380"/>
      <c r="T5" s="380"/>
      <c r="U5" s="380"/>
      <c r="V5" s="380"/>
      <c r="W5" s="380"/>
      <c r="X5" s="380"/>
      <c r="Y5" s="380"/>
      <c r="Z5" s="380"/>
      <c r="AA5" s="380"/>
      <c r="AB5" s="380"/>
      <c r="AC5" s="380"/>
      <c r="AD5" s="464"/>
      <c r="AE5" s="464"/>
      <c r="AF5" s="464"/>
      <c r="AG5" s="464"/>
      <c r="AH5" s="464"/>
      <c r="AI5" s="464"/>
      <c r="AJ5" s="464"/>
      <c r="AK5" s="440"/>
    </row>
    <row r="6" spans="1:66" ht="12.95" customHeight="1" x14ac:dyDescent="0.25">
      <c r="A6" s="440"/>
      <c r="B6" s="628"/>
      <c r="C6" s="511"/>
      <c r="D6" s="511"/>
      <c r="E6" s="380"/>
      <c r="F6" s="380"/>
      <c r="G6" s="437" t="str">
        <f>'1. Projektangaben'!$B$6</f>
        <v>Adresse, Ort</v>
      </c>
      <c r="H6" s="404" t="str">
        <f>IF('1. Projektangaben'!$C$6="","",'1. Projektangaben'!$C$6)</f>
        <v>Siedlungsstrasse, Feldkirch</v>
      </c>
      <c r="I6" s="442"/>
      <c r="J6" s="468"/>
      <c r="K6" s="405"/>
      <c r="L6" s="466"/>
      <c r="M6" s="467"/>
      <c r="N6" s="463"/>
      <c r="O6" s="437" t="str">
        <f>'1. Projektangaben'!$H$6</f>
        <v>Personen</v>
      </c>
      <c r="P6" s="450">
        <f>IF('1. Projektangaben'!$I$6="","",'1. Projektangaben'!$I$6)</f>
        <v>54</v>
      </c>
      <c r="Q6" s="328"/>
      <c r="R6" s="380"/>
      <c r="S6" s="380"/>
      <c r="T6" s="380"/>
      <c r="U6" s="380"/>
      <c r="V6" s="380"/>
      <c r="W6" s="380"/>
      <c r="X6" s="380"/>
      <c r="Y6" s="380"/>
      <c r="Z6" s="380"/>
      <c r="AA6" s="380"/>
      <c r="AB6" s="380"/>
      <c r="AC6" s="380"/>
      <c r="AD6" s="464"/>
      <c r="AE6" s="464"/>
      <c r="AF6" s="464"/>
      <c r="AG6" s="464"/>
      <c r="AH6" s="464"/>
      <c r="AI6" s="464"/>
      <c r="AJ6" s="464"/>
      <c r="AK6" s="440"/>
    </row>
    <row r="7" spans="1:66" ht="12.95" customHeight="1" x14ac:dyDescent="0.25">
      <c r="A7" s="440"/>
      <c r="B7" s="628"/>
      <c r="C7" s="511"/>
      <c r="D7" s="511"/>
      <c r="E7" s="380"/>
      <c r="F7" s="380"/>
      <c r="G7" s="437" t="str">
        <f>'1. Projektangaben'!$B$7</f>
        <v>Gebäudetyp</v>
      </c>
      <c r="H7" s="404" t="str">
        <f>IF('1. Projektangaben'!$C$7="","",'1. Projektangaben'!$C$7)</f>
        <v>Mehrfamilienhaus</v>
      </c>
      <c r="I7" s="412"/>
      <c r="J7" s="404" t="str">
        <f>'1. Projektangaben'!$E$7</f>
        <v>18+1 WE</v>
      </c>
      <c r="K7" s="411"/>
      <c r="L7" s="466"/>
      <c r="M7" s="467"/>
      <c r="N7" s="463"/>
      <c r="O7" s="437" t="str">
        <f>'1. Projektangaben'!$H$7</f>
        <v>Anmerkung</v>
      </c>
      <c r="P7" s="404" t="str">
        <f>IF('1. Projektangaben'!$I$7="","",'1. Projektangaben'!$I$7)</f>
        <v>Beispiele verschiedener Varianten</v>
      </c>
      <c r="Q7" s="422"/>
      <c r="R7" s="422"/>
      <c r="S7" s="575"/>
      <c r="T7" s="380"/>
      <c r="U7" s="380"/>
      <c r="V7" s="380"/>
      <c r="W7" s="380"/>
      <c r="X7" s="380"/>
      <c r="Y7" s="380"/>
      <c r="Z7" s="380"/>
      <c r="AA7" s="380"/>
      <c r="AB7" s="380"/>
      <c r="AC7" s="380"/>
      <c r="AD7" s="464"/>
      <c r="AE7" s="464"/>
      <c r="AF7" s="464"/>
      <c r="AG7" s="464"/>
      <c r="AH7" s="464"/>
      <c r="AI7" s="464"/>
      <c r="AJ7" s="464"/>
      <c r="AK7" s="440"/>
    </row>
    <row r="8" spans="1:66" s="327" customFormat="1" ht="12.95" customHeight="1" x14ac:dyDescent="0.2">
      <c r="A8" s="440"/>
      <c r="B8" s="446"/>
      <c r="C8" s="610"/>
      <c r="D8" s="610"/>
      <c r="E8" s="610"/>
      <c r="F8" s="610"/>
      <c r="G8" s="437" t="s">
        <v>111</v>
      </c>
      <c r="H8" s="635" t="str">
        <f>'1. Projektangaben'!E26</f>
        <v>PHWRGSo</v>
      </c>
      <c r="I8" s="446"/>
      <c r="J8" s="470"/>
      <c r="K8" s="328"/>
      <c r="L8" s="610"/>
      <c r="M8" s="610"/>
      <c r="N8" s="328"/>
      <c r="O8" s="437" t="str">
        <f>'1. Projektangaben'!G22</f>
        <v>EBF</v>
      </c>
      <c r="P8" s="471">
        <f>'1. Projektangaben'!G26</f>
        <v>1421.2</v>
      </c>
      <c r="Q8" s="628"/>
      <c r="R8" s="610"/>
      <c r="S8" s="628"/>
      <c r="T8" s="610"/>
      <c r="U8" s="628"/>
      <c r="V8" s="610"/>
      <c r="W8" s="610"/>
      <c r="X8" s="610"/>
      <c r="Y8" s="610"/>
      <c r="Z8" s="610"/>
      <c r="AA8" s="610"/>
      <c r="AB8" s="610"/>
      <c r="AC8" s="610"/>
      <c r="AD8" s="472"/>
      <c r="AE8" s="472"/>
      <c r="AF8" s="472"/>
      <c r="AG8" s="472"/>
      <c r="AH8" s="472"/>
      <c r="AI8" s="472"/>
      <c r="AJ8" s="472"/>
      <c r="AK8" s="440"/>
    </row>
    <row r="9" spans="1:66" ht="12.95" customHeight="1" x14ac:dyDescent="0.2">
      <c r="A9" s="440"/>
      <c r="B9" s="628"/>
      <c r="C9" s="380"/>
      <c r="D9" s="380"/>
      <c r="E9" s="380"/>
      <c r="F9" s="380"/>
      <c r="G9" s="380"/>
      <c r="H9" s="380"/>
      <c r="I9" s="380"/>
      <c r="J9" s="380"/>
      <c r="K9" s="463"/>
      <c r="L9" s="463"/>
      <c r="M9" s="380"/>
      <c r="N9" s="463"/>
      <c r="O9" s="380"/>
      <c r="P9" s="380"/>
      <c r="Q9" s="380"/>
      <c r="R9" s="380"/>
      <c r="S9" s="380"/>
      <c r="T9" s="380"/>
      <c r="U9" s="380"/>
      <c r="V9" s="380"/>
      <c r="W9" s="380"/>
      <c r="X9" s="380"/>
      <c r="Y9" s="380"/>
      <c r="Z9" s="380"/>
      <c r="AA9" s="380"/>
      <c r="AB9" s="380"/>
      <c r="AC9" s="380"/>
      <c r="AD9" s="464"/>
      <c r="AE9" s="464"/>
      <c r="AF9" s="464"/>
      <c r="AG9" s="464"/>
      <c r="AH9" s="464"/>
      <c r="AI9" s="464"/>
      <c r="AJ9" s="464"/>
      <c r="AK9" s="440"/>
    </row>
    <row r="10" spans="1:66" ht="12.95" customHeight="1" x14ac:dyDescent="0.2">
      <c r="A10" s="440"/>
      <c r="B10" s="1043"/>
      <c r="C10" s="380"/>
      <c r="D10" s="380"/>
      <c r="E10" s="380"/>
      <c r="F10" s="380"/>
      <c r="G10" s="380"/>
      <c r="H10" s="380"/>
      <c r="I10" s="380"/>
      <c r="J10" s="380"/>
      <c r="K10" s="463"/>
      <c r="L10" s="463"/>
      <c r="M10" s="380"/>
      <c r="N10" s="463"/>
      <c r="O10" s="380"/>
      <c r="P10" s="380"/>
      <c r="Q10" s="380"/>
      <c r="R10" s="380"/>
      <c r="S10" s="380"/>
      <c r="T10" s="380"/>
      <c r="U10" s="380"/>
      <c r="V10" s="380"/>
      <c r="W10" s="380"/>
      <c r="X10" s="380"/>
      <c r="Y10" s="380"/>
      <c r="Z10" s="380"/>
      <c r="AA10" s="380"/>
      <c r="AB10" s="380"/>
      <c r="AC10" s="380"/>
      <c r="AD10" s="464"/>
      <c r="AE10" s="464"/>
      <c r="AF10" s="464"/>
      <c r="AG10" s="464"/>
      <c r="AH10" s="464"/>
      <c r="AI10" s="464"/>
      <c r="AJ10" s="464"/>
      <c r="AK10" s="440"/>
      <c r="AL10" s="569"/>
    </row>
    <row r="11" spans="1:66" s="327" customFormat="1" ht="39.950000000000003" customHeight="1" x14ac:dyDescent="0.2">
      <c r="A11" s="440"/>
      <c r="B11" s="1164"/>
      <c r="C11" s="1165"/>
      <c r="D11" s="1165"/>
      <c r="E11" s="1165"/>
      <c r="F11" s="1165"/>
      <c r="G11" s="1165"/>
      <c r="H11" s="1165"/>
      <c r="I11" s="1165"/>
      <c r="J11" s="1165"/>
      <c r="K11" s="1165"/>
      <c r="L11" s="1165"/>
      <c r="M11" s="1165"/>
      <c r="N11" s="1165"/>
      <c r="O11" s="1165"/>
      <c r="P11" s="1165"/>
      <c r="Q11" s="1165"/>
      <c r="R11" s="1165"/>
      <c r="S11" s="1165"/>
      <c r="T11" s="1165"/>
      <c r="U11" s="440"/>
      <c r="V11" s="440"/>
      <c r="W11" s="440"/>
      <c r="X11" s="440"/>
      <c r="Y11" s="440"/>
      <c r="Z11" s="440"/>
      <c r="AA11" s="440"/>
      <c r="AB11" s="440"/>
      <c r="AC11" s="440"/>
      <c r="AD11" s="440"/>
      <c r="AE11" s="440"/>
      <c r="AF11" s="440"/>
      <c r="AG11" s="440"/>
      <c r="AH11" s="440"/>
      <c r="AI11" s="440"/>
      <c r="AJ11" s="440"/>
      <c r="AK11" s="440"/>
      <c r="AM11" s="327" t="s">
        <v>706</v>
      </c>
    </row>
    <row r="12" spans="1:66" ht="12.95" customHeight="1" x14ac:dyDescent="0.2">
      <c r="A12" s="440"/>
      <c r="B12" s="1043"/>
      <c r="C12" s="380"/>
      <c r="D12" s="380"/>
      <c r="E12" s="380"/>
      <c r="F12" s="380"/>
      <c r="G12" s="380"/>
      <c r="H12" s="380"/>
      <c r="I12" s="380"/>
      <c r="J12" s="380"/>
      <c r="K12" s="463"/>
      <c r="L12" s="463"/>
      <c r="M12" s="380"/>
      <c r="N12" s="463"/>
      <c r="O12" s="380"/>
      <c r="P12" s="380"/>
      <c r="Q12" s="380"/>
      <c r="R12" s="380"/>
      <c r="S12" s="380"/>
      <c r="T12" s="380"/>
      <c r="U12" s="380"/>
      <c r="V12" s="380"/>
      <c r="W12" s="380"/>
      <c r="X12" s="380"/>
      <c r="Y12" s="380"/>
      <c r="Z12" s="380"/>
      <c r="AA12" s="380"/>
      <c r="AB12" s="380"/>
      <c r="AC12" s="380"/>
      <c r="AD12" s="464"/>
      <c r="AE12" s="464"/>
      <c r="AF12" s="464"/>
      <c r="AG12" s="464"/>
      <c r="AH12" s="464"/>
      <c r="AI12" s="464"/>
      <c r="AJ12" s="464"/>
      <c r="AK12" s="440"/>
      <c r="AL12" s="569"/>
      <c r="AM12" s="1066">
        <v>1</v>
      </c>
      <c r="AN12" s="1064" t="s">
        <v>707</v>
      </c>
      <c r="AR12" s="1067"/>
      <c r="AX12" s="1064"/>
      <c r="AZ12" s="1068"/>
      <c r="BA12" s="1068"/>
      <c r="BB12" s="1068"/>
      <c r="BC12" s="1068"/>
      <c r="BH12" s="1064"/>
      <c r="BJ12" s="1068"/>
      <c r="BK12" s="1068"/>
      <c r="BL12" s="1068"/>
      <c r="BM12" s="1068"/>
      <c r="BN12" s="1068"/>
    </row>
    <row r="13" spans="1:66" ht="12.95" customHeight="1" x14ac:dyDescent="0.2">
      <c r="A13" s="440"/>
      <c r="B13" s="1043"/>
      <c r="C13" s="380"/>
      <c r="D13" s="380"/>
      <c r="E13" s="1065" t="s">
        <v>704</v>
      </c>
      <c r="F13" s="380"/>
      <c r="G13" s="380"/>
      <c r="H13" s="380"/>
      <c r="I13" s="380"/>
      <c r="J13" s="380"/>
      <c r="K13" s="463"/>
      <c r="L13" s="463"/>
      <c r="M13" s="1627" t="str">
        <f>VLOOKUP($AL$20,$AM$12:$AR$16,2,FALSE)</f>
        <v>3.3 I&amp;W</v>
      </c>
      <c r="N13" s="1628"/>
      <c r="O13" s="1629"/>
      <c r="P13" s="380"/>
      <c r="Q13" s="380" t="s">
        <v>709</v>
      </c>
      <c r="R13" s="380"/>
      <c r="S13" s="380"/>
      <c r="T13" s="380"/>
      <c r="U13" s="380"/>
      <c r="V13" s="380"/>
      <c r="W13" s="380"/>
      <c r="X13" s="380"/>
      <c r="Y13" s="380"/>
      <c r="Z13" s="380"/>
      <c r="AA13" s="380"/>
      <c r="AB13" s="380"/>
      <c r="AC13" s="380"/>
      <c r="AD13" s="464"/>
      <c r="AE13" s="464"/>
      <c r="AF13" s="464"/>
      <c r="AG13" s="464"/>
      <c r="AH13" s="464"/>
      <c r="AI13" s="464"/>
      <c r="AJ13" s="464"/>
      <c r="AK13" s="440"/>
      <c r="AL13" s="569"/>
      <c r="AM13" s="1066">
        <v>2</v>
      </c>
      <c r="AN13" s="1064" t="s">
        <v>708</v>
      </c>
      <c r="AR13" s="1067"/>
      <c r="AX13" s="1064"/>
      <c r="AZ13" s="1068"/>
      <c r="BA13" s="1068"/>
      <c r="BB13" s="1068"/>
      <c r="BC13" s="1068"/>
      <c r="BH13" s="1064"/>
      <c r="BJ13" s="1068"/>
      <c r="BK13" s="1068"/>
      <c r="BL13" s="1068"/>
      <c r="BM13" s="1068"/>
      <c r="BN13" s="1068"/>
    </row>
    <row r="14" spans="1:66" ht="12.95" customHeight="1" x14ac:dyDescent="0.2">
      <c r="A14" s="440"/>
      <c r="B14" s="1043"/>
      <c r="C14" s="380"/>
      <c r="D14" s="380"/>
      <c r="E14" s="380"/>
      <c r="F14" s="380"/>
      <c r="G14" s="380"/>
      <c r="H14" s="380"/>
      <c r="I14" s="380"/>
      <c r="J14" s="380"/>
      <c r="K14" s="463"/>
      <c r="L14" s="463"/>
      <c r="M14" s="380"/>
      <c r="N14" s="463"/>
      <c r="O14" s="380"/>
      <c r="P14" s="380"/>
      <c r="Q14" s="380" t="s">
        <v>710</v>
      </c>
      <c r="R14" s="380"/>
      <c r="S14" s="380"/>
      <c r="T14" s="380"/>
      <c r="U14" s="380"/>
      <c r="V14" s="380"/>
      <c r="W14" s="380"/>
      <c r="X14" s="380"/>
      <c r="Y14" s="380"/>
      <c r="Z14" s="380"/>
      <c r="AA14" s="380"/>
      <c r="AB14" s="380"/>
      <c r="AC14" s="380"/>
      <c r="AD14" s="464"/>
      <c r="AE14" s="464"/>
      <c r="AF14" s="464"/>
      <c r="AG14" s="464"/>
      <c r="AH14" s="464"/>
      <c r="AI14" s="464"/>
      <c r="AJ14" s="464"/>
      <c r="AK14" s="440"/>
      <c r="AL14" s="569"/>
      <c r="AM14" s="1066">
        <v>3</v>
      </c>
      <c r="AN14" s="1064" t="s">
        <v>723</v>
      </c>
      <c r="AR14" s="1067"/>
      <c r="AZ14" s="1068"/>
      <c r="BA14" s="1068"/>
      <c r="BB14" s="1068"/>
      <c r="BC14" s="1068"/>
      <c r="BJ14" s="1068"/>
      <c r="BK14" s="1068"/>
      <c r="BL14" s="1068"/>
      <c r="BM14" s="1068"/>
      <c r="BN14" s="1068"/>
    </row>
    <row r="15" spans="1:66" ht="12.95" customHeight="1" x14ac:dyDescent="0.2">
      <c r="A15" s="440"/>
      <c r="B15" s="1043"/>
      <c r="C15" s="380"/>
      <c r="D15" s="380"/>
      <c r="E15" s="380"/>
      <c r="F15" s="380"/>
      <c r="G15" s="380"/>
      <c r="H15" s="380"/>
      <c r="I15" s="380"/>
      <c r="J15" s="380"/>
      <c r="K15" s="463"/>
      <c r="L15" s="463"/>
      <c r="M15" s="380"/>
      <c r="N15" s="463"/>
      <c r="O15" s="380"/>
      <c r="P15" s="380"/>
      <c r="Q15" s="380" t="s">
        <v>712</v>
      </c>
      <c r="R15" s="380"/>
      <c r="S15" s="380"/>
      <c r="T15" s="380"/>
      <c r="U15" s="380"/>
      <c r="V15" s="380"/>
      <c r="W15" s="380"/>
      <c r="X15" s="380"/>
      <c r="Y15" s="380"/>
      <c r="Z15" s="380"/>
      <c r="AA15" s="380"/>
      <c r="AB15" s="380"/>
      <c r="AC15" s="380"/>
      <c r="AD15" s="464"/>
      <c r="AE15" s="464"/>
      <c r="AF15" s="464"/>
      <c r="AG15" s="464"/>
      <c r="AH15" s="464"/>
      <c r="AI15" s="464"/>
      <c r="AJ15" s="464"/>
      <c r="AK15" s="440"/>
      <c r="AL15" s="569"/>
      <c r="AM15" s="1066">
        <v>4</v>
      </c>
      <c r="AN15" s="1064" t="s">
        <v>711</v>
      </c>
      <c r="AR15" s="1067"/>
      <c r="AZ15" s="1068"/>
      <c r="BA15" s="1068"/>
      <c r="BB15" s="1068"/>
      <c r="BC15" s="1068"/>
      <c r="BJ15" s="1068"/>
      <c r="BK15" s="1068"/>
      <c r="BL15" s="1068"/>
      <c r="BM15" s="1068"/>
      <c r="BN15" s="1068"/>
    </row>
    <row r="16" spans="1:66" ht="12.95" customHeight="1" thickBot="1" x14ac:dyDescent="0.25">
      <c r="A16" s="440"/>
      <c r="B16" s="1043"/>
      <c r="C16" s="380"/>
      <c r="D16" s="380"/>
      <c r="E16" s="380"/>
      <c r="F16" s="380"/>
      <c r="G16" s="380"/>
      <c r="H16" s="380"/>
      <c r="I16" s="380"/>
      <c r="J16" s="380"/>
      <c r="K16" s="463"/>
      <c r="L16" s="463"/>
      <c r="M16" s="380"/>
      <c r="N16" s="463"/>
      <c r="O16" s="380"/>
      <c r="P16" s="380"/>
      <c r="Q16" s="380"/>
      <c r="R16" s="380"/>
      <c r="S16" s="380"/>
      <c r="T16" s="380"/>
      <c r="U16" s="380"/>
      <c r="V16" s="380"/>
      <c r="W16" s="380"/>
      <c r="X16" s="380"/>
      <c r="Y16" s="380"/>
      <c r="Z16" s="380"/>
      <c r="AA16" s="380"/>
      <c r="AB16" s="380"/>
      <c r="AC16" s="380"/>
      <c r="AD16" s="464"/>
      <c r="AE16" s="464"/>
      <c r="AF16" s="464"/>
      <c r="AG16" s="464"/>
      <c r="AH16" s="464"/>
      <c r="AI16" s="464"/>
      <c r="AJ16" s="464"/>
      <c r="AK16" s="440"/>
      <c r="AL16" s="569"/>
      <c r="AM16" s="1069">
        <v>5</v>
      </c>
      <c r="AN16" s="1070" t="s">
        <v>714</v>
      </c>
      <c r="AO16" s="1071" t="s">
        <v>724</v>
      </c>
      <c r="AP16" s="1071"/>
      <c r="AQ16" s="1071"/>
      <c r="AR16" s="1072"/>
      <c r="AZ16" s="1068"/>
      <c r="BA16" s="1068"/>
      <c r="BB16" s="1068"/>
      <c r="BC16" s="1068"/>
      <c r="BJ16" s="1068"/>
      <c r="BK16" s="1068"/>
      <c r="BL16" s="1068"/>
      <c r="BM16" s="1068"/>
      <c r="BN16" s="1068"/>
    </row>
    <row r="17" spans="1:54" s="327" customFormat="1" ht="39.950000000000003" customHeight="1" thickBot="1" x14ac:dyDescent="0.25">
      <c r="A17" s="440"/>
      <c r="B17" s="1164"/>
      <c r="C17" s="1165"/>
      <c r="D17" s="1165"/>
      <c r="E17" s="1165"/>
      <c r="F17" s="1165"/>
      <c r="G17" s="1165"/>
      <c r="H17" s="1165"/>
      <c r="I17" s="1165"/>
      <c r="J17" s="1165"/>
      <c r="K17" s="1165"/>
      <c r="L17" s="1165"/>
      <c r="M17" s="1165"/>
      <c r="N17" s="1165"/>
      <c r="O17" s="1165"/>
      <c r="P17" s="1165"/>
      <c r="Q17" s="1165"/>
      <c r="R17" s="1165"/>
      <c r="S17" s="1165"/>
      <c r="T17" s="1165"/>
      <c r="U17" s="440"/>
      <c r="V17" s="440"/>
      <c r="W17" s="440"/>
      <c r="X17" s="440"/>
      <c r="Y17" s="440"/>
      <c r="Z17" s="440"/>
      <c r="AA17" s="440"/>
      <c r="AB17" s="440"/>
      <c r="AC17" s="440"/>
      <c r="AD17" s="440"/>
      <c r="AE17" s="440"/>
      <c r="AF17" s="440"/>
      <c r="AG17" s="440"/>
      <c r="AH17" s="440"/>
      <c r="AI17" s="440"/>
      <c r="AJ17" s="440"/>
      <c r="AK17" s="440"/>
    </row>
    <row r="18" spans="1:54" ht="15" customHeight="1" x14ac:dyDescent="0.2">
      <c r="A18" s="440"/>
      <c r="B18" s="413"/>
      <c r="C18" s="380"/>
      <c r="D18" s="380"/>
      <c r="E18" s="380"/>
      <c r="F18" s="380"/>
      <c r="G18" s="380"/>
      <c r="H18" s="380"/>
      <c r="I18" s="473"/>
      <c r="J18" s="1598" t="s">
        <v>176</v>
      </c>
      <c r="K18" s="1598"/>
      <c r="L18" s="473"/>
      <c r="M18" s="475" t="s">
        <v>467</v>
      </c>
      <c r="N18" s="476" t="s">
        <v>141</v>
      </c>
      <c r="O18" s="477" t="s">
        <v>466</v>
      </c>
      <c r="P18" s="478" t="s">
        <v>451</v>
      </c>
      <c r="Q18" s="479" t="s">
        <v>462</v>
      </c>
      <c r="R18" s="479" t="s">
        <v>142</v>
      </c>
      <c r="S18" s="478" t="s">
        <v>62</v>
      </c>
      <c r="T18" s="379"/>
      <c r="U18" s="1598" t="s">
        <v>190</v>
      </c>
      <c r="V18" s="1598"/>
      <c r="W18" s="1598"/>
      <c r="X18" s="1598"/>
      <c r="Y18" s="1598"/>
      <c r="Z18" s="480"/>
      <c r="AA18" s="1598" t="s">
        <v>63</v>
      </c>
      <c r="AB18" s="1598"/>
      <c r="AC18" s="1598"/>
      <c r="AD18" s="1598"/>
      <c r="AE18" s="1598"/>
      <c r="AF18" s="379"/>
      <c r="AG18" s="379"/>
      <c r="AH18" s="379"/>
      <c r="AI18" s="481" t="s">
        <v>175</v>
      </c>
      <c r="AJ18" s="379"/>
      <c r="AK18" s="440"/>
      <c r="AM18" s="1073" t="str">
        <f>"Übernahme der Daten von Variante "&amp;M13</f>
        <v>Übernahme der Daten von Variante 3.3 I&amp;W</v>
      </c>
      <c r="AN18" s="1074"/>
      <c r="AO18" s="1074"/>
      <c r="AP18" s="1074"/>
      <c r="AQ18" s="1074"/>
      <c r="AR18" s="1074"/>
      <c r="AS18" s="1074"/>
      <c r="AT18" s="1074"/>
      <c r="AU18" s="1074"/>
      <c r="AV18" s="1075"/>
      <c r="AX18" s="1073" t="s">
        <v>716</v>
      </c>
      <c r="AY18" s="1073"/>
      <c r="AZ18" s="1074"/>
      <c r="BA18" s="1074"/>
      <c r="BB18" s="1075"/>
    </row>
    <row r="19" spans="1:54" ht="15" customHeight="1" x14ac:dyDescent="0.2">
      <c r="A19" s="440"/>
      <c r="B19" s="413"/>
      <c r="C19" s="380"/>
      <c r="D19" s="380"/>
      <c r="E19" s="380"/>
      <c r="F19" s="380"/>
      <c r="G19" s="380"/>
      <c r="H19" s="380"/>
      <c r="I19" s="473"/>
      <c r="J19" s="1598" t="s">
        <v>169</v>
      </c>
      <c r="K19" s="1598"/>
      <c r="L19" s="474"/>
      <c r="M19" s="475"/>
      <c r="N19" s="476"/>
      <c r="O19" s="477"/>
      <c r="P19" s="478"/>
      <c r="Q19" s="479"/>
      <c r="R19" s="479"/>
      <c r="S19" s="478"/>
      <c r="T19" s="379"/>
      <c r="U19" s="1598" t="s">
        <v>463</v>
      </c>
      <c r="V19" s="1598"/>
      <c r="W19" s="438"/>
      <c r="X19" s="1598" t="s">
        <v>249</v>
      </c>
      <c r="Y19" s="1598"/>
      <c r="Z19" s="480"/>
      <c r="AA19" s="1598" t="s">
        <v>463</v>
      </c>
      <c r="AB19" s="1598"/>
      <c r="AC19" s="438"/>
      <c r="AD19" s="1598" t="s">
        <v>249</v>
      </c>
      <c r="AE19" s="1598"/>
      <c r="AF19" s="379"/>
      <c r="AG19" s="1598" t="s">
        <v>715</v>
      </c>
      <c r="AH19" s="1598"/>
      <c r="AI19" s="481"/>
      <c r="AJ19" s="379"/>
      <c r="AK19" s="440"/>
      <c r="AL19" s="460" t="s">
        <v>826</v>
      </c>
      <c r="AM19" s="1066" t="s">
        <v>717</v>
      </c>
      <c r="AN19" s="1076" t="s">
        <v>109</v>
      </c>
      <c r="AO19" s="1076" t="s">
        <v>62</v>
      </c>
      <c r="AP19" s="1630" t="s">
        <v>190</v>
      </c>
      <c r="AQ19" s="1630"/>
      <c r="AR19" s="567"/>
      <c r="AS19" s="1630" t="s">
        <v>63</v>
      </c>
      <c r="AT19" s="1630"/>
      <c r="AU19" s="567"/>
      <c r="AV19" s="1067" t="s">
        <v>175</v>
      </c>
      <c r="AX19" s="1077" t="s">
        <v>109</v>
      </c>
      <c r="AY19" s="1078" t="s">
        <v>62</v>
      </c>
      <c r="AZ19" s="1078" t="s">
        <v>190</v>
      </c>
      <c r="BA19" s="1078" t="s">
        <v>63</v>
      </c>
      <c r="BB19" s="1079" t="s">
        <v>175</v>
      </c>
    </row>
    <row r="20" spans="1:54" ht="12" customHeight="1" thickBot="1" x14ac:dyDescent="0.3">
      <c r="A20" s="440"/>
      <c r="B20" s="413"/>
      <c r="C20" s="380"/>
      <c r="D20" s="380"/>
      <c r="E20" s="380"/>
      <c r="F20" s="380"/>
      <c r="G20" s="380"/>
      <c r="H20" s="380"/>
      <c r="I20" s="473"/>
      <c r="J20" s="1598"/>
      <c r="K20" s="1598"/>
      <c r="L20" s="473"/>
      <c r="M20" s="473"/>
      <c r="N20" s="473"/>
      <c r="O20" s="473"/>
      <c r="P20" s="473"/>
      <c r="Q20" s="372"/>
      <c r="R20" s="372"/>
      <c r="S20" s="372" t="s">
        <v>65</v>
      </c>
      <c r="T20" s="372"/>
      <c r="U20" s="372" t="s">
        <v>64</v>
      </c>
      <c r="V20" s="319" t="s">
        <v>93</v>
      </c>
      <c r="W20" s="372"/>
      <c r="X20" s="372" t="s">
        <v>64</v>
      </c>
      <c r="Y20" s="319" t="s">
        <v>93</v>
      </c>
      <c r="Z20" s="372"/>
      <c r="AA20" s="372" t="s">
        <v>64</v>
      </c>
      <c r="AB20" s="372" t="s">
        <v>93</v>
      </c>
      <c r="AC20" s="372"/>
      <c r="AD20" s="372" t="s">
        <v>64</v>
      </c>
      <c r="AE20" s="372" t="s">
        <v>93</v>
      </c>
      <c r="AF20" s="372"/>
      <c r="AG20" s="372" t="s">
        <v>66</v>
      </c>
      <c r="AH20" s="372"/>
      <c r="AI20" s="482" t="s">
        <v>66</v>
      </c>
      <c r="AJ20" s="372"/>
      <c r="AK20" s="440"/>
      <c r="AL20" s="1382">
        <v>4</v>
      </c>
      <c r="AM20" s="1080" t="str">
        <f>M13</f>
        <v>3.3 I&amp;W</v>
      </c>
      <c r="AN20" s="1071"/>
      <c r="AO20" s="1071" t="s">
        <v>65</v>
      </c>
      <c r="AP20" s="1071" t="s">
        <v>64</v>
      </c>
      <c r="AQ20" s="1071" t="s">
        <v>93</v>
      </c>
      <c r="AR20" s="1071"/>
      <c r="AS20" s="1071" t="s">
        <v>64</v>
      </c>
      <c r="AT20" s="1071" t="s">
        <v>93</v>
      </c>
      <c r="AU20" s="1071"/>
      <c r="AV20" s="1072" t="s">
        <v>66</v>
      </c>
      <c r="AX20" s="1069"/>
      <c r="AY20" s="1071"/>
      <c r="AZ20" s="1071"/>
      <c r="BA20" s="1071"/>
      <c r="BB20" s="1072"/>
    </row>
    <row r="21" spans="1:54" ht="12" customHeight="1" x14ac:dyDescent="0.2">
      <c r="A21" s="440"/>
      <c r="B21" s="413"/>
      <c r="C21" s="380"/>
      <c r="D21" s="380"/>
      <c r="E21" s="380"/>
      <c r="F21" s="380"/>
      <c r="G21" s="380"/>
      <c r="H21" s="380"/>
      <c r="I21" s="473"/>
      <c r="J21" s="1033"/>
      <c r="K21" s="1033"/>
      <c r="L21" s="473"/>
      <c r="M21" s="473"/>
      <c r="N21" s="473"/>
      <c r="O21" s="473"/>
      <c r="P21" s="473"/>
      <c r="Q21" s="372"/>
      <c r="R21" s="372"/>
      <c r="S21" s="372"/>
      <c r="T21" s="372"/>
      <c r="U21" s="372"/>
      <c r="V21" s="319"/>
      <c r="W21" s="372"/>
      <c r="X21" s="372"/>
      <c r="Y21" s="319"/>
      <c r="Z21" s="372"/>
      <c r="AA21" s="372"/>
      <c r="AB21" s="372"/>
      <c r="AC21" s="372"/>
      <c r="AD21" s="372"/>
      <c r="AE21" s="372"/>
      <c r="AF21" s="372"/>
      <c r="AG21" s="372"/>
      <c r="AH21" s="372"/>
      <c r="AI21" s="482"/>
      <c r="AJ21" s="372"/>
      <c r="AK21" s="440"/>
      <c r="AM21" s="460" t="s">
        <v>718</v>
      </c>
      <c r="AN21" s="1089" t="s">
        <v>719</v>
      </c>
      <c r="AO21" s="1089" t="s">
        <v>362</v>
      </c>
      <c r="AP21" s="1089" t="s">
        <v>519</v>
      </c>
      <c r="AQ21" s="1089" t="s">
        <v>725</v>
      </c>
      <c r="AR21" s="1089" t="s">
        <v>728</v>
      </c>
      <c r="AS21" s="1089" t="s">
        <v>726</v>
      </c>
      <c r="AT21" s="1089" t="s">
        <v>727</v>
      </c>
      <c r="AU21" s="1089" t="s">
        <v>729</v>
      </c>
      <c r="AV21" s="1089" t="s">
        <v>720</v>
      </c>
    </row>
    <row r="22" spans="1:54" ht="12" customHeight="1" x14ac:dyDescent="0.2">
      <c r="A22" s="440"/>
      <c r="B22" s="413"/>
      <c r="C22" s="380"/>
      <c r="D22" s="380"/>
      <c r="E22" s="380"/>
      <c r="F22" s="380"/>
      <c r="G22" s="380"/>
      <c r="H22" s="380"/>
      <c r="I22" s="473"/>
      <c r="J22" s="1033"/>
      <c r="K22" s="1033"/>
      <c r="L22" s="473"/>
      <c r="M22" s="473"/>
      <c r="N22" s="473"/>
      <c r="O22" s="473"/>
      <c r="P22" s="473"/>
      <c r="Q22" s="372"/>
      <c r="R22" s="372"/>
      <c r="S22" s="372"/>
      <c r="T22" s="372"/>
      <c r="U22" s="372"/>
      <c r="V22" s="319"/>
      <c r="W22" s="372"/>
      <c r="X22" s="372"/>
      <c r="Y22" s="319"/>
      <c r="Z22" s="372"/>
      <c r="AA22" s="372"/>
      <c r="AB22" s="372"/>
      <c r="AC22" s="372"/>
      <c r="AD22" s="372"/>
      <c r="AE22" s="372"/>
      <c r="AF22" s="372"/>
      <c r="AG22" s="372"/>
      <c r="AH22" s="372"/>
      <c r="AI22" s="482"/>
      <c r="AJ22" s="372"/>
      <c r="AK22" s="440"/>
      <c r="AM22" s="460">
        <v>22</v>
      </c>
      <c r="AN22" s="1089" t="s">
        <v>144</v>
      </c>
      <c r="AX22" s="460" t="s">
        <v>721</v>
      </c>
    </row>
    <row r="23" spans="1:54" s="492" customFormat="1" ht="12.75" customHeight="1" collapsed="1" x14ac:dyDescent="0.2">
      <c r="A23" s="483"/>
      <c r="B23" s="484"/>
      <c r="C23" s="485"/>
      <c r="D23" s="486"/>
      <c r="E23" s="1610" t="s">
        <v>461</v>
      </c>
      <c r="F23" s="1610"/>
      <c r="G23" s="1610"/>
      <c r="H23" s="1610"/>
      <c r="I23" s="1611"/>
      <c r="J23" s="487"/>
      <c r="K23" s="488"/>
      <c r="L23" s="488"/>
      <c r="M23" s="489"/>
      <c r="N23" s="490"/>
      <c r="O23" s="431"/>
      <c r="P23" s="431"/>
      <c r="Q23" s="431"/>
      <c r="R23" s="431"/>
      <c r="S23" s="430">
        <f ca="1">SUM(BERECHNUNG!O723:O829)</f>
        <v>4171417.2959999996</v>
      </c>
      <c r="T23" s="431"/>
      <c r="U23" s="431"/>
      <c r="V23" s="431"/>
      <c r="W23" s="431"/>
      <c r="X23" s="431"/>
      <c r="Y23" s="431"/>
      <c r="Z23" s="431"/>
      <c r="AA23" s="431"/>
      <c r="AB23" s="431"/>
      <c r="AC23" s="431"/>
      <c r="AD23" s="431"/>
      <c r="AE23" s="431"/>
      <c r="AF23" s="431"/>
      <c r="AG23" s="431"/>
      <c r="AH23" s="431"/>
      <c r="AI23" s="491"/>
      <c r="AJ23" s="431"/>
      <c r="AK23" s="483"/>
      <c r="AM23" s="460">
        <v>23</v>
      </c>
      <c r="AX23" s="1078" t="s">
        <v>722</v>
      </c>
      <c r="AY23" s="1078"/>
    </row>
    <row r="24" spans="1:54" ht="12" customHeight="1" x14ac:dyDescent="0.25">
      <c r="A24" s="440"/>
      <c r="B24" s="493"/>
      <c r="C24" s="494"/>
      <c r="D24" s="495"/>
      <c r="E24" s="1034"/>
      <c r="F24" s="1034"/>
      <c r="G24" s="1034"/>
      <c r="H24" s="1034"/>
      <c r="I24" s="1035"/>
      <c r="J24" s="1038"/>
      <c r="K24" s="462"/>
      <c r="L24" s="462"/>
      <c r="M24" s="498"/>
      <c r="N24" s="359"/>
      <c r="O24" s="363"/>
      <c r="P24" s="363"/>
      <c r="Q24" s="363"/>
      <c r="R24" s="363"/>
      <c r="S24" s="429"/>
      <c r="T24" s="363"/>
      <c r="U24" s="363"/>
      <c r="V24" s="363"/>
      <c r="W24" s="363"/>
      <c r="X24" s="363"/>
      <c r="Y24" s="363"/>
      <c r="Z24" s="363"/>
      <c r="AA24" s="363"/>
      <c r="AB24" s="363"/>
      <c r="AC24" s="363"/>
      <c r="AD24" s="363"/>
      <c r="AE24" s="363"/>
      <c r="AF24" s="363"/>
      <c r="AG24" s="363"/>
      <c r="AH24" s="363"/>
      <c r="AI24" s="358"/>
      <c r="AJ24" s="363"/>
      <c r="AK24" s="440"/>
      <c r="AM24" s="460">
        <v>24</v>
      </c>
      <c r="AP24" s="1081"/>
      <c r="AS24" s="1081"/>
      <c r="AX24" s="1082"/>
      <c r="AY24" s="1082"/>
      <c r="AZ24" s="1081"/>
      <c r="BA24" s="1081"/>
    </row>
    <row r="25" spans="1:54" ht="12" customHeight="1" x14ac:dyDescent="0.2">
      <c r="A25" s="440"/>
      <c r="B25" s="413"/>
      <c r="C25" s="380"/>
      <c r="D25" s="380"/>
      <c r="E25" s="380"/>
      <c r="F25" s="380"/>
      <c r="G25" s="380"/>
      <c r="H25" s="380"/>
      <c r="I25" s="473"/>
      <c r="J25" s="1033"/>
      <c r="K25" s="1033"/>
      <c r="L25" s="473"/>
      <c r="M25" s="473"/>
      <c r="N25" s="473"/>
      <c r="O25" s="473"/>
      <c r="P25" s="473"/>
      <c r="Q25" s="372"/>
      <c r="R25" s="372"/>
      <c r="S25" s="372"/>
      <c r="T25" s="372"/>
      <c r="U25" s="372"/>
      <c r="V25" s="319"/>
      <c r="W25" s="372"/>
      <c r="X25" s="372"/>
      <c r="Y25" s="319"/>
      <c r="Z25" s="372"/>
      <c r="AA25" s="372"/>
      <c r="AB25" s="372"/>
      <c r="AC25" s="372"/>
      <c r="AD25" s="372"/>
      <c r="AE25" s="372"/>
      <c r="AF25" s="372"/>
      <c r="AG25" s="372"/>
      <c r="AH25" s="372"/>
      <c r="AI25" s="482"/>
      <c r="AJ25" s="372"/>
      <c r="AK25" s="440"/>
      <c r="AM25" s="460">
        <v>25</v>
      </c>
      <c r="AP25" s="1081"/>
      <c r="AS25" s="1081"/>
      <c r="AZ25" s="1081"/>
      <c r="BA25" s="1081"/>
    </row>
    <row r="26" spans="1:54" ht="12" customHeight="1" x14ac:dyDescent="0.25">
      <c r="A26" s="440"/>
      <c r="B26" s="499">
        <v>0</v>
      </c>
      <c r="C26" s="1034"/>
      <c r="D26" s="1034"/>
      <c r="E26" s="1606" t="s">
        <v>61</v>
      </c>
      <c r="F26" s="1606"/>
      <c r="G26" s="1606"/>
      <c r="H26" s="1606"/>
      <c r="I26" s="1605"/>
      <c r="J26" s="1038"/>
      <c r="K26" s="502"/>
      <c r="L26" s="502"/>
      <c r="M26" s="1036"/>
      <c r="N26" s="503"/>
      <c r="O26" s="1036"/>
      <c r="P26" s="1036"/>
      <c r="Q26" s="1036"/>
      <c r="R26" s="1036"/>
      <c r="S26" s="385">
        <f ca="1">SUBTOTAL(109,S27)</f>
        <v>432000</v>
      </c>
      <c r="T26" s="372"/>
      <c r="U26" s="372"/>
      <c r="V26" s="372"/>
      <c r="W26" s="372"/>
      <c r="X26" s="372"/>
      <c r="Y26" s="372"/>
      <c r="Z26" s="372"/>
      <c r="AA26" s="372"/>
      <c r="AB26" s="372"/>
      <c r="AC26" s="372"/>
      <c r="AD26" s="482"/>
      <c r="AE26" s="482"/>
      <c r="AF26" s="482"/>
      <c r="AG26" s="482"/>
      <c r="AH26" s="482"/>
      <c r="AI26" s="482"/>
      <c r="AJ26" s="482"/>
      <c r="AK26" s="440"/>
      <c r="AM26" s="460">
        <v>26</v>
      </c>
      <c r="AP26" s="1081"/>
      <c r="AS26" s="1081"/>
      <c r="AZ26" s="1081"/>
      <c r="BA26" s="1081"/>
    </row>
    <row r="27" spans="1:54" ht="12" customHeight="1" x14ac:dyDescent="0.25">
      <c r="A27" s="440"/>
      <c r="B27" s="499"/>
      <c r="C27" s="1034"/>
      <c r="D27" s="1034"/>
      <c r="E27" s="1034"/>
      <c r="F27" s="1034"/>
      <c r="G27" s="1034"/>
      <c r="H27" s="1034"/>
      <c r="I27" s="1038"/>
      <c r="J27" s="1038"/>
      <c r="K27" s="502"/>
      <c r="L27" s="502"/>
      <c r="M27" s="343"/>
      <c r="N27" s="504" t="s">
        <v>67</v>
      </c>
      <c r="O27" s="344"/>
      <c r="P27" s="504" t="s">
        <v>363</v>
      </c>
      <c r="Q27" s="344"/>
      <c r="R27" s="504" t="s">
        <v>363</v>
      </c>
      <c r="S27" s="353">
        <f ca="1">IF(AY27="E",(M27*O27)+Q27,AO27)</f>
        <v>432000</v>
      </c>
      <c r="T27" s="372"/>
      <c r="U27" s="380"/>
      <c r="V27" s="380"/>
      <c r="W27" s="380"/>
      <c r="X27" s="380"/>
      <c r="Y27" s="380"/>
      <c r="Z27" s="380"/>
      <c r="AA27" s="380"/>
      <c r="AB27" s="380"/>
      <c r="AC27" s="380"/>
      <c r="AD27" s="380"/>
      <c r="AE27" s="380"/>
      <c r="AF27" s="380"/>
      <c r="AG27" s="1266"/>
      <c r="AH27" s="380"/>
      <c r="AI27" s="1086">
        <f ca="1">IF(BB27="E",AG27,AV27)</f>
        <v>0</v>
      </c>
      <c r="AJ27" s="380"/>
      <c r="AK27" s="440"/>
      <c r="AM27" s="460">
        <v>27</v>
      </c>
      <c r="AO27" s="1083">
        <f ca="1">IF($M$13=$AN$12,"",INDIRECT("'"&amp;$AM$20&amp;"'!"&amp;AO$21&amp;$AM27))</f>
        <v>432000</v>
      </c>
      <c r="AP27" s="1081"/>
      <c r="AS27" s="1081"/>
      <c r="AV27" s="1083">
        <f ca="1">IF($M$13=$AN$12,"",INDIRECT("'"&amp;$AM$20&amp;"'!"&amp;AV$21&amp;$AM27))</f>
        <v>0</v>
      </c>
      <c r="AY27" s="1083" t="str">
        <f>IF($M$13=$AN$12,"E",IF(OR(ISNUMBER(M27),ISNUMBER(O27),ISNUMBER(Q27)),"E","U"))</f>
        <v>U</v>
      </c>
      <c r="AZ27" s="1081"/>
      <c r="BA27" s="1081"/>
      <c r="BB27" s="1083" t="str">
        <f>IF($M$13=$AN$12,"E",IF(ISNUMBER(AG27),"E","U"))</f>
        <v>U</v>
      </c>
    </row>
    <row r="28" spans="1:54" ht="12" customHeight="1" x14ac:dyDescent="0.25">
      <c r="A28" s="440"/>
      <c r="B28" s="505"/>
      <c r="C28" s="506"/>
      <c r="D28" s="506"/>
      <c r="E28" s="506"/>
      <c r="F28" s="506"/>
      <c r="G28" s="506"/>
      <c r="H28" s="506"/>
      <c r="I28" s="507"/>
      <c r="J28" s="507"/>
      <c r="K28" s="508"/>
      <c r="L28" s="508"/>
      <c r="M28" s="508"/>
      <c r="N28" s="508"/>
      <c r="O28" s="508"/>
      <c r="P28" s="508"/>
      <c r="Q28" s="508"/>
      <c r="R28" s="508"/>
      <c r="S28" s="382"/>
      <c r="T28" s="509"/>
      <c r="U28" s="378"/>
      <c r="V28" s="378"/>
      <c r="W28" s="378"/>
      <c r="X28" s="378"/>
      <c r="Y28" s="378"/>
      <c r="Z28" s="378"/>
      <c r="AA28" s="378"/>
      <c r="AB28" s="378"/>
      <c r="AC28" s="378"/>
      <c r="AD28" s="378"/>
      <c r="AE28" s="378"/>
      <c r="AF28" s="378"/>
      <c r="AG28" s="378"/>
      <c r="AH28" s="378"/>
      <c r="AI28" s="510"/>
      <c r="AJ28" s="378"/>
      <c r="AK28" s="440"/>
      <c r="AM28" s="460">
        <v>28</v>
      </c>
      <c r="AP28" s="1081"/>
      <c r="AS28" s="1081"/>
      <c r="AZ28" s="1081"/>
      <c r="BA28" s="1081"/>
    </row>
    <row r="29" spans="1:54" ht="12" customHeight="1" x14ac:dyDescent="0.2">
      <c r="A29" s="440"/>
      <c r="B29" s="320"/>
      <c r="C29" s="1036"/>
      <c r="D29" s="1036"/>
      <c r="E29" s="1036"/>
      <c r="F29" s="1036"/>
      <c r="G29" s="1036"/>
      <c r="H29" s="1036"/>
      <c r="I29" s="380"/>
      <c r="J29" s="380"/>
      <c r="K29" s="463"/>
      <c r="L29" s="463"/>
      <c r="M29" s="379"/>
      <c r="N29" s="1033"/>
      <c r="O29" s="379"/>
      <c r="P29" s="379"/>
      <c r="Q29" s="379"/>
      <c r="R29" s="379"/>
      <c r="S29" s="383"/>
      <c r="T29" s="379"/>
      <c r="U29" s="379"/>
      <c r="V29" s="379"/>
      <c r="W29" s="379"/>
      <c r="X29" s="379"/>
      <c r="Y29" s="379"/>
      <c r="Z29" s="379"/>
      <c r="AA29" s="379"/>
      <c r="AB29" s="379"/>
      <c r="AC29" s="379"/>
      <c r="AD29" s="379"/>
      <c r="AE29" s="379"/>
      <c r="AF29" s="379"/>
      <c r="AG29" s="379"/>
      <c r="AH29" s="379"/>
      <c r="AI29" s="481"/>
      <c r="AJ29" s="379"/>
      <c r="AK29" s="440"/>
      <c r="AM29" s="460">
        <v>29</v>
      </c>
      <c r="AP29" s="1081"/>
      <c r="AS29" s="1081"/>
      <c r="AZ29" s="1081"/>
      <c r="BA29" s="1081"/>
    </row>
    <row r="30" spans="1:54" ht="12" customHeight="1" x14ac:dyDescent="0.2">
      <c r="A30" s="440"/>
      <c r="B30" s="320"/>
      <c r="C30" s="1036"/>
      <c r="D30" s="1036"/>
      <c r="E30" s="1036"/>
      <c r="F30" s="1036"/>
      <c r="G30" s="1036"/>
      <c r="H30" s="1036"/>
      <c r="I30" s="380"/>
      <c r="J30" s="380"/>
      <c r="K30" s="463"/>
      <c r="L30" s="463"/>
      <c r="M30" s="1036"/>
      <c r="N30" s="503"/>
      <c r="O30" s="1036"/>
      <c r="P30" s="1036"/>
      <c r="Q30" s="1036"/>
      <c r="R30" s="1036"/>
      <c r="S30" s="384"/>
      <c r="T30" s="372"/>
      <c r="U30" s="372"/>
      <c r="V30" s="372"/>
      <c r="W30" s="372"/>
      <c r="X30" s="372"/>
      <c r="Y30" s="372"/>
      <c r="Z30" s="372"/>
      <c r="AA30" s="372"/>
      <c r="AB30" s="372"/>
      <c r="AC30" s="372"/>
      <c r="AD30" s="372"/>
      <c r="AE30" s="372"/>
      <c r="AF30" s="372"/>
      <c r="AG30" s="372"/>
      <c r="AH30" s="372"/>
      <c r="AI30" s="482"/>
      <c r="AJ30" s="372"/>
      <c r="AK30" s="440"/>
      <c r="AM30" s="460">
        <v>30</v>
      </c>
      <c r="AP30" s="1081"/>
      <c r="AS30" s="1081"/>
      <c r="AZ30" s="1081"/>
      <c r="BA30" s="1081"/>
    </row>
    <row r="31" spans="1:54" ht="14.25" customHeight="1" x14ac:dyDescent="0.25">
      <c r="A31" s="440"/>
      <c r="B31" s="499">
        <v>1</v>
      </c>
      <c r="C31" s="494"/>
      <c r="D31" s="495"/>
      <c r="E31" s="1606" t="s">
        <v>59</v>
      </c>
      <c r="F31" s="1606"/>
      <c r="G31" s="1606"/>
      <c r="H31" s="1606"/>
      <c r="I31" s="1597"/>
      <c r="J31" s="1038"/>
      <c r="K31" s="462"/>
      <c r="L31" s="462"/>
      <c r="M31" s="363"/>
      <c r="N31" s="359"/>
      <c r="O31" s="363"/>
      <c r="P31" s="363"/>
      <c r="Q31" s="363"/>
      <c r="R31" s="363"/>
      <c r="S31" s="385">
        <f ca="1">S32</f>
        <v>89427.599999999991</v>
      </c>
      <c r="T31" s="363"/>
      <c r="U31" s="1036"/>
      <c r="V31" s="1036"/>
      <c r="W31" s="1036"/>
      <c r="X31" s="1036"/>
      <c r="Y31" s="1036"/>
      <c r="Z31" s="1036"/>
      <c r="AA31" s="1036"/>
      <c r="AB31" s="1036"/>
      <c r="AC31" s="1036"/>
      <c r="AD31" s="1036"/>
      <c r="AE31" s="1036"/>
      <c r="AF31" s="1036"/>
      <c r="AG31" s="1036"/>
      <c r="AH31" s="1036"/>
      <c r="AI31" s="358"/>
      <c r="AJ31" s="1036"/>
      <c r="AK31" s="440"/>
      <c r="AM31" s="460">
        <v>31</v>
      </c>
      <c r="AP31" s="1081"/>
      <c r="AS31" s="1081"/>
      <c r="AZ31" s="1081"/>
      <c r="BA31" s="1081"/>
    </row>
    <row r="32" spans="1:54" ht="12" customHeight="1" x14ac:dyDescent="0.25">
      <c r="A32" s="440"/>
      <c r="B32" s="1043"/>
      <c r="C32" s="1041" t="s">
        <v>58</v>
      </c>
      <c r="D32" s="380"/>
      <c r="E32" s="1596" t="s">
        <v>57</v>
      </c>
      <c r="F32" s="1596"/>
      <c r="G32" s="1596"/>
      <c r="H32" s="1596"/>
      <c r="I32" s="1605"/>
      <c r="J32" s="1038"/>
      <c r="K32" s="502"/>
      <c r="L32" s="502"/>
      <c r="M32" s="363"/>
      <c r="N32" s="359"/>
      <c r="O32" s="363"/>
      <c r="P32" s="363"/>
      <c r="Q32" s="363"/>
      <c r="R32" s="363"/>
      <c r="S32" s="355">
        <f ca="1">SUBTOTAL(109,S34)</f>
        <v>89427.599999999991</v>
      </c>
      <c r="T32" s="363"/>
      <c r="U32" s="1036"/>
      <c r="V32" s="1036"/>
      <c r="W32" s="1036"/>
      <c r="X32" s="1036"/>
      <c r="Y32" s="1036"/>
      <c r="Z32" s="1036"/>
      <c r="AA32" s="1036"/>
      <c r="AB32" s="1036"/>
      <c r="AC32" s="1036"/>
      <c r="AD32" s="1036"/>
      <c r="AE32" s="1036"/>
      <c r="AF32" s="1036"/>
      <c r="AG32" s="1036"/>
      <c r="AH32" s="1036"/>
      <c r="AI32" s="358"/>
      <c r="AJ32" s="1036"/>
      <c r="AK32" s="440"/>
      <c r="AM32" s="460">
        <v>32</v>
      </c>
      <c r="AP32" s="1081"/>
      <c r="AS32" s="1081"/>
      <c r="AZ32" s="1081"/>
      <c r="BA32" s="1081"/>
    </row>
    <row r="33" spans="1:54" ht="12" customHeight="1" x14ac:dyDescent="0.25">
      <c r="A33" s="440"/>
      <c r="B33" s="1043"/>
      <c r="C33" s="1041"/>
      <c r="D33" s="1037" t="s">
        <v>56</v>
      </c>
      <c r="E33" s="1599" t="s">
        <v>50</v>
      </c>
      <c r="F33" s="1599"/>
      <c r="G33" s="1599"/>
      <c r="H33" s="1599"/>
      <c r="I33" s="1605"/>
      <c r="J33" s="1038"/>
      <c r="K33" s="502"/>
      <c r="L33" s="502"/>
      <c r="M33" s="363"/>
      <c r="N33" s="359"/>
      <c r="O33" s="363"/>
      <c r="P33" s="363"/>
      <c r="Q33" s="363"/>
      <c r="R33" s="363"/>
      <c r="S33" s="1036"/>
      <c r="T33" s="363"/>
      <c r="U33" s="1036"/>
      <c r="V33" s="1036"/>
      <c r="W33" s="1036"/>
      <c r="X33" s="1036"/>
      <c r="Y33" s="1036"/>
      <c r="Z33" s="1036"/>
      <c r="AA33" s="1036"/>
      <c r="AB33" s="1036"/>
      <c r="AC33" s="1036"/>
      <c r="AD33" s="1036"/>
      <c r="AE33" s="1036"/>
      <c r="AF33" s="1036"/>
      <c r="AG33" s="1036"/>
      <c r="AH33" s="1036"/>
      <c r="AI33" s="358"/>
      <c r="AJ33" s="1036"/>
      <c r="AK33" s="440"/>
      <c r="AM33" s="460">
        <v>33</v>
      </c>
      <c r="AP33" s="1081"/>
      <c r="AS33" s="1081"/>
      <c r="AZ33" s="1081"/>
      <c r="BA33" s="1081"/>
    </row>
    <row r="34" spans="1:54" ht="12" customHeight="1" x14ac:dyDescent="0.25">
      <c r="A34" s="440"/>
      <c r="B34" s="1043"/>
      <c r="C34" s="380"/>
      <c r="D34" s="1598"/>
      <c r="E34" s="1598"/>
      <c r="F34" s="1598"/>
      <c r="G34" s="1598"/>
      <c r="H34" s="1598"/>
      <c r="I34" s="1598"/>
      <c r="J34" s="1038"/>
      <c r="K34" s="502"/>
      <c r="L34" s="502"/>
      <c r="M34" s="343"/>
      <c r="N34" s="359"/>
      <c r="O34" s="344"/>
      <c r="P34" s="363"/>
      <c r="Q34" s="344"/>
      <c r="R34" s="504" t="s">
        <v>363</v>
      </c>
      <c r="S34" s="353">
        <f ca="1">IF(AY34="E",(M34*O34)+Q34,AO34)</f>
        <v>89427.599999999991</v>
      </c>
      <c r="T34" s="363"/>
      <c r="U34" s="363"/>
      <c r="V34" s="363"/>
      <c r="W34" s="363"/>
      <c r="X34" s="363"/>
      <c r="Y34" s="363"/>
      <c r="Z34" s="363"/>
      <c r="AA34" s="363"/>
      <c r="AB34" s="363"/>
      <c r="AC34" s="363"/>
      <c r="AD34" s="363"/>
      <c r="AE34" s="363"/>
      <c r="AF34" s="1036"/>
      <c r="AG34" s="216"/>
      <c r="AH34" s="1036"/>
      <c r="AI34" s="1086">
        <f ca="1">IF(BB34="E",AG34,AV34)</f>
        <v>100</v>
      </c>
      <c r="AJ34" s="1036"/>
      <c r="AK34" s="440"/>
      <c r="AM34" s="460">
        <v>34</v>
      </c>
      <c r="AO34" s="1083">
        <f ca="1">IF($M$13=$AN$12,"",INDIRECT("'"&amp;$AM$20&amp;"'!"&amp;AO$21&amp;$AM34))</f>
        <v>89427.599999999991</v>
      </c>
      <c r="AP34" s="1081"/>
      <c r="AS34" s="1081"/>
      <c r="AV34" s="1083">
        <f ca="1">IF($M$13=$AN$12,"",INDIRECT("'"&amp;$AM$20&amp;"'!"&amp;AV$21&amp;$AM34))</f>
        <v>100</v>
      </c>
      <c r="AY34" s="1083" t="str">
        <f>IF($M$13=$AN$12,"E",IF(OR(ISNUMBER(M34),ISNUMBER(O34),ISNUMBER(Q34)),"E","U"))</f>
        <v>U</v>
      </c>
      <c r="AZ34" s="1081"/>
      <c r="BA34" s="1081"/>
      <c r="BB34" s="1083" t="str">
        <f>IF($M$13=$AN$12,"E",IF(ISNUMBER(AG34),"E","U"))</f>
        <v>U</v>
      </c>
    </row>
    <row r="35" spans="1:54" ht="12" customHeight="1" x14ac:dyDescent="0.25">
      <c r="A35" s="440"/>
      <c r="B35" s="324"/>
      <c r="C35" s="378"/>
      <c r="D35" s="515"/>
      <c r="E35" s="515"/>
      <c r="F35" s="515"/>
      <c r="G35" s="516"/>
      <c r="H35" s="1598"/>
      <c r="I35" s="1598"/>
      <c r="J35" s="507"/>
      <c r="K35" s="508"/>
      <c r="L35" s="508"/>
      <c r="M35" s="371"/>
      <c r="N35" s="517"/>
      <c r="O35" s="371"/>
      <c r="P35" s="371"/>
      <c r="Q35" s="371"/>
      <c r="R35" s="371"/>
      <c r="S35" s="387"/>
      <c r="T35" s="371"/>
      <c r="U35" s="371"/>
      <c r="V35" s="371"/>
      <c r="W35" s="371"/>
      <c r="X35" s="371"/>
      <c r="Y35" s="371"/>
      <c r="Z35" s="371"/>
      <c r="AA35" s="371"/>
      <c r="AB35" s="371"/>
      <c r="AC35" s="371"/>
      <c r="AD35" s="371"/>
      <c r="AE35" s="371"/>
      <c r="AF35" s="370"/>
      <c r="AG35" s="370"/>
      <c r="AH35" s="370"/>
      <c r="AI35" s="373"/>
      <c r="AJ35" s="370"/>
      <c r="AK35" s="440"/>
      <c r="AM35" s="460">
        <v>35</v>
      </c>
      <c r="AP35" s="1081"/>
      <c r="AS35" s="1081"/>
      <c r="AZ35" s="1081"/>
      <c r="BA35" s="1081"/>
    </row>
    <row r="36" spans="1:54" s="327" customFormat="1" ht="39.950000000000003" customHeight="1" x14ac:dyDescent="0.2">
      <c r="A36" s="440"/>
      <c r="B36" s="1164"/>
      <c r="C36" s="1165"/>
      <c r="D36" s="1165"/>
      <c r="E36" s="1165"/>
      <c r="F36" s="1165"/>
      <c r="G36" s="1165"/>
      <c r="H36" s="1165"/>
      <c r="I36" s="1165"/>
      <c r="J36" s="1165"/>
      <c r="K36" s="1165"/>
      <c r="L36" s="1165"/>
      <c r="M36" s="1165"/>
      <c r="N36" s="1165"/>
      <c r="O36" s="1165"/>
      <c r="P36" s="1165"/>
      <c r="Q36" s="1165"/>
      <c r="R36" s="1165"/>
      <c r="S36" s="1165"/>
      <c r="T36" s="1165"/>
      <c r="U36" s="440"/>
      <c r="V36" s="440"/>
      <c r="W36" s="440"/>
      <c r="X36" s="440"/>
      <c r="Y36" s="440"/>
      <c r="Z36" s="440"/>
      <c r="AA36" s="440"/>
      <c r="AB36" s="440"/>
      <c r="AC36" s="440"/>
      <c r="AD36" s="440"/>
      <c r="AE36" s="440"/>
      <c r="AF36" s="440"/>
      <c r="AG36" s="440"/>
      <c r="AH36" s="440"/>
      <c r="AI36" s="440"/>
      <c r="AJ36" s="440"/>
      <c r="AK36" s="440"/>
      <c r="AM36" s="460">
        <v>36</v>
      </c>
    </row>
    <row r="37" spans="1:54" ht="12" customHeight="1" x14ac:dyDescent="0.25">
      <c r="A37" s="440"/>
      <c r="B37" s="1042"/>
      <c r="C37" s="1036"/>
      <c r="D37" s="1037"/>
      <c r="E37" s="515"/>
      <c r="F37" s="515"/>
      <c r="G37" s="515"/>
      <c r="H37" s="515"/>
      <c r="I37" s="516"/>
      <c r="J37" s="1598"/>
      <c r="K37" s="1598"/>
      <c r="L37" s="1033"/>
      <c r="M37" s="379"/>
      <c r="N37" s="1033"/>
      <c r="O37" s="379"/>
      <c r="P37" s="379"/>
      <c r="Q37" s="379"/>
      <c r="R37" s="379"/>
      <c r="S37" s="379"/>
      <c r="T37" s="379"/>
      <c r="U37" s="1598"/>
      <c r="V37" s="1598"/>
      <c r="W37" s="1033"/>
      <c r="X37" s="1598"/>
      <c r="Y37" s="1598"/>
      <c r="Z37" s="379"/>
      <c r="AA37" s="1598"/>
      <c r="AB37" s="1598"/>
      <c r="AC37" s="379"/>
      <c r="AD37" s="481"/>
      <c r="AE37" s="481"/>
      <c r="AF37" s="481"/>
      <c r="AG37" s="481"/>
      <c r="AH37" s="481"/>
      <c r="AI37" s="481"/>
      <c r="AJ37" s="481"/>
      <c r="AK37" s="440"/>
      <c r="AM37" s="460">
        <v>37</v>
      </c>
      <c r="AP37" s="1081"/>
      <c r="AS37" s="1081"/>
      <c r="AZ37" s="1081"/>
      <c r="BA37" s="1081"/>
    </row>
    <row r="38" spans="1:54" ht="12" customHeight="1" x14ac:dyDescent="0.25">
      <c r="A38" s="440"/>
      <c r="B38" s="1042"/>
      <c r="C38" s="1036"/>
      <c r="D38" s="1037"/>
      <c r="E38" s="515"/>
      <c r="F38" s="515"/>
      <c r="G38" s="515"/>
      <c r="H38" s="515"/>
      <c r="I38" s="516"/>
      <c r="J38" s="1598"/>
      <c r="K38" s="1598"/>
      <c r="L38" s="1033"/>
      <c r="M38" s="1036"/>
      <c r="N38" s="503"/>
      <c r="O38" s="1036"/>
      <c r="P38" s="1036"/>
      <c r="Q38" s="1036"/>
      <c r="R38" s="1036"/>
      <c r="S38" s="372"/>
      <c r="T38" s="372"/>
      <c r="U38" s="372"/>
      <c r="V38" s="372"/>
      <c r="W38" s="372"/>
      <c r="X38" s="372"/>
      <c r="Y38" s="372"/>
      <c r="Z38" s="372"/>
      <c r="AA38" s="372"/>
      <c r="AB38" s="372"/>
      <c r="AC38" s="372"/>
      <c r="AD38" s="482"/>
      <c r="AE38" s="482"/>
      <c r="AF38" s="482"/>
      <c r="AG38" s="482"/>
      <c r="AH38" s="482"/>
      <c r="AI38" s="482"/>
      <c r="AJ38" s="482"/>
      <c r="AK38" s="440"/>
      <c r="AM38" s="460">
        <v>38</v>
      </c>
      <c r="AP38" s="1081"/>
      <c r="AS38" s="1081"/>
      <c r="AZ38" s="1081"/>
      <c r="BA38" s="1081"/>
    </row>
    <row r="39" spans="1:54" ht="14.25" customHeight="1" x14ac:dyDescent="0.25">
      <c r="A39" s="440"/>
      <c r="B39" s="1042" t="s">
        <v>144</v>
      </c>
      <c r="C39" s="494"/>
      <c r="D39" s="1037"/>
      <c r="E39" s="1606" t="s">
        <v>143</v>
      </c>
      <c r="F39" s="1606"/>
      <c r="G39" s="1606"/>
      <c r="H39" s="1606"/>
      <c r="I39" s="1597"/>
      <c r="J39" s="1038"/>
      <c r="K39" s="462"/>
      <c r="L39" s="462"/>
      <c r="M39" s="1036"/>
      <c r="N39" s="503"/>
      <c r="O39" s="1036"/>
      <c r="P39" s="1036"/>
      <c r="Q39" s="1036"/>
      <c r="R39" s="1036"/>
      <c r="S39" s="385">
        <f ca="1">S40+S53+S73+S92+S102</f>
        <v>564080.79599999997</v>
      </c>
      <c r="T39" s="363"/>
      <c r="U39" s="358"/>
      <c r="V39" s="358"/>
      <c r="W39" s="358"/>
      <c r="X39" s="358"/>
      <c r="Y39" s="358"/>
      <c r="Z39" s="363"/>
      <c r="AA39" s="358"/>
      <c r="AB39" s="358"/>
      <c r="AC39" s="358"/>
      <c r="AD39" s="358"/>
      <c r="AE39" s="358"/>
      <c r="AF39" s="358"/>
      <c r="AG39" s="358"/>
      <c r="AH39" s="358"/>
      <c r="AI39" s="358"/>
      <c r="AJ39" s="358"/>
      <c r="AK39" s="440"/>
      <c r="AM39" s="460">
        <v>39</v>
      </c>
      <c r="AP39" s="1081"/>
      <c r="AS39" s="1081"/>
      <c r="AZ39" s="1081"/>
      <c r="BA39" s="1081"/>
    </row>
    <row r="40" spans="1:54" ht="14.25" customHeight="1" x14ac:dyDescent="0.25">
      <c r="A40" s="440"/>
      <c r="B40" s="1042"/>
      <c r="C40" s="1036" t="s">
        <v>145</v>
      </c>
      <c r="D40" s="494"/>
      <c r="E40" s="1596" t="s">
        <v>133</v>
      </c>
      <c r="F40" s="1596"/>
      <c r="G40" s="1596"/>
      <c r="H40" s="1596"/>
      <c r="I40" s="1597"/>
      <c r="J40" s="1038"/>
      <c r="K40" s="462"/>
      <c r="L40" s="462"/>
      <c r="M40" s="1037"/>
      <c r="N40" s="519"/>
      <c r="O40" s="380"/>
      <c r="P40" s="1037"/>
      <c r="Q40" s="1037"/>
      <c r="R40" s="1037"/>
      <c r="S40" s="355">
        <f ca="1">S41+S47</f>
        <v>165053.21999999997</v>
      </c>
      <c r="T40" s="363"/>
      <c r="U40" s="358"/>
      <c r="V40" s="358"/>
      <c r="W40" s="358"/>
      <c r="X40" s="358"/>
      <c r="Y40" s="358"/>
      <c r="Z40" s="363"/>
      <c r="AA40" s="358"/>
      <c r="AB40" s="358"/>
      <c r="AC40" s="358"/>
      <c r="AD40" s="358"/>
      <c r="AE40" s="358"/>
      <c r="AF40" s="358"/>
      <c r="AG40" s="358"/>
      <c r="AH40" s="358"/>
      <c r="AI40" s="358"/>
      <c r="AJ40" s="358"/>
      <c r="AK40" s="440"/>
      <c r="AM40" s="460">
        <v>40</v>
      </c>
      <c r="AP40" s="1081"/>
      <c r="AS40" s="1081"/>
      <c r="AZ40" s="1081"/>
      <c r="BA40" s="1081"/>
    </row>
    <row r="41" spans="1:54" ht="12" customHeight="1" x14ac:dyDescent="0.25">
      <c r="A41" s="440"/>
      <c r="B41" s="1042"/>
      <c r="C41" s="1036"/>
      <c r="D41" s="1037" t="s">
        <v>146</v>
      </c>
      <c r="E41" s="1599" t="s">
        <v>139</v>
      </c>
      <c r="F41" s="1599"/>
      <c r="G41" s="1599"/>
      <c r="H41" s="1599"/>
      <c r="I41" s="1597"/>
      <c r="J41" s="1038"/>
      <c r="K41" s="1038"/>
      <c r="L41" s="503"/>
      <c r="M41" s="1037"/>
      <c r="N41" s="519"/>
      <c r="O41" s="1037"/>
      <c r="P41" s="1038"/>
      <c r="Q41" s="1038"/>
      <c r="R41" s="1038"/>
      <c r="S41" s="388">
        <f ca="1">SUBTOTAL(109,S43:S46)</f>
        <v>165053.21999999997</v>
      </c>
      <c r="T41" s="363"/>
      <c r="U41" s="358"/>
      <c r="V41" s="358"/>
      <c r="W41" s="358"/>
      <c r="X41" s="358"/>
      <c r="Y41" s="358"/>
      <c r="Z41" s="358"/>
      <c r="AA41" s="358"/>
      <c r="AB41" s="358"/>
      <c r="AC41" s="358"/>
      <c r="AD41" s="358"/>
      <c r="AE41" s="358"/>
      <c r="AF41" s="358"/>
      <c r="AG41" s="358"/>
      <c r="AH41" s="358"/>
      <c r="AI41" s="358"/>
      <c r="AJ41" s="358"/>
      <c r="AK41" s="440"/>
      <c r="AM41" s="460">
        <v>41</v>
      </c>
      <c r="AP41" s="1081"/>
      <c r="AS41" s="1081"/>
      <c r="AZ41" s="1081"/>
      <c r="BA41" s="1081"/>
    </row>
    <row r="42" spans="1:54" ht="12" customHeight="1" x14ac:dyDescent="0.25">
      <c r="A42" s="440"/>
      <c r="B42" s="1042"/>
      <c r="C42" s="1036"/>
      <c r="D42" s="1037"/>
      <c r="E42" s="1037"/>
      <c r="F42" s="1037"/>
      <c r="G42" s="1037"/>
      <c r="H42" s="1037"/>
      <c r="I42" s="1035"/>
      <c r="J42" s="1603" t="s">
        <v>170</v>
      </c>
      <c r="K42" s="1603"/>
      <c r="L42" s="503"/>
      <c r="M42" s="1037"/>
      <c r="N42" s="519"/>
      <c r="O42" s="1037"/>
      <c r="P42" s="1038"/>
      <c r="Q42" s="1038"/>
      <c r="R42" s="1038"/>
      <c r="S42" s="388"/>
      <c r="T42" s="363"/>
      <c r="U42" s="358"/>
      <c r="V42" s="358"/>
      <c r="W42" s="358"/>
      <c r="X42" s="358"/>
      <c r="Y42" s="358"/>
      <c r="Z42" s="358"/>
      <c r="AA42" s="358"/>
      <c r="AB42" s="358"/>
      <c r="AC42" s="358"/>
      <c r="AD42" s="358"/>
      <c r="AE42" s="358"/>
      <c r="AF42" s="358"/>
      <c r="AG42" s="358"/>
      <c r="AH42" s="358"/>
      <c r="AI42" s="358"/>
      <c r="AJ42" s="358"/>
      <c r="AK42" s="440"/>
      <c r="AM42" s="460">
        <v>42</v>
      </c>
      <c r="AP42" s="1081"/>
      <c r="AS42" s="1081"/>
      <c r="AZ42" s="1081"/>
      <c r="BA42" s="1081"/>
    </row>
    <row r="43" spans="1:54" ht="12" customHeight="1" x14ac:dyDescent="0.2">
      <c r="A43" s="440"/>
      <c r="B43" s="1042"/>
      <c r="C43" s="1036"/>
      <c r="D43" s="1037"/>
      <c r="E43" s="1084" t="str">
        <f ca="1">IF(AX43="E","",AN43)</f>
        <v>Spengler und Schwarzdecker LD30</v>
      </c>
      <c r="F43" s="1085"/>
      <c r="G43" s="1264"/>
      <c r="H43" s="1264"/>
      <c r="I43" s="1265"/>
      <c r="J43" s="638"/>
      <c r="K43" s="520" t="s">
        <v>177</v>
      </c>
      <c r="L43" s="521"/>
      <c r="M43" s="338"/>
      <c r="N43" s="521" t="s">
        <v>67</v>
      </c>
      <c r="O43" s="344"/>
      <c r="P43" s="504" t="s">
        <v>68</v>
      </c>
      <c r="Q43" s="344"/>
      <c r="R43" s="522" t="s">
        <v>363</v>
      </c>
      <c r="S43" s="353">
        <f ca="1">IF(AY43="E",(M43*O43)+Q43,AO43)</f>
        <v>71565.119999999995</v>
      </c>
      <c r="T43" s="523"/>
      <c r="U43" s="350"/>
      <c r="V43" s="308"/>
      <c r="W43" s="1090" t="str">
        <f ca="1">IF(AZ43="E",IF(AND(V43&lt;&gt;0,U43&lt;&gt;0),"X",IF(AND(V43&lt;&gt;0,U43=0),"A",IF(AND(V43=0,U43&lt;&gt;0),"P",""))),AR43)</f>
        <v/>
      </c>
      <c r="X43" s="1103">
        <f ca="1">IF(AZ43="E",IFERROR(IF(W43="X",0,IF(U43&gt;0,U43,V43/S43)),0),
IFERROR(IF(OR(AR43="X",AR43=0),0,
IF(AR43="P",AP43,IF(AR43="A",AQ43/S43,0))),0))</f>
        <v>0</v>
      </c>
      <c r="Y43" s="1120">
        <f ca="1">IF(AZ43="E",IFERROR(IF(W43="X",0,IF(V43&gt;0,V43,S43*U43)),0),
IFERROR(IF(OR(AR43="X",AR43="0"),0,IF(AR43="A",AQ43,S43*AP43)),0))</f>
        <v>0</v>
      </c>
      <c r="Z43" s="524"/>
      <c r="AA43" s="350"/>
      <c r="AB43" s="308"/>
      <c r="AC43" s="1090" t="str">
        <f ca="1">IF(BA43="E",IF(AND(AB43&lt;&gt;0,AA43&lt;&gt;0),"X",IF(AND(AB43&lt;&gt;0,AA43=0),"A",IF(AND(AB43=0,AA43&lt;&gt;0),"P",""))),AU43)</f>
        <v>A</v>
      </c>
      <c r="AD43" s="1103">
        <f ca="1">IF(BA43="E",IFERROR(IF(AC43="X",0,IF(AA43&gt;0,AA43,AB43/S43)),0),
IFERROR(IF(OR(AU43="X",AU43=0),0,
IF(AU43="P",AS43,IF(AU43="A",AT43/S43,0))),0))</f>
        <v>5.9945403570901585E-4</v>
      </c>
      <c r="AE43" s="1120">
        <f ca="1">IF(BA43="E",IFERROR(IF(AC43="X",0,IF(AB43&gt;0,AB43,S43*AA43)),0),
IFERROR(IF(OR(AU43="X",AU43=0),0,
IF(AU43="A",AT43,S43*AS43)),0))</f>
        <v>42.9</v>
      </c>
      <c r="AF43" s="525"/>
      <c r="AG43" s="637"/>
      <c r="AH43" s="525"/>
      <c r="AI43" s="1086">
        <f ca="1">IF(BB43="E",AG43,AV43)</f>
        <v>30</v>
      </c>
      <c r="AJ43" s="380"/>
      <c r="AK43" s="440"/>
      <c r="AM43" s="460">
        <v>43</v>
      </c>
      <c r="AN43" s="1087" t="str">
        <f ca="1">IF($M$13=$AN$12,"",IF(ISTEXT(INDIRECT("'"&amp;$AM$20&amp;"'!"&amp;AN$21&amp;$AM43)),INDIRECT("'"&amp;$AM$20&amp;"'!"&amp;AN$21&amp;$AM43),INDIRECT("'"&amp;$AM$20&amp;"'!"&amp;AN$22&amp;$AM43)))</f>
        <v>Spengler und Schwarzdecker LD30</v>
      </c>
      <c r="AO43" s="1083">
        <f t="shared" ref="AO43:AV43" ca="1" si="0">IF($M$13=$AN$12,"",INDIRECT("'"&amp;$AM$20&amp;"'!"&amp;AO$21&amp;$AM43))</f>
        <v>71565.119999999995</v>
      </c>
      <c r="AP43" s="356">
        <f t="shared" ca="1" si="0"/>
        <v>0</v>
      </c>
      <c r="AQ43" s="357">
        <f t="shared" ca="1" si="0"/>
        <v>0</v>
      </c>
      <c r="AR43" s="524" t="str">
        <f t="shared" ca="1" si="0"/>
        <v/>
      </c>
      <c r="AS43" s="356">
        <f t="shared" ca="1" si="0"/>
        <v>5.9945403570901585E-4</v>
      </c>
      <c r="AT43" s="357">
        <f t="shared" ca="1" si="0"/>
        <v>42.9</v>
      </c>
      <c r="AU43" s="524" t="str">
        <f t="shared" ca="1" si="0"/>
        <v>A</v>
      </c>
      <c r="AV43" s="1083">
        <f t="shared" ca="1" si="0"/>
        <v>30</v>
      </c>
      <c r="AX43" s="1083" t="str">
        <f>IF($M$13=$AN$12,"E",IF(ISTEXT(F43),"E","U"))</f>
        <v>U</v>
      </c>
      <c r="AY43" s="1083" t="str">
        <f>IF($M$13=$AN$12,"E",IF(OR(ISNUMBER(M43),ISNUMBER(O43),ISNUMBER(Q43)),"E","U"))</f>
        <v>U</v>
      </c>
      <c r="AZ43" s="1083" t="str">
        <f>IF($M$13=$AN$12,"E",IF(OR(ISNUMBER(U43),ISNUMBER(V43)),"E","U"))</f>
        <v>U</v>
      </c>
      <c r="BA43" s="1083" t="str">
        <f>IF($M$13=$AN$12,"E",IF(OR(ISNUMBER(AA43),ISNUMBER(AB43)),"E","U"))</f>
        <v>U</v>
      </c>
      <c r="BB43" s="1083" t="str">
        <f>IF($M$13=$AN$12,"E",IF(ISNUMBER(AG43),"E","U"))</f>
        <v>U</v>
      </c>
    </row>
    <row r="44" spans="1:54" ht="12" customHeight="1" x14ac:dyDescent="0.2">
      <c r="A44" s="440"/>
      <c r="B44" s="1042"/>
      <c r="C44" s="1036"/>
      <c r="D44" s="1037"/>
      <c r="E44" s="1084" t="str">
        <f ca="1">IF(AX44="E","",AN44)</f>
        <v xml:space="preserve">  für Dichtungen und Öffnungen</v>
      </c>
      <c r="F44" s="1085"/>
      <c r="G44" s="1264"/>
      <c r="H44" s="1264"/>
      <c r="I44" s="1265"/>
      <c r="J44" s="638"/>
      <c r="K44" s="520" t="s">
        <v>177</v>
      </c>
      <c r="L44" s="521"/>
      <c r="M44" s="342"/>
      <c r="N44" s="521" t="s">
        <v>67</v>
      </c>
      <c r="O44" s="344"/>
      <c r="P44" s="504" t="s">
        <v>68</v>
      </c>
      <c r="Q44" s="344"/>
      <c r="R44" s="522" t="s">
        <v>363</v>
      </c>
      <c r="S44" s="353">
        <f ca="1">IF(AY44="E",(M44*O44)+Q44,AO44)</f>
        <v>0</v>
      </c>
      <c r="T44" s="523"/>
      <c r="U44" s="350"/>
      <c r="V44" s="308"/>
      <c r="W44" s="1090" t="str">
        <f t="shared" ref="W44:W46" ca="1" si="1">IF(AZ44="E",IF(AND(V44&lt;&gt;0,U44&lt;&gt;0),"X",IF(AND(V44&lt;&gt;0,U44=0),"A",IF(AND(V44=0,U44&lt;&gt;0),"P",""))),AR44)</f>
        <v/>
      </c>
      <c r="X44" s="1103">
        <f t="shared" ref="X44:X46" ca="1" si="2">IF(AZ44="E",IFERROR(IF(W44="X",0,IF(U44&gt;0,U44,V44/S44)),0),
IFERROR(IF(OR(AR44="X",AR44=0),0,
IF(AR44="P",AP44,IF(AR44="A",AQ44/S44,0))),0))</f>
        <v>0</v>
      </c>
      <c r="Y44" s="1120">
        <f t="shared" ref="Y44:Y46" ca="1" si="3">IF(AZ44="E",IFERROR(IF(W44="X",0,IF(V44&gt;0,V44,S44*U44)),0),
IFERROR(IF(OR(AR44="X",AR44="0"),0,IF(AR44="A",AQ44,S44*AP44)),0))</f>
        <v>0</v>
      </c>
      <c r="Z44" s="524"/>
      <c r="AA44" s="350"/>
      <c r="AB44" s="308"/>
      <c r="AC44" s="1090" t="str">
        <f t="shared" ref="AC44:AC46" ca="1" si="4">IF(BA44="E",IF(AND(AB44&lt;&gt;0,AA44&lt;&gt;0),"X",IF(AND(AB44&lt;&gt;0,AA44=0),"A",IF(AND(AB44=0,AA44&lt;&gt;0),"P",""))),AU44)</f>
        <v/>
      </c>
      <c r="AD44" s="1103">
        <f t="shared" ref="AD44:AD46" ca="1" si="5">IF(BA44="E",IFERROR(IF(AC44="X",0,IF(AA44&gt;0,AA44,AB44/S44)),0),
IFERROR(IF(OR(AU44="X",AU44=0),0,
IF(AU44="P",AS44,IF(AU44="A",AT44/S44,0))),0))</f>
        <v>0</v>
      </c>
      <c r="AE44" s="1120">
        <f t="shared" ref="AE44:AE46" ca="1" si="6">IF(BA44="E",IFERROR(IF(AC44="X",0,IF(AB44&gt;0,AB44,S44*AA44)),0),
IFERROR(IF(OR(AU44="X",AU44=0),0,
IF(AU44="A",AT44,S44*AS44)),0))</f>
        <v>0</v>
      </c>
      <c r="AF44" s="525"/>
      <c r="AG44" s="637"/>
      <c r="AH44" s="525"/>
      <c r="AI44" s="1086">
        <f ca="1">IF(BB44="E",AG44,AV44)</f>
        <v>0</v>
      </c>
      <c r="AJ44" s="380"/>
      <c r="AK44" s="440"/>
      <c r="AM44" s="460">
        <v>44</v>
      </c>
      <c r="AN44" s="1087" t="str">
        <f t="shared" ref="AN44:AN46" ca="1" si="7">IF($M$13=$AN$12,"",IF(ISTEXT(INDIRECT("'"&amp;$AM$20&amp;"'!"&amp;AN$21&amp;$AM44)),INDIRECT("'"&amp;$AM$20&amp;"'!"&amp;AN$21&amp;$AM44),INDIRECT("'"&amp;$AM$20&amp;"'!"&amp;AN$22&amp;$AM44)))</f>
        <v xml:space="preserve">  für Dichtungen und Öffnungen</v>
      </c>
      <c r="AO44" s="1083">
        <f t="shared" ref="AO44:AV46" ca="1" si="8">IF($M$13=$AN$12,"",INDIRECT("'"&amp;$AM$20&amp;"'!"&amp;AO$21&amp;$AM44))</f>
        <v>0</v>
      </c>
      <c r="AP44" s="356">
        <f t="shared" ca="1" si="8"/>
        <v>0</v>
      </c>
      <c r="AQ44" s="357">
        <f t="shared" ca="1" si="8"/>
        <v>0</v>
      </c>
      <c r="AR44" s="524" t="str">
        <f t="shared" ca="1" si="8"/>
        <v/>
      </c>
      <c r="AS44" s="356">
        <f t="shared" ca="1" si="8"/>
        <v>0</v>
      </c>
      <c r="AT44" s="357">
        <f t="shared" ca="1" si="8"/>
        <v>0</v>
      </c>
      <c r="AU44" s="524" t="str">
        <f t="shared" ca="1" si="8"/>
        <v/>
      </c>
      <c r="AV44" s="1083">
        <f t="shared" ca="1" si="8"/>
        <v>0</v>
      </c>
      <c r="AX44" s="1083" t="str">
        <f t="shared" ref="AX44:AX46" si="9">IF($M$13=$AN$12,"E",IF(ISTEXT(F44),"E","U"))</f>
        <v>U</v>
      </c>
      <c r="AY44" s="1083" t="str">
        <f t="shared" ref="AY44:AY46" si="10">IF($M$13=$AN$12,"E",IF(OR(ISNUMBER(M44),ISNUMBER(O44),ISNUMBER(Q44)),"E","U"))</f>
        <v>U</v>
      </c>
      <c r="AZ44" s="1083" t="str">
        <f t="shared" ref="AZ44:AZ46" si="11">IF($M$13=$AN$12,"E",IF(OR(ISNUMBER(U44),ISNUMBER(V44)),"E","U"))</f>
        <v>U</v>
      </c>
      <c r="BA44" s="1083" t="str">
        <f t="shared" ref="BA44:BA46" si="12">IF($M$13=$AN$12,"E",IF(OR(ISNUMBER(AA44),ISNUMBER(AB44)),"E","U"))</f>
        <v>U</v>
      </c>
      <c r="BB44" s="1083" t="str">
        <f t="shared" ref="BB44:BB46" si="13">IF($M$13=$AN$12,"E",IF(ISNUMBER(AG44),"E","U"))</f>
        <v>U</v>
      </c>
    </row>
    <row r="45" spans="1:54" ht="12" customHeight="1" x14ac:dyDescent="0.2">
      <c r="A45" s="440"/>
      <c r="B45" s="1042"/>
      <c r="C45" s="1036"/>
      <c r="D45" s="1037"/>
      <c r="E45" s="1084" t="str">
        <f ca="1">IF(AX45="E","",AN45)</f>
        <v>Spengler und Schwarzdecker LD50</v>
      </c>
      <c r="F45" s="1085"/>
      <c r="G45" s="1264"/>
      <c r="H45" s="1264"/>
      <c r="I45" s="1265"/>
      <c r="J45" s="638"/>
      <c r="K45" s="520" t="s">
        <v>177</v>
      </c>
      <c r="L45" s="521"/>
      <c r="M45" s="342"/>
      <c r="N45" s="521" t="s">
        <v>67</v>
      </c>
      <c r="O45" s="344"/>
      <c r="P45" s="504" t="s">
        <v>68</v>
      </c>
      <c r="Q45" s="344"/>
      <c r="R45" s="522" t="s">
        <v>363</v>
      </c>
      <c r="S45" s="353">
        <f ca="1">IF(AY45="E",(M45*O45)+Q45,AO45)</f>
        <v>93488.099999999991</v>
      </c>
      <c r="T45" s="523"/>
      <c r="U45" s="350"/>
      <c r="V45" s="308"/>
      <c r="W45" s="1090" t="str">
        <f t="shared" ca="1" si="1"/>
        <v/>
      </c>
      <c r="X45" s="1103">
        <f t="shared" ca="1" si="2"/>
        <v>0</v>
      </c>
      <c r="Y45" s="1120">
        <f t="shared" ca="1" si="3"/>
        <v>0</v>
      </c>
      <c r="Z45" s="524"/>
      <c r="AA45" s="350"/>
      <c r="AB45" s="308"/>
      <c r="AC45" s="1090" t="str">
        <f t="shared" ca="1" si="4"/>
        <v/>
      </c>
      <c r="AD45" s="1103">
        <f t="shared" ca="1" si="5"/>
        <v>0</v>
      </c>
      <c r="AE45" s="1120">
        <f t="shared" ca="1" si="6"/>
        <v>0</v>
      </c>
      <c r="AF45" s="525"/>
      <c r="AG45" s="637"/>
      <c r="AH45" s="525"/>
      <c r="AI45" s="1086">
        <f ca="1">IF(BB45="E",AG45,AV45)</f>
        <v>50</v>
      </c>
      <c r="AJ45" s="380"/>
      <c r="AK45" s="440"/>
      <c r="AM45" s="460">
        <v>45</v>
      </c>
      <c r="AN45" s="1087" t="str">
        <f t="shared" ca="1" si="7"/>
        <v>Spengler und Schwarzdecker LD50</v>
      </c>
      <c r="AO45" s="1083">
        <f t="shared" ca="1" si="8"/>
        <v>93488.099999999991</v>
      </c>
      <c r="AP45" s="356">
        <f t="shared" ca="1" si="8"/>
        <v>0</v>
      </c>
      <c r="AQ45" s="357">
        <f t="shared" ca="1" si="8"/>
        <v>0</v>
      </c>
      <c r="AR45" s="524" t="str">
        <f t="shared" ca="1" si="8"/>
        <v/>
      </c>
      <c r="AS45" s="356">
        <f t="shared" ca="1" si="8"/>
        <v>0</v>
      </c>
      <c r="AT45" s="357">
        <f t="shared" ca="1" si="8"/>
        <v>0</v>
      </c>
      <c r="AU45" s="524" t="str">
        <f t="shared" ca="1" si="8"/>
        <v/>
      </c>
      <c r="AV45" s="1083">
        <f t="shared" ca="1" si="8"/>
        <v>50</v>
      </c>
      <c r="AX45" s="1083" t="str">
        <f t="shared" si="9"/>
        <v>U</v>
      </c>
      <c r="AY45" s="1083" t="str">
        <f t="shared" si="10"/>
        <v>U</v>
      </c>
      <c r="AZ45" s="1083" t="str">
        <f t="shared" si="11"/>
        <v>U</v>
      </c>
      <c r="BA45" s="1083" t="str">
        <f t="shared" si="12"/>
        <v>U</v>
      </c>
      <c r="BB45" s="1083" t="str">
        <f t="shared" si="13"/>
        <v>U</v>
      </c>
    </row>
    <row r="46" spans="1:54" ht="12" customHeight="1" x14ac:dyDescent="0.2">
      <c r="A46" s="440"/>
      <c r="B46" s="1042"/>
      <c r="C46" s="1036"/>
      <c r="D46" s="1037"/>
      <c r="E46" s="1084" t="str">
        <f ca="1">IF(AX46="E","",AN46)</f>
        <v xml:space="preserve"> Für Dämmschicht und Verblechung</v>
      </c>
      <c r="F46" s="1085"/>
      <c r="G46" s="1264"/>
      <c r="H46" s="1264"/>
      <c r="I46" s="1265"/>
      <c r="J46" s="638"/>
      <c r="K46" s="520" t="s">
        <v>177</v>
      </c>
      <c r="L46" s="521"/>
      <c r="M46" s="342"/>
      <c r="N46" s="521" t="s">
        <v>67</v>
      </c>
      <c r="O46" s="344"/>
      <c r="P46" s="504" t="s">
        <v>68</v>
      </c>
      <c r="Q46" s="344"/>
      <c r="R46" s="522" t="s">
        <v>363</v>
      </c>
      <c r="S46" s="353">
        <f ca="1">IF(AY46="E",(M46*O46)+Q46,AO46)</f>
        <v>0</v>
      </c>
      <c r="T46" s="523"/>
      <c r="U46" s="350"/>
      <c r="V46" s="308"/>
      <c r="W46" s="1090" t="str">
        <f t="shared" ca="1" si="1"/>
        <v/>
      </c>
      <c r="X46" s="1103">
        <f t="shared" ca="1" si="2"/>
        <v>0</v>
      </c>
      <c r="Y46" s="1120">
        <f t="shared" ca="1" si="3"/>
        <v>0</v>
      </c>
      <c r="Z46" s="524"/>
      <c r="AA46" s="350"/>
      <c r="AB46" s="308"/>
      <c r="AC46" s="1090" t="str">
        <f t="shared" ca="1" si="4"/>
        <v/>
      </c>
      <c r="AD46" s="1103">
        <f t="shared" ca="1" si="5"/>
        <v>0</v>
      </c>
      <c r="AE46" s="1120">
        <f t="shared" ca="1" si="6"/>
        <v>0</v>
      </c>
      <c r="AF46" s="525"/>
      <c r="AG46" s="637"/>
      <c r="AH46" s="525"/>
      <c r="AI46" s="1086">
        <f ca="1">IF(BB46="E",AG46,AV46)</f>
        <v>0</v>
      </c>
      <c r="AJ46" s="380"/>
      <c r="AK46" s="440"/>
      <c r="AM46" s="460">
        <v>46</v>
      </c>
      <c r="AN46" s="1087" t="str">
        <f t="shared" ca="1" si="7"/>
        <v xml:space="preserve"> Für Dämmschicht und Verblechung</v>
      </c>
      <c r="AO46" s="1083">
        <f t="shared" ca="1" si="8"/>
        <v>0</v>
      </c>
      <c r="AP46" s="356">
        <f t="shared" ca="1" si="8"/>
        <v>0</v>
      </c>
      <c r="AQ46" s="357">
        <f t="shared" ca="1" si="8"/>
        <v>0</v>
      </c>
      <c r="AR46" s="524" t="str">
        <f t="shared" ca="1" si="8"/>
        <v/>
      </c>
      <c r="AS46" s="356">
        <f t="shared" ca="1" si="8"/>
        <v>0</v>
      </c>
      <c r="AT46" s="357">
        <f t="shared" ca="1" si="8"/>
        <v>0</v>
      </c>
      <c r="AU46" s="524" t="str">
        <f t="shared" ca="1" si="8"/>
        <v/>
      </c>
      <c r="AV46" s="1083">
        <f t="shared" ca="1" si="8"/>
        <v>0</v>
      </c>
      <c r="AX46" s="1083" t="str">
        <f t="shared" si="9"/>
        <v>U</v>
      </c>
      <c r="AY46" s="1083" t="str">
        <f t="shared" si="10"/>
        <v>U</v>
      </c>
      <c r="AZ46" s="1083" t="str">
        <f t="shared" si="11"/>
        <v>U</v>
      </c>
      <c r="BA46" s="1083" t="str">
        <f t="shared" si="12"/>
        <v>U</v>
      </c>
      <c r="BB46" s="1083" t="str">
        <f t="shared" si="13"/>
        <v>U</v>
      </c>
    </row>
    <row r="47" spans="1:54" ht="12" customHeight="1" x14ac:dyDescent="0.25">
      <c r="A47" s="440"/>
      <c r="B47" s="1042"/>
      <c r="C47" s="1036"/>
      <c r="D47" s="1037" t="s">
        <v>147</v>
      </c>
      <c r="E47" s="1599" t="s">
        <v>140</v>
      </c>
      <c r="F47" s="1599"/>
      <c r="G47" s="1599"/>
      <c r="H47" s="1599"/>
      <c r="I47" s="1597"/>
      <c r="J47" s="1038"/>
      <c r="K47" s="1038"/>
      <c r="L47" s="503"/>
      <c r="M47" s="526"/>
      <c r="N47" s="519"/>
      <c r="O47" s="527"/>
      <c r="P47" s="1037"/>
      <c r="Q47" s="1037"/>
      <c r="R47" s="1037"/>
      <c r="S47" s="354">
        <f ca="1">SUBTOTAL(109,S49:S52)</f>
        <v>0</v>
      </c>
      <c r="T47" s="363"/>
      <c r="U47" s="358"/>
      <c r="V47" s="358"/>
      <c r="W47" s="1091"/>
      <c r="X47" s="1104"/>
      <c r="Y47" s="1104"/>
      <c r="Z47" s="358"/>
      <c r="AA47" s="358"/>
      <c r="AB47" s="358"/>
      <c r="AC47" s="1091"/>
      <c r="AD47" s="1104"/>
      <c r="AE47" s="1104"/>
      <c r="AF47" s="358"/>
      <c r="AG47" s="358"/>
      <c r="AH47" s="358"/>
      <c r="AI47" s="358"/>
      <c r="AJ47" s="358"/>
      <c r="AK47" s="440"/>
      <c r="AM47" s="460">
        <v>47</v>
      </c>
      <c r="AN47" s="1078"/>
      <c r="AP47" s="1081"/>
      <c r="AS47" s="1081"/>
      <c r="AZ47" s="1081"/>
      <c r="BA47" s="1081"/>
    </row>
    <row r="48" spans="1:54" ht="12" customHeight="1" x14ac:dyDescent="0.25">
      <c r="A48" s="440"/>
      <c r="B48" s="1042"/>
      <c r="C48" s="1036"/>
      <c r="D48" s="1037"/>
      <c r="E48" s="1037"/>
      <c r="F48" s="1037"/>
      <c r="G48" s="1037"/>
      <c r="H48" s="1037"/>
      <c r="I48" s="1035"/>
      <c r="J48" s="1603" t="s">
        <v>170</v>
      </c>
      <c r="K48" s="1603"/>
      <c r="L48" s="503"/>
      <c r="M48" s="526"/>
      <c r="N48" s="519"/>
      <c r="O48" s="527"/>
      <c r="P48" s="1037"/>
      <c r="Q48" s="1037"/>
      <c r="R48" s="1037"/>
      <c r="S48" s="354"/>
      <c r="T48" s="363"/>
      <c r="U48" s="358"/>
      <c r="V48" s="358"/>
      <c r="W48" s="1091"/>
      <c r="X48" s="1104"/>
      <c r="Y48" s="1104"/>
      <c r="Z48" s="358"/>
      <c r="AA48" s="358"/>
      <c r="AB48" s="358"/>
      <c r="AC48" s="1091"/>
      <c r="AD48" s="1104"/>
      <c r="AE48" s="1104"/>
      <c r="AF48" s="358"/>
      <c r="AG48" s="358"/>
      <c r="AH48" s="358"/>
      <c r="AI48" s="358"/>
      <c r="AJ48" s="358"/>
      <c r="AK48" s="440"/>
      <c r="AM48" s="460">
        <v>48</v>
      </c>
      <c r="AN48" s="1078"/>
      <c r="AP48" s="1081"/>
      <c r="AS48" s="1081"/>
      <c r="AZ48" s="1081"/>
      <c r="BA48" s="1081"/>
    </row>
    <row r="49" spans="1:54" ht="12" customHeight="1" x14ac:dyDescent="0.2">
      <c r="A49" s="440"/>
      <c r="B49" s="1042"/>
      <c r="C49" s="1036"/>
      <c r="D49" s="1037"/>
      <c r="E49" s="1084">
        <f ca="1">IF(AX49="E","",AN49)</f>
        <v>0</v>
      </c>
      <c r="F49" s="1085"/>
      <c r="G49" s="1264"/>
      <c r="H49" s="1264"/>
      <c r="I49" s="1265"/>
      <c r="J49" s="638"/>
      <c r="K49" s="520" t="s">
        <v>177</v>
      </c>
      <c r="L49" s="521"/>
      <c r="M49" s="342"/>
      <c r="N49" s="528" t="s">
        <v>67</v>
      </c>
      <c r="O49" s="344"/>
      <c r="P49" s="504" t="s">
        <v>68</v>
      </c>
      <c r="Q49" s="344"/>
      <c r="R49" s="522" t="s">
        <v>363</v>
      </c>
      <c r="S49" s="353">
        <f t="shared" ref="S49:S52" ca="1" si="14">IF(AY49="E",(M49*O49)+Q49,AO49)</f>
        <v>0</v>
      </c>
      <c r="T49" s="523"/>
      <c r="U49" s="350"/>
      <c r="V49" s="308"/>
      <c r="W49" s="1090" t="str">
        <f t="shared" ref="W49:W52" ca="1" si="15">IF(AZ49="E",IF(AND(V49&lt;&gt;0,U49&lt;&gt;0),"X",IF(AND(V49&lt;&gt;0,U49=0),"A",IF(AND(V49=0,U49&lt;&gt;0),"P",""))),AR49)</f>
        <v/>
      </c>
      <c r="X49" s="1103">
        <f t="shared" ref="X49:X52" ca="1" si="16">IF(AZ49="E",IFERROR(IF(W49="X",0,IF(U49&gt;0,U49,V49/S49)),0),
IFERROR(IF(OR(AR49="X",AR49=0),0,
IF(AR49="P",AP49,IF(AR49="A",AQ49/S49,0))),0))</f>
        <v>0</v>
      </c>
      <c r="Y49" s="1120">
        <f t="shared" ref="Y49:Y52" ca="1" si="17">IF(AZ49="E",IFERROR(IF(W49="X",0,IF(V49&gt;0,V49,S49*U49)),0),
IFERROR(IF(OR(AR49="X",AR49="0"),0,IF(AR49="A",AQ49,S49*AP49)),0))</f>
        <v>0</v>
      </c>
      <c r="Z49" s="524"/>
      <c r="AA49" s="350"/>
      <c r="AB49" s="308"/>
      <c r="AC49" s="1090" t="str">
        <f t="shared" ref="AC49:AC52" ca="1" si="18">IF(BA49="E",IF(AND(AB49&lt;&gt;0,AA49&lt;&gt;0),"X",IF(AND(AB49&lt;&gt;0,AA49=0),"A",IF(AND(AB49=0,AA49&lt;&gt;0),"P",""))),AU49)</f>
        <v/>
      </c>
      <c r="AD49" s="1103">
        <f t="shared" ref="AD49:AD52" ca="1" si="19">IF(BA49="E",IFERROR(IF(AC49="X",0,IF(AA49&gt;0,AA49,AB49/S49)),0),
IFERROR(IF(OR(AU49="X",AU49=0),0,
IF(AU49="P",AS49,IF(AU49="A",AT49/S49,0))),0))</f>
        <v>0</v>
      </c>
      <c r="AE49" s="1120">
        <f t="shared" ref="AE49:AE52" ca="1" si="20">IF(BA49="E",IFERROR(IF(AC49="X",0,IF(AB49&gt;0,AB49,S49*AA49)),0),
IFERROR(IF(OR(AU49="X",AU49=0),0,
IF(AU49="A",AT49,S49*AS49)),0))</f>
        <v>0</v>
      </c>
      <c r="AF49" s="525"/>
      <c r="AG49" s="637"/>
      <c r="AH49" s="525"/>
      <c r="AI49" s="1086">
        <f t="shared" ref="AI49:AI52" ca="1" si="21">IF(BB49="E",AG49,AV49)</f>
        <v>0</v>
      </c>
      <c r="AJ49" s="380"/>
      <c r="AK49" s="440"/>
      <c r="AM49" s="460">
        <v>49</v>
      </c>
      <c r="AN49" s="1087">
        <f t="shared" ref="AN49:AN52" ca="1" si="22">IF($M$13=$AN$12,"",IF(ISTEXT(INDIRECT("'"&amp;$AM$20&amp;"'!"&amp;AN$21&amp;$AM49)),INDIRECT("'"&amp;$AM$20&amp;"'!"&amp;AN$21&amp;$AM49),INDIRECT("'"&amp;$AM$20&amp;"'!"&amp;AN$22&amp;$AM49)))</f>
        <v>0</v>
      </c>
      <c r="AO49" s="1083">
        <f t="shared" ref="AO49:AV52" ca="1" si="23">IF($M$13=$AN$12,"",INDIRECT("'"&amp;$AM$20&amp;"'!"&amp;AO$21&amp;$AM49))</f>
        <v>0</v>
      </c>
      <c r="AP49" s="356">
        <f t="shared" ca="1" si="23"/>
        <v>0</v>
      </c>
      <c r="AQ49" s="357">
        <f t="shared" ca="1" si="23"/>
        <v>0</v>
      </c>
      <c r="AR49" s="524" t="str">
        <f t="shared" ca="1" si="23"/>
        <v/>
      </c>
      <c r="AS49" s="356">
        <f t="shared" ca="1" si="23"/>
        <v>0</v>
      </c>
      <c r="AT49" s="357">
        <f t="shared" ca="1" si="23"/>
        <v>0</v>
      </c>
      <c r="AU49" s="524" t="str">
        <f t="shared" ca="1" si="23"/>
        <v/>
      </c>
      <c r="AV49" s="1083">
        <f t="shared" ca="1" si="23"/>
        <v>0</v>
      </c>
      <c r="AX49" s="1083" t="str">
        <f t="shared" ref="AX49:AX52" si="24">IF($M$13=$AN$12,"E",IF(ISTEXT(F49),"E","U"))</f>
        <v>U</v>
      </c>
      <c r="AY49" s="1083" t="str">
        <f t="shared" ref="AY49:AY52" si="25">IF($M$13=$AN$12,"E",IF(OR(ISNUMBER(M49),ISNUMBER(O49),ISNUMBER(Q49)),"E","U"))</f>
        <v>U</v>
      </c>
      <c r="AZ49" s="1083" t="str">
        <f t="shared" ref="AZ49:AZ52" si="26">IF($M$13=$AN$12,"E",IF(OR(ISNUMBER(U49),ISNUMBER(V49)),"E","U"))</f>
        <v>U</v>
      </c>
      <c r="BA49" s="1083" t="str">
        <f t="shared" ref="BA49:BA52" si="27">IF($M$13=$AN$12,"E",IF(OR(ISNUMBER(AA49),ISNUMBER(AB49)),"E","U"))</f>
        <v>U</v>
      </c>
      <c r="BB49" s="1083" t="str">
        <f t="shared" ref="BB49:BB52" si="28">IF($M$13=$AN$12,"E",IF(ISNUMBER(AG49),"E","U"))</f>
        <v>U</v>
      </c>
    </row>
    <row r="50" spans="1:54" ht="12" customHeight="1" x14ac:dyDescent="0.2">
      <c r="A50" s="440"/>
      <c r="B50" s="1042"/>
      <c r="C50" s="1036"/>
      <c r="D50" s="1037"/>
      <c r="E50" s="1084">
        <f ca="1">IF(AX50="E","",AN50)</f>
        <v>0</v>
      </c>
      <c r="F50" s="1085"/>
      <c r="G50" s="1264"/>
      <c r="H50" s="1264"/>
      <c r="I50" s="1265"/>
      <c r="J50" s="638"/>
      <c r="K50" s="520" t="s">
        <v>177</v>
      </c>
      <c r="L50" s="521"/>
      <c r="M50" s="342"/>
      <c r="N50" s="528" t="s">
        <v>67</v>
      </c>
      <c r="O50" s="344"/>
      <c r="P50" s="504" t="s">
        <v>68</v>
      </c>
      <c r="Q50" s="344"/>
      <c r="R50" s="522" t="s">
        <v>363</v>
      </c>
      <c r="S50" s="353">
        <f t="shared" ca="1" si="14"/>
        <v>0</v>
      </c>
      <c r="T50" s="523"/>
      <c r="U50" s="350"/>
      <c r="V50" s="308"/>
      <c r="W50" s="1090" t="str">
        <f t="shared" ca="1" si="15"/>
        <v/>
      </c>
      <c r="X50" s="1103">
        <f t="shared" ca="1" si="16"/>
        <v>0</v>
      </c>
      <c r="Y50" s="1120">
        <f t="shared" ca="1" si="17"/>
        <v>0</v>
      </c>
      <c r="Z50" s="524"/>
      <c r="AA50" s="350"/>
      <c r="AB50" s="308"/>
      <c r="AC50" s="1090" t="str">
        <f t="shared" ca="1" si="18"/>
        <v/>
      </c>
      <c r="AD50" s="1103">
        <f t="shared" ca="1" si="19"/>
        <v>0</v>
      </c>
      <c r="AE50" s="1120">
        <f t="shared" ca="1" si="20"/>
        <v>0</v>
      </c>
      <c r="AF50" s="525"/>
      <c r="AG50" s="637"/>
      <c r="AH50" s="525"/>
      <c r="AI50" s="1086">
        <f t="shared" ca="1" si="21"/>
        <v>0</v>
      </c>
      <c r="AJ50" s="380"/>
      <c r="AK50" s="440"/>
      <c r="AM50" s="460">
        <v>50</v>
      </c>
      <c r="AN50" s="1087">
        <f t="shared" ca="1" si="22"/>
        <v>0</v>
      </c>
      <c r="AO50" s="1083">
        <f t="shared" ca="1" si="23"/>
        <v>0</v>
      </c>
      <c r="AP50" s="356">
        <f t="shared" ca="1" si="23"/>
        <v>0</v>
      </c>
      <c r="AQ50" s="357">
        <f t="shared" ca="1" si="23"/>
        <v>0</v>
      </c>
      <c r="AR50" s="524" t="str">
        <f t="shared" ca="1" si="23"/>
        <v/>
      </c>
      <c r="AS50" s="356">
        <f t="shared" ca="1" si="23"/>
        <v>0</v>
      </c>
      <c r="AT50" s="357">
        <f t="shared" ca="1" si="23"/>
        <v>0</v>
      </c>
      <c r="AU50" s="524" t="str">
        <f t="shared" ca="1" si="23"/>
        <v/>
      </c>
      <c r="AV50" s="1083">
        <f t="shared" ca="1" si="23"/>
        <v>0</v>
      </c>
      <c r="AX50" s="1083" t="str">
        <f t="shared" si="24"/>
        <v>U</v>
      </c>
      <c r="AY50" s="1083" t="str">
        <f t="shared" si="25"/>
        <v>U</v>
      </c>
      <c r="AZ50" s="1083" t="str">
        <f t="shared" si="26"/>
        <v>U</v>
      </c>
      <c r="BA50" s="1083" t="str">
        <f t="shared" si="27"/>
        <v>U</v>
      </c>
      <c r="BB50" s="1083" t="str">
        <f t="shared" si="28"/>
        <v>U</v>
      </c>
    </row>
    <row r="51" spans="1:54" ht="12" customHeight="1" x14ac:dyDescent="0.2">
      <c r="A51" s="440"/>
      <c r="B51" s="1042"/>
      <c r="C51" s="1036"/>
      <c r="D51" s="1037"/>
      <c r="E51" s="1084">
        <f ca="1">IF(AX51="E","",AN51)</f>
        <v>0</v>
      </c>
      <c r="F51" s="1085"/>
      <c r="G51" s="1264"/>
      <c r="H51" s="1264"/>
      <c r="I51" s="1265"/>
      <c r="J51" s="638"/>
      <c r="K51" s="520" t="s">
        <v>177</v>
      </c>
      <c r="L51" s="521"/>
      <c r="M51" s="342"/>
      <c r="N51" s="528" t="s">
        <v>67</v>
      </c>
      <c r="O51" s="344"/>
      <c r="P51" s="504" t="s">
        <v>68</v>
      </c>
      <c r="Q51" s="344"/>
      <c r="R51" s="522" t="s">
        <v>363</v>
      </c>
      <c r="S51" s="353">
        <f t="shared" ca="1" si="14"/>
        <v>0</v>
      </c>
      <c r="T51" s="523"/>
      <c r="U51" s="350"/>
      <c r="V51" s="308"/>
      <c r="W51" s="1090" t="str">
        <f t="shared" ca="1" si="15"/>
        <v/>
      </c>
      <c r="X51" s="1103">
        <f t="shared" ca="1" si="16"/>
        <v>0</v>
      </c>
      <c r="Y51" s="1120">
        <f t="shared" ca="1" si="17"/>
        <v>0</v>
      </c>
      <c r="Z51" s="524"/>
      <c r="AA51" s="350"/>
      <c r="AB51" s="308"/>
      <c r="AC51" s="1090" t="str">
        <f t="shared" ca="1" si="18"/>
        <v/>
      </c>
      <c r="AD51" s="1103">
        <f t="shared" ca="1" si="19"/>
        <v>0</v>
      </c>
      <c r="AE51" s="1120">
        <f t="shared" ca="1" si="20"/>
        <v>0</v>
      </c>
      <c r="AF51" s="525"/>
      <c r="AG51" s="637"/>
      <c r="AH51" s="525"/>
      <c r="AI51" s="1086">
        <f t="shared" ca="1" si="21"/>
        <v>0</v>
      </c>
      <c r="AJ51" s="380"/>
      <c r="AK51" s="440"/>
      <c r="AM51" s="460">
        <v>51</v>
      </c>
      <c r="AN51" s="1087">
        <f t="shared" ca="1" si="22"/>
        <v>0</v>
      </c>
      <c r="AO51" s="1083">
        <f t="shared" ca="1" si="23"/>
        <v>0</v>
      </c>
      <c r="AP51" s="356">
        <f t="shared" ca="1" si="23"/>
        <v>0</v>
      </c>
      <c r="AQ51" s="357">
        <f t="shared" ca="1" si="23"/>
        <v>0</v>
      </c>
      <c r="AR51" s="524" t="str">
        <f t="shared" ca="1" si="23"/>
        <v/>
      </c>
      <c r="AS51" s="356">
        <f t="shared" ca="1" si="23"/>
        <v>0</v>
      </c>
      <c r="AT51" s="357">
        <f t="shared" ca="1" si="23"/>
        <v>0</v>
      </c>
      <c r="AU51" s="524" t="str">
        <f t="shared" ca="1" si="23"/>
        <v/>
      </c>
      <c r="AV51" s="1083">
        <f t="shared" ca="1" si="23"/>
        <v>0</v>
      </c>
      <c r="AX51" s="1083" t="str">
        <f t="shared" si="24"/>
        <v>U</v>
      </c>
      <c r="AY51" s="1083" t="str">
        <f t="shared" si="25"/>
        <v>U</v>
      </c>
      <c r="AZ51" s="1083" t="str">
        <f t="shared" si="26"/>
        <v>U</v>
      </c>
      <c r="BA51" s="1083" t="str">
        <f t="shared" si="27"/>
        <v>U</v>
      </c>
      <c r="BB51" s="1083" t="str">
        <f t="shared" si="28"/>
        <v>U</v>
      </c>
    </row>
    <row r="52" spans="1:54" ht="12" customHeight="1" x14ac:dyDescent="0.2">
      <c r="A52" s="440"/>
      <c r="B52" s="1042"/>
      <c r="C52" s="1036"/>
      <c r="D52" s="1037"/>
      <c r="E52" s="1084">
        <f ca="1">IF(AX52="E","",AN52)</f>
        <v>0</v>
      </c>
      <c r="F52" s="1085"/>
      <c r="G52" s="1264"/>
      <c r="H52" s="1264"/>
      <c r="I52" s="1265"/>
      <c r="J52" s="638"/>
      <c r="K52" s="520" t="s">
        <v>177</v>
      </c>
      <c r="L52" s="521"/>
      <c r="M52" s="342"/>
      <c r="N52" s="528" t="s">
        <v>67</v>
      </c>
      <c r="O52" s="344"/>
      <c r="P52" s="504" t="s">
        <v>68</v>
      </c>
      <c r="Q52" s="344"/>
      <c r="R52" s="522" t="s">
        <v>363</v>
      </c>
      <c r="S52" s="353">
        <f t="shared" ca="1" si="14"/>
        <v>0</v>
      </c>
      <c r="T52" s="523"/>
      <c r="U52" s="350"/>
      <c r="V52" s="308"/>
      <c r="W52" s="1090" t="str">
        <f t="shared" ca="1" si="15"/>
        <v/>
      </c>
      <c r="X52" s="1103">
        <f t="shared" ca="1" si="16"/>
        <v>0</v>
      </c>
      <c r="Y52" s="1120">
        <f t="shared" ca="1" si="17"/>
        <v>0</v>
      </c>
      <c r="Z52" s="524"/>
      <c r="AA52" s="350"/>
      <c r="AB52" s="308"/>
      <c r="AC52" s="1090" t="str">
        <f t="shared" ca="1" si="18"/>
        <v/>
      </c>
      <c r="AD52" s="1103">
        <f t="shared" ca="1" si="19"/>
        <v>0</v>
      </c>
      <c r="AE52" s="1120">
        <f t="shared" ca="1" si="20"/>
        <v>0</v>
      </c>
      <c r="AF52" s="525"/>
      <c r="AG52" s="637"/>
      <c r="AH52" s="525"/>
      <c r="AI52" s="1086">
        <f t="shared" ca="1" si="21"/>
        <v>0</v>
      </c>
      <c r="AJ52" s="380"/>
      <c r="AK52" s="440"/>
      <c r="AM52" s="460">
        <v>52</v>
      </c>
      <c r="AN52" s="1087">
        <f t="shared" ca="1" si="22"/>
        <v>0</v>
      </c>
      <c r="AO52" s="1083">
        <f t="shared" ca="1" si="23"/>
        <v>0</v>
      </c>
      <c r="AP52" s="356">
        <f t="shared" ca="1" si="23"/>
        <v>0</v>
      </c>
      <c r="AQ52" s="357">
        <f t="shared" ca="1" si="23"/>
        <v>0</v>
      </c>
      <c r="AR52" s="524" t="str">
        <f t="shared" ca="1" si="23"/>
        <v/>
      </c>
      <c r="AS52" s="356">
        <f t="shared" ca="1" si="23"/>
        <v>0</v>
      </c>
      <c r="AT52" s="357">
        <f t="shared" ca="1" si="23"/>
        <v>0</v>
      </c>
      <c r="AU52" s="524" t="str">
        <f t="shared" ca="1" si="23"/>
        <v/>
      </c>
      <c r="AV52" s="1083">
        <f t="shared" ca="1" si="23"/>
        <v>0</v>
      </c>
      <c r="AX52" s="1083" t="str">
        <f t="shared" si="24"/>
        <v>U</v>
      </c>
      <c r="AY52" s="1083" t="str">
        <f t="shared" si="25"/>
        <v>U</v>
      </c>
      <c r="AZ52" s="1083" t="str">
        <f t="shared" si="26"/>
        <v>U</v>
      </c>
      <c r="BA52" s="1083" t="str">
        <f t="shared" si="27"/>
        <v>U</v>
      </c>
      <c r="BB52" s="1083" t="str">
        <f t="shared" si="28"/>
        <v>U</v>
      </c>
    </row>
    <row r="53" spans="1:54" ht="14.25" customHeight="1" collapsed="1" x14ac:dyDescent="0.25">
      <c r="A53" s="440"/>
      <c r="B53" s="1042"/>
      <c r="C53" s="1036" t="s">
        <v>148</v>
      </c>
      <c r="D53" s="494"/>
      <c r="E53" s="1596" t="s">
        <v>134</v>
      </c>
      <c r="F53" s="1596"/>
      <c r="G53" s="1596"/>
      <c r="H53" s="1596"/>
      <c r="I53" s="1597"/>
      <c r="J53" s="1038"/>
      <c r="K53" s="529"/>
      <c r="L53" s="529"/>
      <c r="M53" s="526"/>
      <c r="N53" s="519"/>
      <c r="O53" s="530"/>
      <c r="P53" s="1037"/>
      <c r="Q53" s="1037"/>
      <c r="R53" s="1037"/>
      <c r="S53" s="355">
        <f ca="1">S54+S59+S64+S68</f>
        <v>80293.319999999992</v>
      </c>
      <c r="T53" s="363"/>
      <c r="U53" s="360"/>
      <c r="V53" s="361"/>
      <c r="W53" s="1092"/>
      <c r="X53" s="1105"/>
      <c r="Y53" s="1121"/>
      <c r="Z53" s="363"/>
      <c r="AA53" s="360"/>
      <c r="AB53" s="361"/>
      <c r="AC53" s="1092"/>
      <c r="AD53" s="1105"/>
      <c r="AE53" s="1121"/>
      <c r="AF53" s="359"/>
      <c r="AG53" s="358"/>
      <c r="AH53" s="359"/>
      <c r="AI53" s="358"/>
      <c r="AJ53" s="359"/>
      <c r="AK53" s="440"/>
      <c r="AM53" s="460">
        <v>53</v>
      </c>
      <c r="AN53" s="1078"/>
      <c r="AP53" s="1081"/>
      <c r="AS53" s="1081"/>
      <c r="AZ53" s="1081"/>
      <c r="BA53" s="1081"/>
    </row>
    <row r="54" spans="1:54" ht="12" customHeight="1" x14ac:dyDescent="0.25">
      <c r="A54" s="440"/>
      <c r="B54" s="1042"/>
      <c r="C54" s="1036"/>
      <c r="D54" s="1037" t="s">
        <v>149</v>
      </c>
      <c r="E54" s="1599" t="s">
        <v>136</v>
      </c>
      <c r="F54" s="1599"/>
      <c r="G54" s="1599"/>
      <c r="H54" s="1599"/>
      <c r="I54" s="1597"/>
      <c r="J54" s="1038"/>
      <c r="K54" s="529"/>
      <c r="L54" s="503"/>
      <c r="M54" s="526"/>
      <c r="N54" s="519"/>
      <c r="O54" s="530"/>
      <c r="P54" s="1037"/>
      <c r="Q54" s="1037"/>
      <c r="R54" s="1037"/>
      <c r="S54" s="354">
        <f ca="1">SUBTOTAL(109,S56:S58)</f>
        <v>0</v>
      </c>
      <c r="T54" s="363"/>
      <c r="U54" s="358"/>
      <c r="V54" s="358"/>
      <c r="W54" s="1091"/>
      <c r="X54" s="1104"/>
      <c r="Y54" s="1104"/>
      <c r="Z54" s="358"/>
      <c r="AA54" s="358"/>
      <c r="AB54" s="358"/>
      <c r="AC54" s="1091"/>
      <c r="AD54" s="1104"/>
      <c r="AE54" s="1104"/>
      <c r="AF54" s="358"/>
      <c r="AG54" s="358"/>
      <c r="AH54" s="358"/>
      <c r="AI54" s="358"/>
      <c r="AJ54" s="358"/>
      <c r="AK54" s="440"/>
      <c r="AM54" s="460">
        <v>54</v>
      </c>
      <c r="AN54" s="1078"/>
      <c r="AP54" s="1081"/>
      <c r="AS54" s="1081"/>
      <c r="AZ54" s="1081"/>
      <c r="BA54" s="1081"/>
    </row>
    <row r="55" spans="1:54" ht="12" customHeight="1" x14ac:dyDescent="0.25">
      <c r="A55" s="440"/>
      <c r="B55" s="1042"/>
      <c r="C55" s="1036"/>
      <c r="D55" s="1037"/>
      <c r="E55" s="1037"/>
      <c r="F55" s="1037"/>
      <c r="G55" s="1037"/>
      <c r="H55" s="1037"/>
      <c r="I55" s="1035"/>
      <c r="J55" s="1603" t="s">
        <v>170</v>
      </c>
      <c r="K55" s="1603"/>
      <c r="L55" s="503"/>
      <c r="M55" s="526"/>
      <c r="N55" s="519"/>
      <c r="O55" s="530"/>
      <c r="P55" s="1037"/>
      <c r="Q55" s="1037"/>
      <c r="R55" s="1037"/>
      <c r="S55" s="354"/>
      <c r="T55" s="363"/>
      <c r="U55" s="358"/>
      <c r="V55" s="358"/>
      <c r="W55" s="1091"/>
      <c r="X55" s="1104"/>
      <c r="Y55" s="1104"/>
      <c r="Z55" s="358"/>
      <c r="AA55" s="358"/>
      <c r="AB55" s="358"/>
      <c r="AC55" s="1091"/>
      <c r="AD55" s="1104"/>
      <c r="AE55" s="1104"/>
      <c r="AF55" s="358"/>
      <c r="AG55" s="358"/>
      <c r="AH55" s="358"/>
      <c r="AI55" s="358"/>
      <c r="AJ55" s="358"/>
      <c r="AK55" s="440"/>
      <c r="AM55" s="460">
        <v>55</v>
      </c>
      <c r="AN55" s="1078"/>
      <c r="AP55" s="1081"/>
      <c r="AS55" s="1081"/>
      <c r="AZ55" s="1081"/>
      <c r="BA55" s="1081"/>
    </row>
    <row r="56" spans="1:54" ht="12" customHeight="1" x14ac:dyDescent="0.2">
      <c r="A56" s="440"/>
      <c r="B56" s="1042"/>
      <c r="C56" s="1036"/>
      <c r="D56" s="1037"/>
      <c r="E56" s="1084">
        <f ca="1">IF(AX56="E","",AN56)</f>
        <v>0</v>
      </c>
      <c r="F56" s="1085"/>
      <c r="G56" s="1264"/>
      <c r="H56" s="1264"/>
      <c r="I56" s="1265"/>
      <c r="J56" s="638"/>
      <c r="K56" s="520" t="s">
        <v>177</v>
      </c>
      <c r="L56" s="521"/>
      <c r="M56" s="342"/>
      <c r="N56" s="521" t="s">
        <v>67</v>
      </c>
      <c r="O56" s="344"/>
      <c r="P56" s="504" t="s">
        <v>68</v>
      </c>
      <c r="Q56" s="344"/>
      <c r="R56" s="522" t="s">
        <v>363</v>
      </c>
      <c r="S56" s="353">
        <f t="shared" ref="S56:S58" ca="1" si="29">IF(AY56="E",(M56*O56)+Q56,AO56)</f>
        <v>0</v>
      </c>
      <c r="T56" s="523"/>
      <c r="U56" s="350"/>
      <c r="V56" s="308"/>
      <c r="W56" s="1090" t="str">
        <f t="shared" ref="W56:W58" ca="1" si="30">IF(AZ56="E",IF(AND(V56&lt;&gt;0,U56&lt;&gt;0),"X",IF(AND(V56&lt;&gt;0,U56=0),"A",IF(AND(V56=0,U56&lt;&gt;0),"P",""))),AR56)</f>
        <v/>
      </c>
      <c r="X56" s="1103">
        <f t="shared" ref="X56:X58" ca="1" si="31">IF(AZ56="E",IFERROR(IF(W56="X",0,IF(U56&gt;0,U56,V56/S56)),0),
IFERROR(IF(OR(AR56="X",AR56=0),0,
IF(AR56="P",AP56,IF(AR56="A",AQ56/S56,0))),0))</f>
        <v>0</v>
      </c>
      <c r="Y56" s="1120">
        <f t="shared" ref="Y56:Y58" ca="1" si="32">IF(AZ56="E",IFERROR(IF(W56="X",0,IF(V56&gt;0,V56,S56*U56)),0),
IFERROR(IF(OR(AR56="X",AR56="0"),0,IF(AR56="A",AQ56,S56*AP56)),0))</f>
        <v>0</v>
      </c>
      <c r="Z56" s="524"/>
      <c r="AA56" s="350"/>
      <c r="AB56" s="308"/>
      <c r="AC56" s="1090" t="str">
        <f t="shared" ref="AC56:AC58" ca="1" si="33">IF(BA56="E",IF(AND(AB56&lt;&gt;0,AA56&lt;&gt;0),"X",IF(AND(AB56&lt;&gt;0,AA56=0),"A",IF(AND(AB56=0,AA56&lt;&gt;0),"P",""))),AU56)</f>
        <v/>
      </c>
      <c r="AD56" s="1103">
        <f t="shared" ref="AD56:AD58" ca="1" si="34">IF(BA56="E",IFERROR(IF(AC56="X",0,IF(AA56&gt;0,AA56,AB56/S56)),0),
IFERROR(IF(OR(AU56="X",AU56=0),0,
IF(AU56="P",AS56,IF(AU56="A",AT56/S56,0))),0))</f>
        <v>0</v>
      </c>
      <c r="AE56" s="1120">
        <f t="shared" ref="AE56:AE58" ca="1" si="35">IF(BA56="E",IFERROR(IF(AC56="X",0,IF(AB56&gt;0,AB56,S56*AA56)),0),
IFERROR(IF(OR(AU56="X",AU56=0),0,
IF(AU56="A",AT56,S56*AS56)),0))</f>
        <v>0</v>
      </c>
      <c r="AF56" s="525"/>
      <c r="AG56" s="637"/>
      <c r="AH56" s="525"/>
      <c r="AI56" s="1086">
        <f t="shared" ref="AI56:AI58" ca="1" si="36">IF(BB56="E",AG56,AV56)</f>
        <v>0</v>
      </c>
      <c r="AJ56" s="380"/>
      <c r="AK56" s="440"/>
      <c r="AM56" s="460">
        <v>56</v>
      </c>
      <c r="AN56" s="1087">
        <f t="shared" ref="AN56:AN58" ca="1" si="37">IF($M$13=$AN$12,"",IF(ISTEXT(INDIRECT("'"&amp;$AM$20&amp;"'!"&amp;AN$21&amp;$AM56)),INDIRECT("'"&amp;$AM$20&amp;"'!"&amp;AN$21&amp;$AM56),INDIRECT("'"&amp;$AM$20&amp;"'!"&amp;AN$22&amp;$AM56)))</f>
        <v>0</v>
      </c>
      <c r="AO56" s="1083">
        <f t="shared" ref="AO56:AV58" ca="1" si="38">IF($M$13=$AN$12,"",INDIRECT("'"&amp;$AM$20&amp;"'!"&amp;AO$21&amp;$AM56))</f>
        <v>0</v>
      </c>
      <c r="AP56" s="356">
        <f t="shared" ca="1" si="38"/>
        <v>0</v>
      </c>
      <c r="AQ56" s="357">
        <f t="shared" ca="1" si="38"/>
        <v>0</v>
      </c>
      <c r="AR56" s="524" t="str">
        <f t="shared" ca="1" si="38"/>
        <v/>
      </c>
      <c r="AS56" s="356">
        <f t="shared" ca="1" si="38"/>
        <v>0</v>
      </c>
      <c r="AT56" s="357">
        <f t="shared" ca="1" si="38"/>
        <v>0</v>
      </c>
      <c r="AU56" s="524" t="str">
        <f t="shared" ca="1" si="38"/>
        <v/>
      </c>
      <c r="AV56" s="1083">
        <f t="shared" ca="1" si="38"/>
        <v>0</v>
      </c>
      <c r="AX56" s="1083" t="str">
        <f t="shared" ref="AX56:AX58" si="39">IF($M$13=$AN$12,"E",IF(ISTEXT(F56),"E","U"))</f>
        <v>U</v>
      </c>
      <c r="AY56" s="1083" t="str">
        <f t="shared" ref="AY56:AY58" si="40">IF($M$13=$AN$12,"E",IF(OR(ISNUMBER(M56),ISNUMBER(O56),ISNUMBER(Q56)),"E","U"))</f>
        <v>U</v>
      </c>
      <c r="AZ56" s="1083" t="str">
        <f t="shared" ref="AZ56:AZ58" si="41">IF($M$13=$AN$12,"E",IF(OR(ISNUMBER(U56),ISNUMBER(V56)),"E","U"))</f>
        <v>U</v>
      </c>
      <c r="BA56" s="1083" t="str">
        <f t="shared" ref="BA56:BA58" si="42">IF($M$13=$AN$12,"E",IF(OR(ISNUMBER(AA56),ISNUMBER(AB56)),"E","U"))</f>
        <v>U</v>
      </c>
      <c r="BB56" s="1083" t="str">
        <f t="shared" ref="BB56:BB58" si="43">IF($M$13=$AN$12,"E",IF(ISNUMBER(AG56),"E","U"))</f>
        <v>U</v>
      </c>
    </row>
    <row r="57" spans="1:54" ht="12" customHeight="1" x14ac:dyDescent="0.2">
      <c r="A57" s="440"/>
      <c r="B57" s="1042"/>
      <c r="C57" s="1036"/>
      <c r="D57" s="1037"/>
      <c r="E57" s="1084">
        <f ca="1">IF(AX57="E","",AN57)</f>
        <v>0</v>
      </c>
      <c r="F57" s="1085"/>
      <c r="G57" s="1264"/>
      <c r="H57" s="1264"/>
      <c r="I57" s="1265"/>
      <c r="J57" s="638"/>
      <c r="K57" s="520" t="s">
        <v>177</v>
      </c>
      <c r="L57" s="521"/>
      <c r="M57" s="342"/>
      <c r="N57" s="521" t="s">
        <v>67</v>
      </c>
      <c r="O57" s="344"/>
      <c r="P57" s="504" t="s">
        <v>68</v>
      </c>
      <c r="Q57" s="344"/>
      <c r="R57" s="522" t="s">
        <v>363</v>
      </c>
      <c r="S57" s="353">
        <f t="shared" ca="1" si="29"/>
        <v>0</v>
      </c>
      <c r="T57" s="523"/>
      <c r="U57" s="350"/>
      <c r="V57" s="308"/>
      <c r="W57" s="1090" t="str">
        <f t="shared" ca="1" si="30"/>
        <v/>
      </c>
      <c r="X57" s="1103">
        <f t="shared" ca="1" si="31"/>
        <v>0</v>
      </c>
      <c r="Y57" s="1120">
        <f t="shared" ca="1" si="32"/>
        <v>0</v>
      </c>
      <c r="Z57" s="524"/>
      <c r="AA57" s="350"/>
      <c r="AB57" s="308"/>
      <c r="AC57" s="1090" t="str">
        <f t="shared" ca="1" si="33"/>
        <v/>
      </c>
      <c r="AD57" s="1103">
        <f t="shared" ca="1" si="34"/>
        <v>0</v>
      </c>
      <c r="AE57" s="1120">
        <f t="shared" ca="1" si="35"/>
        <v>0</v>
      </c>
      <c r="AF57" s="525"/>
      <c r="AG57" s="637"/>
      <c r="AH57" s="525"/>
      <c r="AI57" s="1086">
        <f t="shared" ca="1" si="36"/>
        <v>0</v>
      </c>
      <c r="AJ57" s="380"/>
      <c r="AK57" s="440"/>
      <c r="AM57" s="460">
        <v>57</v>
      </c>
      <c r="AN57" s="1087">
        <f t="shared" ca="1" si="37"/>
        <v>0</v>
      </c>
      <c r="AO57" s="1083">
        <f t="shared" ca="1" si="38"/>
        <v>0</v>
      </c>
      <c r="AP57" s="356">
        <f t="shared" ca="1" si="38"/>
        <v>0</v>
      </c>
      <c r="AQ57" s="357">
        <f t="shared" ca="1" si="38"/>
        <v>0</v>
      </c>
      <c r="AR57" s="524" t="str">
        <f t="shared" ca="1" si="38"/>
        <v/>
      </c>
      <c r="AS57" s="356">
        <f t="shared" ca="1" si="38"/>
        <v>0</v>
      </c>
      <c r="AT57" s="357">
        <f t="shared" ca="1" si="38"/>
        <v>0</v>
      </c>
      <c r="AU57" s="524" t="str">
        <f t="shared" ca="1" si="38"/>
        <v/>
      </c>
      <c r="AV57" s="1083">
        <f t="shared" ca="1" si="38"/>
        <v>0</v>
      </c>
      <c r="AX57" s="1083" t="str">
        <f t="shared" si="39"/>
        <v>U</v>
      </c>
      <c r="AY57" s="1083" t="str">
        <f t="shared" si="40"/>
        <v>U</v>
      </c>
      <c r="AZ57" s="1083" t="str">
        <f t="shared" si="41"/>
        <v>U</v>
      </c>
      <c r="BA57" s="1083" t="str">
        <f t="shared" si="42"/>
        <v>U</v>
      </c>
      <c r="BB57" s="1083" t="str">
        <f t="shared" si="43"/>
        <v>U</v>
      </c>
    </row>
    <row r="58" spans="1:54" ht="12" customHeight="1" x14ac:dyDescent="0.2">
      <c r="A58" s="440"/>
      <c r="B58" s="1042"/>
      <c r="C58" s="1036"/>
      <c r="D58" s="1037"/>
      <c r="E58" s="1084">
        <f ca="1">IF(AX58="E","",AN58)</f>
        <v>0</v>
      </c>
      <c r="F58" s="1085"/>
      <c r="G58" s="1264"/>
      <c r="H58" s="1264"/>
      <c r="I58" s="1265"/>
      <c r="J58" s="638"/>
      <c r="K58" s="520" t="s">
        <v>177</v>
      </c>
      <c r="L58" s="521"/>
      <c r="M58" s="342"/>
      <c r="N58" s="521" t="s">
        <v>67</v>
      </c>
      <c r="O58" s="344"/>
      <c r="P58" s="504" t="s">
        <v>68</v>
      </c>
      <c r="Q58" s="344"/>
      <c r="R58" s="522" t="s">
        <v>363</v>
      </c>
      <c r="S58" s="353">
        <f t="shared" ca="1" si="29"/>
        <v>0</v>
      </c>
      <c r="T58" s="523"/>
      <c r="U58" s="350"/>
      <c r="V58" s="308"/>
      <c r="W58" s="1090" t="str">
        <f t="shared" ca="1" si="30"/>
        <v/>
      </c>
      <c r="X58" s="1103">
        <f t="shared" ca="1" si="31"/>
        <v>0</v>
      </c>
      <c r="Y58" s="1120">
        <f t="shared" ca="1" si="32"/>
        <v>0</v>
      </c>
      <c r="Z58" s="524"/>
      <c r="AA58" s="350"/>
      <c r="AB58" s="308"/>
      <c r="AC58" s="1090" t="str">
        <f t="shared" ca="1" si="33"/>
        <v/>
      </c>
      <c r="AD58" s="1103">
        <f t="shared" ca="1" si="34"/>
        <v>0</v>
      </c>
      <c r="AE58" s="1120">
        <f t="shared" ca="1" si="35"/>
        <v>0</v>
      </c>
      <c r="AF58" s="525"/>
      <c r="AG58" s="637"/>
      <c r="AH58" s="525"/>
      <c r="AI58" s="1086">
        <f t="shared" ca="1" si="36"/>
        <v>0</v>
      </c>
      <c r="AJ58" s="380"/>
      <c r="AK58" s="440"/>
      <c r="AM58" s="460">
        <v>58</v>
      </c>
      <c r="AN58" s="1087">
        <f t="shared" ca="1" si="37"/>
        <v>0</v>
      </c>
      <c r="AO58" s="1083">
        <f t="shared" ca="1" si="38"/>
        <v>0</v>
      </c>
      <c r="AP58" s="356">
        <f t="shared" ca="1" si="38"/>
        <v>0</v>
      </c>
      <c r="AQ58" s="357">
        <f t="shared" ca="1" si="38"/>
        <v>0</v>
      </c>
      <c r="AR58" s="524" t="str">
        <f t="shared" ca="1" si="38"/>
        <v/>
      </c>
      <c r="AS58" s="356">
        <f t="shared" ca="1" si="38"/>
        <v>0</v>
      </c>
      <c r="AT58" s="357">
        <f t="shared" ca="1" si="38"/>
        <v>0</v>
      </c>
      <c r="AU58" s="524" t="str">
        <f t="shared" ca="1" si="38"/>
        <v/>
      </c>
      <c r="AV58" s="1083">
        <f t="shared" ca="1" si="38"/>
        <v>0</v>
      </c>
      <c r="AX58" s="1083" t="str">
        <f t="shared" si="39"/>
        <v>U</v>
      </c>
      <c r="AY58" s="1083" t="str">
        <f t="shared" si="40"/>
        <v>U</v>
      </c>
      <c r="AZ58" s="1083" t="str">
        <f t="shared" si="41"/>
        <v>U</v>
      </c>
      <c r="BA58" s="1083" t="str">
        <f t="shared" si="42"/>
        <v>U</v>
      </c>
      <c r="BB58" s="1083" t="str">
        <f t="shared" si="43"/>
        <v>U</v>
      </c>
    </row>
    <row r="59" spans="1:54" ht="12" customHeight="1" x14ac:dyDescent="0.25">
      <c r="A59" s="440"/>
      <c r="B59" s="1042"/>
      <c r="C59" s="1036"/>
      <c r="D59" s="1037" t="s">
        <v>150</v>
      </c>
      <c r="E59" s="1599" t="s">
        <v>138</v>
      </c>
      <c r="F59" s="1599"/>
      <c r="G59" s="1599"/>
      <c r="H59" s="1599"/>
      <c r="I59" s="1597"/>
      <c r="J59" s="1038"/>
      <c r="K59" s="529"/>
      <c r="L59" s="503"/>
      <c r="M59" s="526"/>
      <c r="N59" s="519"/>
      <c r="O59" s="527"/>
      <c r="P59" s="1037"/>
      <c r="Q59" s="1037"/>
      <c r="R59" s="1037"/>
      <c r="S59" s="354">
        <f ca="1">SUBTOTAL(109,S61:S63)</f>
        <v>0</v>
      </c>
      <c r="T59" s="363"/>
      <c r="U59" s="358"/>
      <c r="V59" s="358"/>
      <c r="W59" s="1091"/>
      <c r="X59" s="1104"/>
      <c r="Y59" s="1104"/>
      <c r="Z59" s="358"/>
      <c r="AA59" s="358"/>
      <c r="AB59" s="358"/>
      <c r="AC59" s="1091"/>
      <c r="AD59" s="1104"/>
      <c r="AE59" s="1104"/>
      <c r="AF59" s="358"/>
      <c r="AG59" s="358"/>
      <c r="AH59" s="358"/>
      <c r="AI59" s="358"/>
      <c r="AJ59" s="358"/>
      <c r="AK59" s="440"/>
      <c r="AM59" s="460">
        <v>59</v>
      </c>
      <c r="AN59" s="1078"/>
      <c r="AP59" s="1081"/>
      <c r="AS59" s="1081"/>
      <c r="AZ59" s="1081"/>
      <c r="BA59" s="1081"/>
    </row>
    <row r="60" spans="1:54" ht="12" customHeight="1" x14ac:dyDescent="0.25">
      <c r="A60" s="440"/>
      <c r="B60" s="1042"/>
      <c r="C60" s="1036"/>
      <c r="D60" s="1037"/>
      <c r="E60" s="1037"/>
      <c r="F60" s="1037"/>
      <c r="G60" s="1037"/>
      <c r="H60" s="1037"/>
      <c r="I60" s="1035"/>
      <c r="J60" s="1603" t="s">
        <v>170</v>
      </c>
      <c r="K60" s="1603"/>
      <c r="L60" s="503"/>
      <c r="M60" s="526"/>
      <c r="N60" s="519"/>
      <c r="O60" s="527"/>
      <c r="P60" s="1037"/>
      <c r="Q60" s="1037"/>
      <c r="R60" s="1037"/>
      <c r="S60" s="354"/>
      <c r="T60" s="363"/>
      <c r="U60" s="358"/>
      <c r="V60" s="358"/>
      <c r="W60" s="1091"/>
      <c r="X60" s="1104"/>
      <c r="Y60" s="1104"/>
      <c r="Z60" s="358"/>
      <c r="AA60" s="358"/>
      <c r="AB60" s="358"/>
      <c r="AC60" s="1091"/>
      <c r="AD60" s="1104"/>
      <c r="AE60" s="1104"/>
      <c r="AF60" s="358"/>
      <c r="AG60" s="358"/>
      <c r="AH60" s="358"/>
      <c r="AI60" s="358"/>
      <c r="AJ60" s="358"/>
      <c r="AK60" s="440"/>
      <c r="AM60" s="460">
        <v>60</v>
      </c>
      <c r="AN60" s="1078"/>
      <c r="AP60" s="1081"/>
      <c r="AS60" s="1081"/>
      <c r="AZ60" s="1081"/>
      <c r="BA60" s="1081"/>
    </row>
    <row r="61" spans="1:54" ht="12" customHeight="1" x14ac:dyDescent="0.2">
      <c r="A61" s="440"/>
      <c r="B61" s="1042"/>
      <c r="C61" s="1036"/>
      <c r="D61" s="1037"/>
      <c r="E61" s="1084">
        <f ca="1">IF(AX61="E","",AN61)</f>
        <v>0</v>
      </c>
      <c r="F61" s="1085"/>
      <c r="G61" s="1264"/>
      <c r="H61" s="1264"/>
      <c r="I61" s="1265"/>
      <c r="J61" s="638"/>
      <c r="K61" s="520" t="s">
        <v>177</v>
      </c>
      <c r="L61" s="521"/>
      <c r="M61" s="342"/>
      <c r="N61" s="521" t="s">
        <v>67</v>
      </c>
      <c r="O61" s="344"/>
      <c r="P61" s="504" t="s">
        <v>68</v>
      </c>
      <c r="Q61" s="344"/>
      <c r="R61" s="522" t="s">
        <v>363</v>
      </c>
      <c r="S61" s="353">
        <f t="shared" ref="S61:S63" ca="1" si="44">IF(AY61="E",(M61*O61)+Q61,AO61)</f>
        <v>0</v>
      </c>
      <c r="T61" s="523"/>
      <c r="U61" s="350"/>
      <c r="V61" s="308"/>
      <c r="W61" s="1090" t="str">
        <f t="shared" ref="W61:W63" ca="1" si="45">IF(AZ61="E",IF(AND(V61&lt;&gt;0,U61&lt;&gt;0),"X",IF(AND(V61&lt;&gt;0,U61=0),"A",IF(AND(V61=0,U61&lt;&gt;0),"P",""))),AR61)</f>
        <v/>
      </c>
      <c r="X61" s="1103">
        <f t="shared" ref="X61:X63" ca="1" si="46">IF(AZ61="E",IFERROR(IF(W61="X",0,IF(U61&gt;0,U61,V61/S61)),0),
IFERROR(IF(OR(AR61="X",AR61=0),0,
IF(AR61="P",AP61,IF(AR61="A",AQ61/S61,0))),0))</f>
        <v>0</v>
      </c>
      <c r="Y61" s="1120">
        <f t="shared" ref="Y61:Y63" ca="1" si="47">IF(AZ61="E",IFERROR(IF(W61="X",0,IF(V61&gt;0,V61,S61*U61)),0),
IFERROR(IF(OR(AR61="X",AR61="0"),0,IF(AR61="A",AQ61,S61*AP61)),0))</f>
        <v>0</v>
      </c>
      <c r="Z61" s="524"/>
      <c r="AA61" s="350"/>
      <c r="AB61" s="308"/>
      <c r="AC61" s="1090" t="str">
        <f t="shared" ref="AC61:AC63" ca="1" si="48">IF(BA61="E",IF(AND(AB61&lt;&gt;0,AA61&lt;&gt;0),"X",IF(AND(AB61&lt;&gt;0,AA61=0),"A",IF(AND(AB61=0,AA61&lt;&gt;0),"P",""))),AU61)</f>
        <v/>
      </c>
      <c r="AD61" s="1103">
        <f t="shared" ref="AD61:AD63" ca="1" si="49">IF(BA61="E",IFERROR(IF(AC61="X",0,IF(AA61&gt;0,AA61,AB61/S61)),0),
IFERROR(IF(OR(AU61="X",AU61=0),0,
IF(AU61="P",AS61,IF(AU61="A",AT61/S61,0))),0))</f>
        <v>0</v>
      </c>
      <c r="AE61" s="1120">
        <f t="shared" ref="AE61:AE63" ca="1" si="50">IF(BA61="E",IFERROR(IF(AC61="X",0,IF(AB61&gt;0,AB61,S61*AA61)),0),
IFERROR(IF(OR(AU61="X",AU61=0),0,
IF(AU61="A",AT61,S61*AS61)),0))</f>
        <v>0</v>
      </c>
      <c r="AF61" s="525"/>
      <c r="AG61" s="637"/>
      <c r="AH61" s="525"/>
      <c r="AI61" s="1086">
        <f t="shared" ref="AI61:AI63" ca="1" si="51">IF(BB61="E",AG61,AV61)</f>
        <v>0</v>
      </c>
      <c r="AJ61" s="380"/>
      <c r="AK61" s="440"/>
      <c r="AM61" s="460">
        <v>61</v>
      </c>
      <c r="AN61" s="1087">
        <f t="shared" ref="AN61:AN63" ca="1" si="52">IF($M$13=$AN$12,"",IF(ISTEXT(INDIRECT("'"&amp;$AM$20&amp;"'!"&amp;AN$21&amp;$AM61)),INDIRECT("'"&amp;$AM$20&amp;"'!"&amp;AN$21&amp;$AM61),INDIRECT("'"&amp;$AM$20&amp;"'!"&amp;AN$22&amp;$AM61)))</f>
        <v>0</v>
      </c>
      <c r="AO61" s="1083">
        <f t="shared" ref="AO61:AV63" ca="1" si="53">IF($M$13=$AN$12,"",INDIRECT("'"&amp;$AM$20&amp;"'!"&amp;AO$21&amp;$AM61))</f>
        <v>0</v>
      </c>
      <c r="AP61" s="356">
        <f t="shared" ca="1" si="53"/>
        <v>0</v>
      </c>
      <c r="AQ61" s="357">
        <f t="shared" ca="1" si="53"/>
        <v>0</v>
      </c>
      <c r="AR61" s="524" t="str">
        <f t="shared" ca="1" si="53"/>
        <v/>
      </c>
      <c r="AS61" s="356">
        <f t="shared" ca="1" si="53"/>
        <v>0</v>
      </c>
      <c r="AT61" s="357">
        <f t="shared" ca="1" si="53"/>
        <v>0</v>
      </c>
      <c r="AU61" s="524" t="str">
        <f t="shared" ca="1" si="53"/>
        <v/>
      </c>
      <c r="AV61" s="1083">
        <f t="shared" ca="1" si="53"/>
        <v>0</v>
      </c>
      <c r="AX61" s="1083" t="str">
        <f t="shared" ref="AX61:AX63" si="54">IF($M$13=$AN$12,"E",IF(ISTEXT(F61),"E","U"))</f>
        <v>U</v>
      </c>
      <c r="AY61" s="1083" t="str">
        <f t="shared" ref="AY61:AY63" si="55">IF($M$13=$AN$12,"E",IF(OR(ISNUMBER(M61),ISNUMBER(O61),ISNUMBER(Q61)),"E","U"))</f>
        <v>U</v>
      </c>
      <c r="AZ61" s="1083" t="str">
        <f t="shared" ref="AZ61:AZ63" si="56">IF($M$13=$AN$12,"E",IF(OR(ISNUMBER(U61),ISNUMBER(V61)),"E","U"))</f>
        <v>U</v>
      </c>
      <c r="BA61" s="1083" t="str">
        <f t="shared" ref="BA61:BA63" si="57">IF($M$13=$AN$12,"E",IF(OR(ISNUMBER(AA61),ISNUMBER(AB61)),"E","U"))</f>
        <v>U</v>
      </c>
      <c r="BB61" s="1083" t="str">
        <f t="shared" ref="BB61:BB63" si="58">IF($M$13=$AN$12,"E",IF(ISNUMBER(AG61),"E","U"))</f>
        <v>U</v>
      </c>
    </row>
    <row r="62" spans="1:54" ht="12" customHeight="1" x14ac:dyDescent="0.2">
      <c r="A62" s="440"/>
      <c r="B62" s="1042"/>
      <c r="C62" s="1036"/>
      <c r="D62" s="1037"/>
      <c r="E62" s="1084">
        <f ca="1">IF(AX62="E","",AN62)</f>
        <v>0</v>
      </c>
      <c r="F62" s="1085"/>
      <c r="G62" s="1264"/>
      <c r="H62" s="1264"/>
      <c r="I62" s="1265"/>
      <c r="J62" s="638"/>
      <c r="K62" s="520" t="s">
        <v>177</v>
      </c>
      <c r="L62" s="521"/>
      <c r="M62" s="342"/>
      <c r="N62" s="521" t="s">
        <v>67</v>
      </c>
      <c r="O62" s="344"/>
      <c r="P62" s="504" t="s">
        <v>68</v>
      </c>
      <c r="Q62" s="344"/>
      <c r="R62" s="522" t="s">
        <v>363</v>
      </c>
      <c r="S62" s="353">
        <f t="shared" ca="1" si="44"/>
        <v>0</v>
      </c>
      <c r="T62" s="523"/>
      <c r="U62" s="350"/>
      <c r="V62" s="308"/>
      <c r="W62" s="1090" t="str">
        <f t="shared" ca="1" si="45"/>
        <v/>
      </c>
      <c r="X62" s="1103">
        <f t="shared" ca="1" si="46"/>
        <v>0</v>
      </c>
      <c r="Y62" s="1120">
        <f t="shared" ca="1" si="47"/>
        <v>0</v>
      </c>
      <c r="Z62" s="524"/>
      <c r="AA62" s="350"/>
      <c r="AB62" s="308"/>
      <c r="AC62" s="1090" t="str">
        <f t="shared" ca="1" si="48"/>
        <v/>
      </c>
      <c r="AD62" s="1103">
        <f t="shared" ca="1" si="49"/>
        <v>0</v>
      </c>
      <c r="AE62" s="1120">
        <f t="shared" ca="1" si="50"/>
        <v>0</v>
      </c>
      <c r="AF62" s="525"/>
      <c r="AG62" s="637"/>
      <c r="AH62" s="525"/>
      <c r="AI62" s="1086">
        <f t="shared" ca="1" si="51"/>
        <v>0</v>
      </c>
      <c r="AJ62" s="380"/>
      <c r="AK62" s="440"/>
      <c r="AM62" s="460">
        <v>62</v>
      </c>
      <c r="AN62" s="1087">
        <f t="shared" ca="1" si="52"/>
        <v>0</v>
      </c>
      <c r="AO62" s="1083">
        <f t="shared" ca="1" si="53"/>
        <v>0</v>
      </c>
      <c r="AP62" s="356">
        <f t="shared" ca="1" si="53"/>
        <v>0</v>
      </c>
      <c r="AQ62" s="357">
        <f t="shared" ca="1" si="53"/>
        <v>0</v>
      </c>
      <c r="AR62" s="524" t="str">
        <f t="shared" ca="1" si="53"/>
        <v/>
      </c>
      <c r="AS62" s="356">
        <f t="shared" ca="1" si="53"/>
        <v>0</v>
      </c>
      <c r="AT62" s="357">
        <f t="shared" ca="1" si="53"/>
        <v>0</v>
      </c>
      <c r="AU62" s="524" t="str">
        <f t="shared" ca="1" si="53"/>
        <v/>
      </c>
      <c r="AV62" s="1083">
        <f t="shared" ca="1" si="53"/>
        <v>0</v>
      </c>
      <c r="AX62" s="1083" t="str">
        <f t="shared" si="54"/>
        <v>U</v>
      </c>
      <c r="AY62" s="1083" t="str">
        <f t="shared" si="55"/>
        <v>U</v>
      </c>
      <c r="AZ62" s="1083" t="str">
        <f t="shared" si="56"/>
        <v>U</v>
      </c>
      <c r="BA62" s="1083" t="str">
        <f t="shared" si="57"/>
        <v>U</v>
      </c>
      <c r="BB62" s="1083" t="str">
        <f t="shared" si="58"/>
        <v>U</v>
      </c>
    </row>
    <row r="63" spans="1:54" ht="12" customHeight="1" x14ac:dyDescent="0.2">
      <c r="A63" s="440"/>
      <c r="B63" s="1042"/>
      <c r="C63" s="1036"/>
      <c r="D63" s="1037"/>
      <c r="E63" s="1084">
        <f ca="1">IF(AX63="E","",AN63)</f>
        <v>0</v>
      </c>
      <c r="F63" s="1085"/>
      <c r="G63" s="1264"/>
      <c r="H63" s="1264"/>
      <c r="I63" s="1265"/>
      <c r="J63" s="638"/>
      <c r="K63" s="520" t="s">
        <v>177</v>
      </c>
      <c r="L63" s="521"/>
      <c r="M63" s="342"/>
      <c r="N63" s="521" t="s">
        <v>67</v>
      </c>
      <c r="O63" s="344"/>
      <c r="P63" s="504" t="s">
        <v>68</v>
      </c>
      <c r="Q63" s="344"/>
      <c r="R63" s="522" t="s">
        <v>363</v>
      </c>
      <c r="S63" s="353">
        <f t="shared" ca="1" si="44"/>
        <v>0</v>
      </c>
      <c r="T63" s="523"/>
      <c r="U63" s="350"/>
      <c r="V63" s="308"/>
      <c r="W63" s="1090" t="str">
        <f t="shared" ca="1" si="45"/>
        <v/>
      </c>
      <c r="X63" s="1103">
        <f t="shared" ca="1" si="46"/>
        <v>0</v>
      </c>
      <c r="Y63" s="1120">
        <f t="shared" ca="1" si="47"/>
        <v>0</v>
      </c>
      <c r="Z63" s="524"/>
      <c r="AA63" s="350"/>
      <c r="AB63" s="308"/>
      <c r="AC63" s="1090" t="str">
        <f t="shared" ca="1" si="48"/>
        <v/>
      </c>
      <c r="AD63" s="1103">
        <f t="shared" ca="1" si="49"/>
        <v>0</v>
      </c>
      <c r="AE63" s="1120">
        <f t="shared" ca="1" si="50"/>
        <v>0</v>
      </c>
      <c r="AF63" s="525"/>
      <c r="AG63" s="637"/>
      <c r="AH63" s="525"/>
      <c r="AI63" s="1086">
        <f t="shared" ca="1" si="51"/>
        <v>0</v>
      </c>
      <c r="AJ63" s="380"/>
      <c r="AK63" s="440"/>
      <c r="AM63" s="460">
        <v>63</v>
      </c>
      <c r="AN63" s="1087">
        <f t="shared" ca="1" si="52"/>
        <v>0</v>
      </c>
      <c r="AO63" s="1083">
        <f t="shared" ca="1" si="53"/>
        <v>0</v>
      </c>
      <c r="AP63" s="356">
        <f t="shared" ca="1" si="53"/>
        <v>0</v>
      </c>
      <c r="AQ63" s="357">
        <f t="shared" ca="1" si="53"/>
        <v>0</v>
      </c>
      <c r="AR63" s="524" t="str">
        <f t="shared" ca="1" si="53"/>
        <v/>
      </c>
      <c r="AS63" s="356">
        <f t="shared" ca="1" si="53"/>
        <v>0</v>
      </c>
      <c r="AT63" s="357">
        <f t="shared" ca="1" si="53"/>
        <v>0</v>
      </c>
      <c r="AU63" s="524" t="str">
        <f t="shared" ca="1" si="53"/>
        <v/>
      </c>
      <c r="AV63" s="1083">
        <f t="shared" ca="1" si="53"/>
        <v>0</v>
      </c>
      <c r="AX63" s="1083" t="str">
        <f t="shared" si="54"/>
        <v>U</v>
      </c>
      <c r="AY63" s="1083" t="str">
        <f t="shared" si="55"/>
        <v>U</v>
      </c>
      <c r="AZ63" s="1083" t="str">
        <f t="shared" si="56"/>
        <v>U</v>
      </c>
      <c r="BA63" s="1083" t="str">
        <f t="shared" si="57"/>
        <v>U</v>
      </c>
      <c r="BB63" s="1083" t="str">
        <f t="shared" si="58"/>
        <v>U</v>
      </c>
    </row>
    <row r="64" spans="1:54" ht="12" customHeight="1" x14ac:dyDescent="0.25">
      <c r="A64" s="440"/>
      <c r="B64" s="1042"/>
      <c r="C64" s="1036"/>
      <c r="D64" s="1037" t="s">
        <v>151</v>
      </c>
      <c r="E64" s="1599" t="s">
        <v>137</v>
      </c>
      <c r="F64" s="1599"/>
      <c r="G64" s="1599"/>
      <c r="H64" s="1599"/>
      <c r="I64" s="1597"/>
      <c r="J64" s="1038"/>
      <c r="K64" s="529"/>
      <c r="L64" s="503"/>
      <c r="M64" s="526"/>
      <c r="N64" s="519"/>
      <c r="O64" s="530"/>
      <c r="P64" s="1037"/>
      <c r="Q64" s="1037"/>
      <c r="R64" s="1037"/>
      <c r="S64" s="354">
        <f ca="1">SUBTOTAL(109,S66:S67)</f>
        <v>0</v>
      </c>
      <c r="T64" s="363"/>
      <c r="U64" s="360"/>
      <c r="V64" s="360"/>
      <c r="W64" s="1091"/>
      <c r="X64" s="1105"/>
      <c r="Y64" s="1105"/>
      <c r="Z64" s="360"/>
      <c r="AA64" s="360"/>
      <c r="AB64" s="360"/>
      <c r="AC64" s="1091"/>
      <c r="AD64" s="1105"/>
      <c r="AE64" s="1105"/>
      <c r="AF64" s="360"/>
      <c r="AG64" s="360"/>
      <c r="AH64" s="360"/>
      <c r="AI64" s="360"/>
      <c r="AJ64" s="363"/>
      <c r="AK64" s="440"/>
      <c r="AM64" s="460">
        <v>64</v>
      </c>
      <c r="AN64" s="1078"/>
      <c r="AP64" s="1081"/>
      <c r="AS64" s="1081"/>
      <c r="AZ64" s="1081"/>
      <c r="BA64" s="1081"/>
    </row>
    <row r="65" spans="1:54" ht="12" customHeight="1" x14ac:dyDescent="0.25">
      <c r="A65" s="440"/>
      <c r="B65" s="1042"/>
      <c r="C65" s="1036"/>
      <c r="D65" s="1037"/>
      <c r="E65" s="1037"/>
      <c r="F65" s="1037"/>
      <c r="G65" s="1037"/>
      <c r="H65" s="1037"/>
      <c r="I65" s="1035"/>
      <c r="J65" s="1603" t="s">
        <v>170</v>
      </c>
      <c r="K65" s="1603"/>
      <c r="L65" s="503"/>
      <c r="M65" s="526"/>
      <c r="N65" s="519"/>
      <c r="O65" s="530"/>
      <c r="P65" s="1037"/>
      <c r="Q65" s="1037"/>
      <c r="R65" s="1037"/>
      <c r="S65" s="354"/>
      <c r="T65" s="363"/>
      <c r="U65" s="360"/>
      <c r="V65" s="360"/>
      <c r="W65" s="1092"/>
      <c r="X65" s="1105"/>
      <c r="Y65" s="1105"/>
      <c r="Z65" s="360"/>
      <c r="AA65" s="360"/>
      <c r="AB65" s="360"/>
      <c r="AC65" s="1092"/>
      <c r="AD65" s="1105"/>
      <c r="AE65" s="1105"/>
      <c r="AF65" s="360"/>
      <c r="AG65" s="360"/>
      <c r="AH65" s="360"/>
      <c r="AI65" s="360"/>
      <c r="AJ65" s="363"/>
      <c r="AK65" s="440"/>
      <c r="AM65" s="460">
        <v>65</v>
      </c>
      <c r="AN65" s="1078"/>
      <c r="AP65" s="1081"/>
      <c r="AS65" s="1081"/>
      <c r="AZ65" s="1081"/>
      <c r="BA65" s="1081"/>
    </row>
    <row r="66" spans="1:54" ht="12" customHeight="1" x14ac:dyDescent="0.2">
      <c r="A66" s="440"/>
      <c r="B66" s="1042"/>
      <c r="C66" s="1036"/>
      <c r="D66" s="1037"/>
      <c r="E66" s="1084">
        <f ca="1">IF(AX66="E","",AN66)</f>
        <v>0</v>
      </c>
      <c r="F66" s="1085"/>
      <c r="G66" s="1264"/>
      <c r="H66" s="1264"/>
      <c r="I66" s="1265"/>
      <c r="J66" s="638"/>
      <c r="K66" s="520" t="s">
        <v>177</v>
      </c>
      <c r="L66" s="521"/>
      <c r="M66" s="342"/>
      <c r="N66" s="521" t="s">
        <v>67</v>
      </c>
      <c r="O66" s="344"/>
      <c r="P66" s="504" t="s">
        <v>68</v>
      </c>
      <c r="Q66" s="344"/>
      <c r="R66" s="522" t="s">
        <v>363</v>
      </c>
      <c r="S66" s="353">
        <f t="shared" ref="S66:S67" ca="1" si="59">IF(AY66="E",(M66*O66)+Q66,AO66)</f>
        <v>0</v>
      </c>
      <c r="T66" s="523"/>
      <c r="U66" s="350"/>
      <c r="V66" s="308"/>
      <c r="W66" s="1090" t="str">
        <f t="shared" ref="W66:W67" ca="1" si="60">IF(AZ66="E",IF(AND(V66&lt;&gt;0,U66&lt;&gt;0),"X",IF(AND(V66&lt;&gt;0,U66=0),"A",IF(AND(V66=0,U66&lt;&gt;0),"P",""))),AR66)</f>
        <v/>
      </c>
      <c r="X66" s="1103">
        <f t="shared" ref="X66:X67" ca="1" si="61">IF(AZ66="E",IFERROR(IF(W66="X",0,IF(U66&gt;0,U66,V66/S66)),0),
IFERROR(IF(OR(AR66="X",AR66=0),0,
IF(AR66="P",AP66,IF(AR66="A",AQ66/S66,0))),0))</f>
        <v>0</v>
      </c>
      <c r="Y66" s="1120">
        <f t="shared" ref="Y66:Y67" ca="1" si="62">IF(AZ66="E",IFERROR(IF(W66="X",0,IF(V66&gt;0,V66,S66*U66)),0),
IFERROR(IF(OR(AR66="X",AR66="0"),0,IF(AR66="A",AQ66,S66*AP66)),0))</f>
        <v>0</v>
      </c>
      <c r="Z66" s="524"/>
      <c r="AA66" s="350"/>
      <c r="AB66" s="308"/>
      <c r="AC66" s="1090" t="str">
        <f t="shared" ref="AC66:AC67" ca="1" si="63">IF(BA66="E",IF(AND(AB66&lt;&gt;0,AA66&lt;&gt;0),"X",IF(AND(AB66&lt;&gt;0,AA66=0),"A",IF(AND(AB66=0,AA66&lt;&gt;0),"P",""))),AU66)</f>
        <v/>
      </c>
      <c r="AD66" s="1103">
        <f t="shared" ref="AD66:AD67" ca="1" si="64">IF(BA66="E",IFERROR(IF(AC66="X",0,IF(AA66&gt;0,AA66,AB66/S66)),0),
IFERROR(IF(OR(AU66="X",AU66=0),0,
IF(AU66="P",AS66,IF(AU66="A",AT66/S66,0))),0))</f>
        <v>0</v>
      </c>
      <c r="AE66" s="1120">
        <f t="shared" ref="AE66:AE67" ca="1" si="65">IF(BA66="E",IFERROR(IF(AC66="X",0,IF(AB66&gt;0,AB66,S66*AA66)),0),
IFERROR(IF(OR(AU66="X",AU66=0),0,
IF(AU66="A",AT66,S66*AS66)),0))</f>
        <v>0</v>
      </c>
      <c r="AF66" s="525"/>
      <c r="AG66" s="637"/>
      <c r="AH66" s="525"/>
      <c r="AI66" s="1086">
        <f t="shared" ref="AI66:AI67" ca="1" si="66">IF(BB66="E",AG66,AV66)</f>
        <v>0</v>
      </c>
      <c r="AJ66" s="380"/>
      <c r="AK66" s="440"/>
      <c r="AM66" s="460">
        <v>66</v>
      </c>
      <c r="AN66" s="1087">
        <f t="shared" ref="AN66:AN67" ca="1" si="67">IF($M$13=$AN$12,"",IF(ISTEXT(INDIRECT("'"&amp;$AM$20&amp;"'!"&amp;AN$21&amp;$AM66)),INDIRECT("'"&amp;$AM$20&amp;"'!"&amp;AN$21&amp;$AM66),INDIRECT("'"&amp;$AM$20&amp;"'!"&amp;AN$22&amp;$AM66)))</f>
        <v>0</v>
      </c>
      <c r="AO66" s="1083">
        <f t="shared" ref="AO66:AV67" ca="1" si="68">IF($M$13=$AN$12,"",INDIRECT("'"&amp;$AM$20&amp;"'!"&amp;AO$21&amp;$AM66))</f>
        <v>0</v>
      </c>
      <c r="AP66" s="356">
        <f t="shared" ca="1" si="68"/>
        <v>0</v>
      </c>
      <c r="AQ66" s="357">
        <f t="shared" ca="1" si="68"/>
        <v>0</v>
      </c>
      <c r="AR66" s="524" t="str">
        <f t="shared" ca="1" si="68"/>
        <v/>
      </c>
      <c r="AS66" s="356">
        <f t="shared" ca="1" si="68"/>
        <v>0</v>
      </c>
      <c r="AT66" s="357">
        <f t="shared" ca="1" si="68"/>
        <v>0</v>
      </c>
      <c r="AU66" s="524" t="str">
        <f t="shared" ca="1" si="68"/>
        <v/>
      </c>
      <c r="AV66" s="1083">
        <f t="shared" ca="1" si="68"/>
        <v>0</v>
      </c>
      <c r="AX66" s="1083" t="str">
        <f t="shared" ref="AX66:AX67" si="69">IF($M$13=$AN$12,"E",IF(ISTEXT(F66),"E","U"))</f>
        <v>U</v>
      </c>
      <c r="AY66" s="1083" t="str">
        <f t="shared" ref="AY66:AY67" si="70">IF($M$13=$AN$12,"E",IF(OR(ISNUMBER(M66),ISNUMBER(O66),ISNUMBER(Q66)),"E","U"))</f>
        <v>U</v>
      </c>
      <c r="AZ66" s="1083" t="str">
        <f t="shared" ref="AZ66:AZ67" si="71">IF($M$13=$AN$12,"E",IF(OR(ISNUMBER(U66),ISNUMBER(V66)),"E","U"))</f>
        <v>U</v>
      </c>
      <c r="BA66" s="1083" t="str">
        <f t="shared" ref="BA66:BA67" si="72">IF($M$13=$AN$12,"E",IF(OR(ISNUMBER(AA66),ISNUMBER(AB66)),"E","U"))</f>
        <v>U</v>
      </c>
      <c r="BB66" s="1083" t="str">
        <f t="shared" ref="BB66:BB67" si="73">IF($M$13=$AN$12,"E",IF(ISNUMBER(AG66),"E","U"))</f>
        <v>U</v>
      </c>
    </row>
    <row r="67" spans="1:54" ht="12" customHeight="1" x14ac:dyDescent="0.2">
      <c r="A67" s="440"/>
      <c r="B67" s="1042"/>
      <c r="C67" s="1036"/>
      <c r="D67" s="1037"/>
      <c r="E67" s="1084">
        <f ca="1">IF(AX67="E","",AN67)</f>
        <v>0</v>
      </c>
      <c r="F67" s="1085"/>
      <c r="G67" s="1264"/>
      <c r="H67" s="1264"/>
      <c r="I67" s="1265"/>
      <c r="J67" s="638"/>
      <c r="K67" s="520" t="s">
        <v>177</v>
      </c>
      <c r="L67" s="521"/>
      <c r="M67" s="342"/>
      <c r="N67" s="521" t="s">
        <v>67</v>
      </c>
      <c r="O67" s="344"/>
      <c r="P67" s="504" t="s">
        <v>68</v>
      </c>
      <c r="Q67" s="344"/>
      <c r="R67" s="522" t="s">
        <v>363</v>
      </c>
      <c r="S67" s="353">
        <f t="shared" ca="1" si="59"/>
        <v>0</v>
      </c>
      <c r="T67" s="523"/>
      <c r="U67" s="350"/>
      <c r="V67" s="308"/>
      <c r="W67" s="1090" t="str">
        <f t="shared" ca="1" si="60"/>
        <v/>
      </c>
      <c r="X67" s="1103">
        <f t="shared" ca="1" si="61"/>
        <v>0</v>
      </c>
      <c r="Y67" s="1120">
        <f t="shared" ca="1" si="62"/>
        <v>0</v>
      </c>
      <c r="Z67" s="524"/>
      <c r="AA67" s="350"/>
      <c r="AB67" s="308"/>
      <c r="AC67" s="1090" t="str">
        <f t="shared" ca="1" si="63"/>
        <v/>
      </c>
      <c r="AD67" s="1103">
        <f t="shared" ca="1" si="64"/>
        <v>0</v>
      </c>
      <c r="AE67" s="1120">
        <f t="shared" ca="1" si="65"/>
        <v>0</v>
      </c>
      <c r="AF67" s="525"/>
      <c r="AG67" s="637"/>
      <c r="AH67" s="525"/>
      <c r="AI67" s="1086">
        <f t="shared" ca="1" si="66"/>
        <v>0</v>
      </c>
      <c r="AJ67" s="380"/>
      <c r="AK67" s="440"/>
      <c r="AM67" s="460">
        <v>67</v>
      </c>
      <c r="AN67" s="1087">
        <f t="shared" ca="1" si="67"/>
        <v>0</v>
      </c>
      <c r="AO67" s="1083">
        <f t="shared" ca="1" si="68"/>
        <v>0</v>
      </c>
      <c r="AP67" s="356">
        <f t="shared" ca="1" si="68"/>
        <v>0</v>
      </c>
      <c r="AQ67" s="357">
        <f t="shared" ca="1" si="68"/>
        <v>0</v>
      </c>
      <c r="AR67" s="524" t="str">
        <f t="shared" ca="1" si="68"/>
        <v/>
      </c>
      <c r="AS67" s="356">
        <f t="shared" ca="1" si="68"/>
        <v>0</v>
      </c>
      <c r="AT67" s="357">
        <f t="shared" ca="1" si="68"/>
        <v>0</v>
      </c>
      <c r="AU67" s="524" t="str">
        <f t="shared" ca="1" si="68"/>
        <v/>
      </c>
      <c r="AV67" s="1083">
        <f t="shared" ca="1" si="68"/>
        <v>0</v>
      </c>
      <c r="AX67" s="1083" t="str">
        <f t="shared" si="69"/>
        <v>U</v>
      </c>
      <c r="AY67" s="1083" t="str">
        <f t="shared" si="70"/>
        <v>U</v>
      </c>
      <c r="AZ67" s="1083" t="str">
        <f t="shared" si="71"/>
        <v>U</v>
      </c>
      <c r="BA67" s="1083" t="str">
        <f t="shared" si="72"/>
        <v>U</v>
      </c>
      <c r="BB67" s="1083" t="str">
        <f t="shared" si="73"/>
        <v>U</v>
      </c>
    </row>
    <row r="68" spans="1:54" ht="12" customHeight="1" x14ac:dyDescent="0.25">
      <c r="A68" s="440"/>
      <c r="B68" s="1042"/>
      <c r="C68" s="1036"/>
      <c r="D68" s="1037" t="s">
        <v>322</v>
      </c>
      <c r="E68" s="1037" t="s">
        <v>324</v>
      </c>
      <c r="F68" s="519"/>
      <c r="G68" s="519"/>
      <c r="H68" s="519"/>
      <c r="I68" s="519"/>
      <c r="J68" s="1038"/>
      <c r="K68" s="529"/>
      <c r="L68" s="503"/>
      <c r="M68" s="532"/>
      <c r="N68" s="503"/>
      <c r="O68" s="527"/>
      <c r="P68" s="1036"/>
      <c r="Q68" s="1036"/>
      <c r="R68" s="1036"/>
      <c r="S68" s="354">
        <f ca="1">SUBTOTAL(109,S70:S72)</f>
        <v>80293.319999999992</v>
      </c>
      <c r="T68" s="363"/>
      <c r="U68" s="364"/>
      <c r="V68" s="365"/>
      <c r="W68" s="1093"/>
      <c r="X68" s="1106"/>
      <c r="Y68" s="1122"/>
      <c r="Z68" s="363"/>
      <c r="AA68" s="364"/>
      <c r="AB68" s="365"/>
      <c r="AC68" s="1093"/>
      <c r="AD68" s="1106"/>
      <c r="AE68" s="1122"/>
      <c r="AF68" s="363"/>
      <c r="AG68" s="358"/>
      <c r="AH68" s="363"/>
      <c r="AI68" s="358"/>
      <c r="AJ68" s="363"/>
      <c r="AK68" s="440"/>
      <c r="AM68" s="460">
        <v>68</v>
      </c>
      <c r="AN68" s="1078"/>
      <c r="AP68" s="1081"/>
      <c r="AS68" s="1081"/>
      <c r="AZ68" s="1081"/>
      <c r="BA68" s="1081"/>
    </row>
    <row r="69" spans="1:54" ht="12" customHeight="1" x14ac:dyDescent="0.2">
      <c r="A69" s="440"/>
      <c r="B69" s="1042"/>
      <c r="C69" s="1036"/>
      <c r="D69" s="1037"/>
      <c r="E69" s="1037"/>
      <c r="F69" s="519"/>
      <c r="G69" s="519"/>
      <c r="H69" s="519"/>
      <c r="I69" s="519"/>
      <c r="J69" s="1603" t="s">
        <v>170</v>
      </c>
      <c r="K69" s="1603"/>
      <c r="L69" s="503"/>
      <c r="M69" s="532"/>
      <c r="N69" s="503"/>
      <c r="O69" s="527"/>
      <c r="P69" s="1036"/>
      <c r="Q69" s="1036"/>
      <c r="R69" s="1036"/>
      <c r="S69" s="354"/>
      <c r="T69" s="363"/>
      <c r="U69" s="364"/>
      <c r="V69" s="365"/>
      <c r="W69" s="1093"/>
      <c r="X69" s="1106"/>
      <c r="Y69" s="1122"/>
      <c r="Z69" s="363"/>
      <c r="AA69" s="364"/>
      <c r="AB69" s="365"/>
      <c r="AC69" s="1093"/>
      <c r="AD69" s="1106"/>
      <c r="AE69" s="1122"/>
      <c r="AF69" s="363"/>
      <c r="AG69" s="358"/>
      <c r="AH69" s="363"/>
      <c r="AI69" s="358"/>
      <c r="AJ69" s="363"/>
      <c r="AK69" s="440"/>
      <c r="AM69" s="460">
        <v>69</v>
      </c>
      <c r="AN69" s="1078"/>
      <c r="AP69" s="1081"/>
      <c r="AS69" s="1081"/>
      <c r="AZ69" s="1081"/>
      <c r="BA69" s="1081"/>
    </row>
    <row r="70" spans="1:54" ht="12" customHeight="1" x14ac:dyDescent="0.2">
      <c r="A70" s="440"/>
      <c r="B70" s="1042"/>
      <c r="C70" s="1036"/>
      <c r="D70" s="380"/>
      <c r="E70" s="1084" t="str">
        <f ca="1">IF(AX70="E","",AN70)</f>
        <v>Estrich</v>
      </c>
      <c r="F70" s="1085"/>
      <c r="G70" s="1264"/>
      <c r="H70" s="1264"/>
      <c r="I70" s="1265"/>
      <c r="J70" s="638"/>
      <c r="K70" s="533" t="s">
        <v>177</v>
      </c>
      <c r="L70" s="521"/>
      <c r="M70" s="342"/>
      <c r="N70" s="521" t="s">
        <v>67</v>
      </c>
      <c r="O70" s="344"/>
      <c r="P70" s="504" t="s">
        <v>68</v>
      </c>
      <c r="Q70" s="344"/>
      <c r="R70" s="522" t="s">
        <v>363</v>
      </c>
      <c r="S70" s="353">
        <f t="shared" ref="S70:S72" ca="1" si="74">IF(AY70="E",(M70*O70)+Q70,AO70)</f>
        <v>67231.199999999997</v>
      </c>
      <c r="T70" s="523"/>
      <c r="U70" s="350"/>
      <c r="V70" s="308"/>
      <c r="W70" s="1090" t="str">
        <f t="shared" ref="W70:W72" ca="1" si="75">IF(AZ70="E",IF(AND(V70&lt;&gt;0,U70&lt;&gt;0),"X",IF(AND(V70&lt;&gt;0,U70=0),"A",IF(AND(V70=0,U70&lt;&gt;0),"P",""))),AR70)</f>
        <v/>
      </c>
      <c r="X70" s="1103">
        <f t="shared" ref="X70:X72" ca="1" si="76">IF(AZ70="E",IFERROR(IF(W70="X",0,IF(U70&gt;0,U70,V70/S70)),0),
IFERROR(IF(OR(AR70="X",AR70=0),0,
IF(AR70="P",AP70,IF(AR70="A",AQ70/S70,0))),0))</f>
        <v>0</v>
      </c>
      <c r="Y70" s="1120">
        <f t="shared" ref="Y70:Y72" ca="1" si="77">IF(AZ70="E",IFERROR(IF(W70="X",0,IF(V70&gt;0,V70,S70*U70)),0),
IFERROR(IF(OR(AR70="X",AR70="0"),0,IF(AR70="A",AQ70,S70*AP70)),0))</f>
        <v>0</v>
      </c>
      <c r="Z70" s="524"/>
      <c r="AA70" s="350"/>
      <c r="AB70" s="308"/>
      <c r="AC70" s="1090" t="str">
        <f t="shared" ref="AC70:AC72" ca="1" si="78">IF(BA70="E",IF(AND(AB70&lt;&gt;0,AA70&lt;&gt;0),"X",IF(AND(AB70&lt;&gt;0,AA70=0),"A",IF(AND(AB70=0,AA70&lt;&gt;0),"P",""))),AU70)</f>
        <v/>
      </c>
      <c r="AD70" s="1103">
        <f t="shared" ref="AD70:AD72" ca="1" si="79">IF(BA70="E",IFERROR(IF(AC70="X",0,IF(AA70&gt;0,AA70,AB70/S70)),0),
IFERROR(IF(OR(AU70="X",AU70=0),0,
IF(AU70="P",AS70,IF(AU70="A",AT70/S70,0))),0))</f>
        <v>0</v>
      </c>
      <c r="AE70" s="1120">
        <f t="shared" ref="AE70:AE72" ca="1" si="80">IF(BA70="E",IFERROR(IF(AC70="X",0,IF(AB70&gt;0,AB70,S70*AA70)),0),
IFERROR(IF(OR(AU70="X",AU70=0),0,
IF(AU70="A",AT70,S70*AS70)),0))</f>
        <v>0</v>
      </c>
      <c r="AF70" s="525"/>
      <c r="AG70" s="637"/>
      <c r="AH70" s="525"/>
      <c r="AI70" s="1086">
        <f t="shared" ref="AI70:AI72" ca="1" si="81">IF(BB70="E",AG70,AV70)</f>
        <v>100</v>
      </c>
      <c r="AJ70" s="380"/>
      <c r="AK70" s="440"/>
      <c r="AM70" s="460">
        <v>70</v>
      </c>
      <c r="AN70" s="1087" t="str">
        <f t="shared" ref="AN70:AN72" ca="1" si="82">IF($M$13=$AN$12,"",IF(ISTEXT(INDIRECT("'"&amp;$AM$20&amp;"'!"&amp;AN$21&amp;$AM70)),INDIRECT("'"&amp;$AM$20&amp;"'!"&amp;AN$21&amp;$AM70),INDIRECT("'"&amp;$AM$20&amp;"'!"&amp;AN$22&amp;$AM70)))</f>
        <v>Estrich</v>
      </c>
      <c r="AO70" s="1083">
        <f t="shared" ref="AO70:AV72" ca="1" si="83">IF($M$13=$AN$12,"",INDIRECT("'"&amp;$AM$20&amp;"'!"&amp;AO$21&amp;$AM70))</f>
        <v>67231.199999999997</v>
      </c>
      <c r="AP70" s="356">
        <f t="shared" ca="1" si="83"/>
        <v>0</v>
      </c>
      <c r="AQ70" s="357">
        <f t="shared" ca="1" si="83"/>
        <v>0</v>
      </c>
      <c r="AR70" s="524" t="str">
        <f t="shared" ca="1" si="83"/>
        <v/>
      </c>
      <c r="AS70" s="356">
        <f t="shared" ca="1" si="83"/>
        <v>0</v>
      </c>
      <c r="AT70" s="357">
        <f t="shared" ca="1" si="83"/>
        <v>0</v>
      </c>
      <c r="AU70" s="524" t="str">
        <f t="shared" ca="1" si="83"/>
        <v/>
      </c>
      <c r="AV70" s="1083">
        <f t="shared" ca="1" si="83"/>
        <v>100</v>
      </c>
      <c r="AX70" s="1083" t="str">
        <f t="shared" ref="AX70:AX72" si="84">IF($M$13=$AN$12,"E",IF(ISTEXT(F70),"E","U"))</f>
        <v>U</v>
      </c>
      <c r="AY70" s="1083" t="str">
        <f t="shared" ref="AY70:AY72" si="85">IF($M$13=$AN$12,"E",IF(OR(ISNUMBER(M70),ISNUMBER(O70),ISNUMBER(Q70)),"E","U"))</f>
        <v>U</v>
      </c>
      <c r="AZ70" s="1083" t="str">
        <f t="shared" ref="AZ70:AZ72" si="86">IF($M$13=$AN$12,"E",IF(OR(ISNUMBER(U70),ISNUMBER(V70)),"E","U"))</f>
        <v>U</v>
      </c>
      <c r="BA70" s="1083" t="str">
        <f t="shared" ref="BA70:BA72" si="87">IF($M$13=$AN$12,"E",IF(OR(ISNUMBER(AA70),ISNUMBER(AB70)),"E","U"))</f>
        <v>U</v>
      </c>
      <c r="BB70" s="1083" t="str">
        <f t="shared" ref="BB70:BB72" si="88">IF($M$13=$AN$12,"E",IF(ISNUMBER(AG70),"E","U"))</f>
        <v>U</v>
      </c>
    </row>
    <row r="71" spans="1:54" ht="12" customHeight="1" x14ac:dyDescent="0.2">
      <c r="A71" s="440"/>
      <c r="B71" s="1042"/>
      <c r="C71" s="1036"/>
      <c r="D71" s="380"/>
      <c r="E71" s="1084" t="str">
        <f ca="1">IF(AX71="E","",AN71)</f>
        <v>Trockenbau Deckenverkleidung</v>
      </c>
      <c r="F71" s="1085"/>
      <c r="G71" s="1264"/>
      <c r="H71" s="1264"/>
      <c r="I71" s="1265"/>
      <c r="J71" s="638"/>
      <c r="K71" s="533" t="s">
        <v>177</v>
      </c>
      <c r="L71" s="503"/>
      <c r="M71" s="343"/>
      <c r="N71" s="521" t="s">
        <v>67</v>
      </c>
      <c r="O71" s="344"/>
      <c r="P71" s="504" t="s">
        <v>68</v>
      </c>
      <c r="Q71" s="344"/>
      <c r="R71" s="522" t="s">
        <v>363</v>
      </c>
      <c r="S71" s="353">
        <f t="shared" ca="1" si="74"/>
        <v>13062.12</v>
      </c>
      <c r="T71" s="523"/>
      <c r="U71" s="350"/>
      <c r="V71" s="308"/>
      <c r="W71" s="1090" t="str">
        <f t="shared" ca="1" si="75"/>
        <v/>
      </c>
      <c r="X71" s="1103">
        <f t="shared" ca="1" si="76"/>
        <v>0</v>
      </c>
      <c r="Y71" s="1120">
        <f t="shared" ca="1" si="77"/>
        <v>0</v>
      </c>
      <c r="Z71" s="524"/>
      <c r="AA71" s="350"/>
      <c r="AB71" s="308"/>
      <c r="AC71" s="1090" t="str">
        <f t="shared" ca="1" si="78"/>
        <v/>
      </c>
      <c r="AD71" s="1103">
        <f t="shared" ca="1" si="79"/>
        <v>0</v>
      </c>
      <c r="AE71" s="1120">
        <f t="shared" ca="1" si="80"/>
        <v>0</v>
      </c>
      <c r="AF71" s="525"/>
      <c r="AG71" s="637"/>
      <c r="AH71" s="525"/>
      <c r="AI71" s="1086">
        <f t="shared" ca="1" si="81"/>
        <v>60</v>
      </c>
      <c r="AJ71" s="380"/>
      <c r="AK71" s="440"/>
      <c r="AM71" s="460">
        <v>71</v>
      </c>
      <c r="AN71" s="1087" t="str">
        <f t="shared" ca="1" si="82"/>
        <v>Trockenbau Deckenverkleidung</v>
      </c>
      <c r="AO71" s="1083">
        <f t="shared" ca="1" si="83"/>
        <v>13062.12</v>
      </c>
      <c r="AP71" s="356">
        <f t="shared" ca="1" si="83"/>
        <v>0</v>
      </c>
      <c r="AQ71" s="357">
        <f t="shared" ca="1" si="83"/>
        <v>0</v>
      </c>
      <c r="AR71" s="524" t="str">
        <f t="shared" ca="1" si="83"/>
        <v/>
      </c>
      <c r="AS71" s="356">
        <f t="shared" ca="1" si="83"/>
        <v>0</v>
      </c>
      <c r="AT71" s="357">
        <f t="shared" ca="1" si="83"/>
        <v>0</v>
      </c>
      <c r="AU71" s="524" t="str">
        <f t="shared" ca="1" si="83"/>
        <v/>
      </c>
      <c r="AV71" s="1083">
        <f t="shared" ca="1" si="83"/>
        <v>60</v>
      </c>
      <c r="AX71" s="1083" t="str">
        <f t="shared" si="84"/>
        <v>U</v>
      </c>
      <c r="AY71" s="1083" t="str">
        <f t="shared" si="85"/>
        <v>U</v>
      </c>
      <c r="AZ71" s="1083" t="str">
        <f t="shared" si="86"/>
        <v>U</v>
      </c>
      <c r="BA71" s="1083" t="str">
        <f t="shared" si="87"/>
        <v>U</v>
      </c>
      <c r="BB71" s="1083" t="str">
        <f t="shared" si="88"/>
        <v>U</v>
      </c>
    </row>
    <row r="72" spans="1:54" ht="12" customHeight="1" x14ac:dyDescent="0.2">
      <c r="A72" s="440"/>
      <c r="B72" s="1042"/>
      <c r="C72" s="1036"/>
      <c r="D72" s="380"/>
      <c r="E72" s="1084">
        <f ca="1">IF(AX72="E","",AN72)</f>
        <v>0</v>
      </c>
      <c r="F72" s="1085"/>
      <c r="G72" s="1264"/>
      <c r="H72" s="1264"/>
      <c r="I72" s="1265"/>
      <c r="J72" s="638"/>
      <c r="K72" s="533" t="s">
        <v>177</v>
      </c>
      <c r="L72" s="503"/>
      <c r="M72" s="343"/>
      <c r="N72" s="521" t="s">
        <v>67</v>
      </c>
      <c r="O72" s="344"/>
      <c r="P72" s="504" t="s">
        <v>68</v>
      </c>
      <c r="Q72" s="344"/>
      <c r="R72" s="522" t="s">
        <v>363</v>
      </c>
      <c r="S72" s="353">
        <f t="shared" ca="1" si="74"/>
        <v>0</v>
      </c>
      <c r="T72" s="523"/>
      <c r="U72" s="350"/>
      <c r="V72" s="308"/>
      <c r="W72" s="1090" t="str">
        <f t="shared" ca="1" si="75"/>
        <v/>
      </c>
      <c r="X72" s="1103">
        <f t="shared" ca="1" si="76"/>
        <v>0</v>
      </c>
      <c r="Y72" s="1120">
        <f t="shared" ca="1" si="77"/>
        <v>0</v>
      </c>
      <c r="Z72" s="524"/>
      <c r="AA72" s="350"/>
      <c r="AB72" s="308"/>
      <c r="AC72" s="1090" t="str">
        <f t="shared" ca="1" si="78"/>
        <v/>
      </c>
      <c r="AD72" s="1103">
        <f t="shared" ca="1" si="79"/>
        <v>0</v>
      </c>
      <c r="AE72" s="1120">
        <f t="shared" ca="1" si="80"/>
        <v>0</v>
      </c>
      <c r="AF72" s="525"/>
      <c r="AG72" s="637"/>
      <c r="AH72" s="525"/>
      <c r="AI72" s="1086">
        <f t="shared" ca="1" si="81"/>
        <v>0</v>
      </c>
      <c r="AJ72" s="380"/>
      <c r="AK72" s="440"/>
      <c r="AM72" s="460">
        <v>72</v>
      </c>
      <c r="AN72" s="1087">
        <f t="shared" ca="1" si="82"/>
        <v>0</v>
      </c>
      <c r="AO72" s="1083">
        <f t="shared" ca="1" si="83"/>
        <v>0</v>
      </c>
      <c r="AP72" s="356">
        <f t="shared" ca="1" si="83"/>
        <v>0</v>
      </c>
      <c r="AQ72" s="357">
        <f t="shared" ca="1" si="83"/>
        <v>0</v>
      </c>
      <c r="AR72" s="524" t="str">
        <f t="shared" ca="1" si="83"/>
        <v/>
      </c>
      <c r="AS72" s="356">
        <f t="shared" ca="1" si="83"/>
        <v>0</v>
      </c>
      <c r="AT72" s="357">
        <f t="shared" ca="1" si="83"/>
        <v>0</v>
      </c>
      <c r="AU72" s="524" t="str">
        <f t="shared" ca="1" si="83"/>
        <v/>
      </c>
      <c r="AV72" s="1083">
        <f t="shared" ca="1" si="83"/>
        <v>0</v>
      </c>
      <c r="AX72" s="1083" t="str">
        <f t="shared" si="84"/>
        <v>U</v>
      </c>
      <c r="AY72" s="1083" t="str">
        <f t="shared" si="85"/>
        <v>U</v>
      </c>
      <c r="AZ72" s="1083" t="str">
        <f t="shared" si="86"/>
        <v>U</v>
      </c>
      <c r="BA72" s="1083" t="str">
        <f t="shared" si="87"/>
        <v>U</v>
      </c>
      <c r="BB72" s="1083" t="str">
        <f t="shared" si="88"/>
        <v>U</v>
      </c>
    </row>
    <row r="73" spans="1:54" ht="14.25" customHeight="1" collapsed="1" x14ac:dyDescent="0.25">
      <c r="A73" s="440"/>
      <c r="B73" s="1042"/>
      <c r="C73" s="1036" t="s">
        <v>152</v>
      </c>
      <c r="D73" s="494"/>
      <c r="E73" s="1596" t="s">
        <v>135</v>
      </c>
      <c r="F73" s="1596"/>
      <c r="G73" s="1596"/>
      <c r="H73" s="1596"/>
      <c r="I73" s="1597"/>
      <c r="J73" s="1038"/>
      <c r="K73" s="529"/>
      <c r="L73" s="529"/>
      <c r="M73" s="526"/>
      <c r="N73" s="519"/>
      <c r="O73" s="530"/>
      <c r="P73" s="1037"/>
      <c r="Q73" s="1037"/>
      <c r="R73" s="1037"/>
      <c r="S73" s="355">
        <f ca="1">S74+S82+S87</f>
        <v>177581.85599999997</v>
      </c>
      <c r="T73" s="363"/>
      <c r="U73" s="360"/>
      <c r="V73" s="361"/>
      <c r="W73" s="1092"/>
      <c r="X73" s="1105"/>
      <c r="Y73" s="1121"/>
      <c r="Z73" s="363"/>
      <c r="AA73" s="360"/>
      <c r="AB73" s="361"/>
      <c r="AC73" s="1092"/>
      <c r="AD73" s="1105"/>
      <c r="AE73" s="1121"/>
      <c r="AF73" s="359"/>
      <c r="AG73" s="358"/>
      <c r="AH73" s="359"/>
      <c r="AI73" s="358"/>
      <c r="AJ73" s="359"/>
      <c r="AK73" s="440"/>
      <c r="AM73" s="460">
        <v>73</v>
      </c>
      <c r="AN73" s="1078"/>
      <c r="AP73" s="1081"/>
      <c r="AS73" s="1081"/>
      <c r="AZ73" s="1081"/>
      <c r="BA73" s="1081"/>
    </row>
    <row r="74" spans="1:54" ht="12" customHeight="1" x14ac:dyDescent="0.25">
      <c r="A74" s="440"/>
      <c r="B74" s="1042"/>
      <c r="C74" s="1036"/>
      <c r="D74" s="1037" t="s">
        <v>153</v>
      </c>
      <c r="E74" s="1599" t="s">
        <v>158</v>
      </c>
      <c r="F74" s="1599"/>
      <c r="G74" s="1599"/>
      <c r="H74" s="1599"/>
      <c r="I74" s="1597"/>
      <c r="J74" s="1038"/>
      <c r="K74" s="529"/>
      <c r="L74" s="503"/>
      <c r="M74" s="526"/>
      <c r="N74" s="519"/>
      <c r="O74" s="530"/>
      <c r="P74" s="1037"/>
      <c r="Q74" s="1037"/>
      <c r="R74" s="1037"/>
      <c r="S74" s="354">
        <f ca="1">SUBTOTAL(109,S76:S81)</f>
        <v>109483.2</v>
      </c>
      <c r="T74" s="363"/>
      <c r="U74" s="358"/>
      <c r="V74" s="358"/>
      <c r="W74" s="1091"/>
      <c r="X74" s="1104"/>
      <c r="Y74" s="1104"/>
      <c r="Z74" s="358"/>
      <c r="AA74" s="358"/>
      <c r="AB74" s="358"/>
      <c r="AC74" s="1091"/>
      <c r="AD74" s="1104"/>
      <c r="AE74" s="1104"/>
      <c r="AF74" s="358"/>
      <c r="AG74" s="358"/>
      <c r="AH74" s="358"/>
      <c r="AI74" s="358"/>
      <c r="AJ74" s="358"/>
      <c r="AK74" s="440"/>
      <c r="AM74" s="460">
        <v>74</v>
      </c>
      <c r="AN74" s="1078"/>
      <c r="AP74" s="1081"/>
      <c r="AS74" s="1081"/>
      <c r="AZ74" s="1081"/>
      <c r="BA74" s="1081"/>
    </row>
    <row r="75" spans="1:54" ht="12" customHeight="1" x14ac:dyDescent="0.25">
      <c r="A75" s="440"/>
      <c r="B75" s="1042"/>
      <c r="C75" s="1036"/>
      <c r="D75" s="1037"/>
      <c r="E75" s="1037"/>
      <c r="F75" s="1037"/>
      <c r="G75" s="1037"/>
      <c r="H75" s="1037"/>
      <c r="I75" s="1035"/>
      <c r="J75" s="1603" t="s">
        <v>170</v>
      </c>
      <c r="K75" s="1603"/>
      <c r="L75" s="503"/>
      <c r="M75" s="526"/>
      <c r="N75" s="519"/>
      <c r="O75" s="530"/>
      <c r="P75" s="1037"/>
      <c r="Q75" s="1037"/>
      <c r="R75" s="1037"/>
      <c r="S75" s="354"/>
      <c r="T75" s="363"/>
      <c r="U75" s="366"/>
      <c r="V75" s="367"/>
      <c r="W75" s="1092"/>
      <c r="X75" s="1107"/>
      <c r="Y75" s="1123"/>
      <c r="Z75" s="363"/>
      <c r="AA75" s="366"/>
      <c r="AB75" s="367"/>
      <c r="AC75" s="1092"/>
      <c r="AD75" s="1107"/>
      <c r="AE75" s="1123"/>
      <c r="AF75" s="359"/>
      <c r="AG75" s="373"/>
      <c r="AH75" s="359"/>
      <c r="AI75" s="373"/>
      <c r="AJ75" s="359"/>
      <c r="AK75" s="440"/>
      <c r="AM75" s="460">
        <v>75</v>
      </c>
      <c r="AN75" s="1078"/>
      <c r="AP75" s="1081"/>
      <c r="AS75" s="1081"/>
      <c r="AZ75" s="1081"/>
      <c r="BA75" s="1081"/>
    </row>
    <row r="76" spans="1:54" ht="12" customHeight="1" x14ac:dyDescent="0.2">
      <c r="A76" s="440"/>
      <c r="B76" s="1042"/>
      <c r="C76" s="1036"/>
      <c r="D76" s="1037"/>
      <c r="E76" s="1084" t="str">
        <f t="shared" ref="E76:E81" ca="1" si="89">IF(AX76="E","",AN76)</f>
        <v>WDVS</v>
      </c>
      <c r="F76" s="1085"/>
      <c r="G76" s="1264"/>
      <c r="H76" s="1264"/>
      <c r="I76" s="1265"/>
      <c r="J76" s="638"/>
      <c r="K76" s="520" t="s">
        <v>177</v>
      </c>
      <c r="L76" s="521"/>
      <c r="M76" s="342"/>
      <c r="N76" s="521" t="s">
        <v>67</v>
      </c>
      <c r="O76" s="344"/>
      <c r="P76" s="504" t="s">
        <v>68</v>
      </c>
      <c r="Q76" s="344"/>
      <c r="R76" s="522" t="s">
        <v>363</v>
      </c>
      <c r="S76" s="353">
        <f t="shared" ref="S76:S81" ca="1" si="90">IF(AY76="E",(M76*O76)+Q76,AO76)</f>
        <v>91980</v>
      </c>
      <c r="T76" s="523"/>
      <c r="U76" s="350"/>
      <c r="V76" s="308"/>
      <c r="W76" s="1090" t="str">
        <f t="shared" ref="W76:W81" ca="1" si="91">IF(AZ76="E",IF(AND(V76&lt;&gt;0,U76&lt;&gt;0),"X",IF(AND(V76&lt;&gt;0,U76=0),"A",IF(AND(V76=0,U76&lt;&gt;0),"P",""))),AR76)</f>
        <v/>
      </c>
      <c r="X76" s="1103">
        <f t="shared" ref="X76:X81" ca="1" si="92">IF(AZ76="E",IFERROR(IF(W76="X",0,IF(U76&gt;0,U76,V76/S76)),0),
IFERROR(IF(OR(AR76="X",AR76=0),0,
IF(AR76="P",AP76,IF(AR76="A",AQ76/S76,0))),0))</f>
        <v>0</v>
      </c>
      <c r="Y76" s="1120">
        <f t="shared" ref="Y76:Y81" ca="1" si="93">IF(AZ76="E",IFERROR(IF(W76="X",0,IF(V76&gt;0,V76,S76*U76)),0),
IFERROR(IF(OR(AR76="X",AR76="0"),0,IF(AR76="A",AQ76,S76*AP76)),0))</f>
        <v>0</v>
      </c>
      <c r="Z76" s="524"/>
      <c r="AA76" s="350"/>
      <c r="AB76" s="308"/>
      <c r="AC76" s="1090" t="str">
        <f t="shared" ref="AC76:AC81" ca="1" si="94">IF(BA76="E",IF(AND(AB76&lt;&gt;0,AA76&lt;&gt;0),"X",IF(AND(AB76&lt;&gt;0,AA76=0),"A",IF(AND(AB76=0,AA76&lt;&gt;0),"P",""))),AU76)</f>
        <v/>
      </c>
      <c r="AD76" s="1103">
        <f t="shared" ref="AD76:AD81" ca="1" si="95">IF(BA76="E",IFERROR(IF(AC76="X",0,IF(AA76&gt;0,AA76,AB76/S76)),0),
IFERROR(IF(OR(AU76="X",AU76=0),0,
IF(AU76="P",AS76,IF(AU76="A",AT76/S76,0))),0))</f>
        <v>0</v>
      </c>
      <c r="AE76" s="1120">
        <f t="shared" ref="AE76:AE81" ca="1" si="96">IF(BA76="E",IFERROR(IF(AC76="X",0,IF(AB76&gt;0,AB76,S76*AA76)),0),
IFERROR(IF(OR(AU76="X",AU76=0),0,
IF(AU76="A",AT76,S76*AS76)),0))</f>
        <v>0</v>
      </c>
      <c r="AF76" s="525"/>
      <c r="AG76" s="637"/>
      <c r="AH76" s="525"/>
      <c r="AI76" s="1086">
        <f t="shared" ref="AI76:AI81" ca="1" si="97">IF(BB76="E",AG76,AV76)</f>
        <v>50</v>
      </c>
      <c r="AJ76" s="380"/>
      <c r="AK76" s="440"/>
      <c r="AM76" s="460">
        <v>76</v>
      </c>
      <c r="AN76" s="1087" t="str">
        <f t="shared" ref="AN76:AN81" ca="1" si="98">IF($M$13=$AN$12,"",IF(ISTEXT(INDIRECT("'"&amp;$AM$20&amp;"'!"&amp;AN$21&amp;$AM76)),INDIRECT("'"&amp;$AM$20&amp;"'!"&amp;AN$21&amp;$AM76),INDIRECT("'"&amp;$AM$20&amp;"'!"&amp;AN$22&amp;$AM76)))</f>
        <v>WDVS</v>
      </c>
      <c r="AO76" s="1083">
        <f t="shared" ref="AO76:AV81" ca="1" si="99">IF($M$13=$AN$12,"",INDIRECT("'"&amp;$AM$20&amp;"'!"&amp;AO$21&amp;$AM76))</f>
        <v>91980</v>
      </c>
      <c r="AP76" s="356">
        <f t="shared" ca="1" si="99"/>
        <v>0</v>
      </c>
      <c r="AQ76" s="357">
        <f t="shared" ca="1" si="99"/>
        <v>0</v>
      </c>
      <c r="AR76" s="524" t="str">
        <f t="shared" ca="1" si="99"/>
        <v/>
      </c>
      <c r="AS76" s="356">
        <f t="shared" ca="1" si="99"/>
        <v>0</v>
      </c>
      <c r="AT76" s="357">
        <f t="shared" ca="1" si="99"/>
        <v>0</v>
      </c>
      <c r="AU76" s="524" t="str">
        <f t="shared" ca="1" si="99"/>
        <v/>
      </c>
      <c r="AV76" s="1083">
        <f t="shared" ca="1" si="99"/>
        <v>50</v>
      </c>
      <c r="AX76" s="1083" t="str">
        <f t="shared" ref="AX76:AX81" si="100">IF($M$13=$AN$12,"E",IF(ISTEXT(F76),"E","U"))</f>
        <v>U</v>
      </c>
      <c r="AY76" s="1083" t="str">
        <f t="shared" ref="AY76:AY81" si="101">IF($M$13=$AN$12,"E",IF(OR(ISNUMBER(M76),ISNUMBER(O76),ISNUMBER(Q76)),"E","U"))</f>
        <v>U</v>
      </c>
      <c r="AZ76" s="1083" t="str">
        <f t="shared" ref="AZ76:AZ81" si="102">IF($M$13=$AN$12,"E",IF(OR(ISNUMBER(U76),ISNUMBER(V76)),"E","U"))</f>
        <v>U</v>
      </c>
      <c r="BA76" s="1083" t="str">
        <f t="shared" ref="BA76:BA81" si="103">IF($M$13=$AN$12,"E",IF(OR(ISNUMBER(AA76),ISNUMBER(AB76)),"E","U"))</f>
        <v>U</v>
      </c>
      <c r="BB76" s="1083" t="str">
        <f t="shared" ref="BB76:BB81" si="104">IF($M$13=$AN$12,"E",IF(ISNUMBER(AG76),"E","U"))</f>
        <v>U</v>
      </c>
    </row>
    <row r="77" spans="1:54" ht="12" customHeight="1" x14ac:dyDescent="0.2">
      <c r="A77" s="440"/>
      <c r="B77" s="1042"/>
      <c r="C77" s="1036"/>
      <c r="D77" s="1037"/>
      <c r="E77" s="1084" t="str">
        <f t="shared" ca="1" si="89"/>
        <v>Verputz LD80 - Innenputz</v>
      </c>
      <c r="F77" s="1085"/>
      <c r="G77" s="1264"/>
      <c r="H77" s="1264"/>
      <c r="I77" s="1265"/>
      <c r="J77" s="638"/>
      <c r="K77" s="520" t="s">
        <v>177</v>
      </c>
      <c r="L77" s="521"/>
      <c r="M77" s="342"/>
      <c r="N77" s="521" t="s">
        <v>67</v>
      </c>
      <c r="O77" s="344"/>
      <c r="P77" s="504" t="s">
        <v>68</v>
      </c>
      <c r="Q77" s="344"/>
      <c r="R77" s="522" t="s">
        <v>363</v>
      </c>
      <c r="S77" s="353">
        <f t="shared" ca="1" si="90"/>
        <v>14448</v>
      </c>
      <c r="T77" s="523"/>
      <c r="U77" s="350"/>
      <c r="V77" s="308"/>
      <c r="W77" s="1090" t="str">
        <f t="shared" ca="1" si="91"/>
        <v/>
      </c>
      <c r="X77" s="1103">
        <f t="shared" ca="1" si="92"/>
        <v>0</v>
      </c>
      <c r="Y77" s="1120">
        <f t="shared" ca="1" si="93"/>
        <v>0</v>
      </c>
      <c r="Z77" s="524"/>
      <c r="AA77" s="350"/>
      <c r="AB77" s="308"/>
      <c r="AC77" s="1090" t="str">
        <f t="shared" ca="1" si="94"/>
        <v/>
      </c>
      <c r="AD77" s="1103">
        <f t="shared" ca="1" si="95"/>
        <v>0</v>
      </c>
      <c r="AE77" s="1120">
        <f t="shared" ca="1" si="96"/>
        <v>0</v>
      </c>
      <c r="AF77" s="525"/>
      <c r="AG77" s="637"/>
      <c r="AH77" s="525"/>
      <c r="AI77" s="1086">
        <f t="shared" ca="1" si="97"/>
        <v>80</v>
      </c>
      <c r="AJ77" s="380"/>
      <c r="AK77" s="440"/>
      <c r="AM77" s="460">
        <v>77</v>
      </c>
      <c r="AN77" s="1087" t="str">
        <f t="shared" ca="1" si="98"/>
        <v>Verputz LD80 - Innenputz</v>
      </c>
      <c r="AO77" s="1083">
        <f t="shared" ca="1" si="99"/>
        <v>14448</v>
      </c>
      <c r="AP77" s="356">
        <f t="shared" ca="1" si="99"/>
        <v>0</v>
      </c>
      <c r="AQ77" s="357">
        <f t="shared" ca="1" si="99"/>
        <v>0</v>
      </c>
      <c r="AR77" s="524" t="str">
        <f t="shared" ca="1" si="99"/>
        <v/>
      </c>
      <c r="AS77" s="356">
        <f t="shared" ca="1" si="99"/>
        <v>0</v>
      </c>
      <c r="AT77" s="357">
        <f t="shared" ca="1" si="99"/>
        <v>0</v>
      </c>
      <c r="AU77" s="524" t="str">
        <f t="shared" ca="1" si="99"/>
        <v/>
      </c>
      <c r="AV77" s="1083">
        <f t="shared" ca="1" si="99"/>
        <v>80</v>
      </c>
      <c r="AX77" s="1083" t="str">
        <f t="shared" si="100"/>
        <v>U</v>
      </c>
      <c r="AY77" s="1083" t="str">
        <f t="shared" si="101"/>
        <v>U</v>
      </c>
      <c r="AZ77" s="1083" t="str">
        <f t="shared" si="102"/>
        <v>U</v>
      </c>
      <c r="BA77" s="1083" t="str">
        <f t="shared" si="103"/>
        <v>U</v>
      </c>
      <c r="BB77" s="1083" t="str">
        <f t="shared" si="104"/>
        <v>U</v>
      </c>
    </row>
    <row r="78" spans="1:54" ht="12" customHeight="1" x14ac:dyDescent="0.2">
      <c r="A78" s="440"/>
      <c r="B78" s="1042"/>
      <c r="C78" s="1036"/>
      <c r="D78" s="1037"/>
      <c r="E78" s="1084" t="str">
        <f t="shared" ca="1" si="89"/>
        <v>Verputz LD100 -Schlitzarbeiten innen</v>
      </c>
      <c r="F78" s="1085"/>
      <c r="G78" s="1264"/>
      <c r="H78" s="1264"/>
      <c r="I78" s="1265"/>
      <c r="J78" s="638"/>
      <c r="K78" s="520" t="s">
        <v>177</v>
      </c>
      <c r="L78" s="521"/>
      <c r="M78" s="342"/>
      <c r="N78" s="521" t="s">
        <v>67</v>
      </c>
      <c r="O78" s="344"/>
      <c r="P78" s="504" t="s">
        <v>68</v>
      </c>
      <c r="Q78" s="344"/>
      <c r="R78" s="522" t="s">
        <v>363</v>
      </c>
      <c r="S78" s="353">
        <f t="shared" ca="1" si="90"/>
        <v>3055.2</v>
      </c>
      <c r="T78" s="523"/>
      <c r="U78" s="350"/>
      <c r="V78" s="308"/>
      <c r="W78" s="1090" t="str">
        <f t="shared" ca="1" si="91"/>
        <v/>
      </c>
      <c r="X78" s="1103">
        <f t="shared" ca="1" si="92"/>
        <v>0</v>
      </c>
      <c r="Y78" s="1120">
        <f t="shared" ca="1" si="93"/>
        <v>0</v>
      </c>
      <c r="Z78" s="524"/>
      <c r="AA78" s="350"/>
      <c r="AB78" s="308"/>
      <c r="AC78" s="1090" t="str">
        <f t="shared" ca="1" si="94"/>
        <v/>
      </c>
      <c r="AD78" s="1103">
        <f t="shared" ca="1" si="95"/>
        <v>0</v>
      </c>
      <c r="AE78" s="1120">
        <f t="shared" ca="1" si="96"/>
        <v>0</v>
      </c>
      <c r="AF78" s="525"/>
      <c r="AG78" s="637"/>
      <c r="AH78" s="525"/>
      <c r="AI78" s="1086">
        <f t="shared" ca="1" si="97"/>
        <v>100</v>
      </c>
      <c r="AJ78" s="380"/>
      <c r="AK78" s="440"/>
      <c r="AM78" s="460">
        <v>78</v>
      </c>
      <c r="AN78" s="1087" t="str">
        <f t="shared" ca="1" si="98"/>
        <v>Verputz LD100 -Schlitzarbeiten innen</v>
      </c>
      <c r="AO78" s="1083">
        <f t="shared" ca="1" si="99"/>
        <v>3055.2</v>
      </c>
      <c r="AP78" s="356">
        <f t="shared" ca="1" si="99"/>
        <v>0</v>
      </c>
      <c r="AQ78" s="357">
        <f t="shared" ca="1" si="99"/>
        <v>0</v>
      </c>
      <c r="AR78" s="524" t="str">
        <f t="shared" ca="1" si="99"/>
        <v/>
      </c>
      <c r="AS78" s="356">
        <f t="shared" ca="1" si="99"/>
        <v>0</v>
      </c>
      <c r="AT78" s="357">
        <f t="shared" ca="1" si="99"/>
        <v>0</v>
      </c>
      <c r="AU78" s="524" t="str">
        <f t="shared" ca="1" si="99"/>
        <v/>
      </c>
      <c r="AV78" s="1083">
        <f t="shared" ca="1" si="99"/>
        <v>100</v>
      </c>
      <c r="AX78" s="1083" t="str">
        <f t="shared" si="100"/>
        <v>U</v>
      </c>
      <c r="AY78" s="1083" t="str">
        <f t="shared" si="101"/>
        <v>U</v>
      </c>
      <c r="AZ78" s="1083" t="str">
        <f t="shared" si="102"/>
        <v>U</v>
      </c>
      <c r="BA78" s="1083" t="str">
        <f t="shared" si="103"/>
        <v>U</v>
      </c>
      <c r="BB78" s="1083" t="str">
        <f t="shared" si="104"/>
        <v>U</v>
      </c>
    </row>
    <row r="79" spans="1:54" ht="12" customHeight="1" x14ac:dyDescent="0.2">
      <c r="A79" s="440"/>
      <c r="B79" s="1042"/>
      <c r="C79" s="1036"/>
      <c r="D79" s="1037"/>
      <c r="E79" s="1084">
        <f t="shared" ca="1" si="89"/>
        <v>0</v>
      </c>
      <c r="F79" s="1085"/>
      <c r="G79" s="1264"/>
      <c r="H79" s="1264"/>
      <c r="I79" s="1265"/>
      <c r="J79" s="638"/>
      <c r="K79" s="520" t="s">
        <v>177</v>
      </c>
      <c r="L79" s="521"/>
      <c r="M79" s="342"/>
      <c r="N79" s="521" t="s">
        <v>67</v>
      </c>
      <c r="O79" s="344"/>
      <c r="P79" s="504" t="s">
        <v>68</v>
      </c>
      <c r="Q79" s="344"/>
      <c r="R79" s="522" t="s">
        <v>363</v>
      </c>
      <c r="S79" s="353">
        <f t="shared" ca="1" si="90"/>
        <v>0</v>
      </c>
      <c r="T79" s="523"/>
      <c r="U79" s="350"/>
      <c r="V79" s="308"/>
      <c r="W79" s="1090" t="str">
        <f t="shared" ca="1" si="91"/>
        <v/>
      </c>
      <c r="X79" s="1103">
        <f t="shared" ca="1" si="92"/>
        <v>0</v>
      </c>
      <c r="Y79" s="1120">
        <f t="shared" ca="1" si="93"/>
        <v>0</v>
      </c>
      <c r="Z79" s="524"/>
      <c r="AA79" s="350"/>
      <c r="AB79" s="308"/>
      <c r="AC79" s="1090" t="str">
        <f t="shared" ca="1" si="94"/>
        <v/>
      </c>
      <c r="AD79" s="1103">
        <f t="shared" ca="1" si="95"/>
        <v>0</v>
      </c>
      <c r="AE79" s="1120">
        <f t="shared" ca="1" si="96"/>
        <v>0</v>
      </c>
      <c r="AF79" s="525"/>
      <c r="AG79" s="637"/>
      <c r="AH79" s="525"/>
      <c r="AI79" s="1086">
        <f t="shared" ca="1" si="97"/>
        <v>0</v>
      </c>
      <c r="AJ79" s="380"/>
      <c r="AK79" s="440"/>
      <c r="AM79" s="460">
        <v>79</v>
      </c>
      <c r="AN79" s="1087">
        <f t="shared" ca="1" si="98"/>
        <v>0</v>
      </c>
      <c r="AO79" s="1083">
        <f t="shared" ca="1" si="99"/>
        <v>0</v>
      </c>
      <c r="AP79" s="356">
        <f t="shared" ca="1" si="99"/>
        <v>0</v>
      </c>
      <c r="AQ79" s="357">
        <f t="shared" ca="1" si="99"/>
        <v>0</v>
      </c>
      <c r="AR79" s="524" t="str">
        <f t="shared" ca="1" si="99"/>
        <v/>
      </c>
      <c r="AS79" s="356">
        <f t="shared" ca="1" si="99"/>
        <v>0</v>
      </c>
      <c r="AT79" s="357">
        <f t="shared" ca="1" si="99"/>
        <v>0</v>
      </c>
      <c r="AU79" s="524" t="str">
        <f t="shared" ca="1" si="99"/>
        <v/>
      </c>
      <c r="AV79" s="1083">
        <f t="shared" ca="1" si="99"/>
        <v>0</v>
      </c>
      <c r="AX79" s="1083" t="str">
        <f t="shared" si="100"/>
        <v>U</v>
      </c>
      <c r="AY79" s="1083" t="str">
        <f t="shared" si="101"/>
        <v>U</v>
      </c>
      <c r="AZ79" s="1083" t="str">
        <f t="shared" si="102"/>
        <v>U</v>
      </c>
      <c r="BA79" s="1083" t="str">
        <f t="shared" si="103"/>
        <v>U</v>
      </c>
      <c r="BB79" s="1083" t="str">
        <f t="shared" si="104"/>
        <v>U</v>
      </c>
    </row>
    <row r="80" spans="1:54" ht="12" customHeight="1" x14ac:dyDescent="0.2">
      <c r="A80" s="440"/>
      <c r="B80" s="1042"/>
      <c r="C80" s="1036"/>
      <c r="D80" s="1037"/>
      <c r="E80" s="1084">
        <f t="shared" ca="1" si="89"/>
        <v>0</v>
      </c>
      <c r="F80" s="1085"/>
      <c r="G80" s="1264"/>
      <c r="H80" s="1264"/>
      <c r="I80" s="1265"/>
      <c r="J80" s="638"/>
      <c r="K80" s="520" t="s">
        <v>177</v>
      </c>
      <c r="L80" s="521"/>
      <c r="M80" s="342"/>
      <c r="N80" s="521" t="s">
        <v>67</v>
      </c>
      <c r="O80" s="344"/>
      <c r="P80" s="504" t="s">
        <v>68</v>
      </c>
      <c r="Q80" s="344"/>
      <c r="R80" s="522" t="s">
        <v>363</v>
      </c>
      <c r="S80" s="353">
        <f t="shared" ca="1" si="90"/>
        <v>0</v>
      </c>
      <c r="T80" s="523"/>
      <c r="U80" s="350"/>
      <c r="V80" s="308"/>
      <c r="W80" s="1090" t="str">
        <f t="shared" ca="1" si="91"/>
        <v/>
      </c>
      <c r="X80" s="1103">
        <f t="shared" ca="1" si="92"/>
        <v>0</v>
      </c>
      <c r="Y80" s="1120">
        <f t="shared" ca="1" si="93"/>
        <v>0</v>
      </c>
      <c r="Z80" s="524"/>
      <c r="AA80" s="350"/>
      <c r="AB80" s="308"/>
      <c r="AC80" s="1090" t="str">
        <f t="shared" ca="1" si="94"/>
        <v/>
      </c>
      <c r="AD80" s="1103">
        <f t="shared" ca="1" si="95"/>
        <v>0</v>
      </c>
      <c r="AE80" s="1120">
        <f t="shared" ca="1" si="96"/>
        <v>0</v>
      </c>
      <c r="AF80" s="525"/>
      <c r="AG80" s="637"/>
      <c r="AH80" s="525"/>
      <c r="AI80" s="1086">
        <f t="shared" ca="1" si="97"/>
        <v>0</v>
      </c>
      <c r="AJ80" s="380"/>
      <c r="AK80" s="440"/>
      <c r="AM80" s="460">
        <v>80</v>
      </c>
      <c r="AN80" s="1087">
        <f t="shared" ca="1" si="98"/>
        <v>0</v>
      </c>
      <c r="AO80" s="1083">
        <f t="shared" ca="1" si="99"/>
        <v>0</v>
      </c>
      <c r="AP80" s="356">
        <f t="shared" ca="1" si="99"/>
        <v>0</v>
      </c>
      <c r="AQ80" s="357">
        <f t="shared" ca="1" si="99"/>
        <v>0</v>
      </c>
      <c r="AR80" s="524" t="str">
        <f t="shared" ca="1" si="99"/>
        <v/>
      </c>
      <c r="AS80" s="356">
        <f t="shared" ca="1" si="99"/>
        <v>0</v>
      </c>
      <c r="AT80" s="357">
        <f t="shared" ca="1" si="99"/>
        <v>0</v>
      </c>
      <c r="AU80" s="524" t="str">
        <f t="shared" ca="1" si="99"/>
        <v/>
      </c>
      <c r="AV80" s="1083">
        <f t="shared" ca="1" si="99"/>
        <v>0</v>
      </c>
      <c r="AX80" s="1083" t="str">
        <f t="shared" si="100"/>
        <v>U</v>
      </c>
      <c r="AY80" s="1083" t="str">
        <f t="shared" si="101"/>
        <v>U</v>
      </c>
      <c r="AZ80" s="1083" t="str">
        <f t="shared" si="102"/>
        <v>U</v>
      </c>
      <c r="BA80" s="1083" t="str">
        <f t="shared" si="103"/>
        <v>U</v>
      </c>
      <c r="BB80" s="1083" t="str">
        <f t="shared" si="104"/>
        <v>U</v>
      </c>
    </row>
    <row r="81" spans="1:54" ht="12" customHeight="1" x14ac:dyDescent="0.2">
      <c r="A81" s="440"/>
      <c r="B81" s="1042"/>
      <c r="C81" s="1036"/>
      <c r="D81" s="1037"/>
      <c r="E81" s="1084">
        <f t="shared" ca="1" si="89"/>
        <v>0</v>
      </c>
      <c r="F81" s="1085"/>
      <c r="G81" s="1264"/>
      <c r="H81" s="1264"/>
      <c r="I81" s="1265"/>
      <c r="J81" s="638"/>
      <c r="K81" s="520" t="s">
        <v>177</v>
      </c>
      <c r="L81" s="521"/>
      <c r="M81" s="342"/>
      <c r="N81" s="521" t="s">
        <v>67</v>
      </c>
      <c r="O81" s="344"/>
      <c r="P81" s="504" t="s">
        <v>68</v>
      </c>
      <c r="Q81" s="344"/>
      <c r="R81" s="522" t="s">
        <v>363</v>
      </c>
      <c r="S81" s="353">
        <f t="shared" ca="1" si="90"/>
        <v>0</v>
      </c>
      <c r="T81" s="523"/>
      <c r="U81" s="350"/>
      <c r="V81" s="308"/>
      <c r="W81" s="1090" t="str">
        <f t="shared" ca="1" si="91"/>
        <v/>
      </c>
      <c r="X81" s="1103">
        <f t="shared" ca="1" si="92"/>
        <v>0</v>
      </c>
      <c r="Y81" s="1120">
        <f t="shared" ca="1" si="93"/>
        <v>0</v>
      </c>
      <c r="Z81" s="524"/>
      <c r="AA81" s="350"/>
      <c r="AB81" s="308"/>
      <c r="AC81" s="1090" t="str">
        <f t="shared" ca="1" si="94"/>
        <v/>
      </c>
      <c r="AD81" s="1103">
        <f t="shared" ca="1" si="95"/>
        <v>0</v>
      </c>
      <c r="AE81" s="1120">
        <f t="shared" ca="1" si="96"/>
        <v>0</v>
      </c>
      <c r="AF81" s="525"/>
      <c r="AG81" s="637"/>
      <c r="AH81" s="525"/>
      <c r="AI81" s="1086">
        <f t="shared" ca="1" si="97"/>
        <v>0</v>
      </c>
      <c r="AJ81" s="380"/>
      <c r="AK81" s="440"/>
      <c r="AM81" s="460">
        <v>81</v>
      </c>
      <c r="AN81" s="1087">
        <f t="shared" ca="1" si="98"/>
        <v>0</v>
      </c>
      <c r="AO81" s="1083">
        <f t="shared" ca="1" si="99"/>
        <v>0</v>
      </c>
      <c r="AP81" s="356">
        <f t="shared" ca="1" si="99"/>
        <v>0</v>
      </c>
      <c r="AQ81" s="357">
        <f t="shared" ca="1" si="99"/>
        <v>0</v>
      </c>
      <c r="AR81" s="524" t="str">
        <f t="shared" ca="1" si="99"/>
        <v/>
      </c>
      <c r="AS81" s="356">
        <f t="shared" ca="1" si="99"/>
        <v>0</v>
      </c>
      <c r="AT81" s="357">
        <f t="shared" ca="1" si="99"/>
        <v>0</v>
      </c>
      <c r="AU81" s="524" t="str">
        <f t="shared" ca="1" si="99"/>
        <v/>
      </c>
      <c r="AV81" s="1083">
        <f t="shared" ca="1" si="99"/>
        <v>0</v>
      </c>
      <c r="AX81" s="1083" t="str">
        <f t="shared" si="100"/>
        <v>U</v>
      </c>
      <c r="AY81" s="1083" t="str">
        <f t="shared" si="101"/>
        <v>U</v>
      </c>
      <c r="AZ81" s="1083" t="str">
        <f t="shared" si="102"/>
        <v>U</v>
      </c>
      <c r="BA81" s="1083" t="str">
        <f t="shared" si="103"/>
        <v>U</v>
      </c>
      <c r="BB81" s="1083" t="str">
        <f t="shared" si="104"/>
        <v>U</v>
      </c>
    </row>
    <row r="82" spans="1:54" ht="12" customHeight="1" x14ac:dyDescent="0.25">
      <c r="A82" s="440"/>
      <c r="B82" s="1042"/>
      <c r="C82" s="1036"/>
      <c r="D82" s="1037" t="s">
        <v>154</v>
      </c>
      <c r="E82" s="1599" t="s">
        <v>159</v>
      </c>
      <c r="F82" s="1599"/>
      <c r="G82" s="1599"/>
      <c r="H82" s="1599"/>
      <c r="I82" s="1597"/>
      <c r="J82" s="1038"/>
      <c r="K82" s="529"/>
      <c r="L82" s="503"/>
      <c r="M82" s="526"/>
      <c r="N82" s="519"/>
      <c r="O82" s="530"/>
      <c r="P82" s="1037"/>
      <c r="Q82" s="1037"/>
      <c r="R82" s="1037"/>
      <c r="S82" s="354">
        <f ca="1">SUBTOTAL(109,S84:S86)</f>
        <v>68098.655999999988</v>
      </c>
      <c r="T82" s="363"/>
      <c r="U82" s="360"/>
      <c r="V82" s="360"/>
      <c r="W82" s="1091"/>
      <c r="X82" s="1105"/>
      <c r="Y82" s="1105"/>
      <c r="Z82" s="360"/>
      <c r="AA82" s="360"/>
      <c r="AB82" s="360"/>
      <c r="AC82" s="1091"/>
      <c r="AD82" s="1105"/>
      <c r="AE82" s="1105"/>
      <c r="AF82" s="360"/>
      <c r="AG82" s="360"/>
      <c r="AH82" s="360"/>
      <c r="AI82" s="360"/>
      <c r="AJ82" s="358"/>
      <c r="AK82" s="440"/>
      <c r="AM82" s="460">
        <v>82</v>
      </c>
      <c r="AN82" s="1078"/>
      <c r="AP82" s="1081"/>
      <c r="AS82" s="1081"/>
      <c r="AZ82" s="1081"/>
      <c r="BA82" s="1081"/>
    </row>
    <row r="83" spans="1:54" ht="12" customHeight="1" x14ac:dyDescent="0.25">
      <c r="A83" s="440"/>
      <c r="B83" s="1042"/>
      <c r="C83" s="1036"/>
      <c r="D83" s="1037"/>
      <c r="E83" s="1037"/>
      <c r="F83" s="1037"/>
      <c r="G83" s="1037"/>
      <c r="H83" s="1037"/>
      <c r="I83" s="1035"/>
      <c r="J83" s="1603" t="s">
        <v>170</v>
      </c>
      <c r="K83" s="1603"/>
      <c r="L83" s="503"/>
      <c r="M83" s="526"/>
      <c r="N83" s="519"/>
      <c r="O83" s="530"/>
      <c r="P83" s="1037"/>
      <c r="Q83" s="1037"/>
      <c r="R83" s="1037"/>
      <c r="S83" s="354"/>
      <c r="T83" s="363"/>
      <c r="U83" s="360"/>
      <c r="V83" s="360"/>
      <c r="W83" s="1092"/>
      <c r="X83" s="1105"/>
      <c r="Y83" s="1105"/>
      <c r="Z83" s="360"/>
      <c r="AA83" s="360"/>
      <c r="AB83" s="360"/>
      <c r="AC83" s="1092"/>
      <c r="AD83" s="1105"/>
      <c r="AE83" s="1105"/>
      <c r="AF83" s="360"/>
      <c r="AG83" s="360"/>
      <c r="AH83" s="360"/>
      <c r="AI83" s="360"/>
      <c r="AJ83" s="359"/>
      <c r="AK83" s="440"/>
      <c r="AM83" s="460">
        <v>83</v>
      </c>
      <c r="AN83" s="1078"/>
    </row>
    <row r="84" spans="1:54" ht="12" customHeight="1" x14ac:dyDescent="0.2">
      <c r="A84" s="440"/>
      <c r="B84" s="1042"/>
      <c r="C84" s="1036"/>
      <c r="D84" s="1037"/>
      <c r="E84" s="1084" t="str">
        <f ca="1">IF(AX84="E","",AN84)</f>
        <v>Maler LD 15-Innenwand nass</v>
      </c>
      <c r="F84" s="1085"/>
      <c r="G84" s="1264"/>
      <c r="H84" s="1264"/>
      <c r="I84" s="1265"/>
      <c r="J84" s="638"/>
      <c r="K84" s="520" t="s">
        <v>177</v>
      </c>
      <c r="L84" s="521"/>
      <c r="M84" s="342"/>
      <c r="N84" s="521" t="s">
        <v>67</v>
      </c>
      <c r="O84" s="344"/>
      <c r="P84" s="504" t="s">
        <v>68</v>
      </c>
      <c r="Q84" s="344"/>
      <c r="R84" s="522" t="s">
        <v>363</v>
      </c>
      <c r="S84" s="353">
        <f t="shared" ref="S84:S86" ca="1" si="105">IF(AY84="E",(M84*O84)+Q84,AO84)</f>
        <v>15085.44</v>
      </c>
      <c r="T84" s="523"/>
      <c r="U84" s="350"/>
      <c r="V84" s="308"/>
      <c r="W84" s="1090" t="str">
        <f t="shared" ref="W84:W86" ca="1" si="106">IF(AZ84="E",IF(AND(V84&lt;&gt;0,U84&lt;&gt;0),"X",IF(AND(V84&lt;&gt;0,U84=0),"A",IF(AND(V84=0,U84&lt;&gt;0),"P",""))),AR84)</f>
        <v/>
      </c>
      <c r="X84" s="1103">
        <f t="shared" ref="X84:X86" ca="1" si="107">IF(AZ84="E",IFERROR(IF(W84="X",0,IF(U84&gt;0,U84,V84/S84)),0),
IFERROR(IF(OR(AR84="X",AR84=0),0,
IF(AR84="P",AP84,IF(AR84="A",AQ84/S84,0))),0))</f>
        <v>0</v>
      </c>
      <c r="Y84" s="1120">
        <f t="shared" ref="Y84:Y86" ca="1" si="108">IF(AZ84="E",IFERROR(IF(W84="X",0,IF(V84&gt;0,V84,S84*U84)),0),
IFERROR(IF(OR(AR84="X",AR84="0"),0,IF(AR84="A",AQ84,S84*AP84)),0))</f>
        <v>0</v>
      </c>
      <c r="Z84" s="524"/>
      <c r="AA84" s="350"/>
      <c r="AB84" s="308"/>
      <c r="AC84" s="1090" t="str">
        <f t="shared" ref="AC84:AC86" ca="1" si="109">IF(BA84="E",IF(AND(AB84&lt;&gt;0,AA84&lt;&gt;0),"X",IF(AND(AB84&lt;&gt;0,AA84=0),"A",IF(AND(AB84=0,AA84&lt;&gt;0),"P",""))),AU84)</f>
        <v/>
      </c>
      <c r="AD84" s="1103">
        <f t="shared" ref="AD84:AD86" ca="1" si="110">IF(BA84="E",IFERROR(IF(AC84="X",0,IF(AA84&gt;0,AA84,AB84/S84)),0),
IFERROR(IF(OR(AU84="X",AU84=0),0,
IF(AU84="P",AS84,IF(AU84="A",AT84/S84,0))),0))</f>
        <v>0</v>
      </c>
      <c r="AE84" s="1120">
        <f t="shared" ref="AE84:AE86" ca="1" si="111">IF(BA84="E",IFERROR(IF(AC84="X",0,IF(AB84&gt;0,AB84,S84*AA84)),0),
IFERROR(IF(OR(AU84="X",AU84=0),0,
IF(AU84="A",AT84,S84*AS84)),0))</f>
        <v>0</v>
      </c>
      <c r="AF84" s="525"/>
      <c r="AG84" s="637"/>
      <c r="AH84" s="525"/>
      <c r="AI84" s="1086">
        <f t="shared" ref="AI84:AI86" ca="1" si="112">IF(BB84="E",AG84,AV84)</f>
        <v>15</v>
      </c>
      <c r="AJ84" s="380"/>
      <c r="AK84" s="440"/>
      <c r="AM84" s="460">
        <v>84</v>
      </c>
      <c r="AN84" s="1087" t="str">
        <f t="shared" ref="AN84:AN86" ca="1" si="113">IF($M$13=$AN$12,"",IF(ISTEXT(INDIRECT("'"&amp;$AM$20&amp;"'!"&amp;AN$21&amp;$AM84)),INDIRECT("'"&amp;$AM$20&amp;"'!"&amp;AN$21&amp;$AM84),INDIRECT("'"&amp;$AM$20&amp;"'!"&amp;AN$22&amp;$AM84)))</f>
        <v>Maler LD 15-Innenwand nass</v>
      </c>
      <c r="AO84" s="1083">
        <f t="shared" ref="AO84:AV86" ca="1" si="114">IF($M$13=$AN$12,"",INDIRECT("'"&amp;$AM$20&amp;"'!"&amp;AO$21&amp;$AM84))</f>
        <v>15085.44</v>
      </c>
      <c r="AP84" s="356">
        <f t="shared" ca="1" si="114"/>
        <v>0</v>
      </c>
      <c r="AQ84" s="357">
        <f t="shared" ca="1" si="114"/>
        <v>0</v>
      </c>
      <c r="AR84" s="524" t="str">
        <f t="shared" ca="1" si="114"/>
        <v/>
      </c>
      <c r="AS84" s="356">
        <f t="shared" ca="1" si="114"/>
        <v>0</v>
      </c>
      <c r="AT84" s="357">
        <f t="shared" ca="1" si="114"/>
        <v>0</v>
      </c>
      <c r="AU84" s="524" t="str">
        <f t="shared" ca="1" si="114"/>
        <v/>
      </c>
      <c r="AV84" s="1083">
        <f t="shared" ca="1" si="114"/>
        <v>15</v>
      </c>
      <c r="AX84" s="1083" t="str">
        <f t="shared" ref="AX84:AX86" si="115">IF($M$13=$AN$12,"E",IF(ISTEXT(F84),"E","U"))</f>
        <v>U</v>
      </c>
      <c r="AY84" s="1083" t="str">
        <f t="shared" ref="AY84:AY86" si="116">IF($M$13=$AN$12,"E",IF(OR(ISNUMBER(M84),ISNUMBER(O84),ISNUMBER(Q84)),"E","U"))</f>
        <v>U</v>
      </c>
      <c r="AZ84" s="1083" t="str">
        <f t="shared" ref="AZ84:AZ86" si="117">IF($M$13=$AN$12,"E",IF(OR(ISNUMBER(U84),ISNUMBER(V84)),"E","U"))</f>
        <v>U</v>
      </c>
      <c r="BA84" s="1083" t="str">
        <f t="shared" ref="BA84:BA86" si="118">IF($M$13=$AN$12,"E",IF(OR(ISNUMBER(AA84),ISNUMBER(AB84)),"E","U"))</f>
        <v>U</v>
      </c>
      <c r="BB84" s="1083" t="str">
        <f t="shared" ref="BB84:BB86" si="119">IF($M$13=$AN$12,"E",IF(ISNUMBER(AG84),"E","U"))</f>
        <v>U</v>
      </c>
    </row>
    <row r="85" spans="1:54" ht="12" customHeight="1" x14ac:dyDescent="0.2">
      <c r="A85" s="440"/>
      <c r="B85" s="1042"/>
      <c r="C85" s="1036"/>
      <c r="D85" s="1037"/>
      <c r="E85" s="1084" t="str">
        <f ca="1">IF(AX85="E","",AN85)</f>
        <v>Maler LD 25 - Innenwand standard Dispersion</v>
      </c>
      <c r="F85" s="1085"/>
      <c r="G85" s="1264"/>
      <c r="H85" s="1264"/>
      <c r="I85" s="1265"/>
      <c r="J85" s="638"/>
      <c r="K85" s="520" t="s">
        <v>177</v>
      </c>
      <c r="L85" s="521"/>
      <c r="M85" s="342"/>
      <c r="N85" s="521" t="s">
        <v>67</v>
      </c>
      <c r="O85" s="344"/>
      <c r="P85" s="504" t="s">
        <v>68</v>
      </c>
      <c r="Q85" s="344"/>
      <c r="R85" s="522" t="s">
        <v>363</v>
      </c>
      <c r="S85" s="353">
        <f t="shared" ca="1" si="105"/>
        <v>2734.2</v>
      </c>
      <c r="T85" s="523"/>
      <c r="U85" s="350"/>
      <c r="V85" s="308"/>
      <c r="W85" s="1090" t="str">
        <f t="shared" ca="1" si="106"/>
        <v/>
      </c>
      <c r="X85" s="1103">
        <f t="shared" ca="1" si="107"/>
        <v>0</v>
      </c>
      <c r="Y85" s="1120">
        <f t="shared" ca="1" si="108"/>
        <v>0</v>
      </c>
      <c r="Z85" s="524"/>
      <c r="AA85" s="350"/>
      <c r="AB85" s="308"/>
      <c r="AC85" s="1090" t="str">
        <f t="shared" ca="1" si="109"/>
        <v/>
      </c>
      <c r="AD85" s="1103">
        <f t="shared" ca="1" si="110"/>
        <v>0</v>
      </c>
      <c r="AE85" s="1120">
        <f t="shared" ca="1" si="111"/>
        <v>0</v>
      </c>
      <c r="AF85" s="525"/>
      <c r="AG85" s="637"/>
      <c r="AH85" s="525"/>
      <c r="AI85" s="1086">
        <f t="shared" ca="1" si="112"/>
        <v>25</v>
      </c>
      <c r="AJ85" s="380"/>
      <c r="AK85" s="440"/>
      <c r="AM85" s="460">
        <v>85</v>
      </c>
      <c r="AN85" s="1087" t="str">
        <f t="shared" ca="1" si="113"/>
        <v>Maler LD 25 - Innenwand standard Dispersion</v>
      </c>
      <c r="AO85" s="1083">
        <f t="shared" ca="1" si="114"/>
        <v>2734.2</v>
      </c>
      <c r="AP85" s="356">
        <f t="shared" ca="1" si="114"/>
        <v>0</v>
      </c>
      <c r="AQ85" s="357">
        <f t="shared" ca="1" si="114"/>
        <v>0</v>
      </c>
      <c r="AR85" s="524" t="str">
        <f t="shared" ca="1" si="114"/>
        <v/>
      </c>
      <c r="AS85" s="356">
        <f t="shared" ca="1" si="114"/>
        <v>0</v>
      </c>
      <c r="AT85" s="357">
        <f t="shared" ca="1" si="114"/>
        <v>0</v>
      </c>
      <c r="AU85" s="524" t="str">
        <f t="shared" ca="1" si="114"/>
        <v/>
      </c>
      <c r="AV85" s="1083">
        <f t="shared" ca="1" si="114"/>
        <v>25</v>
      </c>
      <c r="AX85" s="1083" t="str">
        <f t="shared" si="115"/>
        <v>U</v>
      </c>
      <c r="AY85" s="1083" t="str">
        <f t="shared" si="116"/>
        <v>U</v>
      </c>
      <c r="AZ85" s="1083" t="str">
        <f t="shared" si="117"/>
        <v>U</v>
      </c>
      <c r="BA85" s="1083" t="str">
        <f t="shared" si="118"/>
        <v>U</v>
      </c>
      <c r="BB85" s="1083" t="str">
        <f t="shared" si="119"/>
        <v>U</v>
      </c>
    </row>
    <row r="86" spans="1:54" ht="12" customHeight="1" x14ac:dyDescent="0.2">
      <c r="A86" s="440"/>
      <c r="B86" s="1042"/>
      <c r="C86" s="1036"/>
      <c r="D86" s="1037"/>
      <c r="E86" s="1084" t="str">
        <f ca="1">IF(AX86="E","",AN86)</f>
        <v>Maler LD 65- Anstriche, Beschichtungen</v>
      </c>
      <c r="F86" s="1085"/>
      <c r="G86" s="1264"/>
      <c r="H86" s="1264"/>
      <c r="I86" s="1265"/>
      <c r="J86" s="638"/>
      <c r="K86" s="520" t="s">
        <v>177</v>
      </c>
      <c r="L86" s="521"/>
      <c r="M86" s="342"/>
      <c r="N86" s="521" t="s">
        <v>67</v>
      </c>
      <c r="O86" s="344"/>
      <c r="P86" s="504" t="s">
        <v>68</v>
      </c>
      <c r="Q86" s="344"/>
      <c r="R86" s="522" t="s">
        <v>363</v>
      </c>
      <c r="S86" s="353">
        <f t="shared" ca="1" si="105"/>
        <v>50279.015999999996</v>
      </c>
      <c r="T86" s="523"/>
      <c r="U86" s="350"/>
      <c r="V86" s="308"/>
      <c r="W86" s="1090" t="str">
        <f t="shared" ca="1" si="106"/>
        <v/>
      </c>
      <c r="X86" s="1103">
        <f t="shared" ca="1" si="107"/>
        <v>0</v>
      </c>
      <c r="Y86" s="1120">
        <f t="shared" ca="1" si="108"/>
        <v>0</v>
      </c>
      <c r="Z86" s="524"/>
      <c r="AA86" s="350"/>
      <c r="AB86" s="308"/>
      <c r="AC86" s="1090" t="str">
        <f t="shared" ca="1" si="109"/>
        <v/>
      </c>
      <c r="AD86" s="1103">
        <f t="shared" ca="1" si="110"/>
        <v>0</v>
      </c>
      <c r="AE86" s="1120">
        <f t="shared" ca="1" si="111"/>
        <v>0</v>
      </c>
      <c r="AF86" s="525"/>
      <c r="AG86" s="637"/>
      <c r="AH86" s="525"/>
      <c r="AI86" s="1086">
        <f t="shared" ca="1" si="112"/>
        <v>65</v>
      </c>
      <c r="AJ86" s="380"/>
      <c r="AK86" s="440"/>
      <c r="AM86" s="460">
        <v>86</v>
      </c>
      <c r="AN86" s="1087" t="str">
        <f t="shared" ca="1" si="113"/>
        <v>Maler LD 65- Anstriche, Beschichtungen</v>
      </c>
      <c r="AO86" s="1083">
        <f t="shared" ca="1" si="114"/>
        <v>50279.015999999996</v>
      </c>
      <c r="AP86" s="356">
        <f t="shared" ca="1" si="114"/>
        <v>0</v>
      </c>
      <c r="AQ86" s="357">
        <f t="shared" ca="1" si="114"/>
        <v>0</v>
      </c>
      <c r="AR86" s="524" t="str">
        <f t="shared" ca="1" si="114"/>
        <v/>
      </c>
      <c r="AS86" s="356">
        <f t="shared" ca="1" si="114"/>
        <v>0</v>
      </c>
      <c r="AT86" s="357">
        <f t="shared" ca="1" si="114"/>
        <v>0</v>
      </c>
      <c r="AU86" s="524" t="str">
        <f t="shared" ca="1" si="114"/>
        <v/>
      </c>
      <c r="AV86" s="1083">
        <f t="shared" ca="1" si="114"/>
        <v>65</v>
      </c>
      <c r="AX86" s="1083" t="str">
        <f t="shared" si="115"/>
        <v>U</v>
      </c>
      <c r="AY86" s="1083" t="str">
        <f t="shared" si="116"/>
        <v>U</v>
      </c>
      <c r="AZ86" s="1083" t="str">
        <f t="shared" si="117"/>
        <v>U</v>
      </c>
      <c r="BA86" s="1083" t="str">
        <f t="shared" si="118"/>
        <v>U</v>
      </c>
      <c r="BB86" s="1083" t="str">
        <f t="shared" si="119"/>
        <v>U</v>
      </c>
    </row>
    <row r="87" spans="1:54" ht="12" customHeight="1" x14ac:dyDescent="0.25">
      <c r="A87" s="440"/>
      <c r="B87" s="1042"/>
      <c r="C87" s="1036"/>
      <c r="D87" s="1037" t="s">
        <v>155</v>
      </c>
      <c r="E87" s="1599" t="s">
        <v>160</v>
      </c>
      <c r="F87" s="1599"/>
      <c r="G87" s="1599"/>
      <c r="H87" s="1599"/>
      <c r="I87" s="1597"/>
      <c r="J87" s="1038"/>
      <c r="K87" s="529"/>
      <c r="L87" s="503"/>
      <c r="M87" s="526"/>
      <c r="N87" s="519"/>
      <c r="O87" s="527"/>
      <c r="P87" s="1037"/>
      <c r="Q87" s="1037"/>
      <c r="R87" s="1037"/>
      <c r="S87" s="354">
        <f ca="1">SUBTOTAL(109,S89:S91)</f>
        <v>0</v>
      </c>
      <c r="T87" s="363"/>
      <c r="U87" s="360"/>
      <c r="V87" s="360"/>
      <c r="W87" s="1091"/>
      <c r="X87" s="1105"/>
      <c r="Y87" s="1105"/>
      <c r="Z87" s="360"/>
      <c r="AA87" s="360"/>
      <c r="AB87" s="360"/>
      <c r="AC87" s="1091"/>
      <c r="AD87" s="1105"/>
      <c r="AE87" s="1105"/>
      <c r="AF87" s="360"/>
      <c r="AG87" s="360"/>
      <c r="AH87" s="360"/>
      <c r="AI87" s="360"/>
      <c r="AJ87" s="358"/>
      <c r="AK87" s="440"/>
      <c r="AM87" s="460">
        <v>87</v>
      </c>
      <c r="AN87" s="1078"/>
    </row>
    <row r="88" spans="1:54" ht="12" customHeight="1" x14ac:dyDescent="0.25">
      <c r="A88" s="440"/>
      <c r="B88" s="1042"/>
      <c r="C88" s="1036"/>
      <c r="D88" s="1037"/>
      <c r="E88" s="1037"/>
      <c r="F88" s="1037"/>
      <c r="G88" s="1037"/>
      <c r="H88" s="1037"/>
      <c r="I88" s="1035"/>
      <c r="J88" s="1603" t="s">
        <v>170</v>
      </c>
      <c r="K88" s="1603"/>
      <c r="L88" s="503"/>
      <c r="M88" s="526"/>
      <c r="N88" s="519"/>
      <c r="O88" s="527"/>
      <c r="P88" s="1037"/>
      <c r="Q88" s="1037"/>
      <c r="R88" s="1037"/>
      <c r="S88" s="354"/>
      <c r="T88" s="363"/>
      <c r="U88" s="360"/>
      <c r="V88" s="360"/>
      <c r="W88" s="1092"/>
      <c r="X88" s="1105"/>
      <c r="Y88" s="1105"/>
      <c r="Z88" s="360"/>
      <c r="AA88" s="360"/>
      <c r="AB88" s="360"/>
      <c r="AC88" s="1092"/>
      <c r="AD88" s="1105"/>
      <c r="AE88" s="1105"/>
      <c r="AF88" s="360"/>
      <c r="AG88" s="360"/>
      <c r="AH88" s="360"/>
      <c r="AI88" s="360"/>
      <c r="AJ88" s="359"/>
      <c r="AK88" s="440"/>
      <c r="AM88" s="460">
        <v>88</v>
      </c>
      <c r="AN88" s="1078"/>
    </row>
    <row r="89" spans="1:54" ht="12" customHeight="1" x14ac:dyDescent="0.2">
      <c r="A89" s="440"/>
      <c r="B89" s="1042"/>
      <c r="C89" s="1036"/>
      <c r="D89" s="1037"/>
      <c r="E89" s="1084">
        <f ca="1">IF(AX89="E","",AN89)</f>
        <v>0</v>
      </c>
      <c r="F89" s="1085"/>
      <c r="G89" s="1264"/>
      <c r="H89" s="1264"/>
      <c r="I89" s="1265"/>
      <c r="J89" s="638"/>
      <c r="K89" s="520" t="s">
        <v>177</v>
      </c>
      <c r="L89" s="521"/>
      <c r="M89" s="342"/>
      <c r="N89" s="521" t="s">
        <v>67</v>
      </c>
      <c r="O89" s="344"/>
      <c r="P89" s="504" t="s">
        <v>68</v>
      </c>
      <c r="Q89" s="344"/>
      <c r="R89" s="522" t="s">
        <v>363</v>
      </c>
      <c r="S89" s="353">
        <f t="shared" ref="S89:S91" ca="1" si="120">IF(AY89="E",(M89*O89)+Q89,AO89)</f>
        <v>0</v>
      </c>
      <c r="T89" s="523"/>
      <c r="U89" s="350"/>
      <c r="V89" s="308"/>
      <c r="W89" s="1090" t="str">
        <f t="shared" ref="W89:W91" ca="1" si="121">IF(AZ89="E",IF(AND(V89&lt;&gt;0,U89&lt;&gt;0),"X",IF(AND(V89&lt;&gt;0,U89=0),"A",IF(AND(V89=0,U89&lt;&gt;0),"P",""))),AR89)</f>
        <v/>
      </c>
      <c r="X89" s="1103">
        <f t="shared" ref="X89:X91" ca="1" si="122">IF(AZ89="E",IFERROR(IF(W89="X",0,IF(U89&gt;0,U89,V89/S89)),0),
IFERROR(IF(OR(AR89="X",AR89=0),0,
IF(AR89="P",AP89,IF(AR89="A",AQ89/S89,0))),0))</f>
        <v>0</v>
      </c>
      <c r="Y89" s="1120">
        <f t="shared" ref="Y89:Y91" ca="1" si="123">IF(AZ89="E",IFERROR(IF(W89="X",0,IF(V89&gt;0,V89,S89*U89)),0),
IFERROR(IF(OR(AR89="X",AR89="0"),0,IF(AR89="A",AQ89,S89*AP89)),0))</f>
        <v>0</v>
      </c>
      <c r="Z89" s="524"/>
      <c r="AA89" s="350"/>
      <c r="AB89" s="308"/>
      <c r="AC89" s="1090" t="str">
        <f t="shared" ref="AC89:AC91" ca="1" si="124">IF(BA89="E",IF(AND(AB89&lt;&gt;0,AA89&lt;&gt;0),"X",IF(AND(AB89&lt;&gt;0,AA89=0),"A",IF(AND(AB89=0,AA89&lt;&gt;0),"P",""))),AU89)</f>
        <v/>
      </c>
      <c r="AD89" s="1103">
        <f t="shared" ref="AD89:AD91" ca="1" si="125">IF(BA89="E",IFERROR(IF(AC89="X",0,IF(AA89&gt;0,AA89,AB89/S89)),0),
IFERROR(IF(OR(AU89="X",AU89=0),0,
IF(AU89="P",AS89,IF(AU89="A",AT89/S89,0))),0))</f>
        <v>0</v>
      </c>
      <c r="AE89" s="1120">
        <f t="shared" ref="AE89:AE91" ca="1" si="126">IF(BA89="E",IFERROR(IF(AC89="X",0,IF(AB89&gt;0,AB89,S89*AA89)),0),
IFERROR(IF(OR(AU89="X",AU89=0),0,
IF(AU89="A",AT89,S89*AS89)),0))</f>
        <v>0</v>
      </c>
      <c r="AF89" s="525"/>
      <c r="AG89" s="637"/>
      <c r="AH89" s="525"/>
      <c r="AI89" s="1086">
        <f t="shared" ref="AI89:AI91" ca="1" si="127">IF(BB89="E",AG89,AV89)</f>
        <v>0</v>
      </c>
      <c r="AJ89" s="380"/>
      <c r="AK89" s="440"/>
      <c r="AM89" s="460">
        <v>89</v>
      </c>
      <c r="AN89" s="1087">
        <f t="shared" ref="AN89:AN91" ca="1" si="128">IF($M$13=$AN$12,"",IF(ISTEXT(INDIRECT("'"&amp;$AM$20&amp;"'!"&amp;AN$21&amp;$AM89)),INDIRECT("'"&amp;$AM$20&amp;"'!"&amp;AN$21&amp;$AM89),INDIRECT("'"&amp;$AM$20&amp;"'!"&amp;AN$22&amp;$AM89)))</f>
        <v>0</v>
      </c>
      <c r="AO89" s="1083">
        <f t="shared" ref="AO89:AV91" ca="1" si="129">IF($M$13=$AN$12,"",INDIRECT("'"&amp;$AM$20&amp;"'!"&amp;AO$21&amp;$AM89))</f>
        <v>0</v>
      </c>
      <c r="AP89" s="356">
        <f t="shared" ca="1" si="129"/>
        <v>0</v>
      </c>
      <c r="AQ89" s="357">
        <f t="shared" ca="1" si="129"/>
        <v>0</v>
      </c>
      <c r="AR89" s="524" t="str">
        <f t="shared" ca="1" si="129"/>
        <v/>
      </c>
      <c r="AS89" s="356">
        <f t="shared" ca="1" si="129"/>
        <v>0</v>
      </c>
      <c r="AT89" s="357">
        <f t="shared" ca="1" si="129"/>
        <v>0</v>
      </c>
      <c r="AU89" s="524" t="str">
        <f t="shared" ca="1" si="129"/>
        <v/>
      </c>
      <c r="AV89" s="1083">
        <f t="shared" ca="1" si="129"/>
        <v>0</v>
      </c>
      <c r="AX89" s="1083" t="str">
        <f t="shared" ref="AX89:AX91" si="130">IF($M$13=$AN$12,"E",IF(ISTEXT(F89),"E","U"))</f>
        <v>U</v>
      </c>
      <c r="AY89" s="1083" t="str">
        <f t="shared" ref="AY89:AY91" si="131">IF($M$13=$AN$12,"E",IF(OR(ISNUMBER(M89),ISNUMBER(O89),ISNUMBER(Q89)),"E","U"))</f>
        <v>U</v>
      </c>
      <c r="AZ89" s="1083" t="str">
        <f t="shared" ref="AZ89:AZ91" si="132">IF($M$13=$AN$12,"E",IF(OR(ISNUMBER(U89),ISNUMBER(V89)),"E","U"))</f>
        <v>U</v>
      </c>
      <c r="BA89" s="1083" t="str">
        <f t="shared" ref="BA89:BA91" si="133">IF($M$13=$AN$12,"E",IF(OR(ISNUMBER(AA89),ISNUMBER(AB89)),"E","U"))</f>
        <v>U</v>
      </c>
      <c r="BB89" s="1083" t="str">
        <f t="shared" ref="BB89:BB91" si="134">IF($M$13=$AN$12,"E",IF(ISNUMBER(AG89),"E","U"))</f>
        <v>U</v>
      </c>
    </row>
    <row r="90" spans="1:54" ht="12" customHeight="1" x14ac:dyDescent="0.2">
      <c r="A90" s="440"/>
      <c r="B90" s="1042"/>
      <c r="C90" s="1036"/>
      <c r="D90" s="1037"/>
      <c r="E90" s="1084">
        <f ca="1">IF(AX90="E","",AN90)</f>
        <v>0</v>
      </c>
      <c r="F90" s="1085"/>
      <c r="G90" s="1264"/>
      <c r="H90" s="1264"/>
      <c r="I90" s="1265"/>
      <c r="J90" s="638"/>
      <c r="K90" s="520" t="s">
        <v>177</v>
      </c>
      <c r="L90" s="521"/>
      <c r="M90" s="342"/>
      <c r="N90" s="521" t="s">
        <v>67</v>
      </c>
      <c r="O90" s="344"/>
      <c r="P90" s="504" t="s">
        <v>68</v>
      </c>
      <c r="Q90" s="344"/>
      <c r="R90" s="522" t="s">
        <v>363</v>
      </c>
      <c r="S90" s="353">
        <f t="shared" ca="1" si="120"/>
        <v>0</v>
      </c>
      <c r="T90" s="523"/>
      <c r="U90" s="350"/>
      <c r="V90" s="308"/>
      <c r="W90" s="1090" t="str">
        <f t="shared" ca="1" si="121"/>
        <v/>
      </c>
      <c r="X90" s="1103">
        <f t="shared" ca="1" si="122"/>
        <v>0</v>
      </c>
      <c r="Y90" s="1120">
        <f t="shared" ca="1" si="123"/>
        <v>0</v>
      </c>
      <c r="Z90" s="524"/>
      <c r="AA90" s="350"/>
      <c r="AB90" s="308"/>
      <c r="AC90" s="1090" t="str">
        <f t="shared" ca="1" si="124"/>
        <v/>
      </c>
      <c r="AD90" s="1103">
        <f t="shared" ca="1" si="125"/>
        <v>0</v>
      </c>
      <c r="AE90" s="1120">
        <f t="shared" ca="1" si="126"/>
        <v>0</v>
      </c>
      <c r="AF90" s="525"/>
      <c r="AG90" s="637"/>
      <c r="AH90" s="525"/>
      <c r="AI90" s="1086">
        <f t="shared" ca="1" si="127"/>
        <v>0</v>
      </c>
      <c r="AJ90" s="380"/>
      <c r="AK90" s="440"/>
      <c r="AM90" s="460">
        <v>90</v>
      </c>
      <c r="AN90" s="1087">
        <f t="shared" ca="1" si="128"/>
        <v>0</v>
      </c>
      <c r="AO90" s="1083">
        <f t="shared" ca="1" si="129"/>
        <v>0</v>
      </c>
      <c r="AP90" s="356">
        <f t="shared" ca="1" si="129"/>
        <v>0</v>
      </c>
      <c r="AQ90" s="357">
        <f t="shared" ca="1" si="129"/>
        <v>0</v>
      </c>
      <c r="AR90" s="524" t="str">
        <f t="shared" ca="1" si="129"/>
        <v/>
      </c>
      <c r="AS90" s="356">
        <f t="shared" ca="1" si="129"/>
        <v>0</v>
      </c>
      <c r="AT90" s="357">
        <f t="shared" ca="1" si="129"/>
        <v>0</v>
      </c>
      <c r="AU90" s="524" t="str">
        <f t="shared" ca="1" si="129"/>
        <v/>
      </c>
      <c r="AV90" s="1083">
        <f t="shared" ca="1" si="129"/>
        <v>0</v>
      </c>
      <c r="AX90" s="1083" t="str">
        <f t="shared" si="130"/>
        <v>U</v>
      </c>
      <c r="AY90" s="1083" t="str">
        <f t="shared" si="131"/>
        <v>U</v>
      </c>
      <c r="AZ90" s="1083" t="str">
        <f t="shared" si="132"/>
        <v>U</v>
      </c>
      <c r="BA90" s="1083" t="str">
        <f t="shared" si="133"/>
        <v>U</v>
      </c>
      <c r="BB90" s="1083" t="str">
        <f t="shared" si="134"/>
        <v>U</v>
      </c>
    </row>
    <row r="91" spans="1:54" ht="12" customHeight="1" x14ac:dyDescent="0.2">
      <c r="A91" s="440"/>
      <c r="B91" s="1042"/>
      <c r="C91" s="1036"/>
      <c r="D91" s="1037"/>
      <c r="E91" s="1084">
        <f ca="1">IF(AX91="E","",AN91)</f>
        <v>0</v>
      </c>
      <c r="F91" s="1085"/>
      <c r="G91" s="1264"/>
      <c r="H91" s="1264"/>
      <c r="I91" s="1265"/>
      <c r="J91" s="638"/>
      <c r="K91" s="520" t="s">
        <v>177</v>
      </c>
      <c r="L91" s="521"/>
      <c r="M91" s="342"/>
      <c r="N91" s="521" t="s">
        <v>67</v>
      </c>
      <c r="O91" s="344"/>
      <c r="P91" s="504" t="s">
        <v>68</v>
      </c>
      <c r="Q91" s="344"/>
      <c r="R91" s="522" t="s">
        <v>363</v>
      </c>
      <c r="S91" s="353">
        <f t="shared" ca="1" si="120"/>
        <v>0</v>
      </c>
      <c r="T91" s="523"/>
      <c r="U91" s="350"/>
      <c r="V91" s="308"/>
      <c r="W91" s="1090" t="str">
        <f t="shared" ca="1" si="121"/>
        <v/>
      </c>
      <c r="X91" s="1103">
        <f t="shared" ca="1" si="122"/>
        <v>0</v>
      </c>
      <c r="Y91" s="1120">
        <f t="shared" ca="1" si="123"/>
        <v>0</v>
      </c>
      <c r="Z91" s="524"/>
      <c r="AA91" s="350"/>
      <c r="AB91" s="308"/>
      <c r="AC91" s="1090" t="str">
        <f t="shared" ca="1" si="124"/>
        <v/>
      </c>
      <c r="AD91" s="1103">
        <f t="shared" ca="1" si="125"/>
        <v>0</v>
      </c>
      <c r="AE91" s="1120">
        <f t="shared" ca="1" si="126"/>
        <v>0</v>
      </c>
      <c r="AF91" s="525"/>
      <c r="AG91" s="637"/>
      <c r="AH91" s="525"/>
      <c r="AI91" s="1086">
        <f t="shared" ca="1" si="127"/>
        <v>0</v>
      </c>
      <c r="AJ91" s="380"/>
      <c r="AK91" s="440"/>
      <c r="AM91" s="460">
        <v>91</v>
      </c>
      <c r="AN91" s="1087">
        <f t="shared" ca="1" si="128"/>
        <v>0</v>
      </c>
      <c r="AO91" s="1083">
        <f t="shared" ca="1" si="129"/>
        <v>0</v>
      </c>
      <c r="AP91" s="356">
        <f t="shared" ca="1" si="129"/>
        <v>0</v>
      </c>
      <c r="AQ91" s="357">
        <f t="shared" ca="1" si="129"/>
        <v>0</v>
      </c>
      <c r="AR91" s="524" t="str">
        <f t="shared" ca="1" si="129"/>
        <v/>
      </c>
      <c r="AS91" s="356">
        <f t="shared" ca="1" si="129"/>
        <v>0</v>
      </c>
      <c r="AT91" s="357">
        <f t="shared" ca="1" si="129"/>
        <v>0</v>
      </c>
      <c r="AU91" s="524" t="str">
        <f t="shared" ca="1" si="129"/>
        <v/>
      </c>
      <c r="AV91" s="1083">
        <f t="shared" ca="1" si="129"/>
        <v>0</v>
      </c>
      <c r="AX91" s="1083" t="str">
        <f t="shared" si="130"/>
        <v>U</v>
      </c>
      <c r="AY91" s="1083" t="str">
        <f t="shared" si="131"/>
        <v>U</v>
      </c>
      <c r="AZ91" s="1083" t="str">
        <f t="shared" si="132"/>
        <v>U</v>
      </c>
      <c r="BA91" s="1083" t="str">
        <f t="shared" si="133"/>
        <v>U</v>
      </c>
      <c r="BB91" s="1083" t="str">
        <f t="shared" si="134"/>
        <v>U</v>
      </c>
    </row>
    <row r="92" spans="1:54" ht="14.25" customHeight="1" collapsed="1" x14ac:dyDescent="0.2">
      <c r="A92" s="440"/>
      <c r="B92" s="1042"/>
      <c r="C92" s="1036" t="s">
        <v>156</v>
      </c>
      <c r="D92" s="494"/>
      <c r="E92" s="1608" t="s">
        <v>186</v>
      </c>
      <c r="F92" s="1608"/>
      <c r="G92" s="1608"/>
      <c r="H92" s="1608"/>
      <c r="I92" s="1608"/>
      <c r="J92" s="1608"/>
      <c r="K92" s="1608"/>
      <c r="L92" s="1041"/>
      <c r="M92" s="526"/>
      <c r="N92" s="519"/>
      <c r="O92" s="530"/>
      <c r="P92" s="1037"/>
      <c r="Q92" s="1037"/>
      <c r="R92" s="1037"/>
      <c r="S92" s="355">
        <f ca="1">S93+S98</f>
        <v>0</v>
      </c>
      <c r="T92" s="363"/>
      <c r="U92" s="360"/>
      <c r="V92" s="361"/>
      <c r="W92" s="1092"/>
      <c r="X92" s="1105"/>
      <c r="Y92" s="1121"/>
      <c r="Z92" s="363"/>
      <c r="AA92" s="360"/>
      <c r="AB92" s="361"/>
      <c r="AC92" s="1092"/>
      <c r="AD92" s="1105"/>
      <c r="AE92" s="1121"/>
      <c r="AF92" s="359"/>
      <c r="AG92" s="359"/>
      <c r="AH92" s="359"/>
      <c r="AI92" s="358"/>
      <c r="AJ92" s="359"/>
      <c r="AK92" s="440"/>
      <c r="AM92" s="460">
        <v>92</v>
      </c>
      <c r="AN92" s="1078"/>
    </row>
    <row r="93" spans="1:54" ht="12" customHeight="1" x14ac:dyDescent="0.25">
      <c r="A93" s="440"/>
      <c r="B93" s="1042"/>
      <c r="C93" s="1036"/>
      <c r="D93" s="1037" t="s">
        <v>157</v>
      </c>
      <c r="E93" s="1037" t="s">
        <v>172</v>
      </c>
      <c r="F93" s="1037"/>
      <c r="G93" s="1037"/>
      <c r="H93" s="1037"/>
      <c r="I93" s="1037"/>
      <c r="J93" s="1038"/>
      <c r="K93" s="529"/>
      <c r="L93" s="529"/>
      <c r="M93" s="536"/>
      <c r="N93" s="462"/>
      <c r="O93" s="537"/>
      <c r="P93" s="1037"/>
      <c r="Q93" s="1037"/>
      <c r="R93" s="1037"/>
      <c r="S93" s="354">
        <f ca="1">SUBTOTAL(109,S95:S97)</f>
        <v>0</v>
      </c>
      <c r="T93" s="363"/>
      <c r="U93" s="358"/>
      <c r="V93" s="358"/>
      <c r="W93" s="1091"/>
      <c r="X93" s="1104"/>
      <c r="Y93" s="1104"/>
      <c r="Z93" s="358"/>
      <c r="AA93" s="358"/>
      <c r="AB93" s="358"/>
      <c r="AC93" s="1091"/>
      <c r="AD93" s="1104"/>
      <c r="AE93" s="1104"/>
      <c r="AF93" s="358"/>
      <c r="AG93" s="358"/>
      <c r="AH93" s="358"/>
      <c r="AI93" s="358"/>
      <c r="AJ93" s="358"/>
      <c r="AK93" s="440"/>
      <c r="AM93" s="460">
        <v>93</v>
      </c>
      <c r="AN93" s="1078"/>
    </row>
    <row r="94" spans="1:54" ht="12" customHeight="1" x14ac:dyDescent="0.25">
      <c r="A94" s="440"/>
      <c r="B94" s="1042"/>
      <c r="C94" s="1036"/>
      <c r="D94" s="1037"/>
      <c r="E94" s="1037"/>
      <c r="F94" s="1037"/>
      <c r="G94" s="1037"/>
      <c r="H94" s="1037"/>
      <c r="I94" s="1037"/>
      <c r="J94" s="1603" t="s">
        <v>170</v>
      </c>
      <c r="K94" s="1603"/>
      <c r="L94" s="529"/>
      <c r="M94" s="536"/>
      <c r="N94" s="462"/>
      <c r="O94" s="537"/>
      <c r="P94" s="1037"/>
      <c r="Q94" s="1037"/>
      <c r="R94" s="1037"/>
      <c r="S94" s="354"/>
      <c r="T94" s="363"/>
      <c r="U94" s="366"/>
      <c r="V94" s="367"/>
      <c r="W94" s="1092"/>
      <c r="X94" s="1107"/>
      <c r="Y94" s="1123"/>
      <c r="Z94" s="363"/>
      <c r="AA94" s="366"/>
      <c r="AB94" s="367"/>
      <c r="AC94" s="1092"/>
      <c r="AD94" s="1107"/>
      <c r="AE94" s="1123"/>
      <c r="AF94" s="359"/>
      <c r="AG94" s="359"/>
      <c r="AH94" s="359"/>
      <c r="AI94" s="373"/>
      <c r="AJ94" s="359"/>
      <c r="AK94" s="440"/>
      <c r="AM94" s="460">
        <v>94</v>
      </c>
      <c r="AN94" s="1078"/>
    </row>
    <row r="95" spans="1:54" ht="12" customHeight="1" x14ac:dyDescent="0.2">
      <c r="A95" s="440"/>
      <c r="B95" s="1042"/>
      <c r="C95" s="1036"/>
      <c r="D95" s="1037"/>
      <c r="E95" s="1084">
        <f ca="1">IF(AX95="E","",AN95)</f>
        <v>0</v>
      </c>
      <c r="F95" s="1085"/>
      <c r="G95" s="1264"/>
      <c r="H95" s="1264"/>
      <c r="I95" s="1265"/>
      <c r="J95" s="638"/>
      <c r="K95" s="520" t="s">
        <v>177</v>
      </c>
      <c r="L95" s="521"/>
      <c r="M95" s="339"/>
      <c r="N95" s="521" t="s">
        <v>67</v>
      </c>
      <c r="O95" s="339"/>
      <c r="P95" s="504" t="s">
        <v>68</v>
      </c>
      <c r="Q95" s="344"/>
      <c r="R95" s="522" t="s">
        <v>363</v>
      </c>
      <c r="S95" s="353">
        <f t="shared" ref="S95:S97" ca="1" si="135">IF(AY95="E",(M95*O95)+Q95,AO95)</f>
        <v>0</v>
      </c>
      <c r="T95" s="523"/>
      <c r="U95" s="350"/>
      <c r="V95" s="308"/>
      <c r="W95" s="1090" t="str">
        <f t="shared" ref="W95:W97" ca="1" si="136">IF(AZ95="E",IF(AND(V95&lt;&gt;0,U95&lt;&gt;0),"X",IF(AND(V95&lt;&gt;0,U95=0),"A",IF(AND(V95=0,U95&lt;&gt;0),"P",""))),AR95)</f>
        <v/>
      </c>
      <c r="X95" s="1103">
        <f t="shared" ref="X95:X97" ca="1" si="137">IF(AZ95="E",IFERROR(IF(W95="X",0,IF(U95&gt;0,U95,V95/S95)),0),
IFERROR(IF(OR(AR95="X",AR95=0),0,
IF(AR95="P",AP95,IF(AR95="A",AQ95/S95,0))),0))</f>
        <v>0</v>
      </c>
      <c r="Y95" s="1120">
        <f t="shared" ref="Y95:Y97" ca="1" si="138">IF(AZ95="E",IFERROR(IF(W95="X",0,IF(V95&gt;0,V95,S95*U95)),0),
IFERROR(IF(OR(AR95="X",AR95="0"),0,IF(AR95="A",AQ95,S95*AP95)),0))</f>
        <v>0</v>
      </c>
      <c r="Z95" s="524"/>
      <c r="AA95" s="350"/>
      <c r="AB95" s="308"/>
      <c r="AC95" s="1090" t="str">
        <f t="shared" ref="AC95:AC97" ca="1" si="139">IF(BA95="E",IF(AND(AB95&lt;&gt;0,AA95&lt;&gt;0),"X",IF(AND(AB95&lt;&gt;0,AA95=0),"A",IF(AND(AB95=0,AA95&lt;&gt;0),"P",""))),AU95)</f>
        <v/>
      </c>
      <c r="AD95" s="1103">
        <f t="shared" ref="AD95:AD97" ca="1" si="140">IF(BA95="E",IFERROR(IF(AC95="X",0,IF(AA95&gt;0,AA95,AB95/S95)),0),
IFERROR(IF(OR(AU95="X",AU95=0),0,
IF(AU95="P",AS95,IF(AU95="A",AT95/S95,0))),0))</f>
        <v>0</v>
      </c>
      <c r="AE95" s="1120">
        <f t="shared" ref="AE95:AE97" ca="1" si="141">IF(BA95="E",IFERROR(IF(AC95="X",0,IF(AB95&gt;0,AB95,S95*AA95)),0),
IFERROR(IF(OR(AU95="X",AU95=0),0,
IF(AU95="A",AT95,S95*AS95)),0))</f>
        <v>0</v>
      </c>
      <c r="AF95" s="525"/>
      <c r="AG95" s="637"/>
      <c r="AH95" s="525"/>
      <c r="AI95" s="1086">
        <f t="shared" ref="AI95:AI97" ca="1" si="142">IF(BB95="E",AG95,AV95)</f>
        <v>0</v>
      </c>
      <c r="AJ95" s="380"/>
      <c r="AK95" s="440"/>
      <c r="AM95" s="460">
        <v>95</v>
      </c>
      <c r="AN95" s="1087">
        <f t="shared" ref="AN95:AN97" ca="1" si="143">IF($M$13=$AN$12,"",IF(ISTEXT(INDIRECT("'"&amp;$AM$20&amp;"'!"&amp;AN$21&amp;$AM95)),INDIRECT("'"&amp;$AM$20&amp;"'!"&amp;AN$21&amp;$AM95),INDIRECT("'"&amp;$AM$20&amp;"'!"&amp;AN$22&amp;$AM95)))</f>
        <v>0</v>
      </c>
      <c r="AO95" s="1083">
        <f t="shared" ref="AO95:AV97" ca="1" si="144">IF($M$13=$AN$12,"",INDIRECT("'"&amp;$AM$20&amp;"'!"&amp;AO$21&amp;$AM95))</f>
        <v>0</v>
      </c>
      <c r="AP95" s="356">
        <f t="shared" ca="1" si="144"/>
        <v>0</v>
      </c>
      <c r="AQ95" s="357">
        <f t="shared" ca="1" si="144"/>
        <v>0</v>
      </c>
      <c r="AR95" s="524" t="str">
        <f t="shared" ca="1" si="144"/>
        <v/>
      </c>
      <c r="AS95" s="356">
        <f t="shared" ca="1" si="144"/>
        <v>0</v>
      </c>
      <c r="AT95" s="357">
        <f t="shared" ca="1" si="144"/>
        <v>0</v>
      </c>
      <c r="AU95" s="524" t="str">
        <f t="shared" ca="1" si="144"/>
        <v/>
      </c>
      <c r="AV95" s="1083">
        <f t="shared" ca="1" si="144"/>
        <v>0</v>
      </c>
      <c r="AX95" s="1083" t="str">
        <f t="shared" ref="AX95:AX97" si="145">IF($M$13=$AN$12,"E",IF(ISTEXT(F95),"E","U"))</f>
        <v>U</v>
      </c>
      <c r="AY95" s="1083" t="str">
        <f t="shared" ref="AY95:AY97" si="146">IF($M$13=$AN$12,"E",IF(OR(ISNUMBER(M95),ISNUMBER(O95),ISNUMBER(Q95)),"E","U"))</f>
        <v>U</v>
      </c>
      <c r="AZ95" s="1083" t="str">
        <f t="shared" ref="AZ95:AZ97" si="147">IF($M$13=$AN$12,"E",IF(OR(ISNUMBER(U95),ISNUMBER(V95)),"E","U"))</f>
        <v>U</v>
      </c>
      <c r="BA95" s="1083" t="str">
        <f t="shared" ref="BA95:BA97" si="148">IF($M$13=$AN$12,"E",IF(OR(ISNUMBER(AA95),ISNUMBER(AB95)),"E","U"))</f>
        <v>U</v>
      </c>
      <c r="BB95" s="1083" t="str">
        <f t="shared" ref="BB95:BB97" si="149">IF($M$13=$AN$12,"E",IF(ISNUMBER(AG95),"E","U"))</f>
        <v>U</v>
      </c>
    </row>
    <row r="96" spans="1:54" ht="12" customHeight="1" x14ac:dyDescent="0.2">
      <c r="A96" s="440"/>
      <c r="B96" s="1042"/>
      <c r="C96" s="1036"/>
      <c r="D96" s="1037"/>
      <c r="E96" s="1084">
        <f ca="1">IF(AX96="E","",AN96)</f>
        <v>0</v>
      </c>
      <c r="F96" s="1085"/>
      <c r="G96" s="1264"/>
      <c r="H96" s="1264"/>
      <c r="I96" s="1265"/>
      <c r="J96" s="638"/>
      <c r="K96" s="520" t="s">
        <v>177</v>
      </c>
      <c r="L96" s="521"/>
      <c r="M96" s="339"/>
      <c r="N96" s="521" t="s">
        <v>67</v>
      </c>
      <c r="O96" s="339"/>
      <c r="P96" s="504" t="s">
        <v>68</v>
      </c>
      <c r="Q96" s="344"/>
      <c r="R96" s="522" t="s">
        <v>363</v>
      </c>
      <c r="S96" s="353">
        <f t="shared" ca="1" si="135"/>
        <v>0</v>
      </c>
      <c r="T96" s="523"/>
      <c r="U96" s="350"/>
      <c r="V96" s="308"/>
      <c r="W96" s="1090" t="str">
        <f t="shared" ca="1" si="136"/>
        <v/>
      </c>
      <c r="X96" s="1103">
        <f t="shared" ca="1" si="137"/>
        <v>0</v>
      </c>
      <c r="Y96" s="1120">
        <f t="shared" ca="1" si="138"/>
        <v>0</v>
      </c>
      <c r="Z96" s="524"/>
      <c r="AA96" s="350"/>
      <c r="AB96" s="308"/>
      <c r="AC96" s="1090" t="str">
        <f t="shared" ca="1" si="139"/>
        <v/>
      </c>
      <c r="AD96" s="1103">
        <f t="shared" ca="1" si="140"/>
        <v>0</v>
      </c>
      <c r="AE96" s="1120">
        <f t="shared" ca="1" si="141"/>
        <v>0</v>
      </c>
      <c r="AF96" s="525"/>
      <c r="AG96" s="637"/>
      <c r="AH96" s="525"/>
      <c r="AI96" s="1086">
        <f t="shared" ca="1" si="142"/>
        <v>0</v>
      </c>
      <c r="AJ96" s="380"/>
      <c r="AK96" s="440"/>
      <c r="AM96" s="460">
        <v>96</v>
      </c>
      <c r="AN96" s="1087">
        <f t="shared" ca="1" si="143"/>
        <v>0</v>
      </c>
      <c r="AO96" s="1083">
        <f t="shared" ca="1" si="144"/>
        <v>0</v>
      </c>
      <c r="AP96" s="356">
        <f t="shared" ca="1" si="144"/>
        <v>0</v>
      </c>
      <c r="AQ96" s="357">
        <f t="shared" ca="1" si="144"/>
        <v>0</v>
      </c>
      <c r="AR96" s="524" t="str">
        <f t="shared" ca="1" si="144"/>
        <v/>
      </c>
      <c r="AS96" s="356">
        <f t="shared" ca="1" si="144"/>
        <v>0</v>
      </c>
      <c r="AT96" s="357">
        <f t="shared" ca="1" si="144"/>
        <v>0</v>
      </c>
      <c r="AU96" s="524" t="str">
        <f t="shared" ca="1" si="144"/>
        <v/>
      </c>
      <c r="AV96" s="1083">
        <f t="shared" ca="1" si="144"/>
        <v>0</v>
      </c>
      <c r="AX96" s="1083" t="str">
        <f t="shared" si="145"/>
        <v>U</v>
      </c>
      <c r="AY96" s="1083" t="str">
        <f t="shared" si="146"/>
        <v>U</v>
      </c>
      <c r="AZ96" s="1083" t="str">
        <f t="shared" si="147"/>
        <v>U</v>
      </c>
      <c r="BA96" s="1083" t="str">
        <f t="shared" si="148"/>
        <v>U</v>
      </c>
      <c r="BB96" s="1083" t="str">
        <f t="shared" si="149"/>
        <v>U</v>
      </c>
    </row>
    <row r="97" spans="1:54" ht="12" customHeight="1" x14ac:dyDescent="0.2">
      <c r="A97" s="440"/>
      <c r="B97" s="1042"/>
      <c r="C97" s="1036"/>
      <c r="D97" s="1037"/>
      <c r="E97" s="1084">
        <f ca="1">IF(AX97="E","",AN97)</f>
        <v>0</v>
      </c>
      <c r="F97" s="1085"/>
      <c r="G97" s="1264"/>
      <c r="H97" s="1264"/>
      <c r="I97" s="1265"/>
      <c r="J97" s="638"/>
      <c r="K97" s="538" t="s">
        <v>177</v>
      </c>
      <c r="L97" s="503"/>
      <c r="M97" s="339"/>
      <c r="N97" s="521" t="s">
        <v>67</v>
      </c>
      <c r="O97" s="339"/>
      <c r="P97" s="504" t="s">
        <v>68</v>
      </c>
      <c r="Q97" s="344"/>
      <c r="R97" s="522" t="s">
        <v>363</v>
      </c>
      <c r="S97" s="353">
        <f t="shared" ca="1" si="135"/>
        <v>0</v>
      </c>
      <c r="T97" s="523"/>
      <c r="U97" s="350"/>
      <c r="V97" s="308"/>
      <c r="W97" s="1090" t="str">
        <f t="shared" ca="1" si="136"/>
        <v/>
      </c>
      <c r="X97" s="1103">
        <f t="shared" ca="1" si="137"/>
        <v>0</v>
      </c>
      <c r="Y97" s="1120">
        <f t="shared" ca="1" si="138"/>
        <v>0</v>
      </c>
      <c r="Z97" s="524"/>
      <c r="AA97" s="350"/>
      <c r="AB97" s="308"/>
      <c r="AC97" s="1090" t="str">
        <f t="shared" ca="1" si="139"/>
        <v/>
      </c>
      <c r="AD97" s="1103">
        <f t="shared" ca="1" si="140"/>
        <v>0</v>
      </c>
      <c r="AE97" s="1120">
        <f t="shared" ca="1" si="141"/>
        <v>0</v>
      </c>
      <c r="AF97" s="525"/>
      <c r="AG97" s="637"/>
      <c r="AH97" s="525"/>
      <c r="AI97" s="1086">
        <f t="shared" ca="1" si="142"/>
        <v>0</v>
      </c>
      <c r="AJ97" s="380"/>
      <c r="AK97" s="440"/>
      <c r="AM97" s="460">
        <v>97</v>
      </c>
      <c r="AN97" s="1087">
        <f t="shared" ca="1" si="143"/>
        <v>0</v>
      </c>
      <c r="AO97" s="1083">
        <f t="shared" ca="1" si="144"/>
        <v>0</v>
      </c>
      <c r="AP97" s="356">
        <f t="shared" ca="1" si="144"/>
        <v>0</v>
      </c>
      <c r="AQ97" s="357">
        <f t="shared" ca="1" si="144"/>
        <v>0</v>
      </c>
      <c r="AR97" s="524" t="str">
        <f t="shared" ca="1" si="144"/>
        <v/>
      </c>
      <c r="AS97" s="356">
        <f t="shared" ca="1" si="144"/>
        <v>0</v>
      </c>
      <c r="AT97" s="357">
        <f t="shared" ca="1" si="144"/>
        <v>0</v>
      </c>
      <c r="AU97" s="524" t="str">
        <f t="shared" ca="1" si="144"/>
        <v/>
      </c>
      <c r="AV97" s="1083">
        <f t="shared" ca="1" si="144"/>
        <v>0</v>
      </c>
      <c r="AX97" s="1083" t="str">
        <f t="shared" si="145"/>
        <v>U</v>
      </c>
      <c r="AY97" s="1083" t="str">
        <f t="shared" si="146"/>
        <v>U</v>
      </c>
      <c r="AZ97" s="1083" t="str">
        <f t="shared" si="147"/>
        <v>U</v>
      </c>
      <c r="BA97" s="1083" t="str">
        <f t="shared" si="148"/>
        <v>U</v>
      </c>
      <c r="BB97" s="1083" t="str">
        <f t="shared" si="149"/>
        <v>U</v>
      </c>
    </row>
    <row r="98" spans="1:54" ht="12" customHeight="1" x14ac:dyDescent="0.25">
      <c r="A98" s="440"/>
      <c r="B98" s="1042"/>
      <c r="C98" s="1036"/>
      <c r="D98" s="1037" t="s">
        <v>162</v>
      </c>
      <c r="E98" s="1607" t="s">
        <v>174</v>
      </c>
      <c r="F98" s="1607"/>
      <c r="G98" s="1607"/>
      <c r="H98" s="1607"/>
      <c r="I98" s="1607"/>
      <c r="J98" s="1038"/>
      <c r="K98" s="529"/>
      <c r="L98" s="503"/>
      <c r="M98" s="536"/>
      <c r="N98" s="462"/>
      <c r="O98" s="537"/>
      <c r="P98" s="1037"/>
      <c r="Q98" s="1037"/>
      <c r="R98" s="1037"/>
      <c r="S98" s="354">
        <f ca="1">SUBTOTAL(109,S100:S101)</f>
        <v>0</v>
      </c>
      <c r="T98" s="363"/>
      <c r="U98" s="360"/>
      <c r="V98" s="360"/>
      <c r="W98" s="1091"/>
      <c r="X98" s="1105"/>
      <c r="Y98" s="1105"/>
      <c r="Z98" s="360"/>
      <c r="AA98" s="360"/>
      <c r="AB98" s="360"/>
      <c r="AC98" s="1091"/>
      <c r="AD98" s="1105"/>
      <c r="AE98" s="1105"/>
      <c r="AF98" s="360"/>
      <c r="AG98" s="360"/>
      <c r="AH98" s="360"/>
      <c r="AI98" s="360"/>
      <c r="AJ98" s="358"/>
      <c r="AK98" s="440"/>
      <c r="AM98" s="460">
        <v>98</v>
      </c>
      <c r="AN98" s="1078"/>
    </row>
    <row r="99" spans="1:54" ht="12" customHeight="1" x14ac:dyDescent="0.25">
      <c r="A99" s="440"/>
      <c r="B99" s="1042"/>
      <c r="C99" s="1036"/>
      <c r="D99" s="1037"/>
      <c r="E99" s="1040"/>
      <c r="F99" s="1040"/>
      <c r="G99" s="1040"/>
      <c r="H99" s="1040"/>
      <c r="I99" s="1040"/>
      <c r="J99" s="1603" t="s">
        <v>178</v>
      </c>
      <c r="K99" s="1603"/>
      <c r="L99" s="503"/>
      <c r="M99" s="536"/>
      <c r="N99" s="462"/>
      <c r="O99" s="537"/>
      <c r="P99" s="1037"/>
      <c r="Q99" s="1037"/>
      <c r="R99" s="1037"/>
      <c r="S99" s="354"/>
      <c r="T99" s="363"/>
      <c r="U99" s="360"/>
      <c r="V99" s="360"/>
      <c r="W99" s="1092"/>
      <c r="X99" s="1105"/>
      <c r="Y99" s="1105"/>
      <c r="Z99" s="360"/>
      <c r="AA99" s="360"/>
      <c r="AB99" s="360"/>
      <c r="AC99" s="1092"/>
      <c r="AD99" s="1105"/>
      <c r="AE99" s="1105"/>
      <c r="AF99" s="360"/>
      <c r="AG99" s="360"/>
      <c r="AH99" s="360"/>
      <c r="AI99" s="360"/>
      <c r="AJ99" s="359"/>
      <c r="AK99" s="440"/>
      <c r="AM99" s="460">
        <v>99</v>
      </c>
      <c r="AN99" s="1078"/>
    </row>
    <row r="100" spans="1:54" ht="12" customHeight="1" x14ac:dyDescent="0.25">
      <c r="A100" s="440"/>
      <c r="B100" s="1042"/>
      <c r="C100" s="1036"/>
      <c r="D100" s="1037"/>
      <c r="E100" s="1084">
        <f ca="1">IF(AX100="E","",AN100)</f>
        <v>0</v>
      </c>
      <c r="F100" s="1085"/>
      <c r="G100" s="1264"/>
      <c r="H100" s="1264"/>
      <c r="I100" s="1265"/>
      <c r="J100" s="638"/>
      <c r="K100" s="538" t="s">
        <v>173</v>
      </c>
      <c r="L100" s="503"/>
      <c r="M100" s="339"/>
      <c r="N100" s="462"/>
      <c r="O100" s="339"/>
      <c r="P100" s="1037"/>
      <c r="Q100" s="344"/>
      <c r="R100" s="522" t="s">
        <v>363</v>
      </c>
      <c r="S100" s="353">
        <f t="shared" ref="S100:S101" ca="1" si="150">IF(AY100="E",(M100*O100)+Q100,AO100)</f>
        <v>0</v>
      </c>
      <c r="T100" s="523"/>
      <c r="U100" s="350"/>
      <c r="V100" s="308"/>
      <c r="W100" s="1090" t="str">
        <f t="shared" ref="W100:W101" ca="1" si="151">IF(AZ100="E",IF(AND(V100&lt;&gt;0,U100&lt;&gt;0),"X",IF(AND(V100&lt;&gt;0,U100=0),"A",IF(AND(V100=0,U100&lt;&gt;0),"P",""))),AR100)</f>
        <v/>
      </c>
      <c r="X100" s="1103">
        <f t="shared" ref="X100:X101" ca="1" si="152">IF(AZ100="E",IFERROR(IF(W100="X",0,IF(U100&gt;0,U100,V100/S100)),0),
IFERROR(IF(OR(AR100="X",AR100=0),0,
IF(AR100="P",AP100,IF(AR100="A",AQ100/S100,0))),0))</f>
        <v>0</v>
      </c>
      <c r="Y100" s="1120">
        <f t="shared" ref="Y100:Y101" ca="1" si="153">IF(AZ100="E",IFERROR(IF(W100="X",0,IF(V100&gt;0,V100,S100*U100)),0),
IFERROR(IF(OR(AR100="X",AR100="0"),0,IF(AR100="A",AQ100,S100*AP100)),0))</f>
        <v>0</v>
      </c>
      <c r="Z100" s="524"/>
      <c r="AA100" s="350"/>
      <c r="AB100" s="308"/>
      <c r="AC100" s="1090" t="str">
        <f t="shared" ref="AC100:AC101" ca="1" si="154">IF(BA100="E",IF(AND(AB100&lt;&gt;0,AA100&lt;&gt;0),"X",IF(AND(AB100&lt;&gt;0,AA100=0),"A",IF(AND(AB100=0,AA100&lt;&gt;0),"P",""))),AU100)</f>
        <v/>
      </c>
      <c r="AD100" s="1103">
        <f t="shared" ref="AD100:AD101" ca="1" si="155">IF(BA100="E",IFERROR(IF(AC100="X",0,IF(AA100&gt;0,AA100,AB100/S100)),0),
IFERROR(IF(OR(AU100="X",AU100=0),0,
IF(AU100="P",AS100,IF(AU100="A",AT100/S100,0))),0))</f>
        <v>0</v>
      </c>
      <c r="AE100" s="1120">
        <f t="shared" ref="AE100:AE101" ca="1" si="156">IF(BA100="E",IFERROR(IF(AC100="X",0,IF(AB100&gt;0,AB100,S100*AA100)),0),
IFERROR(IF(OR(AU100="X",AU100=0),0,
IF(AU100="A",AT100,S100*AS100)),0))</f>
        <v>0</v>
      </c>
      <c r="AF100" s="525"/>
      <c r="AG100" s="637"/>
      <c r="AH100" s="525"/>
      <c r="AI100" s="1086">
        <f t="shared" ref="AI100:AI101" ca="1" si="157">IF(BB100="E",AG100,AV100)</f>
        <v>0</v>
      </c>
      <c r="AJ100" s="380"/>
      <c r="AK100" s="440"/>
      <c r="AM100" s="460">
        <v>100</v>
      </c>
      <c r="AN100" s="1087">
        <f t="shared" ref="AN100:AN101" ca="1" si="158">IF($M$13=$AN$12,"",IF(ISTEXT(INDIRECT("'"&amp;$AM$20&amp;"'!"&amp;AN$21&amp;$AM100)),INDIRECT("'"&amp;$AM$20&amp;"'!"&amp;AN$21&amp;$AM100),INDIRECT("'"&amp;$AM$20&amp;"'!"&amp;AN$22&amp;$AM100)))</f>
        <v>0</v>
      </c>
      <c r="AO100" s="1083">
        <f t="shared" ref="AO100:AV101" ca="1" si="159">IF($M$13=$AN$12,"",INDIRECT("'"&amp;$AM$20&amp;"'!"&amp;AO$21&amp;$AM100))</f>
        <v>0</v>
      </c>
      <c r="AP100" s="356">
        <f t="shared" ca="1" si="159"/>
        <v>0</v>
      </c>
      <c r="AQ100" s="357">
        <f t="shared" ca="1" si="159"/>
        <v>0</v>
      </c>
      <c r="AR100" s="524" t="str">
        <f t="shared" ca="1" si="159"/>
        <v/>
      </c>
      <c r="AS100" s="356">
        <f t="shared" ca="1" si="159"/>
        <v>0</v>
      </c>
      <c r="AT100" s="357">
        <f t="shared" ca="1" si="159"/>
        <v>0</v>
      </c>
      <c r="AU100" s="524" t="str">
        <f t="shared" ca="1" si="159"/>
        <v/>
      </c>
      <c r="AV100" s="1083">
        <f t="shared" ca="1" si="159"/>
        <v>0</v>
      </c>
      <c r="AX100" s="1083" t="str">
        <f t="shared" ref="AX100:AX101" si="160">IF($M$13=$AN$12,"E",IF(ISTEXT(F100),"E","U"))</f>
        <v>U</v>
      </c>
      <c r="AY100" s="1083" t="str">
        <f t="shared" ref="AY100:AY101" si="161">IF($M$13=$AN$12,"E",IF(OR(ISNUMBER(M100),ISNUMBER(O100),ISNUMBER(Q100)),"E","U"))</f>
        <v>U</v>
      </c>
      <c r="AZ100" s="1083" t="str">
        <f t="shared" ref="AZ100:AZ101" si="162">IF($M$13=$AN$12,"E",IF(OR(ISNUMBER(U100),ISNUMBER(V100)),"E","U"))</f>
        <v>U</v>
      </c>
      <c r="BA100" s="1083" t="str">
        <f t="shared" ref="BA100:BA101" si="163">IF($M$13=$AN$12,"E",IF(OR(ISNUMBER(AA100),ISNUMBER(AB100)),"E","U"))</f>
        <v>U</v>
      </c>
      <c r="BB100" s="1083" t="str">
        <f t="shared" ref="BB100:BB101" si="164">IF($M$13=$AN$12,"E",IF(ISNUMBER(AG100),"E","U"))</f>
        <v>U</v>
      </c>
    </row>
    <row r="101" spans="1:54" ht="12" customHeight="1" x14ac:dyDescent="0.25">
      <c r="A101" s="440"/>
      <c r="B101" s="1042"/>
      <c r="C101" s="1036"/>
      <c r="D101" s="1037"/>
      <c r="E101" s="1084">
        <f ca="1">IF(AX101="E","",AN101)</f>
        <v>0</v>
      </c>
      <c r="F101" s="1085"/>
      <c r="G101" s="1264"/>
      <c r="H101" s="1264"/>
      <c r="I101" s="1265"/>
      <c r="J101" s="638"/>
      <c r="K101" s="538" t="s">
        <v>173</v>
      </c>
      <c r="L101" s="503"/>
      <c r="M101" s="339"/>
      <c r="N101" s="462"/>
      <c r="O101" s="339"/>
      <c r="P101" s="1037"/>
      <c r="Q101" s="344"/>
      <c r="R101" s="522" t="s">
        <v>363</v>
      </c>
      <c r="S101" s="353">
        <f t="shared" ca="1" si="150"/>
        <v>0</v>
      </c>
      <c r="T101" s="523"/>
      <c r="U101" s="350"/>
      <c r="V101" s="308"/>
      <c r="W101" s="1090" t="str">
        <f t="shared" ca="1" si="151"/>
        <v/>
      </c>
      <c r="X101" s="1103">
        <f t="shared" ca="1" si="152"/>
        <v>0</v>
      </c>
      <c r="Y101" s="1120">
        <f t="shared" ca="1" si="153"/>
        <v>0</v>
      </c>
      <c r="Z101" s="524"/>
      <c r="AA101" s="350"/>
      <c r="AB101" s="308"/>
      <c r="AC101" s="1090" t="str">
        <f t="shared" ca="1" si="154"/>
        <v/>
      </c>
      <c r="AD101" s="1103">
        <f t="shared" ca="1" si="155"/>
        <v>0</v>
      </c>
      <c r="AE101" s="1120">
        <f t="shared" ca="1" si="156"/>
        <v>0</v>
      </c>
      <c r="AF101" s="525"/>
      <c r="AG101" s="637"/>
      <c r="AH101" s="525"/>
      <c r="AI101" s="1086">
        <f t="shared" ca="1" si="157"/>
        <v>0</v>
      </c>
      <c r="AJ101" s="380"/>
      <c r="AK101" s="440"/>
      <c r="AM101" s="460">
        <v>101</v>
      </c>
      <c r="AN101" s="1087">
        <f t="shared" ca="1" si="158"/>
        <v>0</v>
      </c>
      <c r="AO101" s="1083">
        <f t="shared" ca="1" si="159"/>
        <v>0</v>
      </c>
      <c r="AP101" s="356">
        <f t="shared" ca="1" si="159"/>
        <v>0</v>
      </c>
      <c r="AQ101" s="357">
        <f t="shared" ca="1" si="159"/>
        <v>0</v>
      </c>
      <c r="AR101" s="524" t="str">
        <f t="shared" ca="1" si="159"/>
        <v/>
      </c>
      <c r="AS101" s="356">
        <f t="shared" ca="1" si="159"/>
        <v>0</v>
      </c>
      <c r="AT101" s="357">
        <f t="shared" ca="1" si="159"/>
        <v>0</v>
      </c>
      <c r="AU101" s="524" t="str">
        <f t="shared" ca="1" si="159"/>
        <v/>
      </c>
      <c r="AV101" s="1083">
        <f t="shared" ca="1" si="159"/>
        <v>0</v>
      </c>
      <c r="AX101" s="1083" t="str">
        <f t="shared" si="160"/>
        <v>U</v>
      </c>
      <c r="AY101" s="1083" t="str">
        <f t="shared" si="161"/>
        <v>U</v>
      </c>
      <c r="AZ101" s="1083" t="str">
        <f t="shared" si="162"/>
        <v>U</v>
      </c>
      <c r="BA101" s="1083" t="str">
        <f t="shared" si="163"/>
        <v>U</v>
      </c>
      <c r="BB101" s="1083" t="str">
        <f t="shared" si="164"/>
        <v>U</v>
      </c>
    </row>
    <row r="102" spans="1:54" ht="14.25" customHeight="1" x14ac:dyDescent="0.25">
      <c r="A102" s="440"/>
      <c r="B102" s="1042"/>
      <c r="C102" s="1036" t="s">
        <v>184</v>
      </c>
      <c r="D102" s="494"/>
      <c r="E102" s="1608" t="s">
        <v>185</v>
      </c>
      <c r="F102" s="1608"/>
      <c r="G102" s="1608"/>
      <c r="H102" s="1608"/>
      <c r="I102" s="1608"/>
      <c r="J102" s="1608"/>
      <c r="K102" s="1608"/>
      <c r="L102" s="529"/>
      <c r="M102" s="536"/>
      <c r="N102" s="462"/>
      <c r="O102" s="537"/>
      <c r="P102" s="1037"/>
      <c r="Q102" s="1037"/>
      <c r="R102" s="1037"/>
      <c r="S102" s="355">
        <f ca="1">SUBTOTAL(109,S104:S110)</f>
        <v>141152.4</v>
      </c>
      <c r="T102" s="363"/>
      <c r="U102" s="360"/>
      <c r="V102" s="361"/>
      <c r="W102" s="1092"/>
      <c r="X102" s="1105"/>
      <c r="Y102" s="1121"/>
      <c r="Z102" s="363"/>
      <c r="AA102" s="360"/>
      <c r="AB102" s="361"/>
      <c r="AC102" s="1092"/>
      <c r="AD102" s="1105"/>
      <c r="AE102" s="1121"/>
      <c r="AF102" s="359"/>
      <c r="AG102" s="359"/>
      <c r="AH102" s="359"/>
      <c r="AI102" s="358"/>
      <c r="AJ102" s="380"/>
      <c r="AK102" s="440"/>
      <c r="AL102" s="395"/>
      <c r="AM102" s="460">
        <v>102</v>
      </c>
      <c r="AN102" s="1078"/>
    </row>
    <row r="103" spans="1:54" ht="14.25" customHeight="1" x14ac:dyDescent="0.25">
      <c r="A103" s="440"/>
      <c r="B103" s="1042"/>
      <c r="C103" s="1036"/>
      <c r="D103" s="494"/>
      <c r="E103" s="1041"/>
      <c r="F103" s="1041"/>
      <c r="G103" s="1041"/>
      <c r="H103" s="1041"/>
      <c r="I103" s="1041"/>
      <c r="J103" s="1041"/>
      <c r="K103" s="1041"/>
      <c r="L103" s="529"/>
      <c r="M103" s="536"/>
      <c r="N103" s="462"/>
      <c r="O103" s="537"/>
      <c r="P103" s="1037"/>
      <c r="Q103" s="1037"/>
      <c r="R103" s="1037"/>
      <c r="S103" s="355"/>
      <c r="T103" s="363"/>
      <c r="U103" s="360"/>
      <c r="V103" s="361"/>
      <c r="W103" s="1092"/>
      <c r="X103" s="1105"/>
      <c r="Y103" s="1121"/>
      <c r="Z103" s="363"/>
      <c r="AA103" s="360"/>
      <c r="AB103" s="361"/>
      <c r="AC103" s="1092"/>
      <c r="AD103" s="1105"/>
      <c r="AE103" s="1121"/>
      <c r="AF103" s="359"/>
      <c r="AG103" s="359"/>
      <c r="AH103" s="359"/>
      <c r="AI103" s="358"/>
      <c r="AJ103" s="359"/>
      <c r="AK103" s="440"/>
      <c r="AL103" s="395"/>
      <c r="AM103" s="460">
        <v>103</v>
      </c>
      <c r="AN103" s="1078"/>
    </row>
    <row r="104" spans="1:54" ht="12" customHeight="1" x14ac:dyDescent="0.25">
      <c r="A104" s="440"/>
      <c r="B104" s="1042"/>
      <c r="C104" s="1036"/>
      <c r="D104" s="1037"/>
      <c r="E104" s="1084" t="str">
        <f t="shared" ref="E104:E110" ca="1" si="165">IF(AX104="E","",AN104)</f>
        <v>Sanitär</v>
      </c>
      <c r="F104" s="1085"/>
      <c r="G104" s="1264"/>
      <c r="H104" s="1264"/>
      <c r="I104" s="1265"/>
      <c r="J104" s="638"/>
      <c r="K104" s="538"/>
      <c r="L104" s="503"/>
      <c r="M104" s="339"/>
      <c r="N104" s="462"/>
      <c r="O104" s="339"/>
      <c r="P104" s="1037"/>
      <c r="Q104" s="344"/>
      <c r="R104" s="522" t="s">
        <v>363</v>
      </c>
      <c r="S104" s="353">
        <f t="shared" ref="S104:S110" ca="1" si="166">IF(AY104="E",(M104*O104)+Q104,AO104)</f>
        <v>141152.4</v>
      </c>
      <c r="T104" s="523"/>
      <c r="U104" s="350"/>
      <c r="V104" s="308"/>
      <c r="W104" s="1090" t="str">
        <f t="shared" ref="W104:W110" ca="1" si="167">IF(AZ104="E",IF(AND(V104&lt;&gt;0,U104&lt;&gt;0),"X",IF(AND(V104&lt;&gt;0,U104=0),"A",IF(AND(V104=0,U104&lt;&gt;0),"P",""))),AR104)</f>
        <v/>
      </c>
      <c r="X104" s="1103">
        <f t="shared" ref="X104:X110" ca="1" si="168">IF(AZ104="E",IFERROR(IF(W104="X",0,IF(U104&gt;0,U104,V104/S104)),0),
IFERROR(IF(OR(AR104="X",AR104=0),0,
IF(AR104="P",AP104,IF(AR104="A",AQ104/S104,0))),0))</f>
        <v>0</v>
      </c>
      <c r="Y104" s="1120">
        <f t="shared" ref="Y104:Y110" ca="1" si="169">IF(AZ104="E",IFERROR(IF(W104="X",0,IF(V104&gt;0,V104,S104*U104)),0),
IFERROR(IF(OR(AR104="X",AR104="0"),0,IF(AR104="A",AQ104,S104*AP104)),0))</f>
        <v>0</v>
      </c>
      <c r="Z104" s="524"/>
      <c r="AA104" s="350"/>
      <c r="AB104" s="308"/>
      <c r="AC104" s="1090" t="str">
        <f t="shared" ref="AC104:AC110" ca="1" si="170">IF(BA104="E",IF(AND(AB104&lt;&gt;0,AA104&lt;&gt;0),"X",IF(AND(AB104&lt;&gt;0,AA104=0),"A",IF(AND(AB104=0,AA104&lt;&gt;0),"P",""))),AU104)</f>
        <v/>
      </c>
      <c r="AD104" s="1103">
        <f t="shared" ref="AD104:AD110" ca="1" si="171">IF(BA104="E",IFERROR(IF(AC104="X",0,IF(AA104&gt;0,AA104,AB104/S104)),0),
IFERROR(IF(OR(AU104="X",AU104=0),0,
IF(AU104="P",AS104,IF(AU104="A",AT104/S104,0))),0))</f>
        <v>0</v>
      </c>
      <c r="AE104" s="1120">
        <f t="shared" ref="AE104:AE110" ca="1" si="172">IF(BA104="E",IFERROR(IF(AC104="X",0,IF(AB104&gt;0,AB104,S104*AA104)),0),
IFERROR(IF(OR(AU104="X",AU104=0),0,
IF(AU104="A",AT104,S104*AS104)),0))</f>
        <v>0</v>
      </c>
      <c r="AF104" s="525"/>
      <c r="AG104" s="637"/>
      <c r="AH104" s="525"/>
      <c r="AI104" s="1086">
        <f t="shared" ref="AI104:AI110" ca="1" si="173">IF(BB104="E",AG104,AV104)</f>
        <v>50</v>
      </c>
      <c r="AJ104" s="380"/>
      <c r="AK104" s="440"/>
      <c r="AL104" s="395"/>
      <c r="AM104" s="460">
        <v>104</v>
      </c>
      <c r="AN104" s="1087" t="str">
        <f t="shared" ref="AN104:AN110" ca="1" si="174">IF($M$13=$AN$12,"",IF(ISTEXT(INDIRECT("'"&amp;$AM$20&amp;"'!"&amp;AN$21&amp;$AM104)),INDIRECT("'"&amp;$AM$20&amp;"'!"&amp;AN$21&amp;$AM104),INDIRECT("'"&amp;$AM$20&amp;"'!"&amp;AN$22&amp;$AM104)))</f>
        <v>Sanitär</v>
      </c>
      <c r="AO104" s="1083">
        <f t="shared" ref="AO104:AV110" ca="1" si="175">IF($M$13=$AN$12,"",INDIRECT("'"&amp;$AM$20&amp;"'!"&amp;AO$21&amp;$AM104))</f>
        <v>141152.4</v>
      </c>
      <c r="AP104" s="356">
        <f t="shared" ca="1" si="175"/>
        <v>0</v>
      </c>
      <c r="AQ104" s="357">
        <f t="shared" ca="1" si="175"/>
        <v>0</v>
      </c>
      <c r="AR104" s="524" t="str">
        <f t="shared" ca="1" si="175"/>
        <v/>
      </c>
      <c r="AS104" s="356">
        <f t="shared" ca="1" si="175"/>
        <v>0</v>
      </c>
      <c r="AT104" s="357">
        <f t="shared" ca="1" si="175"/>
        <v>0</v>
      </c>
      <c r="AU104" s="524" t="str">
        <f t="shared" ca="1" si="175"/>
        <v/>
      </c>
      <c r="AV104" s="1083">
        <f t="shared" ca="1" si="175"/>
        <v>50</v>
      </c>
      <c r="AX104" s="1083" t="str">
        <f t="shared" ref="AX104:AX110" si="176">IF($M$13=$AN$12,"E",IF(ISTEXT(F104),"E","U"))</f>
        <v>U</v>
      </c>
      <c r="AY104" s="1083" t="str">
        <f t="shared" ref="AY104:AY110" si="177">IF($M$13=$AN$12,"E",IF(OR(ISNUMBER(M104),ISNUMBER(O104),ISNUMBER(Q104)),"E","U"))</f>
        <v>U</v>
      </c>
      <c r="AZ104" s="1083" t="str">
        <f t="shared" ref="AZ104:AZ110" si="178">IF($M$13=$AN$12,"E",IF(OR(ISNUMBER(U104),ISNUMBER(V104)),"E","U"))</f>
        <v>U</v>
      </c>
      <c r="BA104" s="1083" t="str">
        <f t="shared" ref="BA104:BA110" si="179">IF($M$13=$AN$12,"E",IF(OR(ISNUMBER(AA104),ISNUMBER(AB104)),"E","U"))</f>
        <v>U</v>
      </c>
      <c r="BB104" s="1083" t="str">
        <f t="shared" ref="BB104:BB110" si="180">IF($M$13=$AN$12,"E",IF(ISNUMBER(AG104),"E","U"))</f>
        <v>U</v>
      </c>
    </row>
    <row r="105" spans="1:54" ht="12" customHeight="1" x14ac:dyDescent="0.25">
      <c r="A105" s="440"/>
      <c r="B105" s="1042"/>
      <c r="C105" s="1036"/>
      <c r="D105" s="1037"/>
      <c r="E105" s="1084">
        <f t="shared" ca="1" si="165"/>
        <v>0</v>
      </c>
      <c r="F105" s="1085"/>
      <c r="G105" s="1264"/>
      <c r="H105" s="1264"/>
      <c r="I105" s="1265"/>
      <c r="J105" s="638"/>
      <c r="K105" s="538"/>
      <c r="L105" s="503"/>
      <c r="M105" s="339"/>
      <c r="N105" s="462"/>
      <c r="O105" s="339"/>
      <c r="P105" s="1037"/>
      <c r="Q105" s="344"/>
      <c r="R105" s="522" t="s">
        <v>363</v>
      </c>
      <c r="S105" s="353">
        <f t="shared" ca="1" si="166"/>
        <v>0</v>
      </c>
      <c r="T105" s="523"/>
      <c r="U105" s="350"/>
      <c r="V105" s="308"/>
      <c r="W105" s="1090" t="str">
        <f t="shared" ca="1" si="167"/>
        <v/>
      </c>
      <c r="X105" s="1103">
        <f t="shared" ca="1" si="168"/>
        <v>0</v>
      </c>
      <c r="Y105" s="1120">
        <f t="shared" ca="1" si="169"/>
        <v>0</v>
      </c>
      <c r="Z105" s="524"/>
      <c r="AA105" s="350"/>
      <c r="AB105" s="308"/>
      <c r="AC105" s="1090" t="str">
        <f t="shared" ca="1" si="170"/>
        <v/>
      </c>
      <c r="AD105" s="1103">
        <f t="shared" ca="1" si="171"/>
        <v>0</v>
      </c>
      <c r="AE105" s="1120">
        <f t="shared" ca="1" si="172"/>
        <v>0</v>
      </c>
      <c r="AF105" s="525"/>
      <c r="AG105" s="637"/>
      <c r="AH105" s="525"/>
      <c r="AI105" s="1086">
        <f t="shared" ca="1" si="173"/>
        <v>0</v>
      </c>
      <c r="AJ105" s="380"/>
      <c r="AK105" s="440"/>
      <c r="AL105" s="395"/>
      <c r="AM105" s="460">
        <v>105</v>
      </c>
      <c r="AN105" s="1087">
        <f t="shared" ca="1" si="174"/>
        <v>0</v>
      </c>
      <c r="AO105" s="1083">
        <f t="shared" ca="1" si="175"/>
        <v>0</v>
      </c>
      <c r="AP105" s="356">
        <f t="shared" ca="1" si="175"/>
        <v>0</v>
      </c>
      <c r="AQ105" s="357">
        <f t="shared" ca="1" si="175"/>
        <v>0</v>
      </c>
      <c r="AR105" s="524" t="str">
        <f t="shared" ca="1" si="175"/>
        <v/>
      </c>
      <c r="AS105" s="356">
        <f t="shared" ca="1" si="175"/>
        <v>0</v>
      </c>
      <c r="AT105" s="357">
        <f t="shared" ca="1" si="175"/>
        <v>0</v>
      </c>
      <c r="AU105" s="524" t="str">
        <f t="shared" ca="1" si="175"/>
        <v/>
      </c>
      <c r="AV105" s="1083">
        <f t="shared" ca="1" si="175"/>
        <v>0</v>
      </c>
      <c r="AX105" s="1083" t="str">
        <f t="shared" si="176"/>
        <v>U</v>
      </c>
      <c r="AY105" s="1083" t="str">
        <f t="shared" si="177"/>
        <v>U</v>
      </c>
      <c r="AZ105" s="1083" t="str">
        <f t="shared" si="178"/>
        <v>U</v>
      </c>
      <c r="BA105" s="1083" t="str">
        <f t="shared" si="179"/>
        <v>U</v>
      </c>
      <c r="BB105" s="1083" t="str">
        <f t="shared" si="180"/>
        <v>U</v>
      </c>
    </row>
    <row r="106" spans="1:54" ht="12" customHeight="1" x14ac:dyDescent="0.25">
      <c r="A106" s="440"/>
      <c r="B106" s="1042"/>
      <c r="C106" s="1036"/>
      <c r="D106" s="1037"/>
      <c r="E106" s="1084">
        <f t="shared" ca="1" si="165"/>
        <v>0</v>
      </c>
      <c r="F106" s="1085"/>
      <c r="G106" s="1264"/>
      <c r="H106" s="1264"/>
      <c r="I106" s="1265"/>
      <c r="J106" s="638"/>
      <c r="K106" s="538"/>
      <c r="L106" s="503"/>
      <c r="M106" s="339"/>
      <c r="N106" s="462"/>
      <c r="O106" s="339"/>
      <c r="P106" s="1037"/>
      <c r="Q106" s="344"/>
      <c r="R106" s="522" t="s">
        <v>363</v>
      </c>
      <c r="S106" s="353">
        <f t="shared" ca="1" si="166"/>
        <v>0</v>
      </c>
      <c r="T106" s="523"/>
      <c r="U106" s="350"/>
      <c r="V106" s="308"/>
      <c r="W106" s="1090" t="str">
        <f t="shared" ca="1" si="167"/>
        <v/>
      </c>
      <c r="X106" s="1103">
        <f t="shared" ca="1" si="168"/>
        <v>0</v>
      </c>
      <c r="Y106" s="1120">
        <f t="shared" ca="1" si="169"/>
        <v>0</v>
      </c>
      <c r="Z106" s="524"/>
      <c r="AA106" s="350"/>
      <c r="AB106" s="308"/>
      <c r="AC106" s="1090" t="str">
        <f t="shared" ca="1" si="170"/>
        <v/>
      </c>
      <c r="AD106" s="1103">
        <f t="shared" ca="1" si="171"/>
        <v>0</v>
      </c>
      <c r="AE106" s="1120">
        <f t="shared" ca="1" si="172"/>
        <v>0</v>
      </c>
      <c r="AF106" s="525"/>
      <c r="AG106" s="637"/>
      <c r="AH106" s="525"/>
      <c r="AI106" s="1086">
        <f t="shared" ca="1" si="173"/>
        <v>0</v>
      </c>
      <c r="AJ106" s="380"/>
      <c r="AK106" s="440"/>
      <c r="AL106" s="395"/>
      <c r="AM106" s="460">
        <v>106</v>
      </c>
      <c r="AN106" s="1087">
        <f t="shared" ca="1" si="174"/>
        <v>0</v>
      </c>
      <c r="AO106" s="1083">
        <f t="shared" ca="1" si="175"/>
        <v>0</v>
      </c>
      <c r="AP106" s="356">
        <f t="shared" ca="1" si="175"/>
        <v>0</v>
      </c>
      <c r="AQ106" s="357">
        <f t="shared" ca="1" si="175"/>
        <v>0</v>
      </c>
      <c r="AR106" s="524" t="str">
        <f t="shared" ca="1" si="175"/>
        <v/>
      </c>
      <c r="AS106" s="356">
        <f t="shared" ca="1" si="175"/>
        <v>0</v>
      </c>
      <c r="AT106" s="357">
        <f t="shared" ca="1" si="175"/>
        <v>0</v>
      </c>
      <c r="AU106" s="524" t="str">
        <f t="shared" ca="1" si="175"/>
        <v/>
      </c>
      <c r="AV106" s="1083">
        <f t="shared" ca="1" si="175"/>
        <v>0</v>
      </c>
      <c r="AX106" s="1083" t="str">
        <f t="shared" si="176"/>
        <v>U</v>
      </c>
      <c r="AY106" s="1083" t="str">
        <f t="shared" si="177"/>
        <v>U</v>
      </c>
      <c r="AZ106" s="1083" t="str">
        <f t="shared" si="178"/>
        <v>U</v>
      </c>
      <c r="BA106" s="1083" t="str">
        <f t="shared" si="179"/>
        <v>U</v>
      </c>
      <c r="BB106" s="1083" t="str">
        <f t="shared" si="180"/>
        <v>U</v>
      </c>
    </row>
    <row r="107" spans="1:54" ht="12" customHeight="1" x14ac:dyDescent="0.25">
      <c r="A107" s="440"/>
      <c r="B107" s="1042"/>
      <c r="C107" s="1036"/>
      <c r="D107" s="1037"/>
      <c r="E107" s="1084">
        <f t="shared" ca="1" si="165"/>
        <v>0</v>
      </c>
      <c r="F107" s="1085"/>
      <c r="G107" s="1264"/>
      <c r="H107" s="1264"/>
      <c r="I107" s="1265"/>
      <c r="J107" s="638"/>
      <c r="K107" s="538"/>
      <c r="L107" s="503"/>
      <c r="M107" s="339"/>
      <c r="N107" s="462"/>
      <c r="O107" s="339"/>
      <c r="P107" s="1037"/>
      <c r="Q107" s="344"/>
      <c r="R107" s="522" t="s">
        <v>363</v>
      </c>
      <c r="S107" s="353">
        <f t="shared" ca="1" si="166"/>
        <v>0</v>
      </c>
      <c r="T107" s="523"/>
      <c r="U107" s="350"/>
      <c r="V107" s="308"/>
      <c r="W107" s="1090" t="str">
        <f t="shared" ca="1" si="167"/>
        <v/>
      </c>
      <c r="X107" s="1103">
        <f t="shared" ca="1" si="168"/>
        <v>0</v>
      </c>
      <c r="Y107" s="1120">
        <f t="shared" ca="1" si="169"/>
        <v>0</v>
      </c>
      <c r="Z107" s="524"/>
      <c r="AA107" s="350"/>
      <c r="AB107" s="308"/>
      <c r="AC107" s="1090" t="str">
        <f t="shared" ca="1" si="170"/>
        <v/>
      </c>
      <c r="AD107" s="1103">
        <f t="shared" ca="1" si="171"/>
        <v>0</v>
      </c>
      <c r="AE107" s="1120">
        <f t="shared" ca="1" si="172"/>
        <v>0</v>
      </c>
      <c r="AF107" s="525"/>
      <c r="AG107" s="637"/>
      <c r="AH107" s="525"/>
      <c r="AI107" s="1086">
        <f t="shared" ca="1" si="173"/>
        <v>0</v>
      </c>
      <c r="AJ107" s="380"/>
      <c r="AK107" s="440"/>
      <c r="AL107" s="395"/>
      <c r="AM107" s="460">
        <v>107</v>
      </c>
      <c r="AN107" s="1087">
        <f t="shared" ca="1" si="174"/>
        <v>0</v>
      </c>
      <c r="AO107" s="1083">
        <f t="shared" ca="1" si="175"/>
        <v>0</v>
      </c>
      <c r="AP107" s="356">
        <f t="shared" ca="1" si="175"/>
        <v>0</v>
      </c>
      <c r="AQ107" s="357">
        <f t="shared" ca="1" si="175"/>
        <v>0</v>
      </c>
      <c r="AR107" s="524" t="str">
        <f t="shared" ca="1" si="175"/>
        <v/>
      </c>
      <c r="AS107" s="356">
        <f t="shared" ca="1" si="175"/>
        <v>0</v>
      </c>
      <c r="AT107" s="357">
        <f t="shared" ca="1" si="175"/>
        <v>0</v>
      </c>
      <c r="AU107" s="524" t="str">
        <f t="shared" ca="1" si="175"/>
        <v/>
      </c>
      <c r="AV107" s="1083">
        <f t="shared" ca="1" si="175"/>
        <v>0</v>
      </c>
      <c r="AX107" s="1083" t="str">
        <f t="shared" si="176"/>
        <v>U</v>
      </c>
      <c r="AY107" s="1083" t="str">
        <f t="shared" si="177"/>
        <v>U</v>
      </c>
      <c r="AZ107" s="1083" t="str">
        <f t="shared" si="178"/>
        <v>U</v>
      </c>
      <c r="BA107" s="1083" t="str">
        <f t="shared" si="179"/>
        <v>U</v>
      </c>
      <c r="BB107" s="1083" t="str">
        <f t="shared" si="180"/>
        <v>U</v>
      </c>
    </row>
    <row r="108" spans="1:54" ht="12" customHeight="1" x14ac:dyDescent="0.25">
      <c r="A108" s="440"/>
      <c r="B108" s="1042"/>
      <c r="C108" s="1036"/>
      <c r="D108" s="1037"/>
      <c r="E108" s="1084">
        <f t="shared" ca="1" si="165"/>
        <v>0</v>
      </c>
      <c r="F108" s="1085"/>
      <c r="G108" s="1264"/>
      <c r="H108" s="1264"/>
      <c r="I108" s="1265"/>
      <c r="J108" s="638"/>
      <c r="K108" s="538"/>
      <c r="L108" s="503"/>
      <c r="M108" s="339"/>
      <c r="N108" s="462"/>
      <c r="O108" s="339"/>
      <c r="P108" s="1037"/>
      <c r="Q108" s="344"/>
      <c r="R108" s="522" t="s">
        <v>363</v>
      </c>
      <c r="S108" s="353">
        <f t="shared" ca="1" si="166"/>
        <v>0</v>
      </c>
      <c r="T108" s="523"/>
      <c r="U108" s="350"/>
      <c r="V108" s="308"/>
      <c r="W108" s="1090" t="str">
        <f t="shared" ca="1" si="167"/>
        <v/>
      </c>
      <c r="X108" s="1103">
        <f t="shared" ca="1" si="168"/>
        <v>0</v>
      </c>
      <c r="Y108" s="1120">
        <f t="shared" ca="1" si="169"/>
        <v>0</v>
      </c>
      <c r="Z108" s="524"/>
      <c r="AA108" s="350"/>
      <c r="AB108" s="308"/>
      <c r="AC108" s="1090" t="str">
        <f t="shared" ca="1" si="170"/>
        <v/>
      </c>
      <c r="AD108" s="1103">
        <f t="shared" ca="1" si="171"/>
        <v>0</v>
      </c>
      <c r="AE108" s="1120">
        <f t="shared" ca="1" si="172"/>
        <v>0</v>
      </c>
      <c r="AF108" s="525"/>
      <c r="AG108" s="637"/>
      <c r="AH108" s="525"/>
      <c r="AI108" s="1086">
        <f t="shared" ca="1" si="173"/>
        <v>0</v>
      </c>
      <c r="AJ108" s="380"/>
      <c r="AK108" s="440"/>
      <c r="AM108" s="460">
        <v>108</v>
      </c>
      <c r="AN108" s="1087">
        <f t="shared" ca="1" si="174"/>
        <v>0</v>
      </c>
      <c r="AO108" s="1083">
        <f t="shared" ca="1" si="175"/>
        <v>0</v>
      </c>
      <c r="AP108" s="356">
        <f t="shared" ca="1" si="175"/>
        <v>0</v>
      </c>
      <c r="AQ108" s="357">
        <f t="shared" ca="1" si="175"/>
        <v>0</v>
      </c>
      <c r="AR108" s="524" t="str">
        <f t="shared" ca="1" si="175"/>
        <v/>
      </c>
      <c r="AS108" s="356">
        <f t="shared" ca="1" si="175"/>
        <v>0</v>
      </c>
      <c r="AT108" s="357">
        <f t="shared" ca="1" si="175"/>
        <v>0</v>
      </c>
      <c r="AU108" s="524" t="str">
        <f t="shared" ca="1" si="175"/>
        <v/>
      </c>
      <c r="AV108" s="1083">
        <f t="shared" ca="1" si="175"/>
        <v>0</v>
      </c>
      <c r="AX108" s="1083" t="str">
        <f t="shared" si="176"/>
        <v>U</v>
      </c>
      <c r="AY108" s="1083" t="str">
        <f t="shared" si="177"/>
        <v>U</v>
      </c>
      <c r="AZ108" s="1083" t="str">
        <f t="shared" si="178"/>
        <v>U</v>
      </c>
      <c r="BA108" s="1083" t="str">
        <f t="shared" si="179"/>
        <v>U</v>
      </c>
      <c r="BB108" s="1083" t="str">
        <f t="shared" si="180"/>
        <v>U</v>
      </c>
    </row>
    <row r="109" spans="1:54" ht="12" customHeight="1" x14ac:dyDescent="0.25">
      <c r="A109" s="440"/>
      <c r="B109" s="1042"/>
      <c r="C109" s="1036"/>
      <c r="D109" s="1037"/>
      <c r="E109" s="1084">
        <f t="shared" ca="1" si="165"/>
        <v>0</v>
      </c>
      <c r="F109" s="1085"/>
      <c r="G109" s="1264"/>
      <c r="H109" s="1264"/>
      <c r="I109" s="1265"/>
      <c r="J109" s="638"/>
      <c r="K109" s="538"/>
      <c r="L109" s="503"/>
      <c r="M109" s="339"/>
      <c r="N109" s="462"/>
      <c r="O109" s="339"/>
      <c r="P109" s="1037"/>
      <c r="Q109" s="344"/>
      <c r="R109" s="522" t="s">
        <v>363</v>
      </c>
      <c r="S109" s="353">
        <f t="shared" ca="1" si="166"/>
        <v>0</v>
      </c>
      <c r="T109" s="523"/>
      <c r="U109" s="350"/>
      <c r="V109" s="308"/>
      <c r="W109" s="1090" t="str">
        <f t="shared" ca="1" si="167"/>
        <v/>
      </c>
      <c r="X109" s="1103">
        <f t="shared" ca="1" si="168"/>
        <v>0</v>
      </c>
      <c r="Y109" s="1120">
        <f t="shared" ca="1" si="169"/>
        <v>0</v>
      </c>
      <c r="Z109" s="524"/>
      <c r="AA109" s="350"/>
      <c r="AB109" s="308"/>
      <c r="AC109" s="1090" t="str">
        <f t="shared" ca="1" si="170"/>
        <v/>
      </c>
      <c r="AD109" s="1103">
        <f t="shared" ca="1" si="171"/>
        <v>0</v>
      </c>
      <c r="AE109" s="1120">
        <f t="shared" ca="1" si="172"/>
        <v>0</v>
      </c>
      <c r="AF109" s="525"/>
      <c r="AG109" s="637"/>
      <c r="AH109" s="525"/>
      <c r="AI109" s="1086">
        <f t="shared" ca="1" si="173"/>
        <v>0</v>
      </c>
      <c r="AJ109" s="380"/>
      <c r="AK109" s="440"/>
      <c r="AM109" s="460">
        <v>109</v>
      </c>
      <c r="AN109" s="1087">
        <f t="shared" ca="1" si="174"/>
        <v>0</v>
      </c>
      <c r="AO109" s="1083">
        <f t="shared" ca="1" si="175"/>
        <v>0</v>
      </c>
      <c r="AP109" s="356">
        <f t="shared" ca="1" si="175"/>
        <v>0</v>
      </c>
      <c r="AQ109" s="357">
        <f t="shared" ca="1" si="175"/>
        <v>0</v>
      </c>
      <c r="AR109" s="524" t="str">
        <f t="shared" ca="1" si="175"/>
        <v/>
      </c>
      <c r="AS109" s="356">
        <f t="shared" ca="1" si="175"/>
        <v>0</v>
      </c>
      <c r="AT109" s="357">
        <f t="shared" ca="1" si="175"/>
        <v>0</v>
      </c>
      <c r="AU109" s="524" t="str">
        <f t="shared" ca="1" si="175"/>
        <v/>
      </c>
      <c r="AV109" s="1083">
        <f t="shared" ca="1" si="175"/>
        <v>0</v>
      </c>
      <c r="AX109" s="1083" t="str">
        <f t="shared" si="176"/>
        <v>U</v>
      </c>
      <c r="AY109" s="1083" t="str">
        <f t="shared" si="177"/>
        <v>U</v>
      </c>
      <c r="AZ109" s="1083" t="str">
        <f t="shared" si="178"/>
        <v>U</v>
      </c>
      <c r="BA109" s="1083" t="str">
        <f t="shared" si="179"/>
        <v>U</v>
      </c>
      <c r="BB109" s="1083" t="str">
        <f t="shared" si="180"/>
        <v>U</v>
      </c>
    </row>
    <row r="110" spans="1:54" ht="12" customHeight="1" x14ac:dyDescent="0.25">
      <c r="A110" s="440"/>
      <c r="B110" s="1042"/>
      <c r="C110" s="1036"/>
      <c r="D110" s="1037"/>
      <c r="E110" s="1084">
        <f t="shared" ca="1" si="165"/>
        <v>0</v>
      </c>
      <c r="F110" s="1085"/>
      <c r="G110" s="1264"/>
      <c r="H110" s="1264"/>
      <c r="I110" s="1265"/>
      <c r="J110" s="638"/>
      <c r="K110" s="538"/>
      <c r="L110" s="503"/>
      <c r="M110" s="339"/>
      <c r="N110" s="462"/>
      <c r="O110" s="339"/>
      <c r="P110" s="1037"/>
      <c r="Q110" s="344"/>
      <c r="R110" s="522" t="s">
        <v>363</v>
      </c>
      <c r="S110" s="353">
        <f t="shared" ca="1" si="166"/>
        <v>0</v>
      </c>
      <c r="T110" s="523"/>
      <c r="U110" s="350"/>
      <c r="V110" s="308"/>
      <c r="W110" s="1090" t="str">
        <f t="shared" ca="1" si="167"/>
        <v/>
      </c>
      <c r="X110" s="1103">
        <f t="shared" ca="1" si="168"/>
        <v>0</v>
      </c>
      <c r="Y110" s="1120">
        <f t="shared" ca="1" si="169"/>
        <v>0</v>
      </c>
      <c r="Z110" s="524"/>
      <c r="AA110" s="350"/>
      <c r="AB110" s="308"/>
      <c r="AC110" s="1090" t="str">
        <f t="shared" ca="1" si="170"/>
        <v/>
      </c>
      <c r="AD110" s="1103">
        <f t="shared" ca="1" si="171"/>
        <v>0</v>
      </c>
      <c r="AE110" s="1120">
        <f t="shared" ca="1" si="172"/>
        <v>0</v>
      </c>
      <c r="AF110" s="525"/>
      <c r="AG110" s="637"/>
      <c r="AH110" s="525"/>
      <c r="AI110" s="1086">
        <f t="shared" ca="1" si="173"/>
        <v>0</v>
      </c>
      <c r="AJ110" s="380"/>
      <c r="AK110" s="440"/>
      <c r="AM110" s="460">
        <v>110</v>
      </c>
      <c r="AN110" s="1087">
        <f t="shared" ca="1" si="174"/>
        <v>0</v>
      </c>
      <c r="AO110" s="1083">
        <f t="shared" ca="1" si="175"/>
        <v>0</v>
      </c>
      <c r="AP110" s="356">
        <f t="shared" ca="1" si="175"/>
        <v>0</v>
      </c>
      <c r="AQ110" s="357">
        <f t="shared" ca="1" si="175"/>
        <v>0</v>
      </c>
      <c r="AR110" s="524" t="str">
        <f t="shared" ca="1" si="175"/>
        <v/>
      </c>
      <c r="AS110" s="356">
        <f t="shared" ca="1" si="175"/>
        <v>0</v>
      </c>
      <c r="AT110" s="357">
        <f t="shared" ca="1" si="175"/>
        <v>0</v>
      </c>
      <c r="AU110" s="524" t="str">
        <f t="shared" ca="1" si="175"/>
        <v/>
      </c>
      <c r="AV110" s="1083">
        <f t="shared" ca="1" si="175"/>
        <v>0</v>
      </c>
      <c r="AX110" s="1083" t="str">
        <f t="shared" si="176"/>
        <v>U</v>
      </c>
      <c r="AY110" s="1083" t="str">
        <f t="shared" si="177"/>
        <v>U</v>
      </c>
      <c r="AZ110" s="1083" t="str">
        <f t="shared" si="178"/>
        <v>U</v>
      </c>
      <c r="BA110" s="1083" t="str">
        <f t="shared" si="179"/>
        <v>U</v>
      </c>
      <c r="BB110" s="1083" t="str">
        <f t="shared" si="180"/>
        <v>U</v>
      </c>
    </row>
    <row r="111" spans="1:54" ht="12" customHeight="1" collapsed="1" x14ac:dyDescent="0.25">
      <c r="A111" s="440"/>
      <c r="B111" s="505"/>
      <c r="C111" s="370"/>
      <c r="D111" s="374"/>
      <c r="E111" s="374"/>
      <c r="F111" s="374"/>
      <c r="G111" s="374"/>
      <c r="H111" s="374"/>
      <c r="I111" s="507"/>
      <c r="J111" s="507"/>
      <c r="K111" s="508"/>
      <c r="L111" s="508"/>
      <c r="M111" s="371"/>
      <c r="N111" s="517"/>
      <c r="O111" s="371"/>
      <c r="P111" s="371"/>
      <c r="Q111" s="371"/>
      <c r="R111" s="371"/>
      <c r="S111" s="371"/>
      <c r="T111" s="371"/>
      <c r="U111" s="371"/>
      <c r="V111" s="370"/>
      <c r="W111" s="1094"/>
      <c r="X111" s="1108"/>
      <c r="Y111" s="1124"/>
      <c r="Z111" s="371"/>
      <c r="AA111" s="371"/>
      <c r="AB111" s="370"/>
      <c r="AC111" s="1094"/>
      <c r="AD111" s="1108"/>
      <c r="AE111" s="1124"/>
      <c r="AF111" s="370"/>
      <c r="AG111" s="370"/>
      <c r="AH111" s="370"/>
      <c r="AI111" s="373"/>
      <c r="AJ111" s="370"/>
      <c r="AK111" s="440"/>
      <c r="AM111" s="460">
        <v>111</v>
      </c>
      <c r="AN111" s="1078"/>
    </row>
    <row r="112" spans="1:54" s="327" customFormat="1" ht="39.950000000000003" customHeight="1" x14ac:dyDescent="0.2">
      <c r="A112" s="440"/>
      <c r="B112" s="1164"/>
      <c r="C112" s="1165"/>
      <c r="D112" s="1165"/>
      <c r="E112" s="1165"/>
      <c r="F112" s="1165"/>
      <c r="G112" s="1165"/>
      <c r="H112" s="1165"/>
      <c r="I112" s="1165"/>
      <c r="J112" s="1165"/>
      <c r="K112" s="1165"/>
      <c r="L112" s="1165"/>
      <c r="M112" s="1165"/>
      <c r="N112" s="1165"/>
      <c r="O112" s="1165"/>
      <c r="P112" s="1165"/>
      <c r="Q112" s="1165"/>
      <c r="R112" s="1165"/>
      <c r="S112" s="1165"/>
      <c r="T112" s="1165"/>
      <c r="U112" s="440"/>
      <c r="V112" s="440"/>
      <c r="W112" s="440"/>
      <c r="X112" s="440"/>
      <c r="Y112" s="440"/>
      <c r="Z112" s="440"/>
      <c r="AA112" s="440"/>
      <c r="AB112" s="440"/>
      <c r="AC112" s="440"/>
      <c r="AD112" s="440"/>
      <c r="AE112" s="440"/>
      <c r="AF112" s="440"/>
      <c r="AG112" s="440"/>
      <c r="AH112" s="440"/>
      <c r="AI112" s="440"/>
      <c r="AJ112" s="440"/>
      <c r="AK112" s="440"/>
      <c r="AM112" s="460">
        <v>112</v>
      </c>
    </row>
    <row r="113" spans="1:54" ht="12" customHeight="1" x14ac:dyDescent="0.2">
      <c r="A113" s="440"/>
      <c r="B113" s="320"/>
      <c r="C113" s="1036"/>
      <c r="D113" s="1036"/>
      <c r="E113" s="1036"/>
      <c r="F113" s="1036"/>
      <c r="G113" s="1036"/>
      <c r="H113" s="1036"/>
      <c r="I113" s="1036"/>
      <c r="J113" s="1598"/>
      <c r="K113" s="1598"/>
      <c r="L113" s="1033"/>
      <c r="M113" s="379"/>
      <c r="N113" s="1033"/>
      <c r="O113" s="379"/>
      <c r="P113" s="379"/>
      <c r="Q113" s="379"/>
      <c r="R113" s="379"/>
      <c r="S113" s="379"/>
      <c r="T113" s="379"/>
      <c r="U113" s="1598"/>
      <c r="V113" s="1598"/>
      <c r="W113" s="1095"/>
      <c r="X113" s="1109"/>
      <c r="Y113" s="1109"/>
      <c r="Z113" s="379"/>
      <c r="AA113" s="1598"/>
      <c r="AB113" s="1598"/>
      <c r="AC113" s="1095"/>
      <c r="AD113" s="1109"/>
      <c r="AE113" s="1109"/>
      <c r="AF113" s="379"/>
      <c r="AG113" s="379"/>
      <c r="AH113" s="379"/>
      <c r="AI113" s="481"/>
      <c r="AJ113" s="379"/>
      <c r="AK113" s="440"/>
      <c r="AM113" s="460">
        <v>113</v>
      </c>
      <c r="AN113" s="1078"/>
    </row>
    <row r="114" spans="1:54" ht="12" customHeight="1" x14ac:dyDescent="0.2">
      <c r="A114" s="440"/>
      <c r="B114" s="320"/>
      <c r="C114" s="1036"/>
      <c r="D114" s="1036"/>
      <c r="E114" s="1036"/>
      <c r="F114" s="1036"/>
      <c r="G114" s="1036"/>
      <c r="H114" s="1036"/>
      <c r="I114" s="1036"/>
      <c r="J114" s="1598"/>
      <c r="K114" s="1598"/>
      <c r="L114" s="1033"/>
      <c r="M114" s="1036"/>
      <c r="N114" s="503"/>
      <c r="O114" s="1036"/>
      <c r="P114" s="1036"/>
      <c r="Q114" s="1036"/>
      <c r="R114" s="1036"/>
      <c r="S114" s="372"/>
      <c r="T114" s="372"/>
      <c r="U114" s="372"/>
      <c r="V114" s="372"/>
      <c r="W114" s="1096"/>
      <c r="X114" s="1110"/>
      <c r="Y114" s="1110"/>
      <c r="Z114" s="372"/>
      <c r="AA114" s="372"/>
      <c r="AB114" s="372"/>
      <c r="AC114" s="1096"/>
      <c r="AD114" s="1110"/>
      <c r="AE114" s="1110"/>
      <c r="AF114" s="372"/>
      <c r="AG114" s="372"/>
      <c r="AH114" s="372"/>
      <c r="AI114" s="482"/>
      <c r="AJ114" s="372"/>
      <c r="AK114" s="440"/>
      <c r="AM114" s="460">
        <v>114</v>
      </c>
      <c r="AN114" s="1078"/>
    </row>
    <row r="115" spans="1:54" ht="14.25" customHeight="1" x14ac:dyDescent="0.25">
      <c r="A115" s="440"/>
      <c r="B115" s="499">
        <v>2</v>
      </c>
      <c r="C115" s="494"/>
      <c r="D115" s="495"/>
      <c r="E115" s="1606" t="s">
        <v>54</v>
      </c>
      <c r="F115" s="1606"/>
      <c r="G115" s="1606"/>
      <c r="H115" s="1606"/>
      <c r="I115" s="1597"/>
      <c r="J115" s="1038"/>
      <c r="K115" s="462"/>
      <c r="L115" s="462"/>
      <c r="M115" s="363"/>
      <c r="N115" s="359"/>
      <c r="O115" s="363"/>
      <c r="P115" s="363"/>
      <c r="Q115" s="363"/>
      <c r="R115" s="363"/>
      <c r="S115" s="385">
        <f ca="1">S116</f>
        <v>0</v>
      </c>
      <c r="T115" s="363"/>
      <c r="U115" s="358"/>
      <c r="V115" s="358"/>
      <c r="W115" s="1091"/>
      <c r="X115" s="1104"/>
      <c r="Y115" s="1104"/>
      <c r="Z115" s="363"/>
      <c r="AA115" s="358"/>
      <c r="AB115" s="358"/>
      <c r="AC115" s="1091"/>
      <c r="AD115" s="1104"/>
      <c r="AE115" s="1104"/>
      <c r="AF115" s="358"/>
      <c r="AG115" s="358"/>
      <c r="AH115" s="358"/>
      <c r="AI115" s="358"/>
      <c r="AJ115" s="358"/>
      <c r="AK115" s="440"/>
      <c r="AM115" s="460">
        <v>115</v>
      </c>
      <c r="AN115" s="1078"/>
    </row>
    <row r="116" spans="1:54" ht="14.25" customHeight="1" x14ac:dyDescent="0.25">
      <c r="A116" s="440"/>
      <c r="B116" s="1043"/>
      <c r="C116" s="1036" t="s">
        <v>53</v>
      </c>
      <c r="D116" s="494"/>
      <c r="E116" s="1596" t="s">
        <v>52</v>
      </c>
      <c r="F116" s="1596"/>
      <c r="G116" s="1596"/>
      <c r="H116" s="1596"/>
      <c r="I116" s="1597"/>
      <c r="J116" s="1038"/>
      <c r="K116" s="462"/>
      <c r="L116" s="462"/>
      <c r="M116" s="1036"/>
      <c r="N116" s="503"/>
      <c r="O116" s="1036"/>
      <c r="P116" s="1036"/>
      <c r="Q116" s="1036"/>
      <c r="R116" s="1036"/>
      <c r="S116" s="355">
        <f ca="1">S117</f>
        <v>0</v>
      </c>
      <c r="T116" s="363"/>
      <c r="U116" s="358"/>
      <c r="V116" s="358"/>
      <c r="W116" s="1091"/>
      <c r="X116" s="1104"/>
      <c r="Y116" s="1104"/>
      <c r="Z116" s="363"/>
      <c r="AA116" s="358"/>
      <c r="AB116" s="358"/>
      <c r="AC116" s="1091"/>
      <c r="AD116" s="1104"/>
      <c r="AE116" s="1104"/>
      <c r="AF116" s="358"/>
      <c r="AG116" s="358"/>
      <c r="AH116" s="358"/>
      <c r="AI116" s="358"/>
      <c r="AJ116" s="358"/>
      <c r="AK116" s="440"/>
      <c r="AM116" s="460">
        <v>116</v>
      </c>
      <c r="AN116" s="1078"/>
    </row>
    <row r="117" spans="1:54" ht="12" customHeight="1" x14ac:dyDescent="0.25">
      <c r="A117" s="440"/>
      <c r="B117" s="1043"/>
      <c r="C117" s="380"/>
      <c r="D117" s="1037" t="s">
        <v>325</v>
      </c>
      <c r="E117" s="1599" t="s">
        <v>326</v>
      </c>
      <c r="F117" s="1599"/>
      <c r="G117" s="1599"/>
      <c r="H117" s="1599"/>
      <c r="I117" s="1597"/>
      <c r="J117" s="1038"/>
      <c r="K117" s="462"/>
      <c r="L117" s="462"/>
      <c r="M117" s="1036"/>
      <c r="N117" s="503"/>
      <c r="O117" s="1036"/>
      <c r="P117" s="1036"/>
      <c r="Q117" s="1036"/>
      <c r="R117" s="1036"/>
      <c r="S117" s="354">
        <f ca="1">SUBTOTAL(109,S119:S120)</f>
        <v>0</v>
      </c>
      <c r="T117" s="363"/>
      <c r="U117" s="358"/>
      <c r="V117" s="358"/>
      <c r="W117" s="1091"/>
      <c r="X117" s="1104"/>
      <c r="Y117" s="1104"/>
      <c r="Z117" s="358"/>
      <c r="AA117" s="358"/>
      <c r="AB117" s="358"/>
      <c r="AC117" s="1091"/>
      <c r="AD117" s="1104"/>
      <c r="AE117" s="1104"/>
      <c r="AF117" s="358"/>
      <c r="AG117" s="358"/>
      <c r="AH117" s="358"/>
      <c r="AI117" s="358"/>
      <c r="AJ117" s="358"/>
      <c r="AK117" s="440"/>
      <c r="AM117" s="460">
        <v>117</v>
      </c>
      <c r="AN117" s="1078"/>
    </row>
    <row r="118" spans="1:54" ht="12" customHeight="1" x14ac:dyDescent="0.25">
      <c r="A118" s="440"/>
      <c r="B118" s="1043"/>
      <c r="C118" s="380"/>
      <c r="D118" s="1037"/>
      <c r="E118" s="1037"/>
      <c r="F118" s="1037"/>
      <c r="G118" s="1037"/>
      <c r="H118" s="1037"/>
      <c r="I118" s="1035"/>
      <c r="J118" s="1038"/>
      <c r="K118" s="462"/>
      <c r="L118" s="462"/>
      <c r="M118" s="1036"/>
      <c r="N118" s="503"/>
      <c r="O118" s="1036"/>
      <c r="P118" s="1036"/>
      <c r="Q118" s="1036"/>
      <c r="R118" s="1036"/>
      <c r="S118" s="354"/>
      <c r="T118" s="363"/>
      <c r="U118" s="373"/>
      <c r="V118" s="373"/>
      <c r="W118" s="1091"/>
      <c r="X118" s="1111"/>
      <c r="Y118" s="1111"/>
      <c r="Z118" s="363"/>
      <c r="AA118" s="373"/>
      <c r="AB118" s="373"/>
      <c r="AC118" s="1091"/>
      <c r="AD118" s="1111"/>
      <c r="AE118" s="1111"/>
      <c r="AF118" s="358"/>
      <c r="AG118" s="358"/>
      <c r="AH118" s="358"/>
      <c r="AI118" s="373"/>
      <c r="AJ118" s="358"/>
      <c r="AK118" s="440"/>
      <c r="AM118" s="460">
        <v>118</v>
      </c>
      <c r="AN118" s="1078"/>
    </row>
    <row r="119" spans="1:54" ht="12" customHeight="1" x14ac:dyDescent="0.2">
      <c r="A119" s="440"/>
      <c r="B119" s="1043"/>
      <c r="C119" s="380"/>
      <c r="D119" s="1037"/>
      <c r="E119" s="1084">
        <f ca="1">IF(AX119="E","",AN119)</f>
        <v>0</v>
      </c>
      <c r="F119" s="1085"/>
      <c r="G119" s="1264"/>
      <c r="H119" s="1264"/>
      <c r="I119" s="1265"/>
      <c r="J119" s="638"/>
      <c r="K119" s="540" t="s">
        <v>171</v>
      </c>
      <c r="L119" s="541"/>
      <c r="M119" s="340"/>
      <c r="N119" s="528" t="s">
        <v>67</v>
      </c>
      <c r="O119" s="339"/>
      <c r="P119" s="543" t="s">
        <v>68</v>
      </c>
      <c r="Q119" s="344"/>
      <c r="R119" s="522" t="s">
        <v>363</v>
      </c>
      <c r="S119" s="353">
        <f t="shared" ref="S119:S120" ca="1" si="181">IF(AY119="E",(M119*O119)+Q119,AO119)</f>
        <v>0</v>
      </c>
      <c r="T119" s="523"/>
      <c r="U119" s="350"/>
      <c r="V119" s="308"/>
      <c r="W119" s="1090" t="str">
        <f t="shared" ref="W119:W120" ca="1" si="182">IF(AZ119="E",IF(AND(V119&lt;&gt;0,U119&lt;&gt;0),"X",IF(AND(V119&lt;&gt;0,U119=0),"A",IF(AND(V119=0,U119&lt;&gt;0),"P",""))),AR119)</f>
        <v/>
      </c>
      <c r="X119" s="1103">
        <f t="shared" ref="X119:X120" ca="1" si="183">IF(AZ119="E",IFERROR(IF(W119="X",0,IF(U119&gt;0,U119,V119/S119)),0),
IFERROR(IF(OR(AR119="X",AR119=0),0,
IF(AR119="P",AP119,IF(AR119="A",AQ119/S119,0))),0))</f>
        <v>0</v>
      </c>
      <c r="Y119" s="1120">
        <f t="shared" ref="Y119:Y120" ca="1" si="184">IF(AZ119="E",IFERROR(IF(W119="X",0,IF(V119&gt;0,V119,S119*U119)),0),
IFERROR(IF(OR(AR119="X",AR119="0"),0,IF(AR119="A",AQ119,S119*AP119)),0))</f>
        <v>0</v>
      </c>
      <c r="Z119" s="524"/>
      <c r="AA119" s="350"/>
      <c r="AB119" s="308"/>
      <c r="AC119" s="1090" t="str">
        <f t="shared" ref="AC119:AC120" ca="1" si="185">IF(BA119="E",IF(AND(AB119&lt;&gt;0,AA119&lt;&gt;0),"X",IF(AND(AB119&lt;&gt;0,AA119=0),"A",IF(AND(AB119=0,AA119&lt;&gt;0),"P",""))),AU119)</f>
        <v/>
      </c>
      <c r="AD119" s="1103">
        <f t="shared" ref="AD119:AD120" ca="1" si="186">IF(BA119="E",IFERROR(IF(AC119="X",0,IF(AA119&gt;0,AA119,AB119/S119)),0),
IFERROR(IF(OR(AU119="X",AU119=0),0,
IF(AU119="P",AS119,IF(AU119="A",AT119/S119,0))),0))</f>
        <v>0</v>
      </c>
      <c r="AE119" s="1120">
        <f t="shared" ref="AE119:AE120" ca="1" si="187">IF(BA119="E",IFERROR(IF(AC119="X",0,IF(AB119&gt;0,AB119,S119*AA119)),0),
IFERROR(IF(OR(AU119="X",AU119=0),0,
IF(AU119="A",AT119,S119*AS119)),0))</f>
        <v>0</v>
      </c>
      <c r="AF119" s="525"/>
      <c r="AG119" s="637"/>
      <c r="AH119" s="525"/>
      <c r="AI119" s="1086">
        <f t="shared" ref="AI119:AI120" ca="1" si="188">IF(BB119="E",AG119,AV119)</f>
        <v>0</v>
      </c>
      <c r="AJ119" s="380"/>
      <c r="AK119" s="440"/>
      <c r="AM119" s="460">
        <v>119</v>
      </c>
      <c r="AN119" s="1087">
        <f t="shared" ref="AN119:AN120" ca="1" si="189">IF($M$13=$AN$12,"",IF(ISTEXT(INDIRECT("'"&amp;$AM$20&amp;"'!"&amp;AN$21&amp;$AM119)),INDIRECT("'"&amp;$AM$20&amp;"'!"&amp;AN$21&amp;$AM119),INDIRECT("'"&amp;$AM$20&amp;"'!"&amp;AN$22&amp;$AM119)))</f>
        <v>0</v>
      </c>
      <c r="AO119" s="1083">
        <f t="shared" ref="AO119:AV120" ca="1" si="190">IF($M$13=$AN$12,"",INDIRECT("'"&amp;$AM$20&amp;"'!"&amp;AO$21&amp;$AM119))</f>
        <v>0</v>
      </c>
      <c r="AP119" s="356">
        <f t="shared" ca="1" si="190"/>
        <v>0</v>
      </c>
      <c r="AQ119" s="357">
        <f t="shared" ca="1" si="190"/>
        <v>0</v>
      </c>
      <c r="AR119" s="524" t="str">
        <f t="shared" ca="1" si="190"/>
        <v/>
      </c>
      <c r="AS119" s="356">
        <f t="shared" ca="1" si="190"/>
        <v>0</v>
      </c>
      <c r="AT119" s="357">
        <f t="shared" ca="1" si="190"/>
        <v>0</v>
      </c>
      <c r="AU119" s="524" t="str">
        <f t="shared" ca="1" si="190"/>
        <v/>
      </c>
      <c r="AV119" s="1083">
        <f t="shared" ca="1" si="190"/>
        <v>0</v>
      </c>
      <c r="AX119" s="1083" t="str">
        <f t="shared" ref="AX119:AX120" si="191">IF($M$13=$AN$12,"E",IF(ISTEXT(F119),"E","U"))</f>
        <v>U</v>
      </c>
      <c r="AY119" s="1083" t="str">
        <f t="shared" ref="AY119:AY120" si="192">IF($M$13=$AN$12,"E",IF(OR(ISNUMBER(M119),ISNUMBER(O119),ISNUMBER(Q119)),"E","U"))</f>
        <v>U</v>
      </c>
      <c r="AZ119" s="1083" t="str">
        <f t="shared" ref="AZ119:AZ120" si="193">IF($M$13=$AN$12,"E",IF(OR(ISNUMBER(U119),ISNUMBER(V119)),"E","U"))</f>
        <v>U</v>
      </c>
      <c r="BA119" s="1083" t="str">
        <f t="shared" ref="BA119:BA120" si="194">IF($M$13=$AN$12,"E",IF(OR(ISNUMBER(AA119),ISNUMBER(AB119)),"E","U"))</f>
        <v>U</v>
      </c>
      <c r="BB119" s="1083" t="str">
        <f t="shared" ref="BB119:BB120" si="195">IF($M$13=$AN$12,"E",IF(ISNUMBER(AG119),"E","U"))</f>
        <v>U</v>
      </c>
    </row>
    <row r="120" spans="1:54" ht="12" customHeight="1" x14ac:dyDescent="0.2">
      <c r="A120" s="440"/>
      <c r="B120" s="1043"/>
      <c r="C120" s="380"/>
      <c r="D120" s="1037"/>
      <c r="E120" s="1084">
        <f ca="1">IF(AX120="E","",AN120)</f>
        <v>0</v>
      </c>
      <c r="F120" s="1085"/>
      <c r="G120" s="1264"/>
      <c r="H120" s="1264"/>
      <c r="I120" s="1265"/>
      <c r="J120" s="638"/>
      <c r="K120" s="538" t="s">
        <v>171</v>
      </c>
      <c r="L120" s="541"/>
      <c r="M120" s="340"/>
      <c r="N120" s="528" t="s">
        <v>67</v>
      </c>
      <c r="O120" s="339"/>
      <c r="P120" s="543" t="s">
        <v>68</v>
      </c>
      <c r="Q120" s="344"/>
      <c r="R120" s="522" t="s">
        <v>363</v>
      </c>
      <c r="S120" s="353">
        <f t="shared" ca="1" si="181"/>
        <v>0</v>
      </c>
      <c r="T120" s="523"/>
      <c r="U120" s="350"/>
      <c r="V120" s="308"/>
      <c r="W120" s="1090" t="str">
        <f t="shared" ca="1" si="182"/>
        <v/>
      </c>
      <c r="X120" s="1103">
        <f t="shared" ca="1" si="183"/>
        <v>0</v>
      </c>
      <c r="Y120" s="1120">
        <f t="shared" ca="1" si="184"/>
        <v>0</v>
      </c>
      <c r="Z120" s="524"/>
      <c r="AA120" s="350"/>
      <c r="AB120" s="308"/>
      <c r="AC120" s="1090" t="str">
        <f t="shared" ca="1" si="185"/>
        <v/>
      </c>
      <c r="AD120" s="1103">
        <f t="shared" ca="1" si="186"/>
        <v>0</v>
      </c>
      <c r="AE120" s="1120">
        <f t="shared" ca="1" si="187"/>
        <v>0</v>
      </c>
      <c r="AF120" s="525"/>
      <c r="AG120" s="637"/>
      <c r="AH120" s="525"/>
      <c r="AI120" s="1086">
        <f t="shared" ca="1" si="188"/>
        <v>0</v>
      </c>
      <c r="AJ120" s="380"/>
      <c r="AK120" s="440"/>
      <c r="AM120" s="460">
        <v>120</v>
      </c>
      <c r="AN120" s="1087">
        <f t="shared" ca="1" si="189"/>
        <v>0</v>
      </c>
      <c r="AO120" s="1083">
        <f t="shared" ca="1" si="190"/>
        <v>0</v>
      </c>
      <c r="AP120" s="356">
        <f t="shared" ca="1" si="190"/>
        <v>0</v>
      </c>
      <c r="AQ120" s="357">
        <f t="shared" ca="1" si="190"/>
        <v>0</v>
      </c>
      <c r="AR120" s="524" t="str">
        <f t="shared" ca="1" si="190"/>
        <v/>
      </c>
      <c r="AS120" s="356">
        <f t="shared" ca="1" si="190"/>
        <v>0</v>
      </c>
      <c r="AT120" s="357">
        <f t="shared" ca="1" si="190"/>
        <v>0</v>
      </c>
      <c r="AU120" s="524" t="str">
        <f t="shared" ca="1" si="190"/>
        <v/>
      </c>
      <c r="AV120" s="1083">
        <f t="shared" ca="1" si="190"/>
        <v>0</v>
      </c>
      <c r="AX120" s="1083" t="str">
        <f t="shared" si="191"/>
        <v>U</v>
      </c>
      <c r="AY120" s="1083" t="str">
        <f t="shared" si="192"/>
        <v>U</v>
      </c>
      <c r="AZ120" s="1083" t="str">
        <f t="shared" si="193"/>
        <v>U</v>
      </c>
      <c r="BA120" s="1083" t="str">
        <f t="shared" si="194"/>
        <v>U</v>
      </c>
      <c r="BB120" s="1083" t="str">
        <f t="shared" si="195"/>
        <v>U</v>
      </c>
    </row>
    <row r="121" spans="1:54" ht="12" customHeight="1" collapsed="1" x14ac:dyDescent="0.2">
      <c r="A121" s="440"/>
      <c r="B121" s="324"/>
      <c r="C121" s="378"/>
      <c r="D121" s="374"/>
      <c r="E121" s="374"/>
      <c r="F121" s="374"/>
      <c r="G121" s="374"/>
      <c r="H121" s="374"/>
      <c r="I121" s="374"/>
      <c r="J121" s="374"/>
      <c r="K121" s="544"/>
      <c r="L121" s="544"/>
      <c r="M121" s="545"/>
      <c r="N121" s="544"/>
      <c r="O121" s="374"/>
      <c r="P121" s="374"/>
      <c r="Q121" s="374"/>
      <c r="R121" s="374"/>
      <c r="S121" s="374"/>
      <c r="T121" s="374"/>
      <c r="U121" s="374"/>
      <c r="V121" s="374"/>
      <c r="W121" s="1097"/>
      <c r="X121" s="1112"/>
      <c r="Y121" s="1112"/>
      <c r="Z121" s="374"/>
      <c r="AA121" s="374"/>
      <c r="AB121" s="374"/>
      <c r="AC121" s="1097"/>
      <c r="AD121" s="1112"/>
      <c r="AE121" s="1112"/>
      <c r="AF121" s="374"/>
      <c r="AG121" s="374"/>
      <c r="AH121" s="374"/>
      <c r="AI121" s="546"/>
      <c r="AJ121" s="374"/>
      <c r="AK121" s="440"/>
      <c r="AM121" s="460">
        <v>121</v>
      </c>
      <c r="AN121" s="1078"/>
    </row>
    <row r="122" spans="1:54" ht="12" customHeight="1" x14ac:dyDescent="0.2">
      <c r="A122" s="440"/>
      <c r="B122" s="547"/>
      <c r="C122" s="548"/>
      <c r="D122" s="548"/>
      <c r="E122" s="548"/>
      <c r="F122" s="548"/>
      <c r="G122" s="548"/>
      <c r="H122" s="548"/>
      <c r="I122" s="548"/>
      <c r="J122" s="1598"/>
      <c r="K122" s="1598"/>
      <c r="L122" s="1033"/>
      <c r="M122" s="549"/>
      <c r="N122" s="1033"/>
      <c r="O122" s="379"/>
      <c r="P122" s="379"/>
      <c r="Q122" s="379"/>
      <c r="R122" s="379"/>
      <c r="S122" s="389"/>
      <c r="T122" s="389"/>
      <c r="U122" s="1598"/>
      <c r="V122" s="1598"/>
      <c r="W122" s="1095"/>
      <c r="X122" s="1113"/>
      <c r="Y122" s="1113"/>
      <c r="Z122" s="389"/>
      <c r="AA122" s="1598"/>
      <c r="AB122" s="1598"/>
      <c r="AC122" s="1095"/>
      <c r="AD122" s="1113"/>
      <c r="AE122" s="1113"/>
      <c r="AF122" s="379"/>
      <c r="AG122" s="379"/>
      <c r="AH122" s="379"/>
      <c r="AI122" s="481"/>
      <c r="AJ122" s="379"/>
      <c r="AK122" s="440"/>
      <c r="AM122" s="460">
        <v>122</v>
      </c>
      <c r="AN122" s="1078"/>
    </row>
    <row r="123" spans="1:54" ht="12" customHeight="1" x14ac:dyDescent="0.2">
      <c r="A123" s="440"/>
      <c r="B123" s="320"/>
      <c r="C123" s="1036"/>
      <c r="D123" s="1036"/>
      <c r="E123" s="1036"/>
      <c r="F123" s="1036"/>
      <c r="G123" s="1036"/>
      <c r="H123" s="1036"/>
      <c r="I123" s="1036"/>
      <c r="J123" s="1598"/>
      <c r="K123" s="1598"/>
      <c r="L123" s="1033"/>
      <c r="M123" s="498"/>
      <c r="N123" s="503"/>
      <c r="O123" s="1036"/>
      <c r="P123" s="1036"/>
      <c r="Q123" s="1036"/>
      <c r="R123" s="1036"/>
      <c r="S123" s="372"/>
      <c r="T123" s="372"/>
      <c r="U123" s="372"/>
      <c r="V123" s="372"/>
      <c r="W123" s="1096"/>
      <c r="X123" s="1110"/>
      <c r="Y123" s="1110"/>
      <c r="Z123" s="372"/>
      <c r="AA123" s="372"/>
      <c r="AB123" s="372"/>
      <c r="AC123" s="1096"/>
      <c r="AD123" s="1110"/>
      <c r="AE123" s="1110"/>
      <c r="AF123" s="372"/>
      <c r="AG123" s="372"/>
      <c r="AH123" s="372"/>
      <c r="AI123" s="482"/>
      <c r="AJ123" s="372"/>
      <c r="AK123" s="440"/>
      <c r="AM123" s="460">
        <v>123</v>
      </c>
      <c r="AN123" s="1078"/>
    </row>
    <row r="124" spans="1:54" ht="14.25" customHeight="1" x14ac:dyDescent="0.25">
      <c r="A124" s="440"/>
      <c r="B124" s="499">
        <v>3</v>
      </c>
      <c r="C124" s="494"/>
      <c r="D124" s="495"/>
      <c r="E124" s="1606" t="s">
        <v>48</v>
      </c>
      <c r="F124" s="1606"/>
      <c r="G124" s="1606"/>
      <c r="H124" s="1606"/>
      <c r="I124" s="1597"/>
      <c r="J124" s="1038"/>
      <c r="K124" s="462"/>
      <c r="L124" s="462"/>
      <c r="M124" s="498"/>
      <c r="N124" s="359"/>
      <c r="O124" s="363"/>
      <c r="P124" s="363"/>
      <c r="Q124" s="363"/>
      <c r="R124" s="363"/>
      <c r="S124" s="385">
        <f ca="1">S125+S142+S155+S164</f>
        <v>360792.87599999999</v>
      </c>
      <c r="T124" s="363"/>
      <c r="U124" s="358"/>
      <c r="V124" s="358"/>
      <c r="W124" s="1091"/>
      <c r="X124" s="1104"/>
      <c r="Y124" s="1104"/>
      <c r="Z124" s="363"/>
      <c r="AA124" s="358"/>
      <c r="AB124" s="358"/>
      <c r="AC124" s="1091"/>
      <c r="AD124" s="1104"/>
      <c r="AE124" s="1104"/>
      <c r="AF124" s="358"/>
      <c r="AG124" s="358"/>
      <c r="AH124" s="358"/>
      <c r="AI124" s="358"/>
      <c r="AJ124" s="358"/>
      <c r="AK124" s="440"/>
      <c r="AM124" s="460">
        <v>124</v>
      </c>
      <c r="AN124" s="1078"/>
    </row>
    <row r="125" spans="1:54" ht="14.25" customHeight="1" x14ac:dyDescent="0.25">
      <c r="A125" s="440"/>
      <c r="B125" s="1043"/>
      <c r="C125" s="1036" t="s">
        <v>47</v>
      </c>
      <c r="D125" s="494"/>
      <c r="E125" s="1596" t="s">
        <v>46</v>
      </c>
      <c r="F125" s="1596"/>
      <c r="G125" s="1596"/>
      <c r="H125" s="1596"/>
      <c r="I125" s="1597"/>
      <c r="J125" s="1038"/>
      <c r="K125" s="502"/>
      <c r="L125" s="502"/>
      <c r="M125" s="532"/>
      <c r="N125" s="463"/>
      <c r="O125" s="380"/>
      <c r="P125" s="363"/>
      <c r="Q125" s="363"/>
      <c r="R125" s="363"/>
      <c r="S125" s="355">
        <f ca="1">S126+S135+S136</f>
        <v>216030.87599999999</v>
      </c>
      <c r="T125" s="363"/>
      <c r="U125" s="358"/>
      <c r="V125" s="358"/>
      <c r="W125" s="1091"/>
      <c r="X125" s="1104"/>
      <c r="Y125" s="1104"/>
      <c r="Z125" s="363"/>
      <c r="AA125" s="358"/>
      <c r="AB125" s="358"/>
      <c r="AC125" s="1091"/>
      <c r="AD125" s="1104"/>
      <c r="AE125" s="1104"/>
      <c r="AF125" s="358"/>
      <c r="AG125" s="358"/>
      <c r="AH125" s="358"/>
      <c r="AI125" s="358"/>
      <c r="AJ125" s="358"/>
      <c r="AK125" s="440"/>
      <c r="AM125" s="460">
        <v>125</v>
      </c>
      <c r="AN125" s="1078"/>
    </row>
    <row r="126" spans="1:54" ht="12" customHeight="1" x14ac:dyDescent="0.25">
      <c r="A126" s="440"/>
      <c r="B126" s="1043"/>
      <c r="C126" s="380"/>
      <c r="D126" s="1037" t="s">
        <v>45</v>
      </c>
      <c r="E126" s="1599" t="s">
        <v>303</v>
      </c>
      <c r="F126" s="1599"/>
      <c r="G126" s="1599"/>
      <c r="H126" s="1599"/>
      <c r="I126" s="1597"/>
      <c r="J126" s="1038"/>
      <c r="K126" s="1038"/>
      <c r="L126" s="503"/>
      <c r="M126" s="498"/>
      <c r="N126" s="359"/>
      <c r="O126" s="363"/>
      <c r="P126" s="363"/>
      <c r="Q126" s="363"/>
      <c r="R126" s="363"/>
      <c r="S126" s="354">
        <f ca="1">SUBTOTAL(109,S128:S133)</f>
        <v>154002</v>
      </c>
      <c r="T126" s="363"/>
      <c r="U126" s="358"/>
      <c r="V126" s="358"/>
      <c r="W126" s="1091"/>
      <c r="X126" s="1104"/>
      <c r="Y126" s="1104"/>
      <c r="Z126" s="363"/>
      <c r="AA126" s="358"/>
      <c r="AB126" s="358"/>
      <c r="AC126" s="1091"/>
      <c r="AD126" s="1104"/>
      <c r="AE126" s="1104"/>
      <c r="AF126" s="358"/>
      <c r="AG126" s="358"/>
      <c r="AH126" s="358"/>
      <c r="AI126" s="358"/>
      <c r="AJ126" s="358"/>
      <c r="AK126" s="440"/>
      <c r="AM126" s="460">
        <v>126</v>
      </c>
      <c r="AN126" s="1078"/>
    </row>
    <row r="127" spans="1:54" ht="12" customHeight="1" x14ac:dyDescent="0.25">
      <c r="A127" s="440"/>
      <c r="B127" s="1043"/>
      <c r="C127" s="380"/>
      <c r="D127" s="1037"/>
      <c r="E127" s="1037"/>
      <c r="F127" s="1037"/>
      <c r="G127" s="1037"/>
      <c r="H127" s="1037"/>
      <c r="I127" s="1035"/>
      <c r="J127" s="1603" t="s">
        <v>188</v>
      </c>
      <c r="K127" s="1603"/>
      <c r="L127" s="503"/>
      <c r="M127" s="498"/>
      <c r="N127" s="359"/>
      <c r="O127" s="363"/>
      <c r="P127" s="363"/>
      <c r="Q127" s="363"/>
      <c r="R127" s="363"/>
      <c r="S127" s="354"/>
      <c r="T127" s="363"/>
      <c r="U127" s="358"/>
      <c r="V127" s="358"/>
      <c r="W127" s="1091"/>
      <c r="X127" s="1104"/>
      <c r="Y127" s="1104"/>
      <c r="Z127" s="363"/>
      <c r="AA127" s="358"/>
      <c r="AB127" s="358"/>
      <c r="AC127" s="1091"/>
      <c r="AD127" s="1104"/>
      <c r="AE127" s="1104"/>
      <c r="AF127" s="358"/>
      <c r="AG127" s="358"/>
      <c r="AH127" s="358"/>
      <c r="AI127" s="358"/>
      <c r="AJ127" s="358"/>
      <c r="AK127" s="440"/>
      <c r="AM127" s="460">
        <v>127</v>
      </c>
      <c r="AN127" s="1078"/>
    </row>
    <row r="128" spans="1:54" ht="12" customHeight="1" x14ac:dyDescent="0.2">
      <c r="A128" s="440"/>
      <c r="B128" s="1043"/>
      <c r="C128" s="380"/>
      <c r="D128" s="1037"/>
      <c r="E128" s="1084" t="str">
        <f t="shared" ref="E128:E133" ca="1" si="196">IF(AX128="E","",AN128)</f>
        <v>Wärmepumpe LD20</v>
      </c>
      <c r="F128" s="1085"/>
      <c r="G128" s="1264"/>
      <c r="H128" s="1264"/>
      <c r="I128" s="1265"/>
      <c r="J128" s="638"/>
      <c r="K128" s="550" t="s">
        <v>179</v>
      </c>
      <c r="L128" s="551"/>
      <c r="M128" s="340"/>
      <c r="N128" s="528" t="s">
        <v>69</v>
      </c>
      <c r="O128" s="339"/>
      <c r="P128" s="543" t="s">
        <v>70</v>
      </c>
      <c r="Q128" s="344"/>
      <c r="R128" s="522" t="s">
        <v>363</v>
      </c>
      <c r="S128" s="353">
        <f t="shared" ref="S128:S133" ca="1" si="197">IF(AY128="E",(M128*O128)+Q128,AO128)</f>
        <v>24012</v>
      </c>
      <c r="T128" s="523"/>
      <c r="U128" s="350"/>
      <c r="V128" s="308"/>
      <c r="W128" s="1090" t="str">
        <f t="shared" ref="W128:W133" ca="1" si="198">IF(AZ128="E",IF(AND(V128&lt;&gt;0,U128&lt;&gt;0),"X",IF(AND(V128&lt;&gt;0,U128=0),"A",IF(AND(V128=0,U128&lt;&gt;0),"P",""))),AR128)</f>
        <v/>
      </c>
      <c r="X128" s="1103">
        <f t="shared" ref="X128:X133" ca="1" si="199">IF(AZ128="E",IFERROR(IF(W128="X",0,IF(U128&gt;0,U128,V128/S128)),0),
IFERROR(IF(OR(AR128="X",AR128=0),0,
IF(AR128="P",AP128,IF(AR128="A",AQ128/S128,0))),0))</f>
        <v>0</v>
      </c>
      <c r="Y128" s="1120">
        <f t="shared" ref="Y128:Y133" ca="1" si="200">IF(AZ128="E",IFERROR(IF(W128="X",0,IF(V128&gt;0,V128,S128*U128)),0),
IFERROR(IF(OR(AR128="X",AR128="0"),0,IF(AR128="A",AQ128,S128*AP128)),0))</f>
        <v>0</v>
      </c>
      <c r="Z128" s="524"/>
      <c r="AA128" s="350"/>
      <c r="AB128" s="308"/>
      <c r="AC128" s="1090" t="str">
        <f t="shared" ref="AC128:AC133" ca="1" si="201">IF(BA128="E",IF(AND(AB128&lt;&gt;0,AA128&lt;&gt;0),"X",IF(AND(AB128&lt;&gt;0,AA128=0),"A",IF(AND(AB128=0,AA128&lt;&gt;0),"P",""))),AU128)</f>
        <v>A</v>
      </c>
      <c r="AD128" s="1103">
        <f t="shared" ref="AD128:AD133" ca="1" si="202">IF(BA128="E",IFERROR(IF(AC128="X",0,IF(AA128&gt;0,AA128,AB128/S128)),0),
IFERROR(IF(OR(AU128="X",AU128=0),0,
IF(AU128="P",AS128,IF(AU128="A",AT128/S128,0))),0))</f>
        <v>5.0183241712477095E-2</v>
      </c>
      <c r="AE128" s="1120">
        <f t="shared" ref="AE128:AE133" ca="1" si="203">IF(BA128="E",IFERROR(IF(AC128="X",0,IF(AB128&gt;0,AB128,S128*AA128)),0),
IFERROR(IF(OR(AU128="X",AU128=0),0,
IF(AU128="A",AT128,S128*AS128)),0))</f>
        <v>1205</v>
      </c>
      <c r="AF128" s="525"/>
      <c r="AG128" s="637"/>
      <c r="AH128" s="525"/>
      <c r="AI128" s="1086">
        <f t="shared" ref="AI128:AI133" ca="1" si="204">IF(BB128="E",AG128,AV128)</f>
        <v>20</v>
      </c>
      <c r="AJ128" s="380"/>
      <c r="AK128" s="440"/>
      <c r="AM128" s="460">
        <v>128</v>
      </c>
      <c r="AN128" s="1087" t="str">
        <f t="shared" ref="AN128:AN133" ca="1" si="205">IF($M$13=$AN$12,"",IF(ISTEXT(INDIRECT("'"&amp;$AM$20&amp;"'!"&amp;AN$21&amp;$AM128)),INDIRECT("'"&amp;$AM$20&amp;"'!"&amp;AN$21&amp;$AM128),INDIRECT("'"&amp;$AM$20&amp;"'!"&amp;AN$22&amp;$AM128)))</f>
        <v>Wärmepumpe LD20</v>
      </c>
      <c r="AO128" s="1083">
        <f t="shared" ref="AO128:AV133" ca="1" si="206">IF($M$13=$AN$12,"",INDIRECT("'"&amp;$AM$20&amp;"'!"&amp;AO$21&amp;$AM128))</f>
        <v>24012</v>
      </c>
      <c r="AP128" s="356">
        <f t="shared" ca="1" si="206"/>
        <v>0</v>
      </c>
      <c r="AQ128" s="357">
        <f t="shared" ca="1" si="206"/>
        <v>0</v>
      </c>
      <c r="AR128" s="524" t="str">
        <f t="shared" ca="1" si="206"/>
        <v/>
      </c>
      <c r="AS128" s="356">
        <f t="shared" ca="1" si="206"/>
        <v>5.0183241712477095E-2</v>
      </c>
      <c r="AT128" s="357">
        <f t="shared" ca="1" si="206"/>
        <v>1205</v>
      </c>
      <c r="AU128" s="524" t="str">
        <f t="shared" ca="1" si="206"/>
        <v>A</v>
      </c>
      <c r="AV128" s="1083">
        <f t="shared" ca="1" si="206"/>
        <v>20</v>
      </c>
      <c r="AX128" s="1083" t="str">
        <f t="shared" ref="AX128:AX133" si="207">IF($M$13=$AN$12,"E",IF(ISTEXT(F128),"E","U"))</f>
        <v>U</v>
      </c>
      <c r="AY128" s="1083" t="str">
        <f t="shared" ref="AY128:AY133" si="208">IF($M$13=$AN$12,"E",IF(OR(ISNUMBER(M128),ISNUMBER(O128),ISNUMBER(Q128)),"E","U"))</f>
        <v>U</v>
      </c>
      <c r="AZ128" s="1083" t="str">
        <f t="shared" ref="AZ128:AZ133" si="209">IF($M$13=$AN$12,"E",IF(OR(ISNUMBER(U128),ISNUMBER(V128)),"E","U"))</f>
        <v>U</v>
      </c>
      <c r="BA128" s="1083" t="str">
        <f t="shared" ref="BA128:BA133" si="210">IF($M$13=$AN$12,"E",IF(OR(ISNUMBER(AA128),ISNUMBER(AB128)),"E","U"))</f>
        <v>U</v>
      </c>
      <c r="BB128" s="1083" t="str">
        <f t="shared" ref="BB128:BB133" si="211">IF($M$13=$AN$12,"E",IF(ISNUMBER(AG128),"E","U"))</f>
        <v>U</v>
      </c>
    </row>
    <row r="129" spans="1:54" ht="12" customHeight="1" x14ac:dyDescent="0.2">
      <c r="A129" s="440"/>
      <c r="B129" s="1043"/>
      <c r="C129" s="380"/>
      <c r="D129" s="1037"/>
      <c r="E129" s="1084" t="str">
        <f t="shared" ca="1" si="196"/>
        <v>Sonden und Speicher  LD50</v>
      </c>
      <c r="F129" s="1085"/>
      <c r="G129" s="1264"/>
      <c r="H129" s="1264"/>
      <c r="I129" s="1265"/>
      <c r="J129" s="638"/>
      <c r="K129" s="520" t="s">
        <v>179</v>
      </c>
      <c r="L129" s="521"/>
      <c r="M129" s="340"/>
      <c r="N129" s="528" t="s">
        <v>69</v>
      </c>
      <c r="O129" s="339"/>
      <c r="P129" s="543" t="s">
        <v>70</v>
      </c>
      <c r="Q129" s="344"/>
      <c r="R129" s="522" t="s">
        <v>363</v>
      </c>
      <c r="S129" s="353">
        <f t="shared" ca="1" si="197"/>
        <v>82177.2</v>
      </c>
      <c r="T129" s="523"/>
      <c r="U129" s="350"/>
      <c r="V129" s="308"/>
      <c r="W129" s="1090" t="str">
        <f t="shared" ca="1" si="198"/>
        <v/>
      </c>
      <c r="X129" s="1103">
        <f t="shared" ca="1" si="199"/>
        <v>0</v>
      </c>
      <c r="Y129" s="1120">
        <f t="shared" ca="1" si="200"/>
        <v>0</v>
      </c>
      <c r="Z129" s="524"/>
      <c r="AA129" s="350"/>
      <c r="AB129" s="308"/>
      <c r="AC129" s="1090" t="str">
        <f t="shared" ca="1" si="201"/>
        <v/>
      </c>
      <c r="AD129" s="1103">
        <f t="shared" ca="1" si="202"/>
        <v>0</v>
      </c>
      <c r="AE129" s="1120">
        <f t="shared" ca="1" si="203"/>
        <v>0</v>
      </c>
      <c r="AF129" s="525"/>
      <c r="AG129" s="637"/>
      <c r="AH129" s="525"/>
      <c r="AI129" s="1086">
        <f t="shared" ca="1" si="204"/>
        <v>50</v>
      </c>
      <c r="AJ129" s="380"/>
      <c r="AK129" s="440"/>
      <c r="AM129" s="460">
        <v>129</v>
      </c>
      <c r="AN129" s="1087" t="str">
        <f t="shared" ca="1" si="205"/>
        <v>Sonden und Speicher  LD50</v>
      </c>
      <c r="AO129" s="1083">
        <f t="shared" ca="1" si="206"/>
        <v>82177.2</v>
      </c>
      <c r="AP129" s="356">
        <f t="shared" ca="1" si="206"/>
        <v>0</v>
      </c>
      <c r="AQ129" s="357">
        <f t="shared" ca="1" si="206"/>
        <v>0</v>
      </c>
      <c r="AR129" s="524" t="str">
        <f t="shared" ca="1" si="206"/>
        <v/>
      </c>
      <c r="AS129" s="356">
        <f t="shared" ca="1" si="206"/>
        <v>0</v>
      </c>
      <c r="AT129" s="357">
        <f t="shared" ca="1" si="206"/>
        <v>0</v>
      </c>
      <c r="AU129" s="524" t="str">
        <f t="shared" ca="1" si="206"/>
        <v/>
      </c>
      <c r="AV129" s="1083">
        <f t="shared" ca="1" si="206"/>
        <v>50</v>
      </c>
      <c r="AX129" s="1083" t="str">
        <f t="shared" si="207"/>
        <v>U</v>
      </c>
      <c r="AY129" s="1083" t="str">
        <f t="shared" si="208"/>
        <v>U</v>
      </c>
      <c r="AZ129" s="1083" t="str">
        <f t="shared" si="209"/>
        <v>U</v>
      </c>
      <c r="BA129" s="1083" t="str">
        <f t="shared" si="210"/>
        <v>U</v>
      </c>
      <c r="BB129" s="1083" t="str">
        <f t="shared" si="211"/>
        <v>U</v>
      </c>
    </row>
    <row r="130" spans="1:54" ht="12" customHeight="1" x14ac:dyDescent="0.2">
      <c r="A130" s="440"/>
      <c r="B130" s="1043"/>
      <c r="C130" s="380"/>
      <c r="D130" s="1037"/>
      <c r="E130" s="1084" t="str">
        <f t="shared" ca="1" si="196"/>
        <v>mittl. Solarthermie LD25</v>
      </c>
      <c r="F130" s="1085"/>
      <c r="G130" s="1264"/>
      <c r="H130" s="1264"/>
      <c r="I130" s="1265"/>
      <c r="J130" s="638"/>
      <c r="K130" s="520" t="s">
        <v>179</v>
      </c>
      <c r="L130" s="521"/>
      <c r="M130" s="340"/>
      <c r="N130" s="528" t="s">
        <v>69</v>
      </c>
      <c r="O130" s="339"/>
      <c r="P130" s="543" t="s">
        <v>70</v>
      </c>
      <c r="Q130" s="344"/>
      <c r="R130" s="522" t="s">
        <v>363</v>
      </c>
      <c r="S130" s="353">
        <f t="shared" ca="1" si="197"/>
        <v>32678.399999999998</v>
      </c>
      <c r="T130" s="523"/>
      <c r="U130" s="350"/>
      <c r="V130" s="308"/>
      <c r="W130" s="1090" t="str">
        <f t="shared" ca="1" si="198"/>
        <v/>
      </c>
      <c r="X130" s="1103">
        <f t="shared" ca="1" si="199"/>
        <v>0</v>
      </c>
      <c r="Y130" s="1120">
        <f t="shared" ca="1" si="200"/>
        <v>0</v>
      </c>
      <c r="Z130" s="524"/>
      <c r="AA130" s="350"/>
      <c r="AB130" s="308"/>
      <c r="AC130" s="1090" t="str">
        <f t="shared" ca="1" si="201"/>
        <v>A</v>
      </c>
      <c r="AD130" s="1103">
        <f t="shared" ca="1" si="202"/>
        <v>9.4557873090481796E-3</v>
      </c>
      <c r="AE130" s="1120">
        <f t="shared" ca="1" si="203"/>
        <v>309</v>
      </c>
      <c r="AF130" s="525"/>
      <c r="AG130" s="637"/>
      <c r="AH130" s="525"/>
      <c r="AI130" s="1086">
        <f t="shared" ca="1" si="204"/>
        <v>25</v>
      </c>
      <c r="AJ130" s="380"/>
      <c r="AK130" s="440"/>
      <c r="AM130" s="460">
        <v>130</v>
      </c>
      <c r="AN130" s="1087" t="str">
        <f t="shared" ca="1" si="205"/>
        <v>mittl. Solarthermie LD25</v>
      </c>
      <c r="AO130" s="1083">
        <f t="shared" ca="1" si="206"/>
        <v>32678.399999999998</v>
      </c>
      <c r="AP130" s="356">
        <f t="shared" ca="1" si="206"/>
        <v>0</v>
      </c>
      <c r="AQ130" s="357">
        <f t="shared" ca="1" si="206"/>
        <v>0</v>
      </c>
      <c r="AR130" s="524" t="str">
        <f t="shared" ca="1" si="206"/>
        <v/>
      </c>
      <c r="AS130" s="356">
        <f t="shared" ca="1" si="206"/>
        <v>9.4557873090481796E-3</v>
      </c>
      <c r="AT130" s="357">
        <f t="shared" ca="1" si="206"/>
        <v>309</v>
      </c>
      <c r="AU130" s="524" t="str">
        <f t="shared" ca="1" si="206"/>
        <v>A</v>
      </c>
      <c r="AV130" s="1083">
        <f t="shared" ca="1" si="206"/>
        <v>25</v>
      </c>
      <c r="AX130" s="1083" t="str">
        <f t="shared" si="207"/>
        <v>U</v>
      </c>
      <c r="AY130" s="1083" t="str">
        <f t="shared" si="208"/>
        <v>U</v>
      </c>
      <c r="AZ130" s="1083" t="str">
        <f t="shared" si="209"/>
        <v>U</v>
      </c>
      <c r="BA130" s="1083" t="str">
        <f t="shared" si="210"/>
        <v>U</v>
      </c>
      <c r="BB130" s="1083" t="str">
        <f t="shared" si="211"/>
        <v>U</v>
      </c>
    </row>
    <row r="131" spans="1:54" ht="12" customHeight="1" x14ac:dyDescent="0.2">
      <c r="A131" s="440"/>
      <c r="B131" s="1043"/>
      <c r="C131" s="380"/>
      <c r="D131" s="1037"/>
      <c r="E131" s="1084" t="str">
        <f t="shared" ca="1" si="196"/>
        <v>mittl. Solarthermie LD50</v>
      </c>
      <c r="F131" s="1085"/>
      <c r="G131" s="1264"/>
      <c r="H131" s="1264"/>
      <c r="I131" s="1265"/>
      <c r="J131" s="638"/>
      <c r="K131" s="520" t="s">
        <v>179</v>
      </c>
      <c r="L131" s="521"/>
      <c r="M131" s="340"/>
      <c r="N131" s="528" t="s">
        <v>69</v>
      </c>
      <c r="O131" s="339"/>
      <c r="P131" s="543" t="s">
        <v>70</v>
      </c>
      <c r="Q131" s="344"/>
      <c r="R131" s="522" t="s">
        <v>363</v>
      </c>
      <c r="S131" s="353">
        <f t="shared" ca="1" si="197"/>
        <v>15134.4</v>
      </c>
      <c r="T131" s="523"/>
      <c r="U131" s="350"/>
      <c r="V131" s="308"/>
      <c r="W131" s="1090" t="str">
        <f t="shared" ca="1" si="198"/>
        <v/>
      </c>
      <c r="X131" s="1103">
        <f t="shared" ca="1" si="199"/>
        <v>0</v>
      </c>
      <c r="Y131" s="1120">
        <f t="shared" ca="1" si="200"/>
        <v>0</v>
      </c>
      <c r="Z131" s="524"/>
      <c r="AA131" s="350"/>
      <c r="AB131" s="308"/>
      <c r="AC131" s="1090" t="str">
        <f t="shared" ca="1" si="201"/>
        <v/>
      </c>
      <c r="AD131" s="1103">
        <f t="shared" ca="1" si="202"/>
        <v>0</v>
      </c>
      <c r="AE131" s="1120">
        <f t="shared" ca="1" si="203"/>
        <v>0</v>
      </c>
      <c r="AF131" s="525"/>
      <c r="AG131" s="637"/>
      <c r="AH131" s="525"/>
      <c r="AI131" s="1086">
        <f t="shared" ca="1" si="204"/>
        <v>50</v>
      </c>
      <c r="AJ131" s="380"/>
      <c r="AK131" s="440"/>
      <c r="AM131" s="460">
        <v>131</v>
      </c>
      <c r="AN131" s="1087" t="str">
        <f t="shared" ca="1" si="205"/>
        <v>mittl. Solarthermie LD50</v>
      </c>
      <c r="AO131" s="1083">
        <f t="shared" ca="1" si="206"/>
        <v>15134.4</v>
      </c>
      <c r="AP131" s="356">
        <f t="shared" ca="1" si="206"/>
        <v>0</v>
      </c>
      <c r="AQ131" s="357">
        <f t="shared" ca="1" si="206"/>
        <v>0</v>
      </c>
      <c r="AR131" s="524" t="str">
        <f t="shared" ca="1" si="206"/>
        <v/>
      </c>
      <c r="AS131" s="356">
        <f t="shared" ca="1" si="206"/>
        <v>0</v>
      </c>
      <c r="AT131" s="357">
        <f t="shared" ca="1" si="206"/>
        <v>0</v>
      </c>
      <c r="AU131" s="524" t="str">
        <f t="shared" ca="1" si="206"/>
        <v/>
      </c>
      <c r="AV131" s="1083">
        <f t="shared" ca="1" si="206"/>
        <v>50</v>
      </c>
      <c r="AX131" s="1083" t="str">
        <f t="shared" si="207"/>
        <v>U</v>
      </c>
      <c r="AY131" s="1083" t="str">
        <f t="shared" si="208"/>
        <v>U</v>
      </c>
      <c r="AZ131" s="1083" t="str">
        <f t="shared" si="209"/>
        <v>U</v>
      </c>
      <c r="BA131" s="1083" t="str">
        <f t="shared" si="210"/>
        <v>U</v>
      </c>
      <c r="BB131" s="1083" t="str">
        <f t="shared" si="211"/>
        <v>U</v>
      </c>
    </row>
    <row r="132" spans="1:54" ht="12" customHeight="1" x14ac:dyDescent="0.2">
      <c r="A132" s="440"/>
      <c r="B132" s="1043"/>
      <c r="C132" s="380"/>
      <c r="D132" s="1037"/>
      <c r="E132" s="1084">
        <f t="shared" ca="1" si="196"/>
        <v>0</v>
      </c>
      <c r="F132" s="1085"/>
      <c r="G132" s="1264"/>
      <c r="H132" s="1264"/>
      <c r="I132" s="1265"/>
      <c r="J132" s="638"/>
      <c r="K132" s="520" t="s">
        <v>179</v>
      </c>
      <c r="L132" s="521"/>
      <c r="M132" s="340"/>
      <c r="N132" s="528" t="s">
        <v>69</v>
      </c>
      <c r="O132" s="339"/>
      <c r="P132" s="543" t="s">
        <v>70</v>
      </c>
      <c r="Q132" s="344"/>
      <c r="R132" s="522" t="s">
        <v>363</v>
      </c>
      <c r="S132" s="353">
        <f t="shared" ca="1" si="197"/>
        <v>0</v>
      </c>
      <c r="T132" s="523"/>
      <c r="U132" s="350"/>
      <c r="V132" s="308"/>
      <c r="W132" s="1090" t="str">
        <f t="shared" ca="1" si="198"/>
        <v/>
      </c>
      <c r="X132" s="1103">
        <f t="shared" ca="1" si="199"/>
        <v>0</v>
      </c>
      <c r="Y132" s="1120">
        <f t="shared" ca="1" si="200"/>
        <v>0</v>
      </c>
      <c r="Z132" s="524"/>
      <c r="AA132" s="350"/>
      <c r="AB132" s="308"/>
      <c r="AC132" s="1090" t="str">
        <f t="shared" ca="1" si="201"/>
        <v/>
      </c>
      <c r="AD132" s="1103">
        <f t="shared" ca="1" si="202"/>
        <v>0</v>
      </c>
      <c r="AE132" s="1120">
        <f t="shared" ca="1" si="203"/>
        <v>0</v>
      </c>
      <c r="AF132" s="525"/>
      <c r="AG132" s="637"/>
      <c r="AH132" s="525"/>
      <c r="AI132" s="1086">
        <f t="shared" ca="1" si="204"/>
        <v>0</v>
      </c>
      <c r="AJ132" s="380"/>
      <c r="AK132" s="440"/>
      <c r="AM132" s="460">
        <v>132</v>
      </c>
      <c r="AN132" s="1087">
        <f t="shared" ca="1" si="205"/>
        <v>0</v>
      </c>
      <c r="AO132" s="1083">
        <f t="shared" ca="1" si="206"/>
        <v>0</v>
      </c>
      <c r="AP132" s="356">
        <f t="shared" ca="1" si="206"/>
        <v>0</v>
      </c>
      <c r="AQ132" s="357">
        <f t="shared" ca="1" si="206"/>
        <v>0</v>
      </c>
      <c r="AR132" s="524" t="str">
        <f t="shared" ca="1" si="206"/>
        <v/>
      </c>
      <c r="AS132" s="356">
        <f t="shared" ca="1" si="206"/>
        <v>0</v>
      </c>
      <c r="AT132" s="357">
        <f t="shared" ca="1" si="206"/>
        <v>0</v>
      </c>
      <c r="AU132" s="524" t="str">
        <f t="shared" ca="1" si="206"/>
        <v/>
      </c>
      <c r="AV132" s="1083">
        <f t="shared" ca="1" si="206"/>
        <v>0</v>
      </c>
      <c r="AX132" s="1083" t="str">
        <f t="shared" si="207"/>
        <v>U</v>
      </c>
      <c r="AY132" s="1083" t="str">
        <f t="shared" si="208"/>
        <v>U</v>
      </c>
      <c r="AZ132" s="1083" t="str">
        <f t="shared" si="209"/>
        <v>U</v>
      </c>
      <c r="BA132" s="1083" t="str">
        <f t="shared" si="210"/>
        <v>U</v>
      </c>
      <c r="BB132" s="1083" t="str">
        <f t="shared" si="211"/>
        <v>U</v>
      </c>
    </row>
    <row r="133" spans="1:54" ht="12" customHeight="1" x14ac:dyDescent="0.2">
      <c r="A133" s="440"/>
      <c r="B133" s="1043"/>
      <c r="C133" s="380"/>
      <c r="D133" s="1037"/>
      <c r="E133" s="1084">
        <f t="shared" ca="1" si="196"/>
        <v>0</v>
      </c>
      <c r="F133" s="1085"/>
      <c r="G133" s="1264"/>
      <c r="H133" s="1264"/>
      <c r="I133" s="1265"/>
      <c r="J133" s="638"/>
      <c r="K133" s="520" t="s">
        <v>179</v>
      </c>
      <c r="L133" s="521"/>
      <c r="M133" s="340"/>
      <c r="N133" s="528" t="s">
        <v>69</v>
      </c>
      <c r="O133" s="339"/>
      <c r="P133" s="543" t="s">
        <v>70</v>
      </c>
      <c r="Q133" s="344"/>
      <c r="R133" s="522" t="s">
        <v>363</v>
      </c>
      <c r="S133" s="353">
        <f t="shared" ca="1" si="197"/>
        <v>0</v>
      </c>
      <c r="T133" s="523"/>
      <c r="U133" s="350"/>
      <c r="V133" s="308"/>
      <c r="W133" s="1090" t="str">
        <f t="shared" ca="1" si="198"/>
        <v/>
      </c>
      <c r="X133" s="1103">
        <f t="shared" ca="1" si="199"/>
        <v>0</v>
      </c>
      <c r="Y133" s="1120">
        <f t="shared" ca="1" si="200"/>
        <v>0</v>
      </c>
      <c r="Z133" s="524"/>
      <c r="AA133" s="350"/>
      <c r="AB133" s="308"/>
      <c r="AC133" s="1090" t="str">
        <f t="shared" ca="1" si="201"/>
        <v/>
      </c>
      <c r="AD133" s="1103">
        <f t="shared" ca="1" si="202"/>
        <v>0</v>
      </c>
      <c r="AE133" s="1120">
        <f t="shared" ca="1" si="203"/>
        <v>0</v>
      </c>
      <c r="AF133" s="525"/>
      <c r="AG133" s="637"/>
      <c r="AH133" s="525"/>
      <c r="AI133" s="1086">
        <f t="shared" ca="1" si="204"/>
        <v>0</v>
      </c>
      <c r="AJ133" s="380"/>
      <c r="AK133" s="440"/>
      <c r="AM133" s="460">
        <v>133</v>
      </c>
      <c r="AN133" s="1087">
        <f t="shared" ca="1" si="205"/>
        <v>0</v>
      </c>
      <c r="AO133" s="1083">
        <f t="shared" ca="1" si="206"/>
        <v>0</v>
      </c>
      <c r="AP133" s="356">
        <f t="shared" ca="1" si="206"/>
        <v>0</v>
      </c>
      <c r="AQ133" s="357">
        <f t="shared" ca="1" si="206"/>
        <v>0</v>
      </c>
      <c r="AR133" s="524" t="str">
        <f t="shared" ca="1" si="206"/>
        <v/>
      </c>
      <c r="AS133" s="356">
        <f t="shared" ca="1" si="206"/>
        <v>0</v>
      </c>
      <c r="AT133" s="357">
        <f t="shared" ca="1" si="206"/>
        <v>0</v>
      </c>
      <c r="AU133" s="524" t="str">
        <f t="shared" ca="1" si="206"/>
        <v/>
      </c>
      <c r="AV133" s="1083">
        <f t="shared" ca="1" si="206"/>
        <v>0</v>
      </c>
      <c r="AX133" s="1083" t="str">
        <f t="shared" si="207"/>
        <v>U</v>
      </c>
      <c r="AY133" s="1083" t="str">
        <f t="shared" si="208"/>
        <v>U</v>
      </c>
      <c r="AZ133" s="1083" t="str">
        <f t="shared" si="209"/>
        <v>U</v>
      </c>
      <c r="BA133" s="1083" t="str">
        <f t="shared" si="210"/>
        <v>U</v>
      </c>
      <c r="BB133" s="1083" t="str">
        <f t="shared" si="211"/>
        <v>U</v>
      </c>
    </row>
    <row r="134" spans="1:54" ht="12" customHeight="1" x14ac:dyDescent="0.25">
      <c r="A134" s="440"/>
      <c r="B134" s="1043"/>
      <c r="C134" s="380"/>
      <c r="D134" s="1037" t="s">
        <v>43</v>
      </c>
      <c r="E134" s="1599" t="s">
        <v>42</v>
      </c>
      <c r="F134" s="1599"/>
      <c r="G134" s="1599"/>
      <c r="H134" s="1599"/>
      <c r="I134" s="1605"/>
      <c r="J134" s="1038"/>
      <c r="K134" s="502"/>
      <c r="L134" s="502"/>
      <c r="M134" s="498"/>
      <c r="N134" s="359"/>
      <c r="O134" s="363"/>
      <c r="P134" s="363"/>
      <c r="Q134" s="363"/>
      <c r="R134" s="363"/>
      <c r="S134" s="365"/>
      <c r="T134" s="363"/>
      <c r="U134" s="375"/>
      <c r="V134" s="358"/>
      <c r="W134" s="1091"/>
      <c r="X134" s="1114"/>
      <c r="Y134" s="1104"/>
      <c r="Z134" s="363"/>
      <c r="AA134" s="375"/>
      <c r="AB134" s="358"/>
      <c r="AC134" s="1091"/>
      <c r="AD134" s="1114"/>
      <c r="AE134" s="1104"/>
      <c r="AF134" s="358"/>
      <c r="AG134" s="358"/>
      <c r="AH134" s="358"/>
      <c r="AI134" s="358"/>
      <c r="AJ134" s="380"/>
      <c r="AK134" s="440"/>
      <c r="AM134" s="460">
        <v>134</v>
      </c>
      <c r="AN134" s="1078"/>
    </row>
    <row r="135" spans="1:54" ht="12" customHeight="1" x14ac:dyDescent="0.25">
      <c r="A135" s="440"/>
      <c r="B135" s="1043"/>
      <c r="C135" s="380"/>
      <c r="D135" s="1037"/>
      <c r="E135" s="1037"/>
      <c r="F135" s="1037"/>
      <c r="G135" s="1037"/>
      <c r="H135" s="1037"/>
      <c r="I135" s="1038"/>
      <c r="J135" s="1038"/>
      <c r="K135" s="502"/>
      <c r="L135" s="502"/>
      <c r="M135" s="339"/>
      <c r="N135" s="528" t="s">
        <v>304</v>
      </c>
      <c r="O135" s="339"/>
      <c r="P135" s="543" t="s">
        <v>305</v>
      </c>
      <c r="Q135" s="344"/>
      <c r="R135" s="522" t="s">
        <v>363</v>
      </c>
      <c r="S135" s="353">
        <f ca="1">IF(AY135="E",(M135*O135)+Q135,AO135)</f>
        <v>21526.475999999999</v>
      </c>
      <c r="T135" s="523"/>
      <c r="U135" s="350"/>
      <c r="V135" s="308"/>
      <c r="W135" s="1090" t="str">
        <f ca="1">IF(AZ135="E",IF(AND(V135&lt;&gt;0,U135&lt;&gt;0),"X",IF(AND(V135&lt;&gt;0,U135=0),"A",IF(AND(V135=0,U135&lt;&gt;0),"P",""))),AR135)</f>
        <v/>
      </c>
      <c r="X135" s="1103">
        <f ca="1">IF(AZ135="E",IFERROR(IF(W135="X",0,IF(U135&gt;0,U135,V135/S135)),0),
IFERROR(IF(OR(AR135="X",AR135=0),0,
IF(AR135="P",AP135,IF(AR135="A",AQ135/S135,0))),0))</f>
        <v>0</v>
      </c>
      <c r="Y135" s="1120">
        <f ca="1">IF(AZ135="E",IFERROR(IF(W135="X",0,IF(V135&gt;0,V135,S135*U135)),0),
IFERROR(IF(OR(AR135="X",AR135="0"),0,IF(AR135="A",AQ135,S135*AP135)),0))</f>
        <v>0</v>
      </c>
      <c r="Z135" s="524"/>
      <c r="AA135" s="350"/>
      <c r="AB135" s="308"/>
      <c r="AC135" s="1090" t="str">
        <f ca="1">IF(BA135="E",IF(AND(AB135&lt;&gt;0,AA135&lt;&gt;0),"X",IF(AND(AB135&lt;&gt;0,AA135=0),"A",IF(AND(AB135=0,AA135&lt;&gt;0),"P",""))),AU135)</f>
        <v/>
      </c>
      <c r="AD135" s="1103">
        <f ca="1">IF(BA135="E",IFERROR(IF(AC135="X",0,IF(AA135&gt;0,AA135,AB135/S135)),0),
IFERROR(IF(OR(AU135="X",AU135=0),0,
IF(AU135="P",AS135,IF(AU135="A",AT135/S135,0))),0))</f>
        <v>0</v>
      </c>
      <c r="AE135" s="1120">
        <f ca="1">IF(BA135="E",IFERROR(IF(AC135="X",0,IF(AB135&gt;0,AB135,S135*AA135)),0),
IFERROR(IF(OR(AU135="X",AU135=0),0,
IF(AU135="A",AT135,S135*AS135)),0))</f>
        <v>0</v>
      </c>
      <c r="AF135" s="525"/>
      <c r="AG135" s="637"/>
      <c r="AH135" s="525"/>
      <c r="AI135" s="1086">
        <f ca="1">IF(BB135="E",AG135,AV135)</f>
        <v>50</v>
      </c>
      <c r="AJ135" s="380"/>
      <c r="AK135" s="440"/>
      <c r="AM135" s="460">
        <v>135</v>
      </c>
      <c r="AN135" s="1078"/>
      <c r="AO135" s="1083">
        <f t="shared" ref="AO135:AV135" ca="1" si="212">IF($M$13=$AN$12,"",INDIRECT("'"&amp;$AM$20&amp;"'!"&amp;AO$21&amp;$AM135))</f>
        <v>21526.475999999999</v>
      </c>
      <c r="AP135" s="356">
        <f t="shared" ca="1" si="212"/>
        <v>0</v>
      </c>
      <c r="AQ135" s="357">
        <f t="shared" ca="1" si="212"/>
        <v>0</v>
      </c>
      <c r="AR135" s="524" t="str">
        <f t="shared" ca="1" si="212"/>
        <v/>
      </c>
      <c r="AS135" s="356">
        <f t="shared" ca="1" si="212"/>
        <v>0</v>
      </c>
      <c r="AT135" s="357">
        <f t="shared" ca="1" si="212"/>
        <v>0</v>
      </c>
      <c r="AU135" s="524" t="str">
        <f t="shared" ca="1" si="212"/>
        <v/>
      </c>
      <c r="AV135" s="1083">
        <f t="shared" ca="1" si="212"/>
        <v>50</v>
      </c>
      <c r="AX135" s="1083" t="str">
        <f t="shared" ref="AX135" si="213">IF($M$13=$AN$12,"E",IF(ISTEXT(F135),"E","U"))</f>
        <v>U</v>
      </c>
      <c r="AY135" s="1083" t="str">
        <f t="shared" ref="AY135" si="214">IF($M$13=$AN$12,"E",IF(OR(ISNUMBER(M135),ISNUMBER(O135),ISNUMBER(Q135)),"E","U"))</f>
        <v>U</v>
      </c>
      <c r="AZ135" s="1083" t="str">
        <f t="shared" ref="AZ135" si="215">IF($M$13=$AN$12,"E",IF(OR(ISNUMBER(U135),ISNUMBER(V135)),"E","U"))</f>
        <v>U</v>
      </c>
      <c r="BA135" s="1083" t="str">
        <f t="shared" ref="BA135" si="216">IF($M$13=$AN$12,"E",IF(OR(ISNUMBER(AA135),ISNUMBER(AB135)),"E","U"))</f>
        <v>U</v>
      </c>
      <c r="BB135" s="1083" t="str">
        <f t="shared" ref="BB135" si="217">IF($M$13=$AN$12,"E",IF(ISNUMBER(AG135),"E","U"))</f>
        <v>U</v>
      </c>
    </row>
    <row r="136" spans="1:54" ht="12" customHeight="1" x14ac:dyDescent="0.25">
      <c r="A136" s="440"/>
      <c r="B136" s="1043"/>
      <c r="C136" s="380"/>
      <c r="D136" s="1037" t="s">
        <v>41</v>
      </c>
      <c r="E136" s="1599" t="s">
        <v>40</v>
      </c>
      <c r="F136" s="1599"/>
      <c r="G136" s="1599"/>
      <c r="H136" s="1599"/>
      <c r="I136" s="1597"/>
      <c r="J136" s="1038"/>
      <c r="K136" s="462"/>
      <c r="L136" s="462"/>
      <c r="M136" s="498"/>
      <c r="N136" s="361"/>
      <c r="O136" s="365"/>
      <c r="P136" s="365"/>
      <c r="Q136" s="365"/>
      <c r="R136" s="365"/>
      <c r="S136" s="354">
        <f ca="1">SUBTOTAL(109,S138:S141)</f>
        <v>40502.400000000001</v>
      </c>
      <c r="T136" s="363"/>
      <c r="U136" s="375"/>
      <c r="V136" s="358"/>
      <c r="W136" s="1091"/>
      <c r="X136" s="1114"/>
      <c r="Y136" s="1104"/>
      <c r="Z136" s="363"/>
      <c r="AA136" s="375"/>
      <c r="AB136" s="358"/>
      <c r="AC136" s="1091"/>
      <c r="AD136" s="1114"/>
      <c r="AE136" s="1104"/>
      <c r="AF136" s="358"/>
      <c r="AG136" s="358"/>
      <c r="AH136" s="358"/>
      <c r="AI136" s="358"/>
      <c r="AJ136" s="380"/>
      <c r="AK136" s="440"/>
      <c r="AM136" s="460">
        <v>136</v>
      </c>
      <c r="AN136" s="1078"/>
    </row>
    <row r="137" spans="1:54" ht="12" customHeight="1" x14ac:dyDescent="0.25">
      <c r="A137" s="440"/>
      <c r="B137" s="1043"/>
      <c r="C137" s="380"/>
      <c r="D137" s="1037"/>
      <c r="E137" s="1037"/>
      <c r="F137" s="1037"/>
      <c r="G137" s="1037"/>
      <c r="H137" s="1037"/>
      <c r="I137" s="1035"/>
      <c r="J137" s="1603" t="s">
        <v>452</v>
      </c>
      <c r="K137" s="1603"/>
      <c r="L137" s="462"/>
      <c r="M137" s="498"/>
      <c r="N137" s="361"/>
      <c r="O137" s="365"/>
      <c r="P137" s="365"/>
      <c r="Q137" s="365"/>
      <c r="R137" s="365"/>
      <c r="S137" s="354"/>
      <c r="T137" s="363"/>
      <c r="U137" s="375"/>
      <c r="V137" s="358"/>
      <c r="W137" s="1091"/>
      <c r="X137" s="1114"/>
      <c r="Y137" s="1104"/>
      <c r="Z137" s="363"/>
      <c r="AA137" s="375"/>
      <c r="AB137" s="358"/>
      <c r="AC137" s="1091"/>
      <c r="AD137" s="1114"/>
      <c r="AE137" s="1104"/>
      <c r="AF137" s="358"/>
      <c r="AG137" s="358"/>
      <c r="AH137" s="358"/>
      <c r="AI137" s="358"/>
      <c r="AJ137" s="380"/>
      <c r="AK137" s="440"/>
      <c r="AM137" s="460">
        <v>137</v>
      </c>
      <c r="AN137" s="1078"/>
    </row>
    <row r="138" spans="1:54" ht="12" customHeight="1" x14ac:dyDescent="0.2">
      <c r="A138" s="440"/>
      <c r="B138" s="1043"/>
      <c r="C138" s="380"/>
      <c r="D138" s="1037"/>
      <c r="E138" s="1084">
        <f ca="1">IF(AX138="E","",AN138)</f>
        <v>0</v>
      </c>
      <c r="F138" s="1085"/>
      <c r="G138" s="1264"/>
      <c r="H138" s="1264"/>
      <c r="I138" s="1265"/>
      <c r="J138" s="639"/>
      <c r="K138" s="520" t="s">
        <v>180</v>
      </c>
      <c r="L138" s="521"/>
      <c r="M138" s="340"/>
      <c r="N138" s="528" t="s">
        <v>67</v>
      </c>
      <c r="O138" s="339"/>
      <c r="P138" s="543" t="s">
        <v>68</v>
      </c>
      <c r="Q138" s="344"/>
      <c r="R138" s="522" t="s">
        <v>363</v>
      </c>
      <c r="S138" s="353">
        <f t="shared" ref="S138:S141" ca="1" si="218">IF(AY138="E",(M138*O138)+Q138,AO138)</f>
        <v>0</v>
      </c>
      <c r="T138" s="523"/>
      <c r="U138" s="350"/>
      <c r="V138" s="308"/>
      <c r="W138" s="1090" t="str">
        <f t="shared" ref="W138:W141" ca="1" si="219">IF(AZ138="E",IF(AND(V138&lt;&gt;0,U138&lt;&gt;0),"X",IF(AND(V138&lt;&gt;0,U138=0),"A",IF(AND(V138=0,U138&lt;&gt;0),"P",""))),AR138)</f>
        <v/>
      </c>
      <c r="X138" s="1103">
        <f t="shared" ref="X138:X141" ca="1" si="220">IF(AZ138="E",IFERROR(IF(W138="X",0,IF(U138&gt;0,U138,V138/S138)),0),
IFERROR(IF(OR(AR138="X",AR138=0),0,
IF(AR138="P",AP138,IF(AR138="A",AQ138/S138,0))),0))</f>
        <v>0</v>
      </c>
      <c r="Y138" s="1120">
        <f t="shared" ref="Y138:Y141" ca="1" si="221">IF(AZ138="E",IFERROR(IF(W138="X",0,IF(V138&gt;0,V138,S138*U138)),0),
IFERROR(IF(OR(AR138="X",AR138="0"),0,IF(AR138="A",AQ138,S138*AP138)),0))</f>
        <v>0</v>
      </c>
      <c r="Z138" s="524"/>
      <c r="AA138" s="350"/>
      <c r="AB138" s="308"/>
      <c r="AC138" s="1090" t="str">
        <f t="shared" ref="AC138:AC141" ca="1" si="222">IF(BA138="E",IF(AND(AB138&lt;&gt;0,AA138&lt;&gt;0),"X",IF(AND(AB138&lt;&gt;0,AA138=0),"A",IF(AND(AB138=0,AA138&lt;&gt;0),"P",""))),AU138)</f>
        <v/>
      </c>
      <c r="AD138" s="1103">
        <f t="shared" ref="AD138:AD141" ca="1" si="223">IF(BA138="E",IFERROR(IF(AC138="X",0,IF(AA138&gt;0,AA138,AB138/S138)),0),
IFERROR(IF(OR(AU138="X",AU138=0),0,
IF(AU138="P",AS138,IF(AU138="A",AT138/S138,0))),0))</f>
        <v>0</v>
      </c>
      <c r="AE138" s="1120">
        <f t="shared" ref="AE138:AE141" ca="1" si="224">IF(BA138="E",IFERROR(IF(AC138="X",0,IF(AB138&gt;0,AB138,S138*AA138)),0),
IFERROR(IF(OR(AU138="X",AU138=0),0,
IF(AU138="A",AT138,S138*AS138)),0))</f>
        <v>0</v>
      </c>
      <c r="AF138" s="525"/>
      <c r="AG138" s="637"/>
      <c r="AH138" s="525"/>
      <c r="AI138" s="1086">
        <f t="shared" ref="AI138:AI141" ca="1" si="225">IF(BB138="E",AG138,AV138)</f>
        <v>0</v>
      </c>
      <c r="AJ138" s="380"/>
      <c r="AK138" s="440"/>
      <c r="AM138" s="460">
        <v>138</v>
      </c>
      <c r="AN138" s="1087">
        <f t="shared" ref="AN138:AN141" ca="1" si="226">IF($M$13=$AN$12,"",IF(ISTEXT(INDIRECT("'"&amp;$AM$20&amp;"'!"&amp;AN$21&amp;$AM138)),INDIRECT("'"&amp;$AM$20&amp;"'!"&amp;AN$21&amp;$AM138),INDIRECT("'"&amp;$AM$20&amp;"'!"&amp;AN$22&amp;$AM138)))</f>
        <v>0</v>
      </c>
      <c r="AO138" s="1083">
        <f t="shared" ref="AO138:AV141" ca="1" si="227">IF($M$13=$AN$12,"",INDIRECT("'"&amp;$AM$20&amp;"'!"&amp;AO$21&amp;$AM138))</f>
        <v>0</v>
      </c>
      <c r="AP138" s="356">
        <f t="shared" ca="1" si="227"/>
        <v>0</v>
      </c>
      <c r="AQ138" s="357">
        <f t="shared" ca="1" si="227"/>
        <v>0</v>
      </c>
      <c r="AR138" s="524" t="str">
        <f t="shared" ca="1" si="227"/>
        <v/>
      </c>
      <c r="AS138" s="356">
        <f t="shared" ca="1" si="227"/>
        <v>0</v>
      </c>
      <c r="AT138" s="357">
        <f t="shared" ca="1" si="227"/>
        <v>0</v>
      </c>
      <c r="AU138" s="524" t="str">
        <f t="shared" ca="1" si="227"/>
        <v/>
      </c>
      <c r="AV138" s="1083">
        <f t="shared" ca="1" si="227"/>
        <v>0</v>
      </c>
      <c r="AX138" s="1083" t="str">
        <f t="shared" ref="AX138:AX141" si="228">IF($M$13=$AN$12,"E",IF(ISTEXT(F138),"E","U"))</f>
        <v>U</v>
      </c>
      <c r="AY138" s="1083" t="str">
        <f t="shared" ref="AY138:AY141" si="229">IF($M$13=$AN$12,"E",IF(OR(ISNUMBER(M138),ISNUMBER(O138),ISNUMBER(Q138)),"E","U"))</f>
        <v>U</v>
      </c>
      <c r="AZ138" s="1083" t="str">
        <f t="shared" ref="AZ138:AZ141" si="230">IF($M$13=$AN$12,"E",IF(OR(ISNUMBER(U138),ISNUMBER(V138)),"E","U"))</f>
        <v>U</v>
      </c>
      <c r="BA138" s="1083" t="str">
        <f t="shared" ref="BA138:BA141" si="231">IF($M$13=$AN$12,"E",IF(OR(ISNUMBER(AA138),ISNUMBER(AB138)),"E","U"))</f>
        <v>U</v>
      </c>
      <c r="BB138" s="1083" t="str">
        <f t="shared" ref="BB138:BB141" si="232">IF($M$13=$AN$12,"E",IF(ISNUMBER(AG138),"E","U"))</f>
        <v>U</v>
      </c>
    </row>
    <row r="139" spans="1:54" ht="12" customHeight="1" x14ac:dyDescent="0.2">
      <c r="A139" s="440"/>
      <c r="B139" s="1043"/>
      <c r="C139" s="380"/>
      <c r="D139" s="1037"/>
      <c r="E139" s="1084" t="str">
        <f ca="1">IF(AX139="E","",AN139)</f>
        <v>Fussbodenheizung LD50</v>
      </c>
      <c r="F139" s="1085"/>
      <c r="G139" s="1264"/>
      <c r="H139" s="1264"/>
      <c r="I139" s="1265"/>
      <c r="J139" s="638"/>
      <c r="K139" s="520" t="s">
        <v>180</v>
      </c>
      <c r="L139" s="521"/>
      <c r="M139" s="340"/>
      <c r="N139" s="528" t="s">
        <v>67</v>
      </c>
      <c r="O139" s="339"/>
      <c r="P139" s="543" t="s">
        <v>68</v>
      </c>
      <c r="Q139" s="344"/>
      <c r="R139" s="522" t="s">
        <v>363</v>
      </c>
      <c r="S139" s="353">
        <f t="shared" ca="1" si="218"/>
        <v>40502.400000000001</v>
      </c>
      <c r="T139" s="523"/>
      <c r="U139" s="350"/>
      <c r="V139" s="308"/>
      <c r="W139" s="1090" t="str">
        <f t="shared" ca="1" si="219"/>
        <v/>
      </c>
      <c r="X139" s="1103">
        <f t="shared" ca="1" si="220"/>
        <v>0</v>
      </c>
      <c r="Y139" s="1120">
        <f t="shared" ca="1" si="221"/>
        <v>0</v>
      </c>
      <c r="Z139" s="524"/>
      <c r="AA139" s="350"/>
      <c r="AB139" s="308"/>
      <c r="AC139" s="1090" t="str">
        <f t="shared" ca="1" si="222"/>
        <v/>
      </c>
      <c r="AD139" s="1103">
        <f t="shared" ca="1" si="223"/>
        <v>0</v>
      </c>
      <c r="AE139" s="1120">
        <f t="shared" ca="1" si="224"/>
        <v>0</v>
      </c>
      <c r="AF139" s="525"/>
      <c r="AG139" s="637"/>
      <c r="AH139" s="525"/>
      <c r="AI139" s="1086">
        <f t="shared" ca="1" si="225"/>
        <v>50</v>
      </c>
      <c r="AJ139" s="380"/>
      <c r="AK139" s="440"/>
      <c r="AM139" s="460">
        <v>139</v>
      </c>
      <c r="AN139" s="1087" t="str">
        <f t="shared" ca="1" si="226"/>
        <v>Fussbodenheizung LD50</v>
      </c>
      <c r="AO139" s="1083">
        <f t="shared" ca="1" si="227"/>
        <v>40502.400000000001</v>
      </c>
      <c r="AP139" s="356">
        <f t="shared" ca="1" si="227"/>
        <v>0</v>
      </c>
      <c r="AQ139" s="357">
        <f t="shared" ca="1" si="227"/>
        <v>0</v>
      </c>
      <c r="AR139" s="524" t="str">
        <f t="shared" ca="1" si="227"/>
        <v/>
      </c>
      <c r="AS139" s="356">
        <f t="shared" ca="1" si="227"/>
        <v>0</v>
      </c>
      <c r="AT139" s="357">
        <f t="shared" ca="1" si="227"/>
        <v>0</v>
      </c>
      <c r="AU139" s="524" t="str">
        <f t="shared" ca="1" si="227"/>
        <v/>
      </c>
      <c r="AV139" s="1083">
        <f t="shared" ca="1" si="227"/>
        <v>50</v>
      </c>
      <c r="AX139" s="1083" t="str">
        <f t="shared" si="228"/>
        <v>U</v>
      </c>
      <c r="AY139" s="1083" t="str">
        <f t="shared" si="229"/>
        <v>U</v>
      </c>
      <c r="AZ139" s="1083" t="str">
        <f t="shared" si="230"/>
        <v>U</v>
      </c>
      <c r="BA139" s="1083" t="str">
        <f t="shared" si="231"/>
        <v>U</v>
      </c>
      <c r="BB139" s="1083" t="str">
        <f t="shared" si="232"/>
        <v>U</v>
      </c>
    </row>
    <row r="140" spans="1:54" ht="12" customHeight="1" x14ac:dyDescent="0.2">
      <c r="A140" s="440"/>
      <c r="B140" s="1043"/>
      <c r="C140" s="380"/>
      <c r="D140" s="1037"/>
      <c r="E140" s="1084">
        <f ca="1">IF(AX140="E","",AN140)</f>
        <v>0</v>
      </c>
      <c r="F140" s="1085"/>
      <c r="G140" s="1264"/>
      <c r="H140" s="1264"/>
      <c r="I140" s="1265"/>
      <c r="J140" s="638"/>
      <c r="K140" s="520" t="s">
        <v>180</v>
      </c>
      <c r="L140" s="552"/>
      <c r="M140" s="339"/>
      <c r="N140" s="528" t="s">
        <v>67</v>
      </c>
      <c r="O140" s="339"/>
      <c r="P140" s="543" t="s">
        <v>68</v>
      </c>
      <c r="Q140" s="344"/>
      <c r="R140" s="522" t="s">
        <v>363</v>
      </c>
      <c r="S140" s="353">
        <f t="shared" ca="1" si="218"/>
        <v>0</v>
      </c>
      <c r="T140" s="523"/>
      <c r="U140" s="350"/>
      <c r="V140" s="308"/>
      <c r="W140" s="1090" t="str">
        <f t="shared" ca="1" si="219"/>
        <v/>
      </c>
      <c r="X140" s="1103">
        <f t="shared" ca="1" si="220"/>
        <v>0</v>
      </c>
      <c r="Y140" s="1120">
        <f t="shared" ca="1" si="221"/>
        <v>0</v>
      </c>
      <c r="Z140" s="524"/>
      <c r="AA140" s="350"/>
      <c r="AB140" s="308"/>
      <c r="AC140" s="1090" t="str">
        <f t="shared" ca="1" si="222"/>
        <v/>
      </c>
      <c r="AD140" s="1103">
        <f t="shared" ca="1" si="223"/>
        <v>0</v>
      </c>
      <c r="AE140" s="1120">
        <f t="shared" ca="1" si="224"/>
        <v>0</v>
      </c>
      <c r="AF140" s="525"/>
      <c r="AG140" s="637"/>
      <c r="AH140" s="525"/>
      <c r="AI140" s="1086">
        <f t="shared" ca="1" si="225"/>
        <v>0</v>
      </c>
      <c r="AJ140" s="380"/>
      <c r="AK140" s="440"/>
      <c r="AM140" s="460">
        <v>140</v>
      </c>
      <c r="AN140" s="1087">
        <f t="shared" ca="1" si="226"/>
        <v>0</v>
      </c>
      <c r="AO140" s="1083">
        <f t="shared" ca="1" si="227"/>
        <v>0</v>
      </c>
      <c r="AP140" s="356">
        <f t="shared" ca="1" si="227"/>
        <v>0</v>
      </c>
      <c r="AQ140" s="357">
        <f t="shared" ca="1" si="227"/>
        <v>0</v>
      </c>
      <c r="AR140" s="524" t="str">
        <f t="shared" ca="1" si="227"/>
        <v/>
      </c>
      <c r="AS140" s="356">
        <f t="shared" ca="1" si="227"/>
        <v>0</v>
      </c>
      <c r="AT140" s="357">
        <f t="shared" ca="1" si="227"/>
        <v>0</v>
      </c>
      <c r="AU140" s="524" t="str">
        <f t="shared" ca="1" si="227"/>
        <v/>
      </c>
      <c r="AV140" s="1083">
        <f t="shared" ca="1" si="227"/>
        <v>0</v>
      </c>
      <c r="AX140" s="1083" t="str">
        <f t="shared" si="228"/>
        <v>U</v>
      </c>
      <c r="AY140" s="1083" t="str">
        <f t="shared" si="229"/>
        <v>U</v>
      </c>
      <c r="AZ140" s="1083" t="str">
        <f t="shared" si="230"/>
        <v>U</v>
      </c>
      <c r="BA140" s="1083" t="str">
        <f t="shared" si="231"/>
        <v>U</v>
      </c>
      <c r="BB140" s="1083" t="str">
        <f t="shared" si="232"/>
        <v>U</v>
      </c>
    </row>
    <row r="141" spans="1:54" ht="12" customHeight="1" x14ac:dyDescent="0.2">
      <c r="A141" s="440"/>
      <c r="B141" s="1043"/>
      <c r="C141" s="380"/>
      <c r="D141" s="1037"/>
      <c r="E141" s="1084">
        <f ca="1">IF(AX141="E","",AN141)</f>
        <v>0</v>
      </c>
      <c r="F141" s="1085"/>
      <c r="G141" s="1264"/>
      <c r="H141" s="1264"/>
      <c r="I141" s="1265"/>
      <c r="J141" s="638"/>
      <c r="K141" s="520" t="s">
        <v>180</v>
      </c>
      <c r="L141" s="552"/>
      <c r="M141" s="339"/>
      <c r="N141" s="528" t="s">
        <v>67</v>
      </c>
      <c r="O141" s="339"/>
      <c r="P141" s="543" t="s">
        <v>68</v>
      </c>
      <c r="Q141" s="344"/>
      <c r="R141" s="522" t="s">
        <v>363</v>
      </c>
      <c r="S141" s="353">
        <f t="shared" ca="1" si="218"/>
        <v>0</v>
      </c>
      <c r="T141" s="523"/>
      <c r="U141" s="350"/>
      <c r="V141" s="308"/>
      <c r="W141" s="1090" t="str">
        <f t="shared" ca="1" si="219"/>
        <v/>
      </c>
      <c r="X141" s="1103">
        <f t="shared" ca="1" si="220"/>
        <v>0</v>
      </c>
      <c r="Y141" s="1120">
        <f t="shared" ca="1" si="221"/>
        <v>0</v>
      </c>
      <c r="Z141" s="524"/>
      <c r="AA141" s="350"/>
      <c r="AB141" s="308"/>
      <c r="AC141" s="1090" t="str">
        <f t="shared" ca="1" si="222"/>
        <v/>
      </c>
      <c r="AD141" s="1103">
        <f t="shared" ca="1" si="223"/>
        <v>0</v>
      </c>
      <c r="AE141" s="1120">
        <f t="shared" ca="1" si="224"/>
        <v>0</v>
      </c>
      <c r="AF141" s="525"/>
      <c r="AG141" s="637"/>
      <c r="AH141" s="525"/>
      <c r="AI141" s="1086">
        <f t="shared" ca="1" si="225"/>
        <v>0</v>
      </c>
      <c r="AJ141" s="380"/>
      <c r="AK141" s="440"/>
      <c r="AM141" s="460">
        <v>141</v>
      </c>
      <c r="AN141" s="1087">
        <f t="shared" ca="1" si="226"/>
        <v>0</v>
      </c>
      <c r="AO141" s="1083">
        <f t="shared" ca="1" si="227"/>
        <v>0</v>
      </c>
      <c r="AP141" s="356">
        <f t="shared" ca="1" si="227"/>
        <v>0</v>
      </c>
      <c r="AQ141" s="357">
        <f t="shared" ca="1" si="227"/>
        <v>0</v>
      </c>
      <c r="AR141" s="524" t="str">
        <f t="shared" ca="1" si="227"/>
        <v/>
      </c>
      <c r="AS141" s="356">
        <f t="shared" ca="1" si="227"/>
        <v>0</v>
      </c>
      <c r="AT141" s="357">
        <f t="shared" ca="1" si="227"/>
        <v>0</v>
      </c>
      <c r="AU141" s="524" t="str">
        <f t="shared" ca="1" si="227"/>
        <v/>
      </c>
      <c r="AV141" s="1083">
        <f t="shared" ca="1" si="227"/>
        <v>0</v>
      </c>
      <c r="AX141" s="1083" t="str">
        <f t="shared" si="228"/>
        <v>U</v>
      </c>
      <c r="AY141" s="1083" t="str">
        <f t="shared" si="229"/>
        <v>U</v>
      </c>
      <c r="AZ141" s="1083" t="str">
        <f t="shared" si="230"/>
        <v>U</v>
      </c>
      <c r="BA141" s="1083" t="str">
        <f t="shared" si="231"/>
        <v>U</v>
      </c>
      <c r="BB141" s="1083" t="str">
        <f t="shared" si="232"/>
        <v>U</v>
      </c>
    </row>
    <row r="142" spans="1:54" ht="14.25" customHeight="1" collapsed="1" x14ac:dyDescent="0.25">
      <c r="A142" s="440"/>
      <c r="B142" s="1043"/>
      <c r="C142" s="1036" t="s">
        <v>39</v>
      </c>
      <c r="D142" s="494"/>
      <c r="E142" s="1596" t="s">
        <v>38</v>
      </c>
      <c r="F142" s="1596"/>
      <c r="G142" s="1596"/>
      <c r="H142" s="1596"/>
      <c r="I142" s="1597"/>
      <c r="J142" s="1038"/>
      <c r="K142" s="462"/>
      <c r="L142" s="462"/>
      <c r="M142" s="498"/>
      <c r="N142" s="359"/>
      <c r="O142" s="363"/>
      <c r="P142" s="363"/>
      <c r="Q142" s="363"/>
      <c r="R142" s="363"/>
      <c r="S142" s="355">
        <f ca="1">S143+S147+S151</f>
        <v>144762</v>
      </c>
      <c r="T142" s="363"/>
      <c r="U142" s="375"/>
      <c r="V142" s="358"/>
      <c r="W142" s="1091"/>
      <c r="X142" s="1114"/>
      <c r="Y142" s="1104"/>
      <c r="Z142" s="363"/>
      <c r="AA142" s="375"/>
      <c r="AB142" s="358"/>
      <c r="AC142" s="1091"/>
      <c r="AD142" s="1114"/>
      <c r="AE142" s="1104"/>
      <c r="AF142" s="358"/>
      <c r="AG142" s="358"/>
      <c r="AH142" s="358"/>
      <c r="AI142" s="358"/>
      <c r="AJ142" s="380"/>
      <c r="AK142" s="440"/>
      <c r="AM142" s="460">
        <v>142</v>
      </c>
      <c r="AN142" s="1078"/>
    </row>
    <row r="143" spans="1:54" ht="12" customHeight="1" x14ac:dyDescent="0.25">
      <c r="A143" s="440"/>
      <c r="B143" s="1043"/>
      <c r="C143" s="380"/>
      <c r="D143" s="1037" t="s">
        <v>37</v>
      </c>
      <c r="E143" s="1599" t="s">
        <v>36</v>
      </c>
      <c r="F143" s="1599"/>
      <c r="G143" s="1599"/>
      <c r="H143" s="1599"/>
      <c r="I143" s="1597"/>
      <c r="J143" s="1038"/>
      <c r="K143" s="462"/>
      <c r="L143" s="462"/>
      <c r="M143" s="498"/>
      <c r="N143" s="359"/>
      <c r="O143" s="363"/>
      <c r="P143" s="363"/>
      <c r="Q143" s="363"/>
      <c r="R143" s="363"/>
      <c r="S143" s="354">
        <f>SUBTOTAL(109,S145:S146)</f>
        <v>144762</v>
      </c>
      <c r="T143" s="363"/>
      <c r="U143" s="375"/>
      <c r="V143" s="358"/>
      <c r="W143" s="1091"/>
      <c r="X143" s="1114"/>
      <c r="Y143" s="1104"/>
      <c r="Z143" s="363"/>
      <c r="AA143" s="375"/>
      <c r="AB143" s="358"/>
      <c r="AC143" s="1091"/>
      <c r="AD143" s="1114"/>
      <c r="AE143" s="1104"/>
      <c r="AF143" s="358"/>
      <c r="AG143" s="358"/>
      <c r="AH143" s="358"/>
      <c r="AI143" s="358"/>
      <c r="AJ143" s="380"/>
      <c r="AK143" s="440"/>
      <c r="AM143" s="460">
        <v>143</v>
      </c>
      <c r="AN143" s="1078"/>
    </row>
    <row r="144" spans="1:54" ht="12" customHeight="1" x14ac:dyDescent="0.25">
      <c r="A144" s="440"/>
      <c r="B144" s="1043"/>
      <c r="C144" s="380"/>
      <c r="D144" s="1037"/>
      <c r="E144" s="1037"/>
      <c r="F144" s="1037"/>
      <c r="G144" s="1037"/>
      <c r="H144" s="1037"/>
      <c r="I144" s="1035"/>
      <c r="J144" s="1603"/>
      <c r="K144" s="1603"/>
      <c r="L144" s="462"/>
      <c r="M144" s="498"/>
      <c r="N144" s="359"/>
      <c r="O144" s="363"/>
      <c r="P144" s="363"/>
      <c r="Q144" s="363"/>
      <c r="R144" s="363"/>
      <c r="S144" s="354"/>
      <c r="T144" s="363"/>
      <c r="U144" s="375"/>
      <c r="V144" s="358"/>
      <c r="W144" s="1091"/>
      <c r="X144" s="1114"/>
      <c r="Y144" s="1104"/>
      <c r="Z144" s="363"/>
      <c r="AA144" s="375"/>
      <c r="AB144" s="358"/>
      <c r="AC144" s="1091"/>
      <c r="AD144" s="1114"/>
      <c r="AE144" s="1104"/>
      <c r="AF144" s="358"/>
      <c r="AG144" s="358"/>
      <c r="AH144" s="358"/>
      <c r="AI144" s="358"/>
      <c r="AJ144" s="380"/>
      <c r="AK144" s="440"/>
      <c r="AM144" s="460">
        <v>144</v>
      </c>
      <c r="AN144" s="1078"/>
    </row>
    <row r="145" spans="1:54" ht="12" customHeight="1" x14ac:dyDescent="0.2">
      <c r="A145" s="440"/>
      <c r="B145" s="1043"/>
      <c r="C145" s="380"/>
      <c r="D145" s="1037"/>
      <c r="E145" s="1084" t="str">
        <f>IF(AX145="E","",AN145)</f>
        <v/>
      </c>
      <c r="F145" s="1085" t="s">
        <v>870</v>
      </c>
      <c r="G145" s="1264"/>
      <c r="H145" s="1264"/>
      <c r="I145" s="1265"/>
      <c r="J145" s="638"/>
      <c r="K145" s="520"/>
      <c r="L145" s="521"/>
      <c r="M145" s="340"/>
      <c r="N145" s="553" t="s">
        <v>71</v>
      </c>
      <c r="O145" s="339"/>
      <c r="P145" s="524" t="s">
        <v>72</v>
      </c>
      <c r="Q145" s="344">
        <f>7500*1.2</f>
        <v>9000</v>
      </c>
      <c r="R145" s="522" t="s">
        <v>363</v>
      </c>
      <c r="S145" s="353">
        <f t="shared" ref="S145:S146" si="233">IF(AY145="E",(M145*O145)+Q145,AO145)</f>
        <v>9000</v>
      </c>
      <c r="T145" s="523"/>
      <c r="U145" s="350"/>
      <c r="V145" s="308"/>
      <c r="W145" s="1090" t="str">
        <f t="shared" ref="W145:W146" ca="1" si="234">IF(AZ145="E",IF(AND(V145&lt;&gt;0,U145&lt;&gt;0),"X",IF(AND(V145&lt;&gt;0,U145=0),"A",IF(AND(V145=0,U145&lt;&gt;0),"P",""))),AR145)</f>
        <v/>
      </c>
      <c r="X145" s="1103">
        <f t="shared" ref="X145:X146" ca="1" si="235">IF(AZ145="E",IFERROR(IF(W145="X",0,IF(U145&gt;0,U145,V145/S145)),0),
IFERROR(IF(OR(AR145="X",AR145=0),0,
IF(AR145="P",AP145,IF(AR145="A",AQ145/S145,0))),0))</f>
        <v>0</v>
      </c>
      <c r="Y145" s="1120">
        <f t="shared" ref="Y145:Y146" ca="1" si="236">IF(AZ145="E",IFERROR(IF(W145="X",0,IF(V145&gt;0,V145,S145*U145)),0),
IFERROR(IF(OR(AR145="X",AR145="0"),0,IF(AR145="A",AQ145,S145*AP145)),0))</f>
        <v>0</v>
      </c>
      <c r="Z145" s="524"/>
      <c r="AA145" s="350"/>
      <c r="AB145" s="308"/>
      <c r="AC145" s="1090" t="str">
        <f t="shared" ref="AC145:AC146" ca="1" si="237">IF(BA145="E",IF(AND(AB145&lt;&gt;0,AA145&lt;&gt;0),"X",IF(AND(AB145&lt;&gt;0,AA145=0),"A",IF(AND(AB145=0,AA145&lt;&gt;0),"P",""))),AU145)</f>
        <v/>
      </c>
      <c r="AD145" s="1103">
        <f t="shared" ref="AD145:AD146" ca="1" si="238">IF(BA145="E",IFERROR(IF(AC145="X",0,IF(AA145&gt;0,AA145,AB145/S145)),0),
IFERROR(IF(OR(AU145="X",AU145=0),0,
IF(AU145="P",AS145,IF(AU145="A",AT145/S145,0))),0))</f>
        <v>0</v>
      </c>
      <c r="AE145" s="1120">
        <f t="shared" ref="AE145:AE146" ca="1" si="239">IF(BA145="E",IFERROR(IF(AC145="X",0,IF(AB145&gt;0,AB145,S145*AA145)),0),
IFERROR(IF(OR(AU145="X",AU145=0),0,
IF(AU145="A",AT145,S145*AS145)),0))</f>
        <v>0</v>
      </c>
      <c r="AF145" s="525"/>
      <c r="AG145" s="637"/>
      <c r="AH145" s="525"/>
      <c r="AI145" s="1086">
        <f t="shared" ref="AI145:AI146" ca="1" si="240">IF(BB145="E",AG145,AV145)</f>
        <v>15</v>
      </c>
      <c r="AJ145" s="380"/>
      <c r="AK145" s="440"/>
      <c r="AM145" s="460">
        <v>145</v>
      </c>
      <c r="AN145" s="1087" t="str">
        <f t="shared" ref="AN145:AN146" ca="1" si="241">IF($M$13=$AN$12,"",IF(ISTEXT(INDIRECT("'"&amp;$AM$20&amp;"'!"&amp;AN$21&amp;$AM145)),INDIRECT("'"&amp;$AM$20&amp;"'!"&amp;AN$21&amp;$AM145),INDIRECT("'"&amp;$AM$20&amp;"'!"&amp;AN$22&amp;$AM145)))</f>
        <v>Abluft- Ventilatoren LD15</v>
      </c>
      <c r="AO145" s="1083">
        <f t="shared" ref="AO145:AV146" ca="1" si="242">IF($M$13=$AN$12,"",INDIRECT("'"&amp;$AM$20&amp;"'!"&amp;AO$21&amp;$AM145))</f>
        <v>6840</v>
      </c>
      <c r="AP145" s="356">
        <f t="shared" ca="1" si="242"/>
        <v>0</v>
      </c>
      <c r="AQ145" s="357">
        <f t="shared" ca="1" si="242"/>
        <v>0</v>
      </c>
      <c r="AR145" s="524" t="str">
        <f t="shared" ca="1" si="242"/>
        <v/>
      </c>
      <c r="AS145" s="356">
        <f t="shared" ca="1" si="242"/>
        <v>0</v>
      </c>
      <c r="AT145" s="357">
        <f t="shared" ca="1" si="242"/>
        <v>0</v>
      </c>
      <c r="AU145" s="524" t="str">
        <f t="shared" ca="1" si="242"/>
        <v/>
      </c>
      <c r="AV145" s="1083">
        <f t="shared" ca="1" si="242"/>
        <v>15</v>
      </c>
      <c r="AX145" s="1083" t="str">
        <f t="shared" ref="AX145:AX146" si="243">IF($M$13=$AN$12,"E",IF(ISTEXT(F145),"E","U"))</f>
        <v>E</v>
      </c>
      <c r="AY145" s="1083" t="str">
        <f t="shared" ref="AY145:AY146" si="244">IF($M$13=$AN$12,"E",IF(OR(ISNUMBER(M145),ISNUMBER(O145),ISNUMBER(Q145)),"E","U"))</f>
        <v>E</v>
      </c>
      <c r="AZ145" s="1083" t="str">
        <f t="shared" ref="AZ145:AZ146" si="245">IF($M$13=$AN$12,"E",IF(OR(ISNUMBER(U145),ISNUMBER(V145)),"E","U"))</f>
        <v>U</v>
      </c>
      <c r="BA145" s="1083" t="str">
        <f t="shared" ref="BA145:BA146" si="246">IF($M$13=$AN$12,"E",IF(OR(ISNUMBER(AA145),ISNUMBER(AB145)),"E","U"))</f>
        <v>U</v>
      </c>
      <c r="BB145" s="1083" t="str">
        <f t="shared" ref="BB145:BB146" si="247">IF($M$13=$AN$12,"E",IF(ISNUMBER(AG145),"E","U"))</f>
        <v>U</v>
      </c>
    </row>
    <row r="146" spans="1:54" ht="12" customHeight="1" x14ac:dyDescent="0.2">
      <c r="A146" s="440"/>
      <c r="B146" s="1043"/>
      <c r="C146" s="380"/>
      <c r="D146" s="1037"/>
      <c r="E146" s="1084" t="str">
        <f>IF(AX146="E","",AN146)</f>
        <v/>
      </c>
      <c r="F146" s="1085" t="s">
        <v>764</v>
      </c>
      <c r="G146" s="1264"/>
      <c r="H146" s="1264"/>
      <c r="I146" s="1265"/>
      <c r="J146" s="638"/>
      <c r="K146" s="520"/>
      <c r="L146" s="521"/>
      <c r="M146" s="340"/>
      <c r="N146" s="553" t="s">
        <v>71</v>
      </c>
      <c r="O146" s="339"/>
      <c r="P146" s="524" t="s">
        <v>72</v>
      </c>
      <c r="Q146" s="344">
        <f>113135*1.2</f>
        <v>135762</v>
      </c>
      <c r="R146" s="522" t="s">
        <v>363</v>
      </c>
      <c r="S146" s="353">
        <f t="shared" si="233"/>
        <v>135762</v>
      </c>
      <c r="T146" s="523"/>
      <c r="U146" s="350"/>
      <c r="V146" s="308"/>
      <c r="W146" s="1090" t="str">
        <f t="shared" ca="1" si="234"/>
        <v/>
      </c>
      <c r="X146" s="1103">
        <f t="shared" ca="1" si="235"/>
        <v>0</v>
      </c>
      <c r="Y146" s="1120">
        <f t="shared" ca="1" si="236"/>
        <v>0</v>
      </c>
      <c r="Z146" s="524"/>
      <c r="AA146" s="350"/>
      <c r="AB146" s="308">
        <v>2209</v>
      </c>
      <c r="AC146" s="1090" t="str">
        <f t="shared" si="237"/>
        <v>A</v>
      </c>
      <c r="AD146" s="1103">
        <f t="shared" si="238"/>
        <v>1.6271121521486132E-2</v>
      </c>
      <c r="AE146" s="1120">
        <f t="shared" si="239"/>
        <v>2209</v>
      </c>
      <c r="AF146" s="525"/>
      <c r="AG146" s="637"/>
      <c r="AH146" s="525"/>
      <c r="AI146" s="1086">
        <f t="shared" ca="1" si="240"/>
        <v>50</v>
      </c>
      <c r="AJ146" s="380"/>
      <c r="AK146" s="440"/>
      <c r="AM146" s="460">
        <v>146</v>
      </c>
      <c r="AN146" s="1087" t="str">
        <f t="shared" ca="1" si="241"/>
        <v>Abluft mit Zuluftnachströmung LD50</v>
      </c>
      <c r="AO146" s="1083">
        <f t="shared" ca="1" si="242"/>
        <v>44582.400000000001</v>
      </c>
      <c r="AP146" s="356">
        <f t="shared" ca="1" si="242"/>
        <v>0</v>
      </c>
      <c r="AQ146" s="357">
        <f t="shared" ca="1" si="242"/>
        <v>0</v>
      </c>
      <c r="AR146" s="524" t="str">
        <f t="shared" ca="1" si="242"/>
        <v/>
      </c>
      <c r="AS146" s="356">
        <f t="shared" ca="1" si="242"/>
        <v>3.117822279643985E-2</v>
      </c>
      <c r="AT146" s="357">
        <f t="shared" ca="1" si="242"/>
        <v>1390</v>
      </c>
      <c r="AU146" s="524" t="str">
        <f t="shared" ca="1" si="242"/>
        <v>A</v>
      </c>
      <c r="AV146" s="1083">
        <f t="shared" ca="1" si="242"/>
        <v>50</v>
      </c>
      <c r="AX146" s="1083" t="str">
        <f t="shared" si="243"/>
        <v>E</v>
      </c>
      <c r="AY146" s="1083" t="str">
        <f t="shared" si="244"/>
        <v>E</v>
      </c>
      <c r="AZ146" s="1083" t="str">
        <f t="shared" si="245"/>
        <v>U</v>
      </c>
      <c r="BA146" s="1083" t="str">
        <f t="shared" si="246"/>
        <v>E</v>
      </c>
      <c r="BB146" s="1083" t="str">
        <f t="shared" si="247"/>
        <v>U</v>
      </c>
    </row>
    <row r="147" spans="1:54" ht="12" customHeight="1" x14ac:dyDescent="0.25">
      <c r="A147" s="440"/>
      <c r="B147" s="1043"/>
      <c r="C147" s="380"/>
      <c r="D147" s="1037" t="s">
        <v>35</v>
      </c>
      <c r="E147" s="1599" t="s">
        <v>194</v>
      </c>
      <c r="F147" s="1599"/>
      <c r="G147" s="1599"/>
      <c r="H147" s="1599"/>
      <c r="I147" s="1597"/>
      <c r="J147" s="1038"/>
      <c r="K147" s="462"/>
      <c r="L147" s="462"/>
      <c r="M147" s="498"/>
      <c r="N147" s="359"/>
      <c r="O147" s="365"/>
      <c r="P147" s="363"/>
      <c r="Q147" s="363"/>
      <c r="R147" s="363"/>
      <c r="S147" s="354">
        <f ca="1">SUBTOTAL(109,S149:S150)</f>
        <v>0</v>
      </c>
      <c r="T147" s="363"/>
      <c r="U147" s="376"/>
      <c r="V147" s="365"/>
      <c r="W147" s="1093"/>
      <c r="X147" s="1115"/>
      <c r="Y147" s="1122"/>
      <c r="Z147" s="363"/>
      <c r="AA147" s="376"/>
      <c r="AB147" s="365"/>
      <c r="AC147" s="1093"/>
      <c r="AD147" s="1115"/>
      <c r="AE147" s="1122"/>
      <c r="AF147" s="363"/>
      <c r="AG147" s="363"/>
      <c r="AH147" s="363"/>
      <c r="AI147" s="358"/>
      <c r="AJ147" s="380"/>
      <c r="AK147" s="440"/>
      <c r="AM147" s="460">
        <v>147</v>
      </c>
      <c r="AN147" s="1078"/>
    </row>
    <row r="148" spans="1:54" ht="12" customHeight="1" x14ac:dyDescent="0.25">
      <c r="A148" s="440"/>
      <c r="B148" s="1043"/>
      <c r="C148" s="380"/>
      <c r="D148" s="1037"/>
      <c r="E148" s="1037"/>
      <c r="F148" s="1037"/>
      <c r="G148" s="1037"/>
      <c r="H148" s="1037"/>
      <c r="I148" s="1035"/>
      <c r="J148" s="1603"/>
      <c r="K148" s="1603"/>
      <c r="L148" s="462"/>
      <c r="M148" s="498"/>
      <c r="N148" s="359"/>
      <c r="O148" s="365"/>
      <c r="P148" s="363"/>
      <c r="Q148" s="363"/>
      <c r="R148" s="363"/>
      <c r="S148" s="354"/>
      <c r="T148" s="363"/>
      <c r="U148" s="376"/>
      <c r="V148" s="365"/>
      <c r="W148" s="1093"/>
      <c r="X148" s="1115"/>
      <c r="Y148" s="1122"/>
      <c r="Z148" s="363"/>
      <c r="AA148" s="376"/>
      <c r="AB148" s="365"/>
      <c r="AC148" s="1093"/>
      <c r="AD148" s="1115"/>
      <c r="AE148" s="1122"/>
      <c r="AF148" s="363"/>
      <c r="AG148" s="363"/>
      <c r="AH148" s="363"/>
      <c r="AI148" s="358"/>
      <c r="AJ148" s="380"/>
      <c r="AK148" s="440"/>
      <c r="AM148" s="460">
        <v>148</v>
      </c>
      <c r="AN148" s="1078"/>
    </row>
    <row r="149" spans="1:54" ht="12" customHeight="1" x14ac:dyDescent="0.2">
      <c r="A149" s="440"/>
      <c r="B149" s="1043"/>
      <c r="C149" s="554"/>
      <c r="D149" s="1037"/>
      <c r="E149" s="1084">
        <f ca="1">IF(AX149="E","",AN149)</f>
        <v>0</v>
      </c>
      <c r="F149" s="1085"/>
      <c r="G149" s="1264"/>
      <c r="H149" s="1264"/>
      <c r="I149" s="1265"/>
      <c r="J149" s="638"/>
      <c r="K149" s="520"/>
      <c r="L149" s="521"/>
      <c r="M149" s="340"/>
      <c r="N149" s="553" t="s">
        <v>71</v>
      </c>
      <c r="O149" s="339"/>
      <c r="P149" s="524" t="s">
        <v>72</v>
      </c>
      <c r="Q149" s="344"/>
      <c r="R149" s="522" t="s">
        <v>363</v>
      </c>
      <c r="S149" s="353">
        <f t="shared" ref="S149:S150" ca="1" si="248">IF(AY149="E",(M149*O149)+Q149,AO149)</f>
        <v>0</v>
      </c>
      <c r="T149" s="523"/>
      <c r="U149" s="350"/>
      <c r="V149" s="308"/>
      <c r="W149" s="1090" t="str">
        <f t="shared" ref="W149:W150" ca="1" si="249">IF(AZ149="E",IF(AND(V149&lt;&gt;0,U149&lt;&gt;0),"X",IF(AND(V149&lt;&gt;0,U149=0),"A",IF(AND(V149=0,U149&lt;&gt;0),"P",""))),AR149)</f>
        <v/>
      </c>
      <c r="X149" s="1103">
        <f t="shared" ref="X149:X150" ca="1" si="250">IF(AZ149="E",IFERROR(IF(W149="X",0,IF(U149&gt;0,U149,V149/S149)),0),
IFERROR(IF(OR(AR149="X",AR149=0),0,
IF(AR149="P",AP149,IF(AR149="A",AQ149/S149,0))),0))</f>
        <v>0</v>
      </c>
      <c r="Y149" s="1120">
        <f t="shared" ref="Y149:Y150" ca="1" si="251">IF(AZ149="E",IFERROR(IF(W149="X",0,IF(V149&gt;0,V149,S149*U149)),0),
IFERROR(IF(OR(AR149="X",AR149="0"),0,IF(AR149="A",AQ149,S149*AP149)),0))</f>
        <v>0</v>
      </c>
      <c r="Z149" s="524"/>
      <c r="AA149" s="350"/>
      <c r="AB149" s="308"/>
      <c r="AC149" s="1090" t="str">
        <f t="shared" ref="AC149:AC150" ca="1" si="252">IF(BA149="E",IF(AND(AB149&lt;&gt;0,AA149&lt;&gt;0),"X",IF(AND(AB149&lt;&gt;0,AA149=0),"A",IF(AND(AB149=0,AA149&lt;&gt;0),"P",""))),AU149)</f>
        <v/>
      </c>
      <c r="AD149" s="1103">
        <f t="shared" ref="AD149:AD150" ca="1" si="253">IF(BA149="E",IFERROR(IF(AC149="X",0,IF(AA149&gt;0,AA149,AB149/S149)),0),
IFERROR(IF(OR(AU149="X",AU149=0),0,
IF(AU149="P",AS149,IF(AU149="A",AT149/S149,0))),0))</f>
        <v>0</v>
      </c>
      <c r="AE149" s="1120">
        <f t="shared" ref="AE149:AE150" ca="1" si="254">IF(BA149="E",IFERROR(IF(AC149="X",0,IF(AB149&gt;0,AB149,S149*AA149)),0),
IFERROR(IF(OR(AU149="X",AU149=0),0,
IF(AU149="A",AT149,S149*AS149)),0))</f>
        <v>0</v>
      </c>
      <c r="AF149" s="525"/>
      <c r="AG149" s="637"/>
      <c r="AH149" s="525"/>
      <c r="AI149" s="1086">
        <f t="shared" ref="AI149:AI150" ca="1" si="255">IF(BB149="E",AG149,AV149)</f>
        <v>0</v>
      </c>
      <c r="AJ149" s="380"/>
      <c r="AK149" s="440"/>
      <c r="AM149" s="460">
        <v>149</v>
      </c>
      <c r="AN149" s="1087">
        <f t="shared" ref="AN149:AN150" ca="1" si="256">IF($M$13=$AN$12,"",IF(ISTEXT(INDIRECT("'"&amp;$AM$20&amp;"'!"&amp;AN$21&amp;$AM149)),INDIRECT("'"&amp;$AM$20&amp;"'!"&amp;AN$21&amp;$AM149),INDIRECT("'"&amp;$AM$20&amp;"'!"&amp;AN$22&amp;$AM149)))</f>
        <v>0</v>
      </c>
      <c r="AO149" s="1083">
        <f t="shared" ref="AO149:AV150" ca="1" si="257">IF($M$13=$AN$12,"",INDIRECT("'"&amp;$AM$20&amp;"'!"&amp;AO$21&amp;$AM149))</f>
        <v>0</v>
      </c>
      <c r="AP149" s="356">
        <f t="shared" ca="1" si="257"/>
        <v>0</v>
      </c>
      <c r="AQ149" s="357">
        <f t="shared" ca="1" si="257"/>
        <v>0</v>
      </c>
      <c r="AR149" s="524" t="str">
        <f t="shared" ca="1" si="257"/>
        <v/>
      </c>
      <c r="AS149" s="356">
        <f t="shared" ca="1" si="257"/>
        <v>0</v>
      </c>
      <c r="AT149" s="357">
        <f t="shared" ca="1" si="257"/>
        <v>0</v>
      </c>
      <c r="AU149" s="524" t="str">
        <f t="shared" ca="1" si="257"/>
        <v/>
      </c>
      <c r="AV149" s="1083">
        <f t="shared" ca="1" si="257"/>
        <v>0</v>
      </c>
      <c r="AX149" s="1083" t="str">
        <f t="shared" ref="AX149:AX150" si="258">IF($M$13=$AN$12,"E",IF(ISTEXT(F149),"E","U"))</f>
        <v>U</v>
      </c>
      <c r="AY149" s="1083" t="str">
        <f t="shared" ref="AY149:AY150" si="259">IF($M$13=$AN$12,"E",IF(OR(ISNUMBER(M149),ISNUMBER(O149),ISNUMBER(Q149)),"E","U"))</f>
        <v>U</v>
      </c>
      <c r="AZ149" s="1083" t="str">
        <f t="shared" ref="AZ149:AZ150" si="260">IF($M$13=$AN$12,"E",IF(OR(ISNUMBER(U149),ISNUMBER(V149)),"E","U"))</f>
        <v>U</v>
      </c>
      <c r="BA149" s="1083" t="str">
        <f t="shared" ref="BA149:BA150" si="261">IF($M$13=$AN$12,"E",IF(OR(ISNUMBER(AA149),ISNUMBER(AB149)),"E","U"))</f>
        <v>U</v>
      </c>
      <c r="BB149" s="1083" t="str">
        <f t="shared" ref="BB149:BB150" si="262">IF($M$13=$AN$12,"E",IF(ISNUMBER(AG149),"E","U"))</f>
        <v>U</v>
      </c>
    </row>
    <row r="150" spans="1:54" ht="12" customHeight="1" x14ac:dyDescent="0.2">
      <c r="A150" s="440"/>
      <c r="B150" s="1043"/>
      <c r="C150" s="554"/>
      <c r="D150" s="1037"/>
      <c r="E150" s="1084">
        <f ca="1">IF(AX150="E","",AN150)</f>
        <v>0</v>
      </c>
      <c r="F150" s="1085"/>
      <c r="G150" s="1264"/>
      <c r="H150" s="1264"/>
      <c r="I150" s="1265"/>
      <c r="J150" s="638"/>
      <c r="K150" s="520"/>
      <c r="L150" s="521"/>
      <c r="M150" s="340"/>
      <c r="N150" s="553" t="s">
        <v>71</v>
      </c>
      <c r="O150" s="339"/>
      <c r="P150" s="524" t="s">
        <v>72</v>
      </c>
      <c r="Q150" s="344"/>
      <c r="R150" s="522" t="s">
        <v>363</v>
      </c>
      <c r="S150" s="353">
        <f t="shared" ca="1" si="248"/>
        <v>0</v>
      </c>
      <c r="T150" s="523"/>
      <c r="U150" s="350"/>
      <c r="V150" s="308"/>
      <c r="W150" s="1090" t="str">
        <f t="shared" ca="1" si="249"/>
        <v/>
      </c>
      <c r="X150" s="1103">
        <f t="shared" ca="1" si="250"/>
        <v>0</v>
      </c>
      <c r="Y150" s="1120">
        <f t="shared" ca="1" si="251"/>
        <v>0</v>
      </c>
      <c r="Z150" s="524"/>
      <c r="AA150" s="350"/>
      <c r="AB150" s="308"/>
      <c r="AC150" s="1090" t="str">
        <f t="shared" ca="1" si="252"/>
        <v/>
      </c>
      <c r="AD150" s="1103">
        <f t="shared" ca="1" si="253"/>
        <v>0</v>
      </c>
      <c r="AE150" s="1120">
        <f t="shared" ca="1" si="254"/>
        <v>0</v>
      </c>
      <c r="AF150" s="525"/>
      <c r="AG150" s="637"/>
      <c r="AH150" s="525"/>
      <c r="AI150" s="1086">
        <f t="shared" ca="1" si="255"/>
        <v>0</v>
      </c>
      <c r="AJ150" s="380"/>
      <c r="AK150" s="440"/>
      <c r="AM150" s="460">
        <v>150</v>
      </c>
      <c r="AN150" s="1087">
        <f t="shared" ca="1" si="256"/>
        <v>0</v>
      </c>
      <c r="AO150" s="1083">
        <f t="shared" ca="1" si="257"/>
        <v>0</v>
      </c>
      <c r="AP150" s="356">
        <f t="shared" ca="1" si="257"/>
        <v>0</v>
      </c>
      <c r="AQ150" s="357">
        <f t="shared" ca="1" si="257"/>
        <v>0</v>
      </c>
      <c r="AR150" s="524" t="str">
        <f t="shared" ca="1" si="257"/>
        <v/>
      </c>
      <c r="AS150" s="356">
        <f t="shared" ca="1" si="257"/>
        <v>0</v>
      </c>
      <c r="AT150" s="357">
        <f t="shared" ca="1" si="257"/>
        <v>0</v>
      </c>
      <c r="AU150" s="524" t="str">
        <f t="shared" ca="1" si="257"/>
        <v/>
      </c>
      <c r="AV150" s="1083">
        <f t="shared" ca="1" si="257"/>
        <v>0</v>
      </c>
      <c r="AX150" s="1083" t="str">
        <f t="shared" si="258"/>
        <v>U</v>
      </c>
      <c r="AY150" s="1083" t="str">
        <f t="shared" si="259"/>
        <v>U</v>
      </c>
      <c r="AZ150" s="1083" t="str">
        <f t="shared" si="260"/>
        <v>U</v>
      </c>
      <c r="BA150" s="1083" t="str">
        <f t="shared" si="261"/>
        <v>U</v>
      </c>
      <c r="BB150" s="1083" t="str">
        <f t="shared" si="262"/>
        <v>U</v>
      </c>
    </row>
    <row r="151" spans="1:54" ht="12" customHeight="1" x14ac:dyDescent="0.2">
      <c r="A151" s="440"/>
      <c r="B151" s="1043"/>
      <c r="C151" s="554"/>
      <c r="D151" s="1037" t="s">
        <v>327</v>
      </c>
      <c r="E151" s="1607" t="s">
        <v>307</v>
      </c>
      <c r="F151" s="1607"/>
      <c r="G151" s="1607"/>
      <c r="H151" s="1607"/>
      <c r="I151" s="1607"/>
      <c r="J151" s="519"/>
      <c r="K151" s="503"/>
      <c r="L151" s="503"/>
      <c r="M151" s="498"/>
      <c r="N151" s="359"/>
      <c r="O151" s="365"/>
      <c r="P151" s="363"/>
      <c r="Q151" s="363"/>
      <c r="R151" s="363"/>
      <c r="S151" s="354">
        <f ca="1">SUBTOTAL(109,S153:S154)</f>
        <v>0</v>
      </c>
      <c r="T151" s="363"/>
      <c r="U151" s="376"/>
      <c r="V151" s="365"/>
      <c r="W151" s="1093"/>
      <c r="X151" s="1115"/>
      <c r="Y151" s="1122"/>
      <c r="Z151" s="363"/>
      <c r="AA151" s="376"/>
      <c r="AB151" s="365"/>
      <c r="AC151" s="1093"/>
      <c r="AD151" s="1115"/>
      <c r="AE151" s="1122"/>
      <c r="AF151" s="363"/>
      <c r="AG151" s="363"/>
      <c r="AH151" s="363"/>
      <c r="AI151" s="358"/>
      <c r="AJ151" s="380"/>
      <c r="AK151" s="440"/>
      <c r="AM151" s="460">
        <v>151</v>
      </c>
      <c r="AN151" s="1078"/>
    </row>
    <row r="152" spans="1:54" ht="12" customHeight="1" x14ac:dyDescent="0.2">
      <c r="A152" s="440"/>
      <c r="B152" s="1043"/>
      <c r="C152" s="554"/>
      <c r="D152" s="1037"/>
      <c r="E152" s="1040"/>
      <c r="F152" s="1040"/>
      <c r="G152" s="1040"/>
      <c r="H152" s="1040"/>
      <c r="I152" s="1040"/>
      <c r="J152" s="1603"/>
      <c r="K152" s="1603"/>
      <c r="L152" s="503"/>
      <c r="M152" s="498"/>
      <c r="N152" s="359"/>
      <c r="O152" s="365"/>
      <c r="P152" s="363"/>
      <c r="Q152" s="363"/>
      <c r="R152" s="363"/>
      <c r="S152" s="354"/>
      <c r="T152" s="363"/>
      <c r="U152" s="376"/>
      <c r="V152" s="365"/>
      <c r="W152" s="1093"/>
      <c r="X152" s="1115"/>
      <c r="Y152" s="1122"/>
      <c r="Z152" s="363"/>
      <c r="AA152" s="376"/>
      <c r="AB152" s="365"/>
      <c r="AC152" s="1093"/>
      <c r="AD152" s="1115"/>
      <c r="AE152" s="1122"/>
      <c r="AF152" s="363"/>
      <c r="AG152" s="363"/>
      <c r="AH152" s="363"/>
      <c r="AI152" s="358"/>
      <c r="AJ152" s="380"/>
      <c r="AK152" s="440"/>
      <c r="AM152" s="460">
        <v>152</v>
      </c>
      <c r="AN152" s="1078"/>
    </row>
    <row r="153" spans="1:54" ht="12" customHeight="1" x14ac:dyDescent="0.2">
      <c r="A153" s="440"/>
      <c r="B153" s="1043"/>
      <c r="C153" s="554"/>
      <c r="D153" s="1037"/>
      <c r="E153" s="1084">
        <f ca="1">IF(AX153="E","",AN153)</f>
        <v>0</v>
      </c>
      <c r="F153" s="1085"/>
      <c r="G153" s="1264"/>
      <c r="H153" s="1264"/>
      <c r="I153" s="1265"/>
      <c r="J153" s="638"/>
      <c r="K153" s="520"/>
      <c r="L153" s="521"/>
      <c r="M153" s="340"/>
      <c r="N153" s="553" t="s">
        <v>71</v>
      </c>
      <c r="O153" s="339"/>
      <c r="P153" s="524" t="s">
        <v>72</v>
      </c>
      <c r="Q153" s="344"/>
      <c r="R153" s="522" t="s">
        <v>363</v>
      </c>
      <c r="S153" s="353">
        <f t="shared" ref="S153:S154" ca="1" si="263">IF(AY153="E",(M153*O153)+Q153,AO153)</f>
        <v>0</v>
      </c>
      <c r="T153" s="523"/>
      <c r="U153" s="350"/>
      <c r="V153" s="308"/>
      <c r="W153" s="1090" t="str">
        <f t="shared" ref="W153:W154" ca="1" si="264">IF(AZ153="E",IF(AND(V153&lt;&gt;0,U153&lt;&gt;0),"X",IF(AND(V153&lt;&gt;0,U153=0),"A",IF(AND(V153=0,U153&lt;&gt;0),"P",""))),AR153)</f>
        <v/>
      </c>
      <c r="X153" s="1103">
        <f t="shared" ref="X153:X154" ca="1" si="265">IF(AZ153="E",IFERROR(IF(W153="X",0,IF(U153&gt;0,U153,V153/S153)),0),
IFERROR(IF(OR(AR153="X",AR153=0),0,
IF(AR153="P",AP153,IF(AR153="A",AQ153/S153,0))),0))</f>
        <v>0</v>
      </c>
      <c r="Y153" s="1120">
        <f t="shared" ref="Y153:Y154" ca="1" si="266">IF(AZ153="E",IFERROR(IF(W153="X",0,IF(V153&gt;0,V153,S153*U153)),0),
IFERROR(IF(OR(AR153="X",AR153="0"),0,IF(AR153="A",AQ153,S153*AP153)),0))</f>
        <v>0</v>
      </c>
      <c r="Z153" s="524"/>
      <c r="AA153" s="350"/>
      <c r="AB153" s="308"/>
      <c r="AC153" s="1090" t="str">
        <f t="shared" ref="AC153:AC154" ca="1" si="267">IF(BA153="E",IF(AND(AB153&lt;&gt;0,AA153&lt;&gt;0),"X",IF(AND(AB153&lt;&gt;0,AA153=0),"A",IF(AND(AB153=0,AA153&lt;&gt;0),"P",""))),AU153)</f>
        <v/>
      </c>
      <c r="AD153" s="1103">
        <f t="shared" ref="AD153:AD154" ca="1" si="268">IF(BA153="E",IFERROR(IF(AC153="X",0,IF(AA153&gt;0,AA153,AB153/S153)),0),
IFERROR(IF(OR(AU153="X",AU153=0),0,
IF(AU153="P",AS153,IF(AU153="A",AT153/S153,0))),0))</f>
        <v>0</v>
      </c>
      <c r="AE153" s="1120">
        <f t="shared" ref="AE153:AE154" ca="1" si="269">IF(BA153="E",IFERROR(IF(AC153="X",0,IF(AB153&gt;0,AB153,S153*AA153)),0),
IFERROR(IF(OR(AU153="X",AU153=0),0,
IF(AU153="A",AT153,S153*AS153)),0))</f>
        <v>0</v>
      </c>
      <c r="AF153" s="525"/>
      <c r="AG153" s="637"/>
      <c r="AH153" s="525"/>
      <c r="AI153" s="1086">
        <f t="shared" ref="AI153:AI154" ca="1" si="270">IF(BB153="E",AG153,AV153)</f>
        <v>0</v>
      </c>
      <c r="AJ153" s="380"/>
      <c r="AK153" s="440"/>
      <c r="AM153" s="460">
        <v>153</v>
      </c>
      <c r="AN153" s="1087">
        <f t="shared" ref="AN153:AN154" ca="1" si="271">IF($M$13=$AN$12,"",IF(ISTEXT(INDIRECT("'"&amp;$AM$20&amp;"'!"&amp;AN$21&amp;$AM153)),INDIRECT("'"&amp;$AM$20&amp;"'!"&amp;AN$21&amp;$AM153),INDIRECT("'"&amp;$AM$20&amp;"'!"&amp;AN$22&amp;$AM153)))</f>
        <v>0</v>
      </c>
      <c r="AO153" s="1083">
        <f t="shared" ref="AO153:AV154" ca="1" si="272">IF($M$13=$AN$12,"",INDIRECT("'"&amp;$AM$20&amp;"'!"&amp;AO$21&amp;$AM153))</f>
        <v>0</v>
      </c>
      <c r="AP153" s="356">
        <f t="shared" ca="1" si="272"/>
        <v>0</v>
      </c>
      <c r="AQ153" s="357">
        <f t="shared" ca="1" si="272"/>
        <v>0</v>
      </c>
      <c r="AR153" s="524" t="str">
        <f t="shared" ca="1" si="272"/>
        <v/>
      </c>
      <c r="AS153" s="356">
        <f t="shared" ca="1" si="272"/>
        <v>0</v>
      </c>
      <c r="AT153" s="357">
        <f t="shared" ca="1" si="272"/>
        <v>0</v>
      </c>
      <c r="AU153" s="524" t="str">
        <f t="shared" ca="1" si="272"/>
        <v/>
      </c>
      <c r="AV153" s="1083">
        <f t="shared" ca="1" si="272"/>
        <v>0</v>
      </c>
      <c r="AX153" s="1083" t="str">
        <f t="shared" ref="AX153:AX154" si="273">IF($M$13=$AN$12,"E",IF(ISTEXT(F153),"E","U"))</f>
        <v>U</v>
      </c>
      <c r="AY153" s="1083" t="str">
        <f t="shared" ref="AY153:AY154" si="274">IF($M$13=$AN$12,"E",IF(OR(ISNUMBER(M153),ISNUMBER(O153),ISNUMBER(Q153)),"E","U"))</f>
        <v>U</v>
      </c>
      <c r="AZ153" s="1083" t="str">
        <f t="shared" ref="AZ153:AZ154" si="275">IF($M$13=$AN$12,"E",IF(OR(ISNUMBER(U153),ISNUMBER(V153)),"E","U"))</f>
        <v>U</v>
      </c>
      <c r="BA153" s="1083" t="str">
        <f t="shared" ref="BA153:BA154" si="276">IF($M$13=$AN$12,"E",IF(OR(ISNUMBER(AA153),ISNUMBER(AB153)),"E","U"))</f>
        <v>U</v>
      </c>
      <c r="BB153" s="1083" t="str">
        <f t="shared" ref="BB153:BB154" si="277">IF($M$13=$AN$12,"E",IF(ISNUMBER(AG153),"E","U"))</f>
        <v>U</v>
      </c>
    </row>
    <row r="154" spans="1:54" ht="12" customHeight="1" x14ac:dyDescent="0.2">
      <c r="A154" s="440"/>
      <c r="B154" s="1043"/>
      <c r="C154" s="554"/>
      <c r="D154" s="1037"/>
      <c r="E154" s="1084">
        <f ca="1">IF(AX154="E","",AN154)</f>
        <v>0</v>
      </c>
      <c r="F154" s="1085"/>
      <c r="G154" s="1264"/>
      <c r="H154" s="1264"/>
      <c r="I154" s="1265"/>
      <c r="J154" s="638"/>
      <c r="K154" s="520"/>
      <c r="L154" s="521"/>
      <c r="M154" s="340"/>
      <c r="N154" s="553" t="s">
        <v>71</v>
      </c>
      <c r="O154" s="339"/>
      <c r="P154" s="524" t="s">
        <v>72</v>
      </c>
      <c r="Q154" s="344"/>
      <c r="R154" s="522" t="s">
        <v>363</v>
      </c>
      <c r="S154" s="353">
        <f t="shared" ca="1" si="263"/>
        <v>0</v>
      </c>
      <c r="T154" s="523"/>
      <c r="U154" s="350"/>
      <c r="V154" s="308"/>
      <c r="W154" s="1090" t="str">
        <f t="shared" ca="1" si="264"/>
        <v/>
      </c>
      <c r="X154" s="1103">
        <f t="shared" ca="1" si="265"/>
        <v>0</v>
      </c>
      <c r="Y154" s="1120">
        <f t="shared" ca="1" si="266"/>
        <v>0</v>
      </c>
      <c r="Z154" s="524"/>
      <c r="AA154" s="350"/>
      <c r="AB154" s="308"/>
      <c r="AC154" s="1090" t="str">
        <f t="shared" ca="1" si="267"/>
        <v/>
      </c>
      <c r="AD154" s="1103">
        <f t="shared" ca="1" si="268"/>
        <v>0</v>
      </c>
      <c r="AE154" s="1120">
        <f t="shared" ca="1" si="269"/>
        <v>0</v>
      </c>
      <c r="AF154" s="525"/>
      <c r="AG154" s="637"/>
      <c r="AH154" s="525"/>
      <c r="AI154" s="1086">
        <f t="shared" ca="1" si="270"/>
        <v>0</v>
      </c>
      <c r="AJ154" s="380"/>
      <c r="AK154" s="440"/>
      <c r="AM154" s="460">
        <v>154</v>
      </c>
      <c r="AN154" s="1087">
        <f t="shared" ca="1" si="271"/>
        <v>0</v>
      </c>
      <c r="AO154" s="1083">
        <f t="shared" ca="1" si="272"/>
        <v>0</v>
      </c>
      <c r="AP154" s="356">
        <f t="shared" ca="1" si="272"/>
        <v>0</v>
      </c>
      <c r="AQ154" s="357">
        <f t="shared" ca="1" si="272"/>
        <v>0</v>
      </c>
      <c r="AR154" s="524" t="str">
        <f t="shared" ca="1" si="272"/>
        <v/>
      </c>
      <c r="AS154" s="356">
        <f t="shared" ca="1" si="272"/>
        <v>0</v>
      </c>
      <c r="AT154" s="357">
        <f t="shared" ca="1" si="272"/>
        <v>0</v>
      </c>
      <c r="AU154" s="524" t="str">
        <f t="shared" ca="1" si="272"/>
        <v/>
      </c>
      <c r="AV154" s="1083">
        <f t="shared" ca="1" si="272"/>
        <v>0</v>
      </c>
      <c r="AX154" s="1083" t="str">
        <f t="shared" si="273"/>
        <v>U</v>
      </c>
      <c r="AY154" s="1083" t="str">
        <f t="shared" si="274"/>
        <v>U</v>
      </c>
      <c r="AZ154" s="1083" t="str">
        <f t="shared" si="275"/>
        <v>U</v>
      </c>
      <c r="BA154" s="1083" t="str">
        <f t="shared" si="276"/>
        <v>U</v>
      </c>
      <c r="BB154" s="1083" t="str">
        <f t="shared" si="277"/>
        <v>U</v>
      </c>
    </row>
    <row r="155" spans="1:54" ht="14.25" customHeight="1" collapsed="1" x14ac:dyDescent="0.25">
      <c r="A155" s="440"/>
      <c r="B155" s="1043"/>
      <c r="C155" s="1036" t="s">
        <v>34</v>
      </c>
      <c r="D155" s="494"/>
      <c r="E155" s="1596" t="s">
        <v>33</v>
      </c>
      <c r="F155" s="1596"/>
      <c r="G155" s="1596"/>
      <c r="H155" s="1596"/>
      <c r="I155" s="1597"/>
      <c r="J155" s="1038"/>
      <c r="K155" s="462"/>
      <c r="L155" s="462"/>
      <c r="M155" s="498"/>
      <c r="N155" s="359"/>
      <c r="O155" s="365"/>
      <c r="P155" s="363"/>
      <c r="Q155" s="363"/>
      <c r="R155" s="363"/>
      <c r="S155" s="355">
        <f ca="1">S156+S163</f>
        <v>0</v>
      </c>
      <c r="T155" s="363"/>
      <c r="U155" s="375"/>
      <c r="V155" s="361"/>
      <c r="W155" s="1091"/>
      <c r="X155" s="1114"/>
      <c r="Y155" s="1121"/>
      <c r="Z155" s="363"/>
      <c r="AA155" s="375"/>
      <c r="AB155" s="361"/>
      <c r="AC155" s="1091"/>
      <c r="AD155" s="1114"/>
      <c r="AE155" s="1121"/>
      <c r="AF155" s="358"/>
      <c r="AG155" s="358"/>
      <c r="AH155" s="358"/>
      <c r="AI155" s="358"/>
      <c r="AJ155" s="380"/>
      <c r="AK155" s="440"/>
      <c r="AM155" s="460">
        <v>155</v>
      </c>
      <c r="AN155" s="1078"/>
    </row>
    <row r="156" spans="1:54" ht="12" customHeight="1" x14ac:dyDescent="0.25">
      <c r="A156" s="440"/>
      <c r="B156" s="1043"/>
      <c r="C156" s="380"/>
      <c r="D156" s="1037" t="s">
        <v>32</v>
      </c>
      <c r="E156" s="1599" t="s">
        <v>31</v>
      </c>
      <c r="F156" s="1599"/>
      <c r="G156" s="1599"/>
      <c r="H156" s="1599"/>
      <c r="I156" s="1597"/>
      <c r="J156" s="1038"/>
      <c r="K156" s="462"/>
      <c r="L156" s="462"/>
      <c r="M156" s="498"/>
      <c r="N156" s="359"/>
      <c r="O156" s="365"/>
      <c r="P156" s="363"/>
      <c r="Q156" s="363"/>
      <c r="R156" s="363"/>
      <c r="S156" s="354">
        <f ca="1">SUBTOTAL(109,S158:S161)</f>
        <v>0</v>
      </c>
      <c r="T156" s="363"/>
      <c r="U156" s="375"/>
      <c r="V156" s="361"/>
      <c r="W156" s="1091"/>
      <c r="X156" s="1114"/>
      <c r="Y156" s="1121"/>
      <c r="Z156" s="363"/>
      <c r="AA156" s="375"/>
      <c r="AB156" s="361"/>
      <c r="AC156" s="1091"/>
      <c r="AD156" s="1114"/>
      <c r="AE156" s="1121"/>
      <c r="AF156" s="358"/>
      <c r="AG156" s="358"/>
      <c r="AH156" s="358"/>
      <c r="AI156" s="358"/>
      <c r="AJ156" s="380"/>
      <c r="AK156" s="440"/>
      <c r="AM156" s="460">
        <v>156</v>
      </c>
      <c r="AN156" s="1078"/>
    </row>
    <row r="157" spans="1:54" ht="12" customHeight="1" x14ac:dyDescent="0.25">
      <c r="A157" s="440"/>
      <c r="B157" s="1043"/>
      <c r="C157" s="380"/>
      <c r="D157" s="1037"/>
      <c r="E157" s="1037"/>
      <c r="F157" s="1037"/>
      <c r="G157" s="1037"/>
      <c r="H157" s="1037"/>
      <c r="I157" s="1035"/>
      <c r="J157" s="1603" t="s">
        <v>188</v>
      </c>
      <c r="K157" s="1603"/>
      <c r="L157" s="462"/>
      <c r="M157" s="498"/>
      <c r="N157" s="359"/>
      <c r="O157" s="365"/>
      <c r="P157" s="363"/>
      <c r="Q157" s="363"/>
      <c r="R157" s="363"/>
      <c r="S157" s="354"/>
      <c r="T157" s="363"/>
      <c r="U157" s="375"/>
      <c r="V157" s="361"/>
      <c r="W157" s="1091"/>
      <c r="X157" s="1114"/>
      <c r="Y157" s="1121"/>
      <c r="Z157" s="363"/>
      <c r="AA157" s="375"/>
      <c r="AB157" s="361"/>
      <c r="AC157" s="1091"/>
      <c r="AD157" s="1114"/>
      <c r="AE157" s="1121"/>
      <c r="AF157" s="358"/>
      <c r="AG157" s="358"/>
      <c r="AH157" s="358"/>
      <c r="AI157" s="358"/>
      <c r="AJ157" s="380"/>
      <c r="AK157" s="440"/>
      <c r="AM157" s="460">
        <v>157</v>
      </c>
      <c r="AN157" s="1078"/>
    </row>
    <row r="158" spans="1:54" ht="12" customHeight="1" x14ac:dyDescent="0.2">
      <c r="A158" s="440"/>
      <c r="B158" s="1043"/>
      <c r="C158" s="380"/>
      <c r="D158" s="1037"/>
      <c r="E158" s="1084">
        <f ca="1">IF(AX158="E","",AN158)</f>
        <v>0</v>
      </c>
      <c r="F158" s="1085"/>
      <c r="G158" s="1264"/>
      <c r="H158" s="1264"/>
      <c r="I158" s="1265"/>
      <c r="J158" s="638"/>
      <c r="K158" s="550" t="s">
        <v>179</v>
      </c>
      <c r="L158" s="551"/>
      <c r="M158" s="340"/>
      <c r="N158" s="553" t="s">
        <v>559</v>
      </c>
      <c r="O158" s="339"/>
      <c r="P158" s="524" t="s">
        <v>560</v>
      </c>
      <c r="Q158" s="344"/>
      <c r="R158" s="522" t="s">
        <v>363</v>
      </c>
      <c r="S158" s="353">
        <f t="shared" ref="S158:S161" ca="1" si="278">IF(AY158="E",(M158*O158)+Q158,AO158)</f>
        <v>0</v>
      </c>
      <c r="T158" s="523"/>
      <c r="U158" s="350"/>
      <c r="V158" s="308"/>
      <c r="W158" s="1090" t="str">
        <f t="shared" ref="W158:W161" ca="1" si="279">IF(AZ158="E",IF(AND(V158&lt;&gt;0,U158&lt;&gt;0),"X",IF(AND(V158&lt;&gt;0,U158=0),"A",IF(AND(V158=0,U158&lt;&gt;0),"P",""))),AR158)</f>
        <v/>
      </c>
      <c r="X158" s="1103">
        <f t="shared" ref="X158:X161" ca="1" si="280">IF(AZ158="E",IFERROR(IF(W158="X",0,IF(U158&gt;0,U158,V158/S158)),0),
IFERROR(IF(OR(AR158="X",AR158=0),0,
IF(AR158="P",AP158,IF(AR158="A",AQ158/S158,0))),0))</f>
        <v>0</v>
      </c>
      <c r="Y158" s="1120">
        <f t="shared" ref="Y158:Y161" ca="1" si="281">IF(AZ158="E",IFERROR(IF(W158="X",0,IF(V158&gt;0,V158,S158*U158)),0),
IFERROR(IF(OR(AR158="X",AR158="0"),0,IF(AR158="A",AQ158,S158*AP158)),0))</f>
        <v>0</v>
      </c>
      <c r="Z158" s="524"/>
      <c r="AA158" s="350"/>
      <c r="AB158" s="308"/>
      <c r="AC158" s="1090" t="str">
        <f t="shared" ref="AC158:AC161" ca="1" si="282">IF(BA158="E",IF(AND(AB158&lt;&gt;0,AA158&lt;&gt;0),"X",IF(AND(AB158&lt;&gt;0,AA158=0),"A",IF(AND(AB158=0,AA158&lt;&gt;0),"P",""))),AU158)</f>
        <v/>
      </c>
      <c r="AD158" s="1103">
        <f t="shared" ref="AD158:AD161" ca="1" si="283">IF(BA158="E",IFERROR(IF(AC158="X",0,IF(AA158&gt;0,AA158,AB158/S158)),0),
IFERROR(IF(OR(AU158="X",AU158=0),0,
IF(AU158="P",AS158,IF(AU158="A",AT158/S158,0))),0))</f>
        <v>0</v>
      </c>
      <c r="AE158" s="1120">
        <f t="shared" ref="AE158:AE161" ca="1" si="284">IF(BA158="E",IFERROR(IF(AC158="X",0,IF(AB158&gt;0,AB158,S158*AA158)),0),
IFERROR(IF(OR(AU158="X",AU158=0),0,
IF(AU158="A",AT158,S158*AS158)),0))</f>
        <v>0</v>
      </c>
      <c r="AF158" s="525"/>
      <c r="AG158" s="637"/>
      <c r="AH158" s="525"/>
      <c r="AI158" s="1086">
        <f t="shared" ref="AI158:AI161" ca="1" si="285">IF(BB158="E",AG158,AV158)</f>
        <v>0</v>
      </c>
      <c r="AJ158" s="380"/>
      <c r="AK158" s="440"/>
      <c r="AM158" s="460">
        <v>158</v>
      </c>
      <c r="AN158" s="1087">
        <f t="shared" ref="AN158:AN161" ca="1" si="286">IF($M$13=$AN$12,"",IF(ISTEXT(INDIRECT("'"&amp;$AM$20&amp;"'!"&amp;AN$21&amp;$AM158)),INDIRECT("'"&amp;$AM$20&amp;"'!"&amp;AN$21&amp;$AM158),INDIRECT("'"&amp;$AM$20&amp;"'!"&amp;AN$22&amp;$AM158)))</f>
        <v>0</v>
      </c>
      <c r="AO158" s="1083">
        <f t="shared" ref="AO158:AV161" ca="1" si="287">IF($M$13=$AN$12,"",INDIRECT("'"&amp;$AM$20&amp;"'!"&amp;AO$21&amp;$AM158))</f>
        <v>0</v>
      </c>
      <c r="AP158" s="356">
        <f t="shared" ca="1" si="287"/>
        <v>0</v>
      </c>
      <c r="AQ158" s="357">
        <f t="shared" ca="1" si="287"/>
        <v>0</v>
      </c>
      <c r="AR158" s="524" t="str">
        <f t="shared" ca="1" si="287"/>
        <v/>
      </c>
      <c r="AS158" s="356">
        <f t="shared" ca="1" si="287"/>
        <v>0</v>
      </c>
      <c r="AT158" s="357">
        <f t="shared" ca="1" si="287"/>
        <v>0</v>
      </c>
      <c r="AU158" s="524" t="str">
        <f t="shared" ca="1" si="287"/>
        <v/>
      </c>
      <c r="AV158" s="1083">
        <f t="shared" ca="1" si="287"/>
        <v>0</v>
      </c>
      <c r="AX158" s="1083" t="str">
        <f t="shared" ref="AX158:AX161" si="288">IF($M$13=$AN$12,"E",IF(ISTEXT(F158),"E","U"))</f>
        <v>U</v>
      </c>
      <c r="AY158" s="1083" t="str">
        <f t="shared" ref="AY158:AY161" si="289">IF($M$13=$AN$12,"E",IF(OR(ISNUMBER(M158),ISNUMBER(O158),ISNUMBER(Q158)),"E","U"))</f>
        <v>U</v>
      </c>
      <c r="AZ158" s="1083" t="str">
        <f t="shared" ref="AZ158:AZ161" si="290">IF($M$13=$AN$12,"E",IF(OR(ISNUMBER(U158),ISNUMBER(V158)),"E","U"))</f>
        <v>U</v>
      </c>
      <c r="BA158" s="1083" t="str">
        <f t="shared" ref="BA158:BA161" si="291">IF($M$13=$AN$12,"E",IF(OR(ISNUMBER(AA158),ISNUMBER(AB158)),"E","U"))</f>
        <v>U</v>
      </c>
      <c r="BB158" s="1083" t="str">
        <f t="shared" ref="BB158:BB161" si="292">IF($M$13=$AN$12,"E",IF(ISNUMBER(AG158),"E","U"))</f>
        <v>U</v>
      </c>
    </row>
    <row r="159" spans="1:54" ht="12" customHeight="1" x14ac:dyDescent="0.2">
      <c r="A159" s="440"/>
      <c r="B159" s="1043"/>
      <c r="C159" s="380"/>
      <c r="D159" s="1037"/>
      <c r="E159" s="1084">
        <f ca="1">IF(AX159="E","",AN159)</f>
        <v>0</v>
      </c>
      <c r="F159" s="1085"/>
      <c r="G159" s="1264"/>
      <c r="H159" s="1264"/>
      <c r="I159" s="1265"/>
      <c r="J159" s="638"/>
      <c r="K159" s="550" t="s">
        <v>179</v>
      </c>
      <c r="L159" s="551"/>
      <c r="M159" s="340"/>
      <c r="N159" s="553" t="s">
        <v>69</v>
      </c>
      <c r="O159" s="339"/>
      <c r="P159" s="524" t="s">
        <v>70</v>
      </c>
      <c r="Q159" s="344"/>
      <c r="R159" s="522" t="s">
        <v>363</v>
      </c>
      <c r="S159" s="353">
        <f t="shared" ca="1" si="278"/>
        <v>0</v>
      </c>
      <c r="T159" s="523"/>
      <c r="U159" s="350"/>
      <c r="V159" s="308"/>
      <c r="W159" s="1090" t="str">
        <f t="shared" ca="1" si="279"/>
        <v/>
      </c>
      <c r="X159" s="1103">
        <f t="shared" ca="1" si="280"/>
        <v>0</v>
      </c>
      <c r="Y159" s="1120">
        <f t="shared" ca="1" si="281"/>
        <v>0</v>
      </c>
      <c r="Z159" s="524"/>
      <c r="AA159" s="350"/>
      <c r="AB159" s="308"/>
      <c r="AC159" s="1090" t="str">
        <f t="shared" ca="1" si="282"/>
        <v/>
      </c>
      <c r="AD159" s="1103">
        <f t="shared" ca="1" si="283"/>
        <v>0</v>
      </c>
      <c r="AE159" s="1120">
        <f t="shared" ca="1" si="284"/>
        <v>0</v>
      </c>
      <c r="AF159" s="525"/>
      <c r="AG159" s="637"/>
      <c r="AH159" s="525"/>
      <c r="AI159" s="1086">
        <f t="shared" ca="1" si="285"/>
        <v>0</v>
      </c>
      <c r="AJ159" s="380"/>
      <c r="AK159" s="440"/>
      <c r="AM159" s="460">
        <v>159</v>
      </c>
      <c r="AN159" s="1087">
        <f t="shared" ca="1" si="286"/>
        <v>0</v>
      </c>
      <c r="AO159" s="1083">
        <f t="shared" ca="1" si="287"/>
        <v>0</v>
      </c>
      <c r="AP159" s="356">
        <f t="shared" ca="1" si="287"/>
        <v>0</v>
      </c>
      <c r="AQ159" s="357">
        <f t="shared" ca="1" si="287"/>
        <v>0</v>
      </c>
      <c r="AR159" s="524" t="str">
        <f t="shared" ca="1" si="287"/>
        <v/>
      </c>
      <c r="AS159" s="356">
        <f t="shared" ca="1" si="287"/>
        <v>0</v>
      </c>
      <c r="AT159" s="357">
        <f t="shared" ca="1" si="287"/>
        <v>0</v>
      </c>
      <c r="AU159" s="524" t="str">
        <f t="shared" ca="1" si="287"/>
        <v/>
      </c>
      <c r="AV159" s="1083">
        <f t="shared" ca="1" si="287"/>
        <v>0</v>
      </c>
      <c r="AX159" s="1083" t="str">
        <f t="shared" si="288"/>
        <v>U</v>
      </c>
      <c r="AY159" s="1083" t="str">
        <f t="shared" si="289"/>
        <v>U</v>
      </c>
      <c r="AZ159" s="1083" t="str">
        <f t="shared" si="290"/>
        <v>U</v>
      </c>
      <c r="BA159" s="1083" t="str">
        <f t="shared" si="291"/>
        <v>U</v>
      </c>
      <c r="BB159" s="1083" t="str">
        <f t="shared" si="292"/>
        <v>U</v>
      </c>
    </row>
    <row r="160" spans="1:54" ht="12" customHeight="1" x14ac:dyDescent="0.2">
      <c r="A160" s="440"/>
      <c r="B160" s="1043"/>
      <c r="C160" s="380"/>
      <c r="D160" s="1037"/>
      <c r="E160" s="1084">
        <f ca="1">IF(AX160="E","",AN160)</f>
        <v>0</v>
      </c>
      <c r="F160" s="1085"/>
      <c r="G160" s="1264"/>
      <c r="H160" s="1264"/>
      <c r="I160" s="1265"/>
      <c r="J160" s="638"/>
      <c r="K160" s="550" t="s">
        <v>179</v>
      </c>
      <c r="L160" s="551"/>
      <c r="M160" s="340"/>
      <c r="N160" s="553" t="s">
        <v>69</v>
      </c>
      <c r="O160" s="339"/>
      <c r="P160" s="524" t="s">
        <v>70</v>
      </c>
      <c r="Q160" s="344"/>
      <c r="R160" s="522" t="s">
        <v>363</v>
      </c>
      <c r="S160" s="353">
        <f t="shared" ca="1" si="278"/>
        <v>0</v>
      </c>
      <c r="T160" s="523"/>
      <c r="U160" s="350"/>
      <c r="V160" s="308"/>
      <c r="W160" s="1090" t="str">
        <f t="shared" ca="1" si="279"/>
        <v/>
      </c>
      <c r="X160" s="1103">
        <f t="shared" ca="1" si="280"/>
        <v>0</v>
      </c>
      <c r="Y160" s="1120">
        <f t="shared" ca="1" si="281"/>
        <v>0</v>
      </c>
      <c r="Z160" s="524"/>
      <c r="AA160" s="350"/>
      <c r="AB160" s="308"/>
      <c r="AC160" s="1090" t="str">
        <f t="shared" ca="1" si="282"/>
        <v/>
      </c>
      <c r="AD160" s="1103">
        <f t="shared" ca="1" si="283"/>
        <v>0</v>
      </c>
      <c r="AE160" s="1120">
        <f t="shared" ca="1" si="284"/>
        <v>0</v>
      </c>
      <c r="AF160" s="525"/>
      <c r="AG160" s="637"/>
      <c r="AH160" s="525"/>
      <c r="AI160" s="1086">
        <f t="shared" ca="1" si="285"/>
        <v>0</v>
      </c>
      <c r="AJ160" s="380"/>
      <c r="AK160" s="440"/>
      <c r="AM160" s="460">
        <v>160</v>
      </c>
      <c r="AN160" s="1087">
        <f t="shared" ca="1" si="286"/>
        <v>0</v>
      </c>
      <c r="AO160" s="1083">
        <f t="shared" ca="1" si="287"/>
        <v>0</v>
      </c>
      <c r="AP160" s="356">
        <f t="shared" ca="1" si="287"/>
        <v>0</v>
      </c>
      <c r="AQ160" s="357">
        <f t="shared" ca="1" si="287"/>
        <v>0</v>
      </c>
      <c r="AR160" s="524" t="str">
        <f t="shared" ca="1" si="287"/>
        <v/>
      </c>
      <c r="AS160" s="356">
        <f t="shared" ca="1" si="287"/>
        <v>0</v>
      </c>
      <c r="AT160" s="357">
        <f t="shared" ca="1" si="287"/>
        <v>0</v>
      </c>
      <c r="AU160" s="524" t="str">
        <f t="shared" ca="1" si="287"/>
        <v/>
      </c>
      <c r="AV160" s="1083">
        <f t="shared" ca="1" si="287"/>
        <v>0</v>
      </c>
      <c r="AX160" s="1083" t="str">
        <f t="shared" si="288"/>
        <v>U</v>
      </c>
      <c r="AY160" s="1083" t="str">
        <f t="shared" si="289"/>
        <v>U</v>
      </c>
      <c r="AZ160" s="1083" t="str">
        <f t="shared" si="290"/>
        <v>U</v>
      </c>
      <c r="BA160" s="1083" t="str">
        <f t="shared" si="291"/>
        <v>U</v>
      </c>
      <c r="BB160" s="1083" t="str">
        <f t="shared" si="292"/>
        <v>U</v>
      </c>
    </row>
    <row r="161" spans="1:54" ht="12" customHeight="1" x14ac:dyDescent="0.2">
      <c r="A161" s="440"/>
      <c r="B161" s="1043"/>
      <c r="C161" s="380"/>
      <c r="D161" s="1037"/>
      <c r="E161" s="1084">
        <f ca="1">IF(AX161="E","",AN161)</f>
        <v>0</v>
      </c>
      <c r="F161" s="1085"/>
      <c r="G161" s="1264"/>
      <c r="H161" s="1264"/>
      <c r="I161" s="1265"/>
      <c r="J161" s="638"/>
      <c r="K161" s="550" t="s">
        <v>179</v>
      </c>
      <c r="L161" s="551"/>
      <c r="M161" s="340"/>
      <c r="N161" s="553" t="s">
        <v>69</v>
      </c>
      <c r="O161" s="339"/>
      <c r="P161" s="524" t="s">
        <v>70</v>
      </c>
      <c r="Q161" s="344"/>
      <c r="R161" s="522" t="s">
        <v>363</v>
      </c>
      <c r="S161" s="353">
        <f t="shared" ca="1" si="278"/>
        <v>0</v>
      </c>
      <c r="T161" s="523"/>
      <c r="U161" s="350"/>
      <c r="V161" s="308"/>
      <c r="W161" s="1090" t="str">
        <f t="shared" ca="1" si="279"/>
        <v/>
      </c>
      <c r="X161" s="1103">
        <f t="shared" ca="1" si="280"/>
        <v>0</v>
      </c>
      <c r="Y161" s="1120">
        <f t="shared" ca="1" si="281"/>
        <v>0</v>
      </c>
      <c r="Z161" s="524"/>
      <c r="AA161" s="350"/>
      <c r="AB161" s="308"/>
      <c r="AC161" s="1090" t="str">
        <f t="shared" ca="1" si="282"/>
        <v/>
      </c>
      <c r="AD161" s="1103">
        <f t="shared" ca="1" si="283"/>
        <v>0</v>
      </c>
      <c r="AE161" s="1120">
        <f t="shared" ca="1" si="284"/>
        <v>0</v>
      </c>
      <c r="AF161" s="525"/>
      <c r="AG161" s="637"/>
      <c r="AH161" s="525"/>
      <c r="AI161" s="1086">
        <f t="shared" ca="1" si="285"/>
        <v>0</v>
      </c>
      <c r="AJ161" s="380"/>
      <c r="AK161" s="440"/>
      <c r="AM161" s="460">
        <v>161</v>
      </c>
      <c r="AN161" s="1087">
        <f t="shared" ca="1" si="286"/>
        <v>0</v>
      </c>
      <c r="AO161" s="1083">
        <f t="shared" ca="1" si="287"/>
        <v>0</v>
      </c>
      <c r="AP161" s="356">
        <f t="shared" ca="1" si="287"/>
        <v>0</v>
      </c>
      <c r="AQ161" s="357">
        <f t="shared" ca="1" si="287"/>
        <v>0</v>
      </c>
      <c r="AR161" s="524" t="str">
        <f t="shared" ca="1" si="287"/>
        <v/>
      </c>
      <c r="AS161" s="356">
        <f t="shared" ca="1" si="287"/>
        <v>0</v>
      </c>
      <c r="AT161" s="357">
        <f t="shared" ca="1" si="287"/>
        <v>0</v>
      </c>
      <c r="AU161" s="524" t="str">
        <f t="shared" ca="1" si="287"/>
        <v/>
      </c>
      <c r="AV161" s="1083">
        <f t="shared" ca="1" si="287"/>
        <v>0</v>
      </c>
      <c r="AX161" s="1083" t="str">
        <f t="shared" si="288"/>
        <v>U</v>
      </c>
      <c r="AY161" s="1083" t="str">
        <f t="shared" si="289"/>
        <v>U</v>
      </c>
      <c r="AZ161" s="1083" t="str">
        <f t="shared" si="290"/>
        <v>U</v>
      </c>
      <c r="BA161" s="1083" t="str">
        <f t="shared" si="291"/>
        <v>U</v>
      </c>
      <c r="BB161" s="1083" t="str">
        <f t="shared" si="292"/>
        <v>U</v>
      </c>
    </row>
    <row r="162" spans="1:54" ht="12" customHeight="1" x14ac:dyDescent="0.25">
      <c r="A162" s="440"/>
      <c r="B162" s="1043"/>
      <c r="C162" s="380"/>
      <c r="D162" s="1037" t="s">
        <v>30</v>
      </c>
      <c r="E162" s="1599" t="s">
        <v>29</v>
      </c>
      <c r="F162" s="1599"/>
      <c r="G162" s="1599"/>
      <c r="H162" s="1599"/>
      <c r="I162" s="1597"/>
      <c r="J162" s="1038"/>
      <c r="K162" s="462"/>
      <c r="L162" s="462"/>
      <c r="M162" s="498"/>
      <c r="N162" s="359"/>
      <c r="O162" s="365"/>
      <c r="P162" s="363"/>
      <c r="Q162" s="363"/>
      <c r="R162" s="363"/>
      <c r="S162" s="355"/>
      <c r="T162" s="363"/>
      <c r="U162" s="375"/>
      <c r="V162" s="361"/>
      <c r="W162" s="1091"/>
      <c r="X162" s="1114"/>
      <c r="Y162" s="1121"/>
      <c r="Z162" s="363"/>
      <c r="AA162" s="375"/>
      <c r="AB162" s="361"/>
      <c r="AC162" s="1091"/>
      <c r="AD162" s="1114"/>
      <c r="AE162" s="1121"/>
      <c r="AF162" s="358"/>
      <c r="AG162" s="358"/>
      <c r="AH162" s="358"/>
      <c r="AI162" s="358"/>
      <c r="AJ162" s="380"/>
      <c r="AK162" s="440"/>
      <c r="AM162" s="460">
        <v>162</v>
      </c>
      <c r="AN162" s="1078"/>
    </row>
    <row r="163" spans="1:54" ht="12" customHeight="1" x14ac:dyDescent="0.25">
      <c r="A163" s="440"/>
      <c r="B163" s="1043"/>
      <c r="C163" s="380"/>
      <c r="D163" s="1037"/>
      <c r="E163" s="1037"/>
      <c r="F163" s="1037"/>
      <c r="G163" s="1037"/>
      <c r="H163" s="1037"/>
      <c r="I163" s="1035"/>
      <c r="J163" s="1038"/>
      <c r="K163" s="462"/>
      <c r="L163" s="462"/>
      <c r="M163" s="339"/>
      <c r="N163" s="359"/>
      <c r="O163" s="339"/>
      <c r="P163" s="363"/>
      <c r="Q163" s="344"/>
      <c r="R163" s="522" t="s">
        <v>363</v>
      </c>
      <c r="S163" s="353">
        <f ca="1">IF(AY163="E",(M163*O163)+Q163,AO163)</f>
        <v>0</v>
      </c>
      <c r="T163" s="523"/>
      <c r="U163" s="350"/>
      <c r="V163" s="308"/>
      <c r="W163" s="1090" t="str">
        <f ca="1">IF(AZ163="E",IF(AND(V163&lt;&gt;0,U163&lt;&gt;0),"X",IF(AND(V163&lt;&gt;0,U163=0),"A",IF(AND(V163=0,U163&lt;&gt;0),"P",""))),AR163)</f>
        <v/>
      </c>
      <c r="X163" s="1103">
        <f ca="1">IF(AZ163="E",IFERROR(IF(W163="X",0,IF(U163&gt;0,U163,V163/S163)),0),
IFERROR(IF(OR(AR163="X",AR163=0),0,
IF(AR163="P",AP163,IF(AR163="A",AQ163/S163,0))),0))</f>
        <v>0</v>
      </c>
      <c r="Y163" s="1120">
        <f ca="1">IF(AZ163="E",IFERROR(IF(W163="X",0,IF(V163&gt;0,V163,S163*U163)),0),
IFERROR(IF(OR(AR163="X",AR163="0"),0,IF(AR163="A",AQ163,S163*AP163)),0))</f>
        <v>0</v>
      </c>
      <c r="Z163" s="524"/>
      <c r="AA163" s="350"/>
      <c r="AB163" s="308"/>
      <c r="AC163" s="1090" t="str">
        <f ca="1">IF(BA163="E",IF(AND(AB163&lt;&gt;0,AA163&lt;&gt;0),"X",IF(AND(AB163&lt;&gt;0,AA163=0),"A",IF(AND(AB163=0,AA163&lt;&gt;0),"P",""))),AU163)</f>
        <v/>
      </c>
      <c r="AD163" s="1103">
        <f ca="1">IF(BA163="E",IFERROR(IF(AC163="X",0,IF(AA163&gt;0,AA163,AB163/S163)),0),
IFERROR(IF(OR(AU163="X",AU163=0),0,
IF(AU163="P",AS163,IF(AU163="A",AT163/S163,0))),0))</f>
        <v>0</v>
      </c>
      <c r="AE163" s="1120">
        <f ca="1">IF(BA163="E",IFERROR(IF(AC163="X",0,IF(AB163&gt;0,AB163,S163*AA163)),0),
IFERROR(IF(OR(AU163="X",AU163=0),0,
IF(AU163="A",AT163,S163*AS163)),0))</f>
        <v>0</v>
      </c>
      <c r="AF163" s="525"/>
      <c r="AG163" s="637"/>
      <c r="AH163" s="525"/>
      <c r="AI163" s="1086">
        <f ca="1">IF(BB163="E",AG163,AV163)</f>
        <v>0</v>
      </c>
      <c r="AJ163" s="380"/>
      <c r="AK163" s="440"/>
      <c r="AM163" s="460">
        <v>163</v>
      </c>
      <c r="AN163" s="1078"/>
      <c r="AO163" s="1083">
        <f t="shared" ref="AO163:AV163" ca="1" si="293">IF($M$13=$AN$12,"",INDIRECT("'"&amp;$AM$20&amp;"'!"&amp;AO$21&amp;$AM163))</f>
        <v>0</v>
      </c>
      <c r="AP163" s="356">
        <f t="shared" ca="1" si="293"/>
        <v>0</v>
      </c>
      <c r="AQ163" s="357">
        <f t="shared" ca="1" si="293"/>
        <v>0</v>
      </c>
      <c r="AR163" s="524" t="str">
        <f t="shared" ca="1" si="293"/>
        <v/>
      </c>
      <c r="AS163" s="356">
        <f t="shared" ca="1" si="293"/>
        <v>0</v>
      </c>
      <c r="AT163" s="357">
        <f t="shared" ca="1" si="293"/>
        <v>0</v>
      </c>
      <c r="AU163" s="524" t="str">
        <f t="shared" ca="1" si="293"/>
        <v/>
      </c>
      <c r="AV163" s="1083">
        <f t="shared" ca="1" si="293"/>
        <v>0</v>
      </c>
      <c r="AX163" s="1083" t="str">
        <f t="shared" ref="AX163" si="294">IF($M$13=$AN$12,"E",IF(ISTEXT(F163),"E","U"))</f>
        <v>U</v>
      </c>
      <c r="AY163" s="1083" t="str">
        <f t="shared" ref="AY163" si="295">IF($M$13=$AN$12,"E",IF(OR(ISNUMBER(M163),ISNUMBER(O163),ISNUMBER(Q163)),"E","U"))</f>
        <v>U</v>
      </c>
      <c r="AZ163" s="1083" t="str">
        <f t="shared" ref="AZ163" si="296">IF($M$13=$AN$12,"E",IF(OR(ISNUMBER(U163),ISNUMBER(V163)),"E","U"))</f>
        <v>U</v>
      </c>
      <c r="BA163" s="1083" t="str">
        <f t="shared" ref="BA163" si="297">IF($M$13=$AN$12,"E",IF(OR(ISNUMBER(AA163),ISNUMBER(AB163)),"E","U"))</f>
        <v>U</v>
      </c>
      <c r="BB163" s="1083" t="str">
        <f t="shared" ref="BB163" si="298">IF($M$13=$AN$12,"E",IF(ISNUMBER(AG163),"E","U"))</f>
        <v>U</v>
      </c>
    </row>
    <row r="164" spans="1:54" ht="14.25" customHeight="1" x14ac:dyDescent="0.25">
      <c r="A164" s="440"/>
      <c r="B164" s="1043"/>
      <c r="C164" s="1036" t="s">
        <v>28</v>
      </c>
      <c r="D164" s="494"/>
      <c r="E164" s="1596" t="s">
        <v>27</v>
      </c>
      <c r="F164" s="1596"/>
      <c r="G164" s="1596"/>
      <c r="H164" s="1596"/>
      <c r="I164" s="1597"/>
      <c r="J164" s="1038"/>
      <c r="K164" s="462"/>
      <c r="L164" s="462"/>
      <c r="M164" s="498"/>
      <c r="N164" s="359"/>
      <c r="O164" s="365"/>
      <c r="P164" s="363"/>
      <c r="Q164" s="363"/>
      <c r="R164" s="363"/>
      <c r="S164" s="355">
        <f ca="1">S165</f>
        <v>0</v>
      </c>
      <c r="T164" s="363"/>
      <c r="U164" s="375"/>
      <c r="V164" s="361"/>
      <c r="W164" s="1091"/>
      <c r="X164" s="1114"/>
      <c r="Y164" s="1121"/>
      <c r="Z164" s="363"/>
      <c r="AA164" s="375"/>
      <c r="AB164" s="361"/>
      <c r="AC164" s="1091"/>
      <c r="AD164" s="1114"/>
      <c r="AE164" s="1121"/>
      <c r="AF164" s="358"/>
      <c r="AG164" s="358"/>
      <c r="AH164" s="358"/>
      <c r="AI164" s="358"/>
      <c r="AJ164" s="380"/>
      <c r="AK164" s="440"/>
      <c r="AM164" s="460">
        <v>164</v>
      </c>
      <c r="AN164" s="1078"/>
    </row>
    <row r="165" spans="1:54" ht="12" customHeight="1" x14ac:dyDescent="0.25">
      <c r="A165" s="440"/>
      <c r="B165" s="1043"/>
      <c r="C165" s="380"/>
      <c r="D165" s="1037" t="s">
        <v>26</v>
      </c>
      <c r="E165" s="1599" t="s">
        <v>25</v>
      </c>
      <c r="F165" s="1599"/>
      <c r="G165" s="1599"/>
      <c r="H165" s="1599"/>
      <c r="I165" s="1605"/>
      <c r="J165" s="1038"/>
      <c r="K165" s="502"/>
      <c r="L165" s="502"/>
      <c r="M165" s="498"/>
      <c r="N165" s="359"/>
      <c r="O165" s="365"/>
      <c r="P165" s="363"/>
      <c r="Q165" s="363"/>
      <c r="R165" s="363"/>
      <c r="S165" s="354">
        <f ca="1">SUBTOTAL(109,S167:S170)</f>
        <v>0</v>
      </c>
      <c r="T165" s="363"/>
      <c r="U165" s="375"/>
      <c r="V165" s="361"/>
      <c r="W165" s="1091"/>
      <c r="X165" s="1114"/>
      <c r="Y165" s="1121"/>
      <c r="Z165" s="363"/>
      <c r="AA165" s="375"/>
      <c r="AB165" s="361"/>
      <c r="AC165" s="1091"/>
      <c r="AD165" s="1114"/>
      <c r="AE165" s="1121"/>
      <c r="AF165" s="358"/>
      <c r="AG165" s="358"/>
      <c r="AH165" s="358"/>
      <c r="AI165" s="358"/>
      <c r="AJ165" s="380"/>
      <c r="AK165" s="440"/>
      <c r="AM165" s="460">
        <v>165</v>
      </c>
      <c r="AN165" s="1078"/>
    </row>
    <row r="166" spans="1:54" ht="12" customHeight="1" x14ac:dyDescent="0.25">
      <c r="A166" s="440"/>
      <c r="B166" s="1043"/>
      <c r="C166" s="380"/>
      <c r="D166" s="1037"/>
      <c r="E166" s="1037"/>
      <c r="F166" s="1037"/>
      <c r="G166" s="1037"/>
      <c r="H166" s="1037"/>
      <c r="I166" s="1038"/>
      <c r="J166" s="1038"/>
      <c r="K166" s="502"/>
      <c r="L166" s="502"/>
      <c r="M166" s="498"/>
      <c r="N166" s="359"/>
      <c r="O166" s="365"/>
      <c r="P166" s="363"/>
      <c r="Q166" s="363"/>
      <c r="R166" s="363"/>
      <c r="S166" s="354"/>
      <c r="T166" s="363"/>
      <c r="U166" s="375"/>
      <c r="V166" s="361"/>
      <c r="W166" s="1091"/>
      <c r="X166" s="1114"/>
      <c r="Y166" s="1121"/>
      <c r="Z166" s="363"/>
      <c r="AA166" s="375"/>
      <c r="AB166" s="361"/>
      <c r="AC166" s="1091"/>
      <c r="AD166" s="1114"/>
      <c r="AE166" s="1121"/>
      <c r="AF166" s="358"/>
      <c r="AG166" s="358"/>
      <c r="AH166" s="358"/>
      <c r="AI166" s="358"/>
      <c r="AJ166" s="380"/>
      <c r="AK166" s="440"/>
      <c r="AM166" s="460">
        <v>166</v>
      </c>
      <c r="AN166" s="1078"/>
    </row>
    <row r="167" spans="1:54" ht="12" customHeight="1" x14ac:dyDescent="0.2">
      <c r="A167" s="440"/>
      <c r="B167" s="1043"/>
      <c r="C167" s="380"/>
      <c r="D167" s="1037"/>
      <c r="E167" s="1084">
        <f ca="1">IF(AX167="E","",AN167)</f>
        <v>0</v>
      </c>
      <c r="F167" s="1085"/>
      <c r="G167" s="1264"/>
      <c r="H167" s="1264"/>
      <c r="I167" s="1265"/>
      <c r="J167" s="638"/>
      <c r="K167" s="555"/>
      <c r="L167" s="541"/>
      <c r="M167" s="340"/>
      <c r="N167" s="553" t="s">
        <v>69</v>
      </c>
      <c r="O167" s="339"/>
      <c r="P167" s="525" t="s">
        <v>70</v>
      </c>
      <c r="Q167" s="344"/>
      <c r="R167" s="522" t="s">
        <v>363</v>
      </c>
      <c r="S167" s="353">
        <f t="shared" ref="S167:S170" ca="1" si="299">IF(AY167="E",(M167*O167)+Q167,AO167)</f>
        <v>0</v>
      </c>
      <c r="T167" s="523"/>
      <c r="U167" s="350"/>
      <c r="V167" s="308"/>
      <c r="W167" s="1090" t="str">
        <f t="shared" ref="W167:W170" ca="1" si="300">IF(AZ167="E",IF(AND(V167&lt;&gt;0,U167&lt;&gt;0),"X",IF(AND(V167&lt;&gt;0,U167=0),"A",IF(AND(V167=0,U167&lt;&gt;0),"P",""))),AR167)</f>
        <v/>
      </c>
      <c r="X167" s="1103">
        <f t="shared" ref="X167:X170" ca="1" si="301">IF(AZ167="E",IFERROR(IF(W167="X",0,IF(U167&gt;0,U167,V167/S167)),0),
IFERROR(IF(OR(AR167="X",AR167=0),0,
IF(AR167="P",AP167,IF(AR167="A",AQ167/S167,0))),0))</f>
        <v>0</v>
      </c>
      <c r="Y167" s="1120">
        <f t="shared" ref="Y167:Y170" ca="1" si="302">IF(AZ167="E",IFERROR(IF(W167="X",0,IF(V167&gt;0,V167,S167*U167)),0),
IFERROR(IF(OR(AR167="X",AR167="0"),0,IF(AR167="A",AQ167,S167*AP167)),0))</f>
        <v>0</v>
      </c>
      <c r="Z167" s="524"/>
      <c r="AA167" s="350"/>
      <c r="AB167" s="308"/>
      <c r="AC167" s="1090" t="str">
        <f t="shared" ref="AC167:AC170" ca="1" si="303">IF(BA167="E",IF(AND(AB167&lt;&gt;0,AA167&lt;&gt;0),"X",IF(AND(AB167&lt;&gt;0,AA167=0),"A",IF(AND(AB167=0,AA167&lt;&gt;0),"P",""))),AU167)</f>
        <v/>
      </c>
      <c r="AD167" s="1103">
        <f t="shared" ref="AD167:AD170" ca="1" si="304">IF(BA167="E",IFERROR(IF(AC167="X",0,IF(AA167&gt;0,AA167,AB167/S167)),0),
IFERROR(IF(OR(AU167="X",AU167=0),0,
IF(AU167="P",AS167,IF(AU167="A",AT167/S167,0))),0))</f>
        <v>0</v>
      </c>
      <c r="AE167" s="1120">
        <f t="shared" ref="AE167:AE170" ca="1" si="305">IF(BA167="E",IFERROR(IF(AC167="X",0,IF(AB167&gt;0,AB167,S167*AA167)),0),
IFERROR(IF(OR(AU167="X",AU167=0),0,
IF(AU167="A",AT167,S167*AS167)),0))</f>
        <v>0</v>
      </c>
      <c r="AF167" s="525"/>
      <c r="AG167" s="637"/>
      <c r="AH167" s="525"/>
      <c r="AI167" s="1086">
        <f t="shared" ref="AI167:AI170" ca="1" si="306">IF(BB167="E",AG167,AV167)</f>
        <v>0</v>
      </c>
      <c r="AJ167" s="380"/>
      <c r="AK167" s="440"/>
      <c r="AM167" s="460">
        <v>167</v>
      </c>
      <c r="AN167" s="1087">
        <f t="shared" ref="AN167:AN170" ca="1" si="307">IF($M$13=$AN$12,"",IF(ISTEXT(INDIRECT("'"&amp;$AM$20&amp;"'!"&amp;AN$21&amp;$AM167)),INDIRECT("'"&amp;$AM$20&amp;"'!"&amp;AN$21&amp;$AM167),INDIRECT("'"&amp;$AM$20&amp;"'!"&amp;AN$22&amp;$AM167)))</f>
        <v>0</v>
      </c>
      <c r="AO167" s="1083">
        <f t="shared" ref="AO167:AV170" ca="1" si="308">IF($M$13=$AN$12,"",INDIRECT("'"&amp;$AM$20&amp;"'!"&amp;AO$21&amp;$AM167))</f>
        <v>0</v>
      </c>
      <c r="AP167" s="356">
        <f t="shared" ca="1" si="308"/>
        <v>0</v>
      </c>
      <c r="AQ167" s="357">
        <f t="shared" ca="1" si="308"/>
        <v>0</v>
      </c>
      <c r="AR167" s="524" t="str">
        <f t="shared" ca="1" si="308"/>
        <v/>
      </c>
      <c r="AS167" s="356">
        <f t="shared" ca="1" si="308"/>
        <v>0</v>
      </c>
      <c r="AT167" s="357">
        <f t="shared" ca="1" si="308"/>
        <v>0</v>
      </c>
      <c r="AU167" s="524" t="str">
        <f t="shared" ca="1" si="308"/>
        <v/>
      </c>
      <c r="AV167" s="1083">
        <f t="shared" ca="1" si="308"/>
        <v>0</v>
      </c>
      <c r="AX167" s="1083" t="str">
        <f t="shared" ref="AX167:AX170" si="309">IF($M$13=$AN$12,"E",IF(ISTEXT(F167),"E","U"))</f>
        <v>U</v>
      </c>
      <c r="AY167" s="1083" t="str">
        <f t="shared" ref="AY167:AY170" si="310">IF($M$13=$AN$12,"E",IF(OR(ISNUMBER(M167),ISNUMBER(O167),ISNUMBER(Q167)),"E","U"))</f>
        <v>U</v>
      </c>
      <c r="AZ167" s="1083" t="str">
        <f t="shared" ref="AZ167:AZ170" si="311">IF($M$13=$AN$12,"E",IF(OR(ISNUMBER(U167),ISNUMBER(V167)),"E","U"))</f>
        <v>U</v>
      </c>
      <c r="BA167" s="1083" t="str">
        <f t="shared" ref="BA167:BA170" si="312">IF($M$13=$AN$12,"E",IF(OR(ISNUMBER(AA167),ISNUMBER(AB167)),"E","U"))</f>
        <v>U</v>
      </c>
      <c r="BB167" s="1083" t="str">
        <f t="shared" ref="BB167:BB170" si="313">IF($M$13=$AN$12,"E",IF(ISNUMBER(AG167),"E","U"))</f>
        <v>U</v>
      </c>
    </row>
    <row r="168" spans="1:54" ht="12" customHeight="1" x14ac:dyDescent="0.2">
      <c r="A168" s="440"/>
      <c r="B168" s="1043"/>
      <c r="C168" s="380"/>
      <c r="D168" s="1037"/>
      <c r="E168" s="1084">
        <f ca="1">IF(AX168="E","",AN168)</f>
        <v>0</v>
      </c>
      <c r="F168" s="1085"/>
      <c r="G168" s="1264"/>
      <c r="H168" s="1264"/>
      <c r="I168" s="1265"/>
      <c r="J168" s="638"/>
      <c r="K168" s="555"/>
      <c r="L168" s="541"/>
      <c r="M168" s="340"/>
      <c r="N168" s="553"/>
      <c r="O168" s="339"/>
      <c r="P168" s="525"/>
      <c r="Q168" s="344"/>
      <c r="R168" s="522" t="s">
        <v>363</v>
      </c>
      <c r="S168" s="353">
        <f t="shared" ca="1" si="299"/>
        <v>0</v>
      </c>
      <c r="T168" s="523"/>
      <c r="U168" s="350"/>
      <c r="V168" s="308"/>
      <c r="W168" s="1090" t="str">
        <f t="shared" ca="1" si="300"/>
        <v/>
      </c>
      <c r="X168" s="1103">
        <f t="shared" ca="1" si="301"/>
        <v>0</v>
      </c>
      <c r="Y168" s="1120">
        <f t="shared" ca="1" si="302"/>
        <v>0</v>
      </c>
      <c r="Z168" s="524"/>
      <c r="AA168" s="350"/>
      <c r="AB168" s="308"/>
      <c r="AC168" s="1090" t="str">
        <f t="shared" ca="1" si="303"/>
        <v/>
      </c>
      <c r="AD168" s="1103">
        <f t="shared" ca="1" si="304"/>
        <v>0</v>
      </c>
      <c r="AE168" s="1120">
        <f t="shared" ca="1" si="305"/>
        <v>0</v>
      </c>
      <c r="AF168" s="525"/>
      <c r="AG168" s="637"/>
      <c r="AH168" s="525"/>
      <c r="AI168" s="1086">
        <f t="shared" ca="1" si="306"/>
        <v>0</v>
      </c>
      <c r="AJ168" s="380"/>
      <c r="AK168" s="440"/>
      <c r="AM168" s="460">
        <v>168</v>
      </c>
      <c r="AN168" s="1087">
        <f t="shared" ca="1" si="307"/>
        <v>0</v>
      </c>
      <c r="AO168" s="1083">
        <f t="shared" ca="1" si="308"/>
        <v>0</v>
      </c>
      <c r="AP168" s="356">
        <f t="shared" ca="1" si="308"/>
        <v>0</v>
      </c>
      <c r="AQ168" s="357">
        <f t="shared" ca="1" si="308"/>
        <v>0</v>
      </c>
      <c r="AR168" s="524" t="str">
        <f t="shared" ca="1" si="308"/>
        <v/>
      </c>
      <c r="AS168" s="356">
        <f t="shared" ca="1" si="308"/>
        <v>0</v>
      </c>
      <c r="AT168" s="357">
        <f t="shared" ca="1" si="308"/>
        <v>0</v>
      </c>
      <c r="AU168" s="524" t="str">
        <f t="shared" ca="1" si="308"/>
        <v/>
      </c>
      <c r="AV168" s="1083">
        <f t="shared" ca="1" si="308"/>
        <v>0</v>
      </c>
      <c r="AX168" s="1083" t="str">
        <f t="shared" si="309"/>
        <v>U</v>
      </c>
      <c r="AY168" s="1083" t="str">
        <f t="shared" si="310"/>
        <v>U</v>
      </c>
      <c r="AZ168" s="1083" t="str">
        <f t="shared" si="311"/>
        <v>U</v>
      </c>
      <c r="BA168" s="1083" t="str">
        <f t="shared" si="312"/>
        <v>U</v>
      </c>
      <c r="BB168" s="1083" t="str">
        <f t="shared" si="313"/>
        <v>U</v>
      </c>
    </row>
    <row r="169" spans="1:54" ht="12" customHeight="1" x14ac:dyDescent="0.2">
      <c r="A169" s="440"/>
      <c r="B169" s="1043"/>
      <c r="C169" s="380"/>
      <c r="D169" s="1037"/>
      <c r="E169" s="1084">
        <f ca="1">IF(AX169="E","",AN169)</f>
        <v>0</v>
      </c>
      <c r="F169" s="1085"/>
      <c r="G169" s="1264"/>
      <c r="H169" s="1264"/>
      <c r="I169" s="1265"/>
      <c r="J169" s="638"/>
      <c r="K169" s="555"/>
      <c r="L169" s="541"/>
      <c r="M169" s="340"/>
      <c r="N169" s="553"/>
      <c r="O169" s="339"/>
      <c r="P169" s="525"/>
      <c r="Q169" s="344"/>
      <c r="R169" s="522" t="s">
        <v>363</v>
      </c>
      <c r="S169" s="353">
        <f t="shared" ca="1" si="299"/>
        <v>0</v>
      </c>
      <c r="T169" s="523"/>
      <c r="U169" s="350"/>
      <c r="V169" s="308"/>
      <c r="W169" s="1090" t="str">
        <f t="shared" ca="1" si="300"/>
        <v/>
      </c>
      <c r="X169" s="1103">
        <f t="shared" ca="1" si="301"/>
        <v>0</v>
      </c>
      <c r="Y169" s="1120">
        <f t="shared" ca="1" si="302"/>
        <v>0</v>
      </c>
      <c r="Z169" s="524"/>
      <c r="AA169" s="350"/>
      <c r="AB169" s="308"/>
      <c r="AC169" s="1090" t="str">
        <f t="shared" ca="1" si="303"/>
        <v/>
      </c>
      <c r="AD169" s="1103">
        <f t="shared" ca="1" si="304"/>
        <v>0</v>
      </c>
      <c r="AE169" s="1120">
        <f t="shared" ca="1" si="305"/>
        <v>0</v>
      </c>
      <c r="AF169" s="525"/>
      <c r="AG169" s="637"/>
      <c r="AH169" s="525"/>
      <c r="AI169" s="1086">
        <f t="shared" ca="1" si="306"/>
        <v>0</v>
      </c>
      <c r="AJ169" s="380"/>
      <c r="AK169" s="440"/>
      <c r="AM169" s="460">
        <v>169</v>
      </c>
      <c r="AN169" s="1087">
        <f t="shared" ca="1" si="307"/>
        <v>0</v>
      </c>
      <c r="AO169" s="1083">
        <f t="shared" ca="1" si="308"/>
        <v>0</v>
      </c>
      <c r="AP169" s="356">
        <f t="shared" ca="1" si="308"/>
        <v>0</v>
      </c>
      <c r="AQ169" s="357">
        <f t="shared" ca="1" si="308"/>
        <v>0</v>
      </c>
      <c r="AR169" s="524" t="str">
        <f t="shared" ca="1" si="308"/>
        <v/>
      </c>
      <c r="AS169" s="356">
        <f t="shared" ca="1" si="308"/>
        <v>0</v>
      </c>
      <c r="AT169" s="357">
        <f t="shared" ca="1" si="308"/>
        <v>0</v>
      </c>
      <c r="AU169" s="524" t="str">
        <f t="shared" ca="1" si="308"/>
        <v/>
      </c>
      <c r="AV169" s="1083">
        <f t="shared" ca="1" si="308"/>
        <v>0</v>
      </c>
      <c r="AX169" s="1083" t="str">
        <f t="shared" si="309"/>
        <v>U</v>
      </c>
      <c r="AY169" s="1083" t="str">
        <f t="shared" si="310"/>
        <v>U</v>
      </c>
      <c r="AZ169" s="1083" t="str">
        <f t="shared" si="311"/>
        <v>U</v>
      </c>
      <c r="BA169" s="1083" t="str">
        <f t="shared" si="312"/>
        <v>U</v>
      </c>
      <c r="BB169" s="1083" t="str">
        <f t="shared" si="313"/>
        <v>U</v>
      </c>
    </row>
    <row r="170" spans="1:54" ht="12" customHeight="1" x14ac:dyDescent="0.2">
      <c r="A170" s="440"/>
      <c r="B170" s="1043"/>
      <c r="C170" s="380"/>
      <c r="D170" s="1037"/>
      <c r="E170" s="1084">
        <f ca="1">IF(AX170="E","",AN170)</f>
        <v>0</v>
      </c>
      <c r="F170" s="1085"/>
      <c r="G170" s="1264"/>
      <c r="H170" s="1264"/>
      <c r="I170" s="1265"/>
      <c r="J170" s="638"/>
      <c r="K170" s="555"/>
      <c r="L170" s="541"/>
      <c r="M170" s="340"/>
      <c r="N170" s="553"/>
      <c r="O170" s="339"/>
      <c r="P170" s="525"/>
      <c r="Q170" s="344"/>
      <c r="R170" s="522" t="s">
        <v>363</v>
      </c>
      <c r="S170" s="353">
        <f t="shared" ca="1" si="299"/>
        <v>0</v>
      </c>
      <c r="T170" s="523"/>
      <c r="U170" s="350"/>
      <c r="V170" s="308"/>
      <c r="W170" s="1090" t="str">
        <f t="shared" ca="1" si="300"/>
        <v/>
      </c>
      <c r="X170" s="1103">
        <f t="shared" ca="1" si="301"/>
        <v>0</v>
      </c>
      <c r="Y170" s="1120">
        <f t="shared" ca="1" si="302"/>
        <v>0</v>
      </c>
      <c r="Z170" s="524"/>
      <c r="AA170" s="350"/>
      <c r="AB170" s="308"/>
      <c r="AC170" s="1090" t="str">
        <f t="shared" ca="1" si="303"/>
        <v/>
      </c>
      <c r="AD170" s="1103">
        <f t="shared" ca="1" si="304"/>
        <v>0</v>
      </c>
      <c r="AE170" s="1120">
        <f t="shared" ca="1" si="305"/>
        <v>0</v>
      </c>
      <c r="AF170" s="525"/>
      <c r="AG170" s="637"/>
      <c r="AH170" s="525"/>
      <c r="AI170" s="1086">
        <f t="shared" ca="1" si="306"/>
        <v>0</v>
      </c>
      <c r="AJ170" s="380"/>
      <c r="AK170" s="440"/>
      <c r="AM170" s="460">
        <v>170</v>
      </c>
      <c r="AN170" s="1087">
        <f t="shared" ca="1" si="307"/>
        <v>0</v>
      </c>
      <c r="AO170" s="1083">
        <f t="shared" ca="1" si="308"/>
        <v>0</v>
      </c>
      <c r="AP170" s="356">
        <f t="shared" ca="1" si="308"/>
        <v>0</v>
      </c>
      <c r="AQ170" s="357">
        <f t="shared" ca="1" si="308"/>
        <v>0</v>
      </c>
      <c r="AR170" s="524" t="str">
        <f t="shared" ca="1" si="308"/>
        <v/>
      </c>
      <c r="AS170" s="356">
        <f t="shared" ca="1" si="308"/>
        <v>0</v>
      </c>
      <c r="AT170" s="357">
        <f t="shared" ca="1" si="308"/>
        <v>0</v>
      </c>
      <c r="AU170" s="524" t="str">
        <f t="shared" ca="1" si="308"/>
        <v/>
      </c>
      <c r="AV170" s="1083">
        <f t="shared" ca="1" si="308"/>
        <v>0</v>
      </c>
      <c r="AX170" s="1083" t="str">
        <f t="shared" si="309"/>
        <v>U</v>
      </c>
      <c r="AY170" s="1083" t="str">
        <f t="shared" si="310"/>
        <v>U</v>
      </c>
      <c r="AZ170" s="1083" t="str">
        <f t="shared" si="311"/>
        <v>U</v>
      </c>
      <c r="BA170" s="1083" t="str">
        <f t="shared" si="312"/>
        <v>U</v>
      </c>
      <c r="BB170" s="1083" t="str">
        <f t="shared" si="313"/>
        <v>U</v>
      </c>
    </row>
    <row r="171" spans="1:54" ht="12" customHeight="1" collapsed="1" x14ac:dyDescent="0.2">
      <c r="A171" s="440"/>
      <c r="B171" s="324"/>
      <c r="C171" s="378"/>
      <c r="D171" s="374"/>
      <c r="E171" s="374"/>
      <c r="F171" s="374"/>
      <c r="G171" s="374"/>
      <c r="H171" s="374"/>
      <c r="I171" s="374"/>
      <c r="J171" s="374"/>
      <c r="K171" s="374"/>
      <c r="L171" s="374"/>
      <c r="M171" s="545"/>
      <c r="N171" s="544"/>
      <c r="O171" s="374"/>
      <c r="P171" s="374"/>
      <c r="Q171" s="374"/>
      <c r="R171" s="374"/>
      <c r="S171" s="374"/>
      <c r="T171" s="374"/>
      <c r="U171" s="374"/>
      <c r="V171" s="374"/>
      <c r="W171" s="1097"/>
      <c r="X171" s="1112"/>
      <c r="Y171" s="1112"/>
      <c r="Z171" s="374"/>
      <c r="AA171" s="374"/>
      <c r="AB171" s="374"/>
      <c r="AC171" s="1097"/>
      <c r="AD171" s="1112"/>
      <c r="AE171" s="1112"/>
      <c r="AF171" s="374"/>
      <c r="AG171" s="374"/>
      <c r="AH171" s="374"/>
      <c r="AI171" s="556"/>
      <c r="AJ171" s="374"/>
      <c r="AK171" s="440"/>
      <c r="AM171" s="460">
        <v>171</v>
      </c>
      <c r="AN171" s="1078"/>
    </row>
    <row r="172" spans="1:54" ht="12" customHeight="1" x14ac:dyDescent="0.2">
      <c r="A172" s="440"/>
      <c r="B172" s="547"/>
      <c r="C172" s="548"/>
      <c r="D172" s="548"/>
      <c r="E172" s="548"/>
      <c r="F172" s="548"/>
      <c r="G172" s="548"/>
      <c r="H172" s="548"/>
      <c r="I172" s="548"/>
      <c r="J172" s="1604"/>
      <c r="K172" s="1604"/>
      <c r="L172" s="1039"/>
      <c r="M172" s="558"/>
      <c r="N172" s="1039"/>
      <c r="O172" s="389"/>
      <c r="P172" s="389"/>
      <c r="Q172" s="379"/>
      <c r="R172" s="379"/>
      <c r="S172" s="379"/>
      <c r="T172" s="379"/>
      <c r="U172" s="1598"/>
      <c r="V172" s="1598"/>
      <c r="W172" s="1095"/>
      <c r="X172" s="1113"/>
      <c r="Y172" s="1113"/>
      <c r="Z172" s="379"/>
      <c r="AA172" s="1598"/>
      <c r="AB172" s="1598"/>
      <c r="AC172" s="1095"/>
      <c r="AD172" s="1113"/>
      <c r="AE172" s="1113"/>
      <c r="AF172" s="379"/>
      <c r="AG172" s="379"/>
      <c r="AH172" s="379"/>
      <c r="AI172" s="481"/>
      <c r="AJ172" s="379"/>
      <c r="AK172" s="440"/>
      <c r="AM172" s="460">
        <v>172</v>
      </c>
      <c r="AN172" s="1078"/>
    </row>
    <row r="173" spans="1:54" ht="12" customHeight="1" x14ac:dyDescent="0.2">
      <c r="A173" s="440"/>
      <c r="B173" s="320"/>
      <c r="C173" s="1036"/>
      <c r="D173" s="1036"/>
      <c r="E173" s="1036"/>
      <c r="F173" s="1036"/>
      <c r="G173" s="1036"/>
      <c r="H173" s="1036"/>
      <c r="I173" s="1036"/>
      <c r="J173" s="1598"/>
      <c r="K173" s="1598"/>
      <c r="L173" s="1033"/>
      <c r="M173" s="498"/>
      <c r="N173" s="503"/>
      <c r="O173" s="1036"/>
      <c r="P173" s="1036"/>
      <c r="Q173" s="1036"/>
      <c r="R173" s="1036"/>
      <c r="S173" s="372"/>
      <c r="T173" s="372"/>
      <c r="U173" s="372"/>
      <c r="V173" s="372"/>
      <c r="W173" s="1096"/>
      <c r="X173" s="1110"/>
      <c r="Y173" s="1110"/>
      <c r="Z173" s="372"/>
      <c r="AA173" s="372"/>
      <c r="AB173" s="372"/>
      <c r="AC173" s="1096"/>
      <c r="AD173" s="1110"/>
      <c r="AE173" s="1110"/>
      <c r="AF173" s="372"/>
      <c r="AG173" s="372"/>
      <c r="AH173" s="372"/>
      <c r="AI173" s="482"/>
      <c r="AJ173" s="372"/>
      <c r="AK173" s="440"/>
      <c r="AM173" s="460">
        <v>173</v>
      </c>
      <c r="AN173" s="1078"/>
    </row>
    <row r="174" spans="1:54" ht="14.25" customHeight="1" x14ac:dyDescent="0.2">
      <c r="A174" s="440"/>
      <c r="B174" s="499">
        <v>4</v>
      </c>
      <c r="C174" s="494"/>
      <c r="D174" s="495"/>
      <c r="E174" s="1034" t="s">
        <v>23</v>
      </c>
      <c r="F174" s="1034"/>
      <c r="G174" s="1034"/>
      <c r="H174" s="1034"/>
      <c r="I174" s="380"/>
      <c r="J174" s="380"/>
      <c r="K174" s="463"/>
      <c r="L174" s="463"/>
      <c r="M174" s="498"/>
      <c r="N174" s="359"/>
      <c r="O174" s="363"/>
      <c r="P174" s="363"/>
      <c r="Q174" s="363"/>
      <c r="R174" s="363"/>
      <c r="S174" s="385">
        <f ca="1">S175+S181</f>
        <v>188442.408</v>
      </c>
      <c r="T174" s="363"/>
      <c r="U174" s="358"/>
      <c r="V174" s="358"/>
      <c r="W174" s="1091"/>
      <c r="X174" s="1104"/>
      <c r="Y174" s="1104"/>
      <c r="Z174" s="363"/>
      <c r="AA174" s="358"/>
      <c r="AB174" s="358"/>
      <c r="AC174" s="1091"/>
      <c r="AD174" s="1104"/>
      <c r="AE174" s="1104"/>
      <c r="AF174" s="358"/>
      <c r="AG174" s="358"/>
      <c r="AH174" s="358"/>
      <c r="AI174" s="358"/>
      <c r="AJ174" s="358"/>
      <c r="AK174" s="440"/>
      <c r="AM174" s="460">
        <v>174</v>
      </c>
      <c r="AN174" s="1078"/>
    </row>
    <row r="175" spans="1:54" ht="14.25" customHeight="1" x14ac:dyDescent="0.25">
      <c r="A175" s="440"/>
      <c r="B175" s="1043"/>
      <c r="C175" s="1036" t="s">
        <v>22</v>
      </c>
      <c r="D175" s="494"/>
      <c r="E175" s="1596" t="s">
        <v>21</v>
      </c>
      <c r="F175" s="1596"/>
      <c r="G175" s="1596"/>
      <c r="H175" s="1596"/>
      <c r="I175" s="1597"/>
      <c r="J175" s="1038"/>
      <c r="K175" s="462"/>
      <c r="L175" s="462"/>
      <c r="M175" s="498"/>
      <c r="N175" s="359"/>
      <c r="O175" s="363"/>
      <c r="P175" s="363"/>
      <c r="Q175" s="363"/>
      <c r="R175" s="363"/>
      <c r="S175" s="355">
        <f ca="1">S176</f>
        <v>0</v>
      </c>
      <c r="T175" s="363"/>
      <c r="U175" s="358"/>
      <c r="V175" s="358"/>
      <c r="W175" s="1091"/>
      <c r="X175" s="1104"/>
      <c r="Y175" s="1104"/>
      <c r="Z175" s="363"/>
      <c r="AA175" s="358"/>
      <c r="AB175" s="358"/>
      <c r="AC175" s="1091"/>
      <c r="AD175" s="1104"/>
      <c r="AE175" s="1104"/>
      <c r="AF175" s="358"/>
      <c r="AG175" s="358"/>
      <c r="AH175" s="358"/>
      <c r="AI175" s="358"/>
      <c r="AJ175" s="358"/>
      <c r="AK175" s="440"/>
      <c r="AM175" s="460">
        <v>175</v>
      </c>
      <c r="AN175" s="1078"/>
    </row>
    <row r="176" spans="1:54" ht="12" customHeight="1" x14ac:dyDescent="0.25">
      <c r="A176" s="440"/>
      <c r="B176" s="1043"/>
      <c r="C176" s="380"/>
      <c r="D176" s="1037" t="s">
        <v>20</v>
      </c>
      <c r="E176" s="1599" t="s">
        <v>19</v>
      </c>
      <c r="F176" s="1599"/>
      <c r="G176" s="1599"/>
      <c r="H176" s="1599"/>
      <c r="I176" s="1597"/>
      <c r="J176" s="1038"/>
      <c r="K176" s="529"/>
      <c r="L176" s="503"/>
      <c r="M176" s="498"/>
      <c r="N176" s="359"/>
      <c r="O176" s="363"/>
      <c r="P176" s="363"/>
      <c r="Q176" s="363"/>
      <c r="R176" s="363"/>
      <c r="S176" s="390">
        <f ca="1">SUBTOTAL(109,S178:S180)</f>
        <v>0</v>
      </c>
      <c r="T176" s="363"/>
      <c r="U176" s="358"/>
      <c r="V176" s="358"/>
      <c r="W176" s="1091"/>
      <c r="X176" s="1104"/>
      <c r="Y176" s="1104"/>
      <c r="Z176" s="363"/>
      <c r="AA176" s="358"/>
      <c r="AB176" s="358"/>
      <c r="AC176" s="1091"/>
      <c r="AD176" s="1104"/>
      <c r="AE176" s="1104"/>
      <c r="AF176" s="358"/>
      <c r="AG176" s="358"/>
      <c r="AH176" s="358"/>
      <c r="AI176" s="358"/>
      <c r="AJ176" s="380"/>
      <c r="AK176" s="440"/>
      <c r="AM176" s="460">
        <v>176</v>
      </c>
      <c r="AN176" s="1078"/>
    </row>
    <row r="177" spans="1:54" ht="12" customHeight="1" x14ac:dyDescent="0.25">
      <c r="A177" s="440"/>
      <c r="B177" s="1043"/>
      <c r="C177" s="380"/>
      <c r="D177" s="1037"/>
      <c r="E177" s="1037"/>
      <c r="F177" s="1037"/>
      <c r="G177" s="1037"/>
      <c r="H177" s="1037"/>
      <c r="I177" s="1035"/>
      <c r="J177" s="1603" t="s">
        <v>170</v>
      </c>
      <c r="K177" s="1603"/>
      <c r="L177" s="503"/>
      <c r="M177" s="498"/>
      <c r="N177" s="359"/>
      <c r="O177" s="363"/>
      <c r="P177" s="363"/>
      <c r="Q177" s="363"/>
      <c r="R177" s="363"/>
      <c r="S177" s="390"/>
      <c r="T177" s="363"/>
      <c r="U177" s="358"/>
      <c r="V177" s="358"/>
      <c r="W177" s="1091"/>
      <c r="X177" s="1104"/>
      <c r="Y177" s="1104"/>
      <c r="Z177" s="363"/>
      <c r="AA177" s="358"/>
      <c r="AB177" s="358"/>
      <c r="AC177" s="1091"/>
      <c r="AD177" s="1104"/>
      <c r="AE177" s="1104"/>
      <c r="AF177" s="358"/>
      <c r="AG177" s="358"/>
      <c r="AH177" s="358"/>
      <c r="AI177" s="358"/>
      <c r="AJ177" s="380"/>
      <c r="AK177" s="440"/>
      <c r="AM177" s="460">
        <v>177</v>
      </c>
      <c r="AN177" s="1078"/>
    </row>
    <row r="178" spans="1:54" ht="12" customHeight="1" x14ac:dyDescent="0.2">
      <c r="A178" s="440"/>
      <c r="B178" s="1043"/>
      <c r="C178" s="380"/>
      <c r="D178" s="1037"/>
      <c r="E178" s="1084">
        <f ca="1">IF(AX178="E","",AN178)</f>
        <v>0</v>
      </c>
      <c r="F178" s="1085"/>
      <c r="G178" s="1264"/>
      <c r="H178" s="1264"/>
      <c r="I178" s="1265"/>
      <c r="J178" s="638"/>
      <c r="K178" s="520" t="s">
        <v>177</v>
      </c>
      <c r="L178" s="521"/>
      <c r="M178" s="340"/>
      <c r="N178" s="528" t="s">
        <v>67</v>
      </c>
      <c r="O178" s="339"/>
      <c r="P178" s="543" t="s">
        <v>68</v>
      </c>
      <c r="Q178" s="344"/>
      <c r="R178" s="522" t="s">
        <v>363</v>
      </c>
      <c r="S178" s="353">
        <f t="shared" ref="S178:S180" ca="1" si="314">IF(AY178="E",(M178*O178)+Q178,AO178)</f>
        <v>0</v>
      </c>
      <c r="T178" s="523"/>
      <c r="U178" s="350"/>
      <c r="V178" s="308"/>
      <c r="W178" s="1090" t="str">
        <f t="shared" ref="W178:W180" ca="1" si="315">IF(AZ178="E",IF(AND(V178&lt;&gt;0,U178&lt;&gt;0),"X",IF(AND(V178&lt;&gt;0,U178=0),"A",IF(AND(V178=0,U178&lt;&gt;0),"P",""))),AR178)</f>
        <v/>
      </c>
      <c r="X178" s="1103">
        <f t="shared" ref="X178:X180" ca="1" si="316">IF(AZ178="E",IFERROR(IF(W178="X",0,IF(U178&gt;0,U178,V178/S178)),0),
IFERROR(IF(OR(AR178="X",AR178=0),0,
IF(AR178="P",AP178,IF(AR178="A",AQ178/S178,0))),0))</f>
        <v>0</v>
      </c>
      <c r="Y178" s="1120">
        <f t="shared" ref="Y178:Y180" ca="1" si="317">IF(AZ178="E",IFERROR(IF(W178="X",0,IF(V178&gt;0,V178,S178*U178)),0),
IFERROR(IF(OR(AR178="X",AR178="0"),0,IF(AR178="A",AQ178,S178*AP178)),0))</f>
        <v>0</v>
      </c>
      <c r="Z178" s="524"/>
      <c r="AA178" s="350"/>
      <c r="AB178" s="308"/>
      <c r="AC178" s="1090" t="str">
        <f t="shared" ref="AC178:AC180" ca="1" si="318">IF(BA178="E",IF(AND(AB178&lt;&gt;0,AA178&lt;&gt;0),"X",IF(AND(AB178&lt;&gt;0,AA178=0),"A",IF(AND(AB178=0,AA178&lt;&gt;0),"P",""))),AU178)</f>
        <v/>
      </c>
      <c r="AD178" s="1103">
        <f t="shared" ref="AD178:AD180" ca="1" si="319">IF(BA178="E",IFERROR(IF(AC178="X",0,IF(AA178&gt;0,AA178,AB178/S178)),0),
IFERROR(IF(OR(AU178="X",AU178=0),0,
IF(AU178="P",AS178,IF(AU178="A",AT178/S178,0))),0))</f>
        <v>0</v>
      </c>
      <c r="AE178" s="1120">
        <f t="shared" ref="AE178:AE180" ca="1" si="320">IF(BA178="E",IFERROR(IF(AC178="X",0,IF(AB178&gt;0,AB178,S178*AA178)),0),
IFERROR(IF(OR(AU178="X",AU178=0),0,
IF(AU178="A",AT178,S178*AS178)),0))</f>
        <v>0</v>
      </c>
      <c r="AF178" s="525"/>
      <c r="AG178" s="637"/>
      <c r="AH178" s="525"/>
      <c r="AI178" s="1086">
        <f t="shared" ref="AI178:AI180" ca="1" si="321">IF(BB178="E",AG178,AV178)</f>
        <v>0</v>
      </c>
      <c r="AJ178" s="380"/>
      <c r="AK178" s="440"/>
      <c r="AM178" s="460">
        <v>178</v>
      </c>
      <c r="AN178" s="1087">
        <f t="shared" ref="AN178:AN180" ca="1" si="322">IF($M$13=$AN$12,"",IF(ISTEXT(INDIRECT("'"&amp;$AM$20&amp;"'!"&amp;AN$21&amp;$AM178)),INDIRECT("'"&amp;$AM$20&amp;"'!"&amp;AN$21&amp;$AM178),INDIRECT("'"&amp;$AM$20&amp;"'!"&amp;AN$22&amp;$AM178)))</f>
        <v>0</v>
      </c>
      <c r="AO178" s="1083">
        <f t="shared" ref="AO178:AV180" ca="1" si="323">IF($M$13=$AN$12,"",INDIRECT("'"&amp;$AM$20&amp;"'!"&amp;AO$21&amp;$AM178))</f>
        <v>0</v>
      </c>
      <c r="AP178" s="356">
        <f t="shared" ca="1" si="323"/>
        <v>0</v>
      </c>
      <c r="AQ178" s="357">
        <f t="shared" ca="1" si="323"/>
        <v>0</v>
      </c>
      <c r="AR178" s="524" t="str">
        <f t="shared" ca="1" si="323"/>
        <v/>
      </c>
      <c r="AS178" s="356">
        <f t="shared" ca="1" si="323"/>
        <v>0</v>
      </c>
      <c r="AT178" s="357">
        <f t="shared" ca="1" si="323"/>
        <v>0</v>
      </c>
      <c r="AU178" s="524" t="str">
        <f t="shared" ca="1" si="323"/>
        <v/>
      </c>
      <c r="AV178" s="1083">
        <f t="shared" ca="1" si="323"/>
        <v>0</v>
      </c>
      <c r="AX178" s="1083" t="str">
        <f t="shared" ref="AX178:AX180" si="324">IF($M$13=$AN$12,"E",IF(ISTEXT(F178),"E","U"))</f>
        <v>U</v>
      </c>
      <c r="AY178" s="1083" t="str">
        <f t="shared" ref="AY178:AY180" si="325">IF($M$13=$AN$12,"E",IF(OR(ISNUMBER(M178),ISNUMBER(O178),ISNUMBER(Q178)),"E","U"))</f>
        <v>U</v>
      </c>
      <c r="AZ178" s="1083" t="str">
        <f t="shared" ref="AZ178:AZ180" si="326">IF($M$13=$AN$12,"E",IF(OR(ISNUMBER(U178),ISNUMBER(V178)),"E","U"))</f>
        <v>U</v>
      </c>
      <c r="BA178" s="1083" t="str">
        <f t="shared" ref="BA178:BA180" si="327">IF($M$13=$AN$12,"E",IF(OR(ISNUMBER(AA178),ISNUMBER(AB178)),"E","U"))</f>
        <v>U</v>
      </c>
      <c r="BB178" s="1083" t="str">
        <f t="shared" ref="BB178:BB180" si="328">IF($M$13=$AN$12,"E",IF(ISNUMBER(AG178),"E","U"))</f>
        <v>U</v>
      </c>
    </row>
    <row r="179" spans="1:54" ht="12" customHeight="1" x14ac:dyDescent="0.2">
      <c r="A179" s="440"/>
      <c r="B179" s="1043"/>
      <c r="C179" s="380"/>
      <c r="D179" s="1037"/>
      <c r="E179" s="1084">
        <f ca="1">IF(AX179="E","",AN179)</f>
        <v>0</v>
      </c>
      <c r="F179" s="1085"/>
      <c r="G179" s="1264"/>
      <c r="H179" s="1264"/>
      <c r="I179" s="1265"/>
      <c r="J179" s="638"/>
      <c r="K179" s="520" t="s">
        <v>177</v>
      </c>
      <c r="L179" s="521"/>
      <c r="M179" s="340"/>
      <c r="N179" s="528" t="s">
        <v>67</v>
      </c>
      <c r="O179" s="339"/>
      <c r="P179" s="543" t="s">
        <v>68</v>
      </c>
      <c r="Q179" s="344"/>
      <c r="R179" s="522" t="s">
        <v>363</v>
      </c>
      <c r="S179" s="353">
        <f t="shared" ca="1" si="314"/>
        <v>0</v>
      </c>
      <c r="T179" s="523"/>
      <c r="U179" s="350"/>
      <c r="V179" s="308"/>
      <c r="W179" s="1090" t="str">
        <f t="shared" ca="1" si="315"/>
        <v/>
      </c>
      <c r="X179" s="1103">
        <f t="shared" ca="1" si="316"/>
        <v>0</v>
      </c>
      <c r="Y179" s="1120">
        <f t="shared" ca="1" si="317"/>
        <v>0</v>
      </c>
      <c r="Z179" s="524"/>
      <c r="AA179" s="350"/>
      <c r="AB179" s="308"/>
      <c r="AC179" s="1090" t="str">
        <f t="shared" ca="1" si="318"/>
        <v/>
      </c>
      <c r="AD179" s="1103">
        <f t="shared" ca="1" si="319"/>
        <v>0</v>
      </c>
      <c r="AE179" s="1120">
        <f t="shared" ca="1" si="320"/>
        <v>0</v>
      </c>
      <c r="AF179" s="525"/>
      <c r="AG179" s="637"/>
      <c r="AH179" s="525"/>
      <c r="AI179" s="1086">
        <f t="shared" ca="1" si="321"/>
        <v>0</v>
      </c>
      <c r="AJ179" s="380"/>
      <c r="AK179" s="440"/>
      <c r="AM179" s="460">
        <v>179</v>
      </c>
      <c r="AN179" s="1087">
        <f t="shared" ca="1" si="322"/>
        <v>0</v>
      </c>
      <c r="AO179" s="1083">
        <f t="shared" ca="1" si="323"/>
        <v>0</v>
      </c>
      <c r="AP179" s="356">
        <f t="shared" ca="1" si="323"/>
        <v>0</v>
      </c>
      <c r="AQ179" s="357">
        <f t="shared" ca="1" si="323"/>
        <v>0</v>
      </c>
      <c r="AR179" s="524" t="str">
        <f t="shared" ca="1" si="323"/>
        <v/>
      </c>
      <c r="AS179" s="356">
        <f t="shared" ca="1" si="323"/>
        <v>0</v>
      </c>
      <c r="AT179" s="357">
        <f t="shared" ca="1" si="323"/>
        <v>0</v>
      </c>
      <c r="AU179" s="524" t="str">
        <f t="shared" ca="1" si="323"/>
        <v/>
      </c>
      <c r="AV179" s="1083">
        <f t="shared" ca="1" si="323"/>
        <v>0</v>
      </c>
      <c r="AX179" s="1083" t="str">
        <f t="shared" si="324"/>
        <v>U</v>
      </c>
      <c r="AY179" s="1083" t="str">
        <f t="shared" si="325"/>
        <v>U</v>
      </c>
      <c r="AZ179" s="1083" t="str">
        <f t="shared" si="326"/>
        <v>U</v>
      </c>
      <c r="BA179" s="1083" t="str">
        <f t="shared" si="327"/>
        <v>U</v>
      </c>
      <c r="BB179" s="1083" t="str">
        <f t="shared" si="328"/>
        <v>U</v>
      </c>
    </row>
    <row r="180" spans="1:54" ht="12" customHeight="1" x14ac:dyDescent="0.2">
      <c r="A180" s="440"/>
      <c r="B180" s="1043"/>
      <c r="C180" s="380"/>
      <c r="D180" s="1037"/>
      <c r="E180" s="1084">
        <f ca="1">IF(AX180="E","",AN180)</f>
        <v>0</v>
      </c>
      <c r="F180" s="1085"/>
      <c r="G180" s="1264"/>
      <c r="H180" s="1264"/>
      <c r="I180" s="1265"/>
      <c r="J180" s="638"/>
      <c r="K180" s="520" t="s">
        <v>177</v>
      </c>
      <c r="L180" s="521"/>
      <c r="M180" s="340"/>
      <c r="N180" s="528" t="s">
        <v>67</v>
      </c>
      <c r="O180" s="339"/>
      <c r="P180" s="543" t="s">
        <v>68</v>
      </c>
      <c r="Q180" s="344"/>
      <c r="R180" s="522" t="s">
        <v>363</v>
      </c>
      <c r="S180" s="353">
        <f t="shared" ca="1" si="314"/>
        <v>0</v>
      </c>
      <c r="T180" s="523"/>
      <c r="U180" s="350"/>
      <c r="V180" s="308"/>
      <c r="W180" s="1090" t="str">
        <f t="shared" ca="1" si="315"/>
        <v/>
      </c>
      <c r="X180" s="1103">
        <f t="shared" ca="1" si="316"/>
        <v>0</v>
      </c>
      <c r="Y180" s="1120">
        <f t="shared" ca="1" si="317"/>
        <v>0</v>
      </c>
      <c r="Z180" s="524"/>
      <c r="AA180" s="350"/>
      <c r="AB180" s="308"/>
      <c r="AC180" s="1090" t="str">
        <f t="shared" ca="1" si="318"/>
        <v/>
      </c>
      <c r="AD180" s="1103">
        <f t="shared" ca="1" si="319"/>
        <v>0</v>
      </c>
      <c r="AE180" s="1120">
        <f t="shared" ca="1" si="320"/>
        <v>0</v>
      </c>
      <c r="AF180" s="525"/>
      <c r="AG180" s="637"/>
      <c r="AH180" s="525"/>
      <c r="AI180" s="1086">
        <f t="shared" ca="1" si="321"/>
        <v>0</v>
      </c>
      <c r="AJ180" s="380"/>
      <c r="AK180" s="440"/>
      <c r="AM180" s="460">
        <v>180</v>
      </c>
      <c r="AN180" s="1087">
        <f t="shared" ca="1" si="322"/>
        <v>0</v>
      </c>
      <c r="AO180" s="1083">
        <f t="shared" ca="1" si="323"/>
        <v>0</v>
      </c>
      <c r="AP180" s="356">
        <f t="shared" ca="1" si="323"/>
        <v>0</v>
      </c>
      <c r="AQ180" s="357">
        <f t="shared" ca="1" si="323"/>
        <v>0</v>
      </c>
      <c r="AR180" s="524" t="str">
        <f t="shared" ca="1" si="323"/>
        <v/>
      </c>
      <c r="AS180" s="356">
        <f t="shared" ca="1" si="323"/>
        <v>0</v>
      </c>
      <c r="AT180" s="357">
        <f t="shared" ca="1" si="323"/>
        <v>0</v>
      </c>
      <c r="AU180" s="524" t="str">
        <f t="shared" ca="1" si="323"/>
        <v/>
      </c>
      <c r="AV180" s="1083">
        <f t="shared" ca="1" si="323"/>
        <v>0</v>
      </c>
      <c r="AX180" s="1083" t="str">
        <f t="shared" si="324"/>
        <v>U</v>
      </c>
      <c r="AY180" s="1083" t="str">
        <f t="shared" si="325"/>
        <v>U</v>
      </c>
      <c r="AZ180" s="1083" t="str">
        <f t="shared" si="326"/>
        <v>U</v>
      </c>
      <c r="BA180" s="1083" t="str">
        <f t="shared" si="327"/>
        <v>U</v>
      </c>
      <c r="BB180" s="1083" t="str">
        <f t="shared" si="328"/>
        <v>U</v>
      </c>
    </row>
    <row r="181" spans="1:54" ht="14.25" customHeight="1" x14ac:dyDescent="0.25">
      <c r="A181" s="440"/>
      <c r="B181" s="1043"/>
      <c r="C181" s="1036" t="s">
        <v>18</v>
      </c>
      <c r="D181" s="494"/>
      <c r="E181" s="1596" t="s">
        <v>17</v>
      </c>
      <c r="F181" s="1596"/>
      <c r="G181" s="1596"/>
      <c r="H181" s="1596"/>
      <c r="I181" s="1597"/>
      <c r="J181" s="1038"/>
      <c r="K181" s="462"/>
      <c r="L181" s="462"/>
      <c r="M181" s="498"/>
      <c r="N181" s="359"/>
      <c r="O181" s="363"/>
      <c r="P181" s="363"/>
      <c r="Q181" s="363"/>
      <c r="R181" s="363"/>
      <c r="S181" s="355">
        <f ca="1">S182+S186+S195</f>
        <v>188442.408</v>
      </c>
      <c r="T181" s="363"/>
      <c r="U181" s="375"/>
      <c r="V181" s="358"/>
      <c r="W181" s="1091"/>
      <c r="X181" s="1114"/>
      <c r="Y181" s="1104"/>
      <c r="Z181" s="363"/>
      <c r="AA181" s="375"/>
      <c r="AB181" s="358"/>
      <c r="AC181" s="1091"/>
      <c r="AD181" s="1114"/>
      <c r="AE181" s="1104"/>
      <c r="AF181" s="358"/>
      <c r="AG181" s="358"/>
      <c r="AH181" s="358"/>
      <c r="AI181" s="358"/>
      <c r="AJ181" s="380"/>
      <c r="AK181" s="440"/>
      <c r="AM181" s="460">
        <v>181</v>
      </c>
      <c r="AN181" s="1078"/>
    </row>
    <row r="182" spans="1:54" ht="12" customHeight="1" x14ac:dyDescent="0.25">
      <c r="A182" s="440"/>
      <c r="B182" s="1043"/>
      <c r="C182" s="380"/>
      <c r="D182" s="1037" t="s">
        <v>342</v>
      </c>
      <c r="E182" s="1599" t="s">
        <v>182</v>
      </c>
      <c r="F182" s="1599"/>
      <c r="G182" s="1599"/>
      <c r="H182" s="1599"/>
      <c r="I182" s="1597"/>
      <c r="J182" s="1038"/>
      <c r="K182" s="529"/>
      <c r="L182" s="503"/>
      <c r="M182" s="498"/>
      <c r="N182" s="359"/>
      <c r="O182" s="363"/>
      <c r="P182" s="363"/>
      <c r="Q182" s="363"/>
      <c r="R182" s="363"/>
      <c r="S182" s="390">
        <f ca="1">SUBTOTAL(109,S184:S185)</f>
        <v>0</v>
      </c>
      <c r="T182" s="363"/>
      <c r="U182" s="375"/>
      <c r="V182" s="358"/>
      <c r="W182" s="1091"/>
      <c r="X182" s="1114"/>
      <c r="Y182" s="1104"/>
      <c r="Z182" s="363"/>
      <c r="AA182" s="375"/>
      <c r="AB182" s="358"/>
      <c r="AC182" s="1091"/>
      <c r="AD182" s="1114"/>
      <c r="AE182" s="1104"/>
      <c r="AF182" s="358"/>
      <c r="AG182" s="358"/>
      <c r="AH182" s="358"/>
      <c r="AI182" s="358"/>
      <c r="AJ182" s="380"/>
      <c r="AK182" s="440"/>
      <c r="AM182" s="460">
        <v>182</v>
      </c>
      <c r="AN182" s="1078"/>
    </row>
    <row r="183" spans="1:54" ht="12" customHeight="1" x14ac:dyDescent="0.25">
      <c r="A183" s="440"/>
      <c r="B183" s="1043"/>
      <c r="C183" s="380"/>
      <c r="D183" s="1037"/>
      <c r="E183" s="1037"/>
      <c r="F183" s="1037"/>
      <c r="G183" s="1037"/>
      <c r="H183" s="1037"/>
      <c r="I183" s="1035"/>
      <c r="J183" s="1603" t="s">
        <v>170</v>
      </c>
      <c r="K183" s="1603"/>
      <c r="L183" s="503"/>
      <c r="M183" s="498"/>
      <c r="N183" s="359"/>
      <c r="O183" s="363"/>
      <c r="P183" s="363"/>
      <c r="Q183" s="363"/>
      <c r="R183" s="363"/>
      <c r="S183" s="390"/>
      <c r="T183" s="363"/>
      <c r="U183" s="375"/>
      <c r="V183" s="358"/>
      <c r="W183" s="1091"/>
      <c r="X183" s="1114"/>
      <c r="Y183" s="1104"/>
      <c r="Z183" s="363"/>
      <c r="AA183" s="375"/>
      <c r="AB183" s="358"/>
      <c r="AC183" s="1091"/>
      <c r="AD183" s="1114"/>
      <c r="AE183" s="1104"/>
      <c r="AF183" s="358"/>
      <c r="AG183" s="358"/>
      <c r="AH183" s="358"/>
      <c r="AI183" s="358"/>
      <c r="AJ183" s="380"/>
      <c r="AK183" s="440"/>
      <c r="AM183" s="460">
        <v>183</v>
      </c>
      <c r="AN183" s="1078"/>
    </row>
    <row r="184" spans="1:54" ht="12" customHeight="1" x14ac:dyDescent="0.2">
      <c r="A184" s="440"/>
      <c r="B184" s="1043"/>
      <c r="C184" s="380"/>
      <c r="D184" s="1037"/>
      <c r="E184" s="1084">
        <f ca="1">IF(AX184="E","",AN184)</f>
        <v>0</v>
      </c>
      <c r="F184" s="1085"/>
      <c r="G184" s="1264"/>
      <c r="H184" s="1264"/>
      <c r="I184" s="1265"/>
      <c r="J184" s="638"/>
      <c r="K184" s="520" t="s">
        <v>177</v>
      </c>
      <c r="L184" s="521"/>
      <c r="M184" s="340"/>
      <c r="N184" s="528" t="s">
        <v>67</v>
      </c>
      <c r="O184" s="339"/>
      <c r="P184" s="543" t="s">
        <v>68</v>
      </c>
      <c r="Q184" s="344"/>
      <c r="R184" s="522" t="s">
        <v>363</v>
      </c>
      <c r="S184" s="353">
        <f t="shared" ref="S184:S185" ca="1" si="329">IF(AY184="E",(M184*O184)+Q184,AO184)</f>
        <v>0</v>
      </c>
      <c r="T184" s="523"/>
      <c r="U184" s="350"/>
      <c r="V184" s="308"/>
      <c r="W184" s="1090" t="str">
        <f t="shared" ref="W184:W185" ca="1" si="330">IF(AZ184="E",IF(AND(V184&lt;&gt;0,U184&lt;&gt;0),"X",IF(AND(V184&lt;&gt;0,U184=0),"A",IF(AND(V184=0,U184&lt;&gt;0),"P",""))),AR184)</f>
        <v/>
      </c>
      <c r="X184" s="1103">
        <f t="shared" ref="X184:X185" ca="1" si="331">IF(AZ184="E",IFERROR(IF(W184="X",0,IF(U184&gt;0,U184,V184/S184)),0),
IFERROR(IF(OR(AR184="X",AR184=0),0,
IF(AR184="P",AP184,IF(AR184="A",AQ184/S184,0))),0))</f>
        <v>0</v>
      </c>
      <c r="Y184" s="1120">
        <f t="shared" ref="Y184:Y185" ca="1" si="332">IF(AZ184="E",IFERROR(IF(W184="X",0,IF(V184&gt;0,V184,S184*U184)),0),
IFERROR(IF(OR(AR184="X",AR184="0"),0,IF(AR184="A",AQ184,S184*AP184)),0))</f>
        <v>0</v>
      </c>
      <c r="Z184" s="524"/>
      <c r="AA184" s="350"/>
      <c r="AB184" s="308"/>
      <c r="AC184" s="1090" t="str">
        <f t="shared" ref="AC184:AC185" ca="1" si="333">IF(BA184="E",IF(AND(AB184&lt;&gt;0,AA184&lt;&gt;0),"X",IF(AND(AB184&lt;&gt;0,AA184=0),"A",IF(AND(AB184=0,AA184&lt;&gt;0),"P",""))),AU184)</f>
        <v/>
      </c>
      <c r="AD184" s="1103">
        <f t="shared" ref="AD184:AD185" ca="1" si="334">IF(BA184="E",IFERROR(IF(AC184="X",0,IF(AA184&gt;0,AA184,AB184/S184)),0),
IFERROR(IF(OR(AU184="X",AU184=0),0,
IF(AU184="P",AS184,IF(AU184="A",AT184/S184,0))),0))</f>
        <v>0</v>
      </c>
      <c r="AE184" s="1120">
        <f t="shared" ref="AE184:AE185" ca="1" si="335">IF(BA184="E",IFERROR(IF(AC184="X",0,IF(AB184&gt;0,AB184,S184*AA184)),0),
IFERROR(IF(OR(AU184="X",AU184=0),0,
IF(AU184="A",AT184,S184*AS184)),0))</f>
        <v>0</v>
      </c>
      <c r="AF184" s="525"/>
      <c r="AG184" s="637"/>
      <c r="AH184" s="525"/>
      <c r="AI184" s="1086">
        <f t="shared" ref="AI184:AI185" ca="1" si="336">IF(BB184="E",AG184,AV184)</f>
        <v>0</v>
      </c>
      <c r="AJ184" s="380"/>
      <c r="AK184" s="440"/>
      <c r="AM184" s="460">
        <v>184</v>
      </c>
      <c r="AN184" s="1087">
        <f t="shared" ref="AN184:AN185" ca="1" si="337">IF($M$13=$AN$12,"",IF(ISTEXT(INDIRECT("'"&amp;$AM$20&amp;"'!"&amp;AN$21&amp;$AM184)),INDIRECT("'"&amp;$AM$20&amp;"'!"&amp;AN$21&amp;$AM184),INDIRECT("'"&amp;$AM$20&amp;"'!"&amp;AN$22&amp;$AM184)))</f>
        <v>0</v>
      </c>
      <c r="AO184" s="1083">
        <f t="shared" ref="AO184:AV185" ca="1" si="338">IF($M$13=$AN$12,"",INDIRECT("'"&amp;$AM$20&amp;"'!"&amp;AO$21&amp;$AM184))</f>
        <v>0</v>
      </c>
      <c r="AP184" s="356">
        <f t="shared" ca="1" si="338"/>
        <v>0</v>
      </c>
      <c r="AQ184" s="357">
        <f t="shared" ca="1" si="338"/>
        <v>0</v>
      </c>
      <c r="AR184" s="524" t="str">
        <f t="shared" ca="1" si="338"/>
        <v/>
      </c>
      <c r="AS184" s="356">
        <f t="shared" ca="1" si="338"/>
        <v>0</v>
      </c>
      <c r="AT184" s="357">
        <f t="shared" ca="1" si="338"/>
        <v>0</v>
      </c>
      <c r="AU184" s="524" t="str">
        <f t="shared" ca="1" si="338"/>
        <v/>
      </c>
      <c r="AV184" s="1083">
        <f t="shared" ca="1" si="338"/>
        <v>0</v>
      </c>
      <c r="AX184" s="1083" t="str">
        <f t="shared" ref="AX184:AX185" si="339">IF($M$13=$AN$12,"E",IF(ISTEXT(F184),"E","U"))</f>
        <v>U</v>
      </c>
      <c r="AY184" s="1083" t="str">
        <f t="shared" ref="AY184:AY185" si="340">IF($M$13=$AN$12,"E",IF(OR(ISNUMBER(M184),ISNUMBER(O184),ISNUMBER(Q184)),"E","U"))</f>
        <v>U</v>
      </c>
      <c r="AZ184" s="1083" t="str">
        <f t="shared" ref="AZ184:AZ185" si="341">IF($M$13=$AN$12,"E",IF(OR(ISNUMBER(U184),ISNUMBER(V184)),"E","U"))</f>
        <v>U</v>
      </c>
      <c r="BA184" s="1083" t="str">
        <f t="shared" ref="BA184:BA185" si="342">IF($M$13=$AN$12,"E",IF(OR(ISNUMBER(AA184),ISNUMBER(AB184)),"E","U"))</f>
        <v>U</v>
      </c>
      <c r="BB184" s="1083" t="str">
        <f t="shared" ref="BB184:BB185" si="343">IF($M$13=$AN$12,"E",IF(ISNUMBER(AG184),"E","U"))</f>
        <v>U</v>
      </c>
    </row>
    <row r="185" spans="1:54" ht="12" customHeight="1" x14ac:dyDescent="0.2">
      <c r="A185" s="440"/>
      <c r="B185" s="1043"/>
      <c r="C185" s="380"/>
      <c r="D185" s="1037"/>
      <c r="E185" s="1084">
        <f ca="1">IF(AX185="E","",AN185)</f>
        <v>0</v>
      </c>
      <c r="F185" s="1085"/>
      <c r="G185" s="1264"/>
      <c r="H185" s="1264"/>
      <c r="I185" s="1265"/>
      <c r="J185" s="638"/>
      <c r="K185" s="520" t="s">
        <v>177</v>
      </c>
      <c r="L185" s="521"/>
      <c r="M185" s="340"/>
      <c r="N185" s="528" t="s">
        <v>67</v>
      </c>
      <c r="O185" s="339"/>
      <c r="P185" s="543" t="s">
        <v>68</v>
      </c>
      <c r="Q185" s="344"/>
      <c r="R185" s="522" t="s">
        <v>363</v>
      </c>
      <c r="S185" s="353">
        <f t="shared" ca="1" si="329"/>
        <v>0</v>
      </c>
      <c r="T185" s="523"/>
      <c r="U185" s="350"/>
      <c r="V185" s="308"/>
      <c r="W185" s="1090" t="str">
        <f t="shared" ca="1" si="330"/>
        <v/>
      </c>
      <c r="X185" s="1103">
        <f t="shared" ca="1" si="331"/>
        <v>0</v>
      </c>
      <c r="Y185" s="1120">
        <f t="shared" ca="1" si="332"/>
        <v>0</v>
      </c>
      <c r="Z185" s="524"/>
      <c r="AA185" s="350"/>
      <c r="AB185" s="308"/>
      <c r="AC185" s="1090" t="str">
        <f t="shared" ca="1" si="333"/>
        <v/>
      </c>
      <c r="AD185" s="1103">
        <f t="shared" ca="1" si="334"/>
        <v>0</v>
      </c>
      <c r="AE185" s="1120">
        <f t="shared" ca="1" si="335"/>
        <v>0</v>
      </c>
      <c r="AF185" s="525"/>
      <c r="AG185" s="637"/>
      <c r="AH185" s="525"/>
      <c r="AI185" s="1086">
        <f t="shared" ca="1" si="336"/>
        <v>0</v>
      </c>
      <c r="AJ185" s="380"/>
      <c r="AK185" s="440"/>
      <c r="AM185" s="460">
        <v>185</v>
      </c>
      <c r="AN185" s="1087">
        <f t="shared" ca="1" si="337"/>
        <v>0</v>
      </c>
      <c r="AO185" s="1083">
        <f t="shared" ca="1" si="338"/>
        <v>0</v>
      </c>
      <c r="AP185" s="356">
        <f t="shared" ca="1" si="338"/>
        <v>0</v>
      </c>
      <c r="AQ185" s="357">
        <f t="shared" ca="1" si="338"/>
        <v>0</v>
      </c>
      <c r="AR185" s="524" t="str">
        <f t="shared" ca="1" si="338"/>
        <v/>
      </c>
      <c r="AS185" s="356">
        <f t="shared" ca="1" si="338"/>
        <v>0</v>
      </c>
      <c r="AT185" s="357">
        <f t="shared" ca="1" si="338"/>
        <v>0</v>
      </c>
      <c r="AU185" s="524" t="str">
        <f t="shared" ca="1" si="338"/>
        <v/>
      </c>
      <c r="AV185" s="1083">
        <f t="shared" ca="1" si="338"/>
        <v>0</v>
      </c>
      <c r="AX185" s="1083" t="str">
        <f t="shared" si="339"/>
        <v>U</v>
      </c>
      <c r="AY185" s="1083" t="str">
        <f t="shared" si="340"/>
        <v>U</v>
      </c>
      <c r="AZ185" s="1083" t="str">
        <f t="shared" si="341"/>
        <v>U</v>
      </c>
      <c r="BA185" s="1083" t="str">
        <f t="shared" si="342"/>
        <v>U</v>
      </c>
      <c r="BB185" s="1083" t="str">
        <f t="shared" si="343"/>
        <v>U</v>
      </c>
    </row>
    <row r="186" spans="1:54" ht="12" customHeight="1" x14ac:dyDescent="0.25">
      <c r="A186" s="440"/>
      <c r="B186" s="1043"/>
      <c r="C186" s="380"/>
      <c r="D186" s="1037" t="s">
        <v>343</v>
      </c>
      <c r="E186" s="1599" t="s">
        <v>183</v>
      </c>
      <c r="F186" s="1599"/>
      <c r="G186" s="1599"/>
      <c r="H186" s="1599"/>
      <c r="I186" s="1597"/>
      <c r="J186" s="1038"/>
      <c r="K186" s="529"/>
      <c r="L186" s="503"/>
      <c r="M186" s="498"/>
      <c r="N186" s="361"/>
      <c r="O186" s="365"/>
      <c r="P186" s="365"/>
      <c r="Q186" s="365"/>
      <c r="R186" s="365"/>
      <c r="S186" s="390">
        <f ca="1">SUBTOTAL(109,S188:S194)</f>
        <v>153092.80799999999</v>
      </c>
      <c r="T186" s="363"/>
      <c r="U186" s="375"/>
      <c r="V186" s="361"/>
      <c r="W186" s="1091"/>
      <c r="X186" s="1114"/>
      <c r="Y186" s="1121"/>
      <c r="Z186" s="363"/>
      <c r="AA186" s="375"/>
      <c r="AB186" s="361"/>
      <c r="AC186" s="1091"/>
      <c r="AD186" s="1114"/>
      <c r="AE186" s="1121"/>
      <c r="AF186" s="358"/>
      <c r="AG186" s="358"/>
      <c r="AH186" s="358"/>
      <c r="AI186" s="358"/>
      <c r="AJ186" s="380"/>
      <c r="AK186" s="440"/>
      <c r="AM186" s="460">
        <v>186</v>
      </c>
      <c r="AN186" s="1078"/>
    </row>
    <row r="187" spans="1:54" ht="12" customHeight="1" x14ac:dyDescent="0.25">
      <c r="A187" s="440"/>
      <c r="B187" s="1043"/>
      <c r="C187" s="380"/>
      <c r="D187" s="1037"/>
      <c r="E187" s="1037"/>
      <c r="F187" s="1037"/>
      <c r="G187" s="1037"/>
      <c r="H187" s="1037"/>
      <c r="I187" s="1035"/>
      <c r="J187" s="1603" t="s">
        <v>306</v>
      </c>
      <c r="K187" s="1603"/>
      <c r="L187" s="503"/>
      <c r="M187" s="498"/>
      <c r="N187" s="361"/>
      <c r="O187" s="365"/>
      <c r="P187" s="365"/>
      <c r="Q187" s="365"/>
      <c r="R187" s="365"/>
      <c r="S187" s="390"/>
      <c r="T187" s="363"/>
      <c r="U187" s="375"/>
      <c r="V187" s="361"/>
      <c r="W187" s="1091"/>
      <c r="X187" s="1114"/>
      <c r="Y187" s="1121"/>
      <c r="Z187" s="363"/>
      <c r="AA187" s="375"/>
      <c r="AB187" s="361"/>
      <c r="AC187" s="1091"/>
      <c r="AD187" s="1114"/>
      <c r="AE187" s="1121"/>
      <c r="AF187" s="358"/>
      <c r="AG187" s="358"/>
      <c r="AH187" s="358"/>
      <c r="AI187" s="358"/>
      <c r="AJ187" s="380"/>
      <c r="AK187" s="440"/>
      <c r="AM187" s="460">
        <v>187</v>
      </c>
      <c r="AN187" s="1078"/>
    </row>
    <row r="188" spans="1:54" ht="12" customHeight="1" x14ac:dyDescent="0.2">
      <c r="A188" s="440"/>
      <c r="B188" s="1043"/>
      <c r="C188" s="380"/>
      <c r="D188" s="1037"/>
      <c r="E188" s="1084" t="str">
        <f t="shared" ref="E188:E194" ca="1" si="344">IF(AX188="E","",AN188)</f>
        <v>Holz/Alufenster Uw=0,55</v>
      </c>
      <c r="F188" s="1085"/>
      <c r="G188" s="1264"/>
      <c r="H188" s="1264"/>
      <c r="I188" s="1265"/>
      <c r="J188" s="638"/>
      <c r="K188" s="520" t="s">
        <v>177</v>
      </c>
      <c r="L188" s="521"/>
      <c r="M188" s="340"/>
      <c r="N188" s="528" t="s">
        <v>67</v>
      </c>
      <c r="O188" s="339"/>
      <c r="P188" s="543" t="s">
        <v>68</v>
      </c>
      <c r="Q188" s="344"/>
      <c r="R188" s="522" t="s">
        <v>363</v>
      </c>
      <c r="S188" s="353">
        <f t="shared" ref="S188:S194" ca="1" si="345">IF(AY188="E",(M188*O188)+Q188,AO188)</f>
        <v>153092.80799999999</v>
      </c>
      <c r="T188" s="523"/>
      <c r="U188" s="350"/>
      <c r="V188" s="308"/>
      <c r="W188" s="1090" t="str">
        <f t="shared" ref="W188:W194" ca="1" si="346">IF(AZ188="E",IF(AND(V188&lt;&gt;0,U188&lt;&gt;0),"X",IF(AND(V188&lt;&gt;0,U188=0),"A",IF(AND(V188=0,U188&lt;&gt;0),"P",""))),AR188)</f>
        <v/>
      </c>
      <c r="X188" s="1103">
        <f t="shared" ref="X188:X194" ca="1" si="347">IF(AZ188="E",IFERROR(IF(W188="X",0,IF(U188&gt;0,U188,V188/S188)),0),
IFERROR(IF(OR(AR188="X",AR188=0),0,
IF(AR188="P",AP188,IF(AR188="A",AQ188/S188,0))),0))</f>
        <v>0</v>
      </c>
      <c r="Y188" s="1120">
        <f t="shared" ref="Y188:Y194" ca="1" si="348">IF(AZ188="E",IFERROR(IF(W188="X",0,IF(V188&gt;0,V188,S188*U188)),0),
IFERROR(IF(OR(AR188="X",AR188="0"),0,IF(AR188="A",AQ188,S188*AP188)),0))</f>
        <v>0</v>
      </c>
      <c r="Z188" s="524"/>
      <c r="AA188" s="350"/>
      <c r="AB188" s="308"/>
      <c r="AC188" s="1090" t="str">
        <f t="shared" ref="AC188:AC194" ca="1" si="349">IF(BA188="E",IF(AND(AB188&lt;&gt;0,AA188&lt;&gt;0),"X",IF(AND(AB188&lt;&gt;0,AA188=0),"A",IF(AND(AB188=0,AA188&lt;&gt;0),"P",""))),AU188)</f>
        <v>A</v>
      </c>
      <c r="AD188" s="1103">
        <f t="shared" ref="AD188:AD194" ca="1" si="350">IF(BA188="E",IFERROR(IF(AC188="X",0,IF(AA188&gt;0,AA188,AB188/S188)),0),
IFERROR(IF(OR(AU188="X",AU188=0),0,
IF(AU188="P",AS188,IF(AU188="A",AT188/S188,0))),0))</f>
        <v>2.4037706591677386E-3</v>
      </c>
      <c r="AE188" s="1120">
        <f t="shared" ref="AE188:AE194" ca="1" si="351">IF(BA188="E",IFERROR(IF(AC188="X",0,IF(AB188&gt;0,AB188,S188*AA188)),0),
IFERROR(IF(OR(AU188="X",AU188=0),0,
IF(AU188="A",AT188,S188*AS188)),0))</f>
        <v>368</v>
      </c>
      <c r="AF188" s="525"/>
      <c r="AG188" s="637"/>
      <c r="AH188" s="525"/>
      <c r="AI188" s="1086">
        <f t="shared" ref="AI188:AI194" ca="1" si="352">IF(BB188="E",AG188,AV188)</f>
        <v>50</v>
      </c>
      <c r="AJ188" s="380"/>
      <c r="AK188" s="440"/>
      <c r="AM188" s="460">
        <v>188</v>
      </c>
      <c r="AN188" s="1087" t="str">
        <f t="shared" ref="AN188:AN194" ca="1" si="353">IF($M$13=$AN$12,"",IF(ISTEXT(INDIRECT("'"&amp;$AM$20&amp;"'!"&amp;AN$21&amp;$AM188)),INDIRECT("'"&amp;$AM$20&amp;"'!"&amp;AN$21&amp;$AM188),INDIRECT("'"&amp;$AM$20&amp;"'!"&amp;AN$22&amp;$AM188)))</f>
        <v>Holz/Alufenster Uw=0,55</v>
      </c>
      <c r="AO188" s="1083">
        <f t="shared" ref="AO188:AV194" ca="1" si="354">IF($M$13=$AN$12,"",INDIRECT("'"&amp;$AM$20&amp;"'!"&amp;AO$21&amp;$AM188))</f>
        <v>153092.80799999999</v>
      </c>
      <c r="AP188" s="356">
        <f t="shared" ca="1" si="354"/>
        <v>0</v>
      </c>
      <c r="AQ188" s="357">
        <f t="shared" ca="1" si="354"/>
        <v>0</v>
      </c>
      <c r="AR188" s="524" t="str">
        <f t="shared" ca="1" si="354"/>
        <v/>
      </c>
      <c r="AS188" s="356">
        <f t="shared" ca="1" si="354"/>
        <v>2.4037706591677386E-3</v>
      </c>
      <c r="AT188" s="357">
        <f t="shared" ca="1" si="354"/>
        <v>368</v>
      </c>
      <c r="AU188" s="524" t="str">
        <f t="shared" ca="1" si="354"/>
        <v>A</v>
      </c>
      <c r="AV188" s="1083">
        <f t="shared" ca="1" si="354"/>
        <v>50</v>
      </c>
      <c r="AX188" s="1083" t="str">
        <f t="shared" ref="AX188:AX194" si="355">IF($M$13=$AN$12,"E",IF(ISTEXT(F188),"E","U"))</f>
        <v>U</v>
      </c>
      <c r="AY188" s="1083" t="str">
        <f t="shared" ref="AY188:AY194" si="356">IF($M$13=$AN$12,"E",IF(OR(ISNUMBER(M188),ISNUMBER(O188),ISNUMBER(Q188)),"E","U"))</f>
        <v>U</v>
      </c>
      <c r="AZ188" s="1083" t="str">
        <f t="shared" ref="AZ188:AZ194" si="357">IF($M$13=$AN$12,"E",IF(OR(ISNUMBER(U188),ISNUMBER(V188)),"E","U"))</f>
        <v>U</v>
      </c>
      <c r="BA188" s="1083" t="str">
        <f t="shared" ref="BA188:BA194" si="358">IF($M$13=$AN$12,"E",IF(OR(ISNUMBER(AA188),ISNUMBER(AB188)),"E","U"))</f>
        <v>U</v>
      </c>
      <c r="BB188" s="1083" t="str">
        <f t="shared" ref="BB188:BB194" si="359">IF($M$13=$AN$12,"E",IF(ISNUMBER(AG188),"E","U"))</f>
        <v>U</v>
      </c>
    </row>
    <row r="189" spans="1:54" ht="12" customHeight="1" x14ac:dyDescent="0.2">
      <c r="A189" s="440"/>
      <c r="B189" s="1043"/>
      <c r="C189" s="380"/>
      <c r="D189" s="1037"/>
      <c r="E189" s="1084">
        <f t="shared" ca="1" si="344"/>
        <v>0</v>
      </c>
      <c r="F189" s="1085"/>
      <c r="G189" s="1264"/>
      <c r="H189" s="1264"/>
      <c r="I189" s="1265"/>
      <c r="J189" s="638"/>
      <c r="K189" s="520" t="s">
        <v>177</v>
      </c>
      <c r="L189" s="521"/>
      <c r="M189" s="340"/>
      <c r="N189" s="528" t="s">
        <v>67</v>
      </c>
      <c r="O189" s="339"/>
      <c r="P189" s="543" t="s">
        <v>68</v>
      </c>
      <c r="Q189" s="344"/>
      <c r="R189" s="522" t="s">
        <v>363</v>
      </c>
      <c r="S189" s="353">
        <f t="shared" ca="1" si="345"/>
        <v>0</v>
      </c>
      <c r="T189" s="523"/>
      <c r="U189" s="350"/>
      <c r="V189" s="308"/>
      <c r="W189" s="1090" t="str">
        <f t="shared" ca="1" si="346"/>
        <v/>
      </c>
      <c r="X189" s="1103">
        <f t="shared" ca="1" si="347"/>
        <v>0</v>
      </c>
      <c r="Y189" s="1120">
        <f t="shared" ca="1" si="348"/>
        <v>0</v>
      </c>
      <c r="Z189" s="524"/>
      <c r="AA189" s="350"/>
      <c r="AB189" s="308"/>
      <c r="AC189" s="1090" t="str">
        <f t="shared" ca="1" si="349"/>
        <v/>
      </c>
      <c r="AD189" s="1103">
        <f t="shared" ca="1" si="350"/>
        <v>0</v>
      </c>
      <c r="AE189" s="1120">
        <f t="shared" ca="1" si="351"/>
        <v>0</v>
      </c>
      <c r="AF189" s="525"/>
      <c r="AG189" s="637"/>
      <c r="AH189" s="525"/>
      <c r="AI189" s="1086">
        <f t="shared" ca="1" si="352"/>
        <v>0</v>
      </c>
      <c r="AJ189" s="380"/>
      <c r="AK189" s="440"/>
      <c r="AM189" s="460">
        <v>189</v>
      </c>
      <c r="AN189" s="1087">
        <f t="shared" ca="1" si="353"/>
        <v>0</v>
      </c>
      <c r="AO189" s="1083">
        <f t="shared" ca="1" si="354"/>
        <v>0</v>
      </c>
      <c r="AP189" s="356">
        <f t="shared" ca="1" si="354"/>
        <v>0</v>
      </c>
      <c r="AQ189" s="357">
        <f t="shared" ca="1" si="354"/>
        <v>0</v>
      </c>
      <c r="AR189" s="524" t="str">
        <f t="shared" ca="1" si="354"/>
        <v/>
      </c>
      <c r="AS189" s="356">
        <f t="shared" ca="1" si="354"/>
        <v>0</v>
      </c>
      <c r="AT189" s="357">
        <f t="shared" ca="1" si="354"/>
        <v>0</v>
      </c>
      <c r="AU189" s="524" t="str">
        <f t="shared" ca="1" si="354"/>
        <v/>
      </c>
      <c r="AV189" s="1083">
        <f t="shared" ca="1" si="354"/>
        <v>0</v>
      </c>
      <c r="AX189" s="1083" t="str">
        <f t="shared" si="355"/>
        <v>U</v>
      </c>
      <c r="AY189" s="1083" t="str">
        <f t="shared" si="356"/>
        <v>U</v>
      </c>
      <c r="AZ189" s="1083" t="str">
        <f t="shared" si="357"/>
        <v>U</v>
      </c>
      <c r="BA189" s="1083" t="str">
        <f t="shared" si="358"/>
        <v>U</v>
      </c>
      <c r="BB189" s="1083" t="str">
        <f t="shared" si="359"/>
        <v>U</v>
      </c>
    </row>
    <row r="190" spans="1:54" ht="12" customHeight="1" x14ac:dyDescent="0.2">
      <c r="A190" s="440"/>
      <c r="B190" s="1043"/>
      <c r="C190" s="380"/>
      <c r="D190" s="1037"/>
      <c r="E190" s="1084">
        <f t="shared" ca="1" si="344"/>
        <v>0</v>
      </c>
      <c r="F190" s="1085"/>
      <c r="G190" s="1264"/>
      <c r="H190" s="1264"/>
      <c r="I190" s="1265"/>
      <c r="J190" s="638"/>
      <c r="K190" s="520" t="s">
        <v>177</v>
      </c>
      <c r="L190" s="521"/>
      <c r="M190" s="340"/>
      <c r="N190" s="528" t="s">
        <v>67</v>
      </c>
      <c r="O190" s="339"/>
      <c r="P190" s="543" t="s">
        <v>68</v>
      </c>
      <c r="Q190" s="344"/>
      <c r="R190" s="522" t="s">
        <v>363</v>
      </c>
      <c r="S190" s="353">
        <f t="shared" ca="1" si="345"/>
        <v>0</v>
      </c>
      <c r="T190" s="523"/>
      <c r="U190" s="350"/>
      <c r="V190" s="308"/>
      <c r="W190" s="1090" t="str">
        <f t="shared" ca="1" si="346"/>
        <v/>
      </c>
      <c r="X190" s="1103">
        <f t="shared" ca="1" si="347"/>
        <v>0</v>
      </c>
      <c r="Y190" s="1120">
        <f t="shared" ca="1" si="348"/>
        <v>0</v>
      </c>
      <c r="Z190" s="524"/>
      <c r="AA190" s="350"/>
      <c r="AB190" s="308"/>
      <c r="AC190" s="1090" t="str">
        <f t="shared" ca="1" si="349"/>
        <v/>
      </c>
      <c r="AD190" s="1103">
        <f t="shared" ca="1" si="350"/>
        <v>0</v>
      </c>
      <c r="AE190" s="1120">
        <f t="shared" ca="1" si="351"/>
        <v>0</v>
      </c>
      <c r="AF190" s="525"/>
      <c r="AG190" s="637"/>
      <c r="AH190" s="525"/>
      <c r="AI190" s="1086">
        <f t="shared" ca="1" si="352"/>
        <v>0</v>
      </c>
      <c r="AJ190" s="380"/>
      <c r="AK190" s="440"/>
      <c r="AM190" s="460">
        <v>190</v>
      </c>
      <c r="AN190" s="1087">
        <f t="shared" ca="1" si="353"/>
        <v>0</v>
      </c>
      <c r="AO190" s="1083">
        <f t="shared" ca="1" si="354"/>
        <v>0</v>
      </c>
      <c r="AP190" s="356">
        <f t="shared" ca="1" si="354"/>
        <v>0</v>
      </c>
      <c r="AQ190" s="357">
        <f t="shared" ca="1" si="354"/>
        <v>0</v>
      </c>
      <c r="AR190" s="524" t="str">
        <f t="shared" ca="1" si="354"/>
        <v/>
      </c>
      <c r="AS190" s="356">
        <f t="shared" ca="1" si="354"/>
        <v>0</v>
      </c>
      <c r="AT190" s="357">
        <f t="shared" ca="1" si="354"/>
        <v>0</v>
      </c>
      <c r="AU190" s="524" t="str">
        <f t="shared" ca="1" si="354"/>
        <v/>
      </c>
      <c r="AV190" s="1083">
        <f t="shared" ca="1" si="354"/>
        <v>0</v>
      </c>
      <c r="AX190" s="1083" t="str">
        <f t="shared" si="355"/>
        <v>U</v>
      </c>
      <c r="AY190" s="1083" t="str">
        <f t="shared" si="356"/>
        <v>U</v>
      </c>
      <c r="AZ190" s="1083" t="str">
        <f t="shared" si="357"/>
        <v>U</v>
      </c>
      <c r="BA190" s="1083" t="str">
        <f t="shared" si="358"/>
        <v>U</v>
      </c>
      <c r="BB190" s="1083" t="str">
        <f t="shared" si="359"/>
        <v>U</v>
      </c>
    </row>
    <row r="191" spans="1:54" ht="12" customHeight="1" x14ac:dyDescent="0.25">
      <c r="A191" s="440"/>
      <c r="B191" s="1043"/>
      <c r="C191" s="380"/>
      <c r="D191" s="1037"/>
      <c r="E191" s="1084">
        <f t="shared" ca="1" si="344"/>
        <v>0</v>
      </c>
      <c r="F191" s="1085"/>
      <c r="G191" s="1264"/>
      <c r="H191" s="1264"/>
      <c r="I191" s="1265"/>
      <c r="J191" s="638"/>
      <c r="K191" s="520" t="s">
        <v>177</v>
      </c>
      <c r="L191" s="521"/>
      <c r="M191" s="340"/>
      <c r="N191" s="528" t="s">
        <v>67</v>
      </c>
      <c r="O191" s="339"/>
      <c r="P191" s="543" t="s">
        <v>68</v>
      </c>
      <c r="Q191" s="344"/>
      <c r="R191" s="522" t="s">
        <v>363</v>
      </c>
      <c r="S191" s="353">
        <f t="shared" ca="1" si="345"/>
        <v>0</v>
      </c>
      <c r="T191" s="523"/>
      <c r="U191" s="350"/>
      <c r="V191" s="308"/>
      <c r="W191" s="1090" t="str">
        <f t="shared" ca="1" si="346"/>
        <v/>
      </c>
      <c r="X191" s="1103">
        <f t="shared" ca="1" si="347"/>
        <v>0</v>
      </c>
      <c r="Y191" s="1120">
        <f t="shared" ca="1" si="348"/>
        <v>0</v>
      </c>
      <c r="Z191" s="524"/>
      <c r="AA191" s="350"/>
      <c r="AB191" s="308"/>
      <c r="AC191" s="1090" t="str">
        <f t="shared" ca="1" si="349"/>
        <v/>
      </c>
      <c r="AD191" s="1103">
        <f t="shared" ca="1" si="350"/>
        <v>0</v>
      </c>
      <c r="AE191" s="1120">
        <f t="shared" ca="1" si="351"/>
        <v>0</v>
      </c>
      <c r="AF191" s="525"/>
      <c r="AG191" s="637"/>
      <c r="AH191" s="525"/>
      <c r="AI191" s="1086">
        <f t="shared" ca="1" si="352"/>
        <v>0</v>
      </c>
      <c r="AJ191" s="380"/>
      <c r="AK191" s="440"/>
      <c r="AL191" s="395"/>
      <c r="AM191" s="460">
        <v>191</v>
      </c>
      <c r="AN191" s="1087">
        <f t="shared" ca="1" si="353"/>
        <v>0</v>
      </c>
      <c r="AO191" s="1083">
        <f t="shared" ca="1" si="354"/>
        <v>0</v>
      </c>
      <c r="AP191" s="356">
        <f t="shared" ca="1" si="354"/>
        <v>0</v>
      </c>
      <c r="AQ191" s="357">
        <f t="shared" ca="1" si="354"/>
        <v>0</v>
      </c>
      <c r="AR191" s="524" t="str">
        <f t="shared" ca="1" si="354"/>
        <v/>
      </c>
      <c r="AS191" s="356">
        <f t="shared" ca="1" si="354"/>
        <v>0</v>
      </c>
      <c r="AT191" s="357">
        <f t="shared" ca="1" si="354"/>
        <v>0</v>
      </c>
      <c r="AU191" s="524" t="str">
        <f t="shared" ca="1" si="354"/>
        <v/>
      </c>
      <c r="AV191" s="1083">
        <f t="shared" ca="1" si="354"/>
        <v>0</v>
      </c>
      <c r="AX191" s="1083" t="str">
        <f t="shared" si="355"/>
        <v>U</v>
      </c>
      <c r="AY191" s="1083" t="str">
        <f t="shared" si="356"/>
        <v>U</v>
      </c>
      <c r="AZ191" s="1083" t="str">
        <f t="shared" si="357"/>
        <v>U</v>
      </c>
      <c r="BA191" s="1083" t="str">
        <f t="shared" si="358"/>
        <v>U</v>
      </c>
      <c r="BB191" s="1083" t="str">
        <f t="shared" si="359"/>
        <v>U</v>
      </c>
    </row>
    <row r="192" spans="1:54" ht="12" customHeight="1" x14ac:dyDescent="0.25">
      <c r="A192" s="440"/>
      <c r="B192" s="1043"/>
      <c r="C192" s="380"/>
      <c r="D192" s="1037"/>
      <c r="E192" s="1084">
        <f t="shared" ca="1" si="344"/>
        <v>0</v>
      </c>
      <c r="F192" s="1085"/>
      <c r="G192" s="1264"/>
      <c r="H192" s="1264"/>
      <c r="I192" s="1265"/>
      <c r="J192" s="638"/>
      <c r="K192" s="520" t="s">
        <v>177</v>
      </c>
      <c r="L192" s="521"/>
      <c r="M192" s="340"/>
      <c r="N192" s="528" t="s">
        <v>67</v>
      </c>
      <c r="O192" s="339"/>
      <c r="P192" s="543" t="s">
        <v>68</v>
      </c>
      <c r="Q192" s="344"/>
      <c r="R192" s="522" t="s">
        <v>363</v>
      </c>
      <c r="S192" s="353">
        <f t="shared" ca="1" si="345"/>
        <v>0</v>
      </c>
      <c r="T192" s="523"/>
      <c r="U192" s="350"/>
      <c r="V192" s="308"/>
      <c r="W192" s="1090" t="str">
        <f t="shared" ca="1" si="346"/>
        <v/>
      </c>
      <c r="X192" s="1103">
        <f t="shared" ca="1" si="347"/>
        <v>0</v>
      </c>
      <c r="Y192" s="1120">
        <f t="shared" ca="1" si="348"/>
        <v>0</v>
      </c>
      <c r="Z192" s="524"/>
      <c r="AA192" s="350"/>
      <c r="AB192" s="308"/>
      <c r="AC192" s="1090" t="str">
        <f t="shared" ca="1" si="349"/>
        <v/>
      </c>
      <c r="AD192" s="1103">
        <f t="shared" ca="1" si="350"/>
        <v>0</v>
      </c>
      <c r="AE192" s="1120">
        <f t="shared" ca="1" si="351"/>
        <v>0</v>
      </c>
      <c r="AF192" s="525"/>
      <c r="AG192" s="637"/>
      <c r="AH192" s="525"/>
      <c r="AI192" s="1086">
        <f t="shared" ca="1" si="352"/>
        <v>0</v>
      </c>
      <c r="AJ192" s="380"/>
      <c r="AK192" s="440"/>
      <c r="AL192" s="395"/>
      <c r="AM192" s="460">
        <v>192</v>
      </c>
      <c r="AN192" s="1087">
        <f t="shared" ca="1" si="353"/>
        <v>0</v>
      </c>
      <c r="AO192" s="1083">
        <f t="shared" ca="1" si="354"/>
        <v>0</v>
      </c>
      <c r="AP192" s="356">
        <f t="shared" ca="1" si="354"/>
        <v>0</v>
      </c>
      <c r="AQ192" s="357">
        <f t="shared" ca="1" si="354"/>
        <v>0</v>
      </c>
      <c r="AR192" s="524" t="str">
        <f t="shared" ca="1" si="354"/>
        <v/>
      </c>
      <c r="AS192" s="356">
        <f t="shared" ca="1" si="354"/>
        <v>0</v>
      </c>
      <c r="AT192" s="357">
        <f t="shared" ca="1" si="354"/>
        <v>0</v>
      </c>
      <c r="AU192" s="524" t="str">
        <f t="shared" ca="1" si="354"/>
        <v/>
      </c>
      <c r="AV192" s="1083">
        <f t="shared" ca="1" si="354"/>
        <v>0</v>
      </c>
      <c r="AX192" s="1083" t="str">
        <f t="shared" si="355"/>
        <v>U</v>
      </c>
      <c r="AY192" s="1083" t="str">
        <f t="shared" si="356"/>
        <v>U</v>
      </c>
      <c r="AZ192" s="1083" t="str">
        <f t="shared" si="357"/>
        <v>U</v>
      </c>
      <c r="BA192" s="1083" t="str">
        <f t="shared" si="358"/>
        <v>U</v>
      </c>
      <c r="BB192" s="1083" t="str">
        <f t="shared" si="359"/>
        <v>U</v>
      </c>
    </row>
    <row r="193" spans="1:54" ht="12" customHeight="1" x14ac:dyDescent="0.25">
      <c r="A193" s="440"/>
      <c r="B193" s="1043"/>
      <c r="C193" s="380"/>
      <c r="D193" s="1037"/>
      <c r="E193" s="1084">
        <f t="shared" ca="1" si="344"/>
        <v>0</v>
      </c>
      <c r="F193" s="1085"/>
      <c r="G193" s="1264"/>
      <c r="H193" s="1264"/>
      <c r="I193" s="1265"/>
      <c r="J193" s="638"/>
      <c r="K193" s="520" t="s">
        <v>177</v>
      </c>
      <c r="L193" s="521"/>
      <c r="M193" s="340"/>
      <c r="N193" s="528" t="s">
        <v>67</v>
      </c>
      <c r="O193" s="339"/>
      <c r="P193" s="543" t="s">
        <v>68</v>
      </c>
      <c r="Q193" s="344"/>
      <c r="R193" s="522" t="s">
        <v>363</v>
      </c>
      <c r="S193" s="353">
        <f t="shared" ca="1" si="345"/>
        <v>0</v>
      </c>
      <c r="T193" s="523"/>
      <c r="U193" s="350"/>
      <c r="V193" s="308"/>
      <c r="W193" s="1090" t="str">
        <f t="shared" ca="1" si="346"/>
        <v/>
      </c>
      <c r="X193" s="1103">
        <f t="shared" ca="1" si="347"/>
        <v>0</v>
      </c>
      <c r="Y193" s="1120">
        <f t="shared" ca="1" si="348"/>
        <v>0</v>
      </c>
      <c r="Z193" s="524"/>
      <c r="AA193" s="350"/>
      <c r="AB193" s="308"/>
      <c r="AC193" s="1090" t="str">
        <f t="shared" ca="1" si="349"/>
        <v/>
      </c>
      <c r="AD193" s="1103">
        <f t="shared" ca="1" si="350"/>
        <v>0</v>
      </c>
      <c r="AE193" s="1120">
        <f t="shared" ca="1" si="351"/>
        <v>0</v>
      </c>
      <c r="AF193" s="525"/>
      <c r="AG193" s="637"/>
      <c r="AH193" s="525"/>
      <c r="AI193" s="1086">
        <f t="shared" ca="1" si="352"/>
        <v>0</v>
      </c>
      <c r="AJ193" s="380"/>
      <c r="AK193" s="440"/>
      <c r="AL193" s="395"/>
      <c r="AM193" s="460">
        <v>193</v>
      </c>
      <c r="AN193" s="1087">
        <f t="shared" ca="1" si="353"/>
        <v>0</v>
      </c>
      <c r="AO193" s="1083">
        <f t="shared" ca="1" si="354"/>
        <v>0</v>
      </c>
      <c r="AP193" s="356">
        <f t="shared" ca="1" si="354"/>
        <v>0</v>
      </c>
      <c r="AQ193" s="357">
        <f t="shared" ca="1" si="354"/>
        <v>0</v>
      </c>
      <c r="AR193" s="524" t="str">
        <f t="shared" ca="1" si="354"/>
        <v/>
      </c>
      <c r="AS193" s="356">
        <f t="shared" ca="1" si="354"/>
        <v>0</v>
      </c>
      <c r="AT193" s="357">
        <f t="shared" ca="1" si="354"/>
        <v>0</v>
      </c>
      <c r="AU193" s="524" t="str">
        <f t="shared" ca="1" si="354"/>
        <v/>
      </c>
      <c r="AV193" s="1083">
        <f t="shared" ca="1" si="354"/>
        <v>0</v>
      </c>
      <c r="AX193" s="1083" t="str">
        <f t="shared" si="355"/>
        <v>U</v>
      </c>
      <c r="AY193" s="1083" t="str">
        <f t="shared" si="356"/>
        <v>U</v>
      </c>
      <c r="AZ193" s="1083" t="str">
        <f t="shared" si="357"/>
        <v>U</v>
      </c>
      <c r="BA193" s="1083" t="str">
        <f t="shared" si="358"/>
        <v>U</v>
      </c>
      <c r="BB193" s="1083" t="str">
        <f t="shared" si="359"/>
        <v>U</v>
      </c>
    </row>
    <row r="194" spans="1:54" ht="12" customHeight="1" x14ac:dyDescent="0.25">
      <c r="A194" s="440"/>
      <c r="B194" s="1043"/>
      <c r="C194" s="380"/>
      <c r="D194" s="1037"/>
      <c r="E194" s="1084">
        <f t="shared" ca="1" si="344"/>
        <v>0</v>
      </c>
      <c r="F194" s="1085"/>
      <c r="G194" s="1264"/>
      <c r="H194" s="1264"/>
      <c r="I194" s="1265"/>
      <c r="J194" s="638"/>
      <c r="K194" s="520" t="s">
        <v>177</v>
      </c>
      <c r="L194" s="521"/>
      <c r="M194" s="340"/>
      <c r="N194" s="528" t="s">
        <v>67</v>
      </c>
      <c r="O194" s="339"/>
      <c r="P194" s="543" t="s">
        <v>68</v>
      </c>
      <c r="Q194" s="344"/>
      <c r="R194" s="522" t="s">
        <v>363</v>
      </c>
      <c r="S194" s="353">
        <f t="shared" ca="1" si="345"/>
        <v>0</v>
      </c>
      <c r="T194" s="523"/>
      <c r="U194" s="350"/>
      <c r="V194" s="308"/>
      <c r="W194" s="1090" t="str">
        <f t="shared" ca="1" si="346"/>
        <v/>
      </c>
      <c r="X194" s="1103">
        <f t="shared" ca="1" si="347"/>
        <v>0</v>
      </c>
      <c r="Y194" s="1120">
        <f t="shared" ca="1" si="348"/>
        <v>0</v>
      </c>
      <c r="Z194" s="524"/>
      <c r="AA194" s="350"/>
      <c r="AB194" s="308"/>
      <c r="AC194" s="1090" t="str">
        <f t="shared" ca="1" si="349"/>
        <v/>
      </c>
      <c r="AD194" s="1103">
        <f t="shared" ca="1" si="350"/>
        <v>0</v>
      </c>
      <c r="AE194" s="1120">
        <f t="shared" ca="1" si="351"/>
        <v>0</v>
      </c>
      <c r="AF194" s="525"/>
      <c r="AG194" s="637"/>
      <c r="AH194" s="525"/>
      <c r="AI194" s="1086">
        <f t="shared" ca="1" si="352"/>
        <v>0</v>
      </c>
      <c r="AJ194" s="380"/>
      <c r="AK194" s="440"/>
      <c r="AL194" s="395"/>
      <c r="AM194" s="460">
        <v>194</v>
      </c>
      <c r="AN194" s="1087">
        <f t="shared" ca="1" si="353"/>
        <v>0</v>
      </c>
      <c r="AO194" s="1083">
        <f t="shared" ca="1" si="354"/>
        <v>0</v>
      </c>
      <c r="AP194" s="356">
        <f t="shared" ca="1" si="354"/>
        <v>0</v>
      </c>
      <c r="AQ194" s="357">
        <f t="shared" ca="1" si="354"/>
        <v>0</v>
      </c>
      <c r="AR194" s="524" t="str">
        <f t="shared" ca="1" si="354"/>
        <v/>
      </c>
      <c r="AS194" s="356">
        <f t="shared" ca="1" si="354"/>
        <v>0</v>
      </c>
      <c r="AT194" s="357">
        <f t="shared" ca="1" si="354"/>
        <v>0</v>
      </c>
      <c r="AU194" s="524" t="str">
        <f t="shared" ca="1" si="354"/>
        <v/>
      </c>
      <c r="AV194" s="1083">
        <f t="shared" ca="1" si="354"/>
        <v>0</v>
      </c>
      <c r="AX194" s="1083" t="str">
        <f t="shared" si="355"/>
        <v>U</v>
      </c>
      <c r="AY194" s="1083" t="str">
        <f t="shared" si="356"/>
        <v>U</v>
      </c>
      <c r="AZ194" s="1083" t="str">
        <f t="shared" si="357"/>
        <v>U</v>
      </c>
      <c r="BA194" s="1083" t="str">
        <f t="shared" si="358"/>
        <v>U</v>
      </c>
      <c r="BB194" s="1083" t="str">
        <f t="shared" si="359"/>
        <v>U</v>
      </c>
    </row>
    <row r="195" spans="1:54" ht="12" customHeight="1" x14ac:dyDescent="0.25">
      <c r="A195" s="440"/>
      <c r="B195" s="1043"/>
      <c r="C195" s="380"/>
      <c r="D195" s="1037" t="s">
        <v>16</v>
      </c>
      <c r="E195" s="1599" t="s">
        <v>15</v>
      </c>
      <c r="F195" s="1599"/>
      <c r="G195" s="1599"/>
      <c r="H195" s="1599"/>
      <c r="I195" s="1597"/>
      <c r="J195" s="1038"/>
      <c r="K195" s="529"/>
      <c r="L195" s="503"/>
      <c r="M195" s="498"/>
      <c r="N195" s="361"/>
      <c r="O195" s="365"/>
      <c r="P195" s="365"/>
      <c r="Q195" s="365"/>
      <c r="R195" s="365"/>
      <c r="S195" s="390">
        <f ca="1">SUBTOTAL(109,S197:S200)</f>
        <v>35349.599999999999</v>
      </c>
      <c r="T195" s="363"/>
      <c r="U195" s="375"/>
      <c r="V195" s="361"/>
      <c r="W195" s="1091"/>
      <c r="X195" s="1114"/>
      <c r="Y195" s="1121"/>
      <c r="Z195" s="363"/>
      <c r="AA195" s="375"/>
      <c r="AB195" s="361"/>
      <c r="AC195" s="1091"/>
      <c r="AD195" s="1114"/>
      <c r="AE195" s="1121"/>
      <c r="AF195" s="358"/>
      <c r="AG195" s="358"/>
      <c r="AH195" s="358"/>
      <c r="AI195" s="358"/>
      <c r="AJ195" s="380"/>
      <c r="AK195" s="440"/>
      <c r="AL195" s="395"/>
      <c r="AM195" s="460">
        <v>195</v>
      </c>
      <c r="AN195" s="1078"/>
    </row>
    <row r="196" spans="1:54" ht="12" customHeight="1" x14ac:dyDescent="0.25">
      <c r="A196" s="440"/>
      <c r="B196" s="1043"/>
      <c r="C196" s="380"/>
      <c r="D196" s="1037"/>
      <c r="E196" s="1037"/>
      <c r="F196" s="1037"/>
      <c r="G196" s="1037"/>
      <c r="H196" s="1037"/>
      <c r="I196" s="1035"/>
      <c r="J196" s="1603" t="s">
        <v>181</v>
      </c>
      <c r="K196" s="1603"/>
      <c r="L196" s="503"/>
      <c r="M196" s="498"/>
      <c r="N196" s="361"/>
      <c r="O196" s="365"/>
      <c r="P196" s="365"/>
      <c r="Q196" s="365"/>
      <c r="R196" s="365"/>
      <c r="S196" s="390"/>
      <c r="T196" s="363"/>
      <c r="U196" s="375"/>
      <c r="V196" s="361"/>
      <c r="W196" s="1091"/>
      <c r="X196" s="1114"/>
      <c r="Y196" s="1121"/>
      <c r="Z196" s="363"/>
      <c r="AA196" s="375"/>
      <c r="AB196" s="361"/>
      <c r="AC196" s="1091"/>
      <c r="AD196" s="1114"/>
      <c r="AE196" s="1121"/>
      <c r="AF196" s="358"/>
      <c r="AG196" s="358"/>
      <c r="AH196" s="358"/>
      <c r="AI196" s="358"/>
      <c r="AJ196" s="380"/>
      <c r="AK196" s="440"/>
      <c r="AL196" s="395"/>
      <c r="AM196" s="460">
        <v>196</v>
      </c>
      <c r="AN196" s="1078"/>
    </row>
    <row r="197" spans="1:54" ht="12" customHeight="1" x14ac:dyDescent="0.2">
      <c r="A197" s="440"/>
      <c r="B197" s="1043"/>
      <c r="C197" s="380"/>
      <c r="D197" s="1037"/>
      <c r="E197" s="1084" t="str">
        <f ca="1">IF(AX197="E","",AN197)</f>
        <v>Vollverschattung+gedämmt. Jalousiekasten</v>
      </c>
      <c r="F197" s="1085"/>
      <c r="G197" s="1264"/>
      <c r="H197" s="1264"/>
      <c r="I197" s="1265"/>
      <c r="J197" s="638"/>
      <c r="K197" s="555" t="s">
        <v>95</v>
      </c>
      <c r="L197" s="541"/>
      <c r="M197" s="340"/>
      <c r="N197" s="528" t="s">
        <v>67</v>
      </c>
      <c r="O197" s="339"/>
      <c r="P197" s="543" t="s">
        <v>68</v>
      </c>
      <c r="Q197" s="344"/>
      <c r="R197" s="522" t="s">
        <v>363</v>
      </c>
      <c r="S197" s="353">
        <f t="shared" ref="S197:S200" ca="1" si="360">IF(AY197="E",(M197*O197)+Q197,AO197)</f>
        <v>35349.599999999999</v>
      </c>
      <c r="T197" s="523"/>
      <c r="U197" s="350"/>
      <c r="V197" s="308"/>
      <c r="W197" s="1090" t="str">
        <f t="shared" ref="W197:W200" ca="1" si="361">IF(AZ197="E",IF(AND(V197&lt;&gt;0,U197&lt;&gt;0),"X",IF(AND(V197&lt;&gt;0,U197=0),"A",IF(AND(V197=0,U197&lt;&gt;0),"P",""))),AR197)</f>
        <v/>
      </c>
      <c r="X197" s="1103">
        <f t="shared" ref="X197:X200" ca="1" si="362">IF(AZ197="E",IFERROR(IF(W197="X",0,IF(U197&gt;0,U197,V197/S197)),0),
IFERROR(IF(OR(AR197="X",AR197=0),0,
IF(AR197="P",AP197,IF(AR197="A",AQ197/S197,0))),0))</f>
        <v>0</v>
      </c>
      <c r="Y197" s="1120">
        <f t="shared" ref="Y197:Y200" ca="1" si="363">IF(AZ197="E",IFERROR(IF(W197="X",0,IF(V197&gt;0,V197,S197*U197)),0),
IFERROR(IF(OR(AR197="X",AR197="0"),0,IF(AR197="A",AQ197,S197*AP197)),0))</f>
        <v>0</v>
      </c>
      <c r="Z197" s="524"/>
      <c r="AA197" s="350"/>
      <c r="AB197" s="308"/>
      <c r="AC197" s="1090" t="str">
        <f t="shared" ref="AC197:AC200" ca="1" si="364">IF(BA197="E",IF(AND(AB197&lt;&gt;0,AA197&lt;&gt;0),"X",IF(AND(AB197&lt;&gt;0,AA197=0),"A",IF(AND(AB197=0,AA197&lt;&gt;0),"P",""))),AU197)</f>
        <v>A</v>
      </c>
      <c r="AD197" s="1103">
        <f t="shared" ref="AD197:AD200" ca="1" si="365">IF(BA197="E",IFERROR(IF(AC197="X",0,IF(AA197&gt;0,AA197,AB197/S197)),0),
IFERROR(IF(OR(AU197="X",AU197=0),0,
IF(AU197="P",AS197,IF(AU197="A",AT197/S197,0))),0))</f>
        <v>1.0183990766515039E-2</v>
      </c>
      <c r="AE197" s="1120">
        <f t="shared" ref="AE197:AE200" ca="1" si="366">IF(BA197="E",IFERROR(IF(AC197="X",0,IF(AB197&gt;0,AB197,S197*AA197)),0),
IFERROR(IF(OR(AU197="X",AU197=0),0,
IF(AU197="A",AT197,S197*AS197)),0))</f>
        <v>360</v>
      </c>
      <c r="AF197" s="525"/>
      <c r="AG197" s="637"/>
      <c r="AH197" s="525"/>
      <c r="AI197" s="1086">
        <f t="shared" ref="AI197:AI200" ca="1" si="367">IF(BB197="E",AG197,AV197)</f>
        <v>25</v>
      </c>
      <c r="AJ197" s="380"/>
      <c r="AK197" s="440"/>
      <c r="AM197" s="460">
        <v>197</v>
      </c>
      <c r="AN197" s="1087" t="str">
        <f t="shared" ref="AN197:AN200" ca="1" si="368">IF($M$13=$AN$12,"",IF(ISTEXT(INDIRECT("'"&amp;$AM$20&amp;"'!"&amp;AN$21&amp;$AM197)),INDIRECT("'"&amp;$AM$20&amp;"'!"&amp;AN$21&amp;$AM197),INDIRECT("'"&amp;$AM$20&amp;"'!"&amp;AN$22&amp;$AM197)))</f>
        <v>Vollverschattung+gedämmt. Jalousiekasten</v>
      </c>
      <c r="AO197" s="1083">
        <f t="shared" ref="AO197:AV200" ca="1" si="369">IF($M$13=$AN$12,"",INDIRECT("'"&amp;$AM$20&amp;"'!"&amp;AO$21&amp;$AM197))</f>
        <v>35349.599999999999</v>
      </c>
      <c r="AP197" s="356">
        <f t="shared" ca="1" si="369"/>
        <v>0</v>
      </c>
      <c r="AQ197" s="357">
        <f t="shared" ca="1" si="369"/>
        <v>0</v>
      </c>
      <c r="AR197" s="524" t="str">
        <f t="shared" ca="1" si="369"/>
        <v/>
      </c>
      <c r="AS197" s="356">
        <f t="shared" ca="1" si="369"/>
        <v>1.0183990766515039E-2</v>
      </c>
      <c r="AT197" s="357">
        <f t="shared" ca="1" si="369"/>
        <v>360</v>
      </c>
      <c r="AU197" s="524" t="str">
        <f t="shared" ca="1" si="369"/>
        <v>A</v>
      </c>
      <c r="AV197" s="1083">
        <f t="shared" ca="1" si="369"/>
        <v>25</v>
      </c>
      <c r="AX197" s="1083" t="str">
        <f t="shared" ref="AX197:AX200" si="370">IF($M$13=$AN$12,"E",IF(ISTEXT(F197),"E","U"))</f>
        <v>U</v>
      </c>
      <c r="AY197" s="1083" t="str">
        <f t="shared" ref="AY197:AY200" si="371">IF($M$13=$AN$12,"E",IF(OR(ISNUMBER(M197),ISNUMBER(O197),ISNUMBER(Q197)),"E","U"))</f>
        <v>U</v>
      </c>
      <c r="AZ197" s="1083" t="str">
        <f t="shared" ref="AZ197:AZ200" si="372">IF($M$13=$AN$12,"E",IF(OR(ISNUMBER(U197),ISNUMBER(V197)),"E","U"))</f>
        <v>U</v>
      </c>
      <c r="BA197" s="1083" t="str">
        <f t="shared" ref="BA197:BA200" si="373">IF($M$13=$AN$12,"E",IF(OR(ISNUMBER(AA197),ISNUMBER(AB197)),"E","U"))</f>
        <v>U</v>
      </c>
      <c r="BB197" s="1083" t="str">
        <f t="shared" ref="BB197:BB200" si="374">IF($M$13=$AN$12,"E",IF(ISNUMBER(AG197),"E","U"))</f>
        <v>U</v>
      </c>
    </row>
    <row r="198" spans="1:54" ht="12" customHeight="1" x14ac:dyDescent="0.2">
      <c r="A198" s="440"/>
      <c r="B198" s="1043"/>
      <c r="C198" s="380"/>
      <c r="D198" s="1037"/>
      <c r="E198" s="1084">
        <f ca="1">IF(AX198="E","",AN198)</f>
        <v>0</v>
      </c>
      <c r="F198" s="1085"/>
      <c r="G198" s="1264"/>
      <c r="H198" s="1264"/>
      <c r="I198" s="1265"/>
      <c r="J198" s="638"/>
      <c r="K198" s="555" t="s">
        <v>95</v>
      </c>
      <c r="L198" s="541"/>
      <c r="M198" s="341"/>
      <c r="N198" s="528" t="s">
        <v>67</v>
      </c>
      <c r="O198" s="345"/>
      <c r="P198" s="543" t="s">
        <v>68</v>
      </c>
      <c r="Q198" s="344"/>
      <c r="R198" s="522" t="s">
        <v>363</v>
      </c>
      <c r="S198" s="353">
        <f t="shared" ca="1" si="360"/>
        <v>0</v>
      </c>
      <c r="T198" s="523"/>
      <c r="U198" s="350"/>
      <c r="V198" s="308"/>
      <c r="W198" s="1090" t="str">
        <f t="shared" ca="1" si="361"/>
        <v/>
      </c>
      <c r="X198" s="1103">
        <f t="shared" ca="1" si="362"/>
        <v>0</v>
      </c>
      <c r="Y198" s="1120">
        <f t="shared" ca="1" si="363"/>
        <v>0</v>
      </c>
      <c r="Z198" s="524"/>
      <c r="AA198" s="350"/>
      <c r="AB198" s="308"/>
      <c r="AC198" s="1090" t="str">
        <f t="shared" ca="1" si="364"/>
        <v/>
      </c>
      <c r="AD198" s="1103">
        <f t="shared" ca="1" si="365"/>
        <v>0</v>
      </c>
      <c r="AE198" s="1120">
        <f t="shared" ca="1" si="366"/>
        <v>0</v>
      </c>
      <c r="AF198" s="525"/>
      <c r="AG198" s="637"/>
      <c r="AH198" s="525"/>
      <c r="AI198" s="1086">
        <f t="shared" ca="1" si="367"/>
        <v>0</v>
      </c>
      <c r="AJ198" s="380"/>
      <c r="AK198" s="440"/>
      <c r="AM198" s="460">
        <v>198</v>
      </c>
      <c r="AN198" s="1087">
        <f t="shared" ca="1" si="368"/>
        <v>0</v>
      </c>
      <c r="AO198" s="1083">
        <f t="shared" ca="1" si="369"/>
        <v>0</v>
      </c>
      <c r="AP198" s="356">
        <f t="shared" ca="1" si="369"/>
        <v>0</v>
      </c>
      <c r="AQ198" s="357">
        <f t="shared" ca="1" si="369"/>
        <v>0</v>
      </c>
      <c r="AR198" s="524" t="str">
        <f t="shared" ca="1" si="369"/>
        <v/>
      </c>
      <c r="AS198" s="356">
        <f t="shared" ca="1" si="369"/>
        <v>0</v>
      </c>
      <c r="AT198" s="357">
        <f t="shared" ca="1" si="369"/>
        <v>0</v>
      </c>
      <c r="AU198" s="524" t="str">
        <f t="shared" ca="1" si="369"/>
        <v/>
      </c>
      <c r="AV198" s="1083">
        <f t="shared" ca="1" si="369"/>
        <v>0</v>
      </c>
      <c r="AX198" s="1083" t="str">
        <f t="shared" si="370"/>
        <v>U</v>
      </c>
      <c r="AY198" s="1083" t="str">
        <f t="shared" si="371"/>
        <v>U</v>
      </c>
      <c r="AZ198" s="1083" t="str">
        <f t="shared" si="372"/>
        <v>U</v>
      </c>
      <c r="BA198" s="1083" t="str">
        <f t="shared" si="373"/>
        <v>U</v>
      </c>
      <c r="BB198" s="1083" t="str">
        <f t="shared" si="374"/>
        <v>U</v>
      </c>
    </row>
    <row r="199" spans="1:54" ht="12" customHeight="1" x14ac:dyDescent="0.2">
      <c r="A199" s="440"/>
      <c r="B199" s="1043"/>
      <c r="C199" s="380"/>
      <c r="D199" s="1037"/>
      <c r="E199" s="1084">
        <f ca="1">IF(AX199="E","",AN199)</f>
        <v>0</v>
      </c>
      <c r="F199" s="1085"/>
      <c r="G199" s="1264"/>
      <c r="H199" s="1264"/>
      <c r="I199" s="1265"/>
      <c r="J199" s="638"/>
      <c r="K199" s="555" t="s">
        <v>95</v>
      </c>
      <c r="L199" s="541"/>
      <c r="M199" s="341"/>
      <c r="N199" s="528" t="s">
        <v>67</v>
      </c>
      <c r="O199" s="345"/>
      <c r="P199" s="543" t="s">
        <v>68</v>
      </c>
      <c r="Q199" s="344"/>
      <c r="R199" s="522" t="s">
        <v>363</v>
      </c>
      <c r="S199" s="353">
        <f t="shared" ca="1" si="360"/>
        <v>0</v>
      </c>
      <c r="T199" s="523"/>
      <c r="U199" s="350"/>
      <c r="V199" s="308"/>
      <c r="W199" s="1090" t="str">
        <f t="shared" ca="1" si="361"/>
        <v/>
      </c>
      <c r="X199" s="1103">
        <f t="shared" ca="1" si="362"/>
        <v>0</v>
      </c>
      <c r="Y199" s="1120">
        <f t="shared" ca="1" si="363"/>
        <v>0</v>
      </c>
      <c r="Z199" s="524"/>
      <c r="AA199" s="350"/>
      <c r="AB199" s="308"/>
      <c r="AC199" s="1090" t="str">
        <f t="shared" ca="1" si="364"/>
        <v/>
      </c>
      <c r="AD199" s="1103">
        <f t="shared" ca="1" si="365"/>
        <v>0</v>
      </c>
      <c r="AE199" s="1120">
        <f t="shared" ca="1" si="366"/>
        <v>0</v>
      </c>
      <c r="AF199" s="525"/>
      <c r="AG199" s="637"/>
      <c r="AH199" s="525"/>
      <c r="AI199" s="1086">
        <f t="shared" ca="1" si="367"/>
        <v>0</v>
      </c>
      <c r="AJ199" s="380"/>
      <c r="AK199" s="440"/>
      <c r="AM199" s="460">
        <v>199</v>
      </c>
      <c r="AN199" s="1087">
        <f t="shared" ca="1" si="368"/>
        <v>0</v>
      </c>
      <c r="AO199" s="1083">
        <f t="shared" ca="1" si="369"/>
        <v>0</v>
      </c>
      <c r="AP199" s="356">
        <f t="shared" ca="1" si="369"/>
        <v>0</v>
      </c>
      <c r="AQ199" s="357">
        <f t="shared" ca="1" si="369"/>
        <v>0</v>
      </c>
      <c r="AR199" s="524" t="str">
        <f t="shared" ca="1" si="369"/>
        <v/>
      </c>
      <c r="AS199" s="356">
        <f t="shared" ca="1" si="369"/>
        <v>0</v>
      </c>
      <c r="AT199" s="357">
        <f t="shared" ca="1" si="369"/>
        <v>0</v>
      </c>
      <c r="AU199" s="524" t="str">
        <f t="shared" ca="1" si="369"/>
        <v/>
      </c>
      <c r="AV199" s="1083">
        <f t="shared" ca="1" si="369"/>
        <v>0</v>
      </c>
      <c r="AX199" s="1083" t="str">
        <f t="shared" si="370"/>
        <v>U</v>
      </c>
      <c r="AY199" s="1083" t="str">
        <f t="shared" si="371"/>
        <v>U</v>
      </c>
      <c r="AZ199" s="1083" t="str">
        <f t="shared" si="372"/>
        <v>U</v>
      </c>
      <c r="BA199" s="1083" t="str">
        <f t="shared" si="373"/>
        <v>U</v>
      </c>
      <c r="BB199" s="1083" t="str">
        <f t="shared" si="374"/>
        <v>U</v>
      </c>
    </row>
    <row r="200" spans="1:54" ht="12" customHeight="1" x14ac:dyDescent="0.2">
      <c r="A200" s="440"/>
      <c r="B200" s="1043"/>
      <c r="C200" s="380"/>
      <c r="D200" s="1037"/>
      <c r="E200" s="1084">
        <f ca="1">IF(AX200="E","",AN200)</f>
        <v>0</v>
      </c>
      <c r="F200" s="1085"/>
      <c r="G200" s="1264"/>
      <c r="H200" s="1264"/>
      <c r="I200" s="1265"/>
      <c r="J200" s="638"/>
      <c r="K200" s="555" t="s">
        <v>95</v>
      </c>
      <c r="L200" s="541"/>
      <c r="M200" s="340"/>
      <c r="N200" s="528" t="s">
        <v>67</v>
      </c>
      <c r="O200" s="339"/>
      <c r="P200" s="543" t="s">
        <v>68</v>
      </c>
      <c r="Q200" s="344"/>
      <c r="R200" s="522" t="s">
        <v>363</v>
      </c>
      <c r="S200" s="353">
        <f t="shared" ca="1" si="360"/>
        <v>0</v>
      </c>
      <c r="T200" s="523"/>
      <c r="U200" s="350"/>
      <c r="V200" s="308"/>
      <c r="W200" s="1090" t="str">
        <f t="shared" ca="1" si="361"/>
        <v/>
      </c>
      <c r="X200" s="1103">
        <f t="shared" ca="1" si="362"/>
        <v>0</v>
      </c>
      <c r="Y200" s="1120">
        <f t="shared" ca="1" si="363"/>
        <v>0</v>
      </c>
      <c r="Z200" s="524"/>
      <c r="AA200" s="350"/>
      <c r="AB200" s="308"/>
      <c r="AC200" s="1090" t="str">
        <f t="shared" ca="1" si="364"/>
        <v/>
      </c>
      <c r="AD200" s="1103">
        <f t="shared" ca="1" si="365"/>
        <v>0</v>
      </c>
      <c r="AE200" s="1120">
        <f t="shared" ca="1" si="366"/>
        <v>0</v>
      </c>
      <c r="AF200" s="525"/>
      <c r="AG200" s="637"/>
      <c r="AH200" s="525"/>
      <c r="AI200" s="1086">
        <f t="shared" ca="1" si="367"/>
        <v>0</v>
      </c>
      <c r="AJ200" s="380"/>
      <c r="AK200" s="440"/>
      <c r="AM200" s="460">
        <v>200</v>
      </c>
      <c r="AN200" s="1087">
        <f t="shared" ca="1" si="368"/>
        <v>0</v>
      </c>
      <c r="AO200" s="1083">
        <f t="shared" ca="1" si="369"/>
        <v>0</v>
      </c>
      <c r="AP200" s="356">
        <f t="shared" ca="1" si="369"/>
        <v>0</v>
      </c>
      <c r="AQ200" s="357">
        <f t="shared" ca="1" si="369"/>
        <v>0</v>
      </c>
      <c r="AR200" s="524" t="str">
        <f t="shared" ca="1" si="369"/>
        <v/>
      </c>
      <c r="AS200" s="356">
        <f t="shared" ca="1" si="369"/>
        <v>0</v>
      </c>
      <c r="AT200" s="357">
        <f t="shared" ca="1" si="369"/>
        <v>0</v>
      </c>
      <c r="AU200" s="524" t="str">
        <f t="shared" ca="1" si="369"/>
        <v/>
      </c>
      <c r="AV200" s="1083">
        <f t="shared" ca="1" si="369"/>
        <v>0</v>
      </c>
      <c r="AX200" s="1083" t="str">
        <f t="shared" si="370"/>
        <v>U</v>
      </c>
      <c r="AY200" s="1083" t="str">
        <f t="shared" si="371"/>
        <v>U</v>
      </c>
      <c r="AZ200" s="1083" t="str">
        <f t="shared" si="372"/>
        <v>U</v>
      </c>
      <c r="BA200" s="1083" t="str">
        <f t="shared" si="373"/>
        <v>U</v>
      </c>
      <c r="BB200" s="1083" t="str">
        <f t="shared" si="374"/>
        <v>U</v>
      </c>
    </row>
    <row r="201" spans="1:54" ht="12" customHeight="1" collapsed="1" x14ac:dyDescent="0.2">
      <c r="A201" s="440"/>
      <c r="B201" s="324"/>
      <c r="C201" s="378"/>
      <c r="D201" s="374"/>
      <c r="E201" s="374"/>
      <c r="F201" s="374"/>
      <c r="G201" s="374"/>
      <c r="H201" s="374"/>
      <c r="I201" s="374"/>
      <c r="J201" s="374"/>
      <c r="K201" s="374"/>
      <c r="L201" s="374"/>
      <c r="M201" s="545"/>
      <c r="N201" s="544"/>
      <c r="O201" s="374"/>
      <c r="P201" s="374"/>
      <c r="Q201" s="374"/>
      <c r="R201" s="374"/>
      <c r="S201" s="374"/>
      <c r="T201" s="374"/>
      <c r="U201" s="374"/>
      <c r="V201" s="374"/>
      <c r="W201" s="1097"/>
      <c r="X201" s="1112"/>
      <c r="Y201" s="1112"/>
      <c r="Z201" s="374"/>
      <c r="AA201" s="374"/>
      <c r="AB201" s="374"/>
      <c r="AC201" s="1097"/>
      <c r="AD201" s="1112"/>
      <c r="AE201" s="1112"/>
      <c r="AF201" s="374"/>
      <c r="AG201" s="374"/>
      <c r="AH201" s="374"/>
      <c r="AI201" s="556"/>
      <c r="AJ201" s="374"/>
      <c r="AK201" s="440"/>
      <c r="AM201" s="460">
        <v>201</v>
      </c>
      <c r="AN201" s="1078"/>
    </row>
    <row r="202" spans="1:54" ht="12" customHeight="1" x14ac:dyDescent="0.2">
      <c r="A202" s="440"/>
      <c r="B202" s="320"/>
      <c r="C202" s="1036"/>
      <c r="D202" s="1036"/>
      <c r="E202" s="1036"/>
      <c r="F202" s="1036"/>
      <c r="G202" s="1036"/>
      <c r="H202" s="1036"/>
      <c r="I202" s="1036"/>
      <c r="J202" s="1036"/>
      <c r="K202" s="503"/>
      <c r="L202" s="503"/>
      <c r="M202" s="549"/>
      <c r="N202" s="1033"/>
      <c r="O202" s="379"/>
      <c r="P202" s="379"/>
      <c r="Q202" s="379"/>
      <c r="R202" s="379"/>
      <c r="S202" s="379"/>
      <c r="T202" s="379"/>
      <c r="U202" s="1598"/>
      <c r="V202" s="1598"/>
      <c r="W202" s="1095"/>
      <c r="X202" s="1113"/>
      <c r="Y202" s="1113"/>
      <c r="Z202" s="379"/>
      <c r="AA202" s="1598"/>
      <c r="AB202" s="1598"/>
      <c r="AC202" s="1095"/>
      <c r="AD202" s="1113"/>
      <c r="AE202" s="1113"/>
      <c r="AF202" s="379"/>
      <c r="AG202" s="379"/>
      <c r="AH202" s="379"/>
      <c r="AI202" s="481"/>
      <c r="AJ202" s="379"/>
      <c r="AK202" s="440"/>
      <c r="AM202" s="460">
        <v>202</v>
      </c>
      <c r="AN202" s="1078"/>
    </row>
    <row r="203" spans="1:54" ht="12" customHeight="1" x14ac:dyDescent="0.2">
      <c r="A203" s="440"/>
      <c r="B203" s="320"/>
      <c r="C203" s="1036"/>
      <c r="D203" s="1036"/>
      <c r="E203" s="1036"/>
      <c r="F203" s="1036"/>
      <c r="G203" s="1036"/>
      <c r="H203" s="1036"/>
      <c r="I203" s="1036"/>
      <c r="J203" s="1036"/>
      <c r="K203" s="503"/>
      <c r="L203" s="503"/>
      <c r="M203" s="498"/>
      <c r="N203" s="503"/>
      <c r="O203" s="1036"/>
      <c r="P203" s="1036"/>
      <c r="Q203" s="1036"/>
      <c r="R203" s="1036"/>
      <c r="S203" s="372"/>
      <c r="T203" s="372"/>
      <c r="U203" s="372"/>
      <c r="V203" s="372"/>
      <c r="W203" s="1096"/>
      <c r="X203" s="1110"/>
      <c r="Y203" s="1110"/>
      <c r="Z203" s="372"/>
      <c r="AA203" s="372"/>
      <c r="AB203" s="372"/>
      <c r="AC203" s="1096"/>
      <c r="AD203" s="1110"/>
      <c r="AE203" s="1110"/>
      <c r="AF203" s="372"/>
      <c r="AG203" s="372"/>
      <c r="AH203" s="372"/>
      <c r="AI203" s="482"/>
      <c r="AJ203" s="372"/>
      <c r="AK203" s="440"/>
      <c r="AM203" s="460">
        <v>203</v>
      </c>
      <c r="AN203" s="1078"/>
    </row>
    <row r="204" spans="1:54" ht="14.25" customHeight="1" x14ac:dyDescent="0.25">
      <c r="A204" s="440"/>
      <c r="B204" s="499">
        <v>5</v>
      </c>
      <c r="C204" s="494"/>
      <c r="D204" s="495"/>
      <c r="E204" s="1606" t="s">
        <v>13</v>
      </c>
      <c r="F204" s="1606"/>
      <c r="G204" s="1606"/>
      <c r="H204" s="1606"/>
      <c r="I204" s="1597"/>
      <c r="J204" s="1038"/>
      <c r="K204" s="462"/>
      <c r="L204" s="462"/>
      <c r="M204" s="498"/>
      <c r="N204" s="359"/>
      <c r="O204" s="363"/>
      <c r="P204" s="363"/>
      <c r="Q204" s="363"/>
      <c r="R204" s="363"/>
      <c r="S204" s="385">
        <f ca="1">S205</f>
        <v>164110.95600000001</v>
      </c>
      <c r="T204" s="363"/>
      <c r="U204" s="363"/>
      <c r="V204" s="363"/>
      <c r="W204" s="1093"/>
      <c r="X204" s="1116"/>
      <c r="Y204" s="1116"/>
      <c r="Z204" s="363"/>
      <c r="AA204" s="363"/>
      <c r="AB204" s="363"/>
      <c r="AC204" s="1093"/>
      <c r="AD204" s="1116"/>
      <c r="AE204" s="1116"/>
      <c r="AF204" s="363"/>
      <c r="AG204" s="363"/>
      <c r="AH204" s="363"/>
      <c r="AI204" s="358"/>
      <c r="AJ204" s="363"/>
      <c r="AK204" s="440"/>
      <c r="AM204" s="460">
        <v>204</v>
      </c>
      <c r="AN204" s="1078"/>
    </row>
    <row r="205" spans="1:54" ht="14.25" customHeight="1" x14ac:dyDescent="0.25">
      <c r="A205" s="440"/>
      <c r="B205" s="1042"/>
      <c r="C205" s="1036" t="s">
        <v>12</v>
      </c>
      <c r="D205" s="494"/>
      <c r="E205" s="1596" t="s">
        <v>11</v>
      </c>
      <c r="F205" s="1596"/>
      <c r="G205" s="1596"/>
      <c r="H205" s="1596"/>
      <c r="I205" s="1597"/>
      <c r="J205" s="1038"/>
      <c r="K205" s="462"/>
      <c r="L205" s="462"/>
      <c r="M205" s="498"/>
      <c r="N205" s="359"/>
      <c r="O205" s="363"/>
      <c r="P205" s="363"/>
      <c r="Q205" s="363"/>
      <c r="R205" s="363"/>
      <c r="S205" s="355">
        <f ca="1">SUBTOTAL(109,S207:S211)</f>
        <v>164110.95600000001</v>
      </c>
      <c r="T205" s="363"/>
      <c r="U205" s="363"/>
      <c r="V205" s="377"/>
      <c r="W205" s="1093"/>
      <c r="X205" s="1116"/>
      <c r="Y205" s="1125"/>
      <c r="Z205" s="363"/>
      <c r="AA205" s="363"/>
      <c r="AB205" s="377"/>
      <c r="AC205" s="1093"/>
      <c r="AD205" s="1116"/>
      <c r="AE205" s="1125"/>
      <c r="AF205" s="363"/>
      <c r="AG205" s="363"/>
      <c r="AH205" s="363"/>
      <c r="AI205" s="358"/>
      <c r="AJ205" s="363"/>
      <c r="AK205" s="440"/>
      <c r="AM205" s="460">
        <v>205</v>
      </c>
      <c r="AN205" s="1078"/>
    </row>
    <row r="206" spans="1:54" ht="14.25" customHeight="1" x14ac:dyDescent="0.25">
      <c r="A206" s="440"/>
      <c r="B206" s="1042"/>
      <c r="C206" s="1036"/>
      <c r="D206" s="494"/>
      <c r="E206" s="1036"/>
      <c r="F206" s="1036"/>
      <c r="G206" s="1036"/>
      <c r="H206" s="1036"/>
      <c r="I206" s="1035"/>
      <c r="J206" s="1038"/>
      <c r="K206" s="462"/>
      <c r="L206" s="462"/>
      <c r="M206" s="498"/>
      <c r="N206" s="359"/>
      <c r="O206" s="363"/>
      <c r="P206" s="363"/>
      <c r="Q206" s="363"/>
      <c r="R206" s="363"/>
      <c r="S206" s="355"/>
      <c r="T206" s="363"/>
      <c r="U206" s="363"/>
      <c r="V206" s="377"/>
      <c r="W206" s="1093"/>
      <c r="X206" s="1116"/>
      <c r="Y206" s="1125"/>
      <c r="Z206" s="363"/>
      <c r="AA206" s="363"/>
      <c r="AB206" s="377"/>
      <c r="AC206" s="1093"/>
      <c r="AD206" s="1116"/>
      <c r="AE206" s="1125"/>
      <c r="AF206" s="363"/>
      <c r="AG206" s="363"/>
      <c r="AH206" s="363"/>
      <c r="AI206" s="358"/>
      <c r="AJ206" s="363"/>
      <c r="AK206" s="440"/>
      <c r="AM206" s="460">
        <v>206</v>
      </c>
      <c r="AN206" s="1078"/>
    </row>
    <row r="207" spans="1:54" ht="12" customHeight="1" x14ac:dyDescent="0.2">
      <c r="A207" s="440"/>
      <c r="B207" s="1043"/>
      <c r="C207" s="380"/>
      <c r="D207" s="380"/>
      <c r="E207" s="1084" t="str">
        <f ca="1">IF(AX207="E","",AN207)</f>
        <v>Elektroaussbau</v>
      </c>
      <c r="F207" s="1085"/>
      <c r="G207" s="1264"/>
      <c r="H207" s="1264"/>
      <c r="I207" s="1265"/>
      <c r="J207" s="559"/>
      <c r="K207" s="463"/>
      <c r="L207" s="463"/>
      <c r="M207" s="339"/>
      <c r="N207" s="361"/>
      <c r="O207" s="339"/>
      <c r="P207" s="365"/>
      <c r="Q207" s="344">
        <f>136759.13*1.2</f>
        <v>164110.95600000001</v>
      </c>
      <c r="R207" s="522" t="s">
        <v>363</v>
      </c>
      <c r="S207" s="353">
        <f t="shared" ref="S207:S211" si="375">IF(AY207="E",(M207*O207)+Q207,AO207)</f>
        <v>164110.95600000001</v>
      </c>
      <c r="T207" s="523"/>
      <c r="U207" s="350"/>
      <c r="V207" s="308"/>
      <c r="W207" s="1090" t="str">
        <f t="shared" ref="W207:W211" ca="1" si="376">IF(AZ207="E",IF(AND(V207&lt;&gt;0,U207&lt;&gt;0),"X",IF(AND(V207&lt;&gt;0,U207=0),"A",IF(AND(V207=0,U207&lt;&gt;0),"P",""))),AR207)</f>
        <v/>
      </c>
      <c r="X207" s="1103">
        <f t="shared" ref="X207:X211" ca="1" si="377">IF(AZ207="E",IFERROR(IF(W207="X",0,IF(U207&gt;0,U207,V207/S207)),0),
IFERROR(IF(OR(AR207="X",AR207=0),0,
IF(AR207="P",AP207,IF(AR207="A",AQ207/S207,0))),0))</f>
        <v>0</v>
      </c>
      <c r="Y207" s="1120">
        <f t="shared" ref="Y207:Y211" ca="1" si="378">IF(AZ207="E",IFERROR(IF(W207="X",0,IF(V207&gt;0,V207,S207*U207)),0),
IFERROR(IF(OR(AR207="X",AR207="0"),0,IF(AR207="A",AQ207,S207*AP207)),0))</f>
        <v>0</v>
      </c>
      <c r="Z207" s="524"/>
      <c r="AA207" s="350"/>
      <c r="AB207" s="308"/>
      <c r="AC207" s="1090" t="str">
        <f t="shared" ref="AC207:AC211" ca="1" si="379">IF(BA207="E",IF(AND(AB207&lt;&gt;0,AA207&lt;&gt;0),"X",IF(AND(AB207&lt;&gt;0,AA207=0),"A",IF(AND(AB207=0,AA207&lt;&gt;0),"P",""))),AU207)</f>
        <v/>
      </c>
      <c r="AD207" s="1103">
        <f t="shared" ref="AD207:AD211" ca="1" si="380">IF(BA207="E",IFERROR(IF(AC207="X",0,IF(AA207&gt;0,AA207,AB207/S207)),0),
IFERROR(IF(OR(AU207="X",AU207=0),0,
IF(AU207="P",AS207,IF(AU207="A",AT207/S207,0))),0))</f>
        <v>0</v>
      </c>
      <c r="AE207" s="1120">
        <f t="shared" ref="AE207:AE211" ca="1" si="381">IF(BA207="E",IFERROR(IF(AC207="X",0,IF(AB207&gt;0,AB207,S207*AA207)),0),
IFERROR(IF(OR(AU207="X",AU207=0),0,
IF(AU207="A",AT207,S207*AS207)),0))</f>
        <v>0</v>
      </c>
      <c r="AF207" s="525"/>
      <c r="AG207" s="637"/>
      <c r="AH207" s="525"/>
      <c r="AI207" s="1086">
        <f t="shared" ref="AI207:AI211" ca="1" si="382">IF(BB207="E",AG207,AV207)</f>
        <v>50</v>
      </c>
      <c r="AJ207" s="380"/>
      <c r="AK207" s="440"/>
      <c r="AM207" s="460">
        <v>207</v>
      </c>
      <c r="AN207" s="1087" t="str">
        <f t="shared" ref="AN207:AN211" ca="1" si="383">IF($M$13=$AN$12,"",IF(ISTEXT(INDIRECT("'"&amp;$AM$20&amp;"'!"&amp;AN$21&amp;$AM207)),INDIRECT("'"&amp;$AM$20&amp;"'!"&amp;AN$21&amp;$AM207),INDIRECT("'"&amp;$AM$20&amp;"'!"&amp;AN$22&amp;$AM207)))</f>
        <v>Elektroaussbau</v>
      </c>
      <c r="AO207" s="1083">
        <f t="shared" ref="AO207:AV211" ca="1" si="384">IF($M$13=$AN$12,"",INDIRECT("'"&amp;$AM$20&amp;"'!"&amp;AO$21&amp;$AM207))</f>
        <v>158175.552</v>
      </c>
      <c r="AP207" s="356">
        <f t="shared" ca="1" si="384"/>
        <v>0</v>
      </c>
      <c r="AQ207" s="357">
        <f t="shared" ca="1" si="384"/>
        <v>0</v>
      </c>
      <c r="AR207" s="524" t="str">
        <f t="shared" ca="1" si="384"/>
        <v/>
      </c>
      <c r="AS207" s="356">
        <f t="shared" ca="1" si="384"/>
        <v>0</v>
      </c>
      <c r="AT207" s="357">
        <f t="shared" ca="1" si="384"/>
        <v>0</v>
      </c>
      <c r="AU207" s="524" t="str">
        <f t="shared" ca="1" si="384"/>
        <v/>
      </c>
      <c r="AV207" s="1083">
        <f t="shared" ca="1" si="384"/>
        <v>50</v>
      </c>
      <c r="AX207" s="1083" t="str">
        <f t="shared" ref="AX207:AX211" si="385">IF($M$13=$AN$12,"E",IF(ISTEXT(F207),"E","U"))</f>
        <v>U</v>
      </c>
      <c r="AY207" s="1083" t="str">
        <f t="shared" ref="AY207:AY211" si="386">IF($M$13=$AN$12,"E",IF(OR(ISNUMBER(M207),ISNUMBER(O207),ISNUMBER(Q207)),"E","U"))</f>
        <v>E</v>
      </c>
      <c r="AZ207" s="1083" t="str">
        <f t="shared" ref="AZ207:AZ211" si="387">IF($M$13=$AN$12,"E",IF(OR(ISNUMBER(U207),ISNUMBER(V207)),"E","U"))</f>
        <v>U</v>
      </c>
      <c r="BA207" s="1083" t="str">
        <f t="shared" ref="BA207:BA211" si="388">IF($M$13=$AN$12,"E",IF(OR(ISNUMBER(AA207),ISNUMBER(AB207)),"E","U"))</f>
        <v>U</v>
      </c>
      <c r="BB207" s="1083" t="str">
        <f t="shared" ref="BB207:BB211" si="389">IF($M$13=$AN$12,"E",IF(ISNUMBER(AG207),"E","U"))</f>
        <v>U</v>
      </c>
    </row>
    <row r="208" spans="1:54" ht="12" customHeight="1" x14ac:dyDescent="0.2">
      <c r="A208" s="440"/>
      <c r="B208" s="1043"/>
      <c r="C208" s="380"/>
      <c r="D208" s="380"/>
      <c r="E208" s="1084">
        <f ca="1">IF(AX208="E","",AN208)</f>
        <v>0</v>
      </c>
      <c r="F208" s="1085"/>
      <c r="G208" s="1264"/>
      <c r="H208" s="1264"/>
      <c r="I208" s="1265"/>
      <c r="J208" s="559"/>
      <c r="K208" s="463"/>
      <c r="L208" s="463"/>
      <c r="M208" s="339"/>
      <c r="N208" s="361"/>
      <c r="O208" s="339"/>
      <c r="P208" s="365"/>
      <c r="Q208" s="344"/>
      <c r="R208" s="522" t="s">
        <v>363</v>
      </c>
      <c r="S208" s="353">
        <f t="shared" ca="1" si="375"/>
        <v>0</v>
      </c>
      <c r="T208" s="523"/>
      <c r="U208" s="350"/>
      <c r="V208" s="308"/>
      <c r="W208" s="1090" t="str">
        <f t="shared" ca="1" si="376"/>
        <v/>
      </c>
      <c r="X208" s="1103">
        <f t="shared" ca="1" si="377"/>
        <v>0</v>
      </c>
      <c r="Y208" s="1120">
        <f t="shared" ca="1" si="378"/>
        <v>0</v>
      </c>
      <c r="Z208" s="524"/>
      <c r="AA208" s="350"/>
      <c r="AB208" s="308"/>
      <c r="AC208" s="1090" t="str">
        <f t="shared" ca="1" si="379"/>
        <v/>
      </c>
      <c r="AD208" s="1103">
        <f t="shared" ca="1" si="380"/>
        <v>0</v>
      </c>
      <c r="AE208" s="1120">
        <f t="shared" ca="1" si="381"/>
        <v>0</v>
      </c>
      <c r="AF208" s="525"/>
      <c r="AG208" s="637"/>
      <c r="AH208" s="525"/>
      <c r="AI208" s="1086">
        <f t="shared" ca="1" si="382"/>
        <v>0</v>
      </c>
      <c r="AJ208" s="380"/>
      <c r="AK208" s="440"/>
      <c r="AM208" s="460">
        <v>208</v>
      </c>
      <c r="AN208" s="1087">
        <f t="shared" ca="1" si="383"/>
        <v>0</v>
      </c>
      <c r="AO208" s="1083">
        <f t="shared" ca="1" si="384"/>
        <v>0</v>
      </c>
      <c r="AP208" s="356">
        <f t="shared" ca="1" si="384"/>
        <v>0</v>
      </c>
      <c r="AQ208" s="357">
        <f t="shared" ca="1" si="384"/>
        <v>0</v>
      </c>
      <c r="AR208" s="524" t="str">
        <f t="shared" ca="1" si="384"/>
        <v/>
      </c>
      <c r="AS208" s="356">
        <f t="shared" ca="1" si="384"/>
        <v>0</v>
      </c>
      <c r="AT208" s="357">
        <f t="shared" ca="1" si="384"/>
        <v>0</v>
      </c>
      <c r="AU208" s="524" t="str">
        <f t="shared" ca="1" si="384"/>
        <v/>
      </c>
      <c r="AV208" s="1083">
        <f t="shared" ca="1" si="384"/>
        <v>0</v>
      </c>
      <c r="AX208" s="1083" t="str">
        <f t="shared" si="385"/>
        <v>U</v>
      </c>
      <c r="AY208" s="1083" t="str">
        <f t="shared" si="386"/>
        <v>U</v>
      </c>
      <c r="AZ208" s="1083" t="str">
        <f t="shared" si="387"/>
        <v>U</v>
      </c>
      <c r="BA208" s="1083" t="str">
        <f t="shared" si="388"/>
        <v>U</v>
      </c>
      <c r="BB208" s="1083" t="str">
        <f t="shared" si="389"/>
        <v>U</v>
      </c>
    </row>
    <row r="209" spans="1:54" ht="12" customHeight="1" x14ac:dyDescent="0.2">
      <c r="A209" s="440"/>
      <c r="B209" s="1043"/>
      <c r="C209" s="380"/>
      <c r="D209" s="380"/>
      <c r="E209" s="1084">
        <f ca="1">IF(AX209="E","",AN209)</f>
        <v>0</v>
      </c>
      <c r="F209" s="1085"/>
      <c r="G209" s="1264"/>
      <c r="H209" s="1264"/>
      <c r="I209" s="1265"/>
      <c r="J209" s="559"/>
      <c r="K209" s="463"/>
      <c r="L209" s="463"/>
      <c r="M209" s="339"/>
      <c r="N209" s="361"/>
      <c r="O209" s="339"/>
      <c r="P209" s="365"/>
      <c r="Q209" s="344"/>
      <c r="R209" s="522" t="s">
        <v>363</v>
      </c>
      <c r="S209" s="353">
        <f t="shared" ca="1" si="375"/>
        <v>0</v>
      </c>
      <c r="T209" s="523"/>
      <c r="U209" s="350"/>
      <c r="V209" s="308"/>
      <c r="W209" s="1090" t="str">
        <f t="shared" ca="1" si="376"/>
        <v/>
      </c>
      <c r="X209" s="1103">
        <f t="shared" ca="1" si="377"/>
        <v>0</v>
      </c>
      <c r="Y209" s="1120">
        <f t="shared" ca="1" si="378"/>
        <v>0</v>
      </c>
      <c r="Z209" s="524"/>
      <c r="AA209" s="350"/>
      <c r="AB209" s="308"/>
      <c r="AC209" s="1090" t="str">
        <f t="shared" ca="1" si="379"/>
        <v/>
      </c>
      <c r="AD209" s="1103">
        <f t="shared" ca="1" si="380"/>
        <v>0</v>
      </c>
      <c r="AE209" s="1120">
        <f t="shared" ca="1" si="381"/>
        <v>0</v>
      </c>
      <c r="AF209" s="525"/>
      <c r="AG209" s="637"/>
      <c r="AH209" s="525"/>
      <c r="AI209" s="1086">
        <f t="shared" ca="1" si="382"/>
        <v>0</v>
      </c>
      <c r="AJ209" s="380"/>
      <c r="AK209" s="440"/>
      <c r="AM209" s="460">
        <v>209</v>
      </c>
      <c r="AN209" s="1087">
        <f t="shared" ca="1" si="383"/>
        <v>0</v>
      </c>
      <c r="AO209" s="1083">
        <f t="shared" ca="1" si="384"/>
        <v>0</v>
      </c>
      <c r="AP209" s="356">
        <f t="shared" ca="1" si="384"/>
        <v>0</v>
      </c>
      <c r="AQ209" s="357">
        <f t="shared" ca="1" si="384"/>
        <v>0</v>
      </c>
      <c r="AR209" s="524" t="str">
        <f t="shared" ca="1" si="384"/>
        <v/>
      </c>
      <c r="AS209" s="356">
        <f t="shared" ca="1" si="384"/>
        <v>0</v>
      </c>
      <c r="AT209" s="357">
        <f t="shared" ca="1" si="384"/>
        <v>0</v>
      </c>
      <c r="AU209" s="524" t="str">
        <f t="shared" ca="1" si="384"/>
        <v/>
      </c>
      <c r="AV209" s="1083">
        <f t="shared" ca="1" si="384"/>
        <v>0</v>
      </c>
      <c r="AX209" s="1083" t="str">
        <f t="shared" si="385"/>
        <v>U</v>
      </c>
      <c r="AY209" s="1083" t="str">
        <f t="shared" si="386"/>
        <v>U</v>
      </c>
      <c r="AZ209" s="1083" t="str">
        <f t="shared" si="387"/>
        <v>U</v>
      </c>
      <c r="BA209" s="1083" t="str">
        <f t="shared" si="388"/>
        <v>U</v>
      </c>
      <c r="BB209" s="1083" t="str">
        <f t="shared" si="389"/>
        <v>U</v>
      </c>
    </row>
    <row r="210" spans="1:54" ht="12" customHeight="1" x14ac:dyDescent="0.2">
      <c r="A210" s="440"/>
      <c r="B210" s="1043"/>
      <c r="C210" s="380"/>
      <c r="D210" s="380"/>
      <c r="E210" s="1084">
        <f ca="1">IF(AX210="E","",AN210)</f>
        <v>0</v>
      </c>
      <c r="F210" s="1085"/>
      <c r="G210" s="1264"/>
      <c r="H210" s="1264"/>
      <c r="I210" s="1265"/>
      <c r="J210" s="559"/>
      <c r="K210" s="463"/>
      <c r="L210" s="463"/>
      <c r="M210" s="339"/>
      <c r="N210" s="361"/>
      <c r="O210" s="339"/>
      <c r="P210" s="365"/>
      <c r="Q210" s="344"/>
      <c r="R210" s="522" t="s">
        <v>363</v>
      </c>
      <c r="S210" s="353">
        <f t="shared" ca="1" si="375"/>
        <v>0</v>
      </c>
      <c r="T210" s="523"/>
      <c r="U210" s="350"/>
      <c r="V210" s="308"/>
      <c r="W210" s="1090" t="str">
        <f t="shared" ca="1" si="376"/>
        <v/>
      </c>
      <c r="X210" s="1103">
        <f t="shared" ca="1" si="377"/>
        <v>0</v>
      </c>
      <c r="Y210" s="1120">
        <f t="shared" ca="1" si="378"/>
        <v>0</v>
      </c>
      <c r="Z210" s="524"/>
      <c r="AA210" s="350"/>
      <c r="AB210" s="308"/>
      <c r="AC210" s="1090" t="str">
        <f t="shared" ca="1" si="379"/>
        <v/>
      </c>
      <c r="AD210" s="1103">
        <f t="shared" ca="1" si="380"/>
        <v>0</v>
      </c>
      <c r="AE210" s="1120">
        <f t="shared" ca="1" si="381"/>
        <v>0</v>
      </c>
      <c r="AF210" s="525"/>
      <c r="AG210" s="637"/>
      <c r="AH210" s="525"/>
      <c r="AI210" s="1086">
        <f t="shared" ca="1" si="382"/>
        <v>0</v>
      </c>
      <c r="AJ210" s="380"/>
      <c r="AK210" s="440"/>
      <c r="AM210" s="460">
        <v>210</v>
      </c>
      <c r="AN210" s="1087">
        <f t="shared" ca="1" si="383"/>
        <v>0</v>
      </c>
      <c r="AO210" s="1083">
        <f t="shared" ca="1" si="384"/>
        <v>0</v>
      </c>
      <c r="AP210" s="356">
        <f t="shared" ca="1" si="384"/>
        <v>0</v>
      </c>
      <c r="AQ210" s="357">
        <f t="shared" ca="1" si="384"/>
        <v>0</v>
      </c>
      <c r="AR210" s="524" t="str">
        <f t="shared" ca="1" si="384"/>
        <v/>
      </c>
      <c r="AS210" s="356">
        <f t="shared" ca="1" si="384"/>
        <v>0</v>
      </c>
      <c r="AT210" s="357">
        <f t="shared" ca="1" si="384"/>
        <v>0</v>
      </c>
      <c r="AU210" s="524" t="str">
        <f t="shared" ca="1" si="384"/>
        <v/>
      </c>
      <c r="AV210" s="1083">
        <f t="shared" ca="1" si="384"/>
        <v>0</v>
      </c>
      <c r="AX210" s="1083" t="str">
        <f t="shared" si="385"/>
        <v>U</v>
      </c>
      <c r="AY210" s="1083" t="str">
        <f t="shared" si="386"/>
        <v>U</v>
      </c>
      <c r="AZ210" s="1083" t="str">
        <f t="shared" si="387"/>
        <v>U</v>
      </c>
      <c r="BA210" s="1083" t="str">
        <f t="shared" si="388"/>
        <v>U</v>
      </c>
      <c r="BB210" s="1083" t="str">
        <f t="shared" si="389"/>
        <v>U</v>
      </c>
    </row>
    <row r="211" spans="1:54" ht="12" customHeight="1" x14ac:dyDescent="0.2">
      <c r="A211" s="440"/>
      <c r="B211" s="1043"/>
      <c r="C211" s="380"/>
      <c r="D211" s="380"/>
      <c r="E211" s="1084">
        <f ca="1">IF(AX211="E","",AN211)</f>
        <v>0</v>
      </c>
      <c r="F211" s="1085"/>
      <c r="G211" s="1264"/>
      <c r="H211" s="1264"/>
      <c r="I211" s="1265"/>
      <c r="J211" s="559"/>
      <c r="K211" s="463"/>
      <c r="L211" s="463"/>
      <c r="M211" s="339"/>
      <c r="N211" s="361"/>
      <c r="O211" s="339"/>
      <c r="P211" s="365"/>
      <c r="Q211" s="344"/>
      <c r="R211" s="522" t="s">
        <v>363</v>
      </c>
      <c r="S211" s="353">
        <f t="shared" ca="1" si="375"/>
        <v>0</v>
      </c>
      <c r="T211" s="523"/>
      <c r="U211" s="350"/>
      <c r="V211" s="308"/>
      <c r="W211" s="1090" t="str">
        <f t="shared" ca="1" si="376"/>
        <v/>
      </c>
      <c r="X211" s="1103">
        <f t="shared" ca="1" si="377"/>
        <v>0</v>
      </c>
      <c r="Y211" s="1120">
        <f t="shared" ca="1" si="378"/>
        <v>0</v>
      </c>
      <c r="Z211" s="524"/>
      <c r="AA211" s="350"/>
      <c r="AB211" s="308"/>
      <c r="AC211" s="1090" t="str">
        <f t="shared" ca="1" si="379"/>
        <v/>
      </c>
      <c r="AD211" s="1103">
        <f t="shared" ca="1" si="380"/>
        <v>0</v>
      </c>
      <c r="AE211" s="1120">
        <f t="shared" ca="1" si="381"/>
        <v>0</v>
      </c>
      <c r="AF211" s="525"/>
      <c r="AG211" s="637"/>
      <c r="AH211" s="525"/>
      <c r="AI211" s="1086">
        <f t="shared" ca="1" si="382"/>
        <v>0</v>
      </c>
      <c r="AJ211" s="380"/>
      <c r="AK211" s="440"/>
      <c r="AM211" s="460">
        <v>211</v>
      </c>
      <c r="AN211" s="1087">
        <f t="shared" ca="1" si="383"/>
        <v>0</v>
      </c>
      <c r="AO211" s="1083">
        <f t="shared" ca="1" si="384"/>
        <v>0</v>
      </c>
      <c r="AP211" s="356">
        <f t="shared" ca="1" si="384"/>
        <v>0</v>
      </c>
      <c r="AQ211" s="357">
        <f t="shared" ca="1" si="384"/>
        <v>0</v>
      </c>
      <c r="AR211" s="524" t="str">
        <f t="shared" ca="1" si="384"/>
        <v/>
      </c>
      <c r="AS211" s="356">
        <f t="shared" ca="1" si="384"/>
        <v>0</v>
      </c>
      <c r="AT211" s="357">
        <f t="shared" ca="1" si="384"/>
        <v>0</v>
      </c>
      <c r="AU211" s="524" t="str">
        <f t="shared" ca="1" si="384"/>
        <v/>
      </c>
      <c r="AV211" s="1083">
        <f t="shared" ca="1" si="384"/>
        <v>0</v>
      </c>
      <c r="AX211" s="1083" t="str">
        <f t="shared" si="385"/>
        <v>U</v>
      </c>
      <c r="AY211" s="1083" t="str">
        <f t="shared" si="386"/>
        <v>U</v>
      </c>
      <c r="AZ211" s="1083" t="str">
        <f t="shared" si="387"/>
        <v>U</v>
      </c>
      <c r="BA211" s="1083" t="str">
        <f t="shared" si="388"/>
        <v>U</v>
      </c>
      <c r="BB211" s="1083" t="str">
        <f t="shared" si="389"/>
        <v>U</v>
      </c>
    </row>
    <row r="212" spans="1:54" ht="12" customHeight="1" collapsed="1" x14ac:dyDescent="0.2">
      <c r="A212" s="440"/>
      <c r="B212" s="324"/>
      <c r="C212" s="378"/>
      <c r="D212" s="378"/>
      <c r="E212" s="378"/>
      <c r="F212" s="378"/>
      <c r="G212" s="378"/>
      <c r="H212" s="378"/>
      <c r="I212" s="378"/>
      <c r="J212" s="378"/>
      <c r="K212" s="378"/>
      <c r="L212" s="378"/>
      <c r="M212" s="560"/>
      <c r="N212" s="561"/>
      <c r="O212" s="378"/>
      <c r="P212" s="378"/>
      <c r="Q212" s="378"/>
      <c r="R212" s="378"/>
      <c r="S212" s="378"/>
      <c r="T212" s="378"/>
      <c r="U212" s="378"/>
      <c r="V212" s="378"/>
      <c r="W212" s="1098"/>
      <c r="X212" s="1117"/>
      <c r="Y212" s="1117"/>
      <c r="Z212" s="378"/>
      <c r="AA212" s="378"/>
      <c r="AB212" s="378"/>
      <c r="AC212" s="1098"/>
      <c r="AD212" s="1117"/>
      <c r="AE212" s="1117"/>
      <c r="AF212" s="378"/>
      <c r="AG212" s="378"/>
      <c r="AH212" s="378"/>
      <c r="AI212" s="562"/>
      <c r="AJ212" s="378"/>
      <c r="AK212" s="440"/>
      <c r="AM212" s="460">
        <v>212</v>
      </c>
      <c r="AN212" s="1078"/>
    </row>
    <row r="213" spans="1:54" ht="12" customHeight="1" x14ac:dyDescent="0.2">
      <c r="A213" s="440"/>
      <c r="B213" s="320"/>
      <c r="C213" s="1036"/>
      <c r="D213" s="1036"/>
      <c r="E213" s="1036"/>
      <c r="F213" s="1036"/>
      <c r="G213" s="1036"/>
      <c r="H213" s="1036"/>
      <c r="I213" s="1036"/>
      <c r="J213" s="1036"/>
      <c r="K213" s="503"/>
      <c r="L213" s="503"/>
      <c r="M213" s="549"/>
      <c r="N213" s="1033"/>
      <c r="O213" s="379"/>
      <c r="P213" s="379"/>
      <c r="Q213" s="379"/>
      <c r="R213" s="379"/>
      <c r="S213" s="379"/>
      <c r="T213" s="379"/>
      <c r="U213" s="379"/>
      <c r="V213" s="379"/>
      <c r="W213" s="1099"/>
      <c r="X213" s="1118"/>
      <c r="Y213" s="1118"/>
      <c r="Z213" s="379"/>
      <c r="AA213" s="379"/>
      <c r="AB213" s="379"/>
      <c r="AC213" s="1099"/>
      <c r="AD213" s="1118"/>
      <c r="AE213" s="1118"/>
      <c r="AF213" s="379"/>
      <c r="AG213" s="379"/>
      <c r="AH213" s="379"/>
      <c r="AI213" s="481"/>
      <c r="AJ213" s="379"/>
      <c r="AK213" s="440"/>
      <c r="AM213" s="460">
        <v>213</v>
      </c>
      <c r="AN213" s="1078"/>
    </row>
    <row r="214" spans="1:54" ht="12" customHeight="1" x14ac:dyDescent="0.2">
      <c r="A214" s="440"/>
      <c r="B214" s="320"/>
      <c r="C214" s="1036"/>
      <c r="D214" s="1036"/>
      <c r="E214" s="1036"/>
      <c r="F214" s="1036"/>
      <c r="G214" s="1036"/>
      <c r="H214" s="1036"/>
      <c r="I214" s="1036"/>
      <c r="J214" s="1036"/>
      <c r="K214" s="503"/>
      <c r="L214" s="503"/>
      <c r="M214" s="498"/>
      <c r="N214" s="503"/>
      <c r="O214" s="1036"/>
      <c r="P214" s="1036"/>
      <c r="Q214" s="1036"/>
      <c r="R214" s="1036"/>
      <c r="S214" s="372"/>
      <c r="T214" s="372"/>
      <c r="U214" s="372"/>
      <c r="V214" s="372"/>
      <c r="W214" s="1096"/>
      <c r="X214" s="1110"/>
      <c r="Y214" s="1110"/>
      <c r="Z214" s="372"/>
      <c r="AA214" s="372"/>
      <c r="AB214" s="372"/>
      <c r="AC214" s="1096"/>
      <c r="AD214" s="1110"/>
      <c r="AE214" s="1110"/>
      <c r="AF214" s="372"/>
      <c r="AG214" s="372"/>
      <c r="AH214" s="372"/>
      <c r="AI214" s="482"/>
      <c r="AJ214" s="372"/>
      <c r="AK214" s="440"/>
      <c r="AM214" s="460">
        <v>214</v>
      </c>
      <c r="AN214" s="1078"/>
    </row>
    <row r="215" spans="1:54" ht="12" customHeight="1" x14ac:dyDescent="0.25">
      <c r="A215" s="440"/>
      <c r="B215" s="499">
        <v>6</v>
      </c>
      <c r="C215" s="495"/>
      <c r="D215" s="495"/>
      <c r="E215" s="1606" t="s">
        <v>10</v>
      </c>
      <c r="F215" s="1606"/>
      <c r="G215" s="1606"/>
      <c r="H215" s="1606"/>
      <c r="I215" s="1605"/>
      <c r="J215" s="1038"/>
      <c r="K215" s="502"/>
      <c r="L215" s="502"/>
      <c r="M215" s="498"/>
      <c r="N215" s="503"/>
      <c r="O215" s="1036"/>
      <c r="P215" s="1036"/>
      <c r="Q215" s="1036"/>
      <c r="R215" s="1036"/>
      <c r="S215" s="385">
        <f ca="1">SUBTOTAL(109,S216)</f>
        <v>0</v>
      </c>
      <c r="T215" s="372"/>
      <c r="U215" s="372"/>
      <c r="V215" s="372"/>
      <c r="W215" s="1096"/>
      <c r="X215" s="1110"/>
      <c r="Y215" s="1110"/>
      <c r="Z215" s="372"/>
      <c r="AA215" s="372"/>
      <c r="AB215" s="372"/>
      <c r="AC215" s="1096"/>
      <c r="AD215" s="1110"/>
      <c r="AE215" s="1110"/>
      <c r="AF215" s="372"/>
      <c r="AG215" s="372"/>
      <c r="AH215" s="372"/>
      <c r="AI215" s="482"/>
      <c r="AJ215" s="372"/>
      <c r="AK215" s="440"/>
      <c r="AM215" s="460">
        <v>215</v>
      </c>
      <c r="AN215" s="1078"/>
    </row>
    <row r="216" spans="1:54" ht="12" customHeight="1" x14ac:dyDescent="0.25">
      <c r="A216" s="440"/>
      <c r="B216" s="499"/>
      <c r="C216" s="495"/>
      <c r="D216" s="495"/>
      <c r="E216" s="1034"/>
      <c r="F216" s="1034"/>
      <c r="G216" s="1034"/>
      <c r="H216" s="1034"/>
      <c r="I216" s="1038"/>
      <c r="J216" s="1038"/>
      <c r="K216" s="502"/>
      <c r="L216" s="502"/>
      <c r="M216" s="339"/>
      <c r="N216" s="361"/>
      <c r="O216" s="339"/>
      <c r="P216" s="365"/>
      <c r="Q216" s="344"/>
      <c r="R216" s="522" t="s">
        <v>363</v>
      </c>
      <c r="S216" s="353">
        <f ca="1">IF(AY216="E",(M216*O216)+Q216,AO216)</f>
        <v>0</v>
      </c>
      <c r="T216" s="523"/>
      <c r="U216" s="350"/>
      <c r="V216" s="308"/>
      <c r="W216" s="1090" t="str">
        <f ca="1">IF(AZ216="E",IF(AND(V216&lt;&gt;0,U216&lt;&gt;0),"X",IF(AND(V216&lt;&gt;0,U216=0),"A",IF(AND(V216=0,U216&lt;&gt;0),"P",""))),AR216)</f>
        <v/>
      </c>
      <c r="X216" s="1103">
        <f ca="1">IF(AZ216="E",IFERROR(IF(W216="X",0,IF(U216&gt;0,U216,V216/S216)),0),
IFERROR(IF(OR(AR216="X",AR216=0),0,
IF(AR216="P",AP216,IF(AR216="A",AQ216/S216,0))),0))</f>
        <v>0</v>
      </c>
      <c r="Y216" s="1120">
        <f ca="1">IF(AZ216="E",IFERROR(IF(W216="X",0,IF(V216&gt;0,V216,S216*U216)),0),
IFERROR(IF(OR(AR216="X",AR216="0"),0,IF(AR216="A",AQ216,S216*AP216)),0))</f>
        <v>0</v>
      </c>
      <c r="Z216" s="524"/>
      <c r="AA216" s="350"/>
      <c r="AB216" s="308"/>
      <c r="AC216" s="1090" t="str">
        <f ca="1">IF(BA216="E",IF(AND(AB216&lt;&gt;0,AA216&lt;&gt;0),"X",IF(AND(AB216&lt;&gt;0,AA216=0),"A",IF(AND(AB216=0,AA216&lt;&gt;0),"P",""))),AU216)</f>
        <v/>
      </c>
      <c r="AD216" s="1103">
        <f ca="1">IF(BA216="E",IFERROR(IF(AC216="X",0,IF(AA216&gt;0,AA216,AB216/S216)),0),
IFERROR(IF(OR(AU216="X",AU216=0),0,
IF(AU216="P",AS216,IF(AU216="A",AT216/S216,0))),0))</f>
        <v>0</v>
      </c>
      <c r="AE216" s="1120">
        <f ca="1">IF(BA216="E",IFERROR(IF(AC216="X",0,IF(AB216&gt;0,AB216,S216*AA216)),0),
IFERROR(IF(OR(AU216="X",AU216=0),0,
IF(AU216="A",AT216,S216*AS216)),0))</f>
        <v>0</v>
      </c>
      <c r="AF216" s="525"/>
      <c r="AG216" s="637"/>
      <c r="AH216" s="525"/>
      <c r="AI216" s="1086">
        <f ca="1">IF(BB216="E",AG216,AV216)</f>
        <v>0</v>
      </c>
      <c r="AJ216" s="380"/>
      <c r="AK216" s="440"/>
      <c r="AM216" s="460">
        <v>216</v>
      </c>
      <c r="AN216" s="1078"/>
      <c r="AO216" s="1083">
        <f t="shared" ref="AO216:AV216" ca="1" si="390">IF($M$13=$AN$12,"",INDIRECT("'"&amp;$AM$20&amp;"'!"&amp;AO$21&amp;$AM216))</f>
        <v>0</v>
      </c>
      <c r="AP216" s="356">
        <f t="shared" ca="1" si="390"/>
        <v>0</v>
      </c>
      <c r="AQ216" s="357">
        <f t="shared" ca="1" si="390"/>
        <v>0</v>
      </c>
      <c r="AR216" s="524" t="str">
        <f t="shared" ca="1" si="390"/>
        <v/>
      </c>
      <c r="AS216" s="356">
        <f t="shared" ca="1" si="390"/>
        <v>0</v>
      </c>
      <c r="AT216" s="357">
        <f t="shared" ca="1" si="390"/>
        <v>0</v>
      </c>
      <c r="AU216" s="524" t="str">
        <f t="shared" ca="1" si="390"/>
        <v/>
      </c>
      <c r="AV216" s="1083">
        <f t="shared" ca="1" si="390"/>
        <v>0</v>
      </c>
      <c r="AX216" s="1083" t="str">
        <f t="shared" ref="AX216" si="391">IF($M$13=$AN$12,"E",IF(ISTEXT(F216),"E","U"))</f>
        <v>U</v>
      </c>
      <c r="AY216" s="1083" t="str">
        <f t="shared" ref="AY216" si="392">IF($M$13=$AN$12,"E",IF(OR(ISNUMBER(M216),ISNUMBER(O216),ISNUMBER(Q216)),"E","U"))</f>
        <v>U</v>
      </c>
      <c r="AZ216" s="1083" t="str">
        <f t="shared" ref="AZ216" si="393">IF($M$13=$AN$12,"E",IF(OR(ISNUMBER(U216),ISNUMBER(V216)),"E","U"))</f>
        <v>U</v>
      </c>
      <c r="BA216" s="1083" t="str">
        <f t="shared" ref="BA216" si="394">IF($M$13=$AN$12,"E",IF(OR(ISNUMBER(AA216),ISNUMBER(AB216)),"E","U"))</f>
        <v>U</v>
      </c>
      <c r="BB216" s="1083" t="str">
        <f t="shared" ref="BB216" si="395">IF($M$13=$AN$12,"E",IF(ISNUMBER(AG216),"E","U"))</f>
        <v>U</v>
      </c>
    </row>
    <row r="217" spans="1:54" ht="12" customHeight="1" x14ac:dyDescent="0.25">
      <c r="A217" s="440"/>
      <c r="B217" s="505"/>
      <c r="C217" s="563"/>
      <c r="D217" s="563"/>
      <c r="E217" s="506"/>
      <c r="F217" s="506"/>
      <c r="G217" s="506"/>
      <c r="H217" s="506"/>
      <c r="I217" s="507"/>
      <c r="J217" s="507"/>
      <c r="K217" s="508"/>
      <c r="L217" s="508"/>
      <c r="M217" s="564"/>
      <c r="N217" s="517"/>
      <c r="O217" s="371"/>
      <c r="P217" s="371"/>
      <c r="Q217" s="371"/>
      <c r="R217" s="371"/>
      <c r="S217" s="371"/>
      <c r="T217" s="371"/>
      <c r="U217" s="371"/>
      <c r="V217" s="371"/>
      <c r="W217" s="1100"/>
      <c r="X217" s="1108"/>
      <c r="Y217" s="1108"/>
      <c r="Z217" s="371"/>
      <c r="AA217" s="371"/>
      <c r="AB217" s="371"/>
      <c r="AC217" s="1100"/>
      <c r="AD217" s="1108"/>
      <c r="AE217" s="1108"/>
      <c r="AF217" s="371"/>
      <c r="AG217" s="371"/>
      <c r="AH217" s="371"/>
      <c r="AI217" s="565"/>
      <c r="AJ217" s="371"/>
      <c r="AK217" s="440"/>
      <c r="AM217" s="460">
        <v>217</v>
      </c>
      <c r="AN217" s="1078"/>
    </row>
    <row r="218" spans="1:54" ht="12" customHeight="1" x14ac:dyDescent="0.2">
      <c r="A218" s="440"/>
      <c r="B218" s="320"/>
      <c r="C218" s="1036"/>
      <c r="D218" s="1036"/>
      <c r="E218" s="1036"/>
      <c r="F218" s="1036"/>
      <c r="G218" s="1036"/>
      <c r="H218" s="1036"/>
      <c r="I218" s="380"/>
      <c r="J218" s="380"/>
      <c r="K218" s="463"/>
      <c r="L218" s="463"/>
      <c r="M218" s="549"/>
      <c r="N218" s="1033"/>
      <c r="O218" s="379"/>
      <c r="P218" s="379"/>
      <c r="Q218" s="379"/>
      <c r="R218" s="379"/>
      <c r="S218" s="379"/>
      <c r="T218" s="379"/>
      <c r="U218" s="379"/>
      <c r="V218" s="379"/>
      <c r="W218" s="1099"/>
      <c r="X218" s="1118"/>
      <c r="Y218" s="1118"/>
      <c r="Z218" s="379"/>
      <c r="AA218" s="379"/>
      <c r="AB218" s="379"/>
      <c r="AC218" s="1099"/>
      <c r="AD218" s="1118"/>
      <c r="AE218" s="1118"/>
      <c r="AF218" s="379"/>
      <c r="AG218" s="379"/>
      <c r="AH218" s="379"/>
      <c r="AI218" s="481"/>
      <c r="AJ218" s="379"/>
      <c r="AK218" s="440"/>
      <c r="AM218" s="460">
        <v>218</v>
      </c>
      <c r="AN218" s="1078"/>
    </row>
    <row r="219" spans="1:54" ht="12" customHeight="1" x14ac:dyDescent="0.2">
      <c r="A219" s="440"/>
      <c r="B219" s="320"/>
      <c r="C219" s="1036"/>
      <c r="D219" s="1036"/>
      <c r="E219" s="1036"/>
      <c r="F219" s="1036"/>
      <c r="G219" s="1036"/>
      <c r="H219" s="1036"/>
      <c r="I219" s="380"/>
      <c r="J219" s="380"/>
      <c r="K219" s="463"/>
      <c r="L219" s="463"/>
      <c r="M219" s="498"/>
      <c r="N219" s="503"/>
      <c r="O219" s="1036"/>
      <c r="P219" s="1036"/>
      <c r="Q219" s="1036"/>
      <c r="R219" s="1036"/>
      <c r="S219" s="372"/>
      <c r="T219" s="372"/>
      <c r="U219" s="372"/>
      <c r="V219" s="372"/>
      <c r="W219" s="1096"/>
      <c r="X219" s="1110"/>
      <c r="Y219" s="1110"/>
      <c r="Z219" s="372"/>
      <c r="AA219" s="372"/>
      <c r="AB219" s="372"/>
      <c r="AC219" s="1096"/>
      <c r="AD219" s="1110"/>
      <c r="AE219" s="1110"/>
      <c r="AF219" s="372"/>
      <c r="AG219" s="372"/>
      <c r="AH219" s="372"/>
      <c r="AI219" s="482"/>
      <c r="AJ219" s="372"/>
      <c r="AK219" s="440"/>
      <c r="AM219" s="460">
        <v>219</v>
      </c>
      <c r="AN219" s="1078"/>
    </row>
    <row r="220" spans="1:54" ht="12" customHeight="1" x14ac:dyDescent="0.25">
      <c r="A220" s="440"/>
      <c r="B220" s="499">
        <v>7</v>
      </c>
      <c r="C220" s="494"/>
      <c r="D220" s="495"/>
      <c r="E220" s="1606" t="s">
        <v>9</v>
      </c>
      <c r="F220" s="1606"/>
      <c r="G220" s="1606"/>
      <c r="H220" s="1606"/>
      <c r="I220" s="1597"/>
      <c r="J220" s="1038"/>
      <c r="K220" s="462"/>
      <c r="L220" s="462"/>
      <c r="M220" s="363"/>
      <c r="N220" s="363"/>
      <c r="O220" s="363"/>
      <c r="P220" s="363"/>
      <c r="Q220" s="363"/>
      <c r="R220" s="363"/>
      <c r="S220" s="385">
        <f ca="1">S221</f>
        <v>526746</v>
      </c>
      <c r="T220" s="363"/>
      <c r="U220" s="363"/>
      <c r="V220" s="363"/>
      <c r="W220" s="1093"/>
      <c r="X220" s="1116"/>
      <c r="Y220" s="1116"/>
      <c r="Z220" s="363"/>
      <c r="AA220" s="363"/>
      <c r="AB220" s="363"/>
      <c r="AC220" s="1093"/>
      <c r="AD220" s="1116"/>
      <c r="AE220" s="1116"/>
      <c r="AF220" s="363"/>
      <c r="AG220" s="363"/>
      <c r="AH220" s="363"/>
      <c r="AI220" s="358"/>
      <c r="AJ220" s="363"/>
      <c r="AK220" s="440"/>
      <c r="AM220" s="460">
        <v>220</v>
      </c>
      <c r="AN220" s="1078"/>
    </row>
    <row r="221" spans="1:54" ht="12" customHeight="1" x14ac:dyDescent="0.25">
      <c r="A221" s="440"/>
      <c r="B221" s="499"/>
      <c r="C221" s="494"/>
      <c r="D221" s="495"/>
      <c r="E221" s="1034"/>
      <c r="F221" s="1034"/>
      <c r="G221" s="1034"/>
      <c r="H221" s="1034"/>
      <c r="I221" s="1035"/>
      <c r="J221" s="1038"/>
      <c r="K221" s="462"/>
      <c r="L221" s="462"/>
      <c r="M221" s="363"/>
      <c r="N221" s="363"/>
      <c r="O221" s="363"/>
      <c r="P221" s="363"/>
      <c r="Q221" s="363"/>
      <c r="R221" s="363"/>
      <c r="S221" s="355">
        <f ca="1">SUBTOTAL(109,S222:S227)</f>
        <v>526746</v>
      </c>
      <c r="T221" s="363"/>
      <c r="U221" s="363"/>
      <c r="V221" s="363"/>
      <c r="W221" s="1093"/>
      <c r="X221" s="1116"/>
      <c r="Y221" s="1116"/>
      <c r="Z221" s="363"/>
      <c r="AA221" s="363"/>
      <c r="AB221" s="363"/>
      <c r="AC221" s="1093"/>
      <c r="AD221" s="1116"/>
      <c r="AE221" s="1116"/>
      <c r="AF221" s="363"/>
      <c r="AG221" s="363"/>
      <c r="AH221" s="363"/>
      <c r="AI221" s="358"/>
      <c r="AJ221" s="363"/>
      <c r="AK221" s="440"/>
      <c r="AM221" s="460">
        <v>221</v>
      </c>
      <c r="AN221" s="1078"/>
    </row>
    <row r="222" spans="1:54" ht="12" customHeight="1" x14ac:dyDescent="0.25">
      <c r="A222" s="440"/>
      <c r="B222" s="499"/>
      <c r="C222" s="495"/>
      <c r="D222" s="495"/>
      <c r="E222" s="1084" t="str">
        <f t="shared" ref="E222:E227" ca="1" si="396">IF(AX222="E","",AN222)</f>
        <v>sämtliche Planungs- und Dienstleistungen</v>
      </c>
      <c r="F222" s="1085"/>
      <c r="G222" s="1264"/>
      <c r="H222" s="1264"/>
      <c r="I222" s="1265"/>
      <c r="J222" s="1038"/>
      <c r="K222" s="462"/>
      <c r="L222" s="462"/>
      <c r="M222" s="339"/>
      <c r="N222" s="361"/>
      <c r="O222" s="339"/>
      <c r="P222" s="365"/>
      <c r="Q222" s="344"/>
      <c r="R222" s="522" t="s">
        <v>363</v>
      </c>
      <c r="S222" s="353">
        <f t="shared" ref="S222:S227" ca="1" si="397">IF(AY222="E",(M222*O222)+Q222,AO222)</f>
        <v>526746</v>
      </c>
      <c r="T222" s="363"/>
      <c r="U222" s="363"/>
      <c r="V222" s="363"/>
      <c r="W222" s="1093"/>
      <c r="X222" s="1116"/>
      <c r="Y222" s="1116"/>
      <c r="Z222" s="363"/>
      <c r="AA222" s="363"/>
      <c r="AB222" s="363"/>
      <c r="AC222" s="1093"/>
      <c r="AD222" s="1116"/>
      <c r="AE222" s="1116"/>
      <c r="AF222" s="363"/>
      <c r="AG222" s="363"/>
      <c r="AH222" s="363"/>
      <c r="AI222" s="358"/>
      <c r="AJ222" s="363"/>
      <c r="AK222" s="440"/>
      <c r="AM222" s="460">
        <v>222</v>
      </c>
      <c r="AN222" s="1087" t="str">
        <f t="shared" ref="AN222:AN227" ca="1" si="398">IF($M$13=$AN$12,"",IF(ISTEXT(INDIRECT("'"&amp;$AM$20&amp;"'!"&amp;AN$21&amp;$AM222)),INDIRECT("'"&amp;$AM$20&amp;"'!"&amp;AN$21&amp;$AM222),INDIRECT("'"&amp;$AM$20&amp;"'!"&amp;AN$22&amp;$AM222)))</f>
        <v>sämtliche Planungs- und Dienstleistungen</v>
      </c>
      <c r="AO222" s="1083">
        <f t="shared" ref="AO222:AO227" ca="1" si="399">IF($M$13=$AN$12,"",INDIRECT("'"&amp;$AM$20&amp;"'!"&amp;AO$21&amp;$AM222))</f>
        <v>526746</v>
      </c>
      <c r="AX222" s="1083" t="str">
        <f t="shared" ref="AX222:AX227" si="400">IF($M$13=$AN$12,"E",IF(ISTEXT(F222),"E","U"))</f>
        <v>U</v>
      </c>
      <c r="AY222" s="1083" t="str">
        <f t="shared" ref="AY222:AY227" si="401">IF($M$13=$AN$12,"E",IF(OR(ISNUMBER(M222),ISNUMBER(O222),ISNUMBER(Q222)),"E","U"))</f>
        <v>U</v>
      </c>
    </row>
    <row r="223" spans="1:54" ht="12" customHeight="1" x14ac:dyDescent="0.25">
      <c r="A223" s="440"/>
      <c r="B223" s="499"/>
      <c r="C223" s="495"/>
      <c r="D223" s="495"/>
      <c r="E223" s="1084">
        <f t="shared" ca="1" si="396"/>
        <v>0</v>
      </c>
      <c r="F223" s="1085"/>
      <c r="G223" s="1264"/>
      <c r="H223" s="1264"/>
      <c r="I223" s="1265"/>
      <c r="J223" s="1038"/>
      <c r="K223" s="462"/>
      <c r="L223" s="462"/>
      <c r="M223" s="339"/>
      <c r="N223" s="361"/>
      <c r="O223" s="339"/>
      <c r="P223" s="365"/>
      <c r="Q223" s="344"/>
      <c r="R223" s="522" t="s">
        <v>363</v>
      </c>
      <c r="S223" s="353">
        <f t="shared" ca="1" si="397"/>
        <v>0</v>
      </c>
      <c r="T223" s="363"/>
      <c r="U223" s="363"/>
      <c r="V223" s="363"/>
      <c r="W223" s="1093"/>
      <c r="X223" s="1116"/>
      <c r="Y223" s="1116"/>
      <c r="Z223" s="363"/>
      <c r="AA223" s="363"/>
      <c r="AB223" s="363"/>
      <c r="AC223" s="1093"/>
      <c r="AD223" s="1116"/>
      <c r="AE223" s="1116"/>
      <c r="AF223" s="363"/>
      <c r="AG223" s="363"/>
      <c r="AH223" s="363"/>
      <c r="AI223" s="358"/>
      <c r="AJ223" s="363"/>
      <c r="AK223" s="440"/>
      <c r="AM223" s="460">
        <v>223</v>
      </c>
      <c r="AN223" s="1087">
        <f t="shared" ca="1" si="398"/>
        <v>0</v>
      </c>
      <c r="AO223" s="1083">
        <f t="shared" ca="1" si="399"/>
        <v>0</v>
      </c>
      <c r="AX223" s="1083" t="str">
        <f t="shared" si="400"/>
        <v>U</v>
      </c>
      <c r="AY223" s="1083" t="str">
        <f t="shared" si="401"/>
        <v>U</v>
      </c>
    </row>
    <row r="224" spans="1:54" ht="12" customHeight="1" x14ac:dyDescent="0.25">
      <c r="A224" s="440"/>
      <c r="B224" s="499"/>
      <c r="C224" s="495"/>
      <c r="D224" s="495"/>
      <c r="E224" s="1084">
        <f t="shared" ca="1" si="396"/>
        <v>0</v>
      </c>
      <c r="F224" s="1085"/>
      <c r="G224" s="1264"/>
      <c r="H224" s="1264"/>
      <c r="I224" s="1265"/>
      <c r="J224" s="1038"/>
      <c r="K224" s="462"/>
      <c r="L224" s="462"/>
      <c r="M224" s="339"/>
      <c r="N224" s="361"/>
      <c r="O224" s="339"/>
      <c r="P224" s="365"/>
      <c r="Q224" s="344"/>
      <c r="R224" s="522" t="s">
        <v>363</v>
      </c>
      <c r="S224" s="353">
        <f t="shared" ca="1" si="397"/>
        <v>0</v>
      </c>
      <c r="T224" s="363"/>
      <c r="U224" s="363"/>
      <c r="V224" s="363"/>
      <c r="W224" s="1093"/>
      <c r="X224" s="1116"/>
      <c r="Y224" s="1116"/>
      <c r="Z224" s="363"/>
      <c r="AA224" s="363"/>
      <c r="AB224" s="363"/>
      <c r="AC224" s="1093"/>
      <c r="AD224" s="1116"/>
      <c r="AE224" s="1116"/>
      <c r="AF224" s="363"/>
      <c r="AG224" s="363"/>
      <c r="AH224" s="363"/>
      <c r="AI224" s="358"/>
      <c r="AJ224" s="363"/>
      <c r="AK224" s="440"/>
      <c r="AM224" s="460">
        <v>224</v>
      </c>
      <c r="AN224" s="1087">
        <f t="shared" ca="1" si="398"/>
        <v>0</v>
      </c>
      <c r="AO224" s="1083">
        <f t="shared" ca="1" si="399"/>
        <v>0</v>
      </c>
      <c r="AX224" s="1083" t="str">
        <f t="shared" si="400"/>
        <v>U</v>
      </c>
      <c r="AY224" s="1083" t="str">
        <f t="shared" si="401"/>
        <v>U</v>
      </c>
    </row>
    <row r="225" spans="1:51" ht="12" customHeight="1" x14ac:dyDescent="0.25">
      <c r="A225" s="440"/>
      <c r="B225" s="499"/>
      <c r="C225" s="495"/>
      <c r="D225" s="495"/>
      <c r="E225" s="1084">
        <f t="shared" ca="1" si="396"/>
        <v>0</v>
      </c>
      <c r="F225" s="1085"/>
      <c r="G225" s="1264"/>
      <c r="H225" s="1264"/>
      <c r="I225" s="1265"/>
      <c r="J225" s="1038"/>
      <c r="K225" s="462"/>
      <c r="L225" s="462"/>
      <c r="M225" s="339"/>
      <c r="N225" s="361"/>
      <c r="O225" s="339"/>
      <c r="P225" s="365"/>
      <c r="Q225" s="344"/>
      <c r="R225" s="522" t="s">
        <v>363</v>
      </c>
      <c r="S225" s="353">
        <f t="shared" ca="1" si="397"/>
        <v>0</v>
      </c>
      <c r="T225" s="363"/>
      <c r="U225" s="363"/>
      <c r="V225" s="363"/>
      <c r="W225" s="1093"/>
      <c r="X225" s="1116"/>
      <c r="Y225" s="1116"/>
      <c r="Z225" s="363"/>
      <c r="AA225" s="363"/>
      <c r="AB225" s="363"/>
      <c r="AC225" s="1093"/>
      <c r="AD225" s="1116"/>
      <c r="AE225" s="1116"/>
      <c r="AF225" s="363"/>
      <c r="AG225" s="363"/>
      <c r="AH225" s="363"/>
      <c r="AI225" s="358"/>
      <c r="AJ225" s="363"/>
      <c r="AK225" s="440"/>
      <c r="AM225" s="460">
        <v>225</v>
      </c>
      <c r="AN225" s="1087">
        <f t="shared" ca="1" si="398"/>
        <v>0</v>
      </c>
      <c r="AO225" s="1083">
        <f t="shared" ca="1" si="399"/>
        <v>0</v>
      </c>
      <c r="AX225" s="1083" t="str">
        <f t="shared" si="400"/>
        <v>U</v>
      </c>
      <c r="AY225" s="1083" t="str">
        <f t="shared" si="401"/>
        <v>U</v>
      </c>
    </row>
    <row r="226" spans="1:51" ht="12" customHeight="1" x14ac:dyDescent="0.25">
      <c r="A226" s="440"/>
      <c r="B226" s="499"/>
      <c r="C226" s="495"/>
      <c r="D226" s="495"/>
      <c r="E226" s="1084">
        <f t="shared" ca="1" si="396"/>
        <v>0</v>
      </c>
      <c r="F226" s="1085"/>
      <c r="G226" s="1264"/>
      <c r="H226" s="1264"/>
      <c r="I226" s="1265"/>
      <c r="J226" s="1038"/>
      <c r="K226" s="462"/>
      <c r="L226" s="462"/>
      <c r="M226" s="339"/>
      <c r="N226" s="361"/>
      <c r="O226" s="339"/>
      <c r="P226" s="365"/>
      <c r="Q226" s="344"/>
      <c r="R226" s="522" t="s">
        <v>363</v>
      </c>
      <c r="S226" s="353">
        <f t="shared" ca="1" si="397"/>
        <v>0</v>
      </c>
      <c r="T226" s="363"/>
      <c r="U226" s="363"/>
      <c r="V226" s="363"/>
      <c r="W226" s="1093"/>
      <c r="X226" s="1116"/>
      <c r="Y226" s="1116"/>
      <c r="Z226" s="363"/>
      <c r="AA226" s="363"/>
      <c r="AB226" s="363"/>
      <c r="AC226" s="1093"/>
      <c r="AD226" s="1116"/>
      <c r="AE226" s="1116"/>
      <c r="AF226" s="363"/>
      <c r="AG226" s="363"/>
      <c r="AH226" s="363"/>
      <c r="AI226" s="358"/>
      <c r="AJ226" s="363"/>
      <c r="AK226" s="440"/>
      <c r="AM226" s="460">
        <v>226</v>
      </c>
      <c r="AN226" s="1087">
        <f t="shared" ca="1" si="398"/>
        <v>0</v>
      </c>
      <c r="AO226" s="1083">
        <f t="shared" ca="1" si="399"/>
        <v>0</v>
      </c>
      <c r="AX226" s="1083" t="str">
        <f t="shared" si="400"/>
        <v>U</v>
      </c>
      <c r="AY226" s="1083" t="str">
        <f t="shared" si="401"/>
        <v>U</v>
      </c>
    </row>
    <row r="227" spans="1:51" ht="12" customHeight="1" x14ac:dyDescent="0.25">
      <c r="A227" s="440"/>
      <c r="B227" s="499"/>
      <c r="C227" s="495"/>
      <c r="D227" s="495"/>
      <c r="E227" s="1084">
        <f t="shared" ca="1" si="396"/>
        <v>0</v>
      </c>
      <c r="F227" s="1085"/>
      <c r="G227" s="1264"/>
      <c r="H227" s="1264"/>
      <c r="I227" s="1265"/>
      <c r="J227" s="1038"/>
      <c r="K227" s="462"/>
      <c r="L227" s="462"/>
      <c r="M227" s="339"/>
      <c r="N227" s="361"/>
      <c r="O227" s="339"/>
      <c r="P227" s="365"/>
      <c r="Q227" s="344"/>
      <c r="R227" s="522" t="s">
        <v>363</v>
      </c>
      <c r="S227" s="353">
        <f t="shared" ca="1" si="397"/>
        <v>0</v>
      </c>
      <c r="T227" s="363"/>
      <c r="U227" s="363"/>
      <c r="V227" s="363"/>
      <c r="W227" s="1093"/>
      <c r="X227" s="1116"/>
      <c r="Y227" s="1116"/>
      <c r="Z227" s="363"/>
      <c r="AA227" s="363"/>
      <c r="AB227" s="363"/>
      <c r="AC227" s="1093"/>
      <c r="AD227" s="1116"/>
      <c r="AE227" s="1116"/>
      <c r="AF227" s="363"/>
      <c r="AG227" s="363"/>
      <c r="AH227" s="363"/>
      <c r="AI227" s="358"/>
      <c r="AJ227" s="363"/>
      <c r="AK227" s="440"/>
      <c r="AM227" s="460">
        <v>227</v>
      </c>
      <c r="AN227" s="1087">
        <f t="shared" ca="1" si="398"/>
        <v>0</v>
      </c>
      <c r="AO227" s="1083">
        <f t="shared" ca="1" si="399"/>
        <v>0</v>
      </c>
      <c r="AX227" s="1083" t="str">
        <f t="shared" si="400"/>
        <v>U</v>
      </c>
      <c r="AY227" s="1083" t="str">
        <f t="shared" si="401"/>
        <v>U</v>
      </c>
    </row>
    <row r="228" spans="1:51" ht="12" customHeight="1" collapsed="1" x14ac:dyDescent="0.25">
      <c r="A228" s="440"/>
      <c r="B228" s="505"/>
      <c r="C228" s="563"/>
      <c r="D228" s="563"/>
      <c r="E228" s="506"/>
      <c r="F228" s="506"/>
      <c r="G228" s="506"/>
      <c r="H228" s="506"/>
      <c r="I228" s="507"/>
      <c r="J228" s="507"/>
      <c r="K228" s="508"/>
      <c r="L228" s="508"/>
      <c r="M228" s="564"/>
      <c r="N228" s="517"/>
      <c r="O228" s="371"/>
      <c r="P228" s="371"/>
      <c r="Q228" s="371"/>
      <c r="R228" s="371"/>
      <c r="S228" s="391"/>
      <c r="T228" s="371"/>
      <c r="U228" s="371"/>
      <c r="V228" s="371"/>
      <c r="W228" s="1100"/>
      <c r="X228" s="1108"/>
      <c r="Y228" s="1108"/>
      <c r="Z228" s="371"/>
      <c r="AA228" s="371"/>
      <c r="AB228" s="371"/>
      <c r="AC228" s="1100"/>
      <c r="AD228" s="1108"/>
      <c r="AE228" s="1108"/>
      <c r="AF228" s="371"/>
      <c r="AG228" s="371"/>
      <c r="AH228" s="371"/>
      <c r="AI228" s="373"/>
      <c r="AJ228" s="371"/>
      <c r="AK228" s="440"/>
      <c r="AM228" s="460">
        <v>228</v>
      </c>
      <c r="AN228" s="1078"/>
    </row>
    <row r="229" spans="1:51" ht="12" customHeight="1" x14ac:dyDescent="0.2">
      <c r="A229" s="440"/>
      <c r="B229" s="320"/>
      <c r="C229" s="1036"/>
      <c r="D229" s="1036"/>
      <c r="E229" s="1036"/>
      <c r="F229" s="1036"/>
      <c r="G229" s="1036"/>
      <c r="H229" s="1036"/>
      <c r="I229" s="380"/>
      <c r="J229" s="380"/>
      <c r="K229" s="463"/>
      <c r="L229" s="463"/>
      <c r="M229" s="498"/>
      <c r="N229" s="503"/>
      <c r="O229" s="1036"/>
      <c r="P229" s="1036"/>
      <c r="Q229" s="1036"/>
      <c r="R229" s="1036"/>
      <c r="S229" s="379"/>
      <c r="T229" s="379"/>
      <c r="U229" s="379"/>
      <c r="V229" s="379"/>
      <c r="W229" s="1099"/>
      <c r="X229" s="1118"/>
      <c r="Y229" s="1118"/>
      <c r="Z229" s="379"/>
      <c r="AA229" s="379"/>
      <c r="AB229" s="379"/>
      <c r="AC229" s="1099"/>
      <c r="AD229" s="1118"/>
      <c r="AE229" s="1118"/>
      <c r="AF229" s="379"/>
      <c r="AG229" s="379"/>
      <c r="AH229" s="379"/>
      <c r="AI229" s="481"/>
      <c r="AJ229" s="379"/>
      <c r="AK229" s="440"/>
      <c r="AM229" s="460">
        <v>229</v>
      </c>
      <c r="AN229" s="1078"/>
    </row>
    <row r="230" spans="1:51" ht="12" customHeight="1" x14ac:dyDescent="0.2">
      <c r="A230" s="440"/>
      <c r="B230" s="320"/>
      <c r="C230" s="1036"/>
      <c r="D230" s="1036"/>
      <c r="E230" s="1036"/>
      <c r="F230" s="1036"/>
      <c r="G230" s="1036"/>
      <c r="H230" s="1036"/>
      <c r="I230" s="380"/>
      <c r="J230" s="380"/>
      <c r="K230" s="463"/>
      <c r="L230" s="463"/>
      <c r="M230" s="498"/>
      <c r="N230" s="503"/>
      <c r="O230" s="1036"/>
      <c r="P230" s="1036"/>
      <c r="Q230" s="1036"/>
      <c r="R230" s="1036"/>
      <c r="S230" s="372"/>
      <c r="T230" s="372"/>
      <c r="U230" s="372"/>
      <c r="V230" s="372"/>
      <c r="W230" s="1096"/>
      <c r="X230" s="1110"/>
      <c r="Y230" s="1110"/>
      <c r="Z230" s="372"/>
      <c r="AA230" s="372"/>
      <c r="AB230" s="372"/>
      <c r="AC230" s="1096"/>
      <c r="AD230" s="1110"/>
      <c r="AE230" s="1110"/>
      <c r="AF230" s="372"/>
      <c r="AG230" s="372"/>
      <c r="AH230" s="372"/>
      <c r="AI230" s="482"/>
      <c r="AJ230" s="372"/>
      <c r="AK230" s="440"/>
      <c r="AM230" s="460">
        <v>230</v>
      </c>
      <c r="AN230" s="1078"/>
    </row>
    <row r="231" spans="1:51" ht="14.25" customHeight="1" x14ac:dyDescent="0.25">
      <c r="A231" s="440"/>
      <c r="B231" s="499">
        <v>8</v>
      </c>
      <c r="C231" s="494"/>
      <c r="D231" s="495"/>
      <c r="E231" s="1606" t="s">
        <v>7</v>
      </c>
      <c r="F231" s="1606"/>
      <c r="G231" s="1606"/>
      <c r="H231" s="1606"/>
      <c r="I231" s="1597"/>
      <c r="J231" s="1038"/>
      <c r="K231" s="462"/>
      <c r="L231" s="462"/>
      <c r="M231" s="498"/>
      <c r="N231" s="359"/>
      <c r="O231" s="363"/>
      <c r="P231" s="363"/>
      <c r="Q231" s="363"/>
      <c r="R231" s="363"/>
      <c r="S231" s="385">
        <f ca="1">S232</f>
        <v>0</v>
      </c>
      <c r="T231" s="363"/>
      <c r="U231" s="363"/>
      <c r="V231" s="363"/>
      <c r="W231" s="1093"/>
      <c r="X231" s="1116"/>
      <c r="Y231" s="1116"/>
      <c r="Z231" s="363"/>
      <c r="AA231" s="363"/>
      <c r="AB231" s="363"/>
      <c r="AC231" s="1093"/>
      <c r="AD231" s="1116"/>
      <c r="AE231" s="1116"/>
      <c r="AF231" s="363"/>
      <c r="AG231" s="363"/>
      <c r="AH231" s="363"/>
      <c r="AI231" s="358"/>
      <c r="AJ231" s="363"/>
      <c r="AK231" s="440"/>
      <c r="AM231" s="460">
        <v>231</v>
      </c>
      <c r="AN231" s="1078"/>
    </row>
    <row r="232" spans="1:51" ht="14.25" customHeight="1" x14ac:dyDescent="0.25">
      <c r="A232" s="440"/>
      <c r="B232" s="1043"/>
      <c r="C232" s="1036" t="s">
        <v>6</v>
      </c>
      <c r="D232" s="494"/>
      <c r="E232" s="1596" t="s">
        <v>5</v>
      </c>
      <c r="F232" s="1596"/>
      <c r="G232" s="1596"/>
      <c r="H232" s="1596"/>
      <c r="I232" s="1597"/>
      <c r="J232" s="1038"/>
      <c r="K232" s="462"/>
      <c r="L232" s="462"/>
      <c r="M232" s="498"/>
      <c r="N232" s="359"/>
      <c r="O232" s="363"/>
      <c r="P232" s="363"/>
      <c r="Q232" s="363"/>
      <c r="R232" s="363"/>
      <c r="S232" s="355">
        <f ca="1">SUBTOTAL(109,S233:S234)</f>
        <v>0</v>
      </c>
      <c r="T232" s="363"/>
      <c r="U232" s="363"/>
      <c r="V232" s="363"/>
      <c r="W232" s="1093"/>
      <c r="X232" s="1116"/>
      <c r="Y232" s="1116"/>
      <c r="Z232" s="363"/>
      <c r="AA232" s="363"/>
      <c r="AB232" s="363"/>
      <c r="AC232" s="1093"/>
      <c r="AD232" s="1116"/>
      <c r="AE232" s="1116"/>
      <c r="AF232" s="363"/>
      <c r="AG232" s="363"/>
      <c r="AH232" s="363"/>
      <c r="AI232" s="358"/>
      <c r="AJ232" s="363"/>
      <c r="AK232" s="440"/>
      <c r="AM232" s="460">
        <v>232</v>
      </c>
      <c r="AN232" s="1078"/>
    </row>
    <row r="233" spans="1:51" ht="12" customHeight="1" x14ac:dyDescent="0.25">
      <c r="A233" s="440"/>
      <c r="B233" s="1043"/>
      <c r="C233" s="380"/>
      <c r="D233" s="1037" t="s">
        <v>4</v>
      </c>
      <c r="E233" s="1599" t="s">
        <v>3</v>
      </c>
      <c r="F233" s="1599"/>
      <c r="G233" s="1599"/>
      <c r="H233" s="1599"/>
      <c r="I233" s="1597"/>
      <c r="J233" s="1038"/>
      <c r="K233" s="462"/>
      <c r="L233" s="462"/>
      <c r="M233" s="339"/>
      <c r="N233" s="361"/>
      <c r="O233" s="339"/>
      <c r="P233" s="363"/>
      <c r="Q233" s="351"/>
      <c r="R233" s="522" t="s">
        <v>363</v>
      </c>
      <c r="S233" s="353">
        <f t="shared" ref="S233:S234" ca="1" si="402">IF(AY233="E",(M233*O233)+Q233,AO233)</f>
        <v>0</v>
      </c>
      <c r="T233" s="363"/>
      <c r="U233" s="363"/>
      <c r="V233" s="363"/>
      <c r="W233" s="1093"/>
      <c r="X233" s="1116"/>
      <c r="Y233" s="1116"/>
      <c r="Z233" s="363"/>
      <c r="AA233" s="363"/>
      <c r="AB233" s="363"/>
      <c r="AC233" s="1093"/>
      <c r="AD233" s="1116"/>
      <c r="AE233" s="1116"/>
      <c r="AF233" s="363"/>
      <c r="AG233" s="363"/>
      <c r="AH233" s="363"/>
      <c r="AI233" s="358"/>
      <c r="AJ233" s="363"/>
      <c r="AK233" s="440"/>
      <c r="AM233" s="460">
        <v>233</v>
      </c>
      <c r="AN233" s="1078"/>
      <c r="AO233" s="1083">
        <f ca="1">IF($M$13=$AN$12,"",INDIRECT("'"&amp;$AM$20&amp;"'!"&amp;AO$21&amp;$AM233))</f>
        <v>0</v>
      </c>
      <c r="AY233" s="1083" t="str">
        <f>IF($M$13=$AN$12,"E",IF(OR(ISNUMBER(M233),ISNUMBER(O233),ISNUMBER(Q233)),"E","U"))</f>
        <v>U</v>
      </c>
    </row>
    <row r="234" spans="1:51" ht="12" customHeight="1" x14ac:dyDescent="0.25">
      <c r="A234" s="440"/>
      <c r="B234" s="1043"/>
      <c r="C234" s="380"/>
      <c r="D234" s="1037" t="s">
        <v>2</v>
      </c>
      <c r="E234" s="1599" t="s">
        <v>1</v>
      </c>
      <c r="F234" s="1599"/>
      <c r="G234" s="1599"/>
      <c r="H234" s="1599"/>
      <c r="I234" s="1605"/>
      <c r="J234" s="1038"/>
      <c r="K234" s="502"/>
      <c r="L234" s="502"/>
      <c r="M234" s="339"/>
      <c r="N234" s="361"/>
      <c r="O234" s="339"/>
      <c r="P234" s="363"/>
      <c r="Q234" s="344"/>
      <c r="R234" s="522" t="s">
        <v>363</v>
      </c>
      <c r="S234" s="353">
        <f t="shared" ca="1" si="402"/>
        <v>0</v>
      </c>
      <c r="T234" s="363"/>
      <c r="U234" s="363"/>
      <c r="V234" s="363"/>
      <c r="W234" s="1093"/>
      <c r="X234" s="1116"/>
      <c r="Y234" s="1116"/>
      <c r="Z234" s="363"/>
      <c r="AA234" s="363"/>
      <c r="AB234" s="363"/>
      <c r="AC234" s="1093"/>
      <c r="AD234" s="1116"/>
      <c r="AE234" s="1116"/>
      <c r="AF234" s="363"/>
      <c r="AG234" s="363"/>
      <c r="AH234" s="363"/>
      <c r="AI234" s="358"/>
      <c r="AJ234" s="363"/>
      <c r="AK234" s="440"/>
      <c r="AM234" s="460">
        <v>234</v>
      </c>
      <c r="AN234" s="1078"/>
      <c r="AO234" s="1083">
        <f ca="1">IF($M$13=$AN$12,"",INDIRECT("'"&amp;$AM$20&amp;"'!"&amp;AO$21&amp;$AM234))</f>
        <v>0</v>
      </c>
      <c r="AY234" s="1083" t="str">
        <f>IF($M$13=$AN$12,"E",IF(OR(ISNUMBER(M234),ISNUMBER(O234),ISNUMBER(Q234)),"E","U"))</f>
        <v>U</v>
      </c>
    </row>
    <row r="235" spans="1:51" ht="12" customHeight="1" collapsed="1" x14ac:dyDescent="0.25">
      <c r="A235" s="440"/>
      <c r="B235" s="324"/>
      <c r="C235" s="378"/>
      <c r="D235" s="374"/>
      <c r="E235" s="374"/>
      <c r="F235" s="374"/>
      <c r="G235" s="374"/>
      <c r="H235" s="374"/>
      <c r="I235" s="374"/>
      <c r="J235" s="507"/>
      <c r="K235" s="508"/>
      <c r="L235" s="508"/>
      <c r="M235" s="564"/>
      <c r="N235" s="517"/>
      <c r="O235" s="371"/>
      <c r="P235" s="371"/>
      <c r="Q235" s="371"/>
      <c r="R235" s="371"/>
      <c r="S235" s="371"/>
      <c r="T235" s="371"/>
      <c r="U235" s="371"/>
      <c r="V235" s="371"/>
      <c r="W235" s="1100"/>
      <c r="X235" s="1108"/>
      <c r="Y235" s="1108"/>
      <c r="Z235" s="371"/>
      <c r="AA235" s="371"/>
      <c r="AB235" s="371"/>
      <c r="AC235" s="1100"/>
      <c r="AD235" s="1108"/>
      <c r="AE235" s="1108"/>
      <c r="AF235" s="371"/>
      <c r="AG235" s="371"/>
      <c r="AH235" s="371"/>
      <c r="AI235" s="373"/>
      <c r="AJ235" s="371"/>
      <c r="AK235" s="440"/>
      <c r="AM235" s="460">
        <v>235</v>
      </c>
      <c r="AN235" s="1078"/>
    </row>
    <row r="236" spans="1:51" ht="12" customHeight="1" x14ac:dyDescent="0.2">
      <c r="A236" s="440"/>
      <c r="B236" s="320"/>
      <c r="C236" s="1036"/>
      <c r="D236" s="1036"/>
      <c r="E236" s="1036"/>
      <c r="F236" s="1036"/>
      <c r="G236" s="1036"/>
      <c r="H236" s="1036"/>
      <c r="I236" s="1036"/>
      <c r="J236" s="1036"/>
      <c r="K236" s="503"/>
      <c r="L236" s="503"/>
      <c r="M236" s="549"/>
      <c r="N236" s="1033"/>
      <c r="O236" s="379"/>
      <c r="P236" s="379"/>
      <c r="Q236" s="379"/>
      <c r="R236" s="379"/>
      <c r="S236" s="379"/>
      <c r="T236" s="379"/>
      <c r="U236" s="379"/>
      <c r="V236" s="379"/>
      <c r="W236" s="1099"/>
      <c r="X236" s="1118"/>
      <c r="Y236" s="1118"/>
      <c r="Z236" s="379"/>
      <c r="AA236" s="379"/>
      <c r="AB236" s="379"/>
      <c r="AC236" s="1099"/>
      <c r="AD236" s="1118"/>
      <c r="AE236" s="1118"/>
      <c r="AF236" s="379"/>
      <c r="AG236" s="379"/>
      <c r="AH236" s="379"/>
      <c r="AI236" s="481"/>
      <c r="AJ236" s="379"/>
      <c r="AK236" s="440"/>
      <c r="AM236" s="460">
        <v>236</v>
      </c>
      <c r="AN236" s="1078"/>
    </row>
    <row r="237" spans="1:51" ht="12" customHeight="1" x14ac:dyDescent="0.2">
      <c r="A237" s="440"/>
      <c r="B237" s="320"/>
      <c r="C237" s="1036"/>
      <c r="D237" s="1036"/>
      <c r="E237" s="1036"/>
      <c r="F237" s="1036"/>
      <c r="G237" s="1036"/>
      <c r="H237" s="1036"/>
      <c r="I237" s="1036"/>
      <c r="J237" s="1036"/>
      <c r="K237" s="503"/>
      <c r="L237" s="503"/>
      <c r="M237" s="498"/>
      <c r="N237" s="503"/>
      <c r="O237" s="1036"/>
      <c r="P237" s="1036"/>
      <c r="Q237" s="1036"/>
      <c r="R237" s="1036"/>
      <c r="S237" s="372"/>
      <c r="T237" s="372"/>
      <c r="U237" s="372"/>
      <c r="V237" s="372"/>
      <c r="W237" s="1096"/>
      <c r="X237" s="1110"/>
      <c r="Y237" s="1110"/>
      <c r="Z237" s="372"/>
      <c r="AA237" s="372"/>
      <c r="AB237" s="372"/>
      <c r="AC237" s="1096"/>
      <c r="AD237" s="1110"/>
      <c r="AE237" s="1110"/>
      <c r="AF237" s="372"/>
      <c r="AG237" s="372"/>
      <c r="AH237" s="372"/>
      <c r="AI237" s="482"/>
      <c r="AJ237" s="372"/>
      <c r="AK237" s="440"/>
      <c r="AM237" s="460">
        <v>237</v>
      </c>
      <c r="AN237" s="1078"/>
    </row>
    <row r="238" spans="1:51" ht="12" customHeight="1" x14ac:dyDescent="0.25">
      <c r="A238" s="440"/>
      <c r="B238" s="499">
        <v>9</v>
      </c>
      <c r="C238" s="380"/>
      <c r="D238" s="495"/>
      <c r="E238" s="1606" t="s">
        <v>0</v>
      </c>
      <c r="F238" s="1606"/>
      <c r="G238" s="1606"/>
      <c r="H238" s="1606"/>
      <c r="I238" s="1605"/>
      <c r="J238" s="1038"/>
      <c r="K238" s="502"/>
      <c r="L238" s="502"/>
      <c r="M238" s="498"/>
      <c r="N238" s="503"/>
      <c r="O238" s="1036"/>
      <c r="P238" s="1036"/>
      <c r="Q238" s="1036"/>
      <c r="R238" s="1036"/>
      <c r="S238" s="385">
        <f ca="1">S239</f>
        <v>0</v>
      </c>
      <c r="T238" s="363"/>
      <c r="U238" s="363"/>
      <c r="V238" s="363"/>
      <c r="W238" s="1093"/>
      <c r="X238" s="1116"/>
      <c r="Y238" s="1116"/>
      <c r="Z238" s="363"/>
      <c r="AA238" s="363"/>
      <c r="AB238" s="363"/>
      <c r="AC238" s="1093"/>
      <c r="AD238" s="1116"/>
      <c r="AE238" s="1116"/>
      <c r="AF238" s="363"/>
      <c r="AG238" s="363"/>
      <c r="AH238" s="363"/>
      <c r="AI238" s="358"/>
      <c r="AJ238" s="363"/>
      <c r="AK238" s="440"/>
      <c r="AM238" s="460">
        <v>238</v>
      </c>
      <c r="AN238" s="1078"/>
    </row>
    <row r="239" spans="1:51" ht="12" customHeight="1" x14ac:dyDescent="0.25">
      <c r="A239" s="440"/>
      <c r="B239" s="499"/>
      <c r="C239" s="380"/>
      <c r="D239" s="495"/>
      <c r="E239" s="1034"/>
      <c r="F239" s="1034"/>
      <c r="G239" s="1034"/>
      <c r="H239" s="1034"/>
      <c r="I239" s="1038"/>
      <c r="J239" s="1038"/>
      <c r="K239" s="502"/>
      <c r="L239" s="502"/>
      <c r="M239" s="339"/>
      <c r="N239" s="361"/>
      <c r="O239" s="339"/>
      <c r="P239" s="363"/>
      <c r="Q239" s="344"/>
      <c r="R239" s="522" t="s">
        <v>363</v>
      </c>
      <c r="S239" s="353">
        <f ca="1">IF(AY239="E",(M239*O239)+Q239,AO239)</f>
        <v>0</v>
      </c>
      <c r="T239" s="363"/>
      <c r="U239" s="363"/>
      <c r="V239" s="363"/>
      <c r="W239" s="1093"/>
      <c r="X239" s="1116"/>
      <c r="Y239" s="1116"/>
      <c r="Z239" s="363"/>
      <c r="AA239" s="363"/>
      <c r="AB239" s="363"/>
      <c r="AC239" s="1093"/>
      <c r="AD239" s="1116"/>
      <c r="AE239" s="1116"/>
      <c r="AF239" s="363"/>
      <c r="AG239" s="363"/>
      <c r="AH239" s="363"/>
      <c r="AI239" s="358"/>
      <c r="AJ239" s="363"/>
      <c r="AK239" s="440"/>
      <c r="AM239" s="460">
        <v>239</v>
      </c>
      <c r="AN239" s="1078"/>
      <c r="AO239" s="1083">
        <f ca="1">IF($M$13=$AN$12,"",INDIRECT("'"&amp;$AM$20&amp;"'!"&amp;AO$21&amp;$AM239))</f>
        <v>0</v>
      </c>
      <c r="AY239" s="1083" t="str">
        <f>IF($M$13=$AN$12,"E",IF(OR(ISNUMBER(M239),ISNUMBER(O239),ISNUMBER(Q239)),"E","U"))</f>
        <v>U</v>
      </c>
    </row>
    <row r="240" spans="1:51" ht="11.25" x14ac:dyDescent="0.2">
      <c r="A240" s="440"/>
      <c r="B240" s="324"/>
      <c r="C240" s="378"/>
      <c r="D240" s="378"/>
      <c r="E240" s="378"/>
      <c r="F240" s="378"/>
      <c r="G240" s="378"/>
      <c r="H240" s="378"/>
      <c r="I240" s="378"/>
      <c r="J240" s="378"/>
      <c r="K240" s="561"/>
      <c r="L240" s="561"/>
      <c r="M240" s="560"/>
      <c r="N240" s="561"/>
      <c r="O240" s="378"/>
      <c r="P240" s="378"/>
      <c r="Q240" s="378"/>
      <c r="R240" s="378"/>
      <c r="S240" s="378"/>
      <c r="T240" s="378"/>
      <c r="U240" s="378"/>
      <c r="V240" s="378"/>
      <c r="W240" s="1098"/>
      <c r="X240" s="1117"/>
      <c r="Y240" s="1117"/>
      <c r="Z240" s="378"/>
      <c r="AA240" s="378"/>
      <c r="AB240" s="378"/>
      <c r="AC240" s="1098"/>
      <c r="AD240" s="1117"/>
      <c r="AE240" s="1117"/>
      <c r="AF240" s="378"/>
      <c r="AG240" s="378"/>
      <c r="AH240" s="378"/>
      <c r="AI240" s="510"/>
      <c r="AJ240" s="378"/>
      <c r="AK240" s="440"/>
      <c r="AM240" s="460">
        <v>240</v>
      </c>
      <c r="AN240" s="1078"/>
    </row>
    <row r="241" spans="1:54" ht="11.25" x14ac:dyDescent="0.2">
      <c r="A241" s="440"/>
      <c r="B241" s="1043"/>
      <c r="C241" s="380"/>
      <c r="D241" s="380"/>
      <c r="E241" s="380"/>
      <c r="F241" s="380"/>
      <c r="G241" s="380"/>
      <c r="H241" s="380"/>
      <c r="I241" s="380"/>
      <c r="J241" s="380"/>
      <c r="K241" s="463"/>
      <c r="L241" s="463"/>
      <c r="M241" s="532"/>
      <c r="N241" s="463"/>
      <c r="O241" s="380"/>
      <c r="P241" s="380"/>
      <c r="Q241" s="380"/>
      <c r="R241" s="380"/>
      <c r="S241" s="380"/>
      <c r="T241" s="380"/>
      <c r="U241" s="380"/>
      <c r="V241" s="380"/>
      <c r="W241" s="1101"/>
      <c r="X241" s="1119"/>
      <c r="Y241" s="1119"/>
      <c r="Z241" s="380"/>
      <c r="AA241" s="380"/>
      <c r="AB241" s="380"/>
      <c r="AC241" s="1101"/>
      <c r="AD241" s="1119"/>
      <c r="AE241" s="1119"/>
      <c r="AF241" s="380"/>
      <c r="AG241" s="380"/>
      <c r="AH241" s="380"/>
      <c r="AI241" s="464"/>
      <c r="AJ241" s="380"/>
      <c r="AK241" s="440"/>
      <c r="AM241" s="460">
        <v>241</v>
      </c>
      <c r="AN241" s="1078"/>
    </row>
    <row r="242" spans="1:54" ht="11.25" x14ac:dyDescent="0.2">
      <c r="A242" s="440"/>
      <c r="B242" s="1043"/>
      <c r="C242" s="380"/>
      <c r="D242" s="380"/>
      <c r="E242" s="380"/>
      <c r="F242" s="380"/>
      <c r="G242" s="380"/>
      <c r="H242" s="380"/>
      <c r="I242" s="380"/>
      <c r="J242" s="380"/>
      <c r="K242" s="463"/>
      <c r="L242" s="463"/>
      <c r="M242" s="532"/>
      <c r="N242" s="463"/>
      <c r="O242" s="380"/>
      <c r="P242" s="380"/>
      <c r="Q242" s="380"/>
      <c r="R242" s="380"/>
      <c r="S242" s="380"/>
      <c r="T242" s="380"/>
      <c r="U242" s="380"/>
      <c r="V242" s="380"/>
      <c r="W242" s="1101"/>
      <c r="X242" s="1119"/>
      <c r="Y242" s="1119"/>
      <c r="Z242" s="380"/>
      <c r="AA242" s="380"/>
      <c r="AB242" s="380"/>
      <c r="AC242" s="1101"/>
      <c r="AD242" s="1119"/>
      <c r="AE242" s="1119"/>
      <c r="AF242" s="380"/>
      <c r="AG242" s="380"/>
      <c r="AH242" s="380"/>
      <c r="AI242" s="464"/>
      <c r="AJ242" s="380"/>
      <c r="AK242" s="440"/>
      <c r="AM242" s="460">
        <v>242</v>
      </c>
      <c r="AN242" s="1078"/>
    </row>
    <row r="243" spans="1:54" x14ac:dyDescent="0.25">
      <c r="A243" s="440"/>
      <c r="B243" s="493" t="s">
        <v>362</v>
      </c>
      <c r="C243" s="494"/>
      <c r="D243" s="495"/>
      <c r="E243" s="1606" t="s">
        <v>272</v>
      </c>
      <c r="F243" s="1606"/>
      <c r="G243" s="1606"/>
      <c r="H243" s="1606"/>
      <c r="I243" s="1597"/>
      <c r="J243" s="1038"/>
      <c r="K243" s="462"/>
      <c r="L243" s="462"/>
      <c r="M243" s="498"/>
      <c r="N243" s="359"/>
      <c r="O243" s="363"/>
      <c r="P243" s="363"/>
      <c r="Q243" s="363"/>
      <c r="R243" s="363"/>
      <c r="S243" s="385">
        <f ca="1">S244</f>
        <v>1845816.6599999997</v>
      </c>
      <c r="T243" s="363"/>
      <c r="U243" s="363"/>
      <c r="V243" s="363"/>
      <c r="W243" s="1093"/>
      <c r="X243" s="1116"/>
      <c r="Y243" s="1116"/>
      <c r="Z243" s="363"/>
      <c r="AA243" s="363"/>
      <c r="AB243" s="363"/>
      <c r="AC243" s="1093"/>
      <c r="AD243" s="1116"/>
      <c r="AE243" s="1116"/>
      <c r="AF243" s="363"/>
      <c r="AG243" s="363"/>
      <c r="AH243" s="363"/>
      <c r="AI243" s="358"/>
      <c r="AJ243" s="363"/>
      <c r="AK243" s="440"/>
      <c r="AM243" s="460">
        <v>243</v>
      </c>
      <c r="AN243" s="1078"/>
    </row>
    <row r="244" spans="1:54" ht="14.25" customHeight="1" x14ac:dyDescent="0.25">
      <c r="A244" s="440"/>
      <c r="B244" s="1043"/>
      <c r="C244" s="1036"/>
      <c r="D244" s="494"/>
      <c r="E244" s="1596" t="s">
        <v>359</v>
      </c>
      <c r="F244" s="1596"/>
      <c r="G244" s="1596"/>
      <c r="H244" s="1596"/>
      <c r="I244" s="1597"/>
      <c r="J244" s="1038"/>
      <c r="K244" s="462"/>
      <c r="L244" s="462"/>
      <c r="M244" s="498"/>
      <c r="N244" s="359"/>
      <c r="O244" s="363"/>
      <c r="P244" s="363"/>
      <c r="Q244" s="363"/>
      <c r="R244" s="363"/>
      <c r="S244" s="355">
        <f ca="1">SUBTOTAL(109,S246:S250)</f>
        <v>1845816.6599999997</v>
      </c>
      <c r="T244" s="363"/>
      <c r="U244" s="363"/>
      <c r="V244" s="363"/>
      <c r="W244" s="1093"/>
      <c r="X244" s="1116"/>
      <c r="Y244" s="1116"/>
      <c r="Z244" s="363"/>
      <c r="AA244" s="363"/>
      <c r="AB244" s="363"/>
      <c r="AC244" s="1093"/>
      <c r="AD244" s="1116"/>
      <c r="AE244" s="1116"/>
      <c r="AF244" s="363"/>
      <c r="AG244" s="363"/>
      <c r="AH244" s="363"/>
      <c r="AI244" s="358"/>
      <c r="AJ244" s="363"/>
      <c r="AK244" s="440"/>
      <c r="AM244" s="460">
        <v>244</v>
      </c>
      <c r="AN244" s="1078"/>
    </row>
    <row r="245" spans="1:54" ht="11.25" customHeight="1" x14ac:dyDescent="0.25">
      <c r="A245" s="440"/>
      <c r="B245" s="1042"/>
      <c r="C245" s="1036"/>
      <c r="D245" s="494"/>
      <c r="E245" s="1036"/>
      <c r="F245" s="1036"/>
      <c r="G245" s="1036"/>
      <c r="H245" s="1036"/>
      <c r="I245" s="1035"/>
      <c r="J245" s="1038"/>
      <c r="K245" s="462"/>
      <c r="L245" s="462"/>
      <c r="M245" s="498"/>
      <c r="N245" s="359"/>
      <c r="O245" s="363"/>
      <c r="P245" s="363"/>
      <c r="Q245" s="363"/>
      <c r="R245" s="363"/>
      <c r="S245" s="355"/>
      <c r="T245" s="363"/>
      <c r="U245" s="363"/>
      <c r="V245" s="363"/>
      <c r="W245" s="1093"/>
      <c r="X245" s="1116"/>
      <c r="Y245" s="1116"/>
      <c r="Z245" s="363"/>
      <c r="AA245" s="363"/>
      <c r="AB245" s="363"/>
      <c r="AC245" s="1093"/>
      <c r="AD245" s="1116"/>
      <c r="AE245" s="1116"/>
      <c r="AF245" s="363"/>
      <c r="AG245" s="363"/>
      <c r="AH245" s="363"/>
      <c r="AI245" s="358"/>
      <c r="AJ245" s="363"/>
      <c r="AK245" s="440"/>
      <c r="AM245" s="460">
        <v>245</v>
      </c>
      <c r="AN245" s="1078"/>
    </row>
    <row r="246" spans="1:54" ht="12" customHeight="1" x14ac:dyDescent="0.25">
      <c r="A246" s="440"/>
      <c r="B246" s="1043"/>
      <c r="C246" s="380"/>
      <c r="D246" s="1037"/>
      <c r="E246" s="1084" t="str">
        <f ca="1">IF(AX246="E","",AN246)</f>
        <v>Baumeister</v>
      </c>
      <c r="F246" s="1085"/>
      <c r="G246" s="1264"/>
      <c r="H246" s="1264"/>
      <c r="I246" s="1265"/>
      <c r="J246" s="1038"/>
      <c r="K246" s="462"/>
      <c r="L246" s="462"/>
      <c r="M246" s="345"/>
      <c r="N246" s="528"/>
      <c r="O246" s="345"/>
      <c r="P246" s="543"/>
      <c r="Q246" s="344"/>
      <c r="R246" s="522" t="s">
        <v>363</v>
      </c>
      <c r="S246" s="353">
        <f t="shared" ref="S246:S250" ca="1" si="403">IF(AY246="E",(M246*O246)+Q246,AO246)</f>
        <v>1116603.8639999998</v>
      </c>
      <c r="T246" s="523"/>
      <c r="U246" s="350"/>
      <c r="V246" s="308"/>
      <c r="W246" s="1090" t="str">
        <f t="shared" ref="W246:W250" ca="1" si="404">IF(AZ246="E",IF(AND(V246&lt;&gt;0,U246&lt;&gt;0),"X",IF(AND(V246&lt;&gt;0,U246=0),"A",IF(AND(V246=0,U246&lt;&gt;0),"P",""))),AR246)</f>
        <v/>
      </c>
      <c r="X246" s="1103">
        <f t="shared" ref="X246:X250" ca="1" si="405">IF(AZ246="E",IFERROR(IF(W246="X",0,IF(U246&gt;0,U246,V246/S246)),0),
IFERROR(IF(OR(AR246="X",AR246=0),0,
IF(AR246="P",AP246,IF(AR246="A",AQ246/S246,0))),0))</f>
        <v>0</v>
      </c>
      <c r="Y246" s="1120">
        <f t="shared" ref="Y246:Y250" ca="1" si="406">IF(AZ246="E",IFERROR(IF(W246="X",0,IF(V246&gt;0,V246,S246*U246)),0),
IFERROR(IF(OR(AR246="X",AR246="0"),0,IF(AR246="A",AQ246,S246*AP246)),0))</f>
        <v>0</v>
      </c>
      <c r="Z246" s="524"/>
      <c r="AA246" s="350"/>
      <c r="AB246" s="308"/>
      <c r="AC246" s="1090" t="str">
        <f t="shared" ref="AC246:AC250" ca="1" si="407">IF(BA246="E",IF(AND(AB246&lt;&gt;0,AA246&lt;&gt;0),"X",IF(AND(AB246&lt;&gt;0,AA246=0),"A",IF(AND(AB246=0,AA246&lt;&gt;0),"P",""))),AU246)</f>
        <v/>
      </c>
      <c r="AD246" s="1103">
        <f t="shared" ref="AD246:AD250" ca="1" si="408">IF(BA246="E",IFERROR(IF(AC246="X",0,IF(AA246&gt;0,AA246,AB246/S246)),0),
IFERROR(IF(OR(AU246="X",AU246=0),0,
IF(AU246="P",AS246,IF(AU246="A",AT246/S246,0))),0))</f>
        <v>0</v>
      </c>
      <c r="AE246" s="1120">
        <f t="shared" ref="AE246:AE250" ca="1" si="409">IF(BA246="E",IFERROR(IF(AC246="X",0,IF(AB246&gt;0,AB246,S246*AA246)),0),
IFERROR(IF(OR(AU246="X",AU246=0),0,
IF(AU246="A",AT246,S246*AS246)),0))</f>
        <v>0</v>
      </c>
      <c r="AF246" s="525"/>
      <c r="AG246" s="637"/>
      <c r="AH246" s="525"/>
      <c r="AI246" s="1086">
        <f t="shared" ref="AI246:AI250" ca="1" si="410">IF(BB246="E",AG246,AV246)</f>
        <v>100</v>
      </c>
      <c r="AJ246" s="380"/>
      <c r="AK246" s="440"/>
      <c r="AM246" s="460">
        <v>246</v>
      </c>
      <c r="AN246" s="1087" t="str">
        <f t="shared" ref="AN246:AN250" ca="1" si="411">IF($M$13=$AN$12,"",IF(ISTEXT(INDIRECT("'"&amp;$AM$20&amp;"'!"&amp;AN$21&amp;$AM246)),INDIRECT("'"&amp;$AM$20&amp;"'!"&amp;AN$21&amp;$AM246),INDIRECT("'"&amp;$AM$20&amp;"'!"&amp;AN$22&amp;$AM246)))</f>
        <v>Baumeister</v>
      </c>
      <c r="AO246" s="1083">
        <f t="shared" ref="AO246:AV250" ca="1" si="412">IF($M$13=$AN$12,"",INDIRECT("'"&amp;$AM$20&amp;"'!"&amp;AO$21&amp;$AM246))</f>
        <v>1116603.8639999998</v>
      </c>
      <c r="AP246" s="356">
        <f t="shared" ca="1" si="412"/>
        <v>0</v>
      </c>
      <c r="AQ246" s="357">
        <f t="shared" ca="1" si="412"/>
        <v>0</v>
      </c>
      <c r="AR246" s="524" t="str">
        <f t="shared" ca="1" si="412"/>
        <v/>
      </c>
      <c r="AS246" s="356">
        <f t="shared" ca="1" si="412"/>
        <v>0</v>
      </c>
      <c r="AT246" s="357">
        <f t="shared" ca="1" si="412"/>
        <v>0</v>
      </c>
      <c r="AU246" s="524" t="str">
        <f t="shared" ca="1" si="412"/>
        <v/>
      </c>
      <c r="AV246" s="1083">
        <f t="shared" ca="1" si="412"/>
        <v>100</v>
      </c>
      <c r="AX246" s="1083" t="str">
        <f t="shared" ref="AX246:AX250" si="413">IF($M$13=$AN$12,"E",IF(ISTEXT(F246),"E","U"))</f>
        <v>U</v>
      </c>
      <c r="AY246" s="1083" t="str">
        <f t="shared" ref="AY246:AY250" si="414">IF($M$13=$AN$12,"E",IF(OR(ISNUMBER(M246),ISNUMBER(O246),ISNUMBER(Q246)),"E","U"))</f>
        <v>U</v>
      </c>
      <c r="AZ246" s="1083" t="str">
        <f t="shared" ref="AZ246:AZ250" si="415">IF($M$13=$AN$12,"E",IF(OR(ISNUMBER(U246),ISNUMBER(V246)),"E","U"))</f>
        <v>U</v>
      </c>
      <c r="BA246" s="1083" t="str">
        <f t="shared" ref="BA246:BA250" si="416">IF($M$13=$AN$12,"E",IF(OR(ISNUMBER(AA246),ISNUMBER(AB246)),"E","U"))</f>
        <v>U</v>
      </c>
      <c r="BB246" s="1083" t="str">
        <f t="shared" ref="BB246:BB250" si="417">IF($M$13=$AN$12,"E",IF(ISNUMBER(AG246),"E","U"))</f>
        <v>U</v>
      </c>
    </row>
    <row r="247" spans="1:54" ht="12" customHeight="1" x14ac:dyDescent="0.25">
      <c r="A247" s="440"/>
      <c r="B247" s="1043"/>
      <c r="C247" s="380"/>
      <c r="D247" s="1037"/>
      <c r="E247" s="1084" t="str">
        <f ca="1">IF(AX247="E","",AN247)</f>
        <v>Zimmermann</v>
      </c>
      <c r="F247" s="1085"/>
      <c r="G247" s="1264"/>
      <c r="H247" s="1264"/>
      <c r="I247" s="1265"/>
      <c r="J247" s="1038"/>
      <c r="K247" s="462"/>
      <c r="L247" s="462"/>
      <c r="M247" s="345"/>
      <c r="N247" s="528"/>
      <c r="O247" s="345"/>
      <c r="P247" s="543"/>
      <c r="Q247" s="344"/>
      <c r="R247" s="522" t="s">
        <v>363</v>
      </c>
      <c r="S247" s="353">
        <f t="shared" ca="1" si="403"/>
        <v>22720.5</v>
      </c>
      <c r="T247" s="523"/>
      <c r="U247" s="350"/>
      <c r="V247" s="308"/>
      <c r="W247" s="1090" t="str">
        <f t="shared" ca="1" si="404"/>
        <v/>
      </c>
      <c r="X247" s="1103">
        <f t="shared" ca="1" si="405"/>
        <v>0</v>
      </c>
      <c r="Y247" s="1120">
        <f t="shared" ca="1" si="406"/>
        <v>0</v>
      </c>
      <c r="Z247" s="524"/>
      <c r="AA247" s="350"/>
      <c r="AB247" s="308"/>
      <c r="AC247" s="1090" t="str">
        <f t="shared" ca="1" si="407"/>
        <v/>
      </c>
      <c r="AD247" s="1103">
        <f t="shared" ca="1" si="408"/>
        <v>0</v>
      </c>
      <c r="AE247" s="1120">
        <f t="shared" ca="1" si="409"/>
        <v>0</v>
      </c>
      <c r="AF247" s="525"/>
      <c r="AG247" s="637"/>
      <c r="AH247" s="525"/>
      <c r="AI247" s="1086">
        <f t="shared" ca="1" si="410"/>
        <v>50</v>
      </c>
      <c r="AJ247" s="380"/>
      <c r="AK247" s="440"/>
      <c r="AM247" s="460">
        <v>247</v>
      </c>
      <c r="AN247" s="1087" t="str">
        <f t="shared" ca="1" si="411"/>
        <v>Zimmermann</v>
      </c>
      <c r="AO247" s="1083">
        <f t="shared" ca="1" si="412"/>
        <v>22720.5</v>
      </c>
      <c r="AP247" s="356">
        <f t="shared" ca="1" si="412"/>
        <v>0</v>
      </c>
      <c r="AQ247" s="357">
        <f t="shared" ca="1" si="412"/>
        <v>0</v>
      </c>
      <c r="AR247" s="524" t="str">
        <f t="shared" ca="1" si="412"/>
        <v/>
      </c>
      <c r="AS247" s="356">
        <f t="shared" ca="1" si="412"/>
        <v>0</v>
      </c>
      <c r="AT247" s="357">
        <f t="shared" ca="1" si="412"/>
        <v>0</v>
      </c>
      <c r="AU247" s="524" t="str">
        <f t="shared" ca="1" si="412"/>
        <v/>
      </c>
      <c r="AV247" s="1083">
        <f t="shared" ca="1" si="412"/>
        <v>50</v>
      </c>
      <c r="AX247" s="1083" t="str">
        <f t="shared" si="413"/>
        <v>U</v>
      </c>
      <c r="AY247" s="1083" t="str">
        <f t="shared" si="414"/>
        <v>U</v>
      </c>
      <c r="AZ247" s="1083" t="str">
        <f t="shared" si="415"/>
        <v>U</v>
      </c>
      <c r="BA247" s="1083" t="str">
        <f t="shared" si="416"/>
        <v>U</v>
      </c>
      <c r="BB247" s="1083" t="str">
        <f t="shared" si="417"/>
        <v>U</v>
      </c>
    </row>
    <row r="248" spans="1:54" ht="12" customHeight="1" x14ac:dyDescent="0.25">
      <c r="A248" s="440"/>
      <c r="B248" s="1043"/>
      <c r="C248" s="380"/>
      <c r="D248" s="1037"/>
      <c r="E248" s="1084" t="str">
        <f ca="1">IF(AX248="E","",AN248)</f>
        <v>alle sonst. mit LD100</v>
      </c>
      <c r="F248" s="1085"/>
      <c r="G248" s="1264"/>
      <c r="H248" s="1264"/>
      <c r="I248" s="1265"/>
      <c r="J248" s="1038"/>
      <c r="K248" s="462"/>
      <c r="L248" s="462"/>
      <c r="M248" s="345"/>
      <c r="N248" s="528"/>
      <c r="O248" s="345"/>
      <c r="P248" s="543"/>
      <c r="Q248" s="344"/>
      <c r="R248" s="522" t="s">
        <v>363</v>
      </c>
      <c r="S248" s="353">
        <f t="shared" ca="1" si="403"/>
        <v>507862.68</v>
      </c>
      <c r="T248" s="523"/>
      <c r="U248" s="350"/>
      <c r="V248" s="308"/>
      <c r="W248" s="1090" t="str">
        <f t="shared" ca="1" si="404"/>
        <v/>
      </c>
      <c r="X248" s="1103">
        <f t="shared" ca="1" si="405"/>
        <v>0</v>
      </c>
      <c r="Y248" s="1120">
        <f t="shared" ca="1" si="406"/>
        <v>0</v>
      </c>
      <c r="Z248" s="524"/>
      <c r="AA248" s="350"/>
      <c r="AB248" s="308"/>
      <c r="AC248" s="1090" t="str">
        <f t="shared" ca="1" si="407"/>
        <v/>
      </c>
      <c r="AD248" s="1103">
        <f t="shared" ca="1" si="408"/>
        <v>0</v>
      </c>
      <c r="AE248" s="1120">
        <f t="shared" ca="1" si="409"/>
        <v>0</v>
      </c>
      <c r="AF248" s="525"/>
      <c r="AG248" s="637"/>
      <c r="AH248" s="525"/>
      <c r="AI248" s="1086">
        <f t="shared" ca="1" si="410"/>
        <v>100</v>
      </c>
      <c r="AJ248" s="380"/>
      <c r="AK248" s="440"/>
      <c r="AM248" s="460">
        <v>248</v>
      </c>
      <c r="AN248" s="1087" t="str">
        <f t="shared" ca="1" si="411"/>
        <v>alle sonst. mit LD100</v>
      </c>
      <c r="AO248" s="1083">
        <f t="shared" ca="1" si="412"/>
        <v>507862.68</v>
      </c>
      <c r="AP248" s="356">
        <f t="shared" ca="1" si="412"/>
        <v>0</v>
      </c>
      <c r="AQ248" s="357">
        <f t="shared" ca="1" si="412"/>
        <v>0</v>
      </c>
      <c r="AR248" s="524" t="str">
        <f t="shared" ca="1" si="412"/>
        <v/>
      </c>
      <c r="AS248" s="356">
        <f t="shared" ca="1" si="412"/>
        <v>0</v>
      </c>
      <c r="AT248" s="357">
        <f t="shared" ca="1" si="412"/>
        <v>0</v>
      </c>
      <c r="AU248" s="524" t="str">
        <f t="shared" ca="1" si="412"/>
        <v/>
      </c>
      <c r="AV248" s="1083">
        <f t="shared" ca="1" si="412"/>
        <v>100</v>
      </c>
      <c r="AX248" s="1083" t="str">
        <f t="shared" si="413"/>
        <v>U</v>
      </c>
      <c r="AY248" s="1083" t="str">
        <f t="shared" si="414"/>
        <v>U</v>
      </c>
      <c r="AZ248" s="1083" t="str">
        <f t="shared" si="415"/>
        <v>U</v>
      </c>
      <c r="BA248" s="1083" t="str">
        <f t="shared" si="416"/>
        <v>U</v>
      </c>
      <c r="BB248" s="1083" t="str">
        <f t="shared" si="417"/>
        <v>U</v>
      </c>
    </row>
    <row r="249" spans="1:54" ht="12" customHeight="1" x14ac:dyDescent="0.25">
      <c r="A249" s="440"/>
      <c r="B249" s="1043"/>
      <c r="C249" s="380"/>
      <c r="D249" s="1037"/>
      <c r="E249" s="1084" t="str">
        <f ca="1">IF(AX249="E","",AN249)</f>
        <v>Trockenbau</v>
      </c>
      <c r="F249" s="1085"/>
      <c r="G249" s="1264"/>
      <c r="H249" s="1264"/>
      <c r="I249" s="1265"/>
      <c r="J249" s="1038"/>
      <c r="K249" s="462"/>
      <c r="L249" s="462"/>
      <c r="M249" s="345"/>
      <c r="N249" s="528"/>
      <c r="O249" s="345"/>
      <c r="P249" s="543"/>
      <c r="Q249" s="344"/>
      <c r="R249" s="522" t="s">
        <v>363</v>
      </c>
      <c r="S249" s="353">
        <f t="shared" ca="1" si="403"/>
        <v>138950.43599999999</v>
      </c>
      <c r="T249" s="523"/>
      <c r="U249" s="350"/>
      <c r="V249" s="308"/>
      <c r="W249" s="1090" t="str">
        <f t="shared" ca="1" si="404"/>
        <v/>
      </c>
      <c r="X249" s="1103">
        <f t="shared" ca="1" si="405"/>
        <v>0</v>
      </c>
      <c r="Y249" s="1120">
        <f t="shared" ca="1" si="406"/>
        <v>0</v>
      </c>
      <c r="Z249" s="524"/>
      <c r="AA249" s="350"/>
      <c r="AB249" s="308"/>
      <c r="AC249" s="1090" t="str">
        <f t="shared" ca="1" si="407"/>
        <v/>
      </c>
      <c r="AD249" s="1103">
        <f t="shared" ca="1" si="408"/>
        <v>0</v>
      </c>
      <c r="AE249" s="1120">
        <f t="shared" ca="1" si="409"/>
        <v>0</v>
      </c>
      <c r="AF249" s="525"/>
      <c r="AG249" s="637"/>
      <c r="AH249" s="525"/>
      <c r="AI249" s="1086">
        <f t="shared" ca="1" si="410"/>
        <v>50</v>
      </c>
      <c r="AJ249" s="380"/>
      <c r="AK249" s="440"/>
      <c r="AM249" s="460">
        <v>249</v>
      </c>
      <c r="AN249" s="1087" t="str">
        <f t="shared" ca="1" si="411"/>
        <v>Trockenbau</v>
      </c>
      <c r="AO249" s="1083">
        <f t="shared" ca="1" si="412"/>
        <v>138950.43599999999</v>
      </c>
      <c r="AP249" s="356">
        <f t="shared" ca="1" si="412"/>
        <v>0</v>
      </c>
      <c r="AQ249" s="357">
        <f t="shared" ca="1" si="412"/>
        <v>0</v>
      </c>
      <c r="AR249" s="524" t="str">
        <f t="shared" ca="1" si="412"/>
        <v/>
      </c>
      <c r="AS249" s="356">
        <f t="shared" ca="1" si="412"/>
        <v>0</v>
      </c>
      <c r="AT249" s="357">
        <f t="shared" ca="1" si="412"/>
        <v>0</v>
      </c>
      <c r="AU249" s="524" t="str">
        <f t="shared" ca="1" si="412"/>
        <v/>
      </c>
      <c r="AV249" s="1083">
        <f t="shared" ca="1" si="412"/>
        <v>50</v>
      </c>
      <c r="AX249" s="1083" t="str">
        <f t="shared" si="413"/>
        <v>U</v>
      </c>
      <c r="AY249" s="1083" t="str">
        <f t="shared" si="414"/>
        <v>U</v>
      </c>
      <c r="AZ249" s="1083" t="str">
        <f t="shared" si="415"/>
        <v>U</v>
      </c>
      <c r="BA249" s="1083" t="str">
        <f t="shared" si="416"/>
        <v>U</v>
      </c>
      <c r="BB249" s="1083" t="str">
        <f t="shared" si="417"/>
        <v>U</v>
      </c>
    </row>
    <row r="250" spans="1:54" ht="12" customHeight="1" x14ac:dyDescent="0.25">
      <c r="A250" s="440"/>
      <c r="B250" s="1043"/>
      <c r="C250" s="380"/>
      <c r="D250" s="1037"/>
      <c r="E250" s="1084" t="str">
        <f ca="1">IF(AX250="E","",AN250)</f>
        <v>Türen mit Stahlzargen</v>
      </c>
      <c r="F250" s="1085"/>
      <c r="G250" s="1264"/>
      <c r="H250" s="1264"/>
      <c r="I250" s="1265"/>
      <c r="J250" s="1038"/>
      <c r="K250" s="462"/>
      <c r="L250" s="462"/>
      <c r="M250" s="344"/>
      <c r="N250" s="528"/>
      <c r="O250" s="344"/>
      <c r="P250" s="543"/>
      <c r="Q250" s="344"/>
      <c r="R250" s="522" t="s">
        <v>363</v>
      </c>
      <c r="S250" s="353">
        <f t="shared" ca="1" si="403"/>
        <v>59679.18</v>
      </c>
      <c r="T250" s="523"/>
      <c r="U250" s="350"/>
      <c r="V250" s="308"/>
      <c r="W250" s="1090" t="str">
        <f t="shared" ca="1" si="404"/>
        <v/>
      </c>
      <c r="X250" s="1103">
        <f t="shared" ca="1" si="405"/>
        <v>0</v>
      </c>
      <c r="Y250" s="1120">
        <f t="shared" ca="1" si="406"/>
        <v>0</v>
      </c>
      <c r="Z250" s="524"/>
      <c r="AA250" s="350"/>
      <c r="AB250" s="308"/>
      <c r="AC250" s="1090" t="str">
        <f t="shared" ca="1" si="407"/>
        <v/>
      </c>
      <c r="AD250" s="1103">
        <f t="shared" ca="1" si="408"/>
        <v>0</v>
      </c>
      <c r="AE250" s="1120">
        <f t="shared" ca="1" si="409"/>
        <v>0</v>
      </c>
      <c r="AF250" s="525"/>
      <c r="AG250" s="637"/>
      <c r="AH250" s="525"/>
      <c r="AI250" s="1086">
        <f t="shared" ca="1" si="410"/>
        <v>100</v>
      </c>
      <c r="AJ250" s="380"/>
      <c r="AK250" s="440"/>
      <c r="AM250" s="460">
        <v>250</v>
      </c>
      <c r="AN250" s="1087" t="str">
        <f t="shared" ca="1" si="411"/>
        <v>Türen mit Stahlzargen</v>
      </c>
      <c r="AO250" s="1083">
        <f t="shared" ca="1" si="412"/>
        <v>59679.18</v>
      </c>
      <c r="AP250" s="356">
        <f t="shared" ca="1" si="412"/>
        <v>0</v>
      </c>
      <c r="AQ250" s="357">
        <f t="shared" ca="1" si="412"/>
        <v>0</v>
      </c>
      <c r="AR250" s="524" t="str">
        <f t="shared" ca="1" si="412"/>
        <v/>
      </c>
      <c r="AS250" s="356">
        <f t="shared" ca="1" si="412"/>
        <v>0</v>
      </c>
      <c r="AT250" s="357">
        <f t="shared" ca="1" si="412"/>
        <v>0</v>
      </c>
      <c r="AU250" s="524" t="str">
        <f t="shared" ca="1" si="412"/>
        <v/>
      </c>
      <c r="AV250" s="1083">
        <f t="shared" ca="1" si="412"/>
        <v>100</v>
      </c>
      <c r="AX250" s="1083" t="str">
        <f t="shared" si="413"/>
        <v>U</v>
      </c>
      <c r="AY250" s="1083" t="str">
        <f t="shared" si="414"/>
        <v>U</v>
      </c>
      <c r="AZ250" s="1083" t="str">
        <f t="shared" si="415"/>
        <v>U</v>
      </c>
      <c r="BA250" s="1083" t="str">
        <f t="shared" si="416"/>
        <v>U</v>
      </c>
      <c r="BB250" s="1083" t="str">
        <f t="shared" si="417"/>
        <v>U</v>
      </c>
    </row>
    <row r="251" spans="1:54" ht="11.25" collapsed="1" x14ac:dyDescent="0.2">
      <c r="A251" s="440"/>
      <c r="B251" s="324"/>
      <c r="C251" s="378"/>
      <c r="D251" s="378"/>
      <c r="E251" s="378"/>
      <c r="F251" s="378"/>
      <c r="G251" s="378"/>
      <c r="H251" s="378"/>
      <c r="I251" s="378"/>
      <c r="J251" s="378"/>
      <c r="K251" s="378"/>
      <c r="L251" s="378"/>
      <c r="M251" s="560"/>
      <c r="N251" s="561"/>
      <c r="O251" s="378"/>
      <c r="P251" s="378"/>
      <c r="Q251" s="378"/>
      <c r="R251" s="378"/>
      <c r="S251" s="378"/>
      <c r="T251" s="378"/>
      <c r="U251" s="378"/>
      <c r="V251" s="378"/>
      <c r="W251" s="378"/>
      <c r="X251" s="378"/>
      <c r="Y251" s="378"/>
      <c r="Z251" s="378"/>
      <c r="AA251" s="378"/>
      <c r="AB251" s="378"/>
      <c r="AC251" s="378"/>
      <c r="AD251" s="378"/>
      <c r="AE251" s="378"/>
      <c r="AF251" s="378"/>
      <c r="AG251" s="378"/>
      <c r="AH251" s="378"/>
      <c r="AI251" s="510"/>
      <c r="AJ251" s="378"/>
      <c r="AK251" s="440"/>
      <c r="AM251" s="460">
        <v>251</v>
      </c>
      <c r="AN251" s="1078"/>
    </row>
    <row r="252" spans="1:54" ht="11.25" x14ac:dyDescent="0.2">
      <c r="A252" s="440"/>
      <c r="B252" s="1043"/>
      <c r="C252" s="380"/>
      <c r="D252" s="380"/>
      <c r="E252" s="380"/>
      <c r="F252" s="380"/>
      <c r="G252" s="380"/>
      <c r="H252" s="380"/>
      <c r="I252" s="380"/>
      <c r="J252" s="380"/>
      <c r="K252" s="463"/>
      <c r="L252" s="463"/>
      <c r="M252" s="532"/>
      <c r="N252" s="463"/>
      <c r="O252" s="380"/>
      <c r="P252" s="380"/>
      <c r="Q252" s="380"/>
      <c r="R252" s="380"/>
      <c r="S252" s="380"/>
      <c r="T252" s="380"/>
      <c r="U252" s="380"/>
      <c r="V252" s="380"/>
      <c r="W252" s="380"/>
      <c r="X252" s="380"/>
      <c r="Y252" s="380"/>
      <c r="Z252" s="380"/>
      <c r="AA252" s="380"/>
      <c r="AB252" s="380"/>
      <c r="AC252" s="380"/>
      <c r="AD252" s="380"/>
      <c r="AE252" s="380"/>
      <c r="AF252" s="380"/>
      <c r="AG252" s="380"/>
      <c r="AH252" s="380"/>
      <c r="AI252" s="464"/>
      <c r="AJ252" s="380"/>
      <c r="AK252" s="440"/>
      <c r="AM252" s="460">
        <v>252</v>
      </c>
      <c r="AN252" s="1078"/>
    </row>
    <row r="253" spans="1:54" ht="11.25" x14ac:dyDescent="0.2">
      <c r="A253" s="440"/>
      <c r="B253" s="1043"/>
      <c r="C253" s="380"/>
      <c r="D253" s="380"/>
      <c r="E253" s="380"/>
      <c r="F253" s="380"/>
      <c r="G253" s="380"/>
      <c r="H253" s="380"/>
      <c r="I253" s="380"/>
      <c r="J253" s="380"/>
      <c r="K253" s="463"/>
      <c r="L253" s="463"/>
      <c r="M253" s="532"/>
      <c r="N253" s="463"/>
      <c r="O253" s="380"/>
      <c r="P253" s="380"/>
      <c r="Q253" s="380"/>
      <c r="R253" s="380"/>
      <c r="S253" s="380"/>
      <c r="T253" s="380"/>
      <c r="U253" s="380"/>
      <c r="V253" s="380"/>
      <c r="W253" s="380"/>
      <c r="X253" s="380"/>
      <c r="Y253" s="380"/>
      <c r="Z253" s="380"/>
      <c r="AA253" s="380"/>
      <c r="AB253" s="380"/>
      <c r="AC253" s="380"/>
      <c r="AD253" s="380"/>
      <c r="AE253" s="380"/>
      <c r="AF253" s="380"/>
      <c r="AG253" s="380"/>
      <c r="AH253" s="380"/>
      <c r="AI253" s="464"/>
      <c r="AJ253" s="380"/>
      <c r="AK253" s="440"/>
      <c r="AM253" s="460">
        <v>253</v>
      </c>
      <c r="AN253" s="1078"/>
    </row>
    <row r="254" spans="1:54" ht="12.75" customHeight="1" x14ac:dyDescent="0.25">
      <c r="A254" s="440"/>
      <c r="B254" s="493" t="s">
        <v>366</v>
      </c>
      <c r="C254" s="494"/>
      <c r="D254" s="495"/>
      <c r="E254" s="1606" t="s">
        <v>365</v>
      </c>
      <c r="F254" s="1606"/>
      <c r="G254" s="1606"/>
      <c r="H254" s="1606"/>
      <c r="I254" s="1597"/>
      <c r="J254" s="1038"/>
      <c r="K254" s="462"/>
      <c r="L254" s="462"/>
      <c r="M254" s="498"/>
      <c r="N254" s="359"/>
      <c r="O254" s="363"/>
      <c r="P254" s="363"/>
      <c r="Q254" s="363"/>
      <c r="R254" s="363"/>
      <c r="S254" s="385">
        <f ca="1">S255</f>
        <v>0</v>
      </c>
      <c r="T254" s="363"/>
      <c r="U254" s="363"/>
      <c r="V254" s="363"/>
      <c r="W254" s="363"/>
      <c r="X254" s="363"/>
      <c r="Y254" s="363"/>
      <c r="Z254" s="363"/>
      <c r="AA254" s="363"/>
      <c r="AB254" s="363"/>
      <c r="AC254" s="363"/>
      <c r="AD254" s="363"/>
      <c r="AE254" s="363"/>
      <c r="AF254" s="363"/>
      <c r="AG254" s="363"/>
      <c r="AH254" s="363"/>
      <c r="AI254" s="358"/>
      <c r="AJ254" s="363"/>
      <c r="AK254" s="440"/>
      <c r="AM254" s="460">
        <v>254</v>
      </c>
      <c r="AN254" s="1078"/>
    </row>
    <row r="255" spans="1:54" ht="12.75" customHeight="1" x14ac:dyDescent="0.25">
      <c r="A255" s="440"/>
      <c r="B255" s="493"/>
      <c r="C255" s="494"/>
      <c r="D255" s="495"/>
      <c r="E255" s="1034"/>
      <c r="F255" s="1034"/>
      <c r="G255" s="1034"/>
      <c r="H255" s="1034"/>
      <c r="I255" s="1035"/>
      <c r="J255" s="1038"/>
      <c r="K255" s="462"/>
      <c r="L255" s="462"/>
      <c r="M255" s="498"/>
      <c r="N255" s="359"/>
      <c r="O255" s="363"/>
      <c r="P255" s="363"/>
      <c r="Q255" s="363"/>
      <c r="R255" s="363"/>
      <c r="S255" s="355">
        <f ca="1">SUBTOTAL(109,S256:S258)</f>
        <v>0</v>
      </c>
      <c r="T255" s="363"/>
      <c r="U255" s="363"/>
      <c r="V255" s="363"/>
      <c r="W255" s="363"/>
      <c r="X255" s="363"/>
      <c r="Y255" s="363"/>
      <c r="Z255" s="363"/>
      <c r="AA255" s="363"/>
      <c r="AB255" s="363"/>
      <c r="AC255" s="363"/>
      <c r="AD255" s="363"/>
      <c r="AE255" s="363"/>
      <c r="AF255" s="363"/>
      <c r="AG255" s="363"/>
      <c r="AH255" s="363"/>
      <c r="AI255" s="358"/>
      <c r="AJ255" s="363"/>
      <c r="AK255" s="440"/>
      <c r="AM255" s="460">
        <v>255</v>
      </c>
      <c r="AN255" s="1078"/>
    </row>
    <row r="256" spans="1:54" ht="11.25" x14ac:dyDescent="0.2">
      <c r="A256" s="440"/>
      <c r="B256" s="1043"/>
      <c r="C256" s="380"/>
      <c r="D256" s="380"/>
      <c r="E256" s="1084">
        <f ca="1">IF(AX256="E","",AN256)</f>
        <v>0</v>
      </c>
      <c r="F256" s="1085"/>
      <c r="G256" s="1264"/>
      <c r="H256" s="1264"/>
      <c r="I256" s="1265"/>
      <c r="J256" s="559"/>
      <c r="K256" s="463"/>
      <c r="L256" s="463"/>
      <c r="M256" s="339"/>
      <c r="N256" s="359" t="s">
        <v>67</v>
      </c>
      <c r="O256" s="339"/>
      <c r="P256" s="363"/>
      <c r="Q256" s="344"/>
      <c r="R256" s="522" t="s">
        <v>363</v>
      </c>
      <c r="S256" s="353">
        <f t="shared" ref="S256:S258" ca="1" si="418">IF(AY256="E",(M256*O256)+Q256,AO256)</f>
        <v>0</v>
      </c>
      <c r="T256" s="363"/>
      <c r="U256" s="381"/>
      <c r="V256" s="363"/>
      <c r="W256" s="363"/>
      <c r="X256" s="381"/>
      <c r="Y256" s="363"/>
      <c r="Z256" s="363"/>
      <c r="AA256" s="381"/>
      <c r="AB256" s="363"/>
      <c r="AC256" s="363"/>
      <c r="AD256" s="381"/>
      <c r="AE256" s="363"/>
      <c r="AF256" s="363"/>
      <c r="AG256" s="363"/>
      <c r="AH256" s="363"/>
      <c r="AI256" s="358"/>
      <c r="AJ256" s="363"/>
      <c r="AK256" s="440"/>
      <c r="AM256" s="460">
        <v>256</v>
      </c>
      <c r="AN256" s="1087">
        <f ca="1">IF($M$13=$AN$12,"",IF(ISTEXT(INDIRECT("'"&amp;$AM$20&amp;"'!"&amp;AN$21&amp;$AM256)),INDIRECT("'"&amp;$AM$20&amp;"'!"&amp;AN$21&amp;$AM256),INDIRECT("'"&amp;$AM$20&amp;"'!"&amp;AN$22&amp;$AM256)))</f>
        <v>0</v>
      </c>
      <c r="AO256" s="1083">
        <f ca="1">IF($M$13=$AN$12,"",INDIRECT("'"&amp;$AM$20&amp;"'!"&amp;AO$21&amp;$AM256))</f>
        <v>0</v>
      </c>
      <c r="AX256" s="1083" t="str">
        <f>IF($M$13=$AN$12,"E",IF(ISTEXT(F256),"E","U"))</f>
        <v>U</v>
      </c>
      <c r="AY256" s="1083" t="str">
        <f>IF($M$13=$AN$12,"E",IF(OR(ISNUMBER(M256),ISNUMBER(O256),ISNUMBER(Q256)),"E","U"))</f>
        <v>U</v>
      </c>
    </row>
    <row r="257" spans="1:51" ht="11.25" x14ac:dyDescent="0.2">
      <c r="A257" s="440"/>
      <c r="B257" s="1043"/>
      <c r="C257" s="380"/>
      <c r="D257" s="380"/>
      <c r="E257" s="1084">
        <f ca="1">IF(AX257="E","",AN257)</f>
        <v>0</v>
      </c>
      <c r="F257" s="1085"/>
      <c r="G257" s="1264"/>
      <c r="H257" s="1264"/>
      <c r="I257" s="1265"/>
      <c r="J257" s="559"/>
      <c r="K257" s="463"/>
      <c r="L257" s="463"/>
      <c r="M257" s="339"/>
      <c r="N257" s="359" t="s">
        <v>67</v>
      </c>
      <c r="O257" s="339"/>
      <c r="P257" s="363"/>
      <c r="Q257" s="344"/>
      <c r="R257" s="522" t="s">
        <v>363</v>
      </c>
      <c r="S257" s="353">
        <f t="shared" ca="1" si="418"/>
        <v>0</v>
      </c>
      <c r="T257" s="380"/>
      <c r="U257" s="380"/>
      <c r="V257" s="380"/>
      <c r="W257" s="380"/>
      <c r="X257" s="380"/>
      <c r="Y257" s="380"/>
      <c r="Z257" s="380"/>
      <c r="AA257" s="380"/>
      <c r="AB257" s="380"/>
      <c r="AC257" s="380"/>
      <c r="AD257" s="380"/>
      <c r="AE257" s="380"/>
      <c r="AF257" s="380"/>
      <c r="AG257" s="380"/>
      <c r="AH257" s="380"/>
      <c r="AI257" s="464"/>
      <c r="AJ257" s="380"/>
      <c r="AK257" s="440"/>
      <c r="AM257" s="460">
        <v>257</v>
      </c>
      <c r="AN257" s="1087">
        <f ca="1">IF($M$13=$AN$12,"",IF(ISTEXT(INDIRECT("'"&amp;$AM$20&amp;"'!"&amp;AN$21&amp;$AM257)),INDIRECT("'"&amp;$AM$20&amp;"'!"&amp;AN$21&amp;$AM257),INDIRECT("'"&amp;$AM$20&amp;"'!"&amp;AN$22&amp;$AM257)))</f>
        <v>0</v>
      </c>
      <c r="AO257" s="1083">
        <f ca="1">IF($M$13=$AN$12,"",INDIRECT("'"&amp;$AM$20&amp;"'!"&amp;AO$21&amp;$AM257))</f>
        <v>0</v>
      </c>
      <c r="AX257" s="1083" t="str">
        <f>IF($M$13=$AN$12,"E",IF(ISTEXT(F257),"E","U"))</f>
        <v>U</v>
      </c>
      <c r="AY257" s="1083" t="str">
        <f>IF($M$13=$AN$12,"E",IF(OR(ISNUMBER(M257),ISNUMBER(O257),ISNUMBER(Q257)),"E","U"))</f>
        <v>U</v>
      </c>
    </row>
    <row r="258" spans="1:51" ht="11.25" x14ac:dyDescent="0.2">
      <c r="A258" s="440"/>
      <c r="B258" s="1043"/>
      <c r="C258" s="380"/>
      <c r="D258" s="380"/>
      <c r="E258" s="1084">
        <f ca="1">IF(AX258="E","",AN258)</f>
        <v>0</v>
      </c>
      <c r="F258" s="1085"/>
      <c r="G258" s="1264"/>
      <c r="H258" s="1264"/>
      <c r="I258" s="1265"/>
      <c r="J258" s="559"/>
      <c r="K258" s="463"/>
      <c r="L258" s="463"/>
      <c r="M258" s="339"/>
      <c r="N258" s="359" t="s">
        <v>67</v>
      </c>
      <c r="O258" s="339"/>
      <c r="P258" s="363"/>
      <c r="Q258" s="344"/>
      <c r="R258" s="522" t="s">
        <v>363</v>
      </c>
      <c r="S258" s="353">
        <f t="shared" ca="1" si="418"/>
        <v>0</v>
      </c>
      <c r="T258" s="380"/>
      <c r="U258" s="380"/>
      <c r="V258" s="380"/>
      <c r="W258" s="380"/>
      <c r="X258" s="380"/>
      <c r="Y258" s="380"/>
      <c r="Z258" s="380"/>
      <c r="AA258" s="380"/>
      <c r="AB258" s="380"/>
      <c r="AC258" s="380"/>
      <c r="AD258" s="380"/>
      <c r="AE258" s="380"/>
      <c r="AF258" s="380"/>
      <c r="AG258" s="380"/>
      <c r="AH258" s="380"/>
      <c r="AI258" s="464"/>
      <c r="AJ258" s="380"/>
      <c r="AK258" s="440"/>
      <c r="AM258" s="460">
        <v>258</v>
      </c>
      <c r="AN258" s="1087">
        <f ca="1">IF($M$13=$AN$12,"",IF(ISTEXT(INDIRECT("'"&amp;$AM$20&amp;"'!"&amp;AN$21&amp;$AM258)),INDIRECT("'"&amp;$AM$20&amp;"'!"&amp;AN$21&amp;$AM258),INDIRECT("'"&amp;$AM$20&amp;"'!"&amp;AN$22&amp;$AM258)))</f>
        <v>0</v>
      </c>
      <c r="AO258" s="1083">
        <f ca="1">IF($M$13=$AN$12,"",INDIRECT("'"&amp;$AM$20&amp;"'!"&amp;AO$21&amp;$AM258))</f>
        <v>0</v>
      </c>
      <c r="AX258" s="1083" t="str">
        <f>IF($M$13=$AN$12,"E",IF(ISTEXT(F258),"E","U"))</f>
        <v>U</v>
      </c>
      <c r="AY258" s="1083" t="str">
        <f>IF($M$13=$AN$12,"E",IF(OR(ISNUMBER(M258),ISNUMBER(O258),ISNUMBER(Q258)),"E","U"))</f>
        <v>U</v>
      </c>
    </row>
    <row r="259" spans="1:51" ht="11.25" collapsed="1" x14ac:dyDescent="0.2">
      <c r="A259" s="440"/>
      <c r="B259" s="1043"/>
      <c r="C259" s="380"/>
      <c r="D259" s="380"/>
      <c r="E259" s="380"/>
      <c r="F259" s="380"/>
      <c r="G259" s="380"/>
      <c r="H259" s="380"/>
      <c r="I259" s="380"/>
      <c r="J259" s="380"/>
      <c r="K259" s="463"/>
      <c r="L259" s="463"/>
      <c r="M259" s="380"/>
      <c r="N259" s="463"/>
      <c r="O259" s="380"/>
      <c r="P259" s="380"/>
      <c r="Q259" s="380"/>
      <c r="R259" s="380"/>
      <c r="S259" s="380"/>
      <c r="T259" s="380"/>
      <c r="U259" s="380"/>
      <c r="V259" s="380"/>
      <c r="W259" s="380"/>
      <c r="X259" s="380"/>
      <c r="Y259" s="380"/>
      <c r="Z259" s="380"/>
      <c r="AA259" s="380"/>
      <c r="AB259" s="380"/>
      <c r="AC259" s="380"/>
      <c r="AD259" s="380"/>
      <c r="AE259" s="380"/>
      <c r="AF259" s="380"/>
      <c r="AG259" s="380"/>
      <c r="AH259" s="380"/>
      <c r="AI259" s="464"/>
      <c r="AJ259" s="380"/>
      <c r="AK259" s="440"/>
      <c r="AM259" s="460">
        <v>259</v>
      </c>
      <c r="AN259" s="1078"/>
    </row>
    <row r="260" spans="1:51" ht="11.25" x14ac:dyDescent="0.2">
      <c r="A260" s="440"/>
      <c r="B260" s="1043"/>
      <c r="C260" s="380"/>
      <c r="D260" s="380"/>
      <c r="E260" s="380"/>
      <c r="F260" s="380"/>
      <c r="G260" s="380"/>
      <c r="H260" s="380"/>
      <c r="I260" s="380"/>
      <c r="J260" s="380"/>
      <c r="K260" s="463"/>
      <c r="L260" s="463"/>
      <c r="M260" s="380"/>
      <c r="N260" s="463"/>
      <c r="O260" s="380"/>
      <c r="P260" s="380"/>
      <c r="Q260" s="380"/>
      <c r="R260" s="380"/>
      <c r="S260" s="380"/>
      <c r="T260" s="380"/>
      <c r="U260" s="380"/>
      <c r="V260" s="380"/>
      <c r="W260" s="380"/>
      <c r="X260" s="380"/>
      <c r="Y260" s="380"/>
      <c r="Z260" s="380"/>
      <c r="AA260" s="380"/>
      <c r="AB260" s="380"/>
      <c r="AC260" s="380"/>
      <c r="AD260" s="380"/>
      <c r="AE260" s="380"/>
      <c r="AF260" s="380"/>
      <c r="AG260" s="380"/>
      <c r="AH260" s="380"/>
      <c r="AI260" s="464"/>
      <c r="AJ260" s="380"/>
      <c r="AK260" s="440"/>
      <c r="AM260" s="460">
        <v>260</v>
      </c>
      <c r="AN260" s="1078"/>
    </row>
    <row r="261" spans="1:51" ht="11.25" x14ac:dyDescent="0.2">
      <c r="A261" s="440"/>
      <c r="B261" s="324"/>
      <c r="C261" s="378"/>
      <c r="D261" s="378"/>
      <c r="E261" s="378"/>
      <c r="F261" s="378"/>
      <c r="G261" s="378"/>
      <c r="H261" s="378"/>
      <c r="I261" s="378"/>
      <c r="J261" s="378"/>
      <c r="K261" s="561"/>
      <c r="L261" s="561"/>
      <c r="M261" s="378"/>
      <c r="N261" s="561"/>
      <c r="O261" s="378"/>
      <c r="P261" s="378"/>
      <c r="Q261" s="378"/>
      <c r="R261" s="378"/>
      <c r="S261" s="378"/>
      <c r="T261" s="378"/>
      <c r="U261" s="378"/>
      <c r="V261" s="378"/>
      <c r="W261" s="378"/>
      <c r="X261" s="378"/>
      <c r="Y261" s="378"/>
      <c r="Z261" s="378"/>
      <c r="AA261" s="378"/>
      <c r="AB261" s="378"/>
      <c r="AC261" s="378"/>
      <c r="AD261" s="378"/>
      <c r="AE261" s="378"/>
      <c r="AF261" s="378"/>
      <c r="AG261" s="378"/>
      <c r="AH261" s="378"/>
      <c r="AI261" s="510"/>
      <c r="AJ261" s="378"/>
      <c r="AK261" s="440"/>
      <c r="AM261" s="460">
        <v>261</v>
      </c>
      <c r="AN261" s="1078"/>
    </row>
    <row r="262" spans="1:51" ht="11.25" x14ac:dyDescent="0.2">
      <c r="A262" s="440"/>
      <c r="B262" s="440"/>
      <c r="C262" s="440"/>
      <c r="D262" s="440"/>
      <c r="E262" s="440"/>
      <c r="F262" s="440"/>
      <c r="G262" s="440"/>
      <c r="H262" s="440"/>
      <c r="I262" s="440"/>
      <c r="J262" s="440"/>
      <c r="K262" s="440"/>
      <c r="L262" s="440"/>
      <c r="M262" s="440"/>
      <c r="N262" s="440"/>
      <c r="O262" s="440"/>
      <c r="P262" s="440"/>
      <c r="Q262" s="440"/>
      <c r="R262" s="440"/>
      <c r="S262" s="440"/>
      <c r="T262" s="440"/>
      <c r="U262" s="440"/>
      <c r="V262" s="440"/>
      <c r="W262" s="440"/>
      <c r="X262" s="440"/>
      <c r="Y262" s="440"/>
      <c r="Z262" s="440"/>
      <c r="AA262" s="440"/>
      <c r="AB262" s="440"/>
      <c r="AC262" s="440"/>
      <c r="AD262" s="440"/>
      <c r="AE262" s="440"/>
      <c r="AF262" s="440"/>
      <c r="AG262" s="440"/>
      <c r="AH262" s="440"/>
      <c r="AI262" s="440"/>
      <c r="AJ262" s="440"/>
      <c r="AK262" s="440"/>
    </row>
    <row r="263" spans="1:51" ht="11.25" x14ac:dyDescent="0.2">
      <c r="AC263" s="569"/>
      <c r="AD263" s="460"/>
    </row>
    <row r="264" spans="1:51" ht="11.25" x14ac:dyDescent="0.2">
      <c r="Z264" s="568"/>
      <c r="AA264" s="569"/>
      <c r="AB264" s="569"/>
      <c r="AC264" s="569"/>
      <c r="AD264" s="460"/>
    </row>
    <row r="265" spans="1:51" ht="11.25" x14ac:dyDescent="0.2">
      <c r="Z265" s="568"/>
      <c r="AA265" s="569"/>
      <c r="AB265" s="569"/>
      <c r="AC265" s="569"/>
      <c r="AD265" s="460"/>
    </row>
    <row r="266" spans="1:51" ht="11.25" x14ac:dyDescent="0.2">
      <c r="Z266" s="568"/>
      <c r="AA266" s="569"/>
      <c r="AB266" s="569"/>
      <c r="AC266" s="569"/>
      <c r="AD266" s="460"/>
    </row>
    <row r="267" spans="1:51" ht="11.25" x14ac:dyDescent="0.2">
      <c r="Z267" s="568"/>
      <c r="AA267" s="569"/>
      <c r="AB267" s="569"/>
      <c r="AC267" s="569"/>
      <c r="AD267" s="460"/>
    </row>
    <row r="268" spans="1:51" ht="11.25" x14ac:dyDescent="0.2">
      <c r="Z268" s="568"/>
      <c r="AA268" s="569"/>
      <c r="AB268" s="569"/>
      <c r="AC268" s="569"/>
      <c r="AD268" s="460"/>
    </row>
    <row r="269" spans="1:51" ht="11.25" x14ac:dyDescent="0.2">
      <c r="Z269" s="568"/>
      <c r="AA269" s="569"/>
      <c r="AB269" s="569"/>
      <c r="AC269" s="569"/>
      <c r="AD269" s="460"/>
    </row>
    <row r="270" spans="1:51" ht="11.25" x14ac:dyDescent="0.2">
      <c r="AC270" s="569"/>
      <c r="AD270" s="460"/>
    </row>
    <row r="271" spans="1:51" ht="11.25" x14ac:dyDescent="0.2">
      <c r="AC271" s="569"/>
      <c r="AD271" s="460"/>
    </row>
    <row r="272" spans="1:51" ht="11.25" x14ac:dyDescent="0.2">
      <c r="AC272" s="569"/>
      <c r="AD272" s="460"/>
    </row>
    <row r="273" spans="26:30" ht="11.25" x14ac:dyDescent="0.2">
      <c r="AC273" s="569"/>
      <c r="AD273" s="460"/>
    </row>
    <row r="274" spans="26:30" ht="11.25" x14ac:dyDescent="0.2">
      <c r="AC274" s="569"/>
      <c r="AD274" s="460"/>
    </row>
    <row r="275" spans="26:30" ht="11.25" x14ac:dyDescent="0.2">
      <c r="AC275" s="569"/>
      <c r="AD275" s="460"/>
    </row>
    <row r="276" spans="26:30" ht="11.25" x14ac:dyDescent="0.2">
      <c r="AC276" s="569"/>
      <c r="AD276" s="460"/>
    </row>
    <row r="277" spans="26:30" ht="11.25" x14ac:dyDescent="0.2">
      <c r="AC277" s="569"/>
      <c r="AD277" s="460"/>
    </row>
    <row r="278" spans="26:30" ht="11.25" x14ac:dyDescent="0.2">
      <c r="Z278" s="568"/>
      <c r="AA278" s="569"/>
      <c r="AB278" s="569"/>
      <c r="AC278" s="569"/>
      <c r="AD278" s="460"/>
    </row>
    <row r="279" spans="26:30" ht="11.25" x14ac:dyDescent="0.2">
      <c r="Z279" s="568"/>
      <c r="AA279" s="569"/>
      <c r="AB279" s="569"/>
      <c r="AC279" s="569"/>
      <c r="AD279" s="460"/>
    </row>
    <row r="280" spans="26:30" ht="11.25" x14ac:dyDescent="0.2">
      <c r="Z280" s="568"/>
      <c r="AA280" s="569"/>
      <c r="AB280" s="569"/>
      <c r="AC280" s="569"/>
      <c r="AD280" s="460"/>
    </row>
    <row r="281" spans="26:30" ht="11.25" x14ac:dyDescent="0.2">
      <c r="Z281" s="568"/>
      <c r="AA281" s="569"/>
      <c r="AB281" s="569"/>
      <c r="AC281" s="569"/>
      <c r="AD281" s="460"/>
    </row>
    <row r="282" spans="26:30" ht="11.25" x14ac:dyDescent="0.2">
      <c r="Z282" s="568"/>
      <c r="AA282" s="569"/>
      <c r="AB282" s="569"/>
      <c r="AC282" s="569"/>
      <c r="AD282" s="460"/>
    </row>
    <row r="283" spans="26:30" ht="11.25" x14ac:dyDescent="0.2">
      <c r="Z283" s="568"/>
      <c r="AA283" s="569"/>
      <c r="AB283" s="569"/>
      <c r="AC283" s="569"/>
      <c r="AD283" s="460"/>
    </row>
    <row r="284" spans="26:30" ht="11.25" x14ac:dyDescent="0.2">
      <c r="Z284" s="568"/>
      <c r="AA284" s="569"/>
      <c r="AB284" s="569"/>
      <c r="AC284" s="569"/>
      <c r="AD284" s="460"/>
    </row>
    <row r="285" spans="26:30" ht="11.25" x14ac:dyDescent="0.2">
      <c r="Z285" s="568"/>
      <c r="AA285" s="569"/>
      <c r="AB285" s="569"/>
      <c r="AC285" s="569"/>
      <c r="AD285" s="460"/>
    </row>
    <row r="286" spans="26:30" ht="11.25" x14ac:dyDescent="0.2">
      <c r="Z286" s="568"/>
      <c r="AA286" s="569"/>
      <c r="AB286" s="569"/>
      <c r="AC286" s="569"/>
      <c r="AD286" s="460"/>
    </row>
    <row r="287" spans="26:30" ht="11.25" x14ac:dyDescent="0.2">
      <c r="Z287" s="568"/>
      <c r="AA287" s="569"/>
      <c r="AB287" s="569"/>
      <c r="AC287" s="569"/>
      <c r="AD287" s="460"/>
    </row>
    <row r="288" spans="26:30" ht="11.25" x14ac:dyDescent="0.2">
      <c r="Z288" s="568"/>
      <c r="AA288" s="569"/>
      <c r="AB288" s="569"/>
      <c r="AC288" s="569"/>
      <c r="AD288" s="460"/>
    </row>
    <row r="289" spans="26:30" ht="11.25" x14ac:dyDescent="0.2">
      <c r="Z289" s="568"/>
      <c r="AA289" s="569"/>
      <c r="AB289" s="569"/>
      <c r="AC289" s="569"/>
      <c r="AD289" s="460"/>
    </row>
    <row r="290" spans="26:30" ht="11.25" x14ac:dyDescent="0.2">
      <c r="Z290" s="568"/>
      <c r="AA290" s="569"/>
      <c r="AB290" s="569"/>
      <c r="AC290" s="569"/>
      <c r="AD290" s="460"/>
    </row>
    <row r="291" spans="26:30" ht="11.25" x14ac:dyDescent="0.2">
      <c r="Z291" s="568"/>
      <c r="AA291" s="569"/>
      <c r="AB291" s="569"/>
      <c r="AC291" s="569"/>
      <c r="AD291" s="460"/>
    </row>
    <row r="292" spans="26:30" ht="11.25" x14ac:dyDescent="0.2">
      <c r="Z292" s="568"/>
      <c r="AA292" s="569"/>
      <c r="AB292" s="569"/>
      <c r="AC292" s="569"/>
      <c r="AD292" s="460"/>
    </row>
    <row r="293" spans="26:30" ht="11.25" x14ac:dyDescent="0.2">
      <c r="Z293" s="568"/>
      <c r="AA293" s="569"/>
      <c r="AB293" s="569"/>
      <c r="AC293" s="569"/>
      <c r="AD293" s="460"/>
    </row>
    <row r="294" spans="26:30" ht="11.25" x14ac:dyDescent="0.2">
      <c r="Z294" s="568"/>
      <c r="AA294" s="569"/>
      <c r="AB294" s="569"/>
      <c r="AC294" s="569"/>
      <c r="AD294" s="460"/>
    </row>
    <row r="295" spans="26:30" ht="11.25" x14ac:dyDescent="0.2">
      <c r="Z295" s="568"/>
      <c r="AA295" s="569"/>
      <c r="AB295" s="569"/>
      <c r="AC295" s="569"/>
      <c r="AD295" s="460"/>
    </row>
    <row r="296" spans="26:30" ht="11.25" x14ac:dyDescent="0.2">
      <c r="Z296" s="568"/>
      <c r="AA296" s="569"/>
      <c r="AB296" s="569"/>
      <c r="AC296" s="569"/>
      <c r="AD296" s="460"/>
    </row>
    <row r="297" spans="26:30" ht="11.25" x14ac:dyDescent="0.2">
      <c r="Z297" s="568"/>
      <c r="AA297" s="569"/>
      <c r="AB297" s="569"/>
      <c r="AC297" s="569"/>
      <c r="AD297" s="460"/>
    </row>
    <row r="298" spans="26:30" ht="11.25" x14ac:dyDescent="0.2">
      <c r="Z298" s="568"/>
      <c r="AA298" s="569"/>
      <c r="AB298" s="569"/>
      <c r="AC298" s="569"/>
      <c r="AD298" s="460"/>
    </row>
    <row r="299" spans="26:30" ht="11.25" x14ac:dyDescent="0.2">
      <c r="Z299" s="568"/>
      <c r="AA299" s="569"/>
      <c r="AB299" s="569"/>
      <c r="AC299" s="569"/>
      <c r="AD299" s="460"/>
    </row>
    <row r="300" spans="26:30" ht="11.25" x14ac:dyDescent="0.2">
      <c r="Z300" s="568"/>
      <c r="AA300" s="569"/>
      <c r="AB300" s="569"/>
      <c r="AC300" s="569"/>
      <c r="AD300" s="460"/>
    </row>
    <row r="301" spans="26:30" ht="11.25" x14ac:dyDescent="0.2">
      <c r="Z301" s="568"/>
      <c r="AA301" s="569"/>
      <c r="AB301" s="569"/>
      <c r="AC301" s="569"/>
      <c r="AD301" s="460"/>
    </row>
    <row r="302" spans="26:30" ht="11.25" x14ac:dyDescent="0.2">
      <c r="Z302" s="568"/>
      <c r="AA302" s="569"/>
      <c r="AB302" s="569"/>
      <c r="AC302" s="569"/>
      <c r="AD302" s="460"/>
    </row>
    <row r="303" spans="26:30" ht="11.25" x14ac:dyDescent="0.2">
      <c r="Z303" s="568"/>
      <c r="AA303" s="569"/>
      <c r="AB303" s="569"/>
      <c r="AC303" s="569"/>
      <c r="AD303" s="460"/>
    </row>
    <row r="304" spans="26:30" ht="11.25" x14ac:dyDescent="0.2">
      <c r="Z304" s="568"/>
      <c r="AA304" s="569"/>
      <c r="AB304" s="569"/>
      <c r="AC304" s="569"/>
      <c r="AD304" s="460"/>
    </row>
    <row r="305" spans="26:30" ht="11.25" x14ac:dyDescent="0.2">
      <c r="Z305" s="568"/>
      <c r="AA305" s="569"/>
      <c r="AB305" s="569"/>
      <c r="AC305" s="569"/>
      <c r="AD305" s="460"/>
    </row>
    <row r="306" spans="26:30" ht="11.25" x14ac:dyDescent="0.2">
      <c r="Z306" s="568"/>
      <c r="AA306" s="569"/>
      <c r="AB306" s="569"/>
      <c r="AC306" s="569"/>
      <c r="AD306" s="460"/>
    </row>
    <row r="307" spans="26:30" ht="11.25" x14ac:dyDescent="0.2">
      <c r="Z307" s="568"/>
      <c r="AA307" s="569"/>
      <c r="AB307" s="569"/>
      <c r="AC307" s="569"/>
      <c r="AD307" s="460"/>
    </row>
    <row r="308" spans="26:30" ht="11.25" x14ac:dyDescent="0.2">
      <c r="Z308" s="568"/>
      <c r="AA308" s="569"/>
      <c r="AB308" s="569"/>
      <c r="AC308" s="569"/>
      <c r="AD308" s="460"/>
    </row>
    <row r="309" spans="26:30" ht="11.25" x14ac:dyDescent="0.2">
      <c r="Z309" s="568"/>
      <c r="AA309" s="569"/>
      <c r="AB309" s="569"/>
      <c r="AC309" s="569"/>
      <c r="AD309" s="460"/>
    </row>
    <row r="310" spans="26:30" ht="11.25" x14ac:dyDescent="0.2">
      <c r="Z310" s="568"/>
      <c r="AA310" s="569"/>
      <c r="AB310" s="569"/>
      <c r="AC310" s="569"/>
      <c r="AD310" s="460"/>
    </row>
    <row r="311" spans="26:30" ht="11.25" x14ac:dyDescent="0.2">
      <c r="Z311" s="568"/>
      <c r="AA311" s="569"/>
      <c r="AB311" s="569"/>
      <c r="AC311" s="569"/>
      <c r="AD311" s="460"/>
    </row>
    <row r="312" spans="26:30" ht="11.25" x14ac:dyDescent="0.2">
      <c r="Z312" s="568"/>
      <c r="AA312" s="569"/>
      <c r="AB312" s="569"/>
      <c r="AC312" s="569"/>
      <c r="AD312" s="460"/>
    </row>
    <row r="313" spans="26:30" ht="11.25" x14ac:dyDescent="0.2">
      <c r="Z313" s="568"/>
      <c r="AA313" s="569"/>
      <c r="AB313" s="569"/>
      <c r="AC313" s="569"/>
      <c r="AD313" s="460"/>
    </row>
    <row r="314" spans="26:30" ht="11.25" x14ac:dyDescent="0.2">
      <c r="Z314" s="568"/>
      <c r="AA314" s="569"/>
      <c r="AB314" s="569"/>
      <c r="AC314" s="569"/>
      <c r="AD314" s="460"/>
    </row>
    <row r="315" spans="26:30" ht="11.25" x14ac:dyDescent="0.2">
      <c r="Z315" s="568"/>
      <c r="AA315" s="569"/>
      <c r="AB315" s="569"/>
      <c r="AC315" s="569"/>
      <c r="AD315" s="460"/>
    </row>
    <row r="316" spans="26:30" ht="11.25" x14ac:dyDescent="0.2">
      <c r="Z316" s="568"/>
      <c r="AA316" s="569"/>
      <c r="AB316" s="569"/>
      <c r="AC316" s="569"/>
      <c r="AD316" s="460"/>
    </row>
    <row r="317" spans="26:30" ht="11.25" x14ac:dyDescent="0.2">
      <c r="Z317" s="568"/>
      <c r="AA317" s="569"/>
      <c r="AB317" s="569"/>
      <c r="AC317" s="569"/>
      <c r="AD317" s="460"/>
    </row>
    <row r="318" spans="26:30" ht="11.25" x14ac:dyDescent="0.2">
      <c r="Z318" s="568"/>
      <c r="AA318" s="569"/>
      <c r="AB318" s="569"/>
      <c r="AC318" s="569"/>
      <c r="AD318" s="460"/>
    </row>
    <row r="319" spans="26:30" ht="11.25" x14ac:dyDescent="0.2">
      <c r="Z319" s="568"/>
      <c r="AA319" s="569"/>
      <c r="AB319" s="569"/>
      <c r="AC319" s="569"/>
      <c r="AD319" s="460"/>
    </row>
    <row r="320" spans="26:30" ht="11.25" x14ac:dyDescent="0.2">
      <c r="Z320" s="568"/>
      <c r="AA320" s="569"/>
      <c r="AB320" s="569"/>
      <c r="AC320" s="569"/>
      <c r="AD320" s="460"/>
    </row>
    <row r="321" spans="26:30" ht="11.25" x14ac:dyDescent="0.2">
      <c r="Z321" s="568"/>
      <c r="AA321" s="569"/>
      <c r="AB321" s="569"/>
      <c r="AC321" s="569"/>
      <c r="AD321" s="460"/>
    </row>
    <row r="322" spans="26:30" ht="11.25" x14ac:dyDescent="0.2">
      <c r="Z322" s="568"/>
      <c r="AA322" s="569"/>
      <c r="AB322" s="569"/>
      <c r="AC322" s="569"/>
      <c r="AD322" s="460"/>
    </row>
    <row r="323" spans="26:30" ht="11.25" x14ac:dyDescent="0.2">
      <c r="Z323" s="568"/>
      <c r="AA323" s="569"/>
      <c r="AB323" s="569"/>
      <c r="AC323" s="569"/>
      <c r="AD323" s="460"/>
    </row>
    <row r="324" spans="26:30" ht="11.25" x14ac:dyDescent="0.2">
      <c r="Z324" s="568"/>
      <c r="AA324" s="569"/>
      <c r="AB324" s="569"/>
      <c r="AC324" s="569"/>
      <c r="AD324" s="460"/>
    </row>
    <row r="325" spans="26:30" ht="11.25" x14ac:dyDescent="0.2">
      <c r="Z325" s="568"/>
      <c r="AA325" s="569"/>
      <c r="AB325" s="569"/>
      <c r="AC325" s="569"/>
      <c r="AD325" s="460"/>
    </row>
    <row r="326" spans="26:30" ht="11.25" x14ac:dyDescent="0.2">
      <c r="Z326" s="568"/>
      <c r="AA326" s="569"/>
      <c r="AB326" s="569"/>
      <c r="AC326" s="569"/>
      <c r="AD326" s="460"/>
    </row>
    <row r="327" spans="26:30" ht="11.25" x14ac:dyDescent="0.2">
      <c r="Z327" s="568"/>
      <c r="AA327" s="569"/>
      <c r="AB327" s="569"/>
      <c r="AC327" s="569"/>
      <c r="AD327" s="460"/>
    </row>
    <row r="328" spans="26:30" ht="11.25" x14ac:dyDescent="0.2">
      <c r="Z328" s="568"/>
      <c r="AA328" s="569"/>
      <c r="AB328" s="569"/>
      <c r="AC328" s="569"/>
      <c r="AD328" s="460"/>
    </row>
    <row r="329" spans="26:30" ht="11.25" x14ac:dyDescent="0.2">
      <c r="Z329" s="568"/>
      <c r="AA329" s="569"/>
      <c r="AB329" s="569"/>
      <c r="AC329" s="569"/>
      <c r="AD329" s="460"/>
    </row>
    <row r="330" spans="26:30" ht="11.25" x14ac:dyDescent="0.2">
      <c r="Z330" s="568"/>
      <c r="AA330" s="569"/>
      <c r="AB330" s="569"/>
      <c r="AC330" s="569"/>
      <c r="AD330" s="460"/>
    </row>
    <row r="331" spans="26:30" ht="11.25" x14ac:dyDescent="0.2">
      <c r="Z331" s="568"/>
      <c r="AA331" s="569"/>
      <c r="AB331" s="569"/>
      <c r="AC331" s="569"/>
      <c r="AD331" s="460"/>
    </row>
    <row r="332" spans="26:30" ht="11.25" x14ac:dyDescent="0.2">
      <c r="Z332" s="568"/>
      <c r="AA332" s="569"/>
      <c r="AB332" s="569"/>
      <c r="AC332" s="569"/>
      <c r="AD332" s="460"/>
    </row>
    <row r="333" spans="26:30" ht="11.25" x14ac:dyDescent="0.2">
      <c r="Z333" s="568"/>
      <c r="AA333" s="569"/>
      <c r="AB333" s="569"/>
      <c r="AC333" s="569"/>
      <c r="AD333" s="460"/>
    </row>
    <row r="334" spans="26:30" ht="11.25" x14ac:dyDescent="0.2">
      <c r="Z334" s="568"/>
      <c r="AA334" s="569"/>
      <c r="AB334" s="569"/>
      <c r="AC334" s="569"/>
      <c r="AD334" s="460"/>
    </row>
    <row r="335" spans="26:30" ht="11.25" x14ac:dyDescent="0.2">
      <c r="Z335" s="568"/>
      <c r="AA335" s="569"/>
      <c r="AB335" s="569"/>
      <c r="AC335" s="569"/>
      <c r="AD335" s="460"/>
    </row>
    <row r="336" spans="26:30" ht="11.25" x14ac:dyDescent="0.2">
      <c r="Z336" s="568"/>
      <c r="AA336" s="569"/>
      <c r="AB336" s="569"/>
      <c r="AC336" s="569"/>
      <c r="AD336" s="460"/>
    </row>
    <row r="337" spans="26:30" ht="11.25" x14ac:dyDescent="0.2">
      <c r="Z337" s="568"/>
      <c r="AA337" s="569"/>
      <c r="AB337" s="569"/>
      <c r="AC337" s="569"/>
      <c r="AD337" s="460"/>
    </row>
    <row r="338" spans="26:30" ht="11.25" x14ac:dyDescent="0.2">
      <c r="Z338" s="568"/>
      <c r="AA338" s="569"/>
      <c r="AB338" s="569"/>
      <c r="AC338" s="569"/>
      <c r="AD338" s="460"/>
    </row>
    <row r="339" spans="26:30" ht="11.25" x14ac:dyDescent="0.2">
      <c r="Z339" s="568"/>
      <c r="AA339" s="569"/>
      <c r="AB339" s="569"/>
      <c r="AC339" s="569"/>
      <c r="AD339" s="460"/>
    </row>
    <row r="340" spans="26:30" ht="11.25" x14ac:dyDescent="0.2">
      <c r="Z340" s="568"/>
      <c r="AA340" s="569"/>
      <c r="AB340" s="569"/>
      <c r="AC340" s="569"/>
      <c r="AD340" s="460"/>
    </row>
    <row r="341" spans="26:30" ht="11.25" x14ac:dyDescent="0.2">
      <c r="Z341" s="568"/>
      <c r="AA341" s="569"/>
      <c r="AB341" s="569"/>
      <c r="AC341" s="569"/>
      <c r="AD341" s="460"/>
    </row>
    <row r="342" spans="26:30" ht="11.25" x14ac:dyDescent="0.2">
      <c r="Z342" s="568"/>
      <c r="AA342" s="569"/>
      <c r="AB342" s="569"/>
      <c r="AC342" s="569"/>
      <c r="AD342" s="460"/>
    </row>
    <row r="343" spans="26:30" ht="11.25" x14ac:dyDescent="0.2">
      <c r="Z343" s="568"/>
      <c r="AA343" s="569"/>
      <c r="AB343" s="569"/>
      <c r="AC343" s="569"/>
      <c r="AD343" s="460"/>
    </row>
    <row r="344" spans="26:30" ht="11.25" x14ac:dyDescent="0.2">
      <c r="Z344" s="568"/>
      <c r="AA344" s="569"/>
      <c r="AB344" s="569"/>
      <c r="AC344" s="569"/>
      <c r="AD344" s="460"/>
    </row>
    <row r="345" spans="26:30" ht="11.25" x14ac:dyDescent="0.2">
      <c r="Z345" s="568"/>
      <c r="AA345" s="569"/>
      <c r="AB345" s="569"/>
      <c r="AC345" s="569"/>
      <c r="AD345" s="460"/>
    </row>
    <row r="346" spans="26:30" ht="11.25" x14ac:dyDescent="0.2">
      <c r="Z346" s="568"/>
      <c r="AA346" s="569"/>
      <c r="AB346" s="569"/>
      <c r="AC346" s="569"/>
      <c r="AD346" s="460"/>
    </row>
    <row r="347" spans="26:30" ht="11.25" x14ac:dyDescent="0.2">
      <c r="Z347" s="568"/>
      <c r="AA347" s="569"/>
      <c r="AB347" s="569"/>
      <c r="AC347" s="569"/>
      <c r="AD347" s="460"/>
    </row>
    <row r="348" spans="26:30" ht="11.25" x14ac:dyDescent="0.2">
      <c r="Z348" s="568"/>
      <c r="AA348" s="569"/>
      <c r="AB348" s="569"/>
      <c r="AC348" s="569"/>
      <c r="AD348" s="460"/>
    </row>
    <row r="349" spans="26:30" ht="11.25" x14ac:dyDescent="0.2">
      <c r="Z349" s="568"/>
      <c r="AA349" s="569"/>
      <c r="AB349" s="569"/>
      <c r="AC349" s="569"/>
      <c r="AD349" s="460"/>
    </row>
    <row r="350" spans="26:30" ht="11.25" x14ac:dyDescent="0.2">
      <c r="Z350" s="568"/>
      <c r="AA350" s="569"/>
      <c r="AB350" s="569"/>
      <c r="AC350" s="569"/>
      <c r="AD350" s="460"/>
    </row>
    <row r="351" spans="26:30" ht="11.25" x14ac:dyDescent="0.2">
      <c r="Z351" s="568"/>
      <c r="AA351" s="569"/>
      <c r="AB351" s="569"/>
      <c r="AC351" s="569"/>
      <c r="AD351" s="460"/>
    </row>
    <row r="352" spans="26:30" ht="11.25" x14ac:dyDescent="0.2">
      <c r="Z352" s="568"/>
      <c r="AA352" s="569"/>
      <c r="AB352" s="569"/>
      <c r="AC352" s="569"/>
      <c r="AD352" s="460"/>
    </row>
    <row r="353" spans="26:30" ht="11.25" x14ac:dyDescent="0.2">
      <c r="Z353" s="568"/>
      <c r="AA353" s="569"/>
      <c r="AB353" s="569"/>
      <c r="AC353" s="569"/>
      <c r="AD353" s="460"/>
    </row>
    <row r="354" spans="26:30" ht="11.25" x14ac:dyDescent="0.2">
      <c r="Z354" s="568"/>
      <c r="AA354" s="569"/>
      <c r="AB354" s="569"/>
      <c r="AC354" s="569"/>
      <c r="AD354" s="460"/>
    </row>
    <row r="355" spans="26:30" ht="11.25" x14ac:dyDescent="0.2">
      <c r="Z355" s="568"/>
      <c r="AA355" s="569"/>
      <c r="AB355" s="569"/>
      <c r="AC355" s="569"/>
      <c r="AD355" s="460"/>
    </row>
    <row r="356" spans="26:30" ht="11.25" x14ac:dyDescent="0.2">
      <c r="Z356" s="568"/>
      <c r="AA356" s="569"/>
      <c r="AB356" s="569"/>
      <c r="AC356" s="569"/>
      <c r="AD356" s="460"/>
    </row>
    <row r="357" spans="26:30" ht="11.25" x14ac:dyDescent="0.2">
      <c r="Z357" s="568"/>
      <c r="AA357" s="569"/>
      <c r="AB357" s="569"/>
      <c r="AC357" s="569"/>
      <c r="AD357" s="460"/>
    </row>
    <row r="358" spans="26:30" ht="11.25" x14ac:dyDescent="0.2">
      <c r="Z358" s="568"/>
      <c r="AA358" s="569"/>
      <c r="AB358" s="569"/>
      <c r="AC358" s="569"/>
      <c r="AD358" s="460"/>
    </row>
    <row r="359" spans="26:30" ht="11.25" x14ac:dyDescent="0.2">
      <c r="Z359" s="568"/>
      <c r="AA359" s="569"/>
      <c r="AB359" s="569"/>
      <c r="AC359" s="569"/>
      <c r="AD359" s="460"/>
    </row>
    <row r="360" spans="26:30" ht="11.25" x14ac:dyDescent="0.2">
      <c r="Z360" s="568"/>
      <c r="AA360" s="569"/>
      <c r="AB360" s="569"/>
      <c r="AC360" s="569"/>
      <c r="AD360" s="460"/>
    </row>
    <row r="361" spans="26:30" ht="11.25" x14ac:dyDescent="0.2">
      <c r="Z361" s="568"/>
      <c r="AA361" s="569"/>
      <c r="AB361" s="569"/>
      <c r="AC361" s="569"/>
      <c r="AD361" s="460"/>
    </row>
    <row r="362" spans="26:30" ht="11.25" x14ac:dyDescent="0.2">
      <c r="Z362" s="568"/>
      <c r="AA362" s="569"/>
      <c r="AB362" s="569"/>
      <c r="AC362" s="569"/>
      <c r="AD362" s="460"/>
    </row>
    <row r="363" spans="26:30" ht="11.25" x14ac:dyDescent="0.2">
      <c r="Z363" s="568"/>
      <c r="AA363" s="569"/>
      <c r="AB363" s="569"/>
      <c r="AC363" s="569"/>
      <c r="AD363" s="460"/>
    </row>
    <row r="364" spans="26:30" ht="11.25" x14ac:dyDescent="0.2">
      <c r="Z364" s="568"/>
      <c r="AA364" s="569"/>
      <c r="AB364" s="569"/>
      <c r="AC364" s="569"/>
      <c r="AD364" s="460"/>
    </row>
    <row r="365" spans="26:30" ht="11.25" x14ac:dyDescent="0.2">
      <c r="Z365" s="568"/>
      <c r="AA365" s="569"/>
      <c r="AB365" s="569"/>
      <c r="AC365" s="569"/>
      <c r="AD365" s="460"/>
    </row>
    <row r="366" spans="26:30" ht="11.25" x14ac:dyDescent="0.2">
      <c r="Z366" s="568"/>
      <c r="AA366" s="569"/>
      <c r="AB366" s="569"/>
      <c r="AC366" s="569"/>
      <c r="AD366" s="460"/>
    </row>
    <row r="367" spans="26:30" ht="11.25" x14ac:dyDescent="0.2">
      <c r="Z367" s="568"/>
      <c r="AA367" s="569"/>
      <c r="AB367" s="569"/>
      <c r="AC367" s="569"/>
      <c r="AD367" s="460"/>
    </row>
    <row r="368" spans="26:30" ht="11.25" x14ac:dyDescent="0.2">
      <c r="Z368" s="568"/>
      <c r="AA368" s="569"/>
      <c r="AB368" s="569"/>
      <c r="AC368" s="569"/>
      <c r="AD368" s="460"/>
    </row>
    <row r="369" spans="26:30" ht="11.25" x14ac:dyDescent="0.2">
      <c r="Z369" s="568"/>
      <c r="AA369" s="569"/>
      <c r="AB369" s="569"/>
      <c r="AC369" s="569"/>
      <c r="AD369" s="460"/>
    </row>
    <row r="370" spans="26:30" ht="11.25" x14ac:dyDescent="0.2">
      <c r="Z370" s="568"/>
      <c r="AA370" s="569"/>
      <c r="AB370" s="569"/>
      <c r="AC370" s="569"/>
      <c r="AD370" s="460"/>
    </row>
    <row r="371" spans="26:30" ht="11.25" x14ac:dyDescent="0.2">
      <c r="Z371" s="568"/>
      <c r="AA371" s="569"/>
      <c r="AB371" s="569"/>
      <c r="AC371" s="569"/>
      <c r="AD371" s="460"/>
    </row>
    <row r="372" spans="26:30" ht="11.25" x14ac:dyDescent="0.2">
      <c r="Z372" s="568"/>
      <c r="AA372" s="569"/>
      <c r="AB372" s="569"/>
      <c r="AC372" s="569"/>
      <c r="AD372" s="460"/>
    </row>
    <row r="373" spans="26:30" ht="11.25" x14ac:dyDescent="0.2">
      <c r="Z373" s="568"/>
      <c r="AA373" s="569"/>
      <c r="AB373" s="569"/>
      <c r="AC373" s="569"/>
      <c r="AD373" s="460"/>
    </row>
    <row r="374" spans="26:30" ht="11.25" x14ac:dyDescent="0.2">
      <c r="Z374" s="568"/>
      <c r="AA374" s="569"/>
      <c r="AB374" s="569"/>
      <c r="AC374" s="569"/>
      <c r="AD374" s="460"/>
    </row>
    <row r="375" spans="26:30" ht="11.25" x14ac:dyDescent="0.2">
      <c r="Z375" s="568"/>
      <c r="AA375" s="569"/>
      <c r="AB375" s="569"/>
      <c r="AC375" s="569"/>
      <c r="AD375" s="460"/>
    </row>
    <row r="376" spans="26:30" ht="11.25" x14ac:dyDescent="0.2">
      <c r="Z376" s="568"/>
      <c r="AA376" s="569"/>
      <c r="AB376" s="569"/>
      <c r="AC376" s="569"/>
      <c r="AD376" s="460"/>
    </row>
    <row r="377" spans="26:30" ht="11.25" x14ac:dyDescent="0.2">
      <c r="AD377" s="460"/>
    </row>
    <row r="378" spans="26:30" ht="11.25" x14ac:dyDescent="0.2">
      <c r="AD378" s="460"/>
    </row>
    <row r="379" spans="26:30" ht="11.25" x14ac:dyDescent="0.2">
      <c r="AD379" s="460"/>
    </row>
    <row r="380" spans="26:30" ht="11.25" x14ac:dyDescent="0.2">
      <c r="AD380" s="460"/>
    </row>
    <row r="381" spans="26:30" ht="11.25" x14ac:dyDescent="0.2">
      <c r="AD381" s="460"/>
    </row>
    <row r="382" spans="26:30" ht="11.25" x14ac:dyDescent="0.2">
      <c r="AD382" s="460"/>
    </row>
    <row r="383" spans="26:30" ht="11.25" x14ac:dyDescent="0.2">
      <c r="AD383" s="460"/>
    </row>
    <row r="384" spans="26:30" ht="11.25" x14ac:dyDescent="0.2">
      <c r="AD384" s="460"/>
    </row>
    <row r="385" spans="30:30" ht="11.25" x14ac:dyDescent="0.2">
      <c r="AD385" s="460"/>
    </row>
    <row r="386" spans="30:30" ht="11.25" x14ac:dyDescent="0.2">
      <c r="AD386" s="460"/>
    </row>
    <row r="387" spans="30:30" ht="11.25" x14ac:dyDescent="0.2">
      <c r="AD387" s="460"/>
    </row>
    <row r="388" spans="30:30" ht="11.25" x14ac:dyDescent="0.2">
      <c r="AD388" s="460"/>
    </row>
    <row r="389" spans="30:30" ht="11.25" x14ac:dyDescent="0.2">
      <c r="AD389" s="460"/>
    </row>
    <row r="390" spans="30:30" ht="11.25" x14ac:dyDescent="0.2">
      <c r="AD390" s="460"/>
    </row>
    <row r="391" spans="30:30" ht="11.25" x14ac:dyDescent="0.2">
      <c r="AD391" s="460"/>
    </row>
    <row r="392" spans="30:30" ht="11.25" x14ac:dyDescent="0.2">
      <c r="AD392" s="460"/>
    </row>
    <row r="393" spans="30:30" ht="11.25" x14ac:dyDescent="0.2">
      <c r="AD393" s="460"/>
    </row>
    <row r="394" spans="30:30" ht="11.25" x14ac:dyDescent="0.2">
      <c r="AD394" s="460"/>
    </row>
    <row r="395" spans="30:30" ht="11.25" x14ac:dyDescent="0.2">
      <c r="AD395" s="460"/>
    </row>
    <row r="396" spans="30:30" ht="11.25" x14ac:dyDescent="0.2">
      <c r="AD396" s="460"/>
    </row>
    <row r="397" spans="30:30" ht="11.25" x14ac:dyDescent="0.2">
      <c r="AD397" s="460"/>
    </row>
    <row r="398" spans="30:30" ht="11.25" x14ac:dyDescent="0.2">
      <c r="AD398" s="460"/>
    </row>
    <row r="399" spans="30:30" ht="11.25" x14ac:dyDescent="0.2">
      <c r="AD399" s="460"/>
    </row>
    <row r="400" spans="30:30" ht="11.25" x14ac:dyDescent="0.2">
      <c r="AD400" s="460"/>
    </row>
    <row r="401" spans="30:30" ht="11.25" x14ac:dyDescent="0.2">
      <c r="AD401" s="460"/>
    </row>
    <row r="402" spans="30:30" ht="11.25" x14ac:dyDescent="0.2">
      <c r="AD402" s="460"/>
    </row>
    <row r="403" spans="30:30" ht="11.25" x14ac:dyDescent="0.2">
      <c r="AD403" s="460"/>
    </row>
    <row r="404" spans="30:30" ht="11.25" x14ac:dyDescent="0.2">
      <c r="AD404" s="460"/>
    </row>
    <row r="405" spans="30:30" ht="11.25" x14ac:dyDescent="0.2">
      <c r="AD405" s="460"/>
    </row>
    <row r="406" spans="30:30" ht="11.25" x14ac:dyDescent="0.2">
      <c r="AD406" s="460"/>
    </row>
    <row r="407" spans="30:30" ht="11.25" x14ac:dyDescent="0.2">
      <c r="AD407" s="460"/>
    </row>
    <row r="408" spans="30:30" ht="11.25" x14ac:dyDescent="0.2">
      <c r="AD408" s="460"/>
    </row>
    <row r="409" spans="30:30" ht="11.25" x14ac:dyDescent="0.2">
      <c r="AD409" s="460"/>
    </row>
    <row r="410" spans="30:30" ht="11.25" x14ac:dyDescent="0.2">
      <c r="AD410" s="460"/>
    </row>
    <row r="411" spans="30:30" ht="11.25" x14ac:dyDescent="0.2">
      <c r="AD411" s="460"/>
    </row>
    <row r="412" spans="30:30" ht="11.25" x14ac:dyDescent="0.2">
      <c r="AD412" s="460"/>
    </row>
    <row r="413" spans="30:30" ht="11.25" x14ac:dyDescent="0.2">
      <c r="AD413" s="460"/>
    </row>
    <row r="414" spans="30:30" ht="11.25" x14ac:dyDescent="0.2">
      <c r="AD414" s="460"/>
    </row>
    <row r="415" spans="30:30" ht="11.25" x14ac:dyDescent="0.2">
      <c r="AD415" s="460"/>
    </row>
    <row r="416" spans="30:30" ht="11.25" x14ac:dyDescent="0.2">
      <c r="AD416" s="460"/>
    </row>
    <row r="417" spans="30:30" ht="11.25" x14ac:dyDescent="0.2">
      <c r="AD417" s="460"/>
    </row>
    <row r="418" spans="30:30" ht="11.25" x14ac:dyDescent="0.2">
      <c r="AD418" s="460"/>
    </row>
    <row r="419" spans="30:30" ht="11.25" x14ac:dyDescent="0.2">
      <c r="AD419" s="460"/>
    </row>
    <row r="420" spans="30:30" ht="11.25" x14ac:dyDescent="0.2">
      <c r="AD420" s="460"/>
    </row>
    <row r="421" spans="30:30" ht="11.25" x14ac:dyDescent="0.2">
      <c r="AD421" s="460"/>
    </row>
    <row r="422" spans="30:30" ht="11.25" x14ac:dyDescent="0.2">
      <c r="AD422" s="460"/>
    </row>
    <row r="423" spans="30:30" ht="11.25" x14ac:dyDescent="0.2">
      <c r="AD423" s="460"/>
    </row>
    <row r="424" spans="30:30" ht="11.25" x14ac:dyDescent="0.2">
      <c r="AD424" s="460"/>
    </row>
    <row r="425" spans="30:30" ht="11.25" x14ac:dyDescent="0.2">
      <c r="AD425" s="460"/>
    </row>
    <row r="426" spans="30:30" ht="11.25" x14ac:dyDescent="0.2">
      <c r="AD426" s="460"/>
    </row>
    <row r="427" spans="30:30" ht="11.25" x14ac:dyDescent="0.2">
      <c r="AD427" s="460"/>
    </row>
    <row r="428" spans="30:30" ht="11.25" x14ac:dyDescent="0.2">
      <c r="AD428" s="460"/>
    </row>
    <row r="429" spans="30:30" ht="11.25" x14ac:dyDescent="0.2">
      <c r="AD429" s="460"/>
    </row>
    <row r="430" spans="30:30" ht="11.25" x14ac:dyDescent="0.2">
      <c r="AD430" s="460"/>
    </row>
    <row r="431" spans="30:30" ht="11.25" x14ac:dyDescent="0.2">
      <c r="AD431" s="460"/>
    </row>
    <row r="432" spans="30:30" ht="11.25" x14ac:dyDescent="0.2">
      <c r="AD432" s="460"/>
    </row>
    <row r="433" spans="30:30" ht="11.25" x14ac:dyDescent="0.2">
      <c r="AD433" s="460"/>
    </row>
    <row r="434" spans="30:30" ht="11.25" x14ac:dyDescent="0.2">
      <c r="AD434" s="460"/>
    </row>
    <row r="435" spans="30:30" ht="11.25" x14ac:dyDescent="0.2">
      <c r="AD435" s="460"/>
    </row>
    <row r="436" spans="30:30" ht="11.25" x14ac:dyDescent="0.2">
      <c r="AD436" s="460"/>
    </row>
    <row r="437" spans="30:30" ht="11.25" x14ac:dyDescent="0.2">
      <c r="AD437" s="460"/>
    </row>
    <row r="438" spans="30:30" ht="11.25" x14ac:dyDescent="0.2">
      <c r="AD438" s="460"/>
    </row>
    <row r="439" spans="30:30" ht="11.25" x14ac:dyDescent="0.2">
      <c r="AD439" s="460"/>
    </row>
    <row r="440" spans="30:30" ht="11.25" x14ac:dyDescent="0.2">
      <c r="AD440" s="460"/>
    </row>
    <row r="441" spans="30:30" ht="11.25" x14ac:dyDescent="0.2">
      <c r="AD441" s="460"/>
    </row>
    <row r="442" spans="30:30" ht="11.25" x14ac:dyDescent="0.2">
      <c r="AD442" s="460"/>
    </row>
    <row r="443" spans="30:30" ht="11.25" x14ac:dyDescent="0.2">
      <c r="AD443" s="460"/>
    </row>
    <row r="444" spans="30:30" ht="11.25" x14ac:dyDescent="0.2">
      <c r="AD444" s="460"/>
    </row>
    <row r="445" spans="30:30" ht="11.25" x14ac:dyDescent="0.2">
      <c r="AD445" s="460"/>
    </row>
    <row r="446" spans="30:30" ht="11.25" x14ac:dyDescent="0.2">
      <c r="AD446" s="460"/>
    </row>
    <row r="447" spans="30:30" ht="11.25" x14ac:dyDescent="0.2">
      <c r="AD447" s="460"/>
    </row>
    <row r="448" spans="30:30" ht="11.25" x14ac:dyDescent="0.2">
      <c r="AD448" s="460"/>
    </row>
    <row r="449" spans="30:30" ht="11.25" x14ac:dyDescent="0.2">
      <c r="AD449" s="460"/>
    </row>
    <row r="450" spans="30:30" ht="11.25" x14ac:dyDescent="0.2">
      <c r="AD450" s="460"/>
    </row>
    <row r="451" spans="30:30" ht="11.25" x14ac:dyDescent="0.2">
      <c r="AD451" s="460"/>
    </row>
    <row r="452" spans="30:30" ht="11.25" x14ac:dyDescent="0.2">
      <c r="AD452" s="460"/>
    </row>
    <row r="453" spans="30:30" ht="11.25" x14ac:dyDescent="0.2">
      <c r="AD453" s="460"/>
    </row>
    <row r="454" spans="30:30" ht="11.25" x14ac:dyDescent="0.2">
      <c r="AD454" s="460"/>
    </row>
    <row r="455" spans="30:30" ht="11.25" x14ac:dyDescent="0.2">
      <c r="AD455" s="460"/>
    </row>
    <row r="456" spans="30:30" ht="11.25" x14ac:dyDescent="0.2">
      <c r="AD456" s="460"/>
    </row>
    <row r="457" spans="30:30" ht="11.25" x14ac:dyDescent="0.2">
      <c r="AD457" s="460"/>
    </row>
    <row r="458" spans="30:30" ht="11.25" x14ac:dyDescent="0.2">
      <c r="AD458" s="460"/>
    </row>
    <row r="459" spans="30:30" ht="11.25" x14ac:dyDescent="0.2">
      <c r="AD459" s="460"/>
    </row>
    <row r="460" spans="30:30" ht="11.25" x14ac:dyDescent="0.2">
      <c r="AD460" s="460"/>
    </row>
    <row r="461" spans="30:30" ht="11.25" x14ac:dyDescent="0.2">
      <c r="AD461" s="460"/>
    </row>
    <row r="462" spans="30:30" ht="11.25" x14ac:dyDescent="0.2">
      <c r="AD462" s="460"/>
    </row>
    <row r="463" spans="30:30" ht="11.25" x14ac:dyDescent="0.2">
      <c r="AD463" s="460"/>
    </row>
    <row r="464" spans="30:30" ht="11.25" x14ac:dyDescent="0.2">
      <c r="AD464" s="460"/>
    </row>
    <row r="465" spans="30:30" ht="11.25" x14ac:dyDescent="0.2">
      <c r="AD465" s="460"/>
    </row>
    <row r="466" spans="30:30" ht="11.25" x14ac:dyDescent="0.2">
      <c r="AD466" s="460"/>
    </row>
    <row r="467" spans="30:30" ht="11.25" x14ac:dyDescent="0.2">
      <c r="AD467" s="460"/>
    </row>
    <row r="468" spans="30:30" ht="11.25" x14ac:dyDescent="0.2">
      <c r="AD468" s="460"/>
    </row>
    <row r="469" spans="30:30" ht="11.25" x14ac:dyDescent="0.2">
      <c r="AD469" s="460"/>
    </row>
    <row r="470" spans="30:30" ht="11.25" x14ac:dyDescent="0.2">
      <c r="AD470" s="460"/>
    </row>
    <row r="471" spans="30:30" ht="11.25" x14ac:dyDescent="0.2">
      <c r="AD471" s="460"/>
    </row>
    <row r="472" spans="30:30" ht="11.25" x14ac:dyDescent="0.2">
      <c r="AD472" s="460"/>
    </row>
    <row r="473" spans="30:30" ht="11.25" x14ac:dyDescent="0.2">
      <c r="AD473" s="460"/>
    </row>
    <row r="474" spans="30:30" ht="11.25" x14ac:dyDescent="0.2">
      <c r="AD474" s="460"/>
    </row>
    <row r="475" spans="30:30" ht="11.25" x14ac:dyDescent="0.2">
      <c r="AD475" s="460"/>
    </row>
    <row r="476" spans="30:30" ht="11.25" x14ac:dyDescent="0.2">
      <c r="AD476" s="460"/>
    </row>
    <row r="477" spans="30:30" ht="11.25" x14ac:dyDescent="0.2">
      <c r="AD477" s="460"/>
    </row>
    <row r="478" spans="30:30" ht="11.25" x14ac:dyDescent="0.2">
      <c r="AD478" s="460"/>
    </row>
    <row r="479" spans="30:30" ht="11.25" x14ac:dyDescent="0.2">
      <c r="AD479" s="460"/>
    </row>
    <row r="480" spans="30:30" ht="11.25" x14ac:dyDescent="0.2">
      <c r="AD480" s="460"/>
    </row>
    <row r="481" spans="30:30" ht="11.25" x14ac:dyDescent="0.2">
      <c r="AD481" s="460"/>
    </row>
    <row r="482" spans="30:30" ht="11.25" x14ac:dyDescent="0.2">
      <c r="AD482" s="460"/>
    </row>
    <row r="483" spans="30:30" ht="11.25" x14ac:dyDescent="0.2">
      <c r="AD483" s="460"/>
    </row>
    <row r="484" spans="30:30" ht="11.25" x14ac:dyDescent="0.2">
      <c r="AD484" s="460"/>
    </row>
    <row r="485" spans="30:30" ht="11.25" x14ac:dyDescent="0.2">
      <c r="AD485" s="460"/>
    </row>
    <row r="486" spans="30:30" ht="11.25" x14ac:dyDescent="0.2">
      <c r="AD486" s="460"/>
    </row>
    <row r="487" spans="30:30" ht="11.25" x14ac:dyDescent="0.2">
      <c r="AD487" s="460"/>
    </row>
    <row r="488" spans="30:30" ht="11.25" x14ac:dyDescent="0.2">
      <c r="AD488" s="460"/>
    </row>
    <row r="489" spans="30:30" ht="11.25" x14ac:dyDescent="0.2">
      <c r="AD489" s="460"/>
    </row>
    <row r="490" spans="30:30" ht="11.25" x14ac:dyDescent="0.2">
      <c r="AD490" s="460"/>
    </row>
    <row r="491" spans="30:30" ht="11.25" x14ac:dyDescent="0.2">
      <c r="AD491" s="460"/>
    </row>
    <row r="492" spans="30:30" ht="11.25" x14ac:dyDescent="0.2">
      <c r="AD492" s="460"/>
    </row>
    <row r="493" spans="30:30" ht="11.25" x14ac:dyDescent="0.2">
      <c r="AD493" s="460"/>
    </row>
    <row r="494" spans="30:30" ht="11.25" x14ac:dyDescent="0.2">
      <c r="AD494" s="460"/>
    </row>
    <row r="495" spans="30:30" ht="11.25" x14ac:dyDescent="0.2">
      <c r="AD495" s="460"/>
    </row>
    <row r="496" spans="30:30" ht="11.25" x14ac:dyDescent="0.2">
      <c r="AD496" s="460"/>
    </row>
    <row r="497" spans="30:30" ht="11.25" x14ac:dyDescent="0.2">
      <c r="AD497" s="460"/>
    </row>
    <row r="498" spans="30:30" ht="11.25" x14ac:dyDescent="0.2">
      <c r="AD498" s="460"/>
    </row>
    <row r="499" spans="30:30" ht="11.25" x14ac:dyDescent="0.2">
      <c r="AD499" s="460"/>
    </row>
    <row r="500" spans="30:30" ht="11.25" x14ac:dyDescent="0.2">
      <c r="AD500" s="460"/>
    </row>
    <row r="501" spans="30:30" ht="11.25" x14ac:dyDescent="0.2">
      <c r="AD501" s="460"/>
    </row>
    <row r="502" spans="30:30" ht="11.25" x14ac:dyDescent="0.2">
      <c r="AD502" s="460"/>
    </row>
    <row r="503" spans="30:30" ht="11.25" x14ac:dyDescent="0.2">
      <c r="AD503" s="460"/>
    </row>
    <row r="504" spans="30:30" ht="11.25" x14ac:dyDescent="0.2">
      <c r="AD504" s="460"/>
    </row>
    <row r="505" spans="30:30" ht="11.25" x14ac:dyDescent="0.2">
      <c r="AD505" s="460"/>
    </row>
    <row r="506" spans="30:30" ht="11.25" x14ac:dyDescent="0.2">
      <c r="AD506" s="460"/>
    </row>
    <row r="507" spans="30:30" ht="11.25" x14ac:dyDescent="0.2">
      <c r="AD507" s="460"/>
    </row>
    <row r="508" spans="30:30" ht="11.25" x14ac:dyDescent="0.2">
      <c r="AD508" s="460"/>
    </row>
    <row r="509" spans="30:30" ht="11.25" x14ac:dyDescent="0.2">
      <c r="AD509" s="460"/>
    </row>
    <row r="510" spans="30:30" ht="11.25" x14ac:dyDescent="0.2">
      <c r="AD510" s="460"/>
    </row>
    <row r="511" spans="30:30" ht="11.25" x14ac:dyDescent="0.2">
      <c r="AD511" s="460"/>
    </row>
    <row r="512" spans="30:30" ht="11.25" x14ac:dyDescent="0.2">
      <c r="AD512" s="460"/>
    </row>
    <row r="513" spans="30:30" ht="11.25" x14ac:dyDescent="0.2">
      <c r="AD513" s="460"/>
    </row>
    <row r="514" spans="30:30" ht="11.25" x14ac:dyDescent="0.2">
      <c r="AD514" s="460"/>
    </row>
    <row r="515" spans="30:30" ht="11.25" x14ac:dyDescent="0.2">
      <c r="AD515" s="460"/>
    </row>
    <row r="516" spans="30:30" ht="11.25" x14ac:dyDescent="0.2">
      <c r="AD516" s="460"/>
    </row>
    <row r="517" spans="30:30" ht="11.25" x14ac:dyDescent="0.2">
      <c r="AD517" s="460"/>
    </row>
    <row r="518" spans="30:30" ht="11.25" x14ac:dyDescent="0.2">
      <c r="AD518" s="460"/>
    </row>
    <row r="519" spans="30:30" ht="11.25" x14ac:dyDescent="0.2">
      <c r="AD519" s="460"/>
    </row>
    <row r="520" spans="30:30" ht="11.25" x14ac:dyDescent="0.2">
      <c r="AD520" s="460"/>
    </row>
    <row r="521" spans="30:30" ht="11.25" x14ac:dyDescent="0.2">
      <c r="AD521" s="460"/>
    </row>
    <row r="522" spans="30:30" ht="11.25" x14ac:dyDescent="0.2">
      <c r="AD522" s="460"/>
    </row>
    <row r="523" spans="30:30" ht="11.25" x14ac:dyDescent="0.2">
      <c r="AD523" s="460"/>
    </row>
    <row r="524" spans="30:30" ht="11.25" x14ac:dyDescent="0.2">
      <c r="AD524" s="460"/>
    </row>
    <row r="525" spans="30:30" ht="11.25" x14ac:dyDescent="0.2">
      <c r="AD525" s="460"/>
    </row>
    <row r="526" spans="30:30" ht="11.25" x14ac:dyDescent="0.2">
      <c r="AD526" s="460"/>
    </row>
    <row r="527" spans="30:30" ht="11.25" x14ac:dyDescent="0.2">
      <c r="AD527" s="460"/>
    </row>
    <row r="528" spans="30:30" ht="11.25" x14ac:dyDescent="0.2">
      <c r="AD528" s="460"/>
    </row>
    <row r="529" spans="30:30" ht="11.25" x14ac:dyDescent="0.2">
      <c r="AD529" s="460"/>
    </row>
    <row r="530" spans="30:30" ht="11.25" x14ac:dyDescent="0.2">
      <c r="AD530" s="460"/>
    </row>
    <row r="531" spans="30:30" ht="11.25" x14ac:dyDescent="0.2">
      <c r="AD531" s="460"/>
    </row>
    <row r="532" spans="30:30" ht="11.25" x14ac:dyDescent="0.2">
      <c r="AD532" s="460"/>
    </row>
    <row r="533" spans="30:30" ht="11.25" x14ac:dyDescent="0.2">
      <c r="AD533" s="460"/>
    </row>
    <row r="534" spans="30:30" ht="11.25" x14ac:dyDescent="0.2">
      <c r="AD534" s="460"/>
    </row>
    <row r="535" spans="30:30" ht="11.25" x14ac:dyDescent="0.2">
      <c r="AD535" s="460"/>
    </row>
    <row r="536" spans="30:30" ht="11.25" x14ac:dyDescent="0.2">
      <c r="AD536" s="460"/>
    </row>
    <row r="537" spans="30:30" ht="11.25" x14ac:dyDescent="0.2">
      <c r="AD537" s="460"/>
    </row>
    <row r="538" spans="30:30" ht="11.25" x14ac:dyDescent="0.2">
      <c r="AD538" s="460"/>
    </row>
    <row r="539" spans="30:30" ht="11.25" x14ac:dyDescent="0.2">
      <c r="AD539" s="460"/>
    </row>
    <row r="540" spans="30:30" ht="11.25" x14ac:dyDescent="0.2">
      <c r="AD540" s="460"/>
    </row>
    <row r="541" spans="30:30" ht="11.25" x14ac:dyDescent="0.2">
      <c r="AD541" s="460"/>
    </row>
    <row r="542" spans="30:30" ht="11.25" x14ac:dyDescent="0.2">
      <c r="AD542" s="460"/>
    </row>
    <row r="543" spans="30:30" ht="11.25" x14ac:dyDescent="0.2">
      <c r="AD543" s="460"/>
    </row>
    <row r="544" spans="30:30" ht="11.25" x14ac:dyDescent="0.2">
      <c r="AD544" s="460"/>
    </row>
    <row r="545" spans="30:30" ht="11.25" x14ac:dyDescent="0.2">
      <c r="AD545" s="460"/>
    </row>
    <row r="546" spans="30:30" ht="11.25" x14ac:dyDescent="0.2">
      <c r="AD546" s="460"/>
    </row>
    <row r="547" spans="30:30" ht="11.25" x14ac:dyDescent="0.2">
      <c r="AD547" s="460"/>
    </row>
    <row r="548" spans="30:30" ht="11.25" x14ac:dyDescent="0.2">
      <c r="AD548" s="460"/>
    </row>
    <row r="549" spans="30:30" ht="11.25" x14ac:dyDescent="0.2">
      <c r="AD549" s="460"/>
    </row>
    <row r="550" spans="30:30" ht="11.25" x14ac:dyDescent="0.2">
      <c r="AD550" s="460"/>
    </row>
    <row r="551" spans="30:30" ht="11.25" x14ac:dyDescent="0.2">
      <c r="AD551" s="460"/>
    </row>
    <row r="552" spans="30:30" ht="11.25" x14ac:dyDescent="0.2">
      <c r="AD552" s="460"/>
    </row>
    <row r="553" spans="30:30" ht="11.25" x14ac:dyDescent="0.2">
      <c r="AD553" s="460"/>
    </row>
    <row r="554" spans="30:30" ht="11.25" x14ac:dyDescent="0.2">
      <c r="AD554" s="460"/>
    </row>
    <row r="555" spans="30:30" ht="11.25" x14ac:dyDescent="0.2">
      <c r="AD555" s="460"/>
    </row>
    <row r="556" spans="30:30" ht="11.25" x14ac:dyDescent="0.2">
      <c r="AD556" s="460"/>
    </row>
    <row r="557" spans="30:30" ht="11.25" x14ac:dyDescent="0.2">
      <c r="AD557" s="460"/>
    </row>
    <row r="558" spans="30:30" ht="11.25" x14ac:dyDescent="0.2">
      <c r="AD558" s="460"/>
    </row>
    <row r="559" spans="30:30" ht="11.25" x14ac:dyDescent="0.2">
      <c r="AD559" s="460"/>
    </row>
    <row r="560" spans="30:30" ht="11.25" x14ac:dyDescent="0.2">
      <c r="AD560" s="460"/>
    </row>
    <row r="561" spans="30:30" ht="11.25" x14ac:dyDescent="0.2">
      <c r="AD561" s="460"/>
    </row>
    <row r="562" spans="30:30" ht="11.25" x14ac:dyDescent="0.2">
      <c r="AD562" s="460"/>
    </row>
    <row r="563" spans="30:30" ht="11.25" x14ac:dyDescent="0.2">
      <c r="AD563" s="460"/>
    </row>
    <row r="564" spans="30:30" ht="11.25" x14ac:dyDescent="0.2">
      <c r="AD564" s="460"/>
    </row>
    <row r="565" spans="30:30" ht="11.25" x14ac:dyDescent="0.2">
      <c r="AD565" s="460"/>
    </row>
    <row r="566" spans="30:30" ht="11.25" x14ac:dyDescent="0.2">
      <c r="AD566" s="460"/>
    </row>
    <row r="567" spans="30:30" ht="11.25" x14ac:dyDescent="0.2">
      <c r="AD567" s="460"/>
    </row>
    <row r="568" spans="30:30" ht="11.25" x14ac:dyDescent="0.2">
      <c r="AD568" s="460"/>
    </row>
    <row r="569" spans="30:30" ht="11.25" x14ac:dyDescent="0.2">
      <c r="AD569" s="460"/>
    </row>
    <row r="570" spans="30:30" ht="11.25" x14ac:dyDescent="0.2">
      <c r="AD570" s="460"/>
    </row>
    <row r="571" spans="30:30" ht="11.25" x14ac:dyDescent="0.2">
      <c r="AD571" s="460"/>
    </row>
    <row r="572" spans="30:30" ht="11.25" x14ac:dyDescent="0.2">
      <c r="AD572" s="460"/>
    </row>
    <row r="573" spans="30:30" ht="11.25" x14ac:dyDescent="0.2">
      <c r="AD573" s="460"/>
    </row>
    <row r="574" spans="30:30" ht="11.25" x14ac:dyDescent="0.2">
      <c r="AD574" s="460"/>
    </row>
    <row r="575" spans="30:30" ht="11.25" x14ac:dyDescent="0.2">
      <c r="AD575" s="460"/>
    </row>
    <row r="576" spans="30:30" ht="11.25" x14ac:dyDescent="0.2">
      <c r="AD576" s="460"/>
    </row>
    <row r="577" spans="30:30" ht="11.25" x14ac:dyDescent="0.2">
      <c r="AD577" s="460"/>
    </row>
    <row r="578" spans="30:30" ht="11.25" x14ac:dyDescent="0.2">
      <c r="AD578" s="460"/>
    </row>
    <row r="579" spans="30:30" ht="11.25" x14ac:dyDescent="0.2">
      <c r="AD579" s="460"/>
    </row>
    <row r="580" spans="30:30" ht="11.25" x14ac:dyDescent="0.2">
      <c r="AD580" s="460"/>
    </row>
    <row r="581" spans="30:30" ht="11.25" x14ac:dyDescent="0.2">
      <c r="AD581" s="460"/>
    </row>
    <row r="582" spans="30:30" ht="11.25" x14ac:dyDescent="0.2">
      <c r="AD582" s="460"/>
    </row>
    <row r="583" spans="30:30" ht="11.25" x14ac:dyDescent="0.2">
      <c r="AD583" s="460"/>
    </row>
    <row r="584" spans="30:30" ht="11.25" x14ac:dyDescent="0.2">
      <c r="AD584" s="460"/>
    </row>
    <row r="585" spans="30:30" ht="11.25" x14ac:dyDescent="0.2">
      <c r="AD585" s="460"/>
    </row>
    <row r="586" spans="30:30" ht="11.25" x14ac:dyDescent="0.2">
      <c r="AD586" s="460"/>
    </row>
    <row r="587" spans="30:30" ht="11.25" x14ac:dyDescent="0.2">
      <c r="AD587" s="460"/>
    </row>
    <row r="588" spans="30:30" ht="11.25" x14ac:dyDescent="0.2">
      <c r="AD588" s="460"/>
    </row>
    <row r="589" spans="30:30" ht="11.25" x14ac:dyDescent="0.2">
      <c r="AD589" s="460"/>
    </row>
    <row r="590" spans="30:30" ht="11.25" x14ac:dyDescent="0.2">
      <c r="AD590" s="460"/>
    </row>
    <row r="591" spans="30:30" ht="11.25" x14ac:dyDescent="0.2">
      <c r="AD591" s="460"/>
    </row>
    <row r="592" spans="30:30" ht="11.25" x14ac:dyDescent="0.2">
      <c r="AD592" s="460"/>
    </row>
    <row r="593" spans="30:30" ht="11.25" x14ac:dyDescent="0.2">
      <c r="AD593" s="460"/>
    </row>
    <row r="594" spans="30:30" ht="11.25" x14ac:dyDescent="0.2">
      <c r="AD594" s="460"/>
    </row>
    <row r="595" spans="30:30" ht="11.25" x14ac:dyDescent="0.2">
      <c r="AD595" s="460"/>
    </row>
    <row r="596" spans="30:30" ht="11.25" x14ac:dyDescent="0.2">
      <c r="AD596" s="460"/>
    </row>
    <row r="597" spans="30:30" ht="11.25" x14ac:dyDescent="0.2">
      <c r="AD597" s="460"/>
    </row>
    <row r="598" spans="30:30" ht="11.25" x14ac:dyDescent="0.2">
      <c r="AD598" s="460"/>
    </row>
    <row r="599" spans="30:30" ht="11.25" x14ac:dyDescent="0.2">
      <c r="AD599" s="460"/>
    </row>
    <row r="600" spans="30:30" ht="11.25" x14ac:dyDescent="0.2">
      <c r="AD600" s="460"/>
    </row>
    <row r="601" spans="30:30" ht="11.25" x14ac:dyDescent="0.2">
      <c r="AD601" s="460"/>
    </row>
    <row r="602" spans="30:30" ht="11.25" x14ac:dyDescent="0.2">
      <c r="AD602" s="460"/>
    </row>
    <row r="603" spans="30:30" ht="11.25" x14ac:dyDescent="0.2">
      <c r="AD603" s="460"/>
    </row>
    <row r="604" spans="30:30" ht="11.25" x14ac:dyDescent="0.2">
      <c r="AD604" s="460"/>
    </row>
    <row r="605" spans="30:30" ht="11.25" x14ac:dyDescent="0.2">
      <c r="AD605" s="460"/>
    </row>
    <row r="606" spans="30:30" ht="11.25" x14ac:dyDescent="0.2">
      <c r="AD606" s="460"/>
    </row>
    <row r="607" spans="30:30" ht="11.25" x14ac:dyDescent="0.2">
      <c r="AD607" s="460"/>
    </row>
    <row r="608" spans="30:30" ht="11.25" x14ac:dyDescent="0.2">
      <c r="AD608" s="460"/>
    </row>
    <row r="609" spans="30:30" ht="11.25" x14ac:dyDescent="0.2">
      <c r="AD609" s="460"/>
    </row>
    <row r="610" spans="30:30" ht="11.25" x14ac:dyDescent="0.2">
      <c r="AD610" s="460"/>
    </row>
    <row r="611" spans="30:30" ht="11.25" x14ac:dyDescent="0.2">
      <c r="AD611" s="460"/>
    </row>
    <row r="612" spans="30:30" ht="11.25" x14ac:dyDescent="0.2">
      <c r="AD612" s="460"/>
    </row>
    <row r="613" spans="30:30" ht="11.25" x14ac:dyDescent="0.2">
      <c r="AD613" s="460"/>
    </row>
    <row r="614" spans="30:30" ht="11.25" x14ac:dyDescent="0.2">
      <c r="AD614" s="460"/>
    </row>
    <row r="615" spans="30:30" ht="11.25" x14ac:dyDescent="0.2">
      <c r="AD615" s="460"/>
    </row>
    <row r="616" spans="30:30" ht="11.25" x14ac:dyDescent="0.2">
      <c r="AD616" s="460"/>
    </row>
    <row r="617" spans="30:30" ht="11.25" x14ac:dyDescent="0.2">
      <c r="AD617" s="460"/>
    </row>
    <row r="618" spans="30:30" ht="11.25" x14ac:dyDescent="0.2">
      <c r="AD618" s="460"/>
    </row>
    <row r="619" spans="30:30" ht="11.25" x14ac:dyDescent="0.2">
      <c r="AD619" s="460"/>
    </row>
    <row r="620" spans="30:30" ht="11.25" x14ac:dyDescent="0.2">
      <c r="AD620" s="460"/>
    </row>
    <row r="621" spans="30:30" ht="11.25" x14ac:dyDescent="0.2">
      <c r="AD621" s="460"/>
    </row>
    <row r="622" spans="30:30" ht="11.25" x14ac:dyDescent="0.2">
      <c r="AD622" s="460"/>
    </row>
  </sheetData>
  <sheetProtection sheet="1" objects="1" scenarios="1" selectLockedCells="1"/>
  <mergeCells count="113">
    <mergeCell ref="E233:I233"/>
    <mergeCell ref="E234:I234"/>
    <mergeCell ref="E238:I238"/>
    <mergeCell ref="E243:I243"/>
    <mergeCell ref="E244:I244"/>
    <mergeCell ref="E231:I231"/>
    <mergeCell ref="E254:I254"/>
    <mergeCell ref="U202:V202"/>
    <mergeCell ref="E195:I195"/>
    <mergeCell ref="J196:K196"/>
    <mergeCell ref="E215:I215"/>
    <mergeCell ref="E220:I220"/>
    <mergeCell ref="AA202:AB202"/>
    <mergeCell ref="E204:I204"/>
    <mergeCell ref="E205:I205"/>
    <mergeCell ref="E232:I232"/>
    <mergeCell ref="U172:V172"/>
    <mergeCell ref="AA172:AB172"/>
    <mergeCell ref="E186:I186"/>
    <mergeCell ref="J187:K187"/>
    <mergeCell ref="E181:I181"/>
    <mergeCell ref="E182:I182"/>
    <mergeCell ref="J183:K183"/>
    <mergeCell ref="E164:I164"/>
    <mergeCell ref="E165:I165"/>
    <mergeCell ref="E155:I155"/>
    <mergeCell ref="E156:I156"/>
    <mergeCell ref="J173:K173"/>
    <mergeCell ref="E175:I175"/>
    <mergeCell ref="E176:I176"/>
    <mergeCell ref="J177:K177"/>
    <mergeCell ref="J172:K172"/>
    <mergeCell ref="J157:K157"/>
    <mergeCell ref="E147:I147"/>
    <mergeCell ref="J148:K148"/>
    <mergeCell ref="E151:I151"/>
    <mergeCell ref="J152:K152"/>
    <mergeCell ref="E142:I142"/>
    <mergeCell ref="E143:I143"/>
    <mergeCell ref="J144:K144"/>
    <mergeCell ref="E162:I162"/>
    <mergeCell ref="E125:I125"/>
    <mergeCell ref="E126:I126"/>
    <mergeCell ref="J127:K127"/>
    <mergeCell ref="J122:K122"/>
    <mergeCell ref="U122:V122"/>
    <mergeCell ref="AA122:AB122"/>
    <mergeCell ref="E134:I134"/>
    <mergeCell ref="E136:I136"/>
    <mergeCell ref="J137:K137"/>
    <mergeCell ref="AA113:AB113"/>
    <mergeCell ref="J114:K114"/>
    <mergeCell ref="E115:I115"/>
    <mergeCell ref="E116:I116"/>
    <mergeCell ref="E117:I117"/>
    <mergeCell ref="J113:K113"/>
    <mergeCell ref="U113:V113"/>
    <mergeCell ref="J123:K123"/>
    <mergeCell ref="E124:I124"/>
    <mergeCell ref="J88:K88"/>
    <mergeCell ref="E92:K92"/>
    <mergeCell ref="J94:K94"/>
    <mergeCell ref="E82:I82"/>
    <mergeCell ref="J83:K83"/>
    <mergeCell ref="E87:I87"/>
    <mergeCell ref="E102:K102"/>
    <mergeCell ref="E98:I98"/>
    <mergeCell ref="J99:K99"/>
    <mergeCell ref="E53:I53"/>
    <mergeCell ref="E54:I54"/>
    <mergeCell ref="J55:K55"/>
    <mergeCell ref="E47:I47"/>
    <mergeCell ref="J48:K48"/>
    <mergeCell ref="J75:K75"/>
    <mergeCell ref="E64:I64"/>
    <mergeCell ref="J65:K65"/>
    <mergeCell ref="J69:K69"/>
    <mergeCell ref="E59:I59"/>
    <mergeCell ref="J60:K60"/>
    <mergeCell ref="E73:I73"/>
    <mergeCell ref="E74:I74"/>
    <mergeCell ref="E23:I23"/>
    <mergeCell ref="M13:O13"/>
    <mergeCell ref="E39:I39"/>
    <mergeCell ref="E40:I40"/>
    <mergeCell ref="E41:I41"/>
    <mergeCell ref="J42:K42"/>
    <mergeCell ref="H35:I35"/>
    <mergeCell ref="J37:K37"/>
    <mergeCell ref="U37:V37"/>
    <mergeCell ref="X37:Y37"/>
    <mergeCell ref="AA37:AB37"/>
    <mergeCell ref="J38:K38"/>
    <mergeCell ref="E26:I26"/>
    <mergeCell ref="E31:I31"/>
    <mergeCell ref="E32:I32"/>
    <mergeCell ref="E33:I33"/>
    <mergeCell ref="D34:E34"/>
    <mergeCell ref="F34:G34"/>
    <mergeCell ref="H34:I34"/>
    <mergeCell ref="B1:AJ1"/>
    <mergeCell ref="AG19:AH19"/>
    <mergeCell ref="AP19:AQ19"/>
    <mergeCell ref="AS19:AT19"/>
    <mergeCell ref="J18:K18"/>
    <mergeCell ref="U18:Y18"/>
    <mergeCell ref="AA18:AE18"/>
    <mergeCell ref="J20:K20"/>
    <mergeCell ref="J19:K19"/>
    <mergeCell ref="U19:V19"/>
    <mergeCell ref="X19:Y19"/>
    <mergeCell ref="AA19:AB19"/>
    <mergeCell ref="AD19:AE19"/>
  </mergeCells>
  <conditionalFormatting sqref="W43:W48 W53:W55 W59:W60 W64:W65 W68:W69 W73:W75 W82:W83 W87:W88 W92:W94 W98:W99 W102:W103 W111 W121:W127 W134 W136:W137 W142:W144 W147:W148 W151:W152 W155:W157 W162 W164:W166 W171:W177 W181:W183 W186:W187 W195:W196 W201:W206 W212:W215 W217:W245 W113:W118">
    <cfRule type="cellIs" dxfId="142" priority="63" operator="equal">
      <formula>"X"</formula>
    </cfRule>
  </conditionalFormatting>
  <conditionalFormatting sqref="AC47:AC48 AC53:AC55 AC59:AC60 AC64:AC65 AC68:AC69 AC73:AC75 AC82:AC83 AC87:AC88 AC92:AC94 AC98:AC99 AC102:AC103 AC111 AC121:AC127 AC134 AC136:AC137 AC142:AC144 AC147:AC148 AC151:AC152 AC155:AC157 AC162 AC164:AC166 AC171:AC177 AC181:AC183 AC186:AC187 AC195:AC196 AC201:AC206 AC212:AC215 AC217:AC245 AC113:AC118">
    <cfRule type="cellIs" dxfId="141" priority="62" operator="equal">
      <formula>"X"</formula>
    </cfRule>
  </conditionalFormatting>
  <conditionalFormatting sqref="AC43:AC46">
    <cfRule type="cellIs" dxfId="140" priority="61" operator="equal">
      <formula>"X"</formula>
    </cfRule>
  </conditionalFormatting>
  <conditionalFormatting sqref="W49:W52">
    <cfRule type="cellIs" dxfId="139" priority="60" operator="equal">
      <formula>"X"</formula>
    </cfRule>
  </conditionalFormatting>
  <conditionalFormatting sqref="AC49:AC52">
    <cfRule type="cellIs" dxfId="138" priority="59" operator="equal">
      <formula>"X"</formula>
    </cfRule>
  </conditionalFormatting>
  <conditionalFormatting sqref="W56:W58">
    <cfRule type="cellIs" dxfId="137" priority="58" operator="equal">
      <formula>"X"</formula>
    </cfRule>
  </conditionalFormatting>
  <conditionalFormatting sqref="AC56:AC58">
    <cfRule type="cellIs" dxfId="136" priority="57" operator="equal">
      <formula>"X"</formula>
    </cfRule>
  </conditionalFormatting>
  <conditionalFormatting sqref="W61:W63">
    <cfRule type="cellIs" dxfId="135" priority="56" operator="equal">
      <formula>"X"</formula>
    </cfRule>
  </conditionalFormatting>
  <conditionalFormatting sqref="AC61:AC63">
    <cfRule type="cellIs" dxfId="134" priority="55" operator="equal">
      <formula>"X"</formula>
    </cfRule>
  </conditionalFormatting>
  <conditionalFormatting sqref="W66:W67">
    <cfRule type="cellIs" dxfId="133" priority="54" operator="equal">
      <formula>"X"</formula>
    </cfRule>
  </conditionalFormatting>
  <conditionalFormatting sqref="AC66:AC67">
    <cfRule type="cellIs" dxfId="132" priority="53" operator="equal">
      <formula>"X"</formula>
    </cfRule>
  </conditionalFormatting>
  <conditionalFormatting sqref="W70:W72">
    <cfRule type="cellIs" dxfId="131" priority="52" operator="equal">
      <formula>"X"</formula>
    </cfRule>
  </conditionalFormatting>
  <conditionalFormatting sqref="AC70:AC72">
    <cfRule type="cellIs" dxfId="130" priority="51" operator="equal">
      <formula>"X"</formula>
    </cfRule>
  </conditionalFormatting>
  <conditionalFormatting sqref="W76:W81">
    <cfRule type="cellIs" dxfId="129" priority="50" operator="equal">
      <formula>"X"</formula>
    </cfRule>
  </conditionalFormatting>
  <conditionalFormatting sqref="AC76:AC81">
    <cfRule type="cellIs" dxfId="128" priority="49" operator="equal">
      <formula>"X"</formula>
    </cfRule>
  </conditionalFormatting>
  <conditionalFormatting sqref="W84:W86">
    <cfRule type="cellIs" dxfId="127" priority="48" operator="equal">
      <formula>"X"</formula>
    </cfRule>
  </conditionalFormatting>
  <conditionalFormatting sqref="AC84:AC86">
    <cfRule type="cellIs" dxfId="126" priority="47" operator="equal">
      <formula>"X"</formula>
    </cfRule>
  </conditionalFormatting>
  <conditionalFormatting sqref="W89:W91">
    <cfRule type="cellIs" dxfId="125" priority="46" operator="equal">
      <formula>"X"</formula>
    </cfRule>
  </conditionalFormatting>
  <conditionalFormatting sqref="AC89:AC91">
    <cfRule type="cellIs" dxfId="124" priority="45" operator="equal">
      <formula>"X"</formula>
    </cfRule>
  </conditionalFormatting>
  <conditionalFormatting sqref="W95:W97">
    <cfRule type="cellIs" dxfId="123" priority="44" operator="equal">
      <formula>"X"</formula>
    </cfRule>
  </conditionalFormatting>
  <conditionalFormatting sqref="AC95:AC97">
    <cfRule type="cellIs" dxfId="122" priority="43" operator="equal">
      <formula>"X"</formula>
    </cfRule>
  </conditionalFormatting>
  <conditionalFormatting sqref="W100:W101">
    <cfRule type="cellIs" dxfId="121" priority="42" operator="equal">
      <formula>"X"</formula>
    </cfRule>
  </conditionalFormatting>
  <conditionalFormatting sqref="AC100:AC101">
    <cfRule type="cellIs" dxfId="120" priority="41" operator="equal">
      <formula>"X"</formula>
    </cfRule>
  </conditionalFormatting>
  <conditionalFormatting sqref="W104:W110">
    <cfRule type="cellIs" dxfId="119" priority="40" operator="equal">
      <formula>"X"</formula>
    </cfRule>
  </conditionalFormatting>
  <conditionalFormatting sqref="AC104:AC110">
    <cfRule type="cellIs" dxfId="118" priority="39" operator="equal">
      <formula>"X"</formula>
    </cfRule>
  </conditionalFormatting>
  <conditionalFormatting sqref="W119:W120">
    <cfRule type="cellIs" dxfId="117" priority="38" operator="equal">
      <formula>"X"</formula>
    </cfRule>
  </conditionalFormatting>
  <conditionalFormatting sqref="AC119:AC120">
    <cfRule type="cellIs" dxfId="116" priority="37" operator="equal">
      <formula>"X"</formula>
    </cfRule>
  </conditionalFormatting>
  <conditionalFormatting sqref="W128:W133">
    <cfRule type="cellIs" dxfId="115" priority="36" operator="equal">
      <formula>"X"</formula>
    </cfRule>
  </conditionalFormatting>
  <conditionalFormatting sqref="AC128:AC133">
    <cfRule type="cellIs" dxfId="114" priority="35" operator="equal">
      <formula>"X"</formula>
    </cfRule>
  </conditionalFormatting>
  <conditionalFormatting sqref="W135">
    <cfRule type="cellIs" dxfId="113" priority="34" operator="equal">
      <formula>"X"</formula>
    </cfRule>
  </conditionalFormatting>
  <conditionalFormatting sqref="AC135">
    <cfRule type="cellIs" dxfId="112" priority="33" operator="equal">
      <formula>"X"</formula>
    </cfRule>
  </conditionalFormatting>
  <conditionalFormatting sqref="W138:W141">
    <cfRule type="cellIs" dxfId="111" priority="32" operator="equal">
      <formula>"X"</formula>
    </cfRule>
  </conditionalFormatting>
  <conditionalFormatting sqref="AC138:AC141">
    <cfRule type="cellIs" dxfId="110" priority="31" operator="equal">
      <formula>"X"</formula>
    </cfRule>
  </conditionalFormatting>
  <conditionalFormatting sqref="W145:W146">
    <cfRule type="cellIs" dxfId="109" priority="30" operator="equal">
      <formula>"X"</formula>
    </cfRule>
  </conditionalFormatting>
  <conditionalFormatting sqref="AC145:AC146">
    <cfRule type="cellIs" dxfId="108" priority="29" operator="equal">
      <formula>"X"</formula>
    </cfRule>
  </conditionalFormatting>
  <conditionalFormatting sqref="W149:W150">
    <cfRule type="cellIs" dxfId="107" priority="28" operator="equal">
      <formula>"X"</formula>
    </cfRule>
  </conditionalFormatting>
  <conditionalFormatting sqref="AC149:AC150">
    <cfRule type="cellIs" dxfId="106" priority="27" operator="equal">
      <formula>"X"</formula>
    </cfRule>
  </conditionalFormatting>
  <conditionalFormatting sqref="W153:W154">
    <cfRule type="cellIs" dxfId="105" priority="26" operator="equal">
      <formula>"X"</formula>
    </cfRule>
  </conditionalFormatting>
  <conditionalFormatting sqref="AC153:AC154">
    <cfRule type="cellIs" dxfId="104" priority="25" operator="equal">
      <formula>"X"</formula>
    </cfRule>
  </conditionalFormatting>
  <conditionalFormatting sqref="W158:W161">
    <cfRule type="cellIs" dxfId="103" priority="24" operator="equal">
      <formula>"X"</formula>
    </cfRule>
  </conditionalFormatting>
  <conditionalFormatting sqref="AC158:AC161">
    <cfRule type="cellIs" dxfId="102" priority="23" operator="equal">
      <formula>"X"</formula>
    </cfRule>
  </conditionalFormatting>
  <conditionalFormatting sqref="W163">
    <cfRule type="cellIs" dxfId="101" priority="22" operator="equal">
      <formula>"X"</formula>
    </cfRule>
  </conditionalFormatting>
  <conditionalFormatting sqref="AC163">
    <cfRule type="cellIs" dxfId="100" priority="21" operator="equal">
      <formula>"X"</formula>
    </cfRule>
  </conditionalFormatting>
  <conditionalFormatting sqref="W167:W170">
    <cfRule type="cellIs" dxfId="99" priority="20" operator="equal">
      <formula>"X"</formula>
    </cfRule>
  </conditionalFormatting>
  <conditionalFormatting sqref="AC167:AC170">
    <cfRule type="cellIs" dxfId="98" priority="19" operator="equal">
      <formula>"X"</formula>
    </cfRule>
  </conditionalFormatting>
  <conditionalFormatting sqref="W178:W180">
    <cfRule type="cellIs" dxfId="97" priority="18" operator="equal">
      <formula>"X"</formula>
    </cfRule>
  </conditionalFormatting>
  <conditionalFormatting sqref="AC178:AC180">
    <cfRule type="cellIs" dxfId="96" priority="17" operator="equal">
      <formula>"X"</formula>
    </cfRule>
  </conditionalFormatting>
  <conditionalFormatting sqref="W184:W185">
    <cfRule type="cellIs" dxfId="95" priority="16" operator="equal">
      <formula>"X"</formula>
    </cfRule>
  </conditionalFormatting>
  <conditionalFormatting sqref="AC184:AC185">
    <cfRule type="cellIs" dxfId="94" priority="15" operator="equal">
      <formula>"X"</formula>
    </cfRule>
  </conditionalFormatting>
  <conditionalFormatting sqref="W188:W194">
    <cfRule type="cellIs" dxfId="93" priority="14" operator="equal">
      <formula>"X"</formula>
    </cfRule>
  </conditionalFormatting>
  <conditionalFormatting sqref="AC188:AC194">
    <cfRule type="cellIs" dxfId="92" priority="13" operator="equal">
      <formula>"X"</formula>
    </cfRule>
  </conditionalFormatting>
  <conditionalFormatting sqref="W197:W200">
    <cfRule type="cellIs" dxfId="91" priority="12" operator="equal">
      <formula>"X"</formula>
    </cfRule>
  </conditionalFormatting>
  <conditionalFormatting sqref="AC197:AC200">
    <cfRule type="cellIs" dxfId="90" priority="11" operator="equal">
      <formula>"X"</formula>
    </cfRule>
  </conditionalFormatting>
  <conditionalFormatting sqref="W207:W211">
    <cfRule type="cellIs" dxfId="89" priority="10" operator="equal">
      <formula>"X"</formula>
    </cfRule>
  </conditionalFormatting>
  <conditionalFormatting sqref="AC207:AC211">
    <cfRule type="cellIs" dxfId="88" priority="9" operator="equal">
      <formula>"X"</formula>
    </cfRule>
  </conditionalFormatting>
  <conditionalFormatting sqref="W216">
    <cfRule type="cellIs" dxfId="87" priority="8" operator="equal">
      <formula>"X"</formula>
    </cfRule>
  </conditionalFormatting>
  <conditionalFormatting sqref="AC216">
    <cfRule type="cellIs" dxfId="86" priority="7" operator="equal">
      <formula>"X"</formula>
    </cfRule>
  </conditionalFormatting>
  <conditionalFormatting sqref="W246:W250">
    <cfRule type="cellIs" dxfId="85" priority="6" operator="equal">
      <formula>"X"</formula>
    </cfRule>
  </conditionalFormatting>
  <conditionalFormatting sqref="AC246:AC250">
    <cfRule type="cellIs" dxfId="84" priority="5" operator="equal">
      <formula>"X"</formula>
    </cfRule>
  </conditionalFormatting>
  <conditionalFormatting sqref="X43:X111 X113:X250">
    <cfRule type="expression" dxfId="83" priority="4">
      <formula>IF(W43="P",TRUE,FALSE)</formula>
    </cfRule>
  </conditionalFormatting>
  <conditionalFormatting sqref="Y43:Y111 Y113:Y250">
    <cfRule type="expression" dxfId="82" priority="3">
      <formula>IF(W43="A",TRUE,FALSE)</formula>
    </cfRule>
  </conditionalFormatting>
  <conditionalFormatting sqref="AD43:AD111 AD113:AD250">
    <cfRule type="expression" dxfId="81" priority="2">
      <formula>IF(AC43="P",TRUE,FALSE)</formula>
    </cfRule>
  </conditionalFormatting>
  <conditionalFormatting sqref="AE43:AE111 AE113:AE250">
    <cfRule type="expression" dxfId="80" priority="1">
      <formula>IF(AC43="A",TRUE,FALSE)</formula>
    </cfRule>
  </conditionalFormatting>
  <pageMargins left="0.23622047244094491" right="0.23622047244094491" top="0.55118110236220474" bottom="0.55118110236220474" header="0.31496062992125984" footer="0.31496062992125984"/>
  <pageSetup paperSize="9" scale="67" fitToHeight="0" orientation="landscape" horizontalDpi="1200" verticalDpi="1200" r:id="rId1"/>
  <rowBreaks count="4" manualBreakCount="4">
    <brk id="52" max="16383" man="1"/>
    <brk id="111" max="16383" man="1"/>
    <brk id="171" max="16383" man="1"/>
    <brk id="2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7884" r:id="rId4" name="Drop Down 92">
              <controlPr defaultSize="0" autoLine="0" autoPict="0">
                <anchor moveWithCells="1">
                  <from>
                    <xdr:col>12</xdr:col>
                    <xdr:colOff>0</xdr:colOff>
                    <xdr:row>11</xdr:row>
                    <xdr:rowOff>152400</xdr:rowOff>
                  </from>
                  <to>
                    <xdr:col>15</xdr:col>
                    <xdr:colOff>57150</xdr:colOff>
                    <xdr:row>13</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7">
    <tabColor rgb="FF48BA20"/>
    <outlinePr summaryBelow="0" summaryRight="0"/>
  </sheetPr>
  <dimension ref="A1:AC401"/>
  <sheetViews>
    <sheetView showGridLines="0" showRowColHeaders="0" showZeros="0" zoomScaleNormal="100" workbookViewId="0">
      <pane ySplit="1" topLeftCell="A2" activePane="bottomLeft" state="frozen"/>
      <selection activeCell="I1" sqref="I1"/>
      <selection pane="bottomLeft" activeCell="G14" sqref="G14"/>
    </sheetView>
  </sheetViews>
  <sheetFormatPr baseColWidth="10" defaultRowHeight="11.25" x14ac:dyDescent="0.2"/>
  <cols>
    <col min="1" max="1" width="4.28515625" style="460" customWidth="1"/>
    <col min="2" max="2" width="2.7109375" style="327" customWidth="1"/>
    <col min="3" max="3" width="3.85546875" style="327" customWidth="1"/>
    <col min="4" max="4" width="10.7109375" style="327" customWidth="1"/>
    <col min="5" max="5" width="7" style="327" customWidth="1"/>
    <col min="6" max="6" width="16.28515625" style="327" customWidth="1"/>
    <col min="7" max="7" width="18" style="327" customWidth="1"/>
    <col min="8" max="8" width="12.85546875" style="327" customWidth="1"/>
    <col min="9" max="10" width="17.42578125" style="327" customWidth="1"/>
    <col min="11" max="12" width="16.140625" style="327" customWidth="1"/>
    <col min="13" max="13" width="11.7109375" style="327" customWidth="1"/>
    <col min="14" max="14" width="13.85546875" style="327" customWidth="1"/>
    <col min="15" max="18" width="11.42578125" style="327" customWidth="1"/>
    <col min="19" max="19" width="4.28515625" style="460" customWidth="1"/>
    <col min="20" max="20" width="11.42578125" style="327"/>
    <col min="21" max="21" width="14.42578125" style="327" customWidth="1"/>
    <col min="22" max="22" width="11.42578125" style="327"/>
    <col min="23" max="23" width="14.28515625" style="327" customWidth="1"/>
    <col min="24" max="24" width="11.42578125" style="327" customWidth="1"/>
    <col min="25" max="29" width="11.42578125" style="327"/>
    <col min="30" max="30" width="14" style="327" customWidth="1"/>
    <col min="31" max="16384" width="11.42578125" style="327"/>
  </cols>
  <sheetData>
    <row r="1" spans="1:26" ht="24.95" customHeight="1" x14ac:dyDescent="0.2">
      <c r="A1" s="459"/>
      <c r="B1" s="1609" t="str">
        <f>"Eingabe: Finanzierungs- und Folgekosten - Variante: "&amp;'1. Projektangaben'!C26&amp;" "&amp;LISTEN!E38&amp;""</f>
        <v xml:space="preserve">Eingabe: Finanzierungs- und Folgekosten - Variante: PH-WDVS-WP-WRG-mittl.Sol-ohne PV </v>
      </c>
      <c r="C1" s="1609"/>
      <c r="D1" s="1609"/>
      <c r="E1" s="1609"/>
      <c r="F1" s="1609"/>
      <c r="G1" s="1609"/>
      <c r="H1" s="1609"/>
      <c r="I1" s="1609"/>
      <c r="J1" s="1609"/>
      <c r="K1" s="1609"/>
      <c r="L1" s="1609"/>
      <c r="M1" s="1609"/>
      <c r="N1" s="1609"/>
      <c r="O1" s="1609"/>
      <c r="P1" s="1609"/>
      <c r="Q1" s="1609"/>
      <c r="R1" s="1609"/>
      <c r="S1" s="459"/>
      <c r="T1" s="571"/>
    </row>
    <row r="2" spans="1:26" ht="50.1" customHeight="1" x14ac:dyDescent="0.2">
      <c r="A2" s="440"/>
      <c r="B2" s="1164"/>
      <c r="C2" s="1165"/>
      <c r="D2" s="1165"/>
      <c r="E2" s="1165"/>
      <c r="F2" s="1165"/>
      <c r="G2" s="1165"/>
      <c r="H2" s="1165"/>
      <c r="I2" s="1165"/>
      <c r="J2" s="1165"/>
      <c r="K2" s="1165"/>
      <c r="L2" s="1165"/>
      <c r="M2" s="1165"/>
      <c r="N2" s="1165"/>
      <c r="O2" s="1165"/>
      <c r="P2" s="1165"/>
      <c r="Q2" s="1165"/>
      <c r="R2" s="1165"/>
      <c r="S2" s="440"/>
    </row>
    <row r="3" spans="1:26" ht="12.95" customHeight="1" x14ac:dyDescent="0.2">
      <c r="A3" s="440"/>
      <c r="B3" s="759" t="s">
        <v>107</v>
      </c>
      <c r="C3" s="628"/>
      <c r="D3" s="628"/>
      <c r="E3" s="628"/>
      <c r="F3" s="628"/>
      <c r="G3" s="628"/>
      <c r="H3" s="628"/>
      <c r="I3" s="628"/>
      <c r="J3" s="628"/>
      <c r="K3" s="628"/>
      <c r="L3" s="610"/>
      <c r="M3" s="628"/>
      <c r="N3" s="628"/>
      <c r="O3" s="610"/>
      <c r="P3" s="610"/>
      <c r="Q3" s="610"/>
      <c r="R3" s="610"/>
      <c r="S3" s="440"/>
      <c r="T3" s="571"/>
    </row>
    <row r="4" spans="1:26" ht="12.95" customHeight="1" x14ac:dyDescent="0.2">
      <c r="A4" s="440"/>
      <c r="B4" s="610"/>
      <c r="C4" s="610"/>
      <c r="D4" s="610"/>
      <c r="E4" s="437" t="str">
        <f>'1. Projektangaben'!$B$4</f>
        <v>Bauvorhaben</v>
      </c>
      <c r="F4" s="404" t="str">
        <f>IF('1. Projektangaben'!$C$4="","",'1. Projektangaben'!$C$4)</f>
        <v>KliNaWo</v>
      </c>
      <c r="G4" s="406"/>
      <c r="H4" s="1403" t="str">
        <f>'1. Projektangaben'!$H$4</f>
        <v>Architekt</v>
      </c>
      <c r="I4" s="404" t="str">
        <f>IF('1. Projektangaben'!$I$4="","",'1. Projektangaben'!$I$4)</f>
        <v>Walser und Werle Architekten</v>
      </c>
      <c r="J4" s="447"/>
      <c r="K4" s="1404"/>
      <c r="L4" s="1404"/>
      <c r="M4" s="572"/>
      <c r="N4" s="610"/>
      <c r="O4" s="610"/>
      <c r="P4" s="610"/>
      <c r="Q4" s="610"/>
      <c r="R4" s="610"/>
      <c r="S4" s="440"/>
      <c r="T4" s="458"/>
      <c r="W4" s="573"/>
      <c r="X4" s="574"/>
      <c r="Y4" s="569"/>
      <c r="Z4" s="571"/>
    </row>
    <row r="5" spans="1:26" ht="12.95" customHeight="1" x14ac:dyDescent="0.2">
      <c r="A5" s="440"/>
      <c r="B5" s="610"/>
      <c r="C5" s="610"/>
      <c r="D5" s="610"/>
      <c r="E5" s="437" t="str">
        <f>'1. Projektangaben'!$B$5</f>
        <v>Bauherr</v>
      </c>
      <c r="F5" s="404" t="str">
        <f>IF('1. Projektangaben'!$C$5="","",'1. Projektangaben'!$C$5)</f>
        <v>privater Bauträger</v>
      </c>
      <c r="G5" s="443"/>
      <c r="H5" s="1403" t="str">
        <f>'1. Projektangaben'!$H$5</f>
        <v>Baujahr</v>
      </c>
      <c r="I5" s="1402">
        <f>IF('1. Projektangaben'!$I$5="","",'1. Projektangaben'!$I$5)</f>
        <v>2017</v>
      </c>
      <c r="J5" s="1404"/>
      <c r="K5" s="1404"/>
      <c r="L5" s="1404"/>
      <c r="M5" s="628"/>
      <c r="N5" s="610"/>
      <c r="O5" s="610"/>
      <c r="P5" s="610"/>
      <c r="Q5" s="610"/>
      <c r="R5" s="610"/>
      <c r="S5" s="440"/>
      <c r="T5" s="458"/>
      <c r="W5" s="573"/>
      <c r="X5" s="574"/>
      <c r="Y5" s="569"/>
      <c r="Z5" s="571"/>
    </row>
    <row r="6" spans="1:26" ht="12.95" customHeight="1" x14ac:dyDescent="0.2">
      <c r="A6" s="440"/>
      <c r="B6" s="610"/>
      <c r="C6" s="610"/>
      <c r="D6" s="610"/>
      <c r="E6" s="437" t="str">
        <f>'1. Projektangaben'!$B$6</f>
        <v>Adresse, Ort</v>
      </c>
      <c r="F6" s="404" t="str">
        <f>IF('1. Projektangaben'!$C$6="","",'1. Projektangaben'!$C$6)</f>
        <v>Siedlungsstrasse, Feldkirch</v>
      </c>
      <c r="G6" s="443"/>
      <c r="H6" s="1403" t="str">
        <f>'1. Projektangaben'!$H$6</f>
        <v>Personen</v>
      </c>
      <c r="I6" s="1402">
        <f>IF('1. Projektangaben'!$I$6="","",'1. Projektangaben'!$I$6)</f>
        <v>54</v>
      </c>
      <c r="J6" s="1404"/>
      <c r="K6" s="1404"/>
      <c r="L6" s="1404"/>
      <c r="M6" s="328"/>
      <c r="N6" s="610"/>
      <c r="O6" s="610"/>
      <c r="P6" s="610"/>
      <c r="Q6" s="610"/>
      <c r="R6" s="610"/>
      <c r="S6" s="440"/>
      <c r="T6" s="458"/>
      <c r="W6" s="573"/>
      <c r="X6" s="574"/>
      <c r="Y6" s="571"/>
      <c r="Z6" s="571"/>
    </row>
    <row r="7" spans="1:26" ht="12.95" customHeight="1" x14ac:dyDescent="0.2">
      <c r="A7" s="440"/>
      <c r="B7" s="610"/>
      <c r="C7" s="610"/>
      <c r="D7" s="610"/>
      <c r="E7" s="437" t="str">
        <f>'1. Projektangaben'!B7</f>
        <v>Gebäudetyp</v>
      </c>
      <c r="F7" s="1409" t="str">
        <f>IF('1. Projektangaben'!$C$7="","",'1. Projektangaben'!$C$7)</f>
        <v>Mehrfamilienhaus</v>
      </c>
      <c r="G7" s="1216" t="str">
        <f>'1. Projektangaben'!$E$7</f>
        <v>18+1 WE</v>
      </c>
      <c r="H7" s="1403" t="str">
        <f>'1. Projektangaben'!$H$7</f>
        <v>Anmerkung</v>
      </c>
      <c r="I7" s="404" t="str">
        <f>IF('1. Projektangaben'!$I$7="","",'1. Projektangaben'!$I$7)</f>
        <v>Beispiele verschiedener Varianten</v>
      </c>
      <c r="J7" s="447"/>
      <c r="K7" s="1404"/>
      <c r="L7" s="1404"/>
      <c r="M7" s="572"/>
      <c r="N7" s="610"/>
      <c r="O7" s="610"/>
      <c r="P7" s="610"/>
      <c r="Q7" s="610"/>
      <c r="R7" s="610"/>
      <c r="S7" s="440"/>
      <c r="T7" s="458"/>
      <c r="W7" s="458"/>
      <c r="X7" s="458"/>
      <c r="Y7" s="458"/>
      <c r="Z7" s="458"/>
    </row>
    <row r="8" spans="1:26" ht="12.95" customHeight="1" x14ac:dyDescent="0.2">
      <c r="A8" s="440"/>
      <c r="B8" s="446"/>
      <c r="C8" s="610"/>
      <c r="D8" s="610"/>
      <c r="E8" s="437" t="s">
        <v>111</v>
      </c>
      <c r="F8" s="469" t="str">
        <f>'1. Projektangaben'!E26</f>
        <v>PHWRGSo</v>
      </c>
      <c r="G8" s="470"/>
      <c r="H8" s="1403" t="str">
        <f>'1. Projektangaben'!G22</f>
        <v>EBF</v>
      </c>
      <c r="I8" s="1402">
        <f>'1. Projektangaben'!G23</f>
        <v>1410.2</v>
      </c>
      <c r="J8" s="1404" t="s">
        <v>67</v>
      </c>
      <c r="K8" s="1404"/>
      <c r="L8" s="1404"/>
      <c r="M8" s="628"/>
      <c r="N8" s="610"/>
      <c r="O8" s="610"/>
      <c r="P8" s="610"/>
      <c r="Q8" s="610"/>
      <c r="R8" s="610"/>
      <c r="S8" s="440"/>
      <c r="T8" s="458"/>
    </row>
    <row r="9" spans="1:26" ht="12.95" customHeight="1" x14ac:dyDescent="0.2">
      <c r="A9" s="440"/>
      <c r="B9" s="628"/>
      <c r="C9" s="628"/>
      <c r="D9" s="628"/>
      <c r="E9" s="628"/>
      <c r="F9" s="628"/>
      <c r="G9" s="628"/>
      <c r="H9" s="628"/>
      <c r="I9" s="628"/>
      <c r="J9" s="628"/>
      <c r="K9" s="628"/>
      <c r="L9" s="628"/>
      <c r="M9" s="628"/>
      <c r="N9" s="628"/>
      <c r="O9" s="610"/>
      <c r="P9" s="610"/>
      <c r="Q9" s="610"/>
      <c r="R9" s="610"/>
      <c r="S9" s="440"/>
      <c r="T9" s="458"/>
    </row>
    <row r="10" spans="1:26" ht="39.950000000000003" customHeight="1" x14ac:dyDescent="0.2">
      <c r="A10" s="440"/>
      <c r="B10" s="1164"/>
      <c r="C10" s="1165"/>
      <c r="D10" s="1165"/>
      <c r="E10" s="1165"/>
      <c r="F10" s="1165"/>
      <c r="G10" s="1165"/>
      <c r="H10" s="1165"/>
      <c r="I10" s="1165"/>
      <c r="J10" s="1165"/>
      <c r="K10" s="1165"/>
      <c r="L10" s="1165"/>
      <c r="M10" s="1165"/>
      <c r="N10" s="1165"/>
      <c r="O10" s="1165"/>
      <c r="P10" s="1165"/>
      <c r="Q10" s="1165"/>
      <c r="R10" s="1165"/>
      <c r="S10" s="440"/>
    </row>
    <row r="11" spans="1:26" ht="12.95" customHeight="1" x14ac:dyDescent="0.2">
      <c r="A11" s="440"/>
      <c r="B11" s="577"/>
      <c r="C11" s="578"/>
      <c r="D11" s="578"/>
      <c r="E11" s="579"/>
      <c r="F11" s="579"/>
      <c r="G11" s="579"/>
      <c r="H11" s="579"/>
      <c r="I11" s="578"/>
      <c r="J11" s="578"/>
      <c r="K11" s="578"/>
      <c r="L11" s="578"/>
      <c r="M11" s="578"/>
      <c r="N11" s="578"/>
      <c r="O11" s="1151"/>
      <c r="P11" s="1151"/>
      <c r="Q11" s="1151"/>
      <c r="R11" s="1151"/>
      <c r="S11" s="440"/>
    </row>
    <row r="12" spans="1:26" ht="18" customHeight="1" thickBot="1" x14ac:dyDescent="0.25">
      <c r="A12" s="440"/>
      <c r="B12" s="577"/>
      <c r="C12" s="1151"/>
      <c r="D12" s="1151"/>
      <c r="E12" s="579"/>
      <c r="F12" s="579"/>
      <c r="G12" s="328" t="s">
        <v>65</v>
      </c>
      <c r="H12" s="1151"/>
      <c r="I12" s="1151"/>
      <c r="J12" s="1151"/>
      <c r="K12" s="1151"/>
      <c r="L12" s="1151"/>
      <c r="M12" s="578"/>
      <c r="N12" s="1151"/>
      <c r="O12" s="1151"/>
      <c r="P12" s="1151"/>
      <c r="Q12" s="1151"/>
      <c r="R12" s="1151"/>
      <c r="S12" s="440"/>
    </row>
    <row r="13" spans="1:26" ht="18" customHeight="1" thickBot="1" x14ac:dyDescent="0.25">
      <c r="A13" s="440"/>
      <c r="B13" s="577"/>
      <c r="C13" s="1151"/>
      <c r="D13" s="1151"/>
      <c r="E13" s="1151"/>
      <c r="F13" s="580" t="s">
        <v>193</v>
      </c>
      <c r="G13" s="581">
        <f ca="1">SUM(BERECHNUNG!O723:O829)</f>
        <v>4171417.2959999996</v>
      </c>
      <c r="H13" s="1150"/>
      <c r="I13" s="1150"/>
      <c r="J13" s="1150"/>
      <c r="K13" s="1150"/>
      <c r="L13" s="1150"/>
      <c r="M13" s="1175" t="s">
        <v>400</v>
      </c>
      <c r="N13" s="1176"/>
      <c r="O13" s="1176"/>
      <c r="P13" s="1177"/>
      <c r="Q13" s="1151"/>
      <c r="R13" s="1151"/>
      <c r="S13" s="440"/>
    </row>
    <row r="14" spans="1:26" ht="18" customHeight="1" x14ac:dyDescent="0.2">
      <c r="A14" s="440"/>
      <c r="B14" s="577"/>
      <c r="C14" s="1151"/>
      <c r="D14" s="1151"/>
      <c r="E14" s="1150"/>
      <c r="F14" s="582" t="str">
        <f>"- Einmalzuschuss"</f>
        <v>- Einmalzuschuss</v>
      </c>
      <c r="G14" s="346">
        <v>43250</v>
      </c>
      <c r="H14" s="1150"/>
      <c r="I14" s="1143" t="s">
        <v>439</v>
      </c>
      <c r="J14" s="1143" t="s">
        <v>440</v>
      </c>
      <c r="K14" s="1150"/>
      <c r="L14" s="1150"/>
      <c r="M14" s="1412"/>
      <c r="N14" s="1413"/>
      <c r="O14" s="1422"/>
      <c r="P14" s="1423"/>
      <c r="Q14" s="1151"/>
      <c r="R14" s="1151"/>
      <c r="S14" s="440"/>
    </row>
    <row r="15" spans="1:26" ht="18" customHeight="1" thickBot="1" x14ac:dyDescent="0.25">
      <c r="A15" s="440"/>
      <c r="B15" s="577"/>
      <c r="C15" s="1151"/>
      <c r="D15" s="1151"/>
      <c r="E15" s="583"/>
      <c r="F15" s="584" t="str">
        <f>"- Summe Jährlicher Zuschüsse"</f>
        <v>- Summe Jährlicher Zuschüsse</v>
      </c>
      <c r="G15" s="457">
        <f>I15*J15</f>
        <v>0</v>
      </c>
      <c r="H15" s="585"/>
      <c r="I15" s="347"/>
      <c r="J15" s="348"/>
      <c r="K15" s="1150"/>
      <c r="L15" s="1150"/>
      <c r="M15" s="1415"/>
      <c r="N15" s="1416"/>
      <c r="O15" s="1417"/>
      <c r="P15" s="1424"/>
      <c r="Q15" s="1151"/>
      <c r="R15" s="1151"/>
      <c r="S15" s="440"/>
    </row>
    <row r="16" spans="1:26" ht="18" customHeight="1" x14ac:dyDescent="0.2">
      <c r="A16" s="440"/>
      <c r="B16" s="577"/>
      <c r="C16" s="1151"/>
      <c r="D16" s="1151"/>
      <c r="E16" s="1150"/>
      <c r="F16" s="582" t="str">
        <f>"= Gesamtkosten nach  Abzug Zuschüsse"</f>
        <v>= Gesamtkosten nach  Abzug Zuschüsse</v>
      </c>
      <c r="G16" s="586">
        <f ca="1">G13-G14-G15</f>
        <v>4128167.2959999996</v>
      </c>
      <c r="H16" s="1143" t="s">
        <v>195</v>
      </c>
      <c r="I16" s="1431" t="s">
        <v>849</v>
      </c>
      <c r="J16" s="587"/>
      <c r="K16" s="1150"/>
      <c r="L16" s="1150"/>
      <c r="M16" s="1418"/>
      <c r="N16" s="1414"/>
      <c r="O16" s="1417"/>
      <c r="P16" s="1424"/>
      <c r="Q16" s="1151"/>
      <c r="R16" s="1151"/>
      <c r="S16" s="440"/>
    </row>
    <row r="17" spans="1:19" ht="18" customHeight="1" thickBot="1" x14ac:dyDescent="0.25">
      <c r="A17" s="440"/>
      <c r="B17" s="577"/>
      <c r="C17" s="1151"/>
      <c r="D17" s="1151"/>
      <c r="E17" s="583"/>
      <c r="F17" s="584" t="str">
        <f>"- Eigenkapitaleinsatz"</f>
        <v>- Eigenkapitaleinsatz</v>
      </c>
      <c r="G17" s="1427">
        <f>IF(I17="",'1. Projektangaben'!$O$12,I17)</f>
        <v>1114633.632</v>
      </c>
      <c r="H17" s="588">
        <f ca="1">IF(G13=0,0,G17/G16)</f>
        <v>0.27000689460430244</v>
      </c>
      <c r="I17" s="1434"/>
      <c r="J17" s="589"/>
      <c r="K17" s="1150"/>
      <c r="L17" s="1150"/>
      <c r="M17" s="1418"/>
      <c r="N17" s="1414"/>
      <c r="O17" s="1417"/>
      <c r="P17" s="1424"/>
      <c r="Q17" s="1151"/>
      <c r="R17" s="1151"/>
      <c r="S17" s="440"/>
    </row>
    <row r="18" spans="1:19" ht="18" customHeight="1" thickBot="1" x14ac:dyDescent="0.25">
      <c r="A18" s="440"/>
      <c r="B18" s="577"/>
      <c r="C18" s="1151"/>
      <c r="D18" s="1151"/>
      <c r="E18" s="590"/>
      <c r="F18" s="591" t="str">
        <f>"= Fremdkapitaleinsatz"</f>
        <v>= Fremdkapitaleinsatz</v>
      </c>
      <c r="G18" s="592">
        <f ca="1">G16-G17</f>
        <v>3013533.6639999999</v>
      </c>
      <c r="H18" s="593">
        <f ca="1">1-H17</f>
        <v>0.72999310539569762</v>
      </c>
      <c r="I18" s="1150"/>
      <c r="J18" s="1150"/>
      <c r="K18" s="1150"/>
      <c r="L18" s="1150"/>
      <c r="M18" s="1418"/>
      <c r="N18" s="1414"/>
      <c r="O18" s="1417"/>
      <c r="P18" s="1424"/>
      <c r="Q18" s="1151"/>
      <c r="R18" s="1151"/>
      <c r="S18" s="440"/>
    </row>
    <row r="19" spans="1:19" ht="18" customHeight="1" thickTop="1" x14ac:dyDescent="0.2">
      <c r="A19" s="440"/>
      <c r="B19" s="577"/>
      <c r="C19" s="1151"/>
      <c r="D19" s="1151"/>
      <c r="E19" s="1150"/>
      <c r="F19" s="594" t="s">
        <v>112</v>
      </c>
      <c r="G19" s="1429">
        <f>N20</f>
        <v>1831926.8</v>
      </c>
      <c r="H19" s="595">
        <f ca="1">IF(G16=0,0,G19/G16)</f>
        <v>0.44376273262351823</v>
      </c>
      <c r="I19" s="1150"/>
      <c r="J19" s="1150"/>
      <c r="K19" s="1150"/>
      <c r="L19" s="1150"/>
      <c r="M19" s="1419"/>
      <c r="N19" s="1414" t="s">
        <v>872</v>
      </c>
      <c r="O19" s="1417"/>
      <c r="P19" s="1424"/>
      <c r="Q19" s="1151"/>
      <c r="R19" s="1151"/>
      <c r="S19" s="440"/>
    </row>
    <row r="20" spans="1:19" ht="18" customHeight="1" x14ac:dyDescent="0.2">
      <c r="A20" s="440"/>
      <c r="B20" s="577"/>
      <c r="C20" s="578"/>
      <c r="D20" s="578"/>
      <c r="E20" s="579"/>
      <c r="F20" s="596" t="s">
        <v>191</v>
      </c>
      <c r="G20" s="1428">
        <f ca="1">G18-G19</f>
        <v>1181606.8639999998</v>
      </c>
      <c r="H20" s="597">
        <f ca="1">IFERROR(IF(G16=0,0,G20/G18),0)</f>
        <v>0.39210010431129527</v>
      </c>
      <c r="I20" s="1150"/>
      <c r="J20" s="1150"/>
      <c r="K20" s="1150"/>
      <c r="L20" s="1150"/>
      <c r="M20" s="1420"/>
      <c r="N20" s="1421">
        <f>1289*'1. Projektangaben'!G26</f>
        <v>1831926.8</v>
      </c>
      <c r="O20" s="1417"/>
      <c r="P20" s="1424"/>
      <c r="Q20" s="1151"/>
      <c r="R20" s="1151"/>
      <c r="S20" s="440"/>
    </row>
    <row r="21" spans="1:19" ht="18" customHeight="1" x14ac:dyDescent="0.2">
      <c r="A21" s="440"/>
      <c r="B21" s="577"/>
      <c r="C21" s="578"/>
      <c r="D21" s="1181" t="s">
        <v>793</v>
      </c>
      <c r="E21" s="578"/>
      <c r="F21" s="578"/>
      <c r="G21" s="1150"/>
      <c r="H21" s="598"/>
      <c r="I21" s="589"/>
      <c r="J21" s="589"/>
      <c r="K21" s="1150"/>
      <c r="L21" s="1150"/>
      <c r="M21" s="1418"/>
      <c r="N21" s="1414"/>
      <c r="O21" s="1417"/>
      <c r="P21" s="1424"/>
      <c r="Q21" s="1151"/>
      <c r="R21" s="1151"/>
      <c r="S21" s="440"/>
    </row>
    <row r="22" spans="1:19" ht="18" customHeight="1" x14ac:dyDescent="0.25">
      <c r="A22" s="483"/>
      <c r="B22" s="577"/>
      <c r="C22" s="599"/>
      <c r="D22" s="1432" t="s">
        <v>191</v>
      </c>
      <c r="E22" s="600"/>
      <c r="F22" s="1147" t="s">
        <v>202</v>
      </c>
      <c r="G22" s="1147" t="s">
        <v>113</v>
      </c>
      <c r="H22" s="1147" t="s">
        <v>115</v>
      </c>
      <c r="I22" s="1147" t="s">
        <v>114</v>
      </c>
      <c r="J22" s="1147"/>
      <c r="K22" s="1150"/>
      <c r="L22" s="1150"/>
      <c r="M22" s="1418"/>
      <c r="N22" s="1414"/>
      <c r="O22" s="1417"/>
      <c r="P22" s="1424"/>
      <c r="Q22" s="1151"/>
      <c r="R22" s="1151"/>
      <c r="S22" s="483"/>
    </row>
    <row r="23" spans="1:19" ht="18" customHeight="1" thickBot="1" x14ac:dyDescent="0.25">
      <c r="A23" s="440"/>
      <c r="B23" s="577"/>
      <c r="C23" s="599"/>
      <c r="D23" s="578"/>
      <c r="E23" s="599"/>
      <c r="F23" s="328" t="s">
        <v>65</v>
      </c>
      <c r="G23" s="328" t="s">
        <v>66</v>
      </c>
      <c r="H23" s="328" t="s">
        <v>204</v>
      </c>
      <c r="I23" s="328" t="s">
        <v>93</v>
      </c>
      <c r="J23" s="328"/>
      <c r="K23" s="1150"/>
      <c r="L23" s="1150"/>
      <c r="M23" s="1410"/>
      <c r="N23" s="1411"/>
      <c r="O23" s="314"/>
      <c r="P23" s="1425"/>
      <c r="Q23" s="1151"/>
      <c r="R23" s="1151"/>
      <c r="S23" s="440"/>
    </row>
    <row r="24" spans="1:19" ht="18" customHeight="1" x14ac:dyDescent="0.2">
      <c r="A24" s="440"/>
      <c r="B24" s="577"/>
      <c r="C24" s="599"/>
      <c r="D24" s="599" t="s">
        <v>468</v>
      </c>
      <c r="E24" s="599"/>
      <c r="F24" s="602"/>
      <c r="G24" s="313"/>
      <c r="H24" s="217"/>
      <c r="I24" s="602"/>
      <c r="J24" s="602"/>
      <c r="K24" s="1150"/>
      <c r="L24" s="1150"/>
      <c r="M24" s="578"/>
      <c r="N24" s="578"/>
      <c r="O24" s="1151"/>
      <c r="P24" s="1151"/>
      <c r="Q24" s="1151"/>
      <c r="R24" s="1151"/>
      <c r="S24" s="440"/>
    </row>
    <row r="25" spans="1:19" ht="18" customHeight="1" x14ac:dyDescent="0.2">
      <c r="A25" s="440"/>
      <c r="B25" s="577"/>
      <c r="C25" s="599"/>
      <c r="D25" s="599" t="s">
        <v>469</v>
      </c>
      <c r="E25" s="599"/>
      <c r="F25" s="1430">
        <f ca="1">G20</f>
        <v>1181606.8639999998</v>
      </c>
      <c r="G25" s="601">
        <f ca="1">IF(F25=0,"",IF(ISNUMBER(G24),G24,'1. Projektangaben'!$F$12))</f>
        <v>35</v>
      </c>
      <c r="H25" s="642">
        <f ca="1">IF(F25=0,"",IF(ISNUMBER(H24),H24,'1. Projektangaben'!$F$14))</f>
        <v>0.02</v>
      </c>
      <c r="I25" s="601">
        <f ca="1">IFERROR(PMT(H25,G25,F25,,0)*-1,"")</f>
        <v>47266.884954954228</v>
      </c>
      <c r="J25" s="602"/>
      <c r="K25" s="1150"/>
      <c r="L25" s="1150"/>
      <c r="M25" s="578"/>
      <c r="N25" s="578"/>
      <c r="O25" s="1151"/>
      <c r="P25" s="1151"/>
      <c r="Q25" s="1151"/>
      <c r="R25" s="1151"/>
      <c r="S25" s="440"/>
    </row>
    <row r="26" spans="1:19" ht="12.95" customHeight="1" x14ac:dyDescent="0.2">
      <c r="A26" s="440"/>
      <c r="B26" s="577"/>
      <c r="C26" s="582"/>
      <c r="D26" s="582"/>
      <c r="E26" s="455"/>
      <c r="F26" s="603" t="str">
        <f>IF(G24&gt;'1. Projektangaben'!F12,"Achtung, Kreditlaufzeit ist länger als Betrachtungszeitraum!","")</f>
        <v/>
      </c>
      <c r="G26" s="1150"/>
      <c r="H26" s="1150"/>
      <c r="I26" s="1150"/>
      <c r="J26" s="1150"/>
      <c r="K26" s="1151"/>
      <c r="L26" s="1151"/>
      <c r="M26" s="1151"/>
      <c r="N26" s="1151"/>
      <c r="O26" s="1151"/>
      <c r="P26" s="1151"/>
      <c r="Q26" s="1151"/>
      <c r="R26" s="1151"/>
      <c r="S26" s="440"/>
    </row>
    <row r="27" spans="1:19" ht="12.95" customHeight="1" x14ac:dyDescent="0.2">
      <c r="A27" s="440"/>
      <c r="B27" s="577"/>
      <c r="C27" s="582"/>
      <c r="D27" s="1432" t="s">
        <v>207</v>
      </c>
      <c r="E27" s="1141"/>
      <c r="F27" s="605"/>
      <c r="G27" s="605"/>
      <c r="H27" s="605"/>
      <c r="I27" s="605"/>
      <c r="J27" s="605"/>
      <c r="K27" s="1151"/>
      <c r="L27" s="1151"/>
      <c r="M27" s="1151"/>
      <c r="N27" s="1151"/>
      <c r="O27" s="1151"/>
      <c r="P27" s="1151"/>
      <c r="Q27" s="1151"/>
      <c r="R27" s="1151"/>
      <c r="S27" s="440"/>
    </row>
    <row r="28" spans="1:19" ht="12.95" customHeight="1" x14ac:dyDescent="0.2">
      <c r="A28" s="440"/>
      <c r="B28" s="577"/>
      <c r="C28" s="582"/>
      <c r="D28" s="1433" t="s">
        <v>206</v>
      </c>
      <c r="E28" s="455"/>
      <c r="F28" s="1143" t="s">
        <v>203</v>
      </c>
      <c r="G28" s="1150"/>
      <c r="H28" s="449" t="s">
        <v>372</v>
      </c>
      <c r="I28" s="1150"/>
      <c r="J28" s="1150"/>
      <c r="K28" s="1151"/>
      <c r="L28" s="1151"/>
      <c r="M28" s="1151"/>
      <c r="N28" s="1151"/>
      <c r="O28" s="1151"/>
      <c r="P28" s="1151"/>
      <c r="Q28" s="1151"/>
      <c r="R28" s="1151"/>
      <c r="S28" s="440"/>
    </row>
    <row r="29" spans="1:19" ht="12.95" customHeight="1" x14ac:dyDescent="0.2">
      <c r="A29" s="440"/>
      <c r="B29" s="577"/>
      <c r="C29" s="582"/>
      <c r="D29" s="1151"/>
      <c r="E29" s="455"/>
      <c r="F29" s="313">
        <v>35</v>
      </c>
      <c r="G29" s="1150" t="s">
        <v>161</v>
      </c>
      <c r="H29" s="313">
        <v>12</v>
      </c>
      <c r="I29" s="1150" t="s">
        <v>371</v>
      </c>
      <c r="J29" s="1151"/>
      <c r="K29" s="1151"/>
      <c r="L29" s="1151"/>
      <c r="M29" s="1151"/>
      <c r="N29" s="1151"/>
      <c r="O29" s="1151"/>
      <c r="P29" s="1151"/>
      <c r="Q29" s="1151"/>
      <c r="R29" s="1151"/>
      <c r="S29" s="440"/>
    </row>
    <row r="30" spans="1:19" ht="12.95" customHeight="1" x14ac:dyDescent="0.2">
      <c r="A30" s="440"/>
      <c r="B30" s="577"/>
      <c r="C30" s="582"/>
      <c r="D30" s="603" t="str">
        <f>IF(F29&gt;'1. Projektangaben'!F12,"Achtung, Kreditlaufzeit ist länger als Betrachtungszeitraum!","")</f>
        <v/>
      </c>
      <c r="E30" s="1151"/>
      <c r="F30" s="1150"/>
      <c r="G30" s="1150"/>
      <c r="H30" s="1150"/>
      <c r="I30" s="1150"/>
      <c r="J30" s="1150"/>
      <c r="K30" s="1151"/>
      <c r="L30" s="1151"/>
      <c r="M30" s="1151"/>
      <c r="N30" s="1151"/>
      <c r="O30" s="1151"/>
      <c r="P30" s="1151"/>
      <c r="Q30" s="1151"/>
      <c r="R30" s="1151"/>
      <c r="S30" s="440"/>
    </row>
    <row r="31" spans="1:19" ht="12.95" customHeight="1" x14ac:dyDescent="0.2">
      <c r="A31" s="440"/>
      <c r="B31" s="577"/>
      <c r="C31" s="582"/>
      <c r="D31" s="603"/>
      <c r="E31" s="1151"/>
      <c r="F31" s="1150"/>
      <c r="G31" s="1150"/>
      <c r="H31" s="1150"/>
      <c r="I31" s="1150"/>
      <c r="J31" s="1150"/>
      <c r="K31" s="1151"/>
      <c r="L31" s="1151"/>
      <c r="M31" s="1151"/>
      <c r="N31" s="1151"/>
      <c r="O31" s="1151"/>
      <c r="P31" s="1151"/>
      <c r="Q31" s="1151"/>
      <c r="R31" s="1151"/>
      <c r="S31" s="440"/>
    </row>
    <row r="32" spans="1:19" ht="12.95" customHeight="1" x14ac:dyDescent="0.2">
      <c r="A32" s="440"/>
      <c r="B32" s="577"/>
      <c r="C32" s="579"/>
      <c r="D32" s="942" t="s">
        <v>351</v>
      </c>
      <c r="E32" s="1143"/>
      <c r="F32" s="1143"/>
      <c r="G32" s="1143"/>
      <c r="H32" s="1143" t="s">
        <v>113</v>
      </c>
      <c r="I32" s="1143" t="s">
        <v>245</v>
      </c>
      <c r="J32" s="1143" t="s">
        <v>114</v>
      </c>
      <c r="K32" s="1151"/>
      <c r="L32" s="1151"/>
      <c r="M32" s="1151"/>
      <c r="N32" s="1151"/>
      <c r="O32" s="1151"/>
      <c r="P32" s="1151"/>
      <c r="Q32" s="1151"/>
      <c r="R32" s="1151"/>
      <c r="S32" s="440"/>
    </row>
    <row r="33" spans="1:29" ht="12.95" customHeight="1" x14ac:dyDescent="0.2">
      <c r="A33" s="440"/>
      <c r="B33" s="577"/>
      <c r="C33" s="578"/>
      <c r="D33" s="328" t="s">
        <v>349</v>
      </c>
      <c r="E33" s="328"/>
      <c r="F33" s="328" t="s">
        <v>350</v>
      </c>
      <c r="G33" s="328"/>
      <c r="H33" s="328" t="s">
        <v>66</v>
      </c>
      <c r="I33" s="328" t="s">
        <v>204</v>
      </c>
      <c r="J33" s="328" t="s">
        <v>93</v>
      </c>
      <c r="K33" s="1151"/>
      <c r="L33" s="1151"/>
      <c r="M33" s="1151"/>
      <c r="N33" s="1151"/>
      <c r="O33" s="1151"/>
      <c r="P33" s="1151"/>
      <c r="Q33" s="1151"/>
      <c r="R33" s="1151"/>
      <c r="S33" s="440"/>
      <c r="AC33" s="606"/>
    </row>
    <row r="34" spans="1:29" ht="12.95" customHeight="1" x14ac:dyDescent="0.2">
      <c r="A34" s="440"/>
      <c r="B34" s="577"/>
      <c r="C34" s="578"/>
      <c r="D34" s="1142">
        <v>1</v>
      </c>
      <c r="E34" s="1142" t="str">
        <f>"-"</f>
        <v>-</v>
      </c>
      <c r="F34" s="313">
        <v>5</v>
      </c>
      <c r="G34" s="603" t="str">
        <f>IF(F34&gt;$F$29,"Achtung! Wert liegt über gesamster Kreditlaufzeit","")</f>
        <v/>
      </c>
      <c r="H34" s="1142">
        <f>IF(OR(D34="",F34=""),"",F34-D34+1)</f>
        <v>5</v>
      </c>
      <c r="I34" s="218">
        <v>1.4999999999999999E-2</v>
      </c>
      <c r="J34" s="607">
        <f t="shared" ref="J34:J40" si="0">IF(OR($G$19="",$G$19=0,F34=""),"",$G$19*I34+$H$29)</f>
        <v>27490.901999999998</v>
      </c>
      <c r="K34" s="1151"/>
      <c r="L34" s="1151"/>
      <c r="M34" s="1151"/>
      <c r="N34" s="1151"/>
      <c r="O34" s="1151"/>
      <c r="P34" s="1151"/>
      <c r="Q34" s="1151"/>
      <c r="R34" s="1151"/>
      <c r="S34" s="440"/>
    </row>
    <row r="35" spans="1:29" ht="12.95" customHeight="1" x14ac:dyDescent="0.2">
      <c r="A35" s="440"/>
      <c r="B35" s="577"/>
      <c r="C35" s="578"/>
      <c r="D35" s="1142">
        <f>IF(OR(F34="",F34=0,F34=$F$29),"",1+F34)</f>
        <v>6</v>
      </c>
      <c r="E35" s="1142" t="str">
        <f t="shared" ref="E35:E40" si="1">"-"</f>
        <v>-</v>
      </c>
      <c r="F35" s="313">
        <v>10</v>
      </c>
      <c r="G35" s="603" t="str">
        <f>IF(F35&gt;$F$29,"Achtung! Wert liegt über gesamster Kreditlaufzeit","")</f>
        <v/>
      </c>
      <c r="H35" s="1142">
        <f t="shared" ref="H35:H40" si="2">IF(OR(D35="",F35=""),"",F35-D35+1)</f>
        <v>5</v>
      </c>
      <c r="I35" s="218">
        <v>2.5000000000000001E-2</v>
      </c>
      <c r="J35" s="607">
        <f t="shared" si="0"/>
        <v>45810.170000000006</v>
      </c>
      <c r="K35" s="1151"/>
      <c r="L35" s="1151"/>
      <c r="M35" s="1151"/>
      <c r="N35" s="1151"/>
      <c r="O35" s="1151"/>
      <c r="P35" s="1151"/>
      <c r="Q35" s="1151"/>
      <c r="R35" s="1151"/>
      <c r="S35" s="440"/>
    </row>
    <row r="36" spans="1:29" ht="12.95" customHeight="1" x14ac:dyDescent="0.2">
      <c r="A36" s="440"/>
      <c r="B36" s="577"/>
      <c r="C36" s="578"/>
      <c r="D36" s="1142">
        <f>IF(OR(F35="",F35=0,F35=$F$29),"",1+F35)</f>
        <v>11</v>
      </c>
      <c r="E36" s="1142" t="str">
        <f t="shared" si="1"/>
        <v>-</v>
      </c>
      <c r="F36" s="313">
        <v>15</v>
      </c>
      <c r="G36" s="603" t="str">
        <f t="shared" ref="G36:G40" si="3">IF(F36&gt;$F$29,"Achtung! Wert liegt über gesamster Kreditlaufzeit","")</f>
        <v/>
      </c>
      <c r="H36" s="1142">
        <f t="shared" si="2"/>
        <v>5</v>
      </c>
      <c r="I36" s="218">
        <v>3.5000000000000003E-2</v>
      </c>
      <c r="J36" s="607">
        <f t="shared" si="0"/>
        <v>64129.438000000009</v>
      </c>
      <c r="K36" s="1151"/>
      <c r="L36" s="1151"/>
      <c r="M36" s="1151"/>
      <c r="N36" s="1151"/>
      <c r="O36" s="1151"/>
      <c r="P36" s="1151"/>
      <c r="Q36" s="1151"/>
      <c r="R36" s="1151"/>
      <c r="S36" s="440"/>
    </row>
    <row r="37" spans="1:29" ht="12.95" customHeight="1" x14ac:dyDescent="0.2">
      <c r="A37" s="440"/>
      <c r="B37" s="577"/>
      <c r="C37" s="578"/>
      <c r="D37" s="1142">
        <f>IF(OR(F36="",F36=0,F36=$F$29),"",1+F36)</f>
        <v>16</v>
      </c>
      <c r="E37" s="1142" t="str">
        <f t="shared" si="1"/>
        <v>-</v>
      </c>
      <c r="F37" s="313">
        <v>20</v>
      </c>
      <c r="G37" s="603" t="str">
        <f t="shared" si="3"/>
        <v/>
      </c>
      <c r="H37" s="1142">
        <f t="shared" si="2"/>
        <v>5</v>
      </c>
      <c r="I37" s="218">
        <v>4.4999999999999998E-2</v>
      </c>
      <c r="J37" s="607">
        <f t="shared" si="0"/>
        <v>82448.706000000006</v>
      </c>
      <c r="K37" s="1151"/>
      <c r="L37" s="1151"/>
      <c r="M37" s="1151"/>
      <c r="N37" s="1151"/>
      <c r="O37" s="1151"/>
      <c r="P37" s="1151"/>
      <c r="Q37" s="1151"/>
      <c r="R37" s="1151"/>
      <c r="S37" s="440"/>
    </row>
    <row r="38" spans="1:29" ht="12.95" customHeight="1" x14ac:dyDescent="0.2">
      <c r="A38" s="440"/>
      <c r="B38" s="577"/>
      <c r="C38" s="578"/>
      <c r="D38" s="1142">
        <f t="shared" ref="D38:D40" si="4">IF(OR(F37="",F37=0,F37=$F$29),"",1+F37)</f>
        <v>21</v>
      </c>
      <c r="E38" s="1142" t="str">
        <f t="shared" si="1"/>
        <v>-</v>
      </c>
      <c r="F38" s="313">
        <v>25</v>
      </c>
      <c r="G38" s="603" t="str">
        <f t="shared" si="3"/>
        <v/>
      </c>
      <c r="H38" s="1142">
        <f t="shared" si="2"/>
        <v>5</v>
      </c>
      <c r="I38" s="218">
        <v>5.5E-2</v>
      </c>
      <c r="J38" s="607">
        <f t="shared" si="0"/>
        <v>100767.974</v>
      </c>
      <c r="K38" s="1151"/>
      <c r="L38" s="1151"/>
      <c r="M38" s="1151"/>
      <c r="N38" s="1151"/>
      <c r="O38" s="1151"/>
      <c r="P38" s="1151"/>
      <c r="Q38" s="1151"/>
      <c r="R38" s="1151"/>
      <c r="S38" s="440"/>
    </row>
    <row r="39" spans="1:29" ht="12.95" customHeight="1" x14ac:dyDescent="0.2">
      <c r="A39" s="440"/>
      <c r="B39" s="577"/>
      <c r="C39" s="578"/>
      <c r="D39" s="1142">
        <f t="shared" si="4"/>
        <v>26</v>
      </c>
      <c r="E39" s="1142" t="str">
        <f t="shared" si="1"/>
        <v>-</v>
      </c>
      <c r="F39" s="313">
        <v>30</v>
      </c>
      <c r="G39" s="603" t="str">
        <f t="shared" si="3"/>
        <v/>
      </c>
      <c r="H39" s="1142">
        <f t="shared" si="2"/>
        <v>5</v>
      </c>
      <c r="I39" s="218">
        <v>0.06</v>
      </c>
      <c r="J39" s="607">
        <f t="shared" si="0"/>
        <v>109927.60799999999</v>
      </c>
      <c r="K39" s="1151"/>
      <c r="L39" s="1151"/>
      <c r="M39" s="1151"/>
      <c r="N39" s="1151"/>
      <c r="O39" s="1151"/>
      <c r="P39" s="1151"/>
      <c r="Q39" s="1151"/>
      <c r="R39" s="1151"/>
      <c r="S39" s="440"/>
    </row>
    <row r="40" spans="1:29" ht="12.95" customHeight="1" x14ac:dyDescent="0.2">
      <c r="A40" s="440"/>
      <c r="B40" s="577"/>
      <c r="C40" s="578"/>
      <c r="D40" s="1142">
        <f t="shared" si="4"/>
        <v>31</v>
      </c>
      <c r="E40" s="1142" t="str">
        <f t="shared" si="1"/>
        <v>-</v>
      </c>
      <c r="F40" s="313">
        <v>35</v>
      </c>
      <c r="G40" s="603" t="str">
        <f t="shared" si="3"/>
        <v/>
      </c>
      <c r="H40" s="1142">
        <f t="shared" si="2"/>
        <v>5</v>
      </c>
      <c r="I40" s="218">
        <v>6.5000000000000002E-2</v>
      </c>
      <c r="J40" s="607">
        <f t="shared" si="0"/>
        <v>119087.24200000001</v>
      </c>
      <c r="K40" s="1151"/>
      <c r="L40" s="1151"/>
      <c r="M40" s="1151"/>
      <c r="N40" s="1151"/>
      <c r="O40" s="1151"/>
      <c r="P40" s="1151"/>
      <c r="Q40" s="1151"/>
      <c r="R40" s="1151"/>
      <c r="S40" s="440"/>
    </row>
    <row r="41" spans="1:29" ht="12.95" customHeight="1" x14ac:dyDescent="0.2">
      <c r="A41" s="440"/>
      <c r="B41" s="1151"/>
      <c r="C41" s="1151"/>
      <c r="D41" s="1151"/>
      <c r="E41" s="1151"/>
      <c r="F41" s="1151"/>
      <c r="G41" s="1151"/>
      <c r="H41" s="1151"/>
      <c r="I41" s="1151"/>
      <c r="J41" s="1151"/>
      <c r="K41" s="1151"/>
      <c r="L41" s="1151"/>
      <c r="M41" s="1151"/>
      <c r="N41" s="1151"/>
      <c r="O41" s="1151"/>
      <c r="P41" s="1151"/>
      <c r="Q41" s="1151"/>
      <c r="R41" s="1151"/>
      <c r="S41" s="440"/>
    </row>
    <row r="42" spans="1:29" ht="12.95" customHeight="1" x14ac:dyDescent="0.2">
      <c r="A42" s="440"/>
      <c r="B42" s="577"/>
      <c r="C42" s="578"/>
      <c r="D42" s="578"/>
      <c r="E42" s="579"/>
      <c r="F42" s="579"/>
      <c r="G42" s="579"/>
      <c r="H42" s="1151"/>
      <c r="I42" s="1151"/>
      <c r="J42" s="1151"/>
      <c r="K42" s="1151"/>
      <c r="L42" s="317"/>
      <c r="M42" s="317"/>
      <c r="N42" s="608"/>
      <c r="O42" s="317"/>
      <c r="P42" s="317"/>
      <c r="Q42" s="317"/>
      <c r="R42" s="317"/>
      <c r="S42" s="440"/>
    </row>
    <row r="43" spans="1:29" ht="39.950000000000003" customHeight="1" x14ac:dyDescent="0.2">
      <c r="A43" s="440"/>
      <c r="B43" s="1164"/>
      <c r="C43" s="1165"/>
      <c r="D43" s="1165"/>
      <c r="E43" s="1165"/>
      <c r="F43" s="1165"/>
      <c r="G43" s="1165"/>
      <c r="H43" s="1165"/>
      <c r="I43" s="1165"/>
      <c r="J43" s="1165"/>
      <c r="K43" s="1165"/>
      <c r="L43" s="1165"/>
      <c r="M43" s="1165"/>
      <c r="N43" s="1165"/>
      <c r="O43" s="1165"/>
      <c r="P43" s="1165"/>
      <c r="Q43" s="1165"/>
      <c r="R43" s="1165"/>
      <c r="S43" s="440"/>
    </row>
    <row r="44" spans="1:29" ht="12.95" customHeight="1" x14ac:dyDescent="0.2">
      <c r="A44" s="440"/>
      <c r="B44" s="413"/>
      <c r="C44" s="628"/>
      <c r="D44" s="628"/>
      <c r="E44" s="414"/>
      <c r="F44" s="414"/>
      <c r="G44" s="414"/>
      <c r="H44" s="414"/>
      <c r="I44" s="628"/>
      <c r="J44" s="628"/>
      <c r="K44" s="1053" t="s">
        <v>94</v>
      </c>
      <c r="L44" s="438"/>
      <c r="M44" s="628"/>
      <c r="N44" s="628"/>
      <c r="O44" s="610"/>
      <c r="P44" s="610"/>
      <c r="Q44" s="610"/>
      <c r="R44" s="610"/>
      <c r="S44" s="440"/>
    </row>
    <row r="45" spans="1:29" ht="12.95" customHeight="1" x14ac:dyDescent="0.2">
      <c r="A45" s="440"/>
      <c r="B45" s="413"/>
      <c r="C45" s="628"/>
      <c r="D45" s="628"/>
      <c r="E45" s="414"/>
      <c r="F45" s="414"/>
      <c r="G45" s="414"/>
      <c r="H45" s="414"/>
      <c r="I45" s="628"/>
      <c r="J45" s="628"/>
      <c r="K45" s="319" t="s">
        <v>93</v>
      </c>
      <c r="L45" s="319"/>
      <c r="M45" s="628"/>
      <c r="N45" s="628"/>
      <c r="O45" s="610"/>
      <c r="P45" s="610"/>
      <c r="Q45" s="610"/>
      <c r="R45" s="610"/>
      <c r="S45" s="440"/>
    </row>
    <row r="46" spans="1:29" ht="12.95" customHeight="1" x14ac:dyDescent="0.2">
      <c r="A46" s="440"/>
      <c r="B46" s="609" t="s">
        <v>60</v>
      </c>
      <c r="C46" s="494"/>
      <c r="D46" s="1618" t="s">
        <v>73</v>
      </c>
      <c r="E46" s="1625"/>
      <c r="F46" s="1626"/>
      <c r="G46" s="611"/>
      <c r="H46" s="611"/>
      <c r="I46" s="611"/>
      <c r="J46" s="611"/>
      <c r="K46" s="1131">
        <f ca="1">SUM(K47:K48)</f>
        <v>2996.3999999999996</v>
      </c>
      <c r="L46" s="328"/>
      <c r="M46" s="628"/>
      <c r="N46" s="628"/>
      <c r="O46" s="610"/>
      <c r="P46" s="610"/>
      <c r="Q46" s="610"/>
      <c r="R46" s="610"/>
      <c r="S46" s="440"/>
    </row>
    <row r="47" spans="1:29" ht="12.95" customHeight="1" x14ac:dyDescent="0.2">
      <c r="A47" s="440"/>
      <c r="B47" s="320"/>
      <c r="C47" s="320" t="s">
        <v>74</v>
      </c>
      <c r="D47" s="1621" t="s">
        <v>75</v>
      </c>
      <c r="E47" s="1621"/>
      <c r="F47" s="1621"/>
      <c r="G47" s="1621"/>
      <c r="H47" s="610"/>
      <c r="I47" s="610"/>
      <c r="J47" s="610"/>
      <c r="K47" s="306"/>
      <c r="L47" s="438"/>
      <c r="M47" s="438"/>
      <c r="N47" s="438"/>
      <c r="O47" s="610"/>
      <c r="P47" s="610"/>
      <c r="Q47" s="610"/>
      <c r="R47" s="610"/>
      <c r="S47" s="440"/>
    </row>
    <row r="48" spans="1:29" ht="12.95" customHeight="1" x14ac:dyDescent="0.2">
      <c r="A48" s="440"/>
      <c r="B48" s="320"/>
      <c r="C48" s="320" t="s">
        <v>76</v>
      </c>
      <c r="D48" s="1621" t="s">
        <v>77</v>
      </c>
      <c r="E48" s="1621"/>
      <c r="F48" s="1621"/>
      <c r="G48" s="1621"/>
      <c r="H48" s="628"/>
      <c r="I48" s="628"/>
      <c r="J48" s="628"/>
      <c r="K48" s="620">
        <f ca="1">SUM(K49:K51)</f>
        <v>2996.3999999999996</v>
      </c>
      <c r="L48" s="438"/>
      <c r="M48" s="628"/>
      <c r="N48" s="319"/>
      <c r="O48" s="610"/>
      <c r="P48" s="610"/>
      <c r="Q48" s="610"/>
      <c r="R48" s="610"/>
      <c r="S48" s="440"/>
    </row>
    <row r="49" spans="1:19" ht="12.95" customHeight="1" x14ac:dyDescent="0.2">
      <c r="A49" s="440"/>
      <c r="B49" s="320"/>
      <c r="C49" s="320"/>
      <c r="D49" s="753"/>
      <c r="E49" s="753"/>
      <c r="F49" s="753"/>
      <c r="G49" s="753"/>
      <c r="H49" s="753"/>
      <c r="I49" s="753"/>
      <c r="J49" s="621" t="s">
        <v>531</v>
      </c>
      <c r="K49" s="1133">
        <f ca="1">BERECHNUNG!V148+'PV-Einspeisung'!AB209</f>
        <v>2996.3999999999996</v>
      </c>
      <c r="L49" s="749"/>
      <c r="M49" s="751"/>
      <c r="N49" s="319"/>
      <c r="O49" s="754"/>
      <c r="P49" s="754"/>
      <c r="Q49" s="754"/>
      <c r="R49" s="754"/>
      <c r="S49" s="440"/>
    </row>
    <row r="50" spans="1:19" ht="12.95" customHeight="1" x14ac:dyDescent="0.2">
      <c r="A50" s="440"/>
      <c r="B50" s="320"/>
      <c r="C50" s="320"/>
      <c r="D50" s="753"/>
      <c r="E50" s="753"/>
      <c r="F50" s="753"/>
      <c r="G50" s="753"/>
      <c r="H50" s="753"/>
      <c r="I50" s="753"/>
      <c r="J50" s="621" t="s">
        <v>532</v>
      </c>
      <c r="K50" s="1132"/>
      <c r="L50" s="749"/>
      <c r="M50" s="751"/>
      <c r="N50" s="319"/>
      <c r="O50" s="754"/>
      <c r="P50" s="754"/>
      <c r="Q50" s="754"/>
      <c r="R50" s="754"/>
      <c r="S50" s="440"/>
    </row>
    <row r="51" spans="1:19" ht="12.95" customHeight="1" x14ac:dyDescent="0.2">
      <c r="A51" s="440"/>
      <c r="B51" s="320"/>
      <c r="C51" s="320"/>
      <c r="D51" s="753"/>
      <c r="E51" s="753"/>
      <c r="F51" s="753"/>
      <c r="G51" s="753"/>
      <c r="H51" s="753"/>
      <c r="I51" s="753"/>
      <c r="J51" s="621" t="s">
        <v>272</v>
      </c>
      <c r="K51" s="1132"/>
      <c r="L51" s="749"/>
      <c r="M51" s="751"/>
      <c r="N51" s="319"/>
      <c r="O51" s="754"/>
      <c r="P51" s="754"/>
      <c r="Q51" s="754"/>
      <c r="R51" s="754"/>
      <c r="S51" s="440"/>
    </row>
    <row r="52" spans="1:19" ht="12.95" customHeight="1" x14ac:dyDescent="0.2">
      <c r="A52" s="440"/>
      <c r="B52" s="321"/>
      <c r="C52" s="321"/>
      <c r="D52" s="612"/>
      <c r="E52" s="612"/>
      <c r="F52" s="612"/>
      <c r="G52" s="612"/>
      <c r="H52" s="324"/>
      <c r="I52" s="324"/>
      <c r="J52" s="324"/>
      <c r="K52" s="613"/>
      <c r="L52" s="613"/>
      <c r="M52" s="324"/>
      <c r="N52" s="318"/>
      <c r="O52" s="318"/>
      <c r="P52" s="318"/>
      <c r="Q52" s="318"/>
      <c r="R52" s="319"/>
      <c r="S52" s="440"/>
    </row>
    <row r="53" spans="1:19" ht="12.95" customHeight="1" x14ac:dyDescent="0.2">
      <c r="A53" s="440"/>
      <c r="B53" s="320"/>
      <c r="C53" s="320"/>
      <c r="D53" s="614"/>
      <c r="E53" s="614"/>
      <c r="F53" s="614"/>
      <c r="G53" s="614"/>
      <c r="H53" s="628"/>
      <c r="I53" s="628"/>
      <c r="J53" s="628"/>
      <c r="K53" s="1053" t="s">
        <v>94</v>
      </c>
      <c r="L53" s="438"/>
      <c r="M53" s="628"/>
      <c r="N53" s="319"/>
      <c r="O53" s="319"/>
      <c r="P53" s="319"/>
      <c r="Q53" s="319"/>
      <c r="R53" s="319"/>
      <c r="S53" s="440"/>
    </row>
    <row r="54" spans="1:19" ht="12.95" customHeight="1" x14ac:dyDescent="0.2">
      <c r="A54" s="440"/>
      <c r="B54" s="320"/>
      <c r="C54" s="320"/>
      <c r="D54" s="320"/>
      <c r="E54" s="320"/>
      <c r="F54" s="320"/>
      <c r="G54" s="320"/>
      <c r="H54" s="628"/>
      <c r="I54" s="628"/>
      <c r="J54" s="628"/>
      <c r="K54" s="319" t="s">
        <v>93</v>
      </c>
      <c r="L54" s="319"/>
      <c r="M54" s="628"/>
      <c r="N54" s="319"/>
      <c r="O54" s="319"/>
      <c r="P54" s="319"/>
      <c r="Q54" s="319"/>
      <c r="R54" s="319"/>
      <c r="S54" s="440"/>
    </row>
    <row r="55" spans="1:19" ht="12.95" customHeight="1" x14ac:dyDescent="0.2">
      <c r="A55" s="440"/>
      <c r="B55" s="609" t="s">
        <v>55</v>
      </c>
      <c r="C55" s="494"/>
      <c r="D55" s="609" t="s">
        <v>78</v>
      </c>
      <c r="E55" s="609"/>
      <c r="F55" s="609"/>
      <c r="G55" s="322"/>
      <c r="H55" s="610"/>
      <c r="I55" s="610"/>
      <c r="J55" s="610"/>
      <c r="K55" s="1131">
        <f>SUM(K56:K56)</f>
        <v>0</v>
      </c>
      <c r="L55" s="328"/>
      <c r="M55" s="320"/>
      <c r="N55" s="320"/>
      <c r="O55" s="320"/>
      <c r="P55" s="320"/>
      <c r="Q55" s="320"/>
      <c r="R55" s="320"/>
      <c r="S55" s="440"/>
    </row>
    <row r="56" spans="1:19" ht="12.95" customHeight="1" x14ac:dyDescent="0.2">
      <c r="A56" s="440"/>
      <c r="B56" s="628"/>
      <c r="C56" s="320" t="s">
        <v>80</v>
      </c>
      <c r="D56" s="1621" t="s">
        <v>79</v>
      </c>
      <c r="E56" s="1622"/>
      <c r="F56" s="1617"/>
      <c r="G56" s="1617"/>
      <c r="H56" s="610"/>
      <c r="I56" s="610"/>
      <c r="J56" s="610"/>
      <c r="K56" s="1132"/>
      <c r="L56" s="438"/>
      <c r="M56" s="320"/>
      <c r="N56" s="320"/>
      <c r="O56" s="320"/>
      <c r="P56" s="320"/>
      <c r="Q56" s="320"/>
      <c r="R56" s="320"/>
      <c r="S56" s="440"/>
    </row>
    <row r="57" spans="1:19" ht="12.95" customHeight="1" x14ac:dyDescent="0.2">
      <c r="A57" s="440"/>
      <c r="B57" s="324"/>
      <c r="C57" s="321"/>
      <c r="D57" s="321"/>
      <c r="E57" s="321"/>
      <c r="F57" s="321"/>
      <c r="G57" s="321"/>
      <c r="H57" s="321"/>
      <c r="I57" s="321"/>
      <c r="J57" s="321"/>
      <c r="K57" s="321"/>
      <c r="L57" s="321"/>
      <c r="M57" s="321"/>
      <c r="N57" s="321"/>
      <c r="O57" s="321"/>
      <c r="P57" s="321"/>
      <c r="Q57" s="321"/>
      <c r="R57" s="320"/>
      <c r="S57" s="440"/>
    </row>
    <row r="58" spans="1:19" ht="12.95" customHeight="1" x14ac:dyDescent="0.2">
      <c r="A58" s="440"/>
      <c r="B58" s="628"/>
      <c r="C58" s="320"/>
      <c r="D58" s="614"/>
      <c r="E58" s="623"/>
      <c r="F58" s="624"/>
      <c r="G58" s="624"/>
      <c r="H58" s="628"/>
      <c r="I58" s="320"/>
      <c r="J58" s="320"/>
      <c r="K58" s="616" t="s">
        <v>94</v>
      </c>
      <c r="L58" s="616"/>
      <c r="M58" s="320"/>
      <c r="N58" s="320"/>
      <c r="O58" s="320"/>
      <c r="P58" s="320"/>
      <c r="Q58" s="320"/>
      <c r="R58" s="320"/>
      <c r="S58" s="440"/>
    </row>
    <row r="59" spans="1:19" ht="12.95" customHeight="1" x14ac:dyDescent="0.2">
      <c r="A59" s="440"/>
      <c r="B59" s="628"/>
      <c r="C59" s="320"/>
      <c r="D59" s="614"/>
      <c r="E59" s="623"/>
      <c r="F59" s="624"/>
      <c r="G59" s="624"/>
      <c r="H59" s="628"/>
      <c r="I59" s="320"/>
      <c r="J59" s="320"/>
      <c r="K59" s="328" t="s">
        <v>93</v>
      </c>
      <c r="L59" s="328"/>
      <c r="M59" s="320"/>
      <c r="N59" s="320"/>
      <c r="O59" s="320"/>
      <c r="P59" s="320"/>
      <c r="Q59" s="320"/>
      <c r="R59" s="320"/>
      <c r="S59" s="440"/>
    </row>
    <row r="60" spans="1:19" ht="12.95" customHeight="1" x14ac:dyDescent="0.2">
      <c r="A60" s="440"/>
      <c r="B60" s="609" t="s">
        <v>49</v>
      </c>
      <c r="C60" s="494"/>
      <c r="D60" s="1618" t="s">
        <v>187</v>
      </c>
      <c r="E60" s="1618"/>
      <c r="F60" s="1618"/>
      <c r="G60" s="322"/>
      <c r="H60" s="322"/>
      <c r="I60" s="610"/>
      <c r="J60" s="610"/>
      <c r="K60" s="1131">
        <f ca="1">SUM(K63:K80,K89,K84:K85)</f>
        <v>8469.1298366400006</v>
      </c>
      <c r="L60" s="628"/>
      <c r="M60" s="610"/>
      <c r="N60" s="322"/>
      <c r="O60" s="322"/>
      <c r="P60" s="322"/>
      <c r="Q60" s="322"/>
      <c r="R60" s="322"/>
      <c r="S60" s="440"/>
    </row>
    <row r="61" spans="1:19" ht="12.95" customHeight="1" x14ac:dyDescent="0.2">
      <c r="A61" s="440"/>
      <c r="B61" s="320"/>
      <c r="C61" s="320" t="s">
        <v>81</v>
      </c>
      <c r="D61" s="1621" t="s">
        <v>168</v>
      </c>
      <c r="E61" s="1621"/>
      <c r="F61" s="1621"/>
      <c r="G61" s="623" t="s">
        <v>453</v>
      </c>
      <c r="H61" s="610" t="s">
        <v>321</v>
      </c>
      <c r="I61" s="446" t="s">
        <v>319</v>
      </c>
      <c r="J61" s="446" t="s">
        <v>208</v>
      </c>
      <c r="K61" s="1056"/>
      <c r="L61" s="610"/>
      <c r="M61" s="610"/>
      <c r="N61" s="610"/>
      <c r="O61" s="610"/>
      <c r="P61" s="610"/>
      <c r="Q61" s="610"/>
      <c r="R61" s="610"/>
      <c r="S61" s="440"/>
    </row>
    <row r="62" spans="1:19" ht="12.75" customHeight="1" x14ac:dyDescent="0.2">
      <c r="A62" s="440"/>
      <c r="B62" s="320"/>
      <c r="C62" s="320"/>
      <c r="D62" s="418" t="s">
        <v>352</v>
      </c>
      <c r="E62" s="610"/>
      <c r="F62" s="610"/>
      <c r="G62" s="328" t="s">
        <v>122</v>
      </c>
      <c r="H62" s="446" t="s">
        <v>121</v>
      </c>
      <c r="I62" s="446" t="s">
        <v>320</v>
      </c>
      <c r="J62" s="446" t="s">
        <v>209</v>
      </c>
      <c r="K62" s="1056"/>
      <c r="L62" s="610"/>
      <c r="M62" s="610"/>
      <c r="N62" s="610"/>
      <c r="O62" s="610"/>
      <c r="P62" s="610"/>
      <c r="Q62" s="610"/>
      <c r="R62" s="610"/>
      <c r="S62" s="440"/>
    </row>
    <row r="63" spans="1:19" ht="12.75" customHeight="1" x14ac:dyDescent="0.2">
      <c r="A63" s="440"/>
      <c r="B63" s="320"/>
      <c r="C63" s="320"/>
      <c r="D63" s="610"/>
      <c r="E63" s="617" t="str">
        <f>'2. Energie KW.'!E15</f>
        <v>Heizung</v>
      </c>
      <c r="F63" s="1142" t="str">
        <f ca="1">VLOOKUP($E63,'2. Energie KW.'!$E$108:$J$125,2,FALSE)</f>
        <v>Wärmepumpenstrom</v>
      </c>
      <c r="G63" s="618">
        <f ca="1">IFERROR(IF(OR(F63="",F63="keine"),0,LOOKUP(MATCH(F63,'1. Projektangaben'!$C$36:$C$43,0),'1. Projektangaben'!$B$36:$B$43,'1. Projektangaben'!$D$36:$D$43)),0)</f>
        <v>0.12156</v>
      </c>
      <c r="H63" s="1142">
        <f>VLOOKUP($E63,'2. Energie KW.'!$E$108:$J$125,6,FALSE)</f>
        <v>5.64</v>
      </c>
      <c r="I63" s="619">
        <f ca="1">G63*H63</f>
        <v>0.68559839999999994</v>
      </c>
      <c r="J63" s="619">
        <f t="shared" ref="J63:J80" ca="1" si="5">IF(OR(F63="",F63="keine"),0,$I$8)</f>
        <v>1410.2</v>
      </c>
      <c r="K63" s="620">
        <f ca="1">J63*I63</f>
        <v>966.83086367999999</v>
      </c>
      <c r="L63" s="325"/>
      <c r="M63" s="610"/>
      <c r="N63" s="610"/>
      <c r="O63" s="610"/>
      <c r="P63" s="610"/>
      <c r="Q63" s="610"/>
      <c r="R63" s="610"/>
      <c r="S63" s="440"/>
    </row>
    <row r="64" spans="1:19" ht="12.75" customHeight="1" x14ac:dyDescent="0.2">
      <c r="A64" s="440"/>
      <c r="B64" s="320"/>
      <c r="C64" s="320"/>
      <c r="D64" s="610"/>
      <c r="E64" s="617" t="str">
        <f>'2. Energie KW.'!E16</f>
        <v>Heizung 2</v>
      </c>
      <c r="F64" s="1142">
        <f ca="1">VLOOKUP($E64,'2. Energie KW.'!$E$108:$J$125,2,FALSE)</f>
        <v>0</v>
      </c>
      <c r="G64" s="618">
        <f ca="1">IFERROR(IF(OR(F64="",F64="keine"),0,LOOKUP(MATCH(F64,'1. Projektangaben'!$C$36:$C$43,0),'1. Projektangaben'!$B$36:$B$43,'1. Projektangaben'!$D$36:$D$43)),0)</f>
        <v>0</v>
      </c>
      <c r="H64" s="1142">
        <f ca="1">VLOOKUP($E64,'2. Energie KW.'!$E$108:$J$125,6,FALSE)</f>
        <v>0</v>
      </c>
      <c r="I64" s="619">
        <f t="shared" ref="I64:I80" ca="1" si="6">G64*H64</f>
        <v>0</v>
      </c>
      <c r="J64" s="619">
        <f t="shared" ca="1" si="5"/>
        <v>1410.2</v>
      </c>
      <c r="K64" s="620">
        <f ca="1">J64*I64</f>
        <v>0</v>
      </c>
      <c r="L64" s="325"/>
      <c r="M64" s="610"/>
      <c r="N64" s="610"/>
      <c r="O64" s="610"/>
      <c r="P64" s="610"/>
      <c r="Q64" s="610"/>
      <c r="R64" s="610"/>
      <c r="S64" s="440"/>
    </row>
    <row r="65" spans="1:19" ht="12.75" customHeight="1" x14ac:dyDescent="0.2">
      <c r="A65" s="440"/>
      <c r="B65" s="320"/>
      <c r="C65" s="320"/>
      <c r="D65" s="610"/>
      <c r="E65" s="617" t="str">
        <f>'2. Energie KW.'!E17</f>
        <v>Warmwasser</v>
      </c>
      <c r="F65" s="1142" t="str">
        <f ca="1">VLOOKUP($E65,'2. Energie KW.'!$E$108:$J$125,2,FALSE)</f>
        <v>Wärmepumpenstrom</v>
      </c>
      <c r="G65" s="618">
        <f ca="1">IFERROR(IF(OR(F65="",F65="keine"),0,LOOKUP(MATCH(F65,'1. Projektangaben'!$C$36:$C$43,0),'1. Projektangaben'!$B$36:$B$43,'1. Projektangaben'!$D$36:$D$43)),0)</f>
        <v>0.12156</v>
      </c>
      <c r="H65" s="1142">
        <f>VLOOKUP($E65,'2. Energie KW.'!$E$108:$J$125,6,FALSE)</f>
        <v>6.1</v>
      </c>
      <c r="I65" s="619">
        <f t="shared" ca="1" si="6"/>
        <v>0.74151599999999995</v>
      </c>
      <c r="J65" s="619">
        <f t="shared" ca="1" si="5"/>
        <v>1410.2</v>
      </c>
      <c r="K65" s="620">
        <f t="shared" ref="K65:K80" ca="1" si="7">J65*I65</f>
        <v>1045.6858631999999</v>
      </c>
      <c r="L65" s="325"/>
      <c r="M65" s="610"/>
      <c r="N65" s="610"/>
      <c r="O65" s="610"/>
      <c r="P65" s="610"/>
      <c r="Q65" s="610"/>
      <c r="R65" s="610"/>
      <c r="S65" s="440"/>
    </row>
    <row r="66" spans="1:19" ht="12.75" customHeight="1" x14ac:dyDescent="0.2">
      <c r="A66" s="440"/>
      <c r="B66" s="320"/>
      <c r="C66" s="320"/>
      <c r="D66" s="610"/>
      <c r="E66" s="617" t="str">
        <f>'2. Energie KW.'!E18</f>
        <v>Warmwasser 2</v>
      </c>
      <c r="F66" s="1142">
        <f ca="1">VLOOKUP($E66,'2. Energie KW.'!$E$108:$J$125,2,FALSE)</f>
        <v>0</v>
      </c>
      <c r="G66" s="618">
        <f ca="1">IFERROR(IF(OR(F66="",F66="keine"),0,LOOKUP(MATCH(F66,'1. Projektangaben'!$C$36:$C$43,0),'1. Projektangaben'!$B$36:$B$43,'1. Projektangaben'!$D$36:$D$43)),0)</f>
        <v>0</v>
      </c>
      <c r="H66" s="1142">
        <f ca="1">VLOOKUP($E66,'2. Energie KW.'!$E$108:$J$125,6,FALSE)</f>
        <v>0</v>
      </c>
      <c r="I66" s="619">
        <f t="shared" ca="1" si="6"/>
        <v>0</v>
      </c>
      <c r="J66" s="619">
        <f t="shared" ca="1" si="5"/>
        <v>1410.2</v>
      </c>
      <c r="K66" s="620">
        <f t="shared" ca="1" si="7"/>
        <v>0</v>
      </c>
      <c r="L66" s="325"/>
      <c r="M66" s="610"/>
      <c r="N66" s="610"/>
      <c r="O66" s="610"/>
      <c r="P66" s="610"/>
      <c r="Q66" s="610"/>
      <c r="R66" s="610"/>
      <c r="S66" s="440"/>
    </row>
    <row r="67" spans="1:19" ht="12.75" customHeight="1" x14ac:dyDescent="0.2">
      <c r="A67" s="440"/>
      <c r="B67" s="320"/>
      <c r="C67" s="320"/>
      <c r="D67" s="610"/>
      <c r="E67" s="617" t="str">
        <f>'2. Energie KW.'!E19</f>
        <v>Klimatisierung</v>
      </c>
      <c r="F67" s="1142">
        <f ca="1">VLOOKUP($E67,'2. Energie KW.'!$E$108:$J$125,2,FALSE)</f>
        <v>0</v>
      </c>
      <c r="G67" s="618">
        <f ca="1">IFERROR(IF(OR(F67="",F67="keine"),0,LOOKUP(MATCH(F67,'1. Projektangaben'!$C$36:$C$43,0),'1. Projektangaben'!$B$36:$B$43,'1. Projektangaben'!$D$36:$D$43)),0)</f>
        <v>0</v>
      </c>
      <c r="H67" s="1142">
        <f ca="1">VLOOKUP($E67,'2. Energie KW.'!$E$108:$J$125,6,FALSE)</f>
        <v>0</v>
      </c>
      <c r="I67" s="619">
        <f t="shared" ca="1" si="6"/>
        <v>0</v>
      </c>
      <c r="J67" s="619">
        <f t="shared" ca="1" si="5"/>
        <v>1410.2</v>
      </c>
      <c r="K67" s="620">
        <f t="shared" ca="1" si="7"/>
        <v>0</v>
      </c>
      <c r="L67" s="325"/>
      <c r="M67" s="610"/>
      <c r="N67" s="610"/>
      <c r="O67" s="610"/>
      <c r="P67" s="610"/>
      <c r="Q67" s="610"/>
      <c r="R67" s="610"/>
      <c r="S67" s="440"/>
    </row>
    <row r="68" spans="1:19" ht="12.75" customHeight="1" x14ac:dyDescent="0.2">
      <c r="A68" s="440"/>
      <c r="B68" s="320"/>
      <c r="C68" s="320"/>
      <c r="D68" s="610"/>
      <c r="E68" s="617" t="str">
        <f>'2. Energie KW.'!E20</f>
        <v>Kühlung</v>
      </c>
      <c r="F68" s="1142">
        <f ca="1">VLOOKUP($E68,'2. Energie KW.'!$E$108:$J$125,2,FALSE)</f>
        <v>0</v>
      </c>
      <c r="G68" s="618">
        <f ca="1">IFERROR(IF(OR(F68="",F68="keine"),0,LOOKUP(MATCH(F68,'1. Projektangaben'!$C$36:$C$43,0),'1. Projektangaben'!$B$36:$B$43,'1. Projektangaben'!$D$36:$D$43)),0)</f>
        <v>0</v>
      </c>
      <c r="H68" s="1142">
        <f ca="1">VLOOKUP($E68,'2. Energie KW.'!$E$108:$J$125,6,FALSE)</f>
        <v>0</v>
      </c>
      <c r="I68" s="619">
        <f t="shared" ca="1" si="6"/>
        <v>0</v>
      </c>
      <c r="J68" s="619">
        <f t="shared" ca="1" si="5"/>
        <v>1410.2</v>
      </c>
      <c r="K68" s="620">
        <f t="shared" ca="1" si="7"/>
        <v>0</v>
      </c>
      <c r="L68" s="325"/>
      <c r="M68" s="610"/>
      <c r="N68" s="610"/>
      <c r="O68" s="610"/>
      <c r="P68" s="610"/>
      <c r="Q68" s="610"/>
      <c r="R68" s="610"/>
      <c r="S68" s="440"/>
    </row>
    <row r="69" spans="1:19" ht="12.75" customHeight="1" x14ac:dyDescent="0.2">
      <c r="A69" s="440"/>
      <c r="B69" s="320"/>
      <c r="C69" s="320"/>
      <c r="D69" s="610"/>
      <c r="E69" s="617" t="str">
        <f>'2. Energie KW.'!E21</f>
        <v>Hilfstrom Heizung</v>
      </c>
      <c r="F69" s="1142" t="str">
        <f>VLOOKUP($E69,'2. Energie KW.'!$E$108:$J$125,2,FALSE)</f>
        <v>Strom</v>
      </c>
      <c r="G69" s="618">
        <f>IFERROR(IF(OR(F69="",F69="keine"),0,LOOKUP(MATCH(F69,'1. Projektangaben'!$C$36:$C$43,0),'1. Projektangaben'!$B$36:$B$43,'1. Projektangaben'!$D$36:$D$43)),0)</f>
        <v>0.15551999999999999</v>
      </c>
      <c r="H69" s="1142">
        <f>VLOOKUP($E69,'2. Energie KW.'!$E$108:$J$125,6,FALSE)</f>
        <v>0.74</v>
      </c>
      <c r="I69" s="619">
        <f t="shared" si="6"/>
        <v>0.11508479999999999</v>
      </c>
      <c r="J69" s="619">
        <f t="shared" si="5"/>
        <v>1410.2</v>
      </c>
      <c r="K69" s="620">
        <f t="shared" si="7"/>
        <v>162.29258496</v>
      </c>
      <c r="L69" s="325"/>
      <c r="M69" s="610"/>
      <c r="N69" s="610"/>
      <c r="O69" s="610"/>
      <c r="P69" s="610"/>
      <c r="Q69" s="610"/>
      <c r="R69" s="610"/>
      <c r="S69" s="440"/>
    </row>
    <row r="70" spans="1:19" ht="12.75" customHeight="1" x14ac:dyDescent="0.2">
      <c r="A70" s="440"/>
      <c r="B70" s="320"/>
      <c r="C70" s="320"/>
      <c r="D70" s="610"/>
      <c r="E70" s="617" t="str">
        <f>'2. Energie KW.'!E22</f>
        <v>Hilfsstrom Warmwasser</v>
      </c>
      <c r="F70" s="1142" t="str">
        <f>VLOOKUP($E70,'2. Energie KW.'!$E$108:$J$125,2,FALSE)</f>
        <v>Strom</v>
      </c>
      <c r="G70" s="618">
        <f>IFERROR(IF(OR(F70="",F70="keine"),0,LOOKUP(MATCH(F70,'1. Projektangaben'!$C$36:$C$43,0),'1. Projektangaben'!$B$36:$B$43,'1. Projektangaben'!$D$36:$D$43)),0)</f>
        <v>0.15551999999999999</v>
      </c>
      <c r="H70" s="1142">
        <f>VLOOKUP($E70,'2. Energie KW.'!$E$108:$J$125,6,FALSE)</f>
        <v>0.5</v>
      </c>
      <c r="I70" s="619">
        <f t="shared" si="6"/>
        <v>7.7759999999999996E-2</v>
      </c>
      <c r="J70" s="619">
        <f t="shared" si="5"/>
        <v>1410.2</v>
      </c>
      <c r="K70" s="620">
        <f t="shared" si="7"/>
        <v>109.657152</v>
      </c>
      <c r="L70" s="325"/>
      <c r="M70" s="610"/>
      <c r="N70" s="610"/>
      <c r="O70" s="610"/>
      <c r="P70" s="610"/>
      <c r="Q70" s="610"/>
      <c r="R70" s="610"/>
      <c r="S70" s="440"/>
    </row>
    <row r="71" spans="1:19" ht="12.75" customHeight="1" x14ac:dyDescent="0.2">
      <c r="A71" s="440"/>
      <c r="B71" s="320"/>
      <c r="C71" s="320"/>
      <c r="D71" s="610"/>
      <c r="E71" s="617" t="str">
        <f>'2. Energie KW.'!E23</f>
        <v>Hilfsstrom Solaranlage</v>
      </c>
      <c r="F71" s="1142" t="str">
        <f>VLOOKUP($E71,'2. Energie KW.'!$E$108:$J$125,2,FALSE)</f>
        <v>Strom</v>
      </c>
      <c r="G71" s="618">
        <f>IFERROR(IF(OR(F71="",F71="keine"),0,LOOKUP(MATCH(F71,'1. Projektangaben'!$C$36:$C$43,0),'1. Projektangaben'!$B$36:$B$43,'1. Projektangaben'!$D$36:$D$43)),0)</f>
        <v>0.15551999999999999</v>
      </c>
      <c r="H71" s="1142">
        <f ca="1">VLOOKUP($E71,'2. Energie KW.'!$E$108:$J$125,6,FALSE)</f>
        <v>0</v>
      </c>
      <c r="I71" s="619">
        <f t="shared" ca="1" si="6"/>
        <v>0</v>
      </c>
      <c r="J71" s="619">
        <f t="shared" si="5"/>
        <v>1410.2</v>
      </c>
      <c r="K71" s="620">
        <f t="shared" ca="1" si="7"/>
        <v>0</v>
      </c>
      <c r="L71" s="325"/>
      <c r="M71" s="610"/>
      <c r="N71" s="610"/>
      <c r="O71" s="610"/>
      <c r="P71" s="610"/>
      <c r="Q71" s="610"/>
      <c r="R71" s="610"/>
      <c r="S71" s="440"/>
    </row>
    <row r="72" spans="1:19" ht="12.75" customHeight="1" x14ac:dyDescent="0.2">
      <c r="A72" s="440"/>
      <c r="B72" s="320"/>
      <c r="C72" s="320"/>
      <c r="D72" s="610"/>
      <c r="E72" s="617" t="str">
        <f>'2. Energie KW.'!E24</f>
        <v>Hilfsstrom Klimatisierung</v>
      </c>
      <c r="F72" s="1142" t="str">
        <f>VLOOKUP($E72,'2. Energie KW.'!$E$108:$J$125,2,FALSE)</f>
        <v>Strom</v>
      </c>
      <c r="G72" s="618">
        <f>IFERROR(IF(OR(F72="",F72="keine"),0,LOOKUP(MATCH(F72,'1. Projektangaben'!$C$36:$C$43,0),'1. Projektangaben'!$B$36:$B$43,'1. Projektangaben'!$D$36:$D$43)),0)</f>
        <v>0.15551999999999999</v>
      </c>
      <c r="H72" s="1142">
        <f ca="1">VLOOKUP($E72,'2. Energie KW.'!$E$108:$J$125,6,FALSE)</f>
        <v>0</v>
      </c>
      <c r="I72" s="619">
        <f t="shared" ca="1" si="6"/>
        <v>0</v>
      </c>
      <c r="J72" s="619">
        <f t="shared" si="5"/>
        <v>1410.2</v>
      </c>
      <c r="K72" s="620">
        <f t="shared" ca="1" si="7"/>
        <v>0</v>
      </c>
      <c r="L72" s="325"/>
      <c r="M72" s="610"/>
      <c r="N72" s="610"/>
      <c r="O72" s="610"/>
      <c r="P72" s="610"/>
      <c r="Q72" s="610"/>
      <c r="R72" s="610"/>
      <c r="S72" s="440"/>
    </row>
    <row r="73" spans="1:19" ht="12.75" customHeight="1" x14ac:dyDescent="0.2">
      <c r="A73" s="440"/>
      <c r="B73" s="320"/>
      <c r="C73" s="320"/>
      <c r="D73" s="610"/>
      <c r="E73" s="617" t="str">
        <f>'2. Energie KW.'!E25</f>
        <v>Hilfsstrom Lüftung</v>
      </c>
      <c r="F73" s="1142" t="str">
        <f>VLOOKUP($E73,'2. Energie KW.'!$E$108:$J$125,2,FALSE)</f>
        <v>Strom</v>
      </c>
      <c r="G73" s="618">
        <f>IFERROR(IF(OR(F73="",F73="keine"),0,LOOKUP(MATCH(F73,'1. Projektangaben'!$C$36:$C$43,0),'1. Projektangaben'!$B$36:$B$43,'1. Projektangaben'!$D$36:$D$43)),0)</f>
        <v>0.15551999999999999</v>
      </c>
      <c r="H73" s="1142">
        <f>VLOOKUP($E73,'2. Energie KW.'!$E$108:$J$125,6,FALSE)</f>
        <v>3.2</v>
      </c>
      <c r="I73" s="619">
        <f t="shared" si="6"/>
        <v>0.497664</v>
      </c>
      <c r="J73" s="619">
        <f t="shared" si="5"/>
        <v>1410.2</v>
      </c>
      <c r="K73" s="620">
        <f t="shared" si="7"/>
        <v>701.8057728</v>
      </c>
      <c r="L73" s="325"/>
      <c r="M73" s="610"/>
      <c r="N73" s="610"/>
      <c r="O73" s="610"/>
      <c r="P73" s="610"/>
      <c r="Q73" s="610"/>
      <c r="R73" s="610"/>
      <c r="S73" s="440"/>
    </row>
    <row r="74" spans="1:19" ht="12.75" customHeight="1" x14ac:dyDescent="0.2">
      <c r="A74" s="440"/>
      <c r="B74" s="320"/>
      <c r="C74" s="320"/>
      <c r="D74" s="610"/>
      <c r="E74" s="617" t="str">
        <f>'2. Energie KW.'!E26</f>
        <v>Hilfsstrom Kühlung</v>
      </c>
      <c r="F74" s="1142" t="str">
        <f>VLOOKUP($E74,'2. Energie KW.'!$E$108:$J$125,2,FALSE)</f>
        <v>Strom</v>
      </c>
      <c r="G74" s="618">
        <f>IFERROR(IF(OR(F74="",F74="keine"),0,LOOKUP(MATCH(F74,'1. Projektangaben'!$C$36:$C$43,0),'1. Projektangaben'!$B$36:$B$43,'1. Projektangaben'!$D$36:$D$43)),0)</f>
        <v>0.15551999999999999</v>
      </c>
      <c r="H74" s="1142">
        <f ca="1">VLOOKUP($E74,'2. Energie KW.'!$E$108:$J$125,6,FALSE)</f>
        <v>0</v>
      </c>
      <c r="I74" s="619">
        <f t="shared" ca="1" si="6"/>
        <v>0</v>
      </c>
      <c r="J74" s="619">
        <f t="shared" si="5"/>
        <v>1410.2</v>
      </c>
      <c r="K74" s="620">
        <f t="shared" ca="1" si="7"/>
        <v>0</v>
      </c>
      <c r="L74" s="325"/>
      <c r="M74" s="610"/>
      <c r="N74" s="610"/>
      <c r="O74" s="610"/>
      <c r="P74" s="610"/>
      <c r="Q74" s="610"/>
      <c r="R74" s="610"/>
      <c r="S74" s="440"/>
    </row>
    <row r="75" spans="1:19" ht="12.75" customHeight="1" x14ac:dyDescent="0.2">
      <c r="A75" s="440"/>
      <c r="B75" s="320"/>
      <c r="C75" s="320"/>
      <c r="D75" s="610"/>
      <c r="E75" s="617" t="str">
        <f>'2. Energie KW.'!E27</f>
        <v>Beleuchtung</v>
      </c>
      <c r="F75" s="1142" t="str">
        <f>VLOOKUP($E75,'2. Energie KW.'!$E$108:$J$125,2,FALSE)</f>
        <v>Strom</v>
      </c>
      <c r="G75" s="618">
        <f>IFERROR(IF(OR(F75="",F75="keine"),0,LOOKUP(MATCH(F75,'1. Projektangaben'!$C$36:$C$43,0),'1. Projektangaben'!$B$36:$B$43,'1. Projektangaben'!$D$36:$D$43)),0)</f>
        <v>0.15551999999999999</v>
      </c>
      <c r="H75" s="1142">
        <f ca="1">VLOOKUP($E75,'2. Energie KW.'!$E$108:$J$125,6,FALSE)</f>
        <v>0</v>
      </c>
      <c r="I75" s="619">
        <f t="shared" ca="1" si="6"/>
        <v>0</v>
      </c>
      <c r="J75" s="619">
        <f t="shared" si="5"/>
        <v>1410.2</v>
      </c>
      <c r="K75" s="620">
        <f t="shared" ca="1" si="7"/>
        <v>0</v>
      </c>
      <c r="L75" s="325"/>
      <c r="M75" s="610"/>
      <c r="N75" s="610"/>
      <c r="O75" s="610"/>
      <c r="P75" s="610"/>
      <c r="Q75" s="610"/>
      <c r="R75" s="610"/>
      <c r="S75" s="440"/>
    </row>
    <row r="76" spans="1:19" ht="12.75" customHeight="1" x14ac:dyDescent="0.2">
      <c r="A76" s="440"/>
      <c r="B76" s="320"/>
      <c r="C76" s="320"/>
      <c r="D76" s="610"/>
      <c r="E76" s="617" t="str">
        <f>'2. Energie KW.'!E28</f>
        <v>EDV</v>
      </c>
      <c r="F76" s="1142" t="str">
        <f>VLOOKUP($E76,'2. Energie KW.'!$E$108:$J$125,2,FALSE)</f>
        <v>Strom</v>
      </c>
      <c r="G76" s="618">
        <f>IFERROR(IF(OR(F76="",F76="keine"),0,LOOKUP(MATCH(F76,'1. Projektangaben'!$C$36:$C$43,0),'1. Projektangaben'!$B$36:$B$43,'1. Projektangaben'!$D$36:$D$43)),0)</f>
        <v>0.15551999999999999</v>
      </c>
      <c r="H76" s="1142">
        <f ca="1">VLOOKUP($E76,'2. Energie KW.'!$E$108:$J$125,6,FALSE)</f>
        <v>0</v>
      </c>
      <c r="I76" s="619">
        <f t="shared" ca="1" si="6"/>
        <v>0</v>
      </c>
      <c r="J76" s="619">
        <f t="shared" si="5"/>
        <v>1410.2</v>
      </c>
      <c r="K76" s="620">
        <f t="shared" ca="1" si="7"/>
        <v>0</v>
      </c>
      <c r="L76" s="325"/>
      <c r="M76" s="610"/>
      <c r="N76" s="610"/>
      <c r="O76" s="610"/>
      <c r="P76" s="610"/>
      <c r="Q76" s="610"/>
      <c r="R76" s="610"/>
      <c r="S76" s="440"/>
    </row>
    <row r="77" spans="1:19" ht="12.75" customHeight="1" x14ac:dyDescent="0.2">
      <c r="A77" s="440"/>
      <c r="B77" s="320"/>
      <c r="C77" s="320"/>
      <c r="D77" s="610"/>
      <c r="E77" s="617" t="str">
        <f>'2. Energie KW.'!E29</f>
        <v>Haushaltsstrom</v>
      </c>
      <c r="F77" s="1142" t="str">
        <f>VLOOKUP($E77,'2. Energie KW.'!$E$108:$J$125,2,FALSE)</f>
        <v>Strom</v>
      </c>
      <c r="G77" s="618">
        <f>IFERROR(IF(OR(F77="",F77="keine"),0,LOOKUP(MATCH(F77,'1. Projektangaben'!$C$36:$C$43,0),'1. Projektangaben'!$B$36:$B$43,'1. Projektangaben'!$D$36:$D$43)),0)</f>
        <v>0.15551999999999999</v>
      </c>
      <c r="H77" s="1142">
        <f ca="1">VLOOKUP($E77,'2. Energie KW.'!$E$108:$J$125,6,FALSE)</f>
        <v>25</v>
      </c>
      <c r="I77" s="619">
        <f t="shared" ca="1" si="6"/>
        <v>3.8879999999999999</v>
      </c>
      <c r="J77" s="619">
        <f t="shared" si="5"/>
        <v>1410.2</v>
      </c>
      <c r="K77" s="620">
        <f t="shared" ca="1" si="7"/>
        <v>5482.8576000000003</v>
      </c>
      <c r="L77" s="325"/>
      <c r="M77" s="610"/>
      <c r="N77" s="610"/>
      <c r="O77" s="610"/>
      <c r="P77" s="610"/>
      <c r="Q77" s="610"/>
      <c r="R77" s="610"/>
      <c r="S77" s="440"/>
    </row>
    <row r="78" spans="1:19" ht="12.75" customHeight="1" x14ac:dyDescent="0.2">
      <c r="A78" s="440"/>
      <c r="B78" s="320"/>
      <c r="C78" s="320"/>
      <c r="D78" s="610"/>
      <c r="E78" s="617" t="str">
        <f>'2. Energie KW.'!E30</f>
        <v>Befeuchten</v>
      </c>
      <c r="F78" s="1142">
        <f ca="1">VLOOKUP($E78,'2. Energie KW.'!$E$108:$J$125,2,FALSE)</f>
        <v>0</v>
      </c>
      <c r="G78" s="618">
        <f ca="1">IFERROR(IF(OR(F78="",F78="keine"),0,LOOKUP(MATCH(F78,'1. Projektangaben'!$C$36:$C$43,0),'1. Projektangaben'!$B$36:$B$43,'1. Projektangaben'!$D$36:$D$43)),0)</f>
        <v>0</v>
      </c>
      <c r="H78" s="1142">
        <f ca="1">VLOOKUP($E78,'2. Energie KW.'!$E$108:$J$125,6,FALSE)</f>
        <v>0</v>
      </c>
      <c r="I78" s="619">
        <f t="shared" ca="1" si="6"/>
        <v>0</v>
      </c>
      <c r="J78" s="619">
        <f t="shared" ca="1" si="5"/>
        <v>1410.2</v>
      </c>
      <c r="K78" s="620">
        <f t="shared" ca="1" si="7"/>
        <v>0</v>
      </c>
      <c r="L78" s="325"/>
      <c r="M78" s="610"/>
      <c r="N78" s="610"/>
      <c r="O78" s="610"/>
      <c r="P78" s="610"/>
      <c r="Q78" s="610"/>
      <c r="R78" s="610"/>
      <c r="S78" s="440"/>
    </row>
    <row r="79" spans="1:19" ht="12.75" customHeight="1" x14ac:dyDescent="0.2">
      <c r="A79" s="440"/>
      <c r="B79" s="320"/>
      <c r="C79" s="320"/>
      <c r="D79" s="610"/>
      <c r="E79" s="617" t="str">
        <f>'2. Energie KW.'!E31</f>
        <v>Entfeuchten</v>
      </c>
      <c r="F79" s="1142">
        <f ca="1">VLOOKUP($E79,'2. Energie KW.'!$E$108:$J$125,2,FALSE)</f>
        <v>0</v>
      </c>
      <c r="G79" s="618">
        <f ca="1">IFERROR(IF(OR(F79="",F79="keine"),0,LOOKUP(MATCH(F79,'1. Projektangaben'!$C$36:$C$43,0),'1. Projektangaben'!$B$36:$B$43,'1. Projektangaben'!$D$36:$D$43)),0)</f>
        <v>0</v>
      </c>
      <c r="H79" s="1142">
        <f ca="1">VLOOKUP($E79,'2. Energie KW.'!$E$108:$J$125,6,FALSE)</f>
        <v>0</v>
      </c>
      <c r="I79" s="619">
        <f t="shared" ca="1" si="6"/>
        <v>0</v>
      </c>
      <c r="J79" s="619">
        <f t="shared" ca="1" si="5"/>
        <v>1410.2</v>
      </c>
      <c r="K79" s="620">
        <f t="shared" ca="1" si="7"/>
        <v>0</v>
      </c>
      <c r="L79" s="325"/>
      <c r="M79" s="610"/>
      <c r="N79" s="610"/>
      <c r="O79" s="610"/>
      <c r="P79" s="610"/>
      <c r="Q79" s="610"/>
      <c r="R79" s="610"/>
      <c r="S79" s="440"/>
    </row>
    <row r="80" spans="1:19" ht="12.75" customHeight="1" x14ac:dyDescent="0.2">
      <c r="A80" s="440"/>
      <c r="B80" s="320"/>
      <c r="C80" s="320"/>
      <c r="D80" s="610"/>
      <c r="E80" s="617" t="str">
        <f>'2. Energie KW.'!E32</f>
        <v>Sonstiges</v>
      </c>
      <c r="F80" s="1142">
        <f ca="1">VLOOKUP($E80,'2. Energie KW.'!$E$108:$J$125,2,FALSE)</f>
        <v>0</v>
      </c>
      <c r="G80" s="618">
        <f ca="1">IFERROR(IF(OR(F80="",F80="keine"),0,LOOKUP(MATCH(F80,'1. Projektangaben'!$C$36:$C$43,0),'1. Projektangaben'!$B$36:$B$43,'1. Projektangaben'!$D$36:$D$43)),0)</f>
        <v>0</v>
      </c>
      <c r="H80" s="1142">
        <f ca="1">VLOOKUP($E80,'2. Energie KW.'!$E$108:$J$125,6,FALSE)</f>
        <v>0</v>
      </c>
      <c r="I80" s="619">
        <f t="shared" ca="1" si="6"/>
        <v>0</v>
      </c>
      <c r="J80" s="619">
        <f t="shared" ca="1" si="5"/>
        <v>1410.2</v>
      </c>
      <c r="K80" s="620">
        <f t="shared" ca="1" si="7"/>
        <v>0</v>
      </c>
      <c r="L80" s="325"/>
      <c r="M80" s="610"/>
      <c r="N80" s="610"/>
      <c r="O80" s="610"/>
      <c r="P80" s="610"/>
      <c r="Q80" s="610"/>
      <c r="R80" s="610"/>
      <c r="S80" s="440"/>
    </row>
    <row r="81" spans="1:19" ht="12.75" customHeight="1" x14ac:dyDescent="0.2">
      <c r="A81" s="440"/>
      <c r="B81" s="320"/>
      <c r="C81" s="320"/>
      <c r="D81" s="610"/>
      <c r="E81" s="610"/>
      <c r="F81" s="446"/>
      <c r="G81" s="610"/>
      <c r="H81" s="610"/>
      <c r="I81" s="610"/>
      <c r="J81" s="610"/>
      <c r="K81" s="1056"/>
      <c r="L81" s="643"/>
      <c r="M81" s="610"/>
      <c r="N81" s="610"/>
      <c r="O81" s="610"/>
      <c r="P81" s="610"/>
      <c r="Q81" s="610"/>
      <c r="R81" s="610"/>
      <c r="S81" s="440"/>
    </row>
    <row r="82" spans="1:19" ht="12.75" customHeight="1" x14ac:dyDescent="0.2">
      <c r="A82" s="440"/>
      <c r="B82" s="320"/>
      <c r="C82" s="320"/>
      <c r="D82" s="754"/>
      <c r="E82" s="754"/>
      <c r="F82" s="446"/>
      <c r="G82" s="754"/>
      <c r="H82" s="754"/>
      <c r="I82" s="754"/>
      <c r="J82" s="754"/>
      <c r="K82" s="1053" t="s">
        <v>94</v>
      </c>
      <c r="L82" s="643"/>
      <c r="M82" s="610"/>
      <c r="N82" s="610"/>
      <c r="O82" s="610"/>
      <c r="P82" s="610"/>
      <c r="Q82" s="610"/>
      <c r="R82" s="610"/>
      <c r="S82" s="440"/>
    </row>
    <row r="83" spans="1:19" ht="12.75" customHeight="1" x14ac:dyDescent="0.2">
      <c r="A83" s="440"/>
      <c r="B83" s="320"/>
      <c r="C83" s="320"/>
      <c r="D83" s="418" t="s">
        <v>548</v>
      </c>
      <c r="E83" s="748"/>
      <c r="F83" s="446"/>
      <c r="G83" s="328" t="s">
        <v>122</v>
      </c>
      <c r="H83" s="446" t="s">
        <v>123</v>
      </c>
      <c r="I83" s="751"/>
      <c r="J83" s="751"/>
      <c r="K83" s="328" t="s">
        <v>93</v>
      </c>
      <c r="L83" s="643"/>
      <c r="M83" s="610"/>
      <c r="N83" s="610"/>
      <c r="O83" s="610"/>
      <c r="P83" s="610"/>
      <c r="Q83" s="610"/>
      <c r="R83" s="610"/>
      <c r="S83" s="440"/>
    </row>
    <row r="84" spans="1:19" ht="12.75" customHeight="1" x14ac:dyDescent="0.2">
      <c r="A84" s="440"/>
      <c r="B84" s="320"/>
      <c r="C84" s="320"/>
      <c r="D84" s="754"/>
      <c r="E84" s="621" t="s">
        <v>549</v>
      </c>
      <c r="F84" s="576" t="s">
        <v>82</v>
      </c>
      <c r="G84" s="618">
        <f>IFERROR(IF(OR(F84="",F84="keine"),0,LOOKUP(MATCH(F84,'1. Projektangaben'!$C$36:$C$43,0),'1. Projektangaben'!$B$36:$B$43,'1. Projektangaben'!$D$36:$D$43)),0)</f>
        <v>0.15551999999999999</v>
      </c>
      <c r="H84" s="619">
        <f ca="1">'2. Energie KW.'!J130</f>
        <v>0</v>
      </c>
      <c r="I84" s="751"/>
      <c r="J84" s="622"/>
      <c r="K84" s="620">
        <f ca="1">G84*H84*-1</f>
        <v>0</v>
      </c>
      <c r="L84" s="643"/>
      <c r="M84" s="610"/>
      <c r="N84" s="610"/>
      <c r="O84" s="610"/>
      <c r="P84" s="610"/>
      <c r="Q84" s="610"/>
      <c r="R84" s="610"/>
      <c r="S84" s="440"/>
    </row>
    <row r="85" spans="1:19" ht="12.75" customHeight="1" x14ac:dyDescent="0.2">
      <c r="A85" s="440"/>
      <c r="B85" s="320"/>
      <c r="C85" s="320"/>
      <c r="D85" s="754"/>
      <c r="E85" s="621" t="str">
        <f>'2. Energie KW.'!E36</f>
        <v>Stromeinspeisung PV</v>
      </c>
      <c r="F85" s="1623" t="s">
        <v>534</v>
      </c>
      <c r="G85" s="1624"/>
      <c r="H85" s="619">
        <f ca="1">'2. Energie KW.'!J129-H84</f>
        <v>0</v>
      </c>
      <c r="I85" s="751"/>
      <c r="J85" s="622"/>
      <c r="K85" s="620">
        <f ca="1">'PV-Einspeisung'!AA209*-1</f>
        <v>0</v>
      </c>
      <c r="L85" s="325"/>
      <c r="M85" s="628"/>
      <c r="N85" s="628"/>
      <c r="O85" s="628"/>
      <c r="P85" s="628"/>
      <c r="Q85" s="628"/>
      <c r="R85" s="628"/>
      <c r="S85" s="440"/>
    </row>
    <row r="86" spans="1:19" ht="12.75" customHeight="1" x14ac:dyDescent="0.2">
      <c r="A86" s="440"/>
      <c r="B86" s="320"/>
      <c r="C86" s="320"/>
      <c r="D86" s="610"/>
      <c r="E86" s="610"/>
      <c r="F86" s="621"/>
      <c r="G86" s="446"/>
      <c r="H86" s="610"/>
      <c r="I86" s="324"/>
      <c r="J86" s="324"/>
      <c r="K86" s="1056"/>
      <c r="L86" s="610"/>
      <c r="M86" s="610"/>
      <c r="N86" s="610"/>
      <c r="O86" s="610"/>
      <c r="P86" s="610"/>
      <c r="Q86" s="610"/>
      <c r="R86" s="628"/>
      <c r="S86" s="440"/>
    </row>
    <row r="87" spans="1:19" ht="12.95" customHeight="1" x14ac:dyDescent="0.2">
      <c r="A87" s="440"/>
      <c r="B87" s="320"/>
      <c r="C87" s="547"/>
      <c r="D87" s="557"/>
      <c r="E87" s="557"/>
      <c r="F87" s="557"/>
      <c r="G87" s="557"/>
      <c r="H87" s="605"/>
      <c r="I87" s="610"/>
      <c r="J87" s="610"/>
      <c r="K87" s="1054" t="s">
        <v>94</v>
      </c>
      <c r="L87" s="438"/>
      <c r="M87" s="628"/>
      <c r="N87" s="628"/>
      <c r="O87" s="628"/>
      <c r="P87" s="628"/>
      <c r="Q87" s="628"/>
      <c r="R87" s="628"/>
      <c r="S87" s="440"/>
    </row>
    <row r="88" spans="1:19" ht="12.95" customHeight="1" x14ac:dyDescent="0.2">
      <c r="A88" s="440"/>
      <c r="B88" s="320"/>
      <c r="C88" s="320"/>
      <c r="D88" s="438"/>
      <c r="E88" s="438"/>
      <c r="F88" s="438"/>
      <c r="G88" s="438"/>
      <c r="H88" s="610"/>
      <c r="I88" s="610"/>
      <c r="J88" s="610"/>
      <c r="K88" s="319" t="s">
        <v>93</v>
      </c>
      <c r="L88" s="319"/>
      <c r="M88" s="610"/>
      <c r="N88" s="610"/>
      <c r="O88" s="610"/>
      <c r="P88" s="610"/>
      <c r="Q88" s="610"/>
      <c r="R88" s="610"/>
      <c r="S88" s="440"/>
    </row>
    <row r="89" spans="1:19" ht="12.95" customHeight="1" x14ac:dyDescent="0.2">
      <c r="A89" s="440"/>
      <c r="B89" s="320"/>
      <c r="C89" s="320" t="s">
        <v>86</v>
      </c>
      <c r="D89" s="1621" t="s">
        <v>83</v>
      </c>
      <c r="E89" s="1615"/>
      <c r="F89" s="1616"/>
      <c r="G89" s="1616"/>
      <c r="H89" s="438"/>
      <c r="I89" s="628"/>
      <c r="J89" s="628"/>
      <c r="K89" s="306"/>
      <c r="L89" s="438"/>
      <c r="M89" s="628"/>
      <c r="N89" s="628"/>
      <c r="O89" s="628"/>
      <c r="P89" s="628"/>
      <c r="Q89" s="628"/>
      <c r="R89" s="628"/>
      <c r="S89" s="440"/>
    </row>
    <row r="90" spans="1:19" ht="12.95" customHeight="1" x14ac:dyDescent="0.2">
      <c r="A90" s="440"/>
      <c r="B90" s="321"/>
      <c r="C90" s="321"/>
      <c r="D90" s="612"/>
      <c r="E90" s="625"/>
      <c r="F90" s="626"/>
      <c r="G90" s="626"/>
      <c r="H90" s="613"/>
      <c r="I90" s="324"/>
      <c r="J90" s="324"/>
      <c r="K90" s="613"/>
      <c r="L90" s="613"/>
      <c r="M90" s="324"/>
      <c r="N90" s="324"/>
      <c r="O90" s="324"/>
      <c r="P90" s="324"/>
      <c r="Q90" s="324"/>
      <c r="R90" s="628"/>
      <c r="S90" s="440"/>
    </row>
    <row r="91" spans="1:19" ht="12.95" customHeight="1" x14ac:dyDescent="0.2">
      <c r="A91" s="440"/>
      <c r="B91" s="320"/>
      <c r="C91" s="320"/>
      <c r="D91" s="614"/>
      <c r="E91" s="623"/>
      <c r="F91" s="624"/>
      <c r="G91" s="624"/>
      <c r="H91" s="438"/>
      <c r="I91" s="628"/>
      <c r="J91" s="628"/>
      <c r="K91" s="1053" t="s">
        <v>94</v>
      </c>
      <c r="L91" s="438"/>
      <c r="M91" s="628"/>
      <c r="N91" s="628"/>
      <c r="O91" s="628"/>
      <c r="P91" s="628"/>
      <c r="Q91" s="628"/>
      <c r="R91" s="628"/>
      <c r="S91" s="440"/>
    </row>
    <row r="92" spans="1:19" ht="12.95" customHeight="1" x14ac:dyDescent="0.2">
      <c r="A92" s="440"/>
      <c r="B92" s="320"/>
      <c r="C92" s="320"/>
      <c r="D92" s="320"/>
      <c r="E92" s="628"/>
      <c r="F92" s="629"/>
      <c r="G92" s="438"/>
      <c r="H92" s="438"/>
      <c r="I92" s="610"/>
      <c r="J92" s="610"/>
      <c r="K92" s="319" t="s">
        <v>93</v>
      </c>
      <c r="L92" s="319"/>
      <c r="M92" s="628"/>
      <c r="N92" s="628"/>
      <c r="O92" s="628"/>
      <c r="P92" s="628"/>
      <c r="Q92" s="628"/>
      <c r="R92" s="628"/>
      <c r="S92" s="440"/>
    </row>
    <row r="93" spans="1:19" ht="12.95" customHeight="1" x14ac:dyDescent="0.2">
      <c r="A93" s="440"/>
      <c r="B93" s="609" t="s">
        <v>24</v>
      </c>
      <c r="C93" s="494"/>
      <c r="D93" s="1614" t="s">
        <v>84</v>
      </c>
      <c r="E93" s="1616"/>
      <c r="F93" s="1616"/>
      <c r="G93" s="1617"/>
      <c r="H93" s="438"/>
      <c r="I93" s="610"/>
      <c r="J93" s="610"/>
      <c r="K93" s="1131">
        <f>K95+K96+K94</f>
        <v>0</v>
      </c>
      <c r="L93" s="628"/>
      <c r="M93" s="628"/>
      <c r="N93" s="628"/>
      <c r="O93" s="628"/>
      <c r="P93" s="628"/>
      <c r="Q93" s="628"/>
      <c r="R93" s="628"/>
      <c r="S93" s="440"/>
    </row>
    <row r="94" spans="1:19" ht="12.95" customHeight="1" x14ac:dyDescent="0.2">
      <c r="A94" s="440"/>
      <c r="B94" s="609"/>
      <c r="C94" s="320" t="s">
        <v>407</v>
      </c>
      <c r="D94" s="1621" t="s">
        <v>408</v>
      </c>
      <c r="E94" s="1622"/>
      <c r="F94" s="1617"/>
      <c r="G94" s="1617"/>
      <c r="H94" s="322"/>
      <c r="I94" s="610"/>
      <c r="J94" s="610"/>
      <c r="K94" s="1132"/>
      <c r="L94" s="628"/>
      <c r="M94" s="628"/>
      <c r="N94" s="628"/>
      <c r="O94" s="628"/>
      <c r="P94" s="628"/>
      <c r="Q94" s="628"/>
      <c r="R94" s="628"/>
      <c r="S94" s="440"/>
    </row>
    <row r="95" spans="1:19" ht="12.95" customHeight="1" x14ac:dyDescent="0.2">
      <c r="A95" s="440"/>
      <c r="B95" s="320"/>
      <c r="C95" s="320" t="s">
        <v>85</v>
      </c>
      <c r="D95" s="1621" t="s">
        <v>87</v>
      </c>
      <c r="E95" s="1622"/>
      <c r="F95" s="1617"/>
      <c r="G95" s="1617"/>
      <c r="H95" s="322"/>
      <c r="I95" s="610"/>
      <c r="J95" s="610"/>
      <c r="K95" s="1132"/>
      <c r="L95" s="438"/>
      <c r="M95" s="322"/>
      <c r="N95" s="322"/>
      <c r="O95" s="322"/>
      <c r="P95" s="322"/>
      <c r="Q95" s="322"/>
      <c r="R95" s="322"/>
      <c r="S95" s="440"/>
    </row>
    <row r="96" spans="1:19" ht="12.95" customHeight="1" x14ac:dyDescent="0.2">
      <c r="A96" s="440"/>
      <c r="B96" s="320"/>
      <c r="C96" s="320" t="s">
        <v>88</v>
      </c>
      <c r="D96" s="1621" t="s">
        <v>89</v>
      </c>
      <c r="E96" s="1615"/>
      <c r="F96" s="1616"/>
      <c r="G96" s="1616"/>
      <c r="H96" s="438"/>
      <c r="I96" s="628"/>
      <c r="J96" s="628"/>
      <c r="K96" s="1132"/>
      <c r="L96" s="438"/>
      <c r="M96" s="325"/>
      <c r="N96" s="325"/>
      <c r="O96" s="325"/>
      <c r="P96" s="325"/>
      <c r="Q96" s="325"/>
      <c r="R96" s="325"/>
      <c r="S96" s="440"/>
    </row>
    <row r="97" spans="1:19" ht="12.95" customHeight="1" x14ac:dyDescent="0.2">
      <c r="A97" s="440"/>
      <c r="B97" s="320"/>
      <c r="C97" s="320"/>
      <c r="D97" s="612"/>
      <c r="E97" s="625"/>
      <c r="F97" s="626"/>
      <c r="G97" s="626"/>
      <c r="H97" s="613"/>
      <c r="I97" s="324"/>
      <c r="J97" s="324"/>
      <c r="K97" s="613"/>
      <c r="L97" s="613"/>
      <c r="M97" s="326"/>
      <c r="N97" s="326"/>
      <c r="O97" s="326"/>
      <c r="P97" s="326"/>
      <c r="Q97" s="326"/>
      <c r="R97" s="325"/>
      <c r="S97" s="440"/>
    </row>
    <row r="98" spans="1:19" ht="12.95" customHeight="1" x14ac:dyDescent="0.2">
      <c r="A98" s="440"/>
      <c r="B98" s="605"/>
      <c r="C98" s="605"/>
      <c r="D98" s="628"/>
      <c r="E98" s="628"/>
      <c r="F98" s="628"/>
      <c r="G98" s="628"/>
      <c r="H98" s="322"/>
      <c r="I98" s="610"/>
      <c r="J98" s="610"/>
      <c r="K98" s="1053" t="s">
        <v>94</v>
      </c>
      <c r="L98" s="438"/>
      <c r="M98" s="322"/>
      <c r="N98" s="322"/>
      <c r="O98" s="322"/>
      <c r="P98" s="322"/>
      <c r="Q98" s="322"/>
      <c r="R98" s="322"/>
      <c r="S98" s="440"/>
    </row>
    <row r="99" spans="1:19" ht="12.95" customHeight="1" x14ac:dyDescent="0.2">
      <c r="A99" s="440"/>
      <c r="B99" s="609" t="s">
        <v>14</v>
      </c>
      <c r="C99" s="449"/>
      <c r="D99" s="1618" t="s">
        <v>90</v>
      </c>
      <c r="E99" s="1619"/>
      <c r="F99" s="1620"/>
      <c r="G99" s="628"/>
      <c r="H99" s="322"/>
      <c r="I99" s="610"/>
      <c r="J99" s="610"/>
      <c r="K99" s="319" t="s">
        <v>93</v>
      </c>
      <c r="L99" s="319"/>
      <c r="M99" s="322"/>
      <c r="N99" s="322"/>
      <c r="O99" s="322"/>
      <c r="P99" s="322"/>
      <c r="Q99" s="322"/>
      <c r="R99" s="322"/>
      <c r="S99" s="440"/>
    </row>
    <row r="100" spans="1:19" ht="12.95" customHeight="1" x14ac:dyDescent="0.2">
      <c r="A100" s="440"/>
      <c r="B100" s="320"/>
      <c r="C100" s="320"/>
      <c r="D100" s="610"/>
      <c r="E100" s="610"/>
      <c r="F100" s="1612"/>
      <c r="G100" s="1613"/>
      <c r="H100" s="1613"/>
      <c r="I100" s="426"/>
      <c r="J100" s="409"/>
      <c r="K100" s="306"/>
      <c r="L100" s="613"/>
      <c r="M100" s="326"/>
      <c r="N100" s="326"/>
      <c r="O100" s="326"/>
      <c r="P100" s="326"/>
      <c r="Q100" s="326"/>
      <c r="R100" s="325"/>
      <c r="S100" s="440"/>
    </row>
    <row r="101" spans="1:19" ht="12.95" customHeight="1" x14ac:dyDescent="0.2">
      <c r="A101" s="440"/>
      <c r="B101" s="547"/>
      <c r="C101" s="547"/>
      <c r="D101" s="630"/>
      <c r="E101" s="631"/>
      <c r="F101" s="632"/>
      <c r="G101" s="632"/>
      <c r="H101" s="438"/>
      <c r="I101" s="628"/>
      <c r="J101" s="628"/>
      <c r="K101" s="1053" t="s">
        <v>94</v>
      </c>
      <c r="L101" s="438"/>
      <c r="M101" s="325"/>
      <c r="N101" s="325"/>
      <c r="O101" s="325"/>
      <c r="P101" s="325"/>
      <c r="Q101" s="325"/>
      <c r="R101" s="325"/>
      <c r="S101" s="440"/>
    </row>
    <row r="102" spans="1:19" ht="12.95" customHeight="1" x14ac:dyDescent="0.2">
      <c r="A102" s="440"/>
      <c r="B102" s="628"/>
      <c r="C102" s="628"/>
      <c r="D102" s="628"/>
      <c r="E102" s="628"/>
      <c r="F102" s="628"/>
      <c r="G102" s="610"/>
      <c r="H102" s="322"/>
      <c r="I102" s="610"/>
      <c r="J102" s="610"/>
      <c r="K102" s="319" t="s">
        <v>93</v>
      </c>
      <c r="L102" s="319"/>
      <c r="M102" s="322"/>
      <c r="N102" s="322"/>
      <c r="O102" s="322"/>
      <c r="P102" s="322"/>
      <c r="Q102" s="322"/>
      <c r="R102" s="322"/>
      <c r="S102" s="440"/>
    </row>
    <row r="103" spans="1:19" ht="12.95" customHeight="1" x14ac:dyDescent="0.2">
      <c r="A103" s="440"/>
      <c r="B103" s="609" t="s">
        <v>8</v>
      </c>
      <c r="C103" s="494"/>
      <c r="D103" s="1614" t="s">
        <v>91</v>
      </c>
      <c r="E103" s="1615"/>
      <c r="F103" s="1616"/>
      <c r="G103" s="1617"/>
      <c r="H103" s="322"/>
      <c r="I103" s="610"/>
      <c r="J103" s="610"/>
      <c r="K103" s="1131">
        <f>K104+K105+K106</f>
        <v>0</v>
      </c>
      <c r="L103" s="628"/>
      <c r="M103" s="322"/>
      <c r="N103" s="322"/>
      <c r="O103" s="322"/>
      <c r="P103" s="322"/>
      <c r="Q103" s="322"/>
      <c r="R103" s="322"/>
      <c r="S103" s="440"/>
    </row>
    <row r="104" spans="1:19" ht="12.95" customHeight="1" x14ac:dyDescent="0.2">
      <c r="A104" s="440"/>
      <c r="B104" s="320"/>
      <c r="C104" s="320"/>
      <c r="D104" s="320"/>
      <c r="E104" s="610"/>
      <c r="F104" s="1612"/>
      <c r="G104" s="1613"/>
      <c r="H104" s="1613"/>
      <c r="I104" s="610"/>
      <c r="J104" s="610"/>
      <c r="K104" s="1132"/>
      <c r="L104" s="438"/>
      <c r="M104" s="325"/>
      <c r="N104" s="325"/>
      <c r="O104" s="325"/>
      <c r="P104" s="325"/>
      <c r="Q104" s="325"/>
      <c r="R104" s="325"/>
      <c r="S104" s="440"/>
    </row>
    <row r="105" spans="1:19" ht="12.95" customHeight="1" x14ac:dyDescent="0.2">
      <c r="A105" s="440"/>
      <c r="B105" s="320"/>
      <c r="C105" s="320"/>
      <c r="D105" s="320"/>
      <c r="E105" s="610"/>
      <c r="F105" s="1612"/>
      <c r="G105" s="1613"/>
      <c r="H105" s="1613"/>
      <c r="I105" s="610"/>
      <c r="J105" s="610"/>
      <c r="K105" s="1132"/>
      <c r="L105" s="438"/>
      <c r="M105" s="325"/>
      <c r="N105" s="325"/>
      <c r="O105" s="325"/>
      <c r="P105" s="325"/>
      <c r="Q105" s="325"/>
      <c r="R105" s="325"/>
      <c r="S105" s="440"/>
    </row>
    <row r="106" spans="1:19" ht="12.95" customHeight="1" x14ac:dyDescent="0.2">
      <c r="A106" s="440"/>
      <c r="B106" s="320"/>
      <c r="C106" s="320"/>
      <c r="D106" s="320"/>
      <c r="E106" s="610"/>
      <c r="F106" s="1612"/>
      <c r="G106" s="1613"/>
      <c r="H106" s="1613"/>
      <c r="I106" s="628"/>
      <c r="J106" s="628"/>
      <c r="K106" s="1132"/>
      <c r="L106" s="438"/>
      <c r="M106" s="325"/>
      <c r="N106" s="325"/>
      <c r="O106" s="325"/>
      <c r="P106" s="325"/>
      <c r="Q106" s="325"/>
      <c r="R106" s="325"/>
      <c r="S106" s="440"/>
    </row>
    <row r="107" spans="1:19" ht="12.95" customHeight="1" x14ac:dyDescent="0.2">
      <c r="A107" s="440"/>
      <c r="B107" s="423"/>
      <c r="C107" s="423"/>
      <c r="D107" s="423"/>
      <c r="E107" s="423"/>
      <c r="F107" s="423"/>
      <c r="G107" s="633"/>
      <c r="H107" s="633"/>
      <c r="I107" s="324"/>
      <c r="J107" s="324"/>
      <c r="K107" s="613"/>
      <c r="L107" s="613"/>
      <c r="M107" s="326"/>
      <c r="N107" s="326"/>
      <c r="O107" s="326"/>
      <c r="P107" s="326"/>
      <c r="Q107" s="326"/>
      <c r="R107" s="325"/>
      <c r="S107" s="440"/>
    </row>
    <row r="108" spans="1:19" x14ac:dyDescent="0.2">
      <c r="A108" s="440"/>
      <c r="B108" s="610"/>
      <c r="C108" s="610"/>
      <c r="D108" s="610"/>
      <c r="E108" s="610"/>
      <c r="F108" s="610"/>
      <c r="G108" s="610"/>
      <c r="H108" s="610"/>
      <c r="I108" s="610"/>
      <c r="J108" s="610"/>
      <c r="K108" s="1053" t="s">
        <v>94</v>
      </c>
      <c r="L108" s="610"/>
      <c r="M108" s="610"/>
      <c r="N108" s="610"/>
      <c r="O108" s="610"/>
      <c r="P108" s="610"/>
      <c r="Q108" s="610"/>
      <c r="R108" s="610"/>
      <c r="S108" s="440"/>
    </row>
    <row r="109" spans="1:19" x14ac:dyDescent="0.2">
      <c r="A109" s="440"/>
      <c r="B109" s="610"/>
      <c r="C109" s="610"/>
      <c r="D109" s="610"/>
      <c r="E109" s="610"/>
      <c r="F109" s="610"/>
      <c r="G109" s="610"/>
      <c r="H109" s="610"/>
      <c r="I109" s="610"/>
      <c r="J109" s="610"/>
      <c r="K109" s="319" t="s">
        <v>93</v>
      </c>
      <c r="L109" s="610"/>
      <c r="M109" s="610"/>
      <c r="N109" s="610"/>
      <c r="O109" s="610"/>
      <c r="P109" s="610"/>
      <c r="Q109" s="610"/>
      <c r="R109" s="610"/>
      <c r="S109" s="440"/>
    </row>
    <row r="110" spans="1:19" ht="15" x14ac:dyDescent="0.2">
      <c r="A110" s="440"/>
      <c r="B110" s="609" t="s">
        <v>409</v>
      </c>
      <c r="C110" s="494"/>
      <c r="D110" s="1618" t="s">
        <v>406</v>
      </c>
      <c r="E110" s="1619"/>
      <c r="F110" s="1620"/>
      <c r="G110" s="610"/>
      <c r="H110" s="610"/>
      <c r="I110" s="610"/>
      <c r="J110" s="610"/>
      <c r="K110" s="1131">
        <f>K112+K113+K114</f>
        <v>0</v>
      </c>
      <c r="L110" s="610"/>
      <c r="M110" s="610"/>
      <c r="N110" s="610"/>
      <c r="O110" s="610"/>
      <c r="P110" s="610"/>
      <c r="Q110" s="610"/>
      <c r="R110" s="610"/>
      <c r="S110" s="440"/>
    </row>
    <row r="111" spans="1:19" ht="15" x14ac:dyDescent="0.2">
      <c r="A111" s="440"/>
      <c r="B111" s="609"/>
      <c r="C111" s="494"/>
      <c r="D111" s="609"/>
      <c r="E111" s="628"/>
      <c r="F111" s="629"/>
      <c r="G111" s="610"/>
      <c r="H111" s="610"/>
      <c r="I111" s="610"/>
      <c r="J111" s="610"/>
      <c r="K111" s="1056"/>
      <c r="L111" s="610"/>
      <c r="M111" s="610"/>
      <c r="N111" s="610"/>
      <c r="O111" s="610"/>
      <c r="P111" s="610"/>
      <c r="Q111" s="610"/>
      <c r="R111" s="610"/>
      <c r="S111" s="440"/>
    </row>
    <row r="112" spans="1:19" ht="15" x14ac:dyDescent="0.2">
      <c r="A112" s="440"/>
      <c r="B112" s="610"/>
      <c r="C112" s="610"/>
      <c r="D112" s="610"/>
      <c r="E112" s="610"/>
      <c r="F112" s="1612"/>
      <c r="G112" s="1613"/>
      <c r="H112" s="1613"/>
      <c r="I112" s="610"/>
      <c r="J112" s="610"/>
      <c r="K112" s="1132"/>
      <c r="L112" s="610"/>
      <c r="M112" s="610"/>
      <c r="N112" s="610"/>
      <c r="O112" s="610"/>
      <c r="P112" s="610"/>
      <c r="Q112" s="610"/>
      <c r="R112" s="610"/>
      <c r="S112" s="440"/>
    </row>
    <row r="113" spans="1:19" ht="15" x14ac:dyDescent="0.2">
      <c r="A113" s="440"/>
      <c r="B113" s="610"/>
      <c r="C113" s="610"/>
      <c r="D113" s="610"/>
      <c r="E113" s="610"/>
      <c r="F113" s="1612"/>
      <c r="G113" s="1613"/>
      <c r="H113" s="1613"/>
      <c r="I113" s="610"/>
      <c r="J113" s="610"/>
      <c r="K113" s="1132"/>
      <c r="L113" s="610"/>
      <c r="M113" s="610"/>
      <c r="N113" s="610"/>
      <c r="O113" s="610"/>
      <c r="P113" s="610"/>
      <c r="Q113" s="610"/>
      <c r="R113" s="610"/>
      <c r="S113" s="440"/>
    </row>
    <row r="114" spans="1:19" ht="15" x14ac:dyDescent="0.2">
      <c r="A114" s="440"/>
      <c r="B114" s="610"/>
      <c r="C114" s="610"/>
      <c r="D114" s="610"/>
      <c r="E114" s="610"/>
      <c r="F114" s="1612"/>
      <c r="G114" s="1613"/>
      <c r="H114" s="1613"/>
      <c r="I114" s="610"/>
      <c r="J114" s="610"/>
      <c r="K114" s="1132"/>
      <c r="L114" s="610"/>
      <c r="M114" s="610"/>
      <c r="N114" s="610"/>
      <c r="O114" s="610"/>
      <c r="P114" s="610"/>
      <c r="Q114" s="610"/>
      <c r="R114" s="610"/>
      <c r="S114" s="440"/>
    </row>
    <row r="115" spans="1:19" x14ac:dyDescent="0.2">
      <c r="A115" s="440"/>
      <c r="B115" s="324"/>
      <c r="C115" s="324"/>
      <c r="D115" s="324"/>
      <c r="E115" s="324"/>
      <c r="F115" s="324"/>
      <c r="G115" s="324"/>
      <c r="H115" s="324"/>
      <c r="I115" s="324"/>
      <c r="J115" s="324"/>
      <c r="K115" s="324"/>
      <c r="L115" s="324"/>
      <c r="M115" s="324"/>
      <c r="N115" s="324"/>
      <c r="O115" s="324"/>
      <c r="P115" s="324"/>
      <c r="Q115" s="324"/>
      <c r="R115" s="628"/>
      <c r="S115" s="440"/>
    </row>
    <row r="116" spans="1:19" x14ac:dyDescent="0.2">
      <c r="A116" s="440"/>
      <c r="B116" s="440"/>
      <c r="C116" s="440"/>
      <c r="D116" s="329"/>
      <c r="E116" s="329"/>
      <c r="F116" s="329"/>
      <c r="G116" s="329"/>
      <c r="H116" s="329"/>
      <c r="I116" s="329"/>
      <c r="J116" s="329"/>
      <c r="K116" s="329"/>
      <c r="L116" s="329"/>
      <c r="M116" s="329"/>
      <c r="N116" s="329"/>
      <c r="O116" s="329"/>
      <c r="P116" s="329"/>
      <c r="Q116" s="329"/>
      <c r="R116" s="440"/>
      <c r="S116" s="440"/>
    </row>
    <row r="117" spans="1:19" x14ac:dyDescent="0.2">
      <c r="A117" s="440"/>
      <c r="S117" s="440"/>
    </row>
    <row r="118" spans="1:19" x14ac:dyDescent="0.2">
      <c r="A118" s="440"/>
      <c r="S118" s="440"/>
    </row>
    <row r="119" spans="1:19" x14ac:dyDescent="0.2">
      <c r="A119" s="440"/>
      <c r="S119" s="440"/>
    </row>
    <row r="120" spans="1:19" x14ac:dyDescent="0.2">
      <c r="A120" s="440"/>
      <c r="S120" s="440"/>
    </row>
    <row r="121" spans="1:19" x14ac:dyDescent="0.2">
      <c r="A121" s="440"/>
      <c r="S121" s="440"/>
    </row>
    <row r="122" spans="1:19" x14ac:dyDescent="0.2">
      <c r="A122" s="440"/>
      <c r="S122" s="440"/>
    </row>
    <row r="123" spans="1:19" x14ac:dyDescent="0.2">
      <c r="A123" s="440"/>
      <c r="S123" s="440"/>
    </row>
    <row r="124" spans="1:19" x14ac:dyDescent="0.2">
      <c r="A124" s="440"/>
      <c r="S124" s="440"/>
    </row>
    <row r="125" spans="1:19" x14ac:dyDescent="0.2">
      <c r="A125" s="440"/>
      <c r="S125" s="440"/>
    </row>
    <row r="126" spans="1:19" x14ac:dyDescent="0.2">
      <c r="A126" s="440"/>
      <c r="S126" s="440"/>
    </row>
    <row r="127" spans="1:19" x14ac:dyDescent="0.2">
      <c r="A127" s="440"/>
      <c r="S127" s="440"/>
    </row>
    <row r="128" spans="1:19" x14ac:dyDescent="0.2">
      <c r="A128" s="440"/>
      <c r="S128" s="440"/>
    </row>
    <row r="129" spans="1:19" x14ac:dyDescent="0.2">
      <c r="A129" s="440"/>
      <c r="S129" s="440"/>
    </row>
    <row r="130" spans="1:19" x14ac:dyDescent="0.2">
      <c r="A130" s="440"/>
      <c r="S130" s="440"/>
    </row>
    <row r="131" spans="1:19" x14ac:dyDescent="0.2">
      <c r="A131" s="440"/>
      <c r="S131" s="440"/>
    </row>
    <row r="132" spans="1:19" x14ac:dyDescent="0.2">
      <c r="A132" s="440"/>
      <c r="S132" s="440"/>
    </row>
    <row r="133" spans="1:19" x14ac:dyDescent="0.2">
      <c r="A133" s="440"/>
      <c r="S133" s="440"/>
    </row>
    <row r="134" spans="1:19" x14ac:dyDescent="0.2">
      <c r="A134" s="440"/>
      <c r="S134" s="440"/>
    </row>
    <row r="135" spans="1:19" x14ac:dyDescent="0.2">
      <c r="A135" s="440"/>
      <c r="S135" s="440"/>
    </row>
    <row r="136" spans="1:19" x14ac:dyDescent="0.2">
      <c r="A136" s="440"/>
      <c r="S136" s="440"/>
    </row>
    <row r="137" spans="1:19" x14ac:dyDescent="0.2">
      <c r="A137" s="440"/>
      <c r="S137" s="440"/>
    </row>
    <row r="138" spans="1:19" x14ac:dyDescent="0.2">
      <c r="A138" s="440"/>
      <c r="S138" s="440"/>
    </row>
    <row r="139" spans="1:19" x14ac:dyDescent="0.2">
      <c r="A139" s="440"/>
      <c r="S139" s="440"/>
    </row>
    <row r="140" spans="1:19" x14ac:dyDescent="0.2">
      <c r="A140" s="440"/>
      <c r="S140" s="440"/>
    </row>
    <row r="141" spans="1:19" x14ac:dyDescent="0.2">
      <c r="A141" s="440"/>
      <c r="S141" s="440"/>
    </row>
    <row r="142" spans="1:19" x14ac:dyDescent="0.2">
      <c r="A142" s="440"/>
      <c r="S142" s="440"/>
    </row>
    <row r="143" spans="1:19" x14ac:dyDescent="0.2">
      <c r="A143" s="440"/>
      <c r="S143" s="440"/>
    </row>
    <row r="144" spans="1:19" x14ac:dyDescent="0.2">
      <c r="A144" s="440"/>
      <c r="S144" s="440"/>
    </row>
    <row r="145" spans="1:19" x14ac:dyDescent="0.2">
      <c r="A145" s="440"/>
      <c r="S145" s="440"/>
    </row>
    <row r="146" spans="1:19" x14ac:dyDescent="0.2">
      <c r="A146" s="440"/>
      <c r="S146" s="440"/>
    </row>
    <row r="147" spans="1:19" x14ac:dyDescent="0.2">
      <c r="A147" s="440"/>
      <c r="S147" s="440"/>
    </row>
    <row r="148" spans="1:19" x14ac:dyDescent="0.2">
      <c r="A148" s="440"/>
      <c r="S148" s="440"/>
    </row>
    <row r="149" spans="1:19" x14ac:dyDescent="0.2">
      <c r="A149" s="440"/>
      <c r="S149" s="440"/>
    </row>
    <row r="150" spans="1:19" x14ac:dyDescent="0.2">
      <c r="A150" s="440"/>
      <c r="S150" s="440"/>
    </row>
    <row r="151" spans="1:19" x14ac:dyDescent="0.2">
      <c r="A151" s="440"/>
      <c r="S151" s="440"/>
    </row>
    <row r="152" spans="1:19" x14ac:dyDescent="0.2">
      <c r="A152" s="440"/>
      <c r="S152" s="440"/>
    </row>
    <row r="153" spans="1:19" x14ac:dyDescent="0.2">
      <c r="A153" s="440"/>
      <c r="S153" s="440"/>
    </row>
    <row r="154" spans="1:19" x14ac:dyDescent="0.2">
      <c r="A154" s="440"/>
      <c r="S154" s="440"/>
    </row>
    <row r="155" spans="1:19" x14ac:dyDescent="0.2">
      <c r="A155" s="440"/>
      <c r="S155" s="440"/>
    </row>
    <row r="156" spans="1:19" x14ac:dyDescent="0.2">
      <c r="A156" s="440"/>
      <c r="S156" s="440"/>
    </row>
    <row r="157" spans="1:19" ht="11.25" customHeight="1" x14ac:dyDescent="0.2">
      <c r="A157" s="440"/>
      <c r="S157" s="440"/>
    </row>
    <row r="158" spans="1:19" x14ac:dyDescent="0.2">
      <c r="A158" s="440"/>
      <c r="S158" s="440"/>
    </row>
    <row r="159" spans="1:19" x14ac:dyDescent="0.2">
      <c r="A159" s="440"/>
      <c r="S159" s="440"/>
    </row>
    <row r="160" spans="1:19" x14ac:dyDescent="0.2">
      <c r="A160" s="440"/>
      <c r="S160" s="440"/>
    </row>
    <row r="161" spans="1:19" x14ac:dyDescent="0.2">
      <c r="A161" s="440"/>
      <c r="S161" s="440"/>
    </row>
    <row r="162" spans="1:19" x14ac:dyDescent="0.2">
      <c r="A162" s="440"/>
      <c r="S162" s="440"/>
    </row>
    <row r="163" spans="1:19" x14ac:dyDescent="0.2">
      <c r="A163" s="440"/>
      <c r="S163" s="440"/>
    </row>
    <row r="164" spans="1:19" x14ac:dyDescent="0.2">
      <c r="A164" s="440"/>
      <c r="S164" s="440"/>
    </row>
    <row r="165" spans="1:19" x14ac:dyDescent="0.2">
      <c r="A165" s="440"/>
      <c r="S165" s="440"/>
    </row>
    <row r="166" spans="1:19" x14ac:dyDescent="0.2">
      <c r="A166" s="440"/>
      <c r="S166" s="440"/>
    </row>
    <row r="167" spans="1:19" x14ac:dyDescent="0.2">
      <c r="A167" s="440"/>
      <c r="S167" s="440"/>
    </row>
    <row r="168" spans="1:19" x14ac:dyDescent="0.2">
      <c r="A168" s="440"/>
      <c r="S168" s="440"/>
    </row>
    <row r="169" spans="1:19" x14ac:dyDescent="0.2">
      <c r="A169" s="440"/>
      <c r="S169" s="440"/>
    </row>
    <row r="170" spans="1:19" x14ac:dyDescent="0.2">
      <c r="A170" s="440"/>
      <c r="S170" s="440"/>
    </row>
    <row r="171" spans="1:19" x14ac:dyDescent="0.2">
      <c r="A171" s="440"/>
      <c r="S171" s="440"/>
    </row>
    <row r="172" spans="1:19" x14ac:dyDescent="0.2">
      <c r="A172" s="440"/>
      <c r="S172" s="440"/>
    </row>
    <row r="173" spans="1:19" x14ac:dyDescent="0.2">
      <c r="A173" s="440"/>
      <c r="S173" s="440"/>
    </row>
    <row r="174" spans="1:19" x14ac:dyDescent="0.2">
      <c r="A174" s="440"/>
      <c r="S174" s="440"/>
    </row>
    <row r="175" spans="1:19" x14ac:dyDescent="0.2">
      <c r="A175" s="440"/>
      <c r="S175" s="440"/>
    </row>
    <row r="176" spans="1:19" x14ac:dyDescent="0.2">
      <c r="A176" s="440"/>
      <c r="S176" s="440"/>
    </row>
    <row r="177" spans="1:19" x14ac:dyDescent="0.2">
      <c r="A177" s="440"/>
      <c r="S177" s="440"/>
    </row>
    <row r="178" spans="1:19" x14ac:dyDescent="0.2">
      <c r="A178" s="440"/>
      <c r="S178" s="440"/>
    </row>
    <row r="179" spans="1:19" x14ac:dyDescent="0.2">
      <c r="A179" s="440"/>
      <c r="S179" s="440"/>
    </row>
    <row r="180" spans="1:19" x14ac:dyDescent="0.2">
      <c r="A180" s="440"/>
      <c r="S180" s="440"/>
    </row>
    <row r="181" spans="1:19" x14ac:dyDescent="0.2">
      <c r="A181" s="440"/>
      <c r="S181" s="440"/>
    </row>
    <row r="182" spans="1:19" x14ac:dyDescent="0.2">
      <c r="A182" s="440"/>
      <c r="S182" s="440"/>
    </row>
    <row r="183" spans="1:19" x14ac:dyDescent="0.2">
      <c r="A183" s="440"/>
      <c r="S183" s="440"/>
    </row>
    <row r="184" spans="1:19" x14ac:dyDescent="0.2">
      <c r="A184" s="440"/>
      <c r="S184" s="440"/>
    </row>
    <row r="185" spans="1:19" x14ac:dyDescent="0.2">
      <c r="A185" s="440"/>
      <c r="S185" s="440"/>
    </row>
    <row r="186" spans="1:19" x14ac:dyDescent="0.2">
      <c r="A186" s="440"/>
      <c r="S186" s="440"/>
    </row>
    <row r="187" spans="1:19" x14ac:dyDescent="0.2">
      <c r="A187" s="440"/>
      <c r="S187" s="440"/>
    </row>
    <row r="188" spans="1:19" x14ac:dyDescent="0.2">
      <c r="A188" s="440"/>
      <c r="S188" s="440"/>
    </row>
    <row r="189" spans="1:19" x14ac:dyDescent="0.2">
      <c r="A189" s="440"/>
      <c r="S189" s="440"/>
    </row>
    <row r="190" spans="1:19" x14ac:dyDescent="0.2">
      <c r="A190" s="440"/>
      <c r="S190" s="440"/>
    </row>
    <row r="191" spans="1:19" x14ac:dyDescent="0.2">
      <c r="A191" s="440"/>
      <c r="S191" s="440"/>
    </row>
    <row r="192" spans="1:19" x14ac:dyDescent="0.2">
      <c r="A192" s="440"/>
      <c r="S192" s="440"/>
    </row>
    <row r="193" spans="1:19" x14ac:dyDescent="0.2">
      <c r="A193" s="440"/>
      <c r="S193" s="440"/>
    </row>
    <row r="194" spans="1:19" x14ac:dyDescent="0.2">
      <c r="A194" s="440"/>
      <c r="S194" s="440"/>
    </row>
    <row r="195" spans="1:19" x14ac:dyDescent="0.2">
      <c r="A195" s="440"/>
      <c r="S195" s="440"/>
    </row>
    <row r="196" spans="1:19" x14ac:dyDescent="0.2">
      <c r="A196" s="440"/>
      <c r="S196" s="440"/>
    </row>
    <row r="197" spans="1:19" x14ac:dyDescent="0.2">
      <c r="A197" s="440"/>
      <c r="S197" s="440"/>
    </row>
    <row r="198" spans="1:19" x14ac:dyDescent="0.2">
      <c r="A198" s="440"/>
      <c r="S198" s="440"/>
    </row>
    <row r="199" spans="1:19" x14ac:dyDescent="0.2">
      <c r="A199" s="440"/>
      <c r="S199" s="440"/>
    </row>
    <row r="200" spans="1:19" x14ac:dyDescent="0.2">
      <c r="A200" s="440"/>
      <c r="S200" s="440"/>
    </row>
    <row r="201" spans="1:19" x14ac:dyDescent="0.2">
      <c r="A201" s="440"/>
      <c r="S201" s="440"/>
    </row>
    <row r="202" spans="1:19" x14ac:dyDescent="0.2">
      <c r="A202" s="440"/>
      <c r="S202" s="440"/>
    </row>
    <row r="203" spans="1:19" x14ac:dyDescent="0.2">
      <c r="A203" s="440"/>
      <c r="S203" s="440"/>
    </row>
    <row r="204" spans="1:19" x14ac:dyDescent="0.2">
      <c r="A204" s="440"/>
      <c r="S204" s="440"/>
    </row>
    <row r="205" spans="1:19" x14ac:dyDescent="0.2">
      <c r="A205" s="440"/>
      <c r="S205" s="440"/>
    </row>
    <row r="206" spans="1:19" x14ac:dyDescent="0.2">
      <c r="A206" s="440"/>
      <c r="S206" s="440"/>
    </row>
    <row r="207" spans="1:19" x14ac:dyDescent="0.2">
      <c r="A207" s="440"/>
      <c r="S207" s="440"/>
    </row>
    <row r="208" spans="1:19" x14ac:dyDescent="0.2">
      <c r="A208" s="440"/>
      <c r="S208" s="440"/>
    </row>
    <row r="209" spans="1:19" x14ac:dyDescent="0.2">
      <c r="A209" s="440"/>
      <c r="S209" s="440"/>
    </row>
    <row r="210" spans="1:19" x14ac:dyDescent="0.2">
      <c r="A210" s="440"/>
      <c r="S210" s="440"/>
    </row>
    <row r="211" spans="1:19" x14ac:dyDescent="0.2">
      <c r="A211" s="440"/>
      <c r="S211" s="440"/>
    </row>
    <row r="212" spans="1:19" x14ac:dyDescent="0.2">
      <c r="A212" s="440"/>
      <c r="S212" s="440"/>
    </row>
    <row r="213" spans="1:19" x14ac:dyDescent="0.2">
      <c r="A213" s="440"/>
      <c r="S213" s="440"/>
    </row>
    <row r="214" spans="1:19" x14ac:dyDescent="0.2">
      <c r="A214" s="440"/>
      <c r="S214" s="440"/>
    </row>
    <row r="215" spans="1:19" x14ac:dyDescent="0.2">
      <c r="A215" s="440"/>
      <c r="S215" s="440"/>
    </row>
    <row r="216" spans="1:19" x14ac:dyDescent="0.2">
      <c r="A216" s="440"/>
      <c r="S216" s="440"/>
    </row>
    <row r="217" spans="1:19" x14ac:dyDescent="0.2">
      <c r="A217" s="440"/>
      <c r="S217" s="440"/>
    </row>
    <row r="218" spans="1:19" x14ac:dyDescent="0.2">
      <c r="A218" s="440"/>
      <c r="S218" s="440"/>
    </row>
    <row r="219" spans="1:19" x14ac:dyDescent="0.2">
      <c r="A219" s="440"/>
      <c r="S219" s="440"/>
    </row>
    <row r="220" spans="1:19" x14ac:dyDescent="0.2">
      <c r="A220" s="440"/>
      <c r="S220" s="440"/>
    </row>
    <row r="221" spans="1:19" x14ac:dyDescent="0.2">
      <c r="A221" s="440"/>
      <c r="S221" s="440"/>
    </row>
    <row r="222" spans="1:19" x14ac:dyDescent="0.2">
      <c r="A222" s="440"/>
      <c r="S222" s="440"/>
    </row>
    <row r="223" spans="1:19" x14ac:dyDescent="0.2">
      <c r="A223" s="440"/>
      <c r="S223" s="440"/>
    </row>
    <row r="224" spans="1:19" x14ac:dyDescent="0.2">
      <c r="A224" s="440"/>
      <c r="S224" s="440"/>
    </row>
    <row r="225" spans="1:19" x14ac:dyDescent="0.2">
      <c r="A225" s="440"/>
      <c r="S225" s="440"/>
    </row>
    <row r="226" spans="1:19" x14ac:dyDescent="0.2">
      <c r="A226" s="440"/>
      <c r="S226" s="440"/>
    </row>
    <row r="227" spans="1:19" x14ac:dyDescent="0.2">
      <c r="A227" s="440"/>
      <c r="S227" s="440"/>
    </row>
    <row r="228" spans="1:19" x14ac:dyDescent="0.2">
      <c r="A228" s="440"/>
      <c r="S228" s="440"/>
    </row>
    <row r="229" spans="1:19" x14ac:dyDescent="0.2">
      <c r="A229" s="440"/>
      <c r="S229" s="440"/>
    </row>
    <row r="230" spans="1:19" x14ac:dyDescent="0.2">
      <c r="A230" s="440"/>
      <c r="S230" s="440"/>
    </row>
    <row r="231" spans="1:19" x14ac:dyDescent="0.2">
      <c r="A231" s="440"/>
      <c r="S231" s="440"/>
    </row>
    <row r="232" spans="1:19" x14ac:dyDescent="0.2">
      <c r="A232" s="440"/>
      <c r="S232" s="440"/>
    </row>
    <row r="233" spans="1:19" x14ac:dyDescent="0.2">
      <c r="A233" s="440"/>
      <c r="S233" s="440"/>
    </row>
    <row r="234" spans="1:19" x14ac:dyDescent="0.2">
      <c r="A234" s="440"/>
      <c r="S234" s="440"/>
    </row>
    <row r="235" spans="1:19" x14ac:dyDescent="0.2">
      <c r="A235" s="440"/>
      <c r="S235" s="440"/>
    </row>
    <row r="236" spans="1:19" x14ac:dyDescent="0.2">
      <c r="A236" s="440"/>
      <c r="S236" s="440"/>
    </row>
    <row r="237" spans="1:19" x14ac:dyDescent="0.2">
      <c r="A237" s="440"/>
      <c r="S237" s="440"/>
    </row>
    <row r="238" spans="1:19" x14ac:dyDescent="0.2">
      <c r="A238" s="440"/>
      <c r="S238" s="440"/>
    </row>
    <row r="239" spans="1:19" x14ac:dyDescent="0.2">
      <c r="A239" s="440"/>
      <c r="S239" s="440"/>
    </row>
    <row r="240" spans="1:19" x14ac:dyDescent="0.2">
      <c r="A240" s="440"/>
      <c r="S240" s="440"/>
    </row>
    <row r="241" spans="1:19" x14ac:dyDescent="0.2">
      <c r="A241" s="440"/>
      <c r="S241" s="440"/>
    </row>
    <row r="242" spans="1:19" x14ac:dyDescent="0.2">
      <c r="A242" s="440"/>
      <c r="S242" s="440"/>
    </row>
    <row r="243" spans="1:19" x14ac:dyDescent="0.2">
      <c r="A243" s="440"/>
      <c r="S243" s="440"/>
    </row>
    <row r="244" spans="1:19" x14ac:dyDescent="0.2">
      <c r="A244" s="440"/>
      <c r="S244" s="440"/>
    </row>
    <row r="245" spans="1:19" x14ac:dyDescent="0.2">
      <c r="A245" s="440"/>
      <c r="S245" s="440"/>
    </row>
    <row r="246" spans="1:19" x14ac:dyDescent="0.2">
      <c r="A246" s="440"/>
      <c r="S246" s="440"/>
    </row>
    <row r="247" spans="1:19" x14ac:dyDescent="0.2">
      <c r="A247" s="440"/>
      <c r="S247" s="440"/>
    </row>
    <row r="248" spans="1:19" x14ac:dyDescent="0.2">
      <c r="A248" s="440"/>
      <c r="S248" s="440"/>
    </row>
    <row r="249" spans="1:19" x14ac:dyDescent="0.2">
      <c r="A249" s="440"/>
      <c r="S249" s="440"/>
    </row>
    <row r="250" spans="1:19" x14ac:dyDescent="0.2">
      <c r="A250" s="440"/>
      <c r="S250" s="440"/>
    </row>
    <row r="251" spans="1:19" x14ac:dyDescent="0.2">
      <c r="A251" s="440"/>
      <c r="S251" s="440"/>
    </row>
    <row r="252" spans="1:19" x14ac:dyDescent="0.2">
      <c r="A252" s="440"/>
      <c r="S252" s="440"/>
    </row>
    <row r="253" spans="1:19" x14ac:dyDescent="0.2">
      <c r="A253" s="440"/>
      <c r="S253" s="440"/>
    </row>
    <row r="254" spans="1:19" x14ac:dyDescent="0.2">
      <c r="A254" s="440"/>
      <c r="S254" s="440"/>
    </row>
    <row r="255" spans="1:19" x14ac:dyDescent="0.2">
      <c r="A255" s="440"/>
      <c r="S255" s="440"/>
    </row>
    <row r="256" spans="1:19" x14ac:dyDescent="0.2">
      <c r="A256" s="440"/>
      <c r="S256" s="440"/>
    </row>
    <row r="257" spans="1:19" x14ac:dyDescent="0.2">
      <c r="A257" s="440"/>
      <c r="S257" s="440"/>
    </row>
    <row r="258" spans="1:19" x14ac:dyDescent="0.2">
      <c r="A258" s="440"/>
      <c r="S258" s="440"/>
    </row>
    <row r="259" spans="1:19" x14ac:dyDescent="0.2">
      <c r="A259" s="440"/>
      <c r="S259" s="440"/>
    </row>
    <row r="260" spans="1:19" x14ac:dyDescent="0.2">
      <c r="A260" s="440"/>
      <c r="S260" s="440"/>
    </row>
    <row r="261" spans="1:19" x14ac:dyDescent="0.2">
      <c r="A261" s="440"/>
      <c r="S261" s="440"/>
    </row>
    <row r="350" spans="3:3" x14ac:dyDescent="0.2">
      <c r="C350" s="634" t="s">
        <v>248</v>
      </c>
    </row>
    <row r="351" spans="3:3" x14ac:dyDescent="0.2">
      <c r="C351" s="634">
        <v>0</v>
      </c>
    </row>
    <row r="352" spans="3:3" x14ac:dyDescent="0.2">
      <c r="C352" s="634">
        <v>1</v>
      </c>
    </row>
    <row r="353" spans="3:3" x14ac:dyDescent="0.2">
      <c r="C353" s="634">
        <v>2</v>
      </c>
    </row>
    <row r="354" spans="3:3" x14ac:dyDescent="0.2">
      <c r="C354" s="634">
        <v>3</v>
      </c>
    </row>
    <row r="355" spans="3:3" x14ac:dyDescent="0.2">
      <c r="C355" s="634">
        <v>4</v>
      </c>
    </row>
    <row r="356" spans="3:3" x14ac:dyDescent="0.2">
      <c r="C356" s="634">
        <v>5</v>
      </c>
    </row>
    <row r="357" spans="3:3" x14ac:dyDescent="0.2">
      <c r="C357" s="634">
        <v>6</v>
      </c>
    </row>
    <row r="358" spans="3:3" x14ac:dyDescent="0.2">
      <c r="C358" s="634">
        <v>7</v>
      </c>
    </row>
    <row r="359" spans="3:3" x14ac:dyDescent="0.2">
      <c r="C359" s="634">
        <v>8</v>
      </c>
    </row>
    <row r="360" spans="3:3" x14ac:dyDescent="0.2">
      <c r="C360" s="634">
        <v>9</v>
      </c>
    </row>
    <row r="361" spans="3:3" x14ac:dyDescent="0.2">
      <c r="C361" s="634">
        <v>10</v>
      </c>
    </row>
    <row r="362" spans="3:3" x14ac:dyDescent="0.2">
      <c r="C362" s="634">
        <v>11</v>
      </c>
    </row>
    <row r="363" spans="3:3" x14ac:dyDescent="0.2">
      <c r="C363" s="634">
        <v>12</v>
      </c>
    </row>
    <row r="364" spans="3:3" x14ac:dyDescent="0.2">
      <c r="C364" s="634">
        <v>13</v>
      </c>
    </row>
    <row r="365" spans="3:3" x14ac:dyDescent="0.2">
      <c r="C365" s="634">
        <v>14</v>
      </c>
    </row>
    <row r="366" spans="3:3" x14ac:dyDescent="0.2">
      <c r="C366" s="634">
        <v>15</v>
      </c>
    </row>
    <row r="367" spans="3:3" x14ac:dyDescent="0.2">
      <c r="C367" s="634">
        <v>16</v>
      </c>
    </row>
    <row r="368" spans="3:3" x14ac:dyDescent="0.2">
      <c r="C368" s="634">
        <v>17</v>
      </c>
    </row>
    <row r="369" spans="3:3" x14ac:dyDescent="0.2">
      <c r="C369" s="634">
        <v>18</v>
      </c>
    </row>
    <row r="370" spans="3:3" x14ac:dyDescent="0.2">
      <c r="C370" s="634">
        <v>19</v>
      </c>
    </row>
    <row r="371" spans="3:3" x14ac:dyDescent="0.2">
      <c r="C371" s="634">
        <v>20</v>
      </c>
    </row>
    <row r="372" spans="3:3" x14ac:dyDescent="0.2">
      <c r="C372" s="634">
        <v>21</v>
      </c>
    </row>
    <row r="373" spans="3:3" x14ac:dyDescent="0.2">
      <c r="C373" s="634">
        <v>22</v>
      </c>
    </row>
    <row r="374" spans="3:3" x14ac:dyDescent="0.2">
      <c r="C374" s="634">
        <v>23</v>
      </c>
    </row>
    <row r="375" spans="3:3" x14ac:dyDescent="0.2">
      <c r="C375" s="634">
        <v>24</v>
      </c>
    </row>
    <row r="376" spans="3:3" x14ac:dyDescent="0.2">
      <c r="C376" s="634">
        <v>25</v>
      </c>
    </row>
    <row r="377" spans="3:3" x14ac:dyDescent="0.2">
      <c r="C377" s="634">
        <v>26</v>
      </c>
    </row>
    <row r="378" spans="3:3" x14ac:dyDescent="0.2">
      <c r="C378" s="634">
        <v>27</v>
      </c>
    </row>
    <row r="379" spans="3:3" x14ac:dyDescent="0.2">
      <c r="C379" s="634">
        <v>28</v>
      </c>
    </row>
    <row r="380" spans="3:3" x14ac:dyDescent="0.2">
      <c r="C380" s="634">
        <v>29</v>
      </c>
    </row>
    <row r="381" spans="3:3" x14ac:dyDescent="0.2">
      <c r="C381" s="634">
        <v>30</v>
      </c>
    </row>
    <row r="382" spans="3:3" x14ac:dyDescent="0.2">
      <c r="C382" s="634">
        <v>31</v>
      </c>
    </row>
    <row r="383" spans="3:3" x14ac:dyDescent="0.2">
      <c r="C383" s="634">
        <v>32</v>
      </c>
    </row>
    <row r="384" spans="3:3" x14ac:dyDescent="0.2">
      <c r="C384" s="634">
        <v>33</v>
      </c>
    </row>
    <row r="385" spans="3:3" x14ac:dyDescent="0.2">
      <c r="C385" s="634">
        <v>34</v>
      </c>
    </row>
    <row r="386" spans="3:3" x14ac:dyDescent="0.2">
      <c r="C386" s="634">
        <v>35</v>
      </c>
    </row>
    <row r="387" spans="3:3" x14ac:dyDescent="0.2">
      <c r="C387" s="634">
        <v>36</v>
      </c>
    </row>
    <row r="388" spans="3:3" x14ac:dyDescent="0.2">
      <c r="C388" s="634">
        <v>37</v>
      </c>
    </row>
    <row r="389" spans="3:3" x14ac:dyDescent="0.2">
      <c r="C389" s="634">
        <v>38</v>
      </c>
    </row>
    <row r="390" spans="3:3" x14ac:dyDescent="0.2">
      <c r="C390" s="634">
        <v>39</v>
      </c>
    </row>
    <row r="391" spans="3:3" x14ac:dyDescent="0.2">
      <c r="C391" s="634">
        <v>40</v>
      </c>
    </row>
    <row r="392" spans="3:3" x14ac:dyDescent="0.2">
      <c r="C392" s="634">
        <v>41</v>
      </c>
    </row>
    <row r="393" spans="3:3" x14ac:dyDescent="0.2">
      <c r="C393" s="634">
        <v>42</v>
      </c>
    </row>
    <row r="394" spans="3:3" x14ac:dyDescent="0.2">
      <c r="C394" s="634">
        <v>43</v>
      </c>
    </row>
    <row r="395" spans="3:3" x14ac:dyDescent="0.2">
      <c r="C395" s="634">
        <v>44</v>
      </c>
    </row>
    <row r="396" spans="3:3" x14ac:dyDescent="0.2">
      <c r="C396" s="634">
        <v>45</v>
      </c>
    </row>
    <row r="397" spans="3:3" x14ac:dyDescent="0.2">
      <c r="C397" s="634">
        <v>46</v>
      </c>
    </row>
    <row r="398" spans="3:3" x14ac:dyDescent="0.2">
      <c r="C398" s="634">
        <v>47</v>
      </c>
    </row>
    <row r="399" spans="3:3" x14ac:dyDescent="0.2">
      <c r="C399" s="634">
        <v>48</v>
      </c>
    </row>
    <row r="400" spans="3:3" x14ac:dyDescent="0.2">
      <c r="C400" s="634">
        <v>49</v>
      </c>
    </row>
    <row r="401" spans="3:3" x14ac:dyDescent="0.2">
      <c r="C401" s="634">
        <v>50</v>
      </c>
    </row>
  </sheetData>
  <sheetProtection sheet="1" objects="1" scenarios="1" selectLockedCells="1"/>
  <dataConsolidate/>
  <mergeCells count="23">
    <mergeCell ref="F113:H113"/>
    <mergeCell ref="F114:H114"/>
    <mergeCell ref="D103:G103"/>
    <mergeCell ref="F104:H104"/>
    <mergeCell ref="F105:H105"/>
    <mergeCell ref="F106:H106"/>
    <mergeCell ref="D110:F110"/>
    <mergeCell ref="F112:H112"/>
    <mergeCell ref="B1:R1"/>
    <mergeCell ref="D46:F46"/>
    <mergeCell ref="F100:H100"/>
    <mergeCell ref="D47:G47"/>
    <mergeCell ref="D48:G48"/>
    <mergeCell ref="D56:G56"/>
    <mergeCell ref="D60:F60"/>
    <mergeCell ref="D61:F61"/>
    <mergeCell ref="D89:G89"/>
    <mergeCell ref="D93:G93"/>
    <mergeCell ref="D94:G94"/>
    <mergeCell ref="D95:G95"/>
    <mergeCell ref="D96:G96"/>
    <mergeCell ref="D99:F99"/>
    <mergeCell ref="F85:G85"/>
  </mergeCells>
  <dataValidations count="5">
    <dataValidation type="whole" operator="lessThanOrEqual" allowBlank="1" showInputMessage="1" showErrorMessage="1" errorTitle="Bereichsfehler" error="Zeitraum kann nicht größer als 50 Jahre sein!" sqref="J15">
      <formula1>50</formula1>
    </dataValidation>
    <dataValidation type="custom" allowBlank="1" showInputMessage="1" showErrorMessage="1" errorTitle="Zu hoher Anteil" error="Anteil für Zinsbegünstigtern Kredit übersteigt Fremdkapitaleinsatz!!!" sqref="G19">
      <formula1>H19&lt;=1</formula1>
    </dataValidation>
    <dataValidation type="custom" allowBlank="1" showInputMessage="1" showErrorMessage="1" errorTitle="Fehler in der Eingabe" error="Nachfolgender Wert muss größer als vorheriger sein!!!" sqref="F41 F35:F38">
      <formula1>F35&gt;F34</formula1>
    </dataValidation>
    <dataValidation type="custom" allowBlank="1" showInputMessage="1" showErrorMessage="1" errorTitle="Fehler in der Eingabe" error="Nachfolgender Wert muss größer als vorheriger sein!!!" sqref="F40">
      <formula1>F40&gt;F37</formula1>
    </dataValidation>
    <dataValidation type="custom" allowBlank="1" showInputMessage="1" showErrorMessage="1" errorTitle="Fehler in der Eingabe" error="Nachfolgender Wert muss größer als vorheriger sein!!!" sqref="F39">
      <formula1>F39&gt;F37</formula1>
    </dataValidation>
  </dataValidations>
  <pageMargins left="0.7" right="0.7" top="0.78740157499999996" bottom="0.78740157499999996"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 id="{69ACA372-CD88-42F0-9F26-AD30A3AC062C}">
            <xm:f>OR('1. Projektangaben'!$P$60="x",'1. Projektangaben'!$P$60="X")</xm:f>
            <x14:dxf>
              <font>
                <color theme="0" tint="-0.14996795556505021"/>
              </font>
              <fill>
                <patternFill>
                  <bgColor theme="0" tint="-0.14996795556505021"/>
                </patternFill>
              </fill>
              <border>
                <left/>
                <right/>
                <top/>
                <bottom/>
                <vertical/>
                <horizontal/>
              </border>
            </x14:dxf>
          </x14:cfRule>
          <xm:sqref>B11:R13 B29:R42 B14:L15 Q14:R23 B21:L21 B19:E20 G19:L20 B18:L18 B17:F17 B16:H16 J16:L17 E22:L23 B22:C28 E24:R28</xm:sqref>
        </x14:conditionalFormatting>
        <x14:conditionalFormatting xmlns:xm="http://schemas.microsoft.com/office/excel/2006/main">
          <x14:cfRule type="expression" priority="8" id="{875EB96F-0A06-4268-BD02-FFFB61789A06}">
            <xm:f>OR('1. Projektangaben'!$P$60="",'1. Projektangaben'!$P$60="0")</xm:f>
            <x14:dxf>
              <font>
                <color theme="0" tint="-0.14996795556505021"/>
              </font>
            </x14:dxf>
          </x14:cfRule>
          <x14:cfRule type="expression" priority="9" id="{3CF383AF-F76A-4385-B107-B71C24A01F5E}">
            <xm:f>OR('1. Projektangaben'!$P$60="x",'1. Projektangaben'!$P$60="X")</xm:f>
            <x14:dxf>
              <font>
                <color rgb="FFDA0000"/>
              </font>
            </x14:dxf>
          </x14:cfRule>
          <xm:sqref>D21:K21</xm:sqref>
        </x14:conditionalFormatting>
        <x14:conditionalFormatting xmlns:xm="http://schemas.microsoft.com/office/excel/2006/main">
          <x14:cfRule type="expression" priority="7" id="{115D84CB-1C45-44C0-B549-C25C40D04428}">
            <xm:f>OR('1. Projektangaben'!$P$60="x",'1. Projektangaben'!$P$60="X")</xm:f>
            <x14:dxf>
              <font>
                <color theme="0" tint="-0.14996795556505021"/>
              </font>
              <fill>
                <patternFill>
                  <bgColor theme="0" tint="-0.14996795556505021"/>
                </patternFill>
              </fill>
              <border>
                <left/>
                <right/>
                <top/>
                <bottom/>
                <vertical/>
                <horizontal/>
              </border>
            </x14:dxf>
          </x14:cfRule>
          <xm:sqref>M14:P23</xm:sqref>
        </x14:conditionalFormatting>
        <x14:conditionalFormatting xmlns:xm="http://schemas.microsoft.com/office/excel/2006/main">
          <x14:cfRule type="expression" priority="6" id="{695E7605-BF9C-44AB-8988-62EB1629A23F}">
            <xm:f>OR('1. Projektangaben'!$P$60="x",'1. Projektangaben'!$P$60="X")</xm:f>
            <x14:dxf>
              <font>
                <color theme="0" tint="-0.14996795556505021"/>
              </font>
              <fill>
                <patternFill>
                  <bgColor theme="0" tint="-0.14996795556505021"/>
                </patternFill>
              </fill>
              <border>
                <left/>
                <right/>
                <top/>
                <bottom/>
                <vertical/>
                <horizontal/>
              </border>
            </x14:dxf>
          </x14:cfRule>
          <xm:sqref>F19:F20</xm:sqref>
        </x14:conditionalFormatting>
        <x14:conditionalFormatting xmlns:xm="http://schemas.microsoft.com/office/excel/2006/main">
          <x14:cfRule type="expression" priority="4" id="{CEC89681-4B0F-4C5D-8FF3-9DA07DD1E9FB}">
            <xm:f>OR('1. Projektangaben'!$P$60="x",'1. Projektangaben'!$P$60="X")</xm:f>
            <x14:dxf>
              <font>
                <color theme="0" tint="-0.14996795556505021"/>
              </font>
              <fill>
                <patternFill>
                  <bgColor theme="0" tint="-0.14996795556505021"/>
                </patternFill>
              </fill>
              <border>
                <left/>
                <right/>
                <top/>
                <bottom/>
                <vertical/>
                <horizontal/>
              </border>
            </x14:dxf>
          </x14:cfRule>
          <xm:sqref>G17:H17</xm:sqref>
        </x14:conditionalFormatting>
        <x14:conditionalFormatting xmlns:xm="http://schemas.microsoft.com/office/excel/2006/main">
          <x14:cfRule type="expression" priority="3" id="{BFFC0CA5-8C16-4956-8E51-C5EEA68E6B10}">
            <xm:f>OR('1. Projektangaben'!$P$60="x",'1. Projektangaben'!$P$60="X")</xm:f>
            <x14:dxf>
              <font>
                <color theme="0" tint="-0.14996795556505021"/>
              </font>
              <fill>
                <patternFill>
                  <bgColor theme="0" tint="-0.14996795556505021"/>
                </patternFill>
              </fill>
              <border>
                <left/>
                <right/>
                <top/>
                <bottom/>
                <vertical/>
                <horizontal/>
              </border>
            </x14:dxf>
          </x14:cfRule>
          <xm:sqref>I16</xm:sqref>
        </x14:conditionalFormatting>
        <x14:conditionalFormatting xmlns:xm="http://schemas.microsoft.com/office/excel/2006/main">
          <x14:cfRule type="expression" priority="2" id="{27658B7D-F659-4361-A79B-60612D575C4F}">
            <xm:f>OR('1. Projektangaben'!$P$60="x",'1. Projektangaben'!$P$60="X")</xm:f>
            <x14:dxf>
              <font>
                <color theme="0" tint="-0.14996795556505021"/>
              </font>
              <fill>
                <patternFill>
                  <bgColor theme="0" tint="-0.14996795556505021"/>
                </patternFill>
              </fill>
              <border>
                <left/>
                <right/>
                <top/>
                <bottom/>
                <vertical/>
                <horizontal/>
              </border>
            </x14:dxf>
          </x14:cfRule>
          <xm:sqref>D22:D28</xm:sqref>
        </x14:conditionalFormatting>
        <x14:conditionalFormatting xmlns:xm="http://schemas.microsoft.com/office/excel/2006/main">
          <x14:cfRule type="expression" priority="1" id="{149EDAD0-205B-4FCC-B8C8-4E7AD8079E79}">
            <xm:f>OR('1. Projektangaben'!$P$60="x",'1. Projektangaben'!$P$60="X")</xm:f>
            <x14:dxf>
              <font>
                <color theme="0" tint="-0.14996795556505021"/>
              </font>
              <fill>
                <patternFill>
                  <bgColor theme="0" tint="-0.14996795556505021"/>
                </patternFill>
              </fill>
              <border>
                <left/>
                <right/>
                <top/>
                <bottom/>
                <vertical/>
                <horizontal/>
              </border>
            </x14:dxf>
          </x14:cfRule>
          <xm:sqref>I17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9">
    <tabColor theme="7" tint="0.39997558519241921"/>
    <outlinePr summaryBelow="0" summaryRight="0"/>
    <pageSetUpPr fitToPage="1"/>
  </sheetPr>
  <dimension ref="A1:BL622"/>
  <sheetViews>
    <sheetView showGridLines="0" showRowColHeaders="0" showZeros="0" zoomScaleNormal="100" workbookViewId="0">
      <pane ySplit="20" topLeftCell="A21" activePane="bottomLeft" state="frozen"/>
      <selection activeCell="I16" sqref="I16"/>
      <selection pane="bottomLeft" activeCell="M13" sqref="M13:O13"/>
    </sheetView>
  </sheetViews>
  <sheetFormatPr baseColWidth="10" defaultRowHeight="15" x14ac:dyDescent="0.25"/>
  <cols>
    <col min="1" max="1" width="4.28515625" style="460" customWidth="1"/>
    <col min="2" max="2" width="2.42578125" style="566" customWidth="1"/>
    <col min="3" max="3" width="3" style="460" customWidth="1"/>
    <col min="4" max="4" width="7.140625" style="460" customWidth="1"/>
    <col min="5" max="5" width="3" style="460" customWidth="1"/>
    <col min="6" max="6" width="6.42578125" style="460" customWidth="1"/>
    <col min="7" max="7" width="5.85546875" style="460" customWidth="1"/>
    <col min="8" max="9" width="8.28515625" style="460" customWidth="1"/>
    <col min="10" max="10" width="5" style="460" customWidth="1"/>
    <col min="11" max="11" width="5.5703125" style="567" customWidth="1"/>
    <col min="12" max="12" width="1.85546875" style="568" customWidth="1"/>
    <col min="13" max="13" width="6.42578125" style="460" customWidth="1"/>
    <col min="14" max="14" width="4.42578125" style="568" customWidth="1"/>
    <col min="15" max="15" width="11.85546875" style="460" customWidth="1"/>
    <col min="16" max="16" width="6.140625" style="460" customWidth="1"/>
    <col min="17" max="17" width="12.85546875" style="569" customWidth="1"/>
    <col min="18" max="18" width="5.28515625" style="460" customWidth="1"/>
    <col min="19" max="19" width="10.5703125" style="460" customWidth="1"/>
    <col min="20" max="20" width="5.42578125" style="460" customWidth="1"/>
    <col min="21" max="21" width="6" style="569" customWidth="1"/>
    <col min="22" max="22" width="8.42578125" style="460" customWidth="1"/>
    <col min="23" max="23" width="5" style="460" customWidth="1"/>
    <col min="24" max="24" width="6" style="460" customWidth="1"/>
    <col min="25" max="25" width="7.5703125" style="570" customWidth="1"/>
    <col min="26" max="26" width="4.42578125" style="567" customWidth="1"/>
    <col min="27" max="27" width="5.5703125" style="460" customWidth="1"/>
    <col min="28" max="28" width="8.28515625" style="460" customWidth="1"/>
    <col min="29" max="29" width="5" style="460" customWidth="1"/>
    <col min="30" max="30" width="6" style="395" customWidth="1"/>
    <col min="31" max="31" width="7.5703125" style="460" customWidth="1"/>
    <col min="32" max="32" width="2.7109375" style="460" customWidth="1"/>
    <col min="33" max="33" width="4.85546875" style="460" customWidth="1"/>
    <col min="34" max="34" width="2.7109375" style="460" customWidth="1"/>
    <col min="35" max="35" width="5.28515625" style="460" customWidth="1"/>
    <col min="36" max="36" width="2.7109375" style="460" customWidth="1"/>
    <col min="37" max="37" width="4.28515625" style="460" customWidth="1"/>
    <col min="38" max="38" width="6.140625" style="460" hidden="1" customWidth="1"/>
    <col min="39" max="39" width="8.42578125" style="460" hidden="1" customWidth="1"/>
    <col min="40" max="41" width="8.5703125" style="460" hidden="1" customWidth="1"/>
    <col min="42" max="42" width="7.140625" style="460" hidden="1" customWidth="1"/>
    <col min="43" max="43" width="6.7109375" style="460" hidden="1" customWidth="1"/>
    <col min="44" max="44" width="2.7109375" style="460" hidden="1" customWidth="1"/>
    <col min="45" max="45" width="7.140625" style="460" hidden="1" customWidth="1"/>
    <col min="46" max="46" width="7.5703125" style="460" hidden="1" customWidth="1"/>
    <col min="47" max="47" width="3.140625" style="460" hidden="1" customWidth="1"/>
    <col min="48" max="48" width="5.5703125" style="460" hidden="1" customWidth="1"/>
    <col min="49" max="49" width="8.42578125" style="460" hidden="1" customWidth="1"/>
    <col min="50" max="54" width="5.28515625" style="460" hidden="1" customWidth="1"/>
    <col min="55" max="55" width="11.42578125" style="460" customWidth="1"/>
    <col min="56" max="16384" width="11.42578125" style="460"/>
  </cols>
  <sheetData>
    <row r="1" spans="1:64" ht="24.95" customHeight="1" x14ac:dyDescent="0.2">
      <c r="A1" s="459"/>
      <c r="B1" s="1609" t="str">
        <f>"Eingabe: Investitions- und Wartungskosten - Variante: "&amp;'1. Projektangaben'!C27&amp;" "&amp;LISTEN!E38&amp;""</f>
        <v xml:space="preserve">Eingabe: Investitions- und Wartungskosten - Variante: PH-WDVS-WP-WRG-mittl.Sol-mit PV </v>
      </c>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459"/>
    </row>
    <row r="2" spans="1:64" s="327" customFormat="1" ht="50.1" customHeight="1" x14ac:dyDescent="0.2">
      <c r="A2" s="440"/>
      <c r="B2" s="1164"/>
      <c r="C2" s="1165"/>
      <c r="D2" s="1165"/>
      <c r="E2" s="1165"/>
      <c r="F2" s="1165"/>
      <c r="G2" s="1165"/>
      <c r="H2" s="1165"/>
      <c r="I2" s="1165"/>
      <c r="J2" s="1165"/>
      <c r="K2" s="1165"/>
      <c r="L2" s="1165"/>
      <c r="M2" s="1165"/>
      <c r="N2" s="1165"/>
      <c r="O2" s="1165"/>
      <c r="P2" s="1165"/>
      <c r="Q2" s="1165"/>
      <c r="R2" s="1165"/>
      <c r="S2" s="1165"/>
      <c r="T2" s="1165"/>
      <c r="U2" s="440"/>
      <c r="V2" s="440"/>
      <c r="W2" s="440"/>
      <c r="X2" s="440"/>
      <c r="Y2" s="440"/>
      <c r="Z2" s="440"/>
      <c r="AA2" s="440"/>
      <c r="AB2" s="440"/>
      <c r="AC2" s="440"/>
      <c r="AD2" s="440"/>
      <c r="AE2" s="440"/>
      <c r="AF2" s="440"/>
      <c r="AG2" s="440"/>
      <c r="AH2" s="440"/>
      <c r="AI2" s="440"/>
      <c r="AJ2" s="440"/>
      <c r="AK2" s="440"/>
    </row>
    <row r="3" spans="1:64" ht="12.95" customHeight="1" x14ac:dyDescent="0.2">
      <c r="A3" s="440"/>
      <c r="B3" s="759" t="s">
        <v>108</v>
      </c>
      <c r="C3" s="380"/>
      <c r="D3" s="380"/>
      <c r="E3" s="380"/>
      <c r="F3" s="380"/>
      <c r="G3" s="380"/>
      <c r="H3" s="380"/>
      <c r="I3" s="380"/>
      <c r="J3" s="380"/>
      <c r="K3" s="463"/>
      <c r="L3" s="463"/>
      <c r="M3" s="380"/>
      <c r="N3" s="463"/>
      <c r="O3" s="380"/>
      <c r="P3" s="380"/>
      <c r="Q3" s="380"/>
      <c r="R3" s="380"/>
      <c r="S3" s="380"/>
      <c r="T3" s="380"/>
      <c r="U3" s="380"/>
      <c r="V3" s="380"/>
      <c r="W3" s="380"/>
      <c r="X3" s="380"/>
      <c r="Y3" s="380"/>
      <c r="Z3" s="380"/>
      <c r="AA3" s="380"/>
      <c r="AB3" s="380"/>
      <c r="AC3" s="380"/>
      <c r="AD3" s="464"/>
      <c r="AE3" s="464"/>
      <c r="AF3" s="464"/>
      <c r="AG3" s="464"/>
      <c r="AH3" s="464"/>
      <c r="AI3" s="464"/>
      <c r="AJ3" s="464"/>
      <c r="AK3" s="440"/>
    </row>
    <row r="4" spans="1:64" ht="12.95" customHeight="1" x14ac:dyDescent="0.25">
      <c r="A4" s="440"/>
      <c r="B4" s="628"/>
      <c r="C4" s="511"/>
      <c r="D4" s="511"/>
      <c r="E4" s="380"/>
      <c r="F4" s="380"/>
      <c r="G4" s="437" t="str">
        <f>'1. Projektangaben'!$B$4</f>
        <v>Bauvorhaben</v>
      </c>
      <c r="H4" s="404" t="str">
        <f>IF('1. Projektangaben'!$C$4="","",'1. Projektangaben'!$C$4)</f>
        <v>KliNaWo</v>
      </c>
      <c r="I4" s="405"/>
      <c r="J4" s="405"/>
      <c r="K4" s="405"/>
      <c r="L4" s="466"/>
      <c r="M4" s="467"/>
      <c r="N4" s="463"/>
      <c r="O4" s="437" t="str">
        <f>'1. Projektangaben'!$H$4</f>
        <v>Architekt</v>
      </c>
      <c r="P4" s="404" t="str">
        <f>IF('1. Projektangaben'!$I$4="","",'1. Projektangaben'!$I$4)</f>
        <v>Walser und Werle Architekten</v>
      </c>
      <c r="Q4" s="412"/>
      <c r="R4" s="422"/>
      <c r="S4" s="575"/>
      <c r="T4" s="380"/>
      <c r="U4" s="380"/>
      <c r="V4" s="380"/>
      <c r="W4" s="380"/>
      <c r="X4" s="380"/>
      <c r="Y4" s="380"/>
      <c r="Z4" s="380"/>
      <c r="AA4" s="380"/>
      <c r="AB4" s="380"/>
      <c r="AC4" s="380"/>
      <c r="AD4" s="464"/>
      <c r="AE4" s="464"/>
      <c r="AF4" s="464"/>
      <c r="AG4" s="464"/>
      <c r="AH4" s="464"/>
      <c r="AI4" s="464"/>
      <c r="AJ4" s="464"/>
      <c r="AK4" s="440"/>
    </row>
    <row r="5" spans="1:64" ht="12.95" customHeight="1" x14ac:dyDescent="0.25">
      <c r="A5" s="440"/>
      <c r="B5" s="628"/>
      <c r="C5" s="511"/>
      <c r="D5" s="511"/>
      <c r="E5" s="380"/>
      <c r="F5" s="380"/>
      <c r="G5" s="437" t="str">
        <f>'1. Projektangaben'!$B$5</f>
        <v>Bauherr</v>
      </c>
      <c r="H5" s="408" t="str">
        <f>IF('1. Projektangaben'!$C$5="","",'1. Projektangaben'!$C$5)</f>
        <v>privater Bauträger</v>
      </c>
      <c r="I5" s="444"/>
      <c r="J5" s="444"/>
      <c r="K5" s="405"/>
      <c r="L5" s="466"/>
      <c r="M5" s="467"/>
      <c r="N5" s="463"/>
      <c r="O5" s="437" t="str">
        <f>'1. Projektangaben'!$H$5</f>
        <v>Baujahr</v>
      </c>
      <c r="P5" s="450">
        <f>IF('1. Projektangaben'!$I$5="","",'1. Projektangaben'!$I$5)</f>
        <v>2017</v>
      </c>
      <c r="Q5" s="328"/>
      <c r="R5" s="380"/>
      <c r="S5" s="380"/>
      <c r="T5" s="380"/>
      <c r="U5" s="380"/>
      <c r="V5" s="380"/>
      <c r="W5" s="380"/>
      <c r="X5" s="380"/>
      <c r="Y5" s="380"/>
      <c r="Z5" s="380"/>
      <c r="AA5" s="380"/>
      <c r="AB5" s="380"/>
      <c r="AC5" s="380"/>
      <c r="AD5" s="464"/>
      <c r="AE5" s="464"/>
      <c r="AF5" s="464"/>
      <c r="AG5" s="464"/>
      <c r="AH5" s="464"/>
      <c r="AI5" s="464"/>
      <c r="AJ5" s="464"/>
      <c r="AK5" s="440"/>
    </row>
    <row r="6" spans="1:64" ht="12.95" customHeight="1" x14ac:dyDescent="0.25">
      <c r="A6" s="440"/>
      <c r="B6" s="628"/>
      <c r="C6" s="511"/>
      <c r="D6" s="511"/>
      <c r="E6" s="380"/>
      <c r="F6" s="380"/>
      <c r="G6" s="437" t="str">
        <f>'1. Projektangaben'!$B$6</f>
        <v>Adresse, Ort</v>
      </c>
      <c r="H6" s="404" t="str">
        <f>IF('1. Projektangaben'!$C$6="","",'1. Projektangaben'!$C$6)</f>
        <v>Siedlungsstrasse, Feldkirch</v>
      </c>
      <c r="I6" s="442"/>
      <c r="J6" s="468"/>
      <c r="K6" s="405"/>
      <c r="L6" s="466"/>
      <c r="M6" s="467"/>
      <c r="N6" s="463"/>
      <c r="O6" s="437" t="str">
        <f>'1. Projektangaben'!$H$6</f>
        <v>Personen</v>
      </c>
      <c r="P6" s="450">
        <f>IF('1. Projektangaben'!$I$6="","",'1. Projektangaben'!$I$6)</f>
        <v>54</v>
      </c>
      <c r="Q6" s="328"/>
      <c r="R6" s="380"/>
      <c r="S6" s="380"/>
      <c r="T6" s="380"/>
      <c r="U6" s="380"/>
      <c r="V6" s="380"/>
      <c r="W6" s="380"/>
      <c r="X6" s="380"/>
      <c r="Y6" s="380"/>
      <c r="Z6" s="380"/>
      <c r="AA6" s="380"/>
      <c r="AB6" s="380"/>
      <c r="AC6" s="380"/>
      <c r="AD6" s="464"/>
      <c r="AE6" s="464"/>
      <c r="AF6" s="464"/>
      <c r="AG6" s="464"/>
      <c r="AH6" s="464"/>
      <c r="AI6" s="464"/>
      <c r="AJ6" s="464"/>
      <c r="AK6" s="440"/>
    </row>
    <row r="7" spans="1:64" ht="12.95" customHeight="1" x14ac:dyDescent="0.25">
      <c r="A7" s="440"/>
      <c r="B7" s="628"/>
      <c r="C7" s="511"/>
      <c r="D7" s="511"/>
      <c r="E7" s="380"/>
      <c r="F7" s="380"/>
      <c r="G7" s="437" t="str">
        <f>'1. Projektangaben'!$B$7</f>
        <v>Gebäudetyp</v>
      </c>
      <c r="H7" s="404" t="str">
        <f>IF('1. Projektangaben'!$C$7="","",'1. Projektangaben'!$C$7)</f>
        <v>Mehrfamilienhaus</v>
      </c>
      <c r="I7" s="412"/>
      <c r="J7" s="404" t="str">
        <f>'1. Projektangaben'!$E$7</f>
        <v>18+1 WE</v>
      </c>
      <c r="K7" s="411"/>
      <c r="L7" s="466"/>
      <c r="M7" s="467"/>
      <c r="N7" s="463"/>
      <c r="O7" s="437" t="str">
        <f>'1. Projektangaben'!$H$7</f>
        <v>Anmerkung</v>
      </c>
      <c r="P7" s="404" t="str">
        <f>IF('1. Projektangaben'!$I$7="","",'1. Projektangaben'!$I$7)</f>
        <v>Beispiele verschiedener Varianten</v>
      </c>
      <c r="Q7" s="422"/>
      <c r="R7" s="422"/>
      <c r="S7" s="575"/>
      <c r="T7" s="380"/>
      <c r="U7" s="380"/>
      <c r="V7" s="380"/>
      <c r="W7" s="380"/>
      <c r="X7" s="380"/>
      <c r="Y7" s="380"/>
      <c r="Z7" s="380"/>
      <c r="AA7" s="380"/>
      <c r="AB7" s="380"/>
      <c r="AC7" s="380"/>
      <c r="AD7" s="464"/>
      <c r="AE7" s="464"/>
      <c r="AF7" s="464"/>
      <c r="AG7" s="464"/>
      <c r="AH7" s="464"/>
      <c r="AI7" s="464"/>
      <c r="AJ7" s="464"/>
      <c r="AK7" s="440"/>
    </row>
    <row r="8" spans="1:64" s="327" customFormat="1" ht="12.95" customHeight="1" x14ac:dyDescent="0.2">
      <c r="A8" s="440"/>
      <c r="B8" s="446"/>
      <c r="C8" s="610"/>
      <c r="D8" s="610"/>
      <c r="E8" s="610"/>
      <c r="F8" s="610"/>
      <c r="G8" s="437" t="s">
        <v>111</v>
      </c>
      <c r="H8" s="635" t="str">
        <f>'1. Projektangaben'!E27</f>
        <v>PHWRGSoPV</v>
      </c>
      <c r="I8" s="446"/>
      <c r="J8" s="470"/>
      <c r="K8" s="328"/>
      <c r="L8" s="610"/>
      <c r="M8" s="610"/>
      <c r="N8" s="328"/>
      <c r="O8" s="437" t="str">
        <f>'1. Projektangaben'!G22</f>
        <v>EBF</v>
      </c>
      <c r="P8" s="471">
        <f>'1. Projektangaben'!G27</f>
        <v>1421.2</v>
      </c>
      <c r="Q8" s="628"/>
      <c r="R8" s="610"/>
      <c r="S8" s="628"/>
      <c r="T8" s="610"/>
      <c r="U8" s="628"/>
      <c r="V8" s="610"/>
      <c r="W8" s="610"/>
      <c r="X8" s="610"/>
      <c r="Y8" s="610"/>
      <c r="Z8" s="610"/>
      <c r="AA8" s="610"/>
      <c r="AB8" s="610"/>
      <c r="AC8" s="610"/>
      <c r="AD8" s="472"/>
      <c r="AE8" s="472"/>
      <c r="AF8" s="472"/>
      <c r="AG8" s="472"/>
      <c r="AH8" s="472"/>
      <c r="AI8" s="472"/>
      <c r="AJ8" s="472"/>
      <c r="AK8" s="440"/>
    </row>
    <row r="9" spans="1:64" ht="12.95" customHeight="1" x14ac:dyDescent="0.2">
      <c r="A9" s="440"/>
      <c r="B9" s="628"/>
      <c r="C9" s="380"/>
      <c r="D9" s="380"/>
      <c r="E9" s="380"/>
      <c r="F9" s="380"/>
      <c r="G9" s="380"/>
      <c r="H9" s="380"/>
      <c r="I9" s="380"/>
      <c r="J9" s="380"/>
      <c r="K9" s="463"/>
      <c r="L9" s="463"/>
      <c r="M9" s="380"/>
      <c r="N9" s="463"/>
      <c r="O9" s="380"/>
      <c r="P9" s="380"/>
      <c r="Q9" s="380"/>
      <c r="R9" s="380"/>
      <c r="S9" s="380"/>
      <c r="T9" s="380"/>
      <c r="U9" s="380"/>
      <c r="V9" s="380"/>
      <c r="W9" s="380"/>
      <c r="X9" s="380"/>
      <c r="Y9" s="380"/>
      <c r="Z9" s="380"/>
      <c r="AA9" s="380"/>
      <c r="AB9" s="380"/>
      <c r="AC9" s="380"/>
      <c r="AD9" s="464"/>
      <c r="AE9" s="464"/>
      <c r="AF9" s="464"/>
      <c r="AG9" s="464"/>
      <c r="AH9" s="464"/>
      <c r="AI9" s="464"/>
      <c r="AJ9" s="464"/>
      <c r="AK9" s="440"/>
    </row>
    <row r="10" spans="1:64" ht="12.95" customHeight="1" x14ac:dyDescent="0.2">
      <c r="A10" s="440"/>
      <c r="B10" s="1043"/>
      <c r="C10" s="380"/>
      <c r="D10" s="380"/>
      <c r="E10" s="380"/>
      <c r="F10" s="380"/>
      <c r="G10" s="380"/>
      <c r="H10" s="380"/>
      <c r="I10" s="380"/>
      <c r="J10" s="380"/>
      <c r="K10" s="463"/>
      <c r="L10" s="463"/>
      <c r="M10" s="380"/>
      <c r="N10" s="463"/>
      <c r="O10" s="380"/>
      <c r="P10" s="380"/>
      <c r="Q10" s="380"/>
      <c r="R10" s="380"/>
      <c r="S10" s="380"/>
      <c r="T10" s="380"/>
      <c r="U10" s="380"/>
      <c r="V10" s="380"/>
      <c r="W10" s="380"/>
      <c r="X10" s="380"/>
      <c r="Y10" s="380"/>
      <c r="Z10" s="380"/>
      <c r="AA10" s="380"/>
      <c r="AB10" s="380"/>
      <c r="AC10" s="380"/>
      <c r="AD10" s="464"/>
      <c r="AE10" s="464"/>
      <c r="AF10" s="464"/>
      <c r="AG10" s="464"/>
      <c r="AH10" s="464"/>
      <c r="AI10" s="464"/>
      <c r="AJ10" s="464"/>
      <c r="AK10" s="440"/>
      <c r="AL10" s="569"/>
    </row>
    <row r="11" spans="1:64" s="327" customFormat="1" ht="39.950000000000003" customHeight="1" x14ac:dyDescent="0.2">
      <c r="A11" s="440"/>
      <c r="B11" s="1164"/>
      <c r="C11" s="1165"/>
      <c r="D11" s="1165"/>
      <c r="E11" s="1165"/>
      <c r="F11" s="1165"/>
      <c r="G11" s="1165"/>
      <c r="H11" s="1165"/>
      <c r="I11" s="1165"/>
      <c r="J11" s="1165"/>
      <c r="K11" s="1165"/>
      <c r="L11" s="1165"/>
      <c r="M11" s="1165"/>
      <c r="N11" s="1165"/>
      <c r="O11" s="1165"/>
      <c r="P11" s="1165"/>
      <c r="Q11" s="1165"/>
      <c r="R11" s="1165"/>
      <c r="S11" s="1165"/>
      <c r="T11" s="1165"/>
      <c r="U11" s="440"/>
      <c r="V11" s="440"/>
      <c r="W11" s="440"/>
      <c r="X11" s="440"/>
      <c r="Y11" s="440"/>
      <c r="Z11" s="440"/>
      <c r="AA11" s="440"/>
      <c r="AB11" s="440"/>
      <c r="AC11" s="440"/>
      <c r="AD11" s="440"/>
      <c r="AE11" s="440"/>
      <c r="AF11" s="440"/>
      <c r="AG11" s="440"/>
      <c r="AH11" s="440"/>
      <c r="AI11" s="440"/>
      <c r="AJ11" s="440"/>
      <c r="AK11" s="440"/>
      <c r="AM11" s="327" t="s">
        <v>706</v>
      </c>
    </row>
    <row r="12" spans="1:64" ht="12.95" customHeight="1" x14ac:dyDescent="0.2">
      <c r="A12" s="440"/>
      <c r="B12" s="1043"/>
      <c r="C12" s="380"/>
      <c r="D12" s="380"/>
      <c r="E12" s="380"/>
      <c r="F12" s="380"/>
      <c r="G12" s="380"/>
      <c r="H12" s="380"/>
      <c r="I12" s="380"/>
      <c r="J12" s="380"/>
      <c r="K12" s="463"/>
      <c r="L12" s="463"/>
      <c r="M12" s="380"/>
      <c r="N12" s="463"/>
      <c r="O12" s="380"/>
      <c r="P12" s="380"/>
      <c r="Q12" s="380"/>
      <c r="R12" s="380"/>
      <c r="S12" s="380"/>
      <c r="T12" s="380"/>
      <c r="U12" s="380"/>
      <c r="V12" s="380"/>
      <c r="W12" s="380"/>
      <c r="X12" s="380"/>
      <c r="Y12" s="380"/>
      <c r="Z12" s="380"/>
      <c r="AA12" s="380"/>
      <c r="AB12" s="380"/>
      <c r="AC12" s="380"/>
      <c r="AD12" s="464"/>
      <c r="AE12" s="464"/>
      <c r="AF12" s="464"/>
      <c r="AG12" s="464"/>
      <c r="AH12" s="464"/>
      <c r="AI12" s="464"/>
      <c r="AJ12" s="464"/>
      <c r="AK12" s="440"/>
      <c r="AL12" s="569"/>
      <c r="AM12" s="1066">
        <v>1</v>
      </c>
      <c r="AN12" s="1064" t="s">
        <v>707</v>
      </c>
      <c r="AR12" s="1067"/>
      <c r="AX12" s="1064"/>
      <c r="AZ12" s="1068"/>
      <c r="BA12" s="1068"/>
      <c r="BB12" s="1068"/>
      <c r="BC12" s="1068"/>
      <c r="BF12" s="1064"/>
      <c r="BH12" s="1068"/>
      <c r="BI12" s="1068"/>
      <c r="BJ12" s="1068"/>
      <c r="BK12" s="1068"/>
      <c r="BL12" s="1068"/>
    </row>
    <row r="13" spans="1:64" ht="12.95" customHeight="1" x14ac:dyDescent="0.2">
      <c r="A13" s="440"/>
      <c r="B13" s="1043"/>
      <c r="C13" s="380"/>
      <c r="D13" s="380"/>
      <c r="E13" s="1065" t="s">
        <v>704</v>
      </c>
      <c r="F13" s="380"/>
      <c r="G13" s="380"/>
      <c r="H13" s="380"/>
      <c r="I13" s="380"/>
      <c r="J13" s="380"/>
      <c r="K13" s="463"/>
      <c r="L13" s="463"/>
      <c r="M13" s="1627" t="str">
        <f>VLOOKUP($AL$20,$AM$12:$AR$16,2,FALSE)</f>
        <v>3.4 I&amp;W</v>
      </c>
      <c r="N13" s="1628"/>
      <c r="O13" s="1629"/>
      <c r="P13" s="380"/>
      <c r="Q13" s="380" t="s">
        <v>709</v>
      </c>
      <c r="R13" s="380"/>
      <c r="S13" s="380"/>
      <c r="T13" s="380"/>
      <c r="U13" s="380"/>
      <c r="V13" s="380"/>
      <c r="W13" s="380"/>
      <c r="X13" s="380"/>
      <c r="Y13" s="380"/>
      <c r="Z13" s="380"/>
      <c r="AA13" s="380"/>
      <c r="AB13" s="380"/>
      <c r="AC13" s="380"/>
      <c r="AD13" s="464"/>
      <c r="AE13" s="464"/>
      <c r="AF13" s="464"/>
      <c r="AG13" s="464"/>
      <c r="AH13" s="464"/>
      <c r="AI13" s="464"/>
      <c r="AJ13" s="464"/>
      <c r="AK13" s="440"/>
      <c r="AL13" s="569"/>
      <c r="AM13" s="1066">
        <v>2</v>
      </c>
      <c r="AN13" s="1064" t="s">
        <v>708</v>
      </c>
      <c r="AR13" s="1067"/>
      <c r="AX13" s="1064"/>
      <c r="AZ13" s="1068"/>
      <c r="BA13" s="1068"/>
      <c r="BB13" s="1068"/>
      <c r="BC13" s="1068"/>
      <c r="BF13" s="1064"/>
      <c r="BH13" s="1068"/>
      <c r="BI13" s="1068"/>
      <c r="BJ13" s="1068"/>
      <c r="BK13" s="1068"/>
      <c r="BL13" s="1068"/>
    </row>
    <row r="14" spans="1:64" ht="12.95" customHeight="1" x14ac:dyDescent="0.2">
      <c r="A14" s="440"/>
      <c r="B14" s="1043"/>
      <c r="C14" s="380"/>
      <c r="D14" s="380"/>
      <c r="E14" s="380"/>
      <c r="F14" s="380"/>
      <c r="G14" s="380"/>
      <c r="H14" s="380"/>
      <c r="I14" s="380"/>
      <c r="J14" s="380"/>
      <c r="K14" s="463"/>
      <c r="L14" s="463"/>
      <c r="M14" s="380"/>
      <c r="N14" s="463"/>
      <c r="O14" s="380"/>
      <c r="P14" s="380"/>
      <c r="Q14" s="380" t="s">
        <v>710</v>
      </c>
      <c r="R14" s="380"/>
      <c r="S14" s="380"/>
      <c r="T14" s="380"/>
      <c r="U14" s="380"/>
      <c r="V14" s="380"/>
      <c r="W14" s="380"/>
      <c r="X14" s="380"/>
      <c r="Y14" s="380"/>
      <c r="Z14" s="380"/>
      <c r="AA14" s="380"/>
      <c r="AB14" s="380"/>
      <c r="AC14" s="380"/>
      <c r="AD14" s="464"/>
      <c r="AE14" s="464"/>
      <c r="AF14" s="464"/>
      <c r="AG14" s="464"/>
      <c r="AH14" s="464"/>
      <c r="AI14" s="464"/>
      <c r="AJ14" s="464"/>
      <c r="AK14" s="440"/>
      <c r="AL14" s="569"/>
      <c r="AM14" s="1066">
        <v>3</v>
      </c>
      <c r="AN14" s="1064" t="s">
        <v>723</v>
      </c>
      <c r="AR14" s="1067"/>
      <c r="AZ14" s="1068"/>
      <c r="BA14" s="1068"/>
      <c r="BB14" s="1068"/>
      <c r="BC14" s="1068"/>
      <c r="BH14" s="1068"/>
      <c r="BI14" s="1068"/>
      <c r="BJ14" s="1068"/>
      <c r="BK14" s="1068"/>
      <c r="BL14" s="1068"/>
    </row>
    <row r="15" spans="1:64" ht="12.95" customHeight="1" x14ac:dyDescent="0.2">
      <c r="A15" s="440"/>
      <c r="B15" s="1043"/>
      <c r="C15" s="380"/>
      <c r="D15" s="380"/>
      <c r="E15" s="380"/>
      <c r="F15" s="380"/>
      <c r="G15" s="380"/>
      <c r="H15" s="380"/>
      <c r="I15" s="380"/>
      <c r="J15" s="380"/>
      <c r="K15" s="463"/>
      <c r="L15" s="463"/>
      <c r="M15" s="380"/>
      <c r="N15" s="463"/>
      <c r="O15" s="380"/>
      <c r="P15" s="380"/>
      <c r="Q15" s="380" t="s">
        <v>712</v>
      </c>
      <c r="R15" s="380"/>
      <c r="S15" s="380"/>
      <c r="T15" s="380"/>
      <c r="U15" s="380"/>
      <c r="V15" s="380"/>
      <c r="W15" s="380"/>
      <c r="X15" s="380"/>
      <c r="Y15" s="380"/>
      <c r="Z15" s="380"/>
      <c r="AA15" s="380"/>
      <c r="AB15" s="380"/>
      <c r="AC15" s="380"/>
      <c r="AD15" s="464"/>
      <c r="AE15" s="464"/>
      <c r="AF15" s="464"/>
      <c r="AG15" s="464"/>
      <c r="AH15" s="464"/>
      <c r="AI15" s="464"/>
      <c r="AJ15" s="464"/>
      <c r="AK15" s="440"/>
      <c r="AL15" s="569"/>
      <c r="AM15" s="1066">
        <v>4</v>
      </c>
      <c r="AN15" s="1064" t="s">
        <v>711</v>
      </c>
      <c r="AR15" s="1067"/>
      <c r="AZ15" s="1068"/>
      <c r="BA15" s="1068"/>
      <c r="BB15" s="1068"/>
      <c r="BC15" s="1068"/>
      <c r="BH15" s="1068"/>
      <c r="BI15" s="1068"/>
      <c r="BJ15" s="1068"/>
      <c r="BK15" s="1068"/>
      <c r="BL15" s="1068"/>
    </row>
    <row r="16" spans="1:64" ht="12.95" customHeight="1" thickBot="1" x14ac:dyDescent="0.25">
      <c r="A16" s="440"/>
      <c r="B16" s="1043"/>
      <c r="C16" s="380"/>
      <c r="D16" s="380"/>
      <c r="E16" s="380"/>
      <c r="F16" s="380"/>
      <c r="G16" s="380"/>
      <c r="H16" s="380"/>
      <c r="I16" s="380"/>
      <c r="J16" s="380"/>
      <c r="K16" s="463"/>
      <c r="L16" s="463"/>
      <c r="M16" s="380"/>
      <c r="N16" s="463"/>
      <c r="O16" s="380"/>
      <c r="P16" s="380"/>
      <c r="Q16" s="380"/>
      <c r="R16" s="380"/>
      <c r="S16" s="380"/>
      <c r="T16" s="380"/>
      <c r="U16" s="380"/>
      <c r="V16" s="380"/>
      <c r="W16" s="380"/>
      <c r="X16" s="380"/>
      <c r="Y16" s="380"/>
      <c r="Z16" s="380"/>
      <c r="AA16" s="380"/>
      <c r="AB16" s="380"/>
      <c r="AC16" s="380"/>
      <c r="AD16" s="464"/>
      <c r="AE16" s="464"/>
      <c r="AF16" s="464"/>
      <c r="AG16" s="464"/>
      <c r="AH16" s="464"/>
      <c r="AI16" s="464"/>
      <c r="AJ16" s="464"/>
      <c r="AK16" s="440"/>
      <c r="AL16" s="569"/>
      <c r="AM16" s="1069">
        <v>5</v>
      </c>
      <c r="AN16" s="1070" t="s">
        <v>713</v>
      </c>
      <c r="AO16" s="1071"/>
      <c r="AP16" s="1071"/>
      <c r="AQ16" s="1071"/>
      <c r="AR16" s="1072"/>
      <c r="AZ16" s="1068"/>
      <c r="BA16" s="1068"/>
      <c r="BB16" s="1068"/>
      <c r="BC16" s="1068"/>
      <c r="BH16" s="1068"/>
      <c r="BI16" s="1068"/>
      <c r="BJ16" s="1068"/>
      <c r="BK16" s="1068"/>
      <c r="BL16" s="1068"/>
    </row>
    <row r="17" spans="1:54" s="327" customFormat="1" ht="39.950000000000003" customHeight="1" thickBot="1" x14ac:dyDescent="0.25">
      <c r="A17" s="440"/>
      <c r="B17" s="1164"/>
      <c r="C17" s="1165"/>
      <c r="D17" s="1165"/>
      <c r="E17" s="1165"/>
      <c r="F17" s="1165"/>
      <c r="G17" s="1165"/>
      <c r="H17" s="1165"/>
      <c r="I17" s="1165"/>
      <c r="J17" s="1165"/>
      <c r="K17" s="1165"/>
      <c r="L17" s="1165"/>
      <c r="M17" s="1165"/>
      <c r="N17" s="1165"/>
      <c r="O17" s="1165"/>
      <c r="P17" s="1165"/>
      <c r="Q17" s="1165"/>
      <c r="R17" s="1165"/>
      <c r="S17" s="1165"/>
      <c r="T17" s="1165"/>
      <c r="U17" s="440"/>
      <c r="V17" s="440"/>
      <c r="W17" s="440"/>
      <c r="X17" s="440"/>
      <c r="Y17" s="440"/>
      <c r="Z17" s="440"/>
      <c r="AA17" s="440"/>
      <c r="AB17" s="440"/>
      <c r="AC17" s="440"/>
      <c r="AD17" s="440"/>
      <c r="AE17" s="440"/>
      <c r="AF17" s="440"/>
      <c r="AG17" s="440"/>
      <c r="AH17" s="440"/>
      <c r="AI17" s="440"/>
      <c r="AJ17" s="440"/>
      <c r="AK17" s="440"/>
    </row>
    <row r="18" spans="1:54" ht="15" customHeight="1" x14ac:dyDescent="0.2">
      <c r="A18" s="440"/>
      <c r="B18" s="413"/>
      <c r="C18" s="380"/>
      <c r="D18" s="380"/>
      <c r="E18" s="380"/>
      <c r="F18" s="380"/>
      <c r="G18" s="380"/>
      <c r="H18" s="380"/>
      <c r="I18" s="473"/>
      <c r="J18" s="1598" t="s">
        <v>176</v>
      </c>
      <c r="K18" s="1598"/>
      <c r="L18" s="473"/>
      <c r="M18" s="475" t="s">
        <v>467</v>
      </c>
      <c r="N18" s="476" t="s">
        <v>141</v>
      </c>
      <c r="O18" s="477" t="s">
        <v>466</v>
      </c>
      <c r="P18" s="478" t="s">
        <v>451</v>
      </c>
      <c r="Q18" s="479" t="s">
        <v>462</v>
      </c>
      <c r="R18" s="479" t="s">
        <v>142</v>
      </c>
      <c r="S18" s="478" t="s">
        <v>62</v>
      </c>
      <c r="T18" s="379"/>
      <c r="U18" s="1598" t="s">
        <v>190</v>
      </c>
      <c r="V18" s="1598"/>
      <c r="W18" s="1598"/>
      <c r="X18" s="1598"/>
      <c r="Y18" s="1598"/>
      <c r="Z18" s="480"/>
      <c r="AA18" s="1598" t="s">
        <v>63</v>
      </c>
      <c r="AB18" s="1598"/>
      <c r="AC18" s="1598"/>
      <c r="AD18" s="1598"/>
      <c r="AE18" s="1598"/>
      <c r="AF18" s="379"/>
      <c r="AG18" s="379"/>
      <c r="AH18" s="379"/>
      <c r="AI18" s="1135" t="s">
        <v>175</v>
      </c>
      <c r="AJ18" s="379"/>
      <c r="AK18" s="440"/>
      <c r="AM18" s="1073" t="str">
        <f>"Übernahme der Daten von Variante "&amp;M13</f>
        <v>Übernahme der Daten von Variante 3.4 I&amp;W</v>
      </c>
      <c r="AN18" s="1074"/>
      <c r="AO18" s="1074"/>
      <c r="AP18" s="1074"/>
      <c r="AQ18" s="1074"/>
      <c r="AR18" s="1074"/>
      <c r="AS18" s="1074"/>
      <c r="AT18" s="1074"/>
      <c r="AU18" s="1074"/>
      <c r="AV18" s="1075"/>
      <c r="AX18" s="1073" t="s">
        <v>716</v>
      </c>
      <c r="AY18" s="1073"/>
      <c r="AZ18" s="1074"/>
      <c r="BA18" s="1074"/>
      <c r="BB18" s="1075"/>
    </row>
    <row r="19" spans="1:54" ht="15" customHeight="1" x14ac:dyDescent="0.2">
      <c r="A19" s="440"/>
      <c r="B19" s="413"/>
      <c r="C19" s="380"/>
      <c r="D19" s="380"/>
      <c r="E19" s="380"/>
      <c r="F19" s="380"/>
      <c r="G19" s="380"/>
      <c r="H19" s="380"/>
      <c r="I19" s="473"/>
      <c r="J19" s="1598" t="s">
        <v>169</v>
      </c>
      <c r="K19" s="1598"/>
      <c r="L19" s="474"/>
      <c r="M19" s="475"/>
      <c r="N19" s="476"/>
      <c r="O19" s="477"/>
      <c r="P19" s="478"/>
      <c r="Q19" s="479"/>
      <c r="R19" s="479"/>
      <c r="S19" s="478"/>
      <c r="T19" s="379"/>
      <c r="U19" s="1598" t="s">
        <v>463</v>
      </c>
      <c r="V19" s="1598"/>
      <c r="W19" s="438"/>
      <c r="X19" s="1598" t="s">
        <v>249</v>
      </c>
      <c r="Y19" s="1598"/>
      <c r="Z19" s="480"/>
      <c r="AA19" s="1598" t="s">
        <v>463</v>
      </c>
      <c r="AB19" s="1598"/>
      <c r="AC19" s="438"/>
      <c r="AD19" s="1598" t="s">
        <v>249</v>
      </c>
      <c r="AE19" s="1598"/>
      <c r="AF19" s="379"/>
      <c r="AG19" s="1598" t="s">
        <v>715</v>
      </c>
      <c r="AH19" s="1598"/>
      <c r="AI19" s="481"/>
      <c r="AJ19" s="379"/>
      <c r="AK19" s="440"/>
      <c r="AL19" s="460" t="s">
        <v>826</v>
      </c>
      <c r="AM19" s="1066" t="s">
        <v>717</v>
      </c>
      <c r="AN19" s="1076" t="s">
        <v>109</v>
      </c>
      <c r="AO19" s="1076" t="s">
        <v>62</v>
      </c>
      <c r="AP19" s="1630" t="s">
        <v>190</v>
      </c>
      <c r="AQ19" s="1630"/>
      <c r="AR19" s="567"/>
      <c r="AS19" s="1630" t="s">
        <v>63</v>
      </c>
      <c r="AT19" s="1630"/>
      <c r="AU19" s="567"/>
      <c r="AV19" s="1067" t="s">
        <v>175</v>
      </c>
      <c r="AX19" s="1077" t="s">
        <v>109</v>
      </c>
      <c r="AY19" s="1078" t="s">
        <v>62</v>
      </c>
      <c r="AZ19" s="1078" t="s">
        <v>190</v>
      </c>
      <c r="BA19" s="1078" t="s">
        <v>63</v>
      </c>
      <c r="BB19" s="1079" t="s">
        <v>175</v>
      </c>
    </row>
    <row r="20" spans="1:54" ht="12" customHeight="1" thickBot="1" x14ac:dyDescent="0.3">
      <c r="A20" s="440"/>
      <c r="B20" s="413"/>
      <c r="C20" s="380"/>
      <c r="D20" s="380"/>
      <c r="E20" s="380"/>
      <c r="F20" s="380"/>
      <c r="G20" s="380"/>
      <c r="H20" s="380"/>
      <c r="I20" s="473"/>
      <c r="J20" s="1598"/>
      <c r="K20" s="1598"/>
      <c r="L20" s="473"/>
      <c r="M20" s="473"/>
      <c r="N20" s="473"/>
      <c r="O20" s="473"/>
      <c r="P20" s="473"/>
      <c r="Q20" s="372"/>
      <c r="R20" s="372"/>
      <c r="S20" s="372" t="s">
        <v>65</v>
      </c>
      <c r="T20" s="372"/>
      <c r="U20" s="372" t="s">
        <v>64</v>
      </c>
      <c r="V20" s="319" t="s">
        <v>93</v>
      </c>
      <c r="W20" s="372"/>
      <c r="X20" s="372" t="s">
        <v>64</v>
      </c>
      <c r="Y20" s="319" t="s">
        <v>93</v>
      </c>
      <c r="Z20" s="372"/>
      <c r="AA20" s="372" t="s">
        <v>64</v>
      </c>
      <c r="AB20" s="372" t="s">
        <v>93</v>
      </c>
      <c r="AC20" s="372"/>
      <c r="AD20" s="372" t="s">
        <v>64</v>
      </c>
      <c r="AE20" s="372" t="s">
        <v>93</v>
      </c>
      <c r="AF20" s="372"/>
      <c r="AG20" s="372" t="s">
        <v>66</v>
      </c>
      <c r="AH20" s="372"/>
      <c r="AI20" s="482" t="s">
        <v>66</v>
      </c>
      <c r="AJ20" s="372"/>
      <c r="AK20" s="440"/>
      <c r="AL20" s="1382">
        <v>5</v>
      </c>
      <c r="AM20" s="1080" t="str">
        <f>M13</f>
        <v>3.4 I&amp;W</v>
      </c>
      <c r="AN20" s="1071"/>
      <c r="AO20" s="1071" t="s">
        <v>65</v>
      </c>
      <c r="AP20" s="1071" t="s">
        <v>64</v>
      </c>
      <c r="AQ20" s="1071" t="s">
        <v>93</v>
      </c>
      <c r="AR20" s="1071"/>
      <c r="AS20" s="1071" t="s">
        <v>64</v>
      </c>
      <c r="AT20" s="1071" t="s">
        <v>93</v>
      </c>
      <c r="AU20" s="1071"/>
      <c r="AV20" s="1072" t="s">
        <v>66</v>
      </c>
      <c r="AX20" s="1069"/>
      <c r="AY20" s="1071"/>
      <c r="AZ20" s="1071"/>
      <c r="BA20" s="1071"/>
      <c r="BB20" s="1072"/>
    </row>
    <row r="21" spans="1:54" ht="12" customHeight="1" x14ac:dyDescent="0.2">
      <c r="A21" s="440"/>
      <c r="B21" s="413"/>
      <c r="C21" s="380"/>
      <c r="D21" s="380"/>
      <c r="E21" s="380"/>
      <c r="F21" s="380"/>
      <c r="G21" s="380"/>
      <c r="H21" s="380"/>
      <c r="I21" s="473"/>
      <c r="J21" s="1033"/>
      <c r="K21" s="1033"/>
      <c r="L21" s="473"/>
      <c r="M21" s="473"/>
      <c r="N21" s="473"/>
      <c r="O21" s="473"/>
      <c r="P21" s="473"/>
      <c r="Q21" s="372"/>
      <c r="R21" s="372"/>
      <c r="S21" s="372"/>
      <c r="T21" s="372"/>
      <c r="U21" s="372"/>
      <c r="V21" s="319"/>
      <c r="W21" s="372"/>
      <c r="X21" s="372"/>
      <c r="Y21" s="319"/>
      <c r="Z21" s="372"/>
      <c r="AA21" s="372"/>
      <c r="AB21" s="372"/>
      <c r="AC21" s="372"/>
      <c r="AD21" s="372"/>
      <c r="AE21" s="372"/>
      <c r="AF21" s="372"/>
      <c r="AG21" s="372"/>
      <c r="AH21" s="372"/>
      <c r="AI21" s="482"/>
      <c r="AJ21" s="372"/>
      <c r="AK21" s="440"/>
      <c r="AM21" s="460" t="s">
        <v>718</v>
      </c>
      <c r="AN21" s="1089" t="s">
        <v>719</v>
      </c>
      <c r="AO21" s="1089" t="s">
        <v>362</v>
      </c>
      <c r="AP21" s="1089" t="s">
        <v>519</v>
      </c>
      <c r="AQ21" s="1089" t="s">
        <v>725</v>
      </c>
      <c r="AR21" s="1089" t="s">
        <v>728</v>
      </c>
      <c r="AS21" s="1089" t="s">
        <v>726</v>
      </c>
      <c r="AT21" s="1089" t="s">
        <v>727</v>
      </c>
      <c r="AU21" s="1089" t="s">
        <v>729</v>
      </c>
      <c r="AV21" s="1089" t="s">
        <v>720</v>
      </c>
    </row>
    <row r="22" spans="1:54" ht="12" customHeight="1" x14ac:dyDescent="0.2">
      <c r="A22" s="440"/>
      <c r="B22" s="413"/>
      <c r="C22" s="380"/>
      <c r="D22" s="380"/>
      <c r="E22" s="380"/>
      <c r="F22" s="380"/>
      <c r="G22" s="380"/>
      <c r="H22" s="380"/>
      <c r="I22" s="473"/>
      <c r="J22" s="1033"/>
      <c r="K22" s="1033"/>
      <c r="L22" s="473"/>
      <c r="M22" s="473"/>
      <c r="N22" s="473"/>
      <c r="O22" s="473"/>
      <c r="P22" s="473"/>
      <c r="Q22" s="372"/>
      <c r="R22" s="372"/>
      <c r="S22" s="372"/>
      <c r="T22" s="372"/>
      <c r="U22" s="372"/>
      <c r="V22" s="319"/>
      <c r="W22" s="372"/>
      <c r="X22" s="372"/>
      <c r="Y22" s="319"/>
      <c r="Z22" s="372"/>
      <c r="AA22" s="372"/>
      <c r="AB22" s="372"/>
      <c r="AC22" s="372"/>
      <c r="AD22" s="372"/>
      <c r="AE22" s="372"/>
      <c r="AF22" s="372"/>
      <c r="AG22" s="372"/>
      <c r="AH22" s="372"/>
      <c r="AI22" s="482"/>
      <c r="AJ22" s="372"/>
      <c r="AK22" s="440"/>
      <c r="AM22" s="460">
        <v>22</v>
      </c>
      <c r="AN22" s="1089" t="s">
        <v>144</v>
      </c>
      <c r="AX22" s="460" t="s">
        <v>721</v>
      </c>
    </row>
    <row r="23" spans="1:54" s="492" customFormat="1" ht="12.75" customHeight="1" collapsed="1" x14ac:dyDescent="0.2">
      <c r="A23" s="483"/>
      <c r="B23" s="484"/>
      <c r="C23" s="485"/>
      <c r="D23" s="486"/>
      <c r="E23" s="1610" t="s">
        <v>461</v>
      </c>
      <c r="F23" s="1610"/>
      <c r="G23" s="1610"/>
      <c r="H23" s="1610"/>
      <c r="I23" s="1611"/>
      <c r="J23" s="487"/>
      <c r="K23" s="488"/>
      <c r="L23" s="488"/>
      <c r="M23" s="489"/>
      <c r="N23" s="490"/>
      <c r="O23" s="431"/>
      <c r="P23" s="431"/>
      <c r="Q23" s="431"/>
      <c r="R23" s="431"/>
      <c r="S23" s="430">
        <f ca="1">SUM(BERECHNUNG!O896:O1002)</f>
        <v>4210862.4959999993</v>
      </c>
      <c r="T23" s="431"/>
      <c r="U23" s="431"/>
      <c r="V23" s="431"/>
      <c r="W23" s="431"/>
      <c r="X23" s="431"/>
      <c r="Y23" s="431"/>
      <c r="Z23" s="431"/>
      <c r="AA23" s="431"/>
      <c r="AB23" s="431"/>
      <c r="AC23" s="431"/>
      <c r="AD23" s="431"/>
      <c r="AE23" s="431"/>
      <c r="AF23" s="431"/>
      <c r="AG23" s="431"/>
      <c r="AH23" s="431"/>
      <c r="AI23" s="491"/>
      <c r="AJ23" s="431"/>
      <c r="AK23" s="483"/>
      <c r="AM23" s="460">
        <v>23</v>
      </c>
      <c r="AX23" s="1078" t="s">
        <v>722</v>
      </c>
      <c r="AY23" s="1078"/>
    </row>
    <row r="24" spans="1:54" ht="12" customHeight="1" x14ac:dyDescent="0.25">
      <c r="A24" s="440"/>
      <c r="B24" s="493"/>
      <c r="C24" s="494"/>
      <c r="D24" s="495"/>
      <c r="E24" s="1034"/>
      <c r="F24" s="1034"/>
      <c r="G24" s="1034"/>
      <c r="H24" s="1034"/>
      <c r="I24" s="1035"/>
      <c r="J24" s="1038"/>
      <c r="K24" s="462"/>
      <c r="L24" s="462"/>
      <c r="M24" s="498"/>
      <c r="N24" s="359"/>
      <c r="O24" s="363"/>
      <c r="P24" s="363"/>
      <c r="Q24" s="363"/>
      <c r="R24" s="363"/>
      <c r="S24" s="429"/>
      <c r="T24" s="363"/>
      <c r="U24" s="363"/>
      <c r="V24" s="363"/>
      <c r="W24" s="363"/>
      <c r="X24" s="363"/>
      <c r="Y24" s="363"/>
      <c r="Z24" s="363"/>
      <c r="AA24" s="363"/>
      <c r="AB24" s="363"/>
      <c r="AC24" s="363"/>
      <c r="AD24" s="363"/>
      <c r="AE24" s="363"/>
      <c r="AF24" s="363"/>
      <c r="AG24" s="363"/>
      <c r="AH24" s="363"/>
      <c r="AI24" s="358"/>
      <c r="AJ24" s="363"/>
      <c r="AK24" s="440"/>
      <c r="AM24" s="460">
        <v>24</v>
      </c>
      <c r="AP24" s="1081"/>
      <c r="AS24" s="1081"/>
      <c r="AX24" s="1082"/>
      <c r="AY24" s="1082"/>
      <c r="AZ24" s="1081"/>
      <c r="BA24" s="1081"/>
    </row>
    <row r="25" spans="1:54" ht="12" customHeight="1" x14ac:dyDescent="0.2">
      <c r="A25" s="440"/>
      <c r="B25" s="413"/>
      <c r="C25" s="380"/>
      <c r="D25" s="380"/>
      <c r="E25" s="380"/>
      <c r="F25" s="380"/>
      <c r="G25" s="380"/>
      <c r="H25" s="380"/>
      <c r="I25" s="473"/>
      <c r="J25" s="1033"/>
      <c r="K25" s="1033"/>
      <c r="L25" s="473"/>
      <c r="M25" s="473"/>
      <c r="N25" s="473"/>
      <c r="O25" s="473"/>
      <c r="P25" s="473"/>
      <c r="Q25" s="372"/>
      <c r="R25" s="372"/>
      <c r="S25" s="372"/>
      <c r="T25" s="372"/>
      <c r="U25" s="372"/>
      <c r="V25" s="319"/>
      <c r="W25" s="372"/>
      <c r="X25" s="372"/>
      <c r="Y25" s="319"/>
      <c r="Z25" s="372"/>
      <c r="AA25" s="372"/>
      <c r="AB25" s="372"/>
      <c r="AC25" s="372"/>
      <c r="AD25" s="372"/>
      <c r="AE25" s="372"/>
      <c r="AF25" s="372"/>
      <c r="AG25" s="372"/>
      <c r="AH25" s="372"/>
      <c r="AI25" s="482"/>
      <c r="AJ25" s="372"/>
      <c r="AK25" s="440"/>
      <c r="AM25" s="460">
        <v>25</v>
      </c>
      <c r="AP25" s="1081"/>
      <c r="AS25" s="1081"/>
      <c r="AZ25" s="1081"/>
      <c r="BA25" s="1081"/>
    </row>
    <row r="26" spans="1:54" ht="12" customHeight="1" x14ac:dyDescent="0.25">
      <c r="A26" s="440"/>
      <c r="B26" s="499">
        <v>0</v>
      </c>
      <c r="C26" s="1034"/>
      <c r="D26" s="1034"/>
      <c r="E26" s="1606" t="s">
        <v>61</v>
      </c>
      <c r="F26" s="1606"/>
      <c r="G26" s="1606"/>
      <c r="H26" s="1606"/>
      <c r="I26" s="1605"/>
      <c r="J26" s="1038"/>
      <c r="K26" s="502"/>
      <c r="L26" s="502"/>
      <c r="M26" s="1036"/>
      <c r="N26" s="503"/>
      <c r="O26" s="1036"/>
      <c r="P26" s="1036"/>
      <c r="Q26" s="1036"/>
      <c r="R26" s="1036"/>
      <c r="S26" s="385">
        <f ca="1">SUBTOTAL(109,S27)</f>
        <v>432000</v>
      </c>
      <c r="T26" s="372"/>
      <c r="U26" s="372"/>
      <c r="V26" s="372"/>
      <c r="W26" s="372"/>
      <c r="X26" s="372"/>
      <c r="Y26" s="372"/>
      <c r="Z26" s="372"/>
      <c r="AA26" s="372"/>
      <c r="AB26" s="372"/>
      <c r="AC26" s="372"/>
      <c r="AD26" s="482"/>
      <c r="AE26" s="482"/>
      <c r="AF26" s="482"/>
      <c r="AG26" s="482"/>
      <c r="AH26" s="482"/>
      <c r="AI26" s="482"/>
      <c r="AJ26" s="482"/>
      <c r="AK26" s="440"/>
      <c r="AM26" s="460">
        <v>26</v>
      </c>
      <c r="AP26" s="1081"/>
      <c r="AS26" s="1081"/>
      <c r="AZ26" s="1081"/>
      <c r="BA26" s="1081"/>
    </row>
    <row r="27" spans="1:54" ht="12" customHeight="1" x14ac:dyDescent="0.25">
      <c r="A27" s="440"/>
      <c r="B27" s="499"/>
      <c r="C27" s="1034"/>
      <c r="D27" s="1034"/>
      <c r="E27" s="1034"/>
      <c r="F27" s="1034"/>
      <c r="G27" s="1034"/>
      <c r="H27" s="1034"/>
      <c r="I27" s="1038"/>
      <c r="J27" s="1038"/>
      <c r="K27" s="502"/>
      <c r="L27" s="502"/>
      <c r="M27" s="343"/>
      <c r="N27" s="504" t="s">
        <v>67</v>
      </c>
      <c r="O27" s="344"/>
      <c r="P27" s="504" t="s">
        <v>363</v>
      </c>
      <c r="Q27" s="344"/>
      <c r="R27" s="504" t="s">
        <v>363</v>
      </c>
      <c r="S27" s="353">
        <f ca="1">IF(AY27="E",(M27*O27)+Q27,AO27)</f>
        <v>432000</v>
      </c>
      <c r="T27" s="372"/>
      <c r="U27" s="380"/>
      <c r="V27" s="380"/>
      <c r="W27" s="380"/>
      <c r="X27" s="380"/>
      <c r="Y27" s="380"/>
      <c r="Z27" s="380"/>
      <c r="AA27" s="380"/>
      <c r="AB27" s="380"/>
      <c r="AC27" s="380"/>
      <c r="AD27" s="380"/>
      <c r="AE27" s="380"/>
      <c r="AF27" s="380"/>
      <c r="AG27" s="1266"/>
      <c r="AH27" s="380"/>
      <c r="AI27" s="1086">
        <f ca="1">IF(BB27="E",AG27,AV27)</f>
        <v>0</v>
      </c>
      <c r="AJ27" s="380"/>
      <c r="AK27" s="440"/>
      <c r="AM27" s="460">
        <v>27</v>
      </c>
      <c r="AO27" s="1083">
        <f ca="1">IF($M$13=$AN$12,"",INDIRECT("'"&amp;$AM$20&amp;"'!"&amp;AO$21&amp;$AM27))</f>
        <v>432000</v>
      </c>
      <c r="AP27" s="1081"/>
      <c r="AS27" s="1081"/>
      <c r="AV27" s="1083">
        <f ca="1">IF($M$13=$AN$12,"",INDIRECT("'"&amp;$AM$20&amp;"'!"&amp;AV$21&amp;$AM27))</f>
        <v>0</v>
      </c>
      <c r="AY27" s="1083" t="str">
        <f>IF($M$13=$AN$12,"E",IF(OR(ISNUMBER(M27),ISNUMBER(O27),ISNUMBER(Q27)),"E","U"))</f>
        <v>U</v>
      </c>
      <c r="AZ27" s="1081"/>
      <c r="BA27" s="1081"/>
      <c r="BB27" s="1083" t="str">
        <f>IF($M$13=$AN$12,"E",IF(ISNUMBER(AG27),"E","U"))</f>
        <v>U</v>
      </c>
    </row>
    <row r="28" spans="1:54" ht="12" customHeight="1" x14ac:dyDescent="0.25">
      <c r="A28" s="440"/>
      <c r="B28" s="505"/>
      <c r="C28" s="506"/>
      <c r="D28" s="506"/>
      <c r="E28" s="506"/>
      <c r="F28" s="506"/>
      <c r="G28" s="506"/>
      <c r="H28" s="506"/>
      <c r="I28" s="507"/>
      <c r="J28" s="507"/>
      <c r="K28" s="508"/>
      <c r="L28" s="508"/>
      <c r="M28" s="508"/>
      <c r="N28" s="508"/>
      <c r="O28" s="508"/>
      <c r="P28" s="508"/>
      <c r="Q28" s="508"/>
      <c r="R28" s="508"/>
      <c r="S28" s="382"/>
      <c r="T28" s="509"/>
      <c r="U28" s="378"/>
      <c r="V28" s="378"/>
      <c r="W28" s="378"/>
      <c r="X28" s="378"/>
      <c r="Y28" s="378"/>
      <c r="Z28" s="378"/>
      <c r="AA28" s="378"/>
      <c r="AB28" s="378"/>
      <c r="AC28" s="378"/>
      <c r="AD28" s="378"/>
      <c r="AE28" s="378"/>
      <c r="AF28" s="378"/>
      <c r="AG28" s="378"/>
      <c r="AH28" s="378"/>
      <c r="AI28" s="510"/>
      <c r="AJ28" s="378"/>
      <c r="AK28" s="440"/>
      <c r="AM28" s="460">
        <v>28</v>
      </c>
      <c r="AP28" s="1081"/>
      <c r="AS28" s="1081"/>
      <c r="AZ28" s="1081"/>
      <c r="BA28" s="1081"/>
    </row>
    <row r="29" spans="1:54" ht="12" customHeight="1" x14ac:dyDescent="0.2">
      <c r="A29" s="440"/>
      <c r="B29" s="320"/>
      <c r="C29" s="1036"/>
      <c r="D29" s="1036"/>
      <c r="E29" s="1036"/>
      <c r="F29" s="1036"/>
      <c r="G29" s="1036"/>
      <c r="H29" s="1036"/>
      <c r="I29" s="380"/>
      <c r="J29" s="380"/>
      <c r="K29" s="463"/>
      <c r="L29" s="463"/>
      <c r="M29" s="379"/>
      <c r="N29" s="1033"/>
      <c r="O29" s="379"/>
      <c r="P29" s="379"/>
      <c r="Q29" s="379"/>
      <c r="R29" s="379"/>
      <c r="S29" s="383"/>
      <c r="T29" s="379"/>
      <c r="U29" s="379"/>
      <c r="V29" s="379"/>
      <c r="W29" s="379"/>
      <c r="X29" s="379"/>
      <c r="Y29" s="379"/>
      <c r="Z29" s="379"/>
      <c r="AA29" s="379"/>
      <c r="AB29" s="379"/>
      <c r="AC29" s="379"/>
      <c r="AD29" s="379"/>
      <c r="AE29" s="379"/>
      <c r="AF29" s="379"/>
      <c r="AG29" s="379"/>
      <c r="AH29" s="379"/>
      <c r="AI29" s="481"/>
      <c r="AJ29" s="379"/>
      <c r="AK29" s="440"/>
      <c r="AM29" s="460">
        <v>29</v>
      </c>
      <c r="AP29" s="1081"/>
      <c r="AS29" s="1081"/>
      <c r="AZ29" s="1081"/>
      <c r="BA29" s="1081"/>
    </row>
    <row r="30" spans="1:54" ht="12" customHeight="1" x14ac:dyDescent="0.2">
      <c r="A30" s="440"/>
      <c r="B30" s="320"/>
      <c r="C30" s="1036"/>
      <c r="D30" s="1036"/>
      <c r="E30" s="1036"/>
      <c r="F30" s="1036"/>
      <c r="G30" s="1036"/>
      <c r="H30" s="1036"/>
      <c r="I30" s="380"/>
      <c r="J30" s="380"/>
      <c r="K30" s="463"/>
      <c r="L30" s="463"/>
      <c r="M30" s="1036"/>
      <c r="N30" s="503"/>
      <c r="O30" s="1036"/>
      <c r="P30" s="1036"/>
      <c r="Q30" s="1036"/>
      <c r="R30" s="1036"/>
      <c r="S30" s="384"/>
      <c r="T30" s="372"/>
      <c r="U30" s="372"/>
      <c r="V30" s="372"/>
      <c r="W30" s="372"/>
      <c r="X30" s="372"/>
      <c r="Y30" s="372"/>
      <c r="Z30" s="372"/>
      <c r="AA30" s="372"/>
      <c r="AB30" s="372"/>
      <c r="AC30" s="372"/>
      <c r="AD30" s="372"/>
      <c r="AE30" s="372"/>
      <c r="AF30" s="372"/>
      <c r="AG30" s="372"/>
      <c r="AH30" s="372"/>
      <c r="AI30" s="482"/>
      <c r="AJ30" s="372"/>
      <c r="AK30" s="440"/>
      <c r="AM30" s="460">
        <v>30</v>
      </c>
      <c r="AP30" s="1081"/>
      <c r="AS30" s="1081"/>
      <c r="AZ30" s="1081"/>
      <c r="BA30" s="1081"/>
    </row>
    <row r="31" spans="1:54" ht="14.25" customHeight="1" x14ac:dyDescent="0.25">
      <c r="A31" s="440"/>
      <c r="B31" s="499">
        <v>1</v>
      </c>
      <c r="C31" s="494"/>
      <c r="D31" s="495"/>
      <c r="E31" s="1606" t="s">
        <v>59</v>
      </c>
      <c r="F31" s="1606"/>
      <c r="G31" s="1606"/>
      <c r="H31" s="1606"/>
      <c r="I31" s="1597"/>
      <c r="J31" s="1038"/>
      <c r="K31" s="462"/>
      <c r="L31" s="462"/>
      <c r="M31" s="363"/>
      <c r="N31" s="359"/>
      <c r="O31" s="363"/>
      <c r="P31" s="363"/>
      <c r="Q31" s="363"/>
      <c r="R31" s="363"/>
      <c r="S31" s="385">
        <f ca="1">S32</f>
        <v>89427.599999999991</v>
      </c>
      <c r="T31" s="363"/>
      <c r="U31" s="1036"/>
      <c r="V31" s="1036"/>
      <c r="W31" s="1036"/>
      <c r="X31" s="1036"/>
      <c r="Y31" s="1036"/>
      <c r="Z31" s="1036"/>
      <c r="AA31" s="1036"/>
      <c r="AB31" s="1036"/>
      <c r="AC31" s="1036"/>
      <c r="AD31" s="1036"/>
      <c r="AE31" s="1036"/>
      <c r="AF31" s="1036"/>
      <c r="AG31" s="1036"/>
      <c r="AH31" s="1036"/>
      <c r="AI31" s="358"/>
      <c r="AJ31" s="1036"/>
      <c r="AK31" s="440"/>
      <c r="AM31" s="460">
        <v>31</v>
      </c>
      <c r="AP31" s="1081"/>
      <c r="AS31" s="1081"/>
      <c r="AZ31" s="1081"/>
      <c r="BA31" s="1081"/>
    </row>
    <row r="32" spans="1:54" ht="12" customHeight="1" x14ac:dyDescent="0.25">
      <c r="A32" s="440"/>
      <c r="B32" s="1043"/>
      <c r="C32" s="1041" t="s">
        <v>58</v>
      </c>
      <c r="D32" s="380"/>
      <c r="E32" s="1596" t="s">
        <v>57</v>
      </c>
      <c r="F32" s="1596"/>
      <c r="G32" s="1596"/>
      <c r="H32" s="1596"/>
      <c r="I32" s="1605"/>
      <c r="J32" s="1038"/>
      <c r="K32" s="502"/>
      <c r="L32" s="502"/>
      <c r="M32" s="363"/>
      <c r="N32" s="359"/>
      <c r="O32" s="363"/>
      <c r="P32" s="363"/>
      <c r="Q32" s="363"/>
      <c r="R32" s="363"/>
      <c r="S32" s="355">
        <f ca="1">SUBTOTAL(109,S34)</f>
        <v>89427.599999999991</v>
      </c>
      <c r="T32" s="363"/>
      <c r="U32" s="1036"/>
      <c r="V32" s="1036"/>
      <c r="W32" s="1036"/>
      <c r="X32" s="1036"/>
      <c r="Y32" s="1036"/>
      <c r="Z32" s="1036"/>
      <c r="AA32" s="1036"/>
      <c r="AB32" s="1036"/>
      <c r="AC32" s="1036"/>
      <c r="AD32" s="1036"/>
      <c r="AE32" s="1036"/>
      <c r="AF32" s="1036"/>
      <c r="AG32" s="1036"/>
      <c r="AH32" s="1036"/>
      <c r="AI32" s="358"/>
      <c r="AJ32" s="1036"/>
      <c r="AK32" s="440"/>
      <c r="AM32" s="460">
        <v>32</v>
      </c>
      <c r="AP32" s="1081"/>
      <c r="AS32" s="1081"/>
      <c r="AZ32" s="1081"/>
      <c r="BA32" s="1081"/>
    </row>
    <row r="33" spans="1:54" ht="12" customHeight="1" x14ac:dyDescent="0.25">
      <c r="A33" s="440"/>
      <c r="B33" s="1043"/>
      <c r="C33" s="1041"/>
      <c r="D33" s="1037" t="s">
        <v>56</v>
      </c>
      <c r="E33" s="1599" t="s">
        <v>50</v>
      </c>
      <c r="F33" s="1599"/>
      <c r="G33" s="1599"/>
      <c r="H33" s="1599"/>
      <c r="I33" s="1631"/>
      <c r="J33" s="1038"/>
      <c r="K33" s="502"/>
      <c r="L33" s="502"/>
      <c r="M33" s="363"/>
      <c r="N33" s="359"/>
      <c r="O33" s="363"/>
      <c r="P33" s="363"/>
      <c r="Q33" s="363"/>
      <c r="R33" s="363"/>
      <c r="S33" s="1036"/>
      <c r="T33" s="363"/>
      <c r="U33" s="1036"/>
      <c r="V33" s="1036"/>
      <c r="W33" s="1036"/>
      <c r="X33" s="1036"/>
      <c r="Y33" s="1036"/>
      <c r="Z33" s="1036"/>
      <c r="AA33" s="1036"/>
      <c r="AB33" s="1036"/>
      <c r="AC33" s="1036"/>
      <c r="AD33" s="1036"/>
      <c r="AE33" s="1036"/>
      <c r="AF33" s="1036"/>
      <c r="AG33" s="1036"/>
      <c r="AH33" s="1036"/>
      <c r="AI33" s="358"/>
      <c r="AJ33" s="1036"/>
      <c r="AK33" s="440"/>
      <c r="AM33" s="460">
        <v>33</v>
      </c>
      <c r="AP33" s="1081"/>
      <c r="AS33" s="1081"/>
      <c r="AZ33" s="1081"/>
      <c r="BA33" s="1081"/>
    </row>
    <row r="34" spans="1:54" ht="12" customHeight="1" x14ac:dyDescent="0.25">
      <c r="A34" s="440"/>
      <c r="B34" s="1043"/>
      <c r="C34" s="380"/>
      <c r="D34" s="1598"/>
      <c r="E34" s="1598"/>
      <c r="F34" s="1598"/>
      <c r="G34" s="1598"/>
      <c r="H34" s="1598"/>
      <c r="I34" s="1598"/>
      <c r="J34" s="1038"/>
      <c r="K34" s="502"/>
      <c r="L34" s="502"/>
      <c r="M34" s="343"/>
      <c r="N34" s="359"/>
      <c r="O34" s="344"/>
      <c r="P34" s="363"/>
      <c r="Q34" s="344"/>
      <c r="R34" s="504" t="s">
        <v>363</v>
      </c>
      <c r="S34" s="353">
        <f ca="1">IF(AY34="E",(M34*O34)+Q34,AO34)</f>
        <v>89427.599999999991</v>
      </c>
      <c r="T34" s="363"/>
      <c r="U34" s="363"/>
      <c r="V34" s="363"/>
      <c r="W34" s="363"/>
      <c r="X34" s="363"/>
      <c r="Y34" s="363"/>
      <c r="Z34" s="363"/>
      <c r="AA34" s="363"/>
      <c r="AB34" s="363"/>
      <c r="AC34" s="363"/>
      <c r="AD34" s="363"/>
      <c r="AE34" s="363"/>
      <c r="AF34" s="1036"/>
      <c r="AG34" s="216"/>
      <c r="AH34" s="1036"/>
      <c r="AI34" s="1086">
        <f ca="1">IF(BB34="E",AG34,AV34)</f>
        <v>100</v>
      </c>
      <c r="AJ34" s="1036"/>
      <c r="AK34" s="440"/>
      <c r="AM34" s="460">
        <v>34</v>
      </c>
      <c r="AO34" s="1083">
        <f ca="1">IF($M$13=$AN$12,"",INDIRECT("'"&amp;$AM$20&amp;"'!"&amp;AO$21&amp;$AM34))</f>
        <v>89427.599999999991</v>
      </c>
      <c r="AP34" s="1081"/>
      <c r="AS34" s="1081"/>
      <c r="AV34" s="1083">
        <f ca="1">IF($M$13=$AN$12,"",INDIRECT("'"&amp;$AM$20&amp;"'!"&amp;AV$21&amp;$AM34))</f>
        <v>100</v>
      </c>
      <c r="AY34" s="1083" t="str">
        <f>IF($M$13=$AN$12,"E",IF(OR(ISNUMBER(M34),ISNUMBER(O34),ISNUMBER(Q34)),"E","U"))</f>
        <v>U</v>
      </c>
      <c r="AZ34" s="1081"/>
      <c r="BA34" s="1081"/>
      <c r="BB34" s="1083" t="str">
        <f>IF($M$13=$AN$12,"E",IF(ISNUMBER(AG34),"E","U"))</f>
        <v>U</v>
      </c>
    </row>
    <row r="35" spans="1:54" ht="12" customHeight="1" x14ac:dyDescent="0.25">
      <c r="A35" s="440"/>
      <c r="B35" s="324"/>
      <c r="C35" s="378"/>
      <c r="D35" s="515"/>
      <c r="E35" s="515"/>
      <c r="F35" s="515"/>
      <c r="G35" s="516"/>
      <c r="H35" s="1598"/>
      <c r="I35" s="1598"/>
      <c r="J35" s="507"/>
      <c r="K35" s="508"/>
      <c r="L35" s="508"/>
      <c r="M35" s="371"/>
      <c r="N35" s="517"/>
      <c r="O35" s="371"/>
      <c r="P35" s="371"/>
      <c r="Q35" s="371"/>
      <c r="R35" s="371"/>
      <c r="S35" s="387"/>
      <c r="T35" s="371"/>
      <c r="U35" s="371"/>
      <c r="V35" s="371"/>
      <c r="W35" s="371"/>
      <c r="X35" s="371"/>
      <c r="Y35" s="371"/>
      <c r="Z35" s="371"/>
      <c r="AA35" s="371"/>
      <c r="AB35" s="371"/>
      <c r="AC35" s="371"/>
      <c r="AD35" s="371"/>
      <c r="AE35" s="371"/>
      <c r="AF35" s="370"/>
      <c r="AG35" s="370"/>
      <c r="AH35" s="370"/>
      <c r="AI35" s="373"/>
      <c r="AJ35" s="370"/>
      <c r="AK35" s="440"/>
      <c r="AM35" s="460">
        <v>35</v>
      </c>
      <c r="AP35" s="1081"/>
      <c r="AS35" s="1081"/>
      <c r="AZ35" s="1081"/>
      <c r="BA35" s="1081"/>
    </row>
    <row r="36" spans="1:54" s="327" customFormat="1" ht="39.950000000000003" customHeight="1" x14ac:dyDescent="0.2">
      <c r="A36" s="440"/>
      <c r="B36" s="1164"/>
      <c r="C36" s="1165"/>
      <c r="D36" s="1165"/>
      <c r="E36" s="1165"/>
      <c r="F36" s="1165"/>
      <c r="G36" s="1165"/>
      <c r="H36" s="1165"/>
      <c r="I36" s="1165"/>
      <c r="J36" s="1165"/>
      <c r="K36" s="1165"/>
      <c r="L36" s="1165"/>
      <c r="M36" s="1165"/>
      <c r="N36" s="1165"/>
      <c r="O36" s="1165"/>
      <c r="P36" s="1165"/>
      <c r="Q36" s="1165"/>
      <c r="R36" s="1165"/>
      <c r="S36" s="1165"/>
      <c r="T36" s="1165"/>
      <c r="U36" s="440"/>
      <c r="V36" s="440"/>
      <c r="W36" s="440"/>
      <c r="X36" s="440"/>
      <c r="Y36" s="440"/>
      <c r="Z36" s="440"/>
      <c r="AA36" s="440"/>
      <c r="AB36" s="440"/>
      <c r="AC36" s="440"/>
      <c r="AD36" s="440"/>
      <c r="AE36" s="440"/>
      <c r="AF36" s="440"/>
      <c r="AG36" s="440"/>
      <c r="AH36" s="440"/>
      <c r="AI36" s="440"/>
      <c r="AJ36" s="440"/>
      <c r="AK36" s="440"/>
      <c r="AM36" s="460">
        <v>36</v>
      </c>
    </row>
    <row r="37" spans="1:54" ht="12" customHeight="1" x14ac:dyDescent="0.25">
      <c r="A37" s="440"/>
      <c r="B37" s="1042"/>
      <c r="C37" s="1036"/>
      <c r="D37" s="1037"/>
      <c r="E37" s="515"/>
      <c r="F37" s="515"/>
      <c r="G37" s="515"/>
      <c r="H37" s="515"/>
      <c r="I37" s="516"/>
      <c r="J37" s="1598"/>
      <c r="K37" s="1598"/>
      <c r="L37" s="1033"/>
      <c r="M37" s="379"/>
      <c r="N37" s="1033"/>
      <c r="O37" s="379"/>
      <c r="P37" s="379"/>
      <c r="Q37" s="379"/>
      <c r="R37" s="379"/>
      <c r="S37" s="379"/>
      <c r="T37" s="379"/>
      <c r="U37" s="1598"/>
      <c r="V37" s="1598"/>
      <c r="W37" s="1033"/>
      <c r="X37" s="1598"/>
      <c r="Y37" s="1598"/>
      <c r="Z37" s="379"/>
      <c r="AA37" s="1598"/>
      <c r="AB37" s="1598"/>
      <c r="AC37" s="379"/>
      <c r="AD37" s="481"/>
      <c r="AE37" s="481"/>
      <c r="AF37" s="481"/>
      <c r="AG37" s="481"/>
      <c r="AH37" s="481"/>
      <c r="AI37" s="481"/>
      <c r="AJ37" s="481"/>
      <c r="AK37" s="440"/>
      <c r="AM37" s="460">
        <v>37</v>
      </c>
      <c r="AP37" s="1081"/>
      <c r="AS37" s="1081"/>
      <c r="AZ37" s="1081"/>
      <c r="BA37" s="1081"/>
    </row>
    <row r="38" spans="1:54" ht="12" customHeight="1" x14ac:dyDescent="0.25">
      <c r="A38" s="440"/>
      <c r="B38" s="1042"/>
      <c r="C38" s="1036"/>
      <c r="D38" s="1037"/>
      <c r="E38" s="515"/>
      <c r="F38" s="515"/>
      <c r="G38" s="515"/>
      <c r="H38" s="515"/>
      <c r="I38" s="516"/>
      <c r="J38" s="1598"/>
      <c r="K38" s="1598"/>
      <c r="L38" s="1033"/>
      <c r="M38" s="1036"/>
      <c r="N38" s="503"/>
      <c r="O38" s="1036"/>
      <c r="P38" s="1036"/>
      <c r="Q38" s="1036"/>
      <c r="R38" s="1036"/>
      <c r="S38" s="372"/>
      <c r="T38" s="372"/>
      <c r="U38" s="372"/>
      <c r="V38" s="372"/>
      <c r="W38" s="372"/>
      <c r="X38" s="372"/>
      <c r="Y38" s="372"/>
      <c r="Z38" s="372"/>
      <c r="AA38" s="372"/>
      <c r="AB38" s="372"/>
      <c r="AC38" s="372"/>
      <c r="AD38" s="482"/>
      <c r="AE38" s="482"/>
      <c r="AF38" s="482"/>
      <c r="AG38" s="482"/>
      <c r="AH38" s="482"/>
      <c r="AI38" s="482"/>
      <c r="AJ38" s="482"/>
      <c r="AK38" s="440"/>
      <c r="AM38" s="460">
        <v>38</v>
      </c>
      <c r="AP38" s="1081"/>
      <c r="AS38" s="1081"/>
      <c r="AZ38" s="1081"/>
      <c r="BA38" s="1081"/>
    </row>
    <row r="39" spans="1:54" ht="14.25" customHeight="1" x14ac:dyDescent="0.25">
      <c r="A39" s="440"/>
      <c r="B39" s="1042" t="s">
        <v>144</v>
      </c>
      <c r="C39" s="494"/>
      <c r="D39" s="1037"/>
      <c r="E39" s="1606" t="s">
        <v>143</v>
      </c>
      <c r="F39" s="1606"/>
      <c r="G39" s="1606"/>
      <c r="H39" s="1606"/>
      <c r="I39" s="1597"/>
      <c r="J39" s="1038"/>
      <c r="K39" s="462"/>
      <c r="L39" s="462"/>
      <c r="M39" s="1036"/>
      <c r="N39" s="503"/>
      <c r="O39" s="1036"/>
      <c r="P39" s="1036"/>
      <c r="Q39" s="1036"/>
      <c r="R39" s="1036"/>
      <c r="S39" s="385">
        <f ca="1">S40+S53+S73+S92+S102</f>
        <v>564080.79599999997</v>
      </c>
      <c r="T39" s="363"/>
      <c r="U39" s="358"/>
      <c r="V39" s="358"/>
      <c r="W39" s="358"/>
      <c r="X39" s="358"/>
      <c r="Y39" s="358"/>
      <c r="Z39" s="363"/>
      <c r="AA39" s="358"/>
      <c r="AB39" s="358"/>
      <c r="AC39" s="358"/>
      <c r="AD39" s="358"/>
      <c r="AE39" s="358"/>
      <c r="AF39" s="358"/>
      <c r="AG39" s="358"/>
      <c r="AH39" s="358"/>
      <c r="AI39" s="358"/>
      <c r="AJ39" s="358"/>
      <c r="AK39" s="440"/>
      <c r="AM39" s="460">
        <v>39</v>
      </c>
      <c r="AP39" s="1081"/>
      <c r="AS39" s="1081"/>
      <c r="AZ39" s="1081"/>
      <c r="BA39" s="1081"/>
    </row>
    <row r="40" spans="1:54" ht="14.25" customHeight="1" x14ac:dyDescent="0.25">
      <c r="A40" s="440"/>
      <c r="B40" s="1042"/>
      <c r="C40" s="1036" t="s">
        <v>145</v>
      </c>
      <c r="D40" s="494"/>
      <c r="E40" s="1596" t="s">
        <v>133</v>
      </c>
      <c r="F40" s="1596"/>
      <c r="G40" s="1596"/>
      <c r="H40" s="1596"/>
      <c r="I40" s="1597"/>
      <c r="J40" s="1038"/>
      <c r="K40" s="462"/>
      <c r="L40" s="462"/>
      <c r="M40" s="1037"/>
      <c r="N40" s="519"/>
      <c r="O40" s="380"/>
      <c r="P40" s="1037"/>
      <c r="Q40" s="1037"/>
      <c r="R40" s="1037"/>
      <c r="S40" s="355">
        <f ca="1">S41+S47</f>
        <v>165053.21999999997</v>
      </c>
      <c r="T40" s="363"/>
      <c r="U40" s="358"/>
      <c r="V40" s="358"/>
      <c r="W40" s="358"/>
      <c r="X40" s="358"/>
      <c r="Y40" s="358"/>
      <c r="Z40" s="363"/>
      <c r="AA40" s="358"/>
      <c r="AB40" s="358"/>
      <c r="AC40" s="358"/>
      <c r="AD40" s="358"/>
      <c r="AE40" s="358"/>
      <c r="AF40" s="358"/>
      <c r="AG40" s="358"/>
      <c r="AH40" s="358"/>
      <c r="AI40" s="358"/>
      <c r="AJ40" s="358"/>
      <c r="AK40" s="440"/>
      <c r="AM40" s="460">
        <v>40</v>
      </c>
      <c r="AP40" s="1081"/>
      <c r="AS40" s="1081"/>
      <c r="AZ40" s="1081"/>
      <c r="BA40" s="1081"/>
    </row>
    <row r="41" spans="1:54" ht="12" customHeight="1" x14ac:dyDescent="0.25">
      <c r="A41" s="440"/>
      <c r="B41" s="1042"/>
      <c r="C41" s="1036"/>
      <c r="D41" s="1037" t="s">
        <v>146</v>
      </c>
      <c r="E41" s="1599" t="s">
        <v>139</v>
      </c>
      <c r="F41" s="1599"/>
      <c r="G41" s="1599"/>
      <c r="H41" s="1599"/>
      <c r="I41" s="1597"/>
      <c r="J41" s="1038"/>
      <c r="K41" s="1038"/>
      <c r="L41" s="503"/>
      <c r="M41" s="1037"/>
      <c r="N41" s="519"/>
      <c r="O41" s="1037"/>
      <c r="P41" s="1038"/>
      <c r="Q41" s="1038"/>
      <c r="R41" s="1038"/>
      <c r="S41" s="388">
        <f ca="1">SUBTOTAL(109,S43:S46)</f>
        <v>165053.21999999997</v>
      </c>
      <c r="T41" s="363"/>
      <c r="U41" s="358"/>
      <c r="V41" s="358"/>
      <c r="W41" s="358"/>
      <c r="X41" s="358"/>
      <c r="Y41" s="358"/>
      <c r="Z41" s="358"/>
      <c r="AA41" s="358"/>
      <c r="AB41" s="358"/>
      <c r="AC41" s="358"/>
      <c r="AD41" s="358"/>
      <c r="AE41" s="358"/>
      <c r="AF41" s="358"/>
      <c r="AG41" s="358"/>
      <c r="AH41" s="358"/>
      <c r="AI41" s="358"/>
      <c r="AJ41" s="358"/>
      <c r="AK41" s="440"/>
      <c r="AM41" s="460">
        <v>41</v>
      </c>
      <c r="AP41" s="1081"/>
      <c r="AS41" s="1081"/>
      <c r="AZ41" s="1081"/>
      <c r="BA41" s="1081"/>
    </row>
    <row r="42" spans="1:54" ht="12" customHeight="1" x14ac:dyDescent="0.25">
      <c r="A42" s="440"/>
      <c r="B42" s="1042"/>
      <c r="C42" s="1036"/>
      <c r="D42" s="1037"/>
      <c r="E42" s="1037"/>
      <c r="F42" s="1037"/>
      <c r="G42" s="1037"/>
      <c r="H42" s="1037"/>
      <c r="I42" s="1035"/>
      <c r="J42" s="1603" t="s">
        <v>170</v>
      </c>
      <c r="K42" s="1603"/>
      <c r="L42" s="503"/>
      <c r="M42" s="1037"/>
      <c r="N42" s="519"/>
      <c r="O42" s="1037"/>
      <c r="P42" s="1038"/>
      <c r="Q42" s="1038"/>
      <c r="R42" s="1038"/>
      <c r="S42" s="388"/>
      <c r="T42" s="363"/>
      <c r="U42" s="358"/>
      <c r="V42" s="358"/>
      <c r="W42" s="358"/>
      <c r="X42" s="358"/>
      <c r="Y42" s="358"/>
      <c r="Z42" s="358"/>
      <c r="AA42" s="358"/>
      <c r="AB42" s="358"/>
      <c r="AC42" s="358"/>
      <c r="AD42" s="358"/>
      <c r="AE42" s="358"/>
      <c r="AF42" s="358"/>
      <c r="AG42" s="358"/>
      <c r="AH42" s="358"/>
      <c r="AI42" s="358"/>
      <c r="AJ42" s="358"/>
      <c r="AK42" s="440"/>
      <c r="AM42" s="460">
        <v>42</v>
      </c>
      <c r="AP42" s="1081"/>
      <c r="AS42" s="1081"/>
      <c r="AZ42" s="1081"/>
      <c r="BA42" s="1081"/>
    </row>
    <row r="43" spans="1:54" ht="12" customHeight="1" x14ac:dyDescent="0.2">
      <c r="A43" s="440"/>
      <c r="B43" s="1042"/>
      <c r="C43" s="1036"/>
      <c r="D43" s="1037"/>
      <c r="E43" s="1084" t="str">
        <f ca="1">IF(AX43="E","",AN43)</f>
        <v>Spengler und Schwarzdecker LD30</v>
      </c>
      <c r="F43" s="1085"/>
      <c r="G43" s="1264"/>
      <c r="H43" s="1264"/>
      <c r="I43" s="1265"/>
      <c r="J43" s="638"/>
      <c r="K43" s="520" t="s">
        <v>177</v>
      </c>
      <c r="L43" s="521"/>
      <c r="M43" s="338"/>
      <c r="N43" s="521" t="s">
        <v>67</v>
      </c>
      <c r="O43" s="344"/>
      <c r="P43" s="504" t="s">
        <v>68</v>
      </c>
      <c r="Q43" s="344"/>
      <c r="R43" s="522" t="s">
        <v>363</v>
      </c>
      <c r="S43" s="353">
        <f ca="1">IF(AY43="E",(M43*O43)+Q43,AO43)</f>
        <v>71565.119999999995</v>
      </c>
      <c r="T43" s="523"/>
      <c r="U43" s="350"/>
      <c r="V43" s="308"/>
      <c r="W43" s="1090" t="str">
        <f ca="1">IF(AZ43="E",IF(AND(V43&lt;&gt;0,U43&lt;&gt;0),"X",IF(AND(V43&lt;&gt;0,U43=0),"A",IF(AND(V43=0,U43&lt;&gt;0),"P",""))),AR43)</f>
        <v/>
      </c>
      <c r="X43" s="1103">
        <f ca="1">IF(AZ43="E",IFERROR(IF(W43="X",0,IF(U43&gt;0,U43,V43/S43)),0),
IFERROR(IF(OR(AR43="X",AR43=0),0,
IF(AR43="P",AP43,IF(AR43="A",AQ43/S43,0))),0))</f>
        <v>0</v>
      </c>
      <c r="Y43" s="1120">
        <f ca="1">IF(AZ43="E",IFERROR(IF(W43="X",0,IF(V43&gt;0,V43,S43*U43)),0),
IFERROR(IF(OR(AR43="X",AR43="0"),0,IF(AR43="A",AQ43,S43*AP43)),0))</f>
        <v>0</v>
      </c>
      <c r="Z43" s="524"/>
      <c r="AA43" s="350"/>
      <c r="AB43" s="308"/>
      <c r="AC43" s="1090" t="str">
        <f ca="1">IF(BA43="E",IF(AND(AB43&lt;&gt;0,AA43&lt;&gt;0),"X",IF(AND(AB43&lt;&gt;0,AA43=0),"A",IF(AND(AB43=0,AA43&lt;&gt;0),"P",""))),AU43)</f>
        <v>A</v>
      </c>
      <c r="AD43" s="1103">
        <f ca="1">IF(BA43="E",IFERROR(IF(AC43="X",0,IF(AA43&gt;0,AA43,AB43/S43)),0),
IFERROR(IF(OR(AU43="X",AU43=0),0,
IF(AU43="P",AS43,IF(AU43="A",AT43/S43,0))),0))</f>
        <v>5.9945403570901585E-4</v>
      </c>
      <c r="AE43" s="1120">
        <f ca="1">IF(BA43="E",IFERROR(IF(AC43="X",0,IF(AB43&gt;0,AB43,S43*AA43)),0),
IFERROR(IF(OR(AU43="X",AU43=0),0,
IF(AU43="A",AT43,S43*AS43)),0))</f>
        <v>42.9</v>
      </c>
      <c r="AF43" s="525"/>
      <c r="AG43" s="637"/>
      <c r="AH43" s="525"/>
      <c r="AI43" s="1086">
        <f ca="1">IF(BB43="E",AG43,AV43)</f>
        <v>30</v>
      </c>
      <c r="AJ43" s="380"/>
      <c r="AK43" s="440"/>
      <c r="AM43" s="460">
        <v>43</v>
      </c>
      <c r="AN43" s="1087" t="str">
        <f ca="1">IF($M$13=$AN$12,"",IF(ISTEXT(INDIRECT("'"&amp;$AM$20&amp;"'!"&amp;AN$21&amp;$AM43)),INDIRECT("'"&amp;$AM$20&amp;"'!"&amp;AN$21&amp;$AM43),INDIRECT("'"&amp;$AM$20&amp;"'!"&amp;AN$22&amp;$AM43)))</f>
        <v>Spengler und Schwarzdecker LD30</v>
      </c>
      <c r="AO43" s="1083">
        <f t="shared" ref="AO43:AV43" ca="1" si="0">IF($M$13=$AN$12,"",INDIRECT("'"&amp;$AM$20&amp;"'!"&amp;AO$21&amp;$AM43))</f>
        <v>71565.119999999995</v>
      </c>
      <c r="AP43" s="356">
        <f t="shared" ca="1" si="0"/>
        <v>0</v>
      </c>
      <c r="AQ43" s="357">
        <f t="shared" ca="1" si="0"/>
        <v>0</v>
      </c>
      <c r="AR43" s="524" t="str">
        <f t="shared" ca="1" si="0"/>
        <v/>
      </c>
      <c r="AS43" s="356">
        <f t="shared" ca="1" si="0"/>
        <v>5.9945403570901585E-4</v>
      </c>
      <c r="AT43" s="357">
        <f t="shared" ca="1" si="0"/>
        <v>42.9</v>
      </c>
      <c r="AU43" s="524" t="str">
        <f t="shared" ca="1" si="0"/>
        <v>A</v>
      </c>
      <c r="AV43" s="1083">
        <f t="shared" ca="1" si="0"/>
        <v>30</v>
      </c>
      <c r="AX43" s="1083" t="str">
        <f>IF($M$13=$AN$12,"E",IF(ISTEXT(F43),"E","U"))</f>
        <v>U</v>
      </c>
      <c r="AY43" s="1083" t="str">
        <f>IF($M$13=$AN$12,"E",IF(OR(ISNUMBER(M43),ISNUMBER(O43),ISNUMBER(Q43)),"E","U"))</f>
        <v>U</v>
      </c>
      <c r="AZ43" s="1083" t="str">
        <f>IF($M$13=$AN$12,"E",IF(OR(ISNUMBER(U43),ISNUMBER(V43)),"E","U"))</f>
        <v>U</v>
      </c>
      <c r="BA43" s="1083" t="str">
        <f>IF($M$13=$AN$12,"E",IF(OR(ISNUMBER(AA43),ISNUMBER(AB43)),"E","U"))</f>
        <v>U</v>
      </c>
      <c r="BB43" s="1083" t="str">
        <f>IF($M$13=$AN$12,"E",IF(ISNUMBER(AG43),"E","U"))</f>
        <v>U</v>
      </c>
    </row>
    <row r="44" spans="1:54" ht="12" customHeight="1" x14ac:dyDescent="0.2">
      <c r="A44" s="440"/>
      <c r="B44" s="1042"/>
      <c r="C44" s="1036"/>
      <c r="D44" s="1037"/>
      <c r="E44" s="1084" t="str">
        <f ca="1">IF(AX44="E","",AN44)</f>
        <v xml:space="preserve">  für Dichtungen und Öffnungen</v>
      </c>
      <c r="F44" s="1085"/>
      <c r="G44" s="1264"/>
      <c r="H44" s="1264"/>
      <c r="I44" s="1265"/>
      <c r="J44" s="638"/>
      <c r="K44" s="520" t="s">
        <v>177</v>
      </c>
      <c r="L44" s="521"/>
      <c r="M44" s="342"/>
      <c r="N44" s="521" t="s">
        <v>67</v>
      </c>
      <c r="O44" s="344"/>
      <c r="P44" s="504" t="s">
        <v>68</v>
      </c>
      <c r="Q44" s="344"/>
      <c r="R44" s="522" t="s">
        <v>363</v>
      </c>
      <c r="S44" s="353">
        <f ca="1">IF(AY44="E",(M44*O44)+Q44,AO44)</f>
        <v>0</v>
      </c>
      <c r="T44" s="523"/>
      <c r="U44" s="350"/>
      <c r="V44" s="308"/>
      <c r="W44" s="1090" t="str">
        <f t="shared" ref="W44:W46" ca="1" si="1">IF(AZ44="E",IF(AND(V44&lt;&gt;0,U44&lt;&gt;0),"X",IF(AND(V44&lt;&gt;0,U44=0),"A",IF(AND(V44=0,U44&lt;&gt;0),"P",""))),AR44)</f>
        <v/>
      </c>
      <c r="X44" s="1103">
        <f t="shared" ref="X44:X46" ca="1" si="2">IF(AZ44="E",IFERROR(IF(W44="X",0,IF(U44&gt;0,U44,V44/S44)),0),
IFERROR(IF(OR(AR44="X",AR44=0),0,
IF(AR44="P",AP44,IF(AR44="A",AQ44/S44,0))),0))</f>
        <v>0</v>
      </c>
      <c r="Y44" s="1120">
        <f t="shared" ref="Y44:Y46" ca="1" si="3">IF(AZ44="E",IFERROR(IF(W44="X",0,IF(V44&gt;0,V44,S44*U44)),0),
IFERROR(IF(OR(AR44="X",AR44="0"),0,IF(AR44="A",AQ44,S44*AP44)),0))</f>
        <v>0</v>
      </c>
      <c r="Z44" s="524"/>
      <c r="AA44" s="350"/>
      <c r="AB44" s="308"/>
      <c r="AC44" s="1090" t="str">
        <f t="shared" ref="AC44:AC46" ca="1" si="4">IF(BA44="E",IF(AND(AB44&lt;&gt;0,AA44&lt;&gt;0),"X",IF(AND(AB44&lt;&gt;0,AA44=0),"A",IF(AND(AB44=0,AA44&lt;&gt;0),"P",""))),AU44)</f>
        <v/>
      </c>
      <c r="AD44" s="1103">
        <f t="shared" ref="AD44:AD46" ca="1" si="5">IF(BA44="E",IFERROR(IF(AC44="X",0,IF(AA44&gt;0,AA44,AB44/S44)),0),
IFERROR(IF(OR(AU44="X",AU44=0),0,
IF(AU44="P",AS44,IF(AU44="A",AT44/S44,0))),0))</f>
        <v>0</v>
      </c>
      <c r="AE44" s="1120">
        <f t="shared" ref="AE44:AE46" ca="1" si="6">IF(BA44="E",IFERROR(IF(AC44="X",0,IF(AB44&gt;0,AB44,S44*AA44)),0),
IFERROR(IF(OR(AU44="X",AU44=0),0,
IF(AU44="A",AT44,S44*AS44)),0))</f>
        <v>0</v>
      </c>
      <c r="AF44" s="525"/>
      <c r="AG44" s="637"/>
      <c r="AH44" s="525"/>
      <c r="AI44" s="1086">
        <f ca="1">IF(BB44="E",AG44,AV44)</f>
        <v>0</v>
      </c>
      <c r="AJ44" s="380"/>
      <c r="AK44" s="440"/>
      <c r="AM44" s="460">
        <v>44</v>
      </c>
      <c r="AN44" s="1087" t="str">
        <f t="shared" ref="AN44:AN46" ca="1" si="7">IF($M$13=$AN$12,"",IF(ISTEXT(INDIRECT("'"&amp;$AM$20&amp;"'!"&amp;AN$21&amp;$AM44)),INDIRECT("'"&amp;$AM$20&amp;"'!"&amp;AN$21&amp;$AM44),INDIRECT("'"&amp;$AM$20&amp;"'!"&amp;AN$22&amp;$AM44)))</f>
        <v xml:space="preserve">  für Dichtungen und Öffnungen</v>
      </c>
      <c r="AO44" s="1083">
        <f t="shared" ref="AO44:AV46" ca="1" si="8">IF($M$13=$AN$12,"",INDIRECT("'"&amp;$AM$20&amp;"'!"&amp;AO$21&amp;$AM44))</f>
        <v>0</v>
      </c>
      <c r="AP44" s="356">
        <f t="shared" ca="1" si="8"/>
        <v>0</v>
      </c>
      <c r="AQ44" s="357">
        <f t="shared" ca="1" si="8"/>
        <v>0</v>
      </c>
      <c r="AR44" s="524" t="str">
        <f t="shared" ca="1" si="8"/>
        <v/>
      </c>
      <c r="AS44" s="356">
        <f t="shared" ca="1" si="8"/>
        <v>0</v>
      </c>
      <c r="AT44" s="357">
        <f t="shared" ca="1" si="8"/>
        <v>0</v>
      </c>
      <c r="AU44" s="524" t="str">
        <f t="shared" ca="1" si="8"/>
        <v/>
      </c>
      <c r="AV44" s="1083">
        <f t="shared" ca="1" si="8"/>
        <v>0</v>
      </c>
      <c r="AX44" s="1083" t="str">
        <f t="shared" ref="AX44:AX46" si="9">IF($M$13=$AN$12,"E",IF(ISTEXT(F44),"E","U"))</f>
        <v>U</v>
      </c>
      <c r="AY44" s="1083" t="str">
        <f t="shared" ref="AY44:AY46" si="10">IF($M$13=$AN$12,"E",IF(OR(ISNUMBER(M44),ISNUMBER(O44),ISNUMBER(Q44)),"E","U"))</f>
        <v>U</v>
      </c>
      <c r="AZ44" s="1083" t="str">
        <f t="shared" ref="AZ44:AZ46" si="11">IF($M$13=$AN$12,"E",IF(OR(ISNUMBER(U44),ISNUMBER(V44)),"E","U"))</f>
        <v>U</v>
      </c>
      <c r="BA44" s="1083" t="str">
        <f t="shared" ref="BA44:BA46" si="12">IF($M$13=$AN$12,"E",IF(OR(ISNUMBER(AA44),ISNUMBER(AB44)),"E","U"))</f>
        <v>U</v>
      </c>
      <c r="BB44" s="1083" t="str">
        <f t="shared" ref="BB44:BB46" si="13">IF($M$13=$AN$12,"E",IF(ISNUMBER(AG44),"E","U"))</f>
        <v>U</v>
      </c>
    </row>
    <row r="45" spans="1:54" ht="12" customHeight="1" x14ac:dyDescent="0.2">
      <c r="A45" s="440"/>
      <c r="B45" s="1042"/>
      <c r="C45" s="1036"/>
      <c r="D45" s="1037"/>
      <c r="E45" s="1084" t="str">
        <f ca="1">IF(AX45="E","",AN45)</f>
        <v>Spengler und Schwarzdecker LD50</v>
      </c>
      <c r="F45" s="1085"/>
      <c r="G45" s="1264"/>
      <c r="H45" s="1264"/>
      <c r="I45" s="1265"/>
      <c r="J45" s="638"/>
      <c r="K45" s="520" t="s">
        <v>177</v>
      </c>
      <c r="L45" s="521"/>
      <c r="M45" s="342"/>
      <c r="N45" s="521" t="s">
        <v>67</v>
      </c>
      <c r="O45" s="344"/>
      <c r="P45" s="504" t="s">
        <v>68</v>
      </c>
      <c r="Q45" s="344"/>
      <c r="R45" s="522" t="s">
        <v>363</v>
      </c>
      <c r="S45" s="353">
        <f ca="1">IF(AY45="E",(M45*O45)+Q45,AO45)</f>
        <v>93488.099999999991</v>
      </c>
      <c r="T45" s="523"/>
      <c r="U45" s="350"/>
      <c r="V45" s="308"/>
      <c r="W45" s="1090" t="str">
        <f t="shared" ca="1" si="1"/>
        <v/>
      </c>
      <c r="X45" s="1103">
        <f t="shared" ca="1" si="2"/>
        <v>0</v>
      </c>
      <c r="Y45" s="1120">
        <f t="shared" ca="1" si="3"/>
        <v>0</v>
      </c>
      <c r="Z45" s="524"/>
      <c r="AA45" s="350"/>
      <c r="AB45" s="308"/>
      <c r="AC45" s="1090" t="str">
        <f t="shared" ca="1" si="4"/>
        <v/>
      </c>
      <c r="AD45" s="1103">
        <f t="shared" ca="1" si="5"/>
        <v>0</v>
      </c>
      <c r="AE45" s="1120">
        <f t="shared" ca="1" si="6"/>
        <v>0</v>
      </c>
      <c r="AF45" s="525"/>
      <c r="AG45" s="637"/>
      <c r="AH45" s="525"/>
      <c r="AI45" s="1086">
        <f ca="1">IF(BB45="E",AG45,AV45)</f>
        <v>50</v>
      </c>
      <c r="AJ45" s="380"/>
      <c r="AK45" s="440"/>
      <c r="AM45" s="460">
        <v>45</v>
      </c>
      <c r="AN45" s="1087" t="str">
        <f t="shared" ca="1" si="7"/>
        <v>Spengler und Schwarzdecker LD50</v>
      </c>
      <c r="AO45" s="1083">
        <f t="shared" ca="1" si="8"/>
        <v>93488.099999999991</v>
      </c>
      <c r="AP45" s="356">
        <f t="shared" ca="1" si="8"/>
        <v>0</v>
      </c>
      <c r="AQ45" s="357">
        <f t="shared" ca="1" si="8"/>
        <v>0</v>
      </c>
      <c r="AR45" s="524" t="str">
        <f t="shared" ca="1" si="8"/>
        <v/>
      </c>
      <c r="AS45" s="356">
        <f t="shared" ca="1" si="8"/>
        <v>0</v>
      </c>
      <c r="AT45" s="357">
        <f t="shared" ca="1" si="8"/>
        <v>0</v>
      </c>
      <c r="AU45" s="524" t="str">
        <f t="shared" ca="1" si="8"/>
        <v/>
      </c>
      <c r="AV45" s="1083">
        <f t="shared" ca="1" si="8"/>
        <v>50</v>
      </c>
      <c r="AX45" s="1083" t="str">
        <f t="shared" si="9"/>
        <v>U</v>
      </c>
      <c r="AY45" s="1083" t="str">
        <f t="shared" si="10"/>
        <v>U</v>
      </c>
      <c r="AZ45" s="1083" t="str">
        <f t="shared" si="11"/>
        <v>U</v>
      </c>
      <c r="BA45" s="1083" t="str">
        <f t="shared" si="12"/>
        <v>U</v>
      </c>
      <c r="BB45" s="1083" t="str">
        <f t="shared" si="13"/>
        <v>U</v>
      </c>
    </row>
    <row r="46" spans="1:54" ht="12" customHeight="1" x14ac:dyDescent="0.2">
      <c r="A46" s="440"/>
      <c r="B46" s="1042"/>
      <c r="C46" s="1036"/>
      <c r="D46" s="1037"/>
      <c r="E46" s="1084" t="str">
        <f ca="1">IF(AX46="E","",AN46)</f>
        <v xml:space="preserve"> Für Dämmschicht und Verblechung</v>
      </c>
      <c r="F46" s="1085"/>
      <c r="G46" s="1264"/>
      <c r="H46" s="1264"/>
      <c r="I46" s="1265"/>
      <c r="J46" s="638"/>
      <c r="K46" s="520" t="s">
        <v>177</v>
      </c>
      <c r="L46" s="521"/>
      <c r="M46" s="342"/>
      <c r="N46" s="521" t="s">
        <v>67</v>
      </c>
      <c r="O46" s="344"/>
      <c r="P46" s="504" t="s">
        <v>68</v>
      </c>
      <c r="Q46" s="344"/>
      <c r="R46" s="522" t="s">
        <v>363</v>
      </c>
      <c r="S46" s="353">
        <f ca="1">IF(AY46="E",(M46*O46)+Q46,AO46)</f>
        <v>0</v>
      </c>
      <c r="T46" s="523"/>
      <c r="U46" s="350"/>
      <c r="V46" s="308"/>
      <c r="W46" s="1090" t="str">
        <f t="shared" ca="1" si="1"/>
        <v/>
      </c>
      <c r="X46" s="1103">
        <f t="shared" ca="1" si="2"/>
        <v>0</v>
      </c>
      <c r="Y46" s="1120">
        <f t="shared" ca="1" si="3"/>
        <v>0</v>
      </c>
      <c r="Z46" s="524"/>
      <c r="AA46" s="350"/>
      <c r="AB46" s="308"/>
      <c r="AC46" s="1090" t="str">
        <f t="shared" ca="1" si="4"/>
        <v/>
      </c>
      <c r="AD46" s="1103">
        <f t="shared" ca="1" si="5"/>
        <v>0</v>
      </c>
      <c r="AE46" s="1120">
        <f t="shared" ca="1" si="6"/>
        <v>0</v>
      </c>
      <c r="AF46" s="525"/>
      <c r="AG46" s="637"/>
      <c r="AH46" s="525"/>
      <c r="AI46" s="1086">
        <f ca="1">IF(BB46="E",AG46,AV46)</f>
        <v>0</v>
      </c>
      <c r="AJ46" s="380"/>
      <c r="AK46" s="440"/>
      <c r="AM46" s="460">
        <v>46</v>
      </c>
      <c r="AN46" s="1087" t="str">
        <f t="shared" ca="1" si="7"/>
        <v xml:space="preserve"> Für Dämmschicht und Verblechung</v>
      </c>
      <c r="AO46" s="1083">
        <f t="shared" ca="1" si="8"/>
        <v>0</v>
      </c>
      <c r="AP46" s="356">
        <f t="shared" ca="1" si="8"/>
        <v>0</v>
      </c>
      <c r="AQ46" s="357">
        <f t="shared" ca="1" si="8"/>
        <v>0</v>
      </c>
      <c r="AR46" s="524" t="str">
        <f t="shared" ca="1" si="8"/>
        <v/>
      </c>
      <c r="AS46" s="356">
        <f t="shared" ca="1" si="8"/>
        <v>0</v>
      </c>
      <c r="AT46" s="357">
        <f t="shared" ca="1" si="8"/>
        <v>0</v>
      </c>
      <c r="AU46" s="524" t="str">
        <f t="shared" ca="1" si="8"/>
        <v/>
      </c>
      <c r="AV46" s="1083">
        <f t="shared" ca="1" si="8"/>
        <v>0</v>
      </c>
      <c r="AX46" s="1083" t="str">
        <f t="shared" si="9"/>
        <v>U</v>
      </c>
      <c r="AY46" s="1083" t="str">
        <f t="shared" si="10"/>
        <v>U</v>
      </c>
      <c r="AZ46" s="1083" t="str">
        <f t="shared" si="11"/>
        <v>U</v>
      </c>
      <c r="BA46" s="1083" t="str">
        <f t="shared" si="12"/>
        <v>U</v>
      </c>
      <c r="BB46" s="1083" t="str">
        <f t="shared" si="13"/>
        <v>U</v>
      </c>
    </row>
    <row r="47" spans="1:54" ht="12" customHeight="1" x14ac:dyDescent="0.25">
      <c r="A47" s="440"/>
      <c r="B47" s="1042"/>
      <c r="C47" s="1036"/>
      <c r="D47" s="1037" t="s">
        <v>147</v>
      </c>
      <c r="E47" s="1599" t="s">
        <v>140</v>
      </c>
      <c r="F47" s="1599"/>
      <c r="G47" s="1599"/>
      <c r="H47" s="1599"/>
      <c r="I47" s="1597"/>
      <c r="J47" s="1038"/>
      <c r="K47" s="1038"/>
      <c r="L47" s="503"/>
      <c r="M47" s="526"/>
      <c r="N47" s="519"/>
      <c r="O47" s="527"/>
      <c r="P47" s="1037"/>
      <c r="Q47" s="1037"/>
      <c r="R47" s="1037"/>
      <c r="S47" s="354">
        <f ca="1">SUBTOTAL(109,S49:S52)</f>
        <v>0</v>
      </c>
      <c r="T47" s="363"/>
      <c r="U47" s="358"/>
      <c r="V47" s="358"/>
      <c r="W47" s="1091"/>
      <c r="X47" s="1104"/>
      <c r="Y47" s="1104"/>
      <c r="Z47" s="358"/>
      <c r="AA47" s="358"/>
      <c r="AB47" s="358"/>
      <c r="AC47" s="1091"/>
      <c r="AD47" s="1104"/>
      <c r="AE47" s="1104"/>
      <c r="AF47" s="358"/>
      <c r="AG47" s="358"/>
      <c r="AH47" s="358"/>
      <c r="AI47" s="358"/>
      <c r="AJ47" s="358"/>
      <c r="AK47" s="440"/>
      <c r="AM47" s="460">
        <v>47</v>
      </c>
      <c r="AN47" s="1078"/>
      <c r="AP47" s="1081"/>
      <c r="AS47" s="1081"/>
      <c r="AZ47" s="1081"/>
      <c r="BA47" s="1081"/>
    </row>
    <row r="48" spans="1:54" ht="12" customHeight="1" x14ac:dyDescent="0.25">
      <c r="A48" s="440"/>
      <c r="B48" s="1042"/>
      <c r="C48" s="1036"/>
      <c r="D48" s="1037"/>
      <c r="E48" s="1037"/>
      <c r="F48" s="1037"/>
      <c r="G48" s="1037"/>
      <c r="H48" s="1037"/>
      <c r="I48" s="1035"/>
      <c r="J48" s="1603" t="s">
        <v>170</v>
      </c>
      <c r="K48" s="1603"/>
      <c r="L48" s="503"/>
      <c r="M48" s="526"/>
      <c r="N48" s="519"/>
      <c r="O48" s="527"/>
      <c r="P48" s="1037"/>
      <c r="Q48" s="1037"/>
      <c r="R48" s="1037"/>
      <c r="S48" s="354"/>
      <c r="T48" s="363"/>
      <c r="U48" s="358"/>
      <c r="V48" s="358"/>
      <c r="W48" s="1091"/>
      <c r="X48" s="1104"/>
      <c r="Y48" s="1104"/>
      <c r="Z48" s="358"/>
      <c r="AA48" s="358"/>
      <c r="AB48" s="358"/>
      <c r="AC48" s="1091"/>
      <c r="AD48" s="1104"/>
      <c r="AE48" s="1104"/>
      <c r="AF48" s="358"/>
      <c r="AG48" s="358"/>
      <c r="AH48" s="358"/>
      <c r="AI48" s="358"/>
      <c r="AJ48" s="358"/>
      <c r="AK48" s="440"/>
      <c r="AM48" s="460">
        <v>48</v>
      </c>
      <c r="AN48" s="1078"/>
      <c r="AP48" s="1081"/>
      <c r="AS48" s="1081"/>
      <c r="AZ48" s="1081"/>
      <c r="BA48" s="1081"/>
    </row>
    <row r="49" spans="1:54" ht="12" customHeight="1" x14ac:dyDescent="0.2">
      <c r="A49" s="440"/>
      <c r="B49" s="1042"/>
      <c r="C49" s="1036"/>
      <c r="D49" s="1037"/>
      <c r="E49" s="1084">
        <f ca="1">IF(AX49="E","",AN49)</f>
        <v>0</v>
      </c>
      <c r="F49" s="1085"/>
      <c r="G49" s="1264"/>
      <c r="H49" s="1264"/>
      <c r="I49" s="1265"/>
      <c r="J49" s="638"/>
      <c r="K49" s="520" t="s">
        <v>177</v>
      </c>
      <c r="L49" s="521"/>
      <c r="M49" s="342"/>
      <c r="N49" s="528" t="s">
        <v>67</v>
      </c>
      <c r="O49" s="344"/>
      <c r="P49" s="504" t="s">
        <v>68</v>
      </c>
      <c r="Q49" s="344"/>
      <c r="R49" s="522" t="s">
        <v>363</v>
      </c>
      <c r="S49" s="353">
        <f t="shared" ref="S49:S52" ca="1" si="14">IF(AY49="E",(M49*O49)+Q49,AO49)</f>
        <v>0</v>
      </c>
      <c r="T49" s="523"/>
      <c r="U49" s="350"/>
      <c r="V49" s="308"/>
      <c r="W49" s="1090" t="str">
        <f t="shared" ref="W49:W52" ca="1" si="15">IF(AZ49="E",IF(AND(V49&lt;&gt;0,U49&lt;&gt;0),"X",IF(AND(V49&lt;&gt;0,U49=0),"A",IF(AND(V49=0,U49&lt;&gt;0),"P",""))),AR49)</f>
        <v/>
      </c>
      <c r="X49" s="1103">
        <f t="shared" ref="X49:X52" ca="1" si="16">IF(AZ49="E",IFERROR(IF(W49="X",0,IF(U49&gt;0,U49,V49/S49)),0),
IFERROR(IF(OR(AR49="X",AR49=0),0,
IF(AR49="P",AP49,IF(AR49="A",AQ49/S49,0))),0))</f>
        <v>0</v>
      </c>
      <c r="Y49" s="1120">
        <f t="shared" ref="Y49:Y52" ca="1" si="17">IF(AZ49="E",IFERROR(IF(W49="X",0,IF(V49&gt;0,V49,S49*U49)),0),
IFERROR(IF(OR(AR49="X",AR49="0"),0,IF(AR49="A",AQ49,S49*AP49)),0))</f>
        <v>0</v>
      </c>
      <c r="Z49" s="524"/>
      <c r="AA49" s="350"/>
      <c r="AB49" s="308"/>
      <c r="AC49" s="1090" t="str">
        <f t="shared" ref="AC49:AC52" ca="1" si="18">IF(BA49="E",IF(AND(AB49&lt;&gt;0,AA49&lt;&gt;0),"X",IF(AND(AB49&lt;&gt;0,AA49=0),"A",IF(AND(AB49=0,AA49&lt;&gt;0),"P",""))),AU49)</f>
        <v/>
      </c>
      <c r="AD49" s="1103">
        <f t="shared" ref="AD49:AD52" ca="1" si="19">IF(BA49="E",IFERROR(IF(AC49="X",0,IF(AA49&gt;0,AA49,AB49/S49)),0),
IFERROR(IF(OR(AU49="X",AU49=0),0,
IF(AU49="P",AS49,IF(AU49="A",AT49/S49,0))),0))</f>
        <v>0</v>
      </c>
      <c r="AE49" s="1120">
        <f t="shared" ref="AE49:AE52" ca="1" si="20">IF(BA49="E",IFERROR(IF(AC49="X",0,IF(AB49&gt;0,AB49,S49*AA49)),0),
IFERROR(IF(OR(AU49="X",AU49=0),0,
IF(AU49="A",AT49,S49*AS49)),0))</f>
        <v>0</v>
      </c>
      <c r="AF49" s="525"/>
      <c r="AG49" s="637"/>
      <c r="AH49" s="525"/>
      <c r="AI49" s="1086">
        <f t="shared" ref="AI49:AI52" ca="1" si="21">IF(BB49="E",AG49,AV49)</f>
        <v>0</v>
      </c>
      <c r="AJ49" s="380"/>
      <c r="AK49" s="440"/>
      <c r="AM49" s="460">
        <v>49</v>
      </c>
      <c r="AN49" s="1087">
        <f t="shared" ref="AN49:AN52" ca="1" si="22">IF($M$13=$AN$12,"",IF(ISTEXT(INDIRECT("'"&amp;$AM$20&amp;"'!"&amp;AN$21&amp;$AM49)),INDIRECT("'"&amp;$AM$20&amp;"'!"&amp;AN$21&amp;$AM49),INDIRECT("'"&amp;$AM$20&amp;"'!"&amp;AN$22&amp;$AM49)))</f>
        <v>0</v>
      </c>
      <c r="AO49" s="1083">
        <f t="shared" ref="AO49:AV52" ca="1" si="23">IF($M$13=$AN$12,"",INDIRECT("'"&amp;$AM$20&amp;"'!"&amp;AO$21&amp;$AM49))</f>
        <v>0</v>
      </c>
      <c r="AP49" s="356">
        <f t="shared" ca="1" si="23"/>
        <v>0</v>
      </c>
      <c r="AQ49" s="357">
        <f t="shared" ca="1" si="23"/>
        <v>0</v>
      </c>
      <c r="AR49" s="524" t="str">
        <f t="shared" ca="1" si="23"/>
        <v/>
      </c>
      <c r="AS49" s="356">
        <f t="shared" ca="1" si="23"/>
        <v>0</v>
      </c>
      <c r="AT49" s="357">
        <f t="shared" ca="1" si="23"/>
        <v>0</v>
      </c>
      <c r="AU49" s="524" t="str">
        <f t="shared" ca="1" si="23"/>
        <v/>
      </c>
      <c r="AV49" s="1083">
        <f t="shared" ca="1" si="23"/>
        <v>0</v>
      </c>
      <c r="AX49" s="1083" t="str">
        <f t="shared" ref="AX49:AX52" si="24">IF($M$13=$AN$12,"E",IF(ISTEXT(F49),"E","U"))</f>
        <v>U</v>
      </c>
      <c r="AY49" s="1083" t="str">
        <f t="shared" ref="AY49:AY52" si="25">IF($M$13=$AN$12,"E",IF(OR(ISNUMBER(M49),ISNUMBER(O49),ISNUMBER(Q49)),"E","U"))</f>
        <v>U</v>
      </c>
      <c r="AZ49" s="1083" t="str">
        <f t="shared" ref="AZ49:AZ52" si="26">IF($M$13=$AN$12,"E",IF(OR(ISNUMBER(U49),ISNUMBER(V49)),"E","U"))</f>
        <v>U</v>
      </c>
      <c r="BA49" s="1083" t="str">
        <f t="shared" ref="BA49:BA52" si="27">IF($M$13=$AN$12,"E",IF(OR(ISNUMBER(AA49),ISNUMBER(AB49)),"E","U"))</f>
        <v>U</v>
      </c>
      <c r="BB49" s="1083" t="str">
        <f t="shared" ref="BB49:BB52" si="28">IF($M$13=$AN$12,"E",IF(ISNUMBER(AG49),"E","U"))</f>
        <v>U</v>
      </c>
    </row>
    <row r="50" spans="1:54" ht="12" customHeight="1" x14ac:dyDescent="0.2">
      <c r="A50" s="440"/>
      <c r="B50" s="1042"/>
      <c r="C50" s="1036"/>
      <c r="D50" s="1037"/>
      <c r="E50" s="1084">
        <f ca="1">IF(AX50="E","",AN50)</f>
        <v>0</v>
      </c>
      <c r="F50" s="1085"/>
      <c r="G50" s="1264"/>
      <c r="H50" s="1264"/>
      <c r="I50" s="1265"/>
      <c r="J50" s="638"/>
      <c r="K50" s="520" t="s">
        <v>177</v>
      </c>
      <c r="L50" s="521"/>
      <c r="M50" s="342"/>
      <c r="N50" s="528" t="s">
        <v>67</v>
      </c>
      <c r="O50" s="344"/>
      <c r="P50" s="504" t="s">
        <v>68</v>
      </c>
      <c r="Q50" s="344"/>
      <c r="R50" s="522" t="s">
        <v>363</v>
      </c>
      <c r="S50" s="353">
        <f t="shared" ca="1" si="14"/>
        <v>0</v>
      </c>
      <c r="T50" s="523"/>
      <c r="U50" s="350"/>
      <c r="V50" s="308"/>
      <c r="W50" s="1090" t="str">
        <f t="shared" ca="1" si="15"/>
        <v/>
      </c>
      <c r="X50" s="1103">
        <f t="shared" ca="1" si="16"/>
        <v>0</v>
      </c>
      <c r="Y50" s="1120">
        <f t="shared" ca="1" si="17"/>
        <v>0</v>
      </c>
      <c r="Z50" s="524"/>
      <c r="AA50" s="350"/>
      <c r="AB50" s="308"/>
      <c r="AC50" s="1090" t="str">
        <f t="shared" ca="1" si="18"/>
        <v/>
      </c>
      <c r="AD50" s="1103">
        <f t="shared" ca="1" si="19"/>
        <v>0</v>
      </c>
      <c r="AE50" s="1120">
        <f t="shared" ca="1" si="20"/>
        <v>0</v>
      </c>
      <c r="AF50" s="525"/>
      <c r="AG50" s="637"/>
      <c r="AH50" s="525"/>
      <c r="AI50" s="1086">
        <f t="shared" ca="1" si="21"/>
        <v>0</v>
      </c>
      <c r="AJ50" s="380"/>
      <c r="AK50" s="440"/>
      <c r="AM50" s="460">
        <v>50</v>
      </c>
      <c r="AN50" s="1087">
        <f t="shared" ca="1" si="22"/>
        <v>0</v>
      </c>
      <c r="AO50" s="1083">
        <f t="shared" ca="1" si="23"/>
        <v>0</v>
      </c>
      <c r="AP50" s="356">
        <f t="shared" ca="1" si="23"/>
        <v>0</v>
      </c>
      <c r="AQ50" s="357">
        <f t="shared" ca="1" si="23"/>
        <v>0</v>
      </c>
      <c r="AR50" s="524" t="str">
        <f t="shared" ca="1" si="23"/>
        <v/>
      </c>
      <c r="AS50" s="356">
        <f t="shared" ca="1" si="23"/>
        <v>0</v>
      </c>
      <c r="AT50" s="357">
        <f t="shared" ca="1" si="23"/>
        <v>0</v>
      </c>
      <c r="AU50" s="524" t="str">
        <f t="shared" ca="1" si="23"/>
        <v/>
      </c>
      <c r="AV50" s="1083">
        <f t="shared" ca="1" si="23"/>
        <v>0</v>
      </c>
      <c r="AX50" s="1083" t="str">
        <f t="shared" si="24"/>
        <v>U</v>
      </c>
      <c r="AY50" s="1083" t="str">
        <f t="shared" si="25"/>
        <v>U</v>
      </c>
      <c r="AZ50" s="1083" t="str">
        <f t="shared" si="26"/>
        <v>U</v>
      </c>
      <c r="BA50" s="1083" t="str">
        <f t="shared" si="27"/>
        <v>U</v>
      </c>
      <c r="BB50" s="1083" t="str">
        <f t="shared" si="28"/>
        <v>U</v>
      </c>
    </row>
    <row r="51" spans="1:54" ht="12" customHeight="1" x14ac:dyDescent="0.2">
      <c r="A51" s="440"/>
      <c r="B51" s="1042"/>
      <c r="C51" s="1036"/>
      <c r="D51" s="1037"/>
      <c r="E51" s="1084">
        <f ca="1">IF(AX51="E","",AN51)</f>
        <v>0</v>
      </c>
      <c r="F51" s="1085"/>
      <c r="G51" s="1264"/>
      <c r="H51" s="1264"/>
      <c r="I51" s="1265"/>
      <c r="J51" s="638"/>
      <c r="K51" s="520" t="s">
        <v>177</v>
      </c>
      <c r="L51" s="521"/>
      <c r="M51" s="342"/>
      <c r="N51" s="528" t="s">
        <v>67</v>
      </c>
      <c r="O51" s="344"/>
      <c r="P51" s="504" t="s">
        <v>68</v>
      </c>
      <c r="Q51" s="344"/>
      <c r="R51" s="522" t="s">
        <v>363</v>
      </c>
      <c r="S51" s="353">
        <f t="shared" ca="1" si="14"/>
        <v>0</v>
      </c>
      <c r="T51" s="523"/>
      <c r="U51" s="350"/>
      <c r="V51" s="308"/>
      <c r="W51" s="1090" t="str">
        <f t="shared" ca="1" si="15"/>
        <v/>
      </c>
      <c r="X51" s="1103">
        <f t="shared" ca="1" si="16"/>
        <v>0</v>
      </c>
      <c r="Y51" s="1120">
        <f t="shared" ca="1" si="17"/>
        <v>0</v>
      </c>
      <c r="Z51" s="524"/>
      <c r="AA51" s="350"/>
      <c r="AB51" s="308"/>
      <c r="AC51" s="1090" t="str">
        <f t="shared" ca="1" si="18"/>
        <v/>
      </c>
      <c r="AD51" s="1103">
        <f t="shared" ca="1" si="19"/>
        <v>0</v>
      </c>
      <c r="AE51" s="1120">
        <f t="shared" ca="1" si="20"/>
        <v>0</v>
      </c>
      <c r="AF51" s="525"/>
      <c r="AG51" s="637"/>
      <c r="AH51" s="525"/>
      <c r="AI51" s="1086">
        <f t="shared" ca="1" si="21"/>
        <v>0</v>
      </c>
      <c r="AJ51" s="380"/>
      <c r="AK51" s="440"/>
      <c r="AM51" s="460">
        <v>51</v>
      </c>
      <c r="AN51" s="1087">
        <f t="shared" ca="1" si="22"/>
        <v>0</v>
      </c>
      <c r="AO51" s="1083">
        <f t="shared" ca="1" si="23"/>
        <v>0</v>
      </c>
      <c r="AP51" s="356">
        <f t="shared" ca="1" si="23"/>
        <v>0</v>
      </c>
      <c r="AQ51" s="357">
        <f t="shared" ca="1" si="23"/>
        <v>0</v>
      </c>
      <c r="AR51" s="524" t="str">
        <f t="shared" ca="1" si="23"/>
        <v/>
      </c>
      <c r="AS51" s="356">
        <f t="shared" ca="1" si="23"/>
        <v>0</v>
      </c>
      <c r="AT51" s="357">
        <f t="shared" ca="1" si="23"/>
        <v>0</v>
      </c>
      <c r="AU51" s="524" t="str">
        <f t="shared" ca="1" si="23"/>
        <v/>
      </c>
      <c r="AV51" s="1083">
        <f t="shared" ca="1" si="23"/>
        <v>0</v>
      </c>
      <c r="AX51" s="1083" t="str">
        <f t="shared" si="24"/>
        <v>U</v>
      </c>
      <c r="AY51" s="1083" t="str">
        <f t="shared" si="25"/>
        <v>U</v>
      </c>
      <c r="AZ51" s="1083" t="str">
        <f t="shared" si="26"/>
        <v>U</v>
      </c>
      <c r="BA51" s="1083" t="str">
        <f t="shared" si="27"/>
        <v>U</v>
      </c>
      <c r="BB51" s="1083" t="str">
        <f t="shared" si="28"/>
        <v>U</v>
      </c>
    </row>
    <row r="52" spans="1:54" ht="12" customHeight="1" x14ac:dyDescent="0.2">
      <c r="A52" s="440"/>
      <c r="B52" s="1042"/>
      <c r="C52" s="1036"/>
      <c r="D52" s="1037"/>
      <c r="E52" s="1084">
        <f ca="1">IF(AX52="E","",AN52)</f>
        <v>0</v>
      </c>
      <c r="F52" s="1085"/>
      <c r="G52" s="1264"/>
      <c r="H52" s="1264"/>
      <c r="I52" s="1265"/>
      <c r="J52" s="638"/>
      <c r="K52" s="520" t="s">
        <v>177</v>
      </c>
      <c r="L52" s="521"/>
      <c r="M52" s="342"/>
      <c r="N52" s="528" t="s">
        <v>67</v>
      </c>
      <c r="O52" s="344"/>
      <c r="P52" s="504" t="s">
        <v>68</v>
      </c>
      <c r="Q52" s="344"/>
      <c r="R52" s="522" t="s">
        <v>363</v>
      </c>
      <c r="S52" s="353">
        <f t="shared" ca="1" si="14"/>
        <v>0</v>
      </c>
      <c r="T52" s="523"/>
      <c r="U52" s="350"/>
      <c r="V52" s="308"/>
      <c r="W52" s="1090" t="str">
        <f t="shared" ca="1" si="15"/>
        <v/>
      </c>
      <c r="X52" s="1103">
        <f t="shared" ca="1" si="16"/>
        <v>0</v>
      </c>
      <c r="Y52" s="1120">
        <f t="shared" ca="1" si="17"/>
        <v>0</v>
      </c>
      <c r="Z52" s="524"/>
      <c r="AA52" s="350"/>
      <c r="AB52" s="308"/>
      <c r="AC52" s="1090" t="str">
        <f t="shared" ca="1" si="18"/>
        <v/>
      </c>
      <c r="AD52" s="1103">
        <f t="shared" ca="1" si="19"/>
        <v>0</v>
      </c>
      <c r="AE52" s="1120">
        <f t="shared" ca="1" si="20"/>
        <v>0</v>
      </c>
      <c r="AF52" s="525"/>
      <c r="AG52" s="637"/>
      <c r="AH52" s="525"/>
      <c r="AI52" s="1086">
        <f t="shared" ca="1" si="21"/>
        <v>0</v>
      </c>
      <c r="AJ52" s="380"/>
      <c r="AK52" s="440"/>
      <c r="AM52" s="460">
        <v>52</v>
      </c>
      <c r="AN52" s="1087">
        <f t="shared" ca="1" si="22"/>
        <v>0</v>
      </c>
      <c r="AO52" s="1083">
        <f t="shared" ca="1" si="23"/>
        <v>0</v>
      </c>
      <c r="AP52" s="356">
        <f t="shared" ca="1" si="23"/>
        <v>0</v>
      </c>
      <c r="AQ52" s="357">
        <f t="shared" ca="1" si="23"/>
        <v>0</v>
      </c>
      <c r="AR52" s="524" t="str">
        <f t="shared" ca="1" si="23"/>
        <v/>
      </c>
      <c r="AS52" s="356">
        <f t="shared" ca="1" si="23"/>
        <v>0</v>
      </c>
      <c r="AT52" s="357">
        <f t="shared" ca="1" si="23"/>
        <v>0</v>
      </c>
      <c r="AU52" s="524" t="str">
        <f t="shared" ca="1" si="23"/>
        <v/>
      </c>
      <c r="AV52" s="1083">
        <f t="shared" ca="1" si="23"/>
        <v>0</v>
      </c>
      <c r="AX52" s="1083" t="str">
        <f t="shared" si="24"/>
        <v>U</v>
      </c>
      <c r="AY52" s="1083" t="str">
        <f t="shared" si="25"/>
        <v>U</v>
      </c>
      <c r="AZ52" s="1083" t="str">
        <f t="shared" si="26"/>
        <v>U</v>
      </c>
      <c r="BA52" s="1083" t="str">
        <f t="shared" si="27"/>
        <v>U</v>
      </c>
      <c r="BB52" s="1083" t="str">
        <f t="shared" si="28"/>
        <v>U</v>
      </c>
    </row>
    <row r="53" spans="1:54" ht="14.25" customHeight="1" collapsed="1" x14ac:dyDescent="0.25">
      <c r="A53" s="440"/>
      <c r="B53" s="1042"/>
      <c r="C53" s="1036" t="s">
        <v>148</v>
      </c>
      <c r="D53" s="494"/>
      <c r="E53" s="1596" t="s">
        <v>134</v>
      </c>
      <c r="F53" s="1596"/>
      <c r="G53" s="1596"/>
      <c r="H53" s="1596"/>
      <c r="I53" s="1597"/>
      <c r="J53" s="1038"/>
      <c r="K53" s="529"/>
      <c r="L53" s="529"/>
      <c r="M53" s="526"/>
      <c r="N53" s="519"/>
      <c r="O53" s="530"/>
      <c r="P53" s="1037"/>
      <c r="Q53" s="1037"/>
      <c r="R53" s="1037"/>
      <c r="S53" s="355">
        <f ca="1">S54+S59+S64+S68</f>
        <v>80293.319999999992</v>
      </c>
      <c r="T53" s="363"/>
      <c r="U53" s="360"/>
      <c r="V53" s="361"/>
      <c r="W53" s="1092"/>
      <c r="X53" s="1105"/>
      <c r="Y53" s="1121"/>
      <c r="Z53" s="363"/>
      <c r="AA53" s="360"/>
      <c r="AB53" s="361"/>
      <c r="AC53" s="1092"/>
      <c r="AD53" s="1105"/>
      <c r="AE53" s="1121"/>
      <c r="AF53" s="359"/>
      <c r="AG53" s="358"/>
      <c r="AH53" s="359"/>
      <c r="AI53" s="358"/>
      <c r="AJ53" s="359"/>
      <c r="AK53" s="440"/>
      <c r="AM53" s="460">
        <v>53</v>
      </c>
      <c r="AN53" s="1078"/>
      <c r="AP53" s="1081"/>
      <c r="AS53" s="1081"/>
      <c r="AZ53" s="1081"/>
      <c r="BA53" s="1081"/>
    </row>
    <row r="54" spans="1:54" ht="12" customHeight="1" x14ac:dyDescent="0.25">
      <c r="A54" s="440"/>
      <c r="B54" s="1042"/>
      <c r="C54" s="1036"/>
      <c r="D54" s="1037" t="s">
        <v>149</v>
      </c>
      <c r="E54" s="1599" t="s">
        <v>136</v>
      </c>
      <c r="F54" s="1599"/>
      <c r="G54" s="1599"/>
      <c r="H54" s="1599"/>
      <c r="I54" s="1597"/>
      <c r="J54" s="1038"/>
      <c r="K54" s="529"/>
      <c r="L54" s="503"/>
      <c r="M54" s="526"/>
      <c r="N54" s="519"/>
      <c r="O54" s="530"/>
      <c r="P54" s="1037"/>
      <c r="Q54" s="1037"/>
      <c r="R54" s="1037"/>
      <c r="S54" s="354">
        <f ca="1">SUBTOTAL(109,S56:S58)</f>
        <v>0</v>
      </c>
      <c r="T54" s="363"/>
      <c r="U54" s="358"/>
      <c r="V54" s="358"/>
      <c r="W54" s="1091"/>
      <c r="X54" s="1104"/>
      <c r="Y54" s="1104"/>
      <c r="Z54" s="358"/>
      <c r="AA54" s="358"/>
      <c r="AB54" s="358"/>
      <c r="AC54" s="1091"/>
      <c r="AD54" s="1104"/>
      <c r="AE54" s="1104"/>
      <c r="AF54" s="358"/>
      <c r="AG54" s="358"/>
      <c r="AH54" s="358"/>
      <c r="AI54" s="358"/>
      <c r="AJ54" s="358"/>
      <c r="AK54" s="440"/>
      <c r="AM54" s="460">
        <v>54</v>
      </c>
      <c r="AN54" s="1078"/>
      <c r="AP54" s="1081"/>
      <c r="AS54" s="1081"/>
      <c r="AZ54" s="1081"/>
      <c r="BA54" s="1081"/>
    </row>
    <row r="55" spans="1:54" ht="12" customHeight="1" x14ac:dyDescent="0.25">
      <c r="A55" s="440"/>
      <c r="B55" s="1042"/>
      <c r="C55" s="1036"/>
      <c r="D55" s="1037"/>
      <c r="E55" s="1037"/>
      <c r="F55" s="1037"/>
      <c r="G55" s="1037"/>
      <c r="H55" s="1037"/>
      <c r="I55" s="1035"/>
      <c r="J55" s="1603" t="s">
        <v>170</v>
      </c>
      <c r="K55" s="1603"/>
      <c r="L55" s="503"/>
      <c r="M55" s="526"/>
      <c r="N55" s="519"/>
      <c r="O55" s="530"/>
      <c r="P55" s="1037"/>
      <c r="Q55" s="1037"/>
      <c r="R55" s="1037"/>
      <c r="S55" s="354"/>
      <c r="T55" s="363"/>
      <c r="U55" s="358"/>
      <c r="V55" s="358"/>
      <c r="W55" s="1091"/>
      <c r="X55" s="1104"/>
      <c r="Y55" s="1104"/>
      <c r="Z55" s="358"/>
      <c r="AA55" s="358"/>
      <c r="AB55" s="358"/>
      <c r="AC55" s="1091"/>
      <c r="AD55" s="1104"/>
      <c r="AE55" s="1104"/>
      <c r="AF55" s="358"/>
      <c r="AG55" s="358"/>
      <c r="AH55" s="358"/>
      <c r="AI55" s="358"/>
      <c r="AJ55" s="358"/>
      <c r="AK55" s="440"/>
      <c r="AM55" s="460">
        <v>55</v>
      </c>
      <c r="AN55" s="1078"/>
      <c r="AP55" s="1081"/>
      <c r="AS55" s="1081"/>
      <c r="AZ55" s="1081"/>
      <c r="BA55" s="1081"/>
    </row>
    <row r="56" spans="1:54" ht="12" customHeight="1" x14ac:dyDescent="0.2">
      <c r="A56" s="440"/>
      <c r="B56" s="1042"/>
      <c r="C56" s="1036"/>
      <c r="D56" s="1037"/>
      <c r="E56" s="1084">
        <f ca="1">IF(AX56="E","",AN56)</f>
        <v>0</v>
      </c>
      <c r="F56" s="1085"/>
      <c r="G56" s="1264"/>
      <c r="H56" s="1264"/>
      <c r="I56" s="1265"/>
      <c r="J56" s="638"/>
      <c r="K56" s="520" t="s">
        <v>177</v>
      </c>
      <c r="L56" s="521"/>
      <c r="M56" s="342"/>
      <c r="N56" s="521" t="s">
        <v>67</v>
      </c>
      <c r="O56" s="344"/>
      <c r="P56" s="504" t="s">
        <v>68</v>
      </c>
      <c r="Q56" s="344"/>
      <c r="R56" s="522" t="s">
        <v>363</v>
      </c>
      <c r="S56" s="353">
        <f t="shared" ref="S56:S58" ca="1" si="29">IF(AY56="E",(M56*O56)+Q56,AO56)</f>
        <v>0</v>
      </c>
      <c r="T56" s="523"/>
      <c r="U56" s="350"/>
      <c r="V56" s="308"/>
      <c r="W56" s="1090" t="str">
        <f t="shared" ref="W56:W58" ca="1" si="30">IF(AZ56="E",IF(AND(V56&lt;&gt;0,U56&lt;&gt;0),"X",IF(AND(V56&lt;&gt;0,U56=0),"A",IF(AND(V56=0,U56&lt;&gt;0),"P",""))),AR56)</f>
        <v/>
      </c>
      <c r="X56" s="1103">
        <f t="shared" ref="X56:X58" ca="1" si="31">IF(AZ56="E",IFERROR(IF(W56="X",0,IF(U56&gt;0,U56,V56/S56)),0),
IFERROR(IF(OR(AR56="X",AR56=0),0,
IF(AR56="P",AP56,IF(AR56="A",AQ56/S56,0))),0))</f>
        <v>0</v>
      </c>
      <c r="Y56" s="1120">
        <f t="shared" ref="Y56:Y58" ca="1" si="32">IF(AZ56="E",IFERROR(IF(W56="X",0,IF(V56&gt;0,V56,S56*U56)),0),
IFERROR(IF(OR(AR56="X",AR56="0"),0,IF(AR56="A",AQ56,S56*AP56)),0))</f>
        <v>0</v>
      </c>
      <c r="Z56" s="524"/>
      <c r="AA56" s="350"/>
      <c r="AB56" s="308"/>
      <c r="AC56" s="1090" t="str">
        <f t="shared" ref="AC56:AC58" ca="1" si="33">IF(BA56="E",IF(AND(AB56&lt;&gt;0,AA56&lt;&gt;0),"X",IF(AND(AB56&lt;&gt;0,AA56=0),"A",IF(AND(AB56=0,AA56&lt;&gt;0),"P",""))),AU56)</f>
        <v/>
      </c>
      <c r="AD56" s="1103">
        <f t="shared" ref="AD56:AD58" ca="1" si="34">IF(BA56="E",IFERROR(IF(AC56="X",0,IF(AA56&gt;0,AA56,AB56/S56)),0),
IFERROR(IF(OR(AU56="X",AU56=0),0,
IF(AU56="P",AS56,IF(AU56="A",AT56/S56,0))),0))</f>
        <v>0</v>
      </c>
      <c r="AE56" s="1120">
        <f t="shared" ref="AE56:AE58" ca="1" si="35">IF(BA56="E",IFERROR(IF(AC56="X",0,IF(AB56&gt;0,AB56,S56*AA56)),0),
IFERROR(IF(OR(AU56="X",AU56=0),0,
IF(AU56="A",AT56,S56*AS56)),0))</f>
        <v>0</v>
      </c>
      <c r="AF56" s="525"/>
      <c r="AG56" s="637"/>
      <c r="AH56" s="525"/>
      <c r="AI56" s="1086">
        <f t="shared" ref="AI56:AI58" ca="1" si="36">IF(BB56="E",AG56,AV56)</f>
        <v>0</v>
      </c>
      <c r="AJ56" s="380"/>
      <c r="AK56" s="440"/>
      <c r="AM56" s="460">
        <v>56</v>
      </c>
      <c r="AN56" s="1087">
        <f t="shared" ref="AN56:AN58" ca="1" si="37">IF($M$13=$AN$12,"",IF(ISTEXT(INDIRECT("'"&amp;$AM$20&amp;"'!"&amp;AN$21&amp;$AM56)),INDIRECT("'"&amp;$AM$20&amp;"'!"&amp;AN$21&amp;$AM56),INDIRECT("'"&amp;$AM$20&amp;"'!"&amp;AN$22&amp;$AM56)))</f>
        <v>0</v>
      </c>
      <c r="AO56" s="1083">
        <f t="shared" ref="AO56:AV58" ca="1" si="38">IF($M$13=$AN$12,"",INDIRECT("'"&amp;$AM$20&amp;"'!"&amp;AO$21&amp;$AM56))</f>
        <v>0</v>
      </c>
      <c r="AP56" s="356">
        <f t="shared" ca="1" si="38"/>
        <v>0</v>
      </c>
      <c r="AQ56" s="357">
        <f t="shared" ca="1" si="38"/>
        <v>0</v>
      </c>
      <c r="AR56" s="524" t="str">
        <f t="shared" ca="1" si="38"/>
        <v/>
      </c>
      <c r="AS56" s="356">
        <f t="shared" ca="1" si="38"/>
        <v>0</v>
      </c>
      <c r="AT56" s="357">
        <f t="shared" ca="1" si="38"/>
        <v>0</v>
      </c>
      <c r="AU56" s="524" t="str">
        <f t="shared" ca="1" si="38"/>
        <v/>
      </c>
      <c r="AV56" s="1083">
        <f t="shared" ca="1" si="38"/>
        <v>0</v>
      </c>
      <c r="AX56" s="1083" t="str">
        <f t="shared" ref="AX56:AX58" si="39">IF($M$13=$AN$12,"E",IF(ISTEXT(F56),"E","U"))</f>
        <v>U</v>
      </c>
      <c r="AY56" s="1083" t="str">
        <f t="shared" ref="AY56:AY58" si="40">IF($M$13=$AN$12,"E",IF(OR(ISNUMBER(M56),ISNUMBER(O56),ISNUMBER(Q56)),"E","U"))</f>
        <v>U</v>
      </c>
      <c r="AZ56" s="1083" t="str">
        <f t="shared" ref="AZ56:AZ58" si="41">IF($M$13=$AN$12,"E",IF(OR(ISNUMBER(U56),ISNUMBER(V56)),"E","U"))</f>
        <v>U</v>
      </c>
      <c r="BA56" s="1083" t="str">
        <f t="shared" ref="BA56:BA58" si="42">IF($M$13=$AN$12,"E",IF(OR(ISNUMBER(AA56),ISNUMBER(AB56)),"E","U"))</f>
        <v>U</v>
      </c>
      <c r="BB56" s="1083" t="str">
        <f t="shared" ref="BB56:BB58" si="43">IF($M$13=$AN$12,"E",IF(ISNUMBER(AG56),"E","U"))</f>
        <v>U</v>
      </c>
    </row>
    <row r="57" spans="1:54" ht="12" customHeight="1" x14ac:dyDescent="0.2">
      <c r="A57" s="440"/>
      <c r="B57" s="1042"/>
      <c r="C57" s="1036"/>
      <c r="D57" s="1037"/>
      <c r="E57" s="1084">
        <f ca="1">IF(AX57="E","",AN57)</f>
        <v>0</v>
      </c>
      <c r="F57" s="1085"/>
      <c r="G57" s="1264"/>
      <c r="H57" s="1264"/>
      <c r="I57" s="1265"/>
      <c r="J57" s="638"/>
      <c r="K57" s="520" t="s">
        <v>177</v>
      </c>
      <c r="L57" s="521"/>
      <c r="M57" s="342"/>
      <c r="N57" s="521" t="s">
        <v>67</v>
      </c>
      <c r="O57" s="344"/>
      <c r="P57" s="504" t="s">
        <v>68</v>
      </c>
      <c r="Q57" s="344"/>
      <c r="R57" s="522" t="s">
        <v>363</v>
      </c>
      <c r="S57" s="353">
        <f t="shared" ca="1" si="29"/>
        <v>0</v>
      </c>
      <c r="T57" s="523"/>
      <c r="U57" s="350"/>
      <c r="V57" s="308"/>
      <c r="W57" s="1090" t="str">
        <f t="shared" ca="1" si="30"/>
        <v/>
      </c>
      <c r="X57" s="1103">
        <f t="shared" ca="1" si="31"/>
        <v>0</v>
      </c>
      <c r="Y57" s="1120">
        <f t="shared" ca="1" si="32"/>
        <v>0</v>
      </c>
      <c r="Z57" s="524"/>
      <c r="AA57" s="350"/>
      <c r="AB57" s="308"/>
      <c r="AC57" s="1090" t="str">
        <f t="shared" ca="1" si="33"/>
        <v/>
      </c>
      <c r="AD57" s="1103">
        <f t="shared" ca="1" si="34"/>
        <v>0</v>
      </c>
      <c r="AE57" s="1120">
        <f t="shared" ca="1" si="35"/>
        <v>0</v>
      </c>
      <c r="AF57" s="525"/>
      <c r="AG57" s="637"/>
      <c r="AH57" s="525"/>
      <c r="AI57" s="1086">
        <f t="shared" ca="1" si="36"/>
        <v>0</v>
      </c>
      <c r="AJ57" s="380"/>
      <c r="AK57" s="440"/>
      <c r="AM57" s="460">
        <v>57</v>
      </c>
      <c r="AN57" s="1087">
        <f t="shared" ca="1" si="37"/>
        <v>0</v>
      </c>
      <c r="AO57" s="1083">
        <f t="shared" ca="1" si="38"/>
        <v>0</v>
      </c>
      <c r="AP57" s="356">
        <f t="shared" ca="1" si="38"/>
        <v>0</v>
      </c>
      <c r="AQ57" s="357">
        <f t="shared" ca="1" si="38"/>
        <v>0</v>
      </c>
      <c r="AR57" s="524" t="str">
        <f t="shared" ca="1" si="38"/>
        <v/>
      </c>
      <c r="AS57" s="356">
        <f t="shared" ca="1" si="38"/>
        <v>0</v>
      </c>
      <c r="AT57" s="357">
        <f t="shared" ca="1" si="38"/>
        <v>0</v>
      </c>
      <c r="AU57" s="524" t="str">
        <f t="shared" ca="1" si="38"/>
        <v/>
      </c>
      <c r="AV57" s="1083">
        <f t="shared" ca="1" si="38"/>
        <v>0</v>
      </c>
      <c r="AX57" s="1083" t="str">
        <f t="shared" si="39"/>
        <v>U</v>
      </c>
      <c r="AY57" s="1083" t="str">
        <f t="shared" si="40"/>
        <v>U</v>
      </c>
      <c r="AZ57" s="1083" t="str">
        <f t="shared" si="41"/>
        <v>U</v>
      </c>
      <c r="BA57" s="1083" t="str">
        <f t="shared" si="42"/>
        <v>U</v>
      </c>
      <c r="BB57" s="1083" t="str">
        <f t="shared" si="43"/>
        <v>U</v>
      </c>
    </row>
    <row r="58" spans="1:54" ht="12" customHeight="1" x14ac:dyDescent="0.2">
      <c r="A58" s="440"/>
      <c r="B58" s="1042"/>
      <c r="C58" s="1036"/>
      <c r="D58" s="1037"/>
      <c r="E58" s="1084">
        <f ca="1">IF(AX58="E","",AN58)</f>
        <v>0</v>
      </c>
      <c r="F58" s="1085"/>
      <c r="G58" s="1264"/>
      <c r="H58" s="1264"/>
      <c r="I58" s="1265"/>
      <c r="J58" s="638"/>
      <c r="K58" s="520" t="s">
        <v>177</v>
      </c>
      <c r="L58" s="521"/>
      <c r="M58" s="342"/>
      <c r="N58" s="521" t="s">
        <v>67</v>
      </c>
      <c r="O58" s="344"/>
      <c r="P58" s="504" t="s">
        <v>68</v>
      </c>
      <c r="Q58" s="344"/>
      <c r="R58" s="522" t="s">
        <v>363</v>
      </c>
      <c r="S58" s="353">
        <f t="shared" ca="1" si="29"/>
        <v>0</v>
      </c>
      <c r="T58" s="523"/>
      <c r="U58" s="350"/>
      <c r="V58" s="308"/>
      <c r="W58" s="1090" t="str">
        <f t="shared" ca="1" si="30"/>
        <v/>
      </c>
      <c r="X58" s="1103">
        <f t="shared" ca="1" si="31"/>
        <v>0</v>
      </c>
      <c r="Y58" s="1120">
        <f t="shared" ca="1" si="32"/>
        <v>0</v>
      </c>
      <c r="Z58" s="524"/>
      <c r="AA58" s="350"/>
      <c r="AB58" s="308"/>
      <c r="AC58" s="1090" t="str">
        <f t="shared" ca="1" si="33"/>
        <v/>
      </c>
      <c r="AD58" s="1103">
        <f t="shared" ca="1" si="34"/>
        <v>0</v>
      </c>
      <c r="AE58" s="1120">
        <f t="shared" ca="1" si="35"/>
        <v>0</v>
      </c>
      <c r="AF58" s="525"/>
      <c r="AG58" s="637"/>
      <c r="AH58" s="525"/>
      <c r="AI58" s="1086">
        <f t="shared" ca="1" si="36"/>
        <v>0</v>
      </c>
      <c r="AJ58" s="380"/>
      <c r="AK58" s="440"/>
      <c r="AM58" s="460">
        <v>58</v>
      </c>
      <c r="AN58" s="1087">
        <f t="shared" ca="1" si="37"/>
        <v>0</v>
      </c>
      <c r="AO58" s="1083">
        <f t="shared" ca="1" si="38"/>
        <v>0</v>
      </c>
      <c r="AP58" s="356">
        <f t="shared" ca="1" si="38"/>
        <v>0</v>
      </c>
      <c r="AQ58" s="357">
        <f t="shared" ca="1" si="38"/>
        <v>0</v>
      </c>
      <c r="AR58" s="524" t="str">
        <f t="shared" ca="1" si="38"/>
        <v/>
      </c>
      <c r="AS58" s="356">
        <f t="shared" ca="1" si="38"/>
        <v>0</v>
      </c>
      <c r="AT58" s="357">
        <f t="shared" ca="1" si="38"/>
        <v>0</v>
      </c>
      <c r="AU58" s="524" t="str">
        <f t="shared" ca="1" si="38"/>
        <v/>
      </c>
      <c r="AV58" s="1083">
        <f t="shared" ca="1" si="38"/>
        <v>0</v>
      </c>
      <c r="AX58" s="1083" t="str">
        <f t="shared" si="39"/>
        <v>U</v>
      </c>
      <c r="AY58" s="1083" t="str">
        <f t="shared" si="40"/>
        <v>U</v>
      </c>
      <c r="AZ58" s="1083" t="str">
        <f t="shared" si="41"/>
        <v>U</v>
      </c>
      <c r="BA58" s="1083" t="str">
        <f t="shared" si="42"/>
        <v>U</v>
      </c>
      <c r="BB58" s="1083" t="str">
        <f t="shared" si="43"/>
        <v>U</v>
      </c>
    </row>
    <row r="59" spans="1:54" ht="12" customHeight="1" x14ac:dyDescent="0.25">
      <c r="A59" s="440"/>
      <c r="B59" s="1042"/>
      <c r="C59" s="1036"/>
      <c r="D59" s="1037" t="s">
        <v>150</v>
      </c>
      <c r="E59" s="1599" t="s">
        <v>138</v>
      </c>
      <c r="F59" s="1599"/>
      <c r="G59" s="1599"/>
      <c r="H59" s="1599"/>
      <c r="I59" s="1597"/>
      <c r="J59" s="1038"/>
      <c r="K59" s="529"/>
      <c r="L59" s="503"/>
      <c r="M59" s="526"/>
      <c r="N59" s="519"/>
      <c r="O59" s="527"/>
      <c r="P59" s="1037"/>
      <c r="Q59" s="1037"/>
      <c r="R59" s="1037"/>
      <c r="S59" s="354">
        <f ca="1">SUBTOTAL(109,S61:S63)</f>
        <v>0</v>
      </c>
      <c r="T59" s="363"/>
      <c r="U59" s="358"/>
      <c r="V59" s="358"/>
      <c r="W59" s="1091"/>
      <c r="X59" s="1104"/>
      <c r="Y59" s="1104"/>
      <c r="Z59" s="358"/>
      <c r="AA59" s="358"/>
      <c r="AB59" s="358"/>
      <c r="AC59" s="1091"/>
      <c r="AD59" s="1104"/>
      <c r="AE59" s="1104"/>
      <c r="AF59" s="358"/>
      <c r="AG59" s="358"/>
      <c r="AH59" s="358"/>
      <c r="AI59" s="358"/>
      <c r="AJ59" s="358"/>
      <c r="AK59" s="440"/>
      <c r="AM59" s="460">
        <v>59</v>
      </c>
      <c r="AN59" s="1078"/>
      <c r="AP59" s="1081"/>
      <c r="AS59" s="1081"/>
      <c r="AZ59" s="1081"/>
      <c r="BA59" s="1081"/>
    </row>
    <row r="60" spans="1:54" ht="12" customHeight="1" x14ac:dyDescent="0.25">
      <c r="A60" s="440"/>
      <c r="B60" s="1042"/>
      <c r="C60" s="1036"/>
      <c r="D60" s="1037"/>
      <c r="E60" s="1037"/>
      <c r="F60" s="1037"/>
      <c r="G60" s="1037"/>
      <c r="H60" s="1037"/>
      <c r="I60" s="1035"/>
      <c r="J60" s="1603" t="s">
        <v>170</v>
      </c>
      <c r="K60" s="1603"/>
      <c r="L60" s="503"/>
      <c r="M60" s="526"/>
      <c r="N60" s="519"/>
      <c r="O60" s="527"/>
      <c r="P60" s="1037"/>
      <c r="Q60" s="1037"/>
      <c r="R60" s="1037"/>
      <c r="S60" s="354"/>
      <c r="T60" s="363"/>
      <c r="U60" s="358"/>
      <c r="V60" s="358"/>
      <c r="W60" s="1091"/>
      <c r="X60" s="1104"/>
      <c r="Y60" s="1104"/>
      <c r="Z60" s="358"/>
      <c r="AA60" s="358"/>
      <c r="AB60" s="358"/>
      <c r="AC60" s="1091"/>
      <c r="AD60" s="1104"/>
      <c r="AE60" s="1104"/>
      <c r="AF60" s="358"/>
      <c r="AG60" s="358"/>
      <c r="AH60" s="358"/>
      <c r="AI60" s="358"/>
      <c r="AJ60" s="358"/>
      <c r="AK60" s="440"/>
      <c r="AM60" s="460">
        <v>60</v>
      </c>
      <c r="AN60" s="1078"/>
      <c r="AP60" s="1081"/>
      <c r="AS60" s="1081"/>
      <c r="AZ60" s="1081"/>
      <c r="BA60" s="1081"/>
    </row>
    <row r="61" spans="1:54" ht="12" customHeight="1" x14ac:dyDescent="0.2">
      <c r="A61" s="440"/>
      <c r="B61" s="1042"/>
      <c r="C61" s="1036"/>
      <c r="D61" s="1037"/>
      <c r="E61" s="1084">
        <f ca="1">IF(AX61="E","",AN61)</f>
        <v>0</v>
      </c>
      <c r="F61" s="1085"/>
      <c r="G61" s="1264"/>
      <c r="H61" s="1264"/>
      <c r="I61" s="1265"/>
      <c r="J61" s="638"/>
      <c r="K61" s="520" t="s">
        <v>177</v>
      </c>
      <c r="L61" s="521"/>
      <c r="M61" s="342"/>
      <c r="N61" s="521" t="s">
        <v>67</v>
      </c>
      <c r="O61" s="344"/>
      <c r="P61" s="504" t="s">
        <v>68</v>
      </c>
      <c r="Q61" s="344"/>
      <c r="R61" s="522" t="s">
        <v>363</v>
      </c>
      <c r="S61" s="353">
        <f t="shared" ref="S61:S63" ca="1" si="44">IF(AY61="E",(M61*O61)+Q61,AO61)</f>
        <v>0</v>
      </c>
      <c r="T61" s="523"/>
      <c r="U61" s="350"/>
      <c r="V61" s="308"/>
      <c r="W61" s="1090" t="str">
        <f t="shared" ref="W61:W63" ca="1" si="45">IF(AZ61="E",IF(AND(V61&lt;&gt;0,U61&lt;&gt;0),"X",IF(AND(V61&lt;&gt;0,U61=0),"A",IF(AND(V61=0,U61&lt;&gt;0),"P",""))),AR61)</f>
        <v/>
      </c>
      <c r="X61" s="1103">
        <f t="shared" ref="X61:X63" ca="1" si="46">IF(AZ61="E",IFERROR(IF(W61="X",0,IF(U61&gt;0,U61,V61/S61)),0),
IFERROR(IF(OR(AR61="X",AR61=0),0,
IF(AR61="P",AP61,IF(AR61="A",AQ61/S61,0))),0))</f>
        <v>0</v>
      </c>
      <c r="Y61" s="1120">
        <f t="shared" ref="Y61:Y63" ca="1" si="47">IF(AZ61="E",IFERROR(IF(W61="X",0,IF(V61&gt;0,V61,S61*U61)),0),
IFERROR(IF(OR(AR61="X",AR61="0"),0,IF(AR61="A",AQ61,S61*AP61)),0))</f>
        <v>0</v>
      </c>
      <c r="Z61" s="524"/>
      <c r="AA61" s="350"/>
      <c r="AB61" s="308"/>
      <c r="AC61" s="1090" t="str">
        <f t="shared" ref="AC61:AC63" ca="1" si="48">IF(BA61="E",IF(AND(AB61&lt;&gt;0,AA61&lt;&gt;0),"X",IF(AND(AB61&lt;&gt;0,AA61=0),"A",IF(AND(AB61=0,AA61&lt;&gt;0),"P",""))),AU61)</f>
        <v/>
      </c>
      <c r="AD61" s="1103">
        <f t="shared" ref="AD61:AD63" ca="1" si="49">IF(BA61="E",IFERROR(IF(AC61="X",0,IF(AA61&gt;0,AA61,AB61/S61)),0),
IFERROR(IF(OR(AU61="X",AU61=0),0,
IF(AU61="P",AS61,IF(AU61="A",AT61/S61,0))),0))</f>
        <v>0</v>
      </c>
      <c r="AE61" s="1120">
        <f t="shared" ref="AE61:AE63" ca="1" si="50">IF(BA61="E",IFERROR(IF(AC61="X",0,IF(AB61&gt;0,AB61,S61*AA61)),0),
IFERROR(IF(OR(AU61="X",AU61=0),0,
IF(AU61="A",AT61,S61*AS61)),0))</f>
        <v>0</v>
      </c>
      <c r="AF61" s="525"/>
      <c r="AG61" s="637"/>
      <c r="AH61" s="525"/>
      <c r="AI61" s="1086">
        <f t="shared" ref="AI61:AI63" ca="1" si="51">IF(BB61="E",AG61,AV61)</f>
        <v>0</v>
      </c>
      <c r="AJ61" s="380"/>
      <c r="AK61" s="440"/>
      <c r="AM61" s="460">
        <v>61</v>
      </c>
      <c r="AN61" s="1087">
        <f t="shared" ref="AN61:AN63" ca="1" si="52">IF($M$13=$AN$12,"",IF(ISTEXT(INDIRECT("'"&amp;$AM$20&amp;"'!"&amp;AN$21&amp;$AM61)),INDIRECT("'"&amp;$AM$20&amp;"'!"&amp;AN$21&amp;$AM61),INDIRECT("'"&amp;$AM$20&amp;"'!"&amp;AN$22&amp;$AM61)))</f>
        <v>0</v>
      </c>
      <c r="AO61" s="1083">
        <f t="shared" ref="AO61:AV63" ca="1" si="53">IF($M$13=$AN$12,"",INDIRECT("'"&amp;$AM$20&amp;"'!"&amp;AO$21&amp;$AM61))</f>
        <v>0</v>
      </c>
      <c r="AP61" s="356">
        <f t="shared" ca="1" si="53"/>
        <v>0</v>
      </c>
      <c r="AQ61" s="357">
        <f t="shared" ca="1" si="53"/>
        <v>0</v>
      </c>
      <c r="AR61" s="524" t="str">
        <f t="shared" ca="1" si="53"/>
        <v/>
      </c>
      <c r="AS61" s="356">
        <f t="shared" ca="1" si="53"/>
        <v>0</v>
      </c>
      <c r="AT61" s="357">
        <f t="shared" ca="1" si="53"/>
        <v>0</v>
      </c>
      <c r="AU61" s="524" t="str">
        <f t="shared" ca="1" si="53"/>
        <v/>
      </c>
      <c r="AV61" s="1083">
        <f t="shared" ca="1" si="53"/>
        <v>0</v>
      </c>
      <c r="AX61" s="1083" t="str">
        <f t="shared" ref="AX61:AX63" si="54">IF($M$13=$AN$12,"E",IF(ISTEXT(F61),"E","U"))</f>
        <v>U</v>
      </c>
      <c r="AY61" s="1083" t="str">
        <f t="shared" ref="AY61:AY63" si="55">IF($M$13=$AN$12,"E",IF(OR(ISNUMBER(M61),ISNUMBER(O61),ISNUMBER(Q61)),"E","U"))</f>
        <v>U</v>
      </c>
      <c r="AZ61" s="1083" t="str">
        <f t="shared" ref="AZ61:AZ63" si="56">IF($M$13=$AN$12,"E",IF(OR(ISNUMBER(U61),ISNUMBER(V61)),"E","U"))</f>
        <v>U</v>
      </c>
      <c r="BA61" s="1083" t="str">
        <f t="shared" ref="BA61:BA63" si="57">IF($M$13=$AN$12,"E",IF(OR(ISNUMBER(AA61),ISNUMBER(AB61)),"E","U"))</f>
        <v>U</v>
      </c>
      <c r="BB61" s="1083" t="str">
        <f t="shared" ref="BB61:BB63" si="58">IF($M$13=$AN$12,"E",IF(ISNUMBER(AG61),"E","U"))</f>
        <v>U</v>
      </c>
    </row>
    <row r="62" spans="1:54" ht="12" customHeight="1" x14ac:dyDescent="0.2">
      <c r="A62" s="440"/>
      <c r="B62" s="1042"/>
      <c r="C62" s="1036"/>
      <c r="D62" s="1037"/>
      <c r="E62" s="1084">
        <f ca="1">IF(AX62="E","",AN62)</f>
        <v>0</v>
      </c>
      <c r="F62" s="1085"/>
      <c r="G62" s="1264"/>
      <c r="H62" s="1264"/>
      <c r="I62" s="1265"/>
      <c r="J62" s="638"/>
      <c r="K62" s="520" t="s">
        <v>177</v>
      </c>
      <c r="L62" s="521"/>
      <c r="M62" s="342"/>
      <c r="N62" s="521" t="s">
        <v>67</v>
      </c>
      <c r="O62" s="344"/>
      <c r="P62" s="504" t="s">
        <v>68</v>
      </c>
      <c r="Q62" s="344"/>
      <c r="R62" s="522" t="s">
        <v>363</v>
      </c>
      <c r="S62" s="353">
        <f t="shared" ca="1" si="44"/>
        <v>0</v>
      </c>
      <c r="T62" s="523"/>
      <c r="U62" s="350"/>
      <c r="V62" s="308"/>
      <c r="W62" s="1090" t="str">
        <f t="shared" ca="1" si="45"/>
        <v/>
      </c>
      <c r="X62" s="1103">
        <f t="shared" ca="1" si="46"/>
        <v>0</v>
      </c>
      <c r="Y62" s="1120">
        <f t="shared" ca="1" si="47"/>
        <v>0</v>
      </c>
      <c r="Z62" s="524"/>
      <c r="AA62" s="350"/>
      <c r="AB62" s="308"/>
      <c r="AC62" s="1090" t="str">
        <f t="shared" ca="1" si="48"/>
        <v/>
      </c>
      <c r="AD62" s="1103">
        <f t="shared" ca="1" si="49"/>
        <v>0</v>
      </c>
      <c r="AE62" s="1120">
        <f t="shared" ca="1" si="50"/>
        <v>0</v>
      </c>
      <c r="AF62" s="525"/>
      <c r="AG62" s="637"/>
      <c r="AH62" s="525"/>
      <c r="AI62" s="1086">
        <f t="shared" ca="1" si="51"/>
        <v>0</v>
      </c>
      <c r="AJ62" s="380"/>
      <c r="AK62" s="440"/>
      <c r="AM62" s="460">
        <v>62</v>
      </c>
      <c r="AN62" s="1087">
        <f t="shared" ca="1" si="52"/>
        <v>0</v>
      </c>
      <c r="AO62" s="1083">
        <f t="shared" ca="1" si="53"/>
        <v>0</v>
      </c>
      <c r="AP62" s="356">
        <f t="shared" ca="1" si="53"/>
        <v>0</v>
      </c>
      <c r="AQ62" s="357">
        <f t="shared" ca="1" si="53"/>
        <v>0</v>
      </c>
      <c r="AR62" s="524" t="str">
        <f t="shared" ca="1" si="53"/>
        <v/>
      </c>
      <c r="AS62" s="356">
        <f t="shared" ca="1" si="53"/>
        <v>0</v>
      </c>
      <c r="AT62" s="357">
        <f t="shared" ca="1" si="53"/>
        <v>0</v>
      </c>
      <c r="AU62" s="524" t="str">
        <f t="shared" ca="1" si="53"/>
        <v/>
      </c>
      <c r="AV62" s="1083">
        <f t="shared" ca="1" si="53"/>
        <v>0</v>
      </c>
      <c r="AX62" s="1083" t="str">
        <f t="shared" si="54"/>
        <v>U</v>
      </c>
      <c r="AY62" s="1083" t="str">
        <f t="shared" si="55"/>
        <v>U</v>
      </c>
      <c r="AZ62" s="1083" t="str">
        <f t="shared" si="56"/>
        <v>U</v>
      </c>
      <c r="BA62" s="1083" t="str">
        <f t="shared" si="57"/>
        <v>U</v>
      </c>
      <c r="BB62" s="1083" t="str">
        <f t="shared" si="58"/>
        <v>U</v>
      </c>
    </row>
    <row r="63" spans="1:54" ht="12" customHeight="1" x14ac:dyDescent="0.2">
      <c r="A63" s="440"/>
      <c r="B63" s="1042"/>
      <c r="C63" s="1036"/>
      <c r="D63" s="1037"/>
      <c r="E63" s="1084">
        <f ca="1">IF(AX63="E","",AN63)</f>
        <v>0</v>
      </c>
      <c r="F63" s="1085"/>
      <c r="G63" s="1264"/>
      <c r="H63" s="1264"/>
      <c r="I63" s="1265"/>
      <c r="J63" s="638"/>
      <c r="K63" s="520" t="s">
        <v>177</v>
      </c>
      <c r="L63" s="521"/>
      <c r="M63" s="342"/>
      <c r="N63" s="521" t="s">
        <v>67</v>
      </c>
      <c r="O63" s="344"/>
      <c r="P63" s="504" t="s">
        <v>68</v>
      </c>
      <c r="Q63" s="344"/>
      <c r="R63" s="522" t="s">
        <v>363</v>
      </c>
      <c r="S63" s="353">
        <f t="shared" ca="1" si="44"/>
        <v>0</v>
      </c>
      <c r="T63" s="523"/>
      <c r="U63" s="350"/>
      <c r="V63" s="308"/>
      <c r="W63" s="1090" t="str">
        <f t="shared" ca="1" si="45"/>
        <v/>
      </c>
      <c r="X63" s="1103">
        <f t="shared" ca="1" si="46"/>
        <v>0</v>
      </c>
      <c r="Y63" s="1120">
        <f t="shared" ca="1" si="47"/>
        <v>0</v>
      </c>
      <c r="Z63" s="524"/>
      <c r="AA63" s="350"/>
      <c r="AB63" s="308"/>
      <c r="AC63" s="1090" t="str">
        <f t="shared" ca="1" si="48"/>
        <v/>
      </c>
      <c r="AD63" s="1103">
        <f t="shared" ca="1" si="49"/>
        <v>0</v>
      </c>
      <c r="AE63" s="1120">
        <f t="shared" ca="1" si="50"/>
        <v>0</v>
      </c>
      <c r="AF63" s="525"/>
      <c r="AG63" s="637"/>
      <c r="AH63" s="525"/>
      <c r="AI63" s="1086">
        <f t="shared" ca="1" si="51"/>
        <v>0</v>
      </c>
      <c r="AJ63" s="380"/>
      <c r="AK63" s="440"/>
      <c r="AM63" s="460">
        <v>63</v>
      </c>
      <c r="AN63" s="1087">
        <f t="shared" ca="1" si="52"/>
        <v>0</v>
      </c>
      <c r="AO63" s="1083">
        <f t="shared" ca="1" si="53"/>
        <v>0</v>
      </c>
      <c r="AP63" s="356">
        <f t="shared" ca="1" si="53"/>
        <v>0</v>
      </c>
      <c r="AQ63" s="357">
        <f t="shared" ca="1" si="53"/>
        <v>0</v>
      </c>
      <c r="AR63" s="524" t="str">
        <f t="shared" ca="1" si="53"/>
        <v/>
      </c>
      <c r="AS63" s="356">
        <f t="shared" ca="1" si="53"/>
        <v>0</v>
      </c>
      <c r="AT63" s="357">
        <f t="shared" ca="1" si="53"/>
        <v>0</v>
      </c>
      <c r="AU63" s="524" t="str">
        <f t="shared" ca="1" si="53"/>
        <v/>
      </c>
      <c r="AV63" s="1083">
        <f t="shared" ca="1" si="53"/>
        <v>0</v>
      </c>
      <c r="AX63" s="1083" t="str">
        <f t="shared" si="54"/>
        <v>U</v>
      </c>
      <c r="AY63" s="1083" t="str">
        <f t="shared" si="55"/>
        <v>U</v>
      </c>
      <c r="AZ63" s="1083" t="str">
        <f t="shared" si="56"/>
        <v>U</v>
      </c>
      <c r="BA63" s="1083" t="str">
        <f t="shared" si="57"/>
        <v>U</v>
      </c>
      <c r="BB63" s="1083" t="str">
        <f t="shared" si="58"/>
        <v>U</v>
      </c>
    </row>
    <row r="64" spans="1:54" ht="12" customHeight="1" x14ac:dyDescent="0.25">
      <c r="A64" s="440"/>
      <c r="B64" s="1042"/>
      <c r="C64" s="1036"/>
      <c r="D64" s="1037" t="s">
        <v>151</v>
      </c>
      <c r="E64" s="1599" t="s">
        <v>137</v>
      </c>
      <c r="F64" s="1599"/>
      <c r="G64" s="1599"/>
      <c r="H64" s="1599"/>
      <c r="I64" s="1597"/>
      <c r="J64" s="1038"/>
      <c r="K64" s="529"/>
      <c r="L64" s="503"/>
      <c r="M64" s="526"/>
      <c r="N64" s="519"/>
      <c r="O64" s="530"/>
      <c r="P64" s="1037"/>
      <c r="Q64" s="1037"/>
      <c r="R64" s="1037"/>
      <c r="S64" s="354">
        <f ca="1">SUBTOTAL(109,S66:S67)</f>
        <v>0</v>
      </c>
      <c r="T64" s="363"/>
      <c r="U64" s="360"/>
      <c r="V64" s="360"/>
      <c r="W64" s="1091"/>
      <c r="X64" s="1105"/>
      <c r="Y64" s="1105"/>
      <c r="Z64" s="360"/>
      <c r="AA64" s="360"/>
      <c r="AB64" s="360"/>
      <c r="AC64" s="1091"/>
      <c r="AD64" s="1105"/>
      <c r="AE64" s="1105"/>
      <c r="AF64" s="360"/>
      <c r="AG64" s="360"/>
      <c r="AH64" s="360"/>
      <c r="AI64" s="360"/>
      <c r="AJ64" s="363"/>
      <c r="AK64" s="440"/>
      <c r="AM64" s="460">
        <v>64</v>
      </c>
      <c r="AN64" s="1078"/>
      <c r="AP64" s="1081"/>
      <c r="AS64" s="1081"/>
      <c r="AZ64" s="1081"/>
      <c r="BA64" s="1081"/>
    </row>
    <row r="65" spans="1:54" ht="12" customHeight="1" x14ac:dyDescent="0.25">
      <c r="A65" s="440"/>
      <c r="B65" s="1042"/>
      <c r="C65" s="1036"/>
      <c r="D65" s="1037"/>
      <c r="E65" s="1037"/>
      <c r="F65" s="1037"/>
      <c r="G65" s="1037"/>
      <c r="H65" s="1037"/>
      <c r="I65" s="1035"/>
      <c r="J65" s="1603" t="s">
        <v>170</v>
      </c>
      <c r="K65" s="1603"/>
      <c r="L65" s="503"/>
      <c r="M65" s="526"/>
      <c r="N65" s="519"/>
      <c r="O65" s="530"/>
      <c r="P65" s="1037"/>
      <c r="Q65" s="1037"/>
      <c r="R65" s="1037"/>
      <c r="S65" s="354"/>
      <c r="T65" s="363"/>
      <c r="U65" s="360"/>
      <c r="V65" s="360"/>
      <c r="W65" s="1092"/>
      <c r="X65" s="1105"/>
      <c r="Y65" s="1105"/>
      <c r="Z65" s="360"/>
      <c r="AA65" s="360"/>
      <c r="AB65" s="360"/>
      <c r="AC65" s="1092"/>
      <c r="AD65" s="1105"/>
      <c r="AE65" s="1105"/>
      <c r="AF65" s="360"/>
      <c r="AG65" s="360"/>
      <c r="AH65" s="360"/>
      <c r="AI65" s="360"/>
      <c r="AJ65" s="363"/>
      <c r="AK65" s="440"/>
      <c r="AM65" s="460">
        <v>65</v>
      </c>
      <c r="AN65" s="1078"/>
      <c r="AP65" s="1081"/>
      <c r="AS65" s="1081"/>
      <c r="AZ65" s="1081"/>
      <c r="BA65" s="1081"/>
    </row>
    <row r="66" spans="1:54" ht="12" customHeight="1" x14ac:dyDescent="0.2">
      <c r="A66" s="440"/>
      <c r="B66" s="1042"/>
      <c r="C66" s="1036"/>
      <c r="D66" s="1037"/>
      <c r="E66" s="1084">
        <f ca="1">IF(AX66="E","",AN66)</f>
        <v>0</v>
      </c>
      <c r="F66" s="1085"/>
      <c r="G66" s="1264"/>
      <c r="H66" s="1264"/>
      <c r="I66" s="1265"/>
      <c r="J66" s="638"/>
      <c r="K66" s="520" t="s">
        <v>177</v>
      </c>
      <c r="L66" s="521"/>
      <c r="M66" s="342"/>
      <c r="N66" s="521" t="s">
        <v>67</v>
      </c>
      <c r="O66" s="344"/>
      <c r="P66" s="504" t="s">
        <v>68</v>
      </c>
      <c r="Q66" s="344"/>
      <c r="R66" s="522" t="s">
        <v>363</v>
      </c>
      <c r="S66" s="353">
        <f t="shared" ref="S66:S67" ca="1" si="59">IF(AY66="E",(M66*O66)+Q66,AO66)</f>
        <v>0</v>
      </c>
      <c r="T66" s="523"/>
      <c r="U66" s="350"/>
      <c r="V66" s="308"/>
      <c r="W66" s="1090" t="str">
        <f t="shared" ref="W66:W67" ca="1" si="60">IF(AZ66="E",IF(AND(V66&lt;&gt;0,U66&lt;&gt;0),"X",IF(AND(V66&lt;&gt;0,U66=0),"A",IF(AND(V66=0,U66&lt;&gt;0),"P",""))),AR66)</f>
        <v/>
      </c>
      <c r="X66" s="1103">
        <f t="shared" ref="X66:X67" ca="1" si="61">IF(AZ66="E",IFERROR(IF(W66="X",0,IF(U66&gt;0,U66,V66/S66)),0),
IFERROR(IF(OR(AR66="X",AR66=0),0,
IF(AR66="P",AP66,IF(AR66="A",AQ66/S66,0))),0))</f>
        <v>0</v>
      </c>
      <c r="Y66" s="1120">
        <f t="shared" ref="Y66:Y67" ca="1" si="62">IF(AZ66="E",IFERROR(IF(W66="X",0,IF(V66&gt;0,V66,S66*U66)),0),
IFERROR(IF(OR(AR66="X",AR66="0"),0,IF(AR66="A",AQ66,S66*AP66)),0))</f>
        <v>0</v>
      </c>
      <c r="Z66" s="524"/>
      <c r="AA66" s="350"/>
      <c r="AB66" s="308"/>
      <c r="AC66" s="1090" t="str">
        <f t="shared" ref="AC66:AC67" ca="1" si="63">IF(BA66="E",IF(AND(AB66&lt;&gt;0,AA66&lt;&gt;0),"X",IF(AND(AB66&lt;&gt;0,AA66=0),"A",IF(AND(AB66=0,AA66&lt;&gt;0),"P",""))),AU66)</f>
        <v/>
      </c>
      <c r="AD66" s="1103">
        <f t="shared" ref="AD66:AD67" ca="1" si="64">IF(BA66="E",IFERROR(IF(AC66="X",0,IF(AA66&gt;0,AA66,AB66/S66)),0),
IFERROR(IF(OR(AU66="X",AU66=0),0,
IF(AU66="P",AS66,IF(AU66="A",AT66/S66,0))),0))</f>
        <v>0</v>
      </c>
      <c r="AE66" s="1120">
        <f t="shared" ref="AE66:AE67" ca="1" si="65">IF(BA66="E",IFERROR(IF(AC66="X",0,IF(AB66&gt;0,AB66,S66*AA66)),0),
IFERROR(IF(OR(AU66="X",AU66=0),0,
IF(AU66="A",AT66,S66*AS66)),0))</f>
        <v>0</v>
      </c>
      <c r="AF66" s="525"/>
      <c r="AG66" s="637"/>
      <c r="AH66" s="525"/>
      <c r="AI66" s="1086">
        <f t="shared" ref="AI66:AI67" ca="1" si="66">IF(BB66="E",AG66,AV66)</f>
        <v>0</v>
      </c>
      <c r="AJ66" s="380"/>
      <c r="AK66" s="440"/>
      <c r="AM66" s="460">
        <v>66</v>
      </c>
      <c r="AN66" s="1087">
        <f t="shared" ref="AN66:AN67" ca="1" si="67">IF($M$13=$AN$12,"",IF(ISTEXT(INDIRECT("'"&amp;$AM$20&amp;"'!"&amp;AN$21&amp;$AM66)),INDIRECT("'"&amp;$AM$20&amp;"'!"&amp;AN$21&amp;$AM66),INDIRECT("'"&amp;$AM$20&amp;"'!"&amp;AN$22&amp;$AM66)))</f>
        <v>0</v>
      </c>
      <c r="AO66" s="1083">
        <f t="shared" ref="AO66:AV67" ca="1" si="68">IF($M$13=$AN$12,"",INDIRECT("'"&amp;$AM$20&amp;"'!"&amp;AO$21&amp;$AM66))</f>
        <v>0</v>
      </c>
      <c r="AP66" s="356">
        <f t="shared" ca="1" si="68"/>
        <v>0</v>
      </c>
      <c r="AQ66" s="357">
        <f t="shared" ca="1" si="68"/>
        <v>0</v>
      </c>
      <c r="AR66" s="524" t="str">
        <f t="shared" ca="1" si="68"/>
        <v/>
      </c>
      <c r="AS66" s="356">
        <f t="shared" ca="1" si="68"/>
        <v>0</v>
      </c>
      <c r="AT66" s="357">
        <f t="shared" ca="1" si="68"/>
        <v>0</v>
      </c>
      <c r="AU66" s="524" t="str">
        <f t="shared" ca="1" si="68"/>
        <v/>
      </c>
      <c r="AV66" s="1083">
        <f t="shared" ca="1" si="68"/>
        <v>0</v>
      </c>
      <c r="AX66" s="1083" t="str">
        <f t="shared" ref="AX66:AX67" si="69">IF($M$13=$AN$12,"E",IF(ISTEXT(F66),"E","U"))</f>
        <v>U</v>
      </c>
      <c r="AY66" s="1083" t="str">
        <f t="shared" ref="AY66:AY67" si="70">IF($M$13=$AN$12,"E",IF(OR(ISNUMBER(M66),ISNUMBER(O66),ISNUMBER(Q66)),"E","U"))</f>
        <v>U</v>
      </c>
      <c r="AZ66" s="1083" t="str">
        <f t="shared" ref="AZ66:AZ67" si="71">IF($M$13=$AN$12,"E",IF(OR(ISNUMBER(U66),ISNUMBER(V66)),"E","U"))</f>
        <v>U</v>
      </c>
      <c r="BA66" s="1083" t="str">
        <f t="shared" ref="BA66:BA67" si="72">IF($M$13=$AN$12,"E",IF(OR(ISNUMBER(AA66),ISNUMBER(AB66)),"E","U"))</f>
        <v>U</v>
      </c>
      <c r="BB66" s="1083" t="str">
        <f t="shared" ref="BB66:BB67" si="73">IF($M$13=$AN$12,"E",IF(ISNUMBER(AG66),"E","U"))</f>
        <v>U</v>
      </c>
    </row>
    <row r="67" spans="1:54" ht="12" customHeight="1" x14ac:dyDescent="0.2">
      <c r="A67" s="440"/>
      <c r="B67" s="1042"/>
      <c r="C67" s="1036"/>
      <c r="D67" s="1037"/>
      <c r="E67" s="1084">
        <f ca="1">IF(AX67="E","",AN67)</f>
        <v>0</v>
      </c>
      <c r="F67" s="1085"/>
      <c r="G67" s="1264"/>
      <c r="H67" s="1264"/>
      <c r="I67" s="1265"/>
      <c r="J67" s="638"/>
      <c r="K67" s="520" t="s">
        <v>177</v>
      </c>
      <c r="L67" s="521"/>
      <c r="M67" s="342"/>
      <c r="N67" s="521" t="s">
        <v>67</v>
      </c>
      <c r="O67" s="344"/>
      <c r="P67" s="504" t="s">
        <v>68</v>
      </c>
      <c r="Q67" s="344"/>
      <c r="R67" s="522" t="s">
        <v>363</v>
      </c>
      <c r="S67" s="353">
        <f t="shared" ca="1" si="59"/>
        <v>0</v>
      </c>
      <c r="T67" s="523"/>
      <c r="U67" s="350"/>
      <c r="V67" s="308"/>
      <c r="W67" s="1090" t="str">
        <f t="shared" ca="1" si="60"/>
        <v/>
      </c>
      <c r="X67" s="1103">
        <f t="shared" ca="1" si="61"/>
        <v>0</v>
      </c>
      <c r="Y67" s="1120">
        <f t="shared" ca="1" si="62"/>
        <v>0</v>
      </c>
      <c r="Z67" s="524"/>
      <c r="AA67" s="350"/>
      <c r="AB67" s="308"/>
      <c r="AC67" s="1090" t="str">
        <f t="shared" ca="1" si="63"/>
        <v/>
      </c>
      <c r="AD67" s="1103">
        <f t="shared" ca="1" si="64"/>
        <v>0</v>
      </c>
      <c r="AE67" s="1120">
        <f t="shared" ca="1" si="65"/>
        <v>0</v>
      </c>
      <c r="AF67" s="525"/>
      <c r="AG67" s="637"/>
      <c r="AH67" s="525"/>
      <c r="AI67" s="1086">
        <f t="shared" ca="1" si="66"/>
        <v>0</v>
      </c>
      <c r="AJ67" s="380"/>
      <c r="AK67" s="440"/>
      <c r="AM67" s="460">
        <v>67</v>
      </c>
      <c r="AN67" s="1087">
        <f t="shared" ca="1" si="67"/>
        <v>0</v>
      </c>
      <c r="AO67" s="1083">
        <f t="shared" ca="1" si="68"/>
        <v>0</v>
      </c>
      <c r="AP67" s="356">
        <f t="shared" ca="1" si="68"/>
        <v>0</v>
      </c>
      <c r="AQ67" s="357">
        <f t="shared" ca="1" si="68"/>
        <v>0</v>
      </c>
      <c r="AR67" s="524" t="str">
        <f t="shared" ca="1" si="68"/>
        <v/>
      </c>
      <c r="AS67" s="356">
        <f t="shared" ca="1" si="68"/>
        <v>0</v>
      </c>
      <c r="AT67" s="357">
        <f t="shared" ca="1" si="68"/>
        <v>0</v>
      </c>
      <c r="AU67" s="524" t="str">
        <f t="shared" ca="1" si="68"/>
        <v/>
      </c>
      <c r="AV67" s="1083">
        <f t="shared" ca="1" si="68"/>
        <v>0</v>
      </c>
      <c r="AX67" s="1083" t="str">
        <f t="shared" si="69"/>
        <v>U</v>
      </c>
      <c r="AY67" s="1083" t="str">
        <f t="shared" si="70"/>
        <v>U</v>
      </c>
      <c r="AZ67" s="1083" t="str">
        <f t="shared" si="71"/>
        <v>U</v>
      </c>
      <c r="BA67" s="1083" t="str">
        <f t="shared" si="72"/>
        <v>U</v>
      </c>
      <c r="BB67" s="1083" t="str">
        <f t="shared" si="73"/>
        <v>U</v>
      </c>
    </row>
    <row r="68" spans="1:54" ht="12" customHeight="1" x14ac:dyDescent="0.25">
      <c r="A68" s="440"/>
      <c r="B68" s="1042"/>
      <c r="C68" s="1036"/>
      <c r="D68" s="1037" t="s">
        <v>322</v>
      </c>
      <c r="E68" s="1037" t="s">
        <v>324</v>
      </c>
      <c r="F68" s="519"/>
      <c r="G68" s="519"/>
      <c r="H68" s="519"/>
      <c r="I68" s="519"/>
      <c r="J68" s="1038"/>
      <c r="K68" s="529"/>
      <c r="L68" s="503"/>
      <c r="M68" s="532"/>
      <c r="N68" s="503"/>
      <c r="O68" s="527"/>
      <c r="P68" s="1036"/>
      <c r="Q68" s="1036"/>
      <c r="R68" s="1036"/>
      <c r="S68" s="354">
        <f ca="1">SUBTOTAL(109,S70:S72)</f>
        <v>80293.319999999992</v>
      </c>
      <c r="T68" s="363"/>
      <c r="U68" s="364"/>
      <c r="V68" s="365"/>
      <c r="W68" s="1093"/>
      <c r="X68" s="1106"/>
      <c r="Y68" s="1122"/>
      <c r="Z68" s="363"/>
      <c r="AA68" s="364"/>
      <c r="AB68" s="365"/>
      <c r="AC68" s="1093"/>
      <c r="AD68" s="1106"/>
      <c r="AE68" s="1122"/>
      <c r="AF68" s="363"/>
      <c r="AG68" s="358"/>
      <c r="AH68" s="363"/>
      <c r="AI68" s="358"/>
      <c r="AJ68" s="363"/>
      <c r="AK68" s="440"/>
      <c r="AM68" s="460">
        <v>68</v>
      </c>
      <c r="AN68" s="1078"/>
      <c r="AP68" s="1081"/>
      <c r="AS68" s="1081"/>
      <c r="AZ68" s="1081"/>
      <c r="BA68" s="1081"/>
    </row>
    <row r="69" spans="1:54" ht="12" customHeight="1" x14ac:dyDescent="0.2">
      <c r="A69" s="440"/>
      <c r="B69" s="1042"/>
      <c r="C69" s="1036"/>
      <c r="D69" s="1037"/>
      <c r="E69" s="1037"/>
      <c r="F69" s="519"/>
      <c r="G69" s="519"/>
      <c r="H69" s="519"/>
      <c r="I69" s="519"/>
      <c r="J69" s="1603" t="s">
        <v>170</v>
      </c>
      <c r="K69" s="1603"/>
      <c r="L69" s="503"/>
      <c r="M69" s="532"/>
      <c r="N69" s="503"/>
      <c r="O69" s="527"/>
      <c r="P69" s="1036"/>
      <c r="Q69" s="1036"/>
      <c r="R69" s="1036"/>
      <c r="S69" s="354"/>
      <c r="T69" s="363"/>
      <c r="U69" s="364"/>
      <c r="V69" s="365"/>
      <c r="W69" s="1093"/>
      <c r="X69" s="1106"/>
      <c r="Y69" s="1122"/>
      <c r="Z69" s="363"/>
      <c r="AA69" s="364"/>
      <c r="AB69" s="365"/>
      <c r="AC69" s="1093"/>
      <c r="AD69" s="1106"/>
      <c r="AE69" s="1122"/>
      <c r="AF69" s="363"/>
      <c r="AG69" s="358"/>
      <c r="AH69" s="363"/>
      <c r="AI69" s="358"/>
      <c r="AJ69" s="363"/>
      <c r="AK69" s="440"/>
      <c r="AM69" s="460">
        <v>69</v>
      </c>
      <c r="AN69" s="1078"/>
      <c r="AP69" s="1081"/>
      <c r="AS69" s="1081"/>
      <c r="AZ69" s="1081"/>
      <c r="BA69" s="1081"/>
    </row>
    <row r="70" spans="1:54" ht="12" customHeight="1" x14ac:dyDescent="0.2">
      <c r="A70" s="440"/>
      <c r="B70" s="1042"/>
      <c r="C70" s="1036"/>
      <c r="D70" s="380"/>
      <c r="E70" s="1084" t="str">
        <f ca="1">IF(AX70="E","",AN70)</f>
        <v>Estrich</v>
      </c>
      <c r="F70" s="1085"/>
      <c r="G70" s="1264"/>
      <c r="H70" s="1264"/>
      <c r="I70" s="1265"/>
      <c r="J70" s="638"/>
      <c r="K70" s="533" t="s">
        <v>177</v>
      </c>
      <c r="L70" s="521"/>
      <c r="M70" s="342"/>
      <c r="N70" s="521" t="s">
        <v>67</v>
      </c>
      <c r="O70" s="344"/>
      <c r="P70" s="504" t="s">
        <v>68</v>
      </c>
      <c r="Q70" s="344"/>
      <c r="R70" s="522" t="s">
        <v>363</v>
      </c>
      <c r="S70" s="353">
        <f t="shared" ref="S70:S72" ca="1" si="74">IF(AY70="E",(M70*O70)+Q70,AO70)</f>
        <v>67231.199999999997</v>
      </c>
      <c r="T70" s="523"/>
      <c r="U70" s="350"/>
      <c r="V70" s="308"/>
      <c r="W70" s="1090" t="str">
        <f t="shared" ref="W70:W72" ca="1" si="75">IF(AZ70="E",IF(AND(V70&lt;&gt;0,U70&lt;&gt;0),"X",IF(AND(V70&lt;&gt;0,U70=0),"A",IF(AND(V70=0,U70&lt;&gt;0),"P",""))),AR70)</f>
        <v/>
      </c>
      <c r="X70" s="1103">
        <f t="shared" ref="X70:X72" ca="1" si="76">IF(AZ70="E",IFERROR(IF(W70="X",0,IF(U70&gt;0,U70,V70/S70)),0),
IFERROR(IF(OR(AR70="X",AR70=0),0,
IF(AR70="P",AP70,IF(AR70="A",AQ70/S70,0))),0))</f>
        <v>0</v>
      </c>
      <c r="Y70" s="1120">
        <f t="shared" ref="Y70:Y72" ca="1" si="77">IF(AZ70="E",IFERROR(IF(W70="X",0,IF(V70&gt;0,V70,S70*U70)),0),
IFERROR(IF(OR(AR70="X",AR70="0"),0,IF(AR70="A",AQ70,S70*AP70)),0))</f>
        <v>0</v>
      </c>
      <c r="Z70" s="524"/>
      <c r="AA70" s="350"/>
      <c r="AB70" s="308"/>
      <c r="AC70" s="1090" t="str">
        <f t="shared" ref="AC70:AC72" ca="1" si="78">IF(BA70="E",IF(AND(AB70&lt;&gt;0,AA70&lt;&gt;0),"X",IF(AND(AB70&lt;&gt;0,AA70=0),"A",IF(AND(AB70=0,AA70&lt;&gt;0),"P",""))),AU70)</f>
        <v/>
      </c>
      <c r="AD70" s="1103">
        <f t="shared" ref="AD70:AD72" ca="1" si="79">IF(BA70="E",IFERROR(IF(AC70="X",0,IF(AA70&gt;0,AA70,AB70/S70)),0),
IFERROR(IF(OR(AU70="X",AU70=0),0,
IF(AU70="P",AS70,IF(AU70="A",AT70/S70,0))),0))</f>
        <v>0</v>
      </c>
      <c r="AE70" s="1120">
        <f t="shared" ref="AE70:AE72" ca="1" si="80">IF(BA70="E",IFERROR(IF(AC70="X",0,IF(AB70&gt;0,AB70,S70*AA70)),0),
IFERROR(IF(OR(AU70="X",AU70=0),0,
IF(AU70="A",AT70,S70*AS70)),0))</f>
        <v>0</v>
      </c>
      <c r="AF70" s="525"/>
      <c r="AG70" s="637"/>
      <c r="AH70" s="525"/>
      <c r="AI70" s="1086">
        <f t="shared" ref="AI70:AI72" ca="1" si="81">IF(BB70="E",AG70,AV70)</f>
        <v>100</v>
      </c>
      <c r="AJ70" s="380"/>
      <c r="AK70" s="440"/>
      <c r="AM70" s="460">
        <v>70</v>
      </c>
      <c r="AN70" s="1087" t="str">
        <f t="shared" ref="AN70:AN72" ca="1" si="82">IF($M$13=$AN$12,"",IF(ISTEXT(INDIRECT("'"&amp;$AM$20&amp;"'!"&amp;AN$21&amp;$AM70)),INDIRECT("'"&amp;$AM$20&amp;"'!"&amp;AN$21&amp;$AM70),INDIRECT("'"&amp;$AM$20&amp;"'!"&amp;AN$22&amp;$AM70)))</f>
        <v>Estrich</v>
      </c>
      <c r="AO70" s="1083">
        <f t="shared" ref="AO70:AV72" ca="1" si="83">IF($M$13=$AN$12,"",INDIRECT("'"&amp;$AM$20&amp;"'!"&amp;AO$21&amp;$AM70))</f>
        <v>67231.199999999997</v>
      </c>
      <c r="AP70" s="356">
        <f t="shared" ca="1" si="83"/>
        <v>0</v>
      </c>
      <c r="AQ70" s="357">
        <f t="shared" ca="1" si="83"/>
        <v>0</v>
      </c>
      <c r="AR70" s="524" t="str">
        <f t="shared" ca="1" si="83"/>
        <v/>
      </c>
      <c r="AS70" s="356">
        <f t="shared" ca="1" si="83"/>
        <v>0</v>
      </c>
      <c r="AT70" s="357">
        <f t="shared" ca="1" si="83"/>
        <v>0</v>
      </c>
      <c r="AU70" s="524" t="str">
        <f t="shared" ca="1" si="83"/>
        <v/>
      </c>
      <c r="AV70" s="1083">
        <f t="shared" ca="1" si="83"/>
        <v>100</v>
      </c>
      <c r="AX70" s="1083" t="str">
        <f t="shared" ref="AX70:AX72" si="84">IF($M$13=$AN$12,"E",IF(ISTEXT(F70),"E","U"))</f>
        <v>U</v>
      </c>
      <c r="AY70" s="1083" t="str">
        <f t="shared" ref="AY70:AY72" si="85">IF($M$13=$AN$12,"E",IF(OR(ISNUMBER(M70),ISNUMBER(O70),ISNUMBER(Q70)),"E","U"))</f>
        <v>U</v>
      </c>
      <c r="AZ70" s="1083" t="str">
        <f t="shared" ref="AZ70:AZ72" si="86">IF($M$13=$AN$12,"E",IF(OR(ISNUMBER(U70),ISNUMBER(V70)),"E","U"))</f>
        <v>U</v>
      </c>
      <c r="BA70" s="1083" t="str">
        <f t="shared" ref="BA70:BA72" si="87">IF($M$13=$AN$12,"E",IF(OR(ISNUMBER(AA70),ISNUMBER(AB70)),"E","U"))</f>
        <v>U</v>
      </c>
      <c r="BB70" s="1083" t="str">
        <f t="shared" ref="BB70:BB72" si="88">IF($M$13=$AN$12,"E",IF(ISNUMBER(AG70),"E","U"))</f>
        <v>U</v>
      </c>
    </row>
    <row r="71" spans="1:54" ht="12" customHeight="1" x14ac:dyDescent="0.2">
      <c r="A71" s="440"/>
      <c r="B71" s="1042"/>
      <c r="C71" s="1036"/>
      <c r="D71" s="380"/>
      <c r="E71" s="1084" t="str">
        <f ca="1">IF(AX71="E","",AN71)</f>
        <v>Trockenbau Deckenverkleidung</v>
      </c>
      <c r="F71" s="1085"/>
      <c r="G71" s="1264"/>
      <c r="H71" s="1264"/>
      <c r="I71" s="1265"/>
      <c r="J71" s="638"/>
      <c r="K71" s="533" t="s">
        <v>177</v>
      </c>
      <c r="L71" s="503"/>
      <c r="M71" s="343"/>
      <c r="N71" s="521" t="s">
        <v>67</v>
      </c>
      <c r="O71" s="344"/>
      <c r="P71" s="504" t="s">
        <v>68</v>
      </c>
      <c r="Q71" s="344"/>
      <c r="R71" s="522" t="s">
        <v>363</v>
      </c>
      <c r="S71" s="353">
        <f t="shared" ca="1" si="74"/>
        <v>13062.12</v>
      </c>
      <c r="T71" s="523"/>
      <c r="U71" s="350"/>
      <c r="V71" s="308"/>
      <c r="W71" s="1090" t="str">
        <f t="shared" ca="1" si="75"/>
        <v/>
      </c>
      <c r="X71" s="1103">
        <f t="shared" ca="1" si="76"/>
        <v>0</v>
      </c>
      <c r="Y71" s="1120">
        <f t="shared" ca="1" si="77"/>
        <v>0</v>
      </c>
      <c r="Z71" s="524"/>
      <c r="AA71" s="350"/>
      <c r="AB71" s="308"/>
      <c r="AC71" s="1090" t="str">
        <f t="shared" ca="1" si="78"/>
        <v/>
      </c>
      <c r="AD71" s="1103">
        <f t="shared" ca="1" si="79"/>
        <v>0</v>
      </c>
      <c r="AE71" s="1120">
        <f t="shared" ca="1" si="80"/>
        <v>0</v>
      </c>
      <c r="AF71" s="525"/>
      <c r="AG71" s="637"/>
      <c r="AH71" s="525"/>
      <c r="AI71" s="1086">
        <f t="shared" ca="1" si="81"/>
        <v>60</v>
      </c>
      <c r="AJ71" s="380"/>
      <c r="AK71" s="440"/>
      <c r="AM71" s="460">
        <v>71</v>
      </c>
      <c r="AN71" s="1087" t="str">
        <f t="shared" ca="1" si="82"/>
        <v>Trockenbau Deckenverkleidung</v>
      </c>
      <c r="AO71" s="1083">
        <f t="shared" ca="1" si="83"/>
        <v>13062.12</v>
      </c>
      <c r="AP71" s="356">
        <f t="shared" ca="1" si="83"/>
        <v>0</v>
      </c>
      <c r="AQ71" s="357">
        <f t="shared" ca="1" si="83"/>
        <v>0</v>
      </c>
      <c r="AR71" s="524" t="str">
        <f t="shared" ca="1" si="83"/>
        <v/>
      </c>
      <c r="AS71" s="356">
        <f t="shared" ca="1" si="83"/>
        <v>0</v>
      </c>
      <c r="AT71" s="357">
        <f t="shared" ca="1" si="83"/>
        <v>0</v>
      </c>
      <c r="AU71" s="524" t="str">
        <f t="shared" ca="1" si="83"/>
        <v/>
      </c>
      <c r="AV71" s="1083">
        <f t="shared" ca="1" si="83"/>
        <v>60</v>
      </c>
      <c r="AX71" s="1083" t="str">
        <f t="shared" si="84"/>
        <v>U</v>
      </c>
      <c r="AY71" s="1083" t="str">
        <f t="shared" si="85"/>
        <v>U</v>
      </c>
      <c r="AZ71" s="1083" t="str">
        <f t="shared" si="86"/>
        <v>U</v>
      </c>
      <c r="BA71" s="1083" t="str">
        <f t="shared" si="87"/>
        <v>U</v>
      </c>
      <c r="BB71" s="1083" t="str">
        <f t="shared" si="88"/>
        <v>U</v>
      </c>
    </row>
    <row r="72" spans="1:54" ht="12" customHeight="1" x14ac:dyDescent="0.2">
      <c r="A72" s="440"/>
      <c r="B72" s="1042"/>
      <c r="C72" s="1036"/>
      <c r="D72" s="380"/>
      <c r="E72" s="1084">
        <f ca="1">IF(AX72="E","",AN72)</f>
        <v>0</v>
      </c>
      <c r="F72" s="1085"/>
      <c r="G72" s="1264"/>
      <c r="H72" s="1264"/>
      <c r="I72" s="1265"/>
      <c r="J72" s="638"/>
      <c r="K72" s="533" t="s">
        <v>177</v>
      </c>
      <c r="L72" s="503"/>
      <c r="M72" s="343"/>
      <c r="N72" s="521" t="s">
        <v>67</v>
      </c>
      <c r="O72" s="344"/>
      <c r="P72" s="504" t="s">
        <v>68</v>
      </c>
      <c r="Q72" s="344"/>
      <c r="R72" s="522" t="s">
        <v>363</v>
      </c>
      <c r="S72" s="353">
        <f t="shared" ca="1" si="74"/>
        <v>0</v>
      </c>
      <c r="T72" s="523"/>
      <c r="U72" s="350"/>
      <c r="V72" s="308"/>
      <c r="W72" s="1090" t="str">
        <f t="shared" ca="1" si="75"/>
        <v/>
      </c>
      <c r="X72" s="1103">
        <f t="shared" ca="1" si="76"/>
        <v>0</v>
      </c>
      <c r="Y72" s="1120">
        <f t="shared" ca="1" si="77"/>
        <v>0</v>
      </c>
      <c r="Z72" s="524"/>
      <c r="AA72" s="350"/>
      <c r="AB72" s="308"/>
      <c r="AC72" s="1090" t="str">
        <f t="shared" ca="1" si="78"/>
        <v/>
      </c>
      <c r="AD72" s="1103">
        <f t="shared" ca="1" si="79"/>
        <v>0</v>
      </c>
      <c r="AE72" s="1120">
        <f t="shared" ca="1" si="80"/>
        <v>0</v>
      </c>
      <c r="AF72" s="525"/>
      <c r="AG72" s="637"/>
      <c r="AH72" s="525"/>
      <c r="AI72" s="1086">
        <f t="shared" ca="1" si="81"/>
        <v>0</v>
      </c>
      <c r="AJ72" s="380"/>
      <c r="AK72" s="440"/>
      <c r="AM72" s="460">
        <v>72</v>
      </c>
      <c r="AN72" s="1087">
        <f t="shared" ca="1" si="82"/>
        <v>0</v>
      </c>
      <c r="AO72" s="1083">
        <f t="shared" ca="1" si="83"/>
        <v>0</v>
      </c>
      <c r="AP72" s="356">
        <f t="shared" ca="1" si="83"/>
        <v>0</v>
      </c>
      <c r="AQ72" s="357">
        <f t="shared" ca="1" si="83"/>
        <v>0</v>
      </c>
      <c r="AR72" s="524" t="str">
        <f t="shared" ca="1" si="83"/>
        <v/>
      </c>
      <c r="AS72" s="356">
        <f t="shared" ca="1" si="83"/>
        <v>0</v>
      </c>
      <c r="AT72" s="357">
        <f t="shared" ca="1" si="83"/>
        <v>0</v>
      </c>
      <c r="AU72" s="524" t="str">
        <f t="shared" ca="1" si="83"/>
        <v/>
      </c>
      <c r="AV72" s="1083">
        <f t="shared" ca="1" si="83"/>
        <v>0</v>
      </c>
      <c r="AX72" s="1083" t="str">
        <f t="shared" si="84"/>
        <v>U</v>
      </c>
      <c r="AY72" s="1083" t="str">
        <f t="shared" si="85"/>
        <v>U</v>
      </c>
      <c r="AZ72" s="1083" t="str">
        <f t="shared" si="86"/>
        <v>U</v>
      </c>
      <c r="BA72" s="1083" t="str">
        <f t="shared" si="87"/>
        <v>U</v>
      </c>
      <c r="BB72" s="1083" t="str">
        <f t="shared" si="88"/>
        <v>U</v>
      </c>
    </row>
    <row r="73" spans="1:54" ht="14.25" customHeight="1" collapsed="1" x14ac:dyDescent="0.25">
      <c r="A73" s="440"/>
      <c r="B73" s="1042"/>
      <c r="C73" s="1036" t="s">
        <v>152</v>
      </c>
      <c r="D73" s="494"/>
      <c r="E73" s="1596" t="s">
        <v>135</v>
      </c>
      <c r="F73" s="1596"/>
      <c r="G73" s="1596"/>
      <c r="H73" s="1596"/>
      <c r="I73" s="1597"/>
      <c r="J73" s="1038"/>
      <c r="K73" s="529"/>
      <c r="L73" s="529"/>
      <c r="M73" s="526"/>
      <c r="N73" s="519"/>
      <c r="O73" s="530"/>
      <c r="P73" s="1037"/>
      <c r="Q73" s="1037"/>
      <c r="R73" s="1037"/>
      <c r="S73" s="355">
        <f ca="1">S74+S82+S87</f>
        <v>177581.85599999997</v>
      </c>
      <c r="T73" s="363"/>
      <c r="U73" s="360"/>
      <c r="V73" s="361"/>
      <c r="W73" s="1092"/>
      <c r="X73" s="1105"/>
      <c r="Y73" s="1121"/>
      <c r="Z73" s="363"/>
      <c r="AA73" s="360"/>
      <c r="AB73" s="361"/>
      <c r="AC73" s="1092"/>
      <c r="AD73" s="1105"/>
      <c r="AE73" s="1121"/>
      <c r="AF73" s="359"/>
      <c r="AG73" s="358"/>
      <c r="AH73" s="359"/>
      <c r="AI73" s="358"/>
      <c r="AJ73" s="359"/>
      <c r="AK73" s="440"/>
      <c r="AM73" s="460">
        <v>73</v>
      </c>
      <c r="AN73" s="1078"/>
      <c r="AP73" s="1081"/>
      <c r="AS73" s="1081"/>
      <c r="AZ73" s="1081"/>
      <c r="BA73" s="1081"/>
    </row>
    <row r="74" spans="1:54" ht="12" customHeight="1" x14ac:dyDescent="0.25">
      <c r="A74" s="440"/>
      <c r="B74" s="1042"/>
      <c r="C74" s="1036"/>
      <c r="D74" s="1037" t="s">
        <v>153</v>
      </c>
      <c r="E74" s="1599" t="s">
        <v>158</v>
      </c>
      <c r="F74" s="1599"/>
      <c r="G74" s="1599"/>
      <c r="H74" s="1599"/>
      <c r="I74" s="1597"/>
      <c r="J74" s="1038"/>
      <c r="K74" s="529"/>
      <c r="L74" s="503"/>
      <c r="M74" s="526"/>
      <c r="N74" s="519"/>
      <c r="O74" s="530"/>
      <c r="P74" s="1037"/>
      <c r="Q74" s="1037"/>
      <c r="R74" s="1037"/>
      <c r="S74" s="354">
        <f ca="1">SUBTOTAL(109,S76:S81)</f>
        <v>109483.2</v>
      </c>
      <c r="T74" s="363"/>
      <c r="U74" s="358"/>
      <c r="V74" s="358"/>
      <c r="W74" s="1091"/>
      <c r="X74" s="1104"/>
      <c r="Y74" s="1104"/>
      <c r="Z74" s="358"/>
      <c r="AA74" s="358"/>
      <c r="AB74" s="358"/>
      <c r="AC74" s="1091"/>
      <c r="AD74" s="1104"/>
      <c r="AE74" s="1104"/>
      <c r="AF74" s="358"/>
      <c r="AG74" s="358"/>
      <c r="AH74" s="358"/>
      <c r="AI74" s="358"/>
      <c r="AJ74" s="358"/>
      <c r="AK74" s="440"/>
      <c r="AM74" s="460">
        <v>74</v>
      </c>
      <c r="AN74" s="1078"/>
      <c r="AP74" s="1081"/>
      <c r="AS74" s="1081"/>
      <c r="AZ74" s="1081"/>
      <c r="BA74" s="1081"/>
    </row>
    <row r="75" spans="1:54" ht="12" customHeight="1" x14ac:dyDescent="0.25">
      <c r="A75" s="440"/>
      <c r="B75" s="1042"/>
      <c r="C75" s="1036"/>
      <c r="D75" s="1037"/>
      <c r="E75" s="1037"/>
      <c r="F75" s="1037"/>
      <c r="G75" s="1037"/>
      <c r="H75" s="1037"/>
      <c r="I75" s="1035"/>
      <c r="J75" s="1603" t="s">
        <v>170</v>
      </c>
      <c r="K75" s="1603"/>
      <c r="L75" s="503"/>
      <c r="M75" s="526"/>
      <c r="N75" s="519"/>
      <c r="O75" s="530"/>
      <c r="P75" s="1037"/>
      <c r="Q75" s="1037"/>
      <c r="R75" s="1037"/>
      <c r="S75" s="354"/>
      <c r="T75" s="363"/>
      <c r="U75" s="366"/>
      <c r="V75" s="367"/>
      <c r="W75" s="1092"/>
      <c r="X75" s="1107"/>
      <c r="Y75" s="1123"/>
      <c r="Z75" s="363"/>
      <c r="AA75" s="366"/>
      <c r="AB75" s="367"/>
      <c r="AC75" s="1092"/>
      <c r="AD75" s="1107"/>
      <c r="AE75" s="1123"/>
      <c r="AF75" s="359"/>
      <c r="AG75" s="373"/>
      <c r="AH75" s="359"/>
      <c r="AI75" s="373"/>
      <c r="AJ75" s="359"/>
      <c r="AK75" s="440"/>
      <c r="AM75" s="460">
        <v>75</v>
      </c>
      <c r="AN75" s="1078"/>
      <c r="AP75" s="1081"/>
      <c r="AS75" s="1081"/>
      <c r="AZ75" s="1081"/>
      <c r="BA75" s="1081"/>
    </row>
    <row r="76" spans="1:54" ht="12" customHeight="1" x14ac:dyDescent="0.2">
      <c r="A76" s="440"/>
      <c r="B76" s="1042"/>
      <c r="C76" s="1036"/>
      <c r="D76" s="1037"/>
      <c r="E76" s="1084" t="str">
        <f t="shared" ref="E76:E81" ca="1" si="89">IF(AX76="E","",AN76)</f>
        <v>WDVS</v>
      </c>
      <c r="F76" s="1085"/>
      <c r="G76" s="1264"/>
      <c r="H76" s="1264"/>
      <c r="I76" s="1265"/>
      <c r="J76" s="638"/>
      <c r="K76" s="520" t="s">
        <v>177</v>
      </c>
      <c r="L76" s="521"/>
      <c r="M76" s="342"/>
      <c r="N76" s="521" t="s">
        <v>67</v>
      </c>
      <c r="O76" s="344"/>
      <c r="P76" s="504" t="s">
        <v>68</v>
      </c>
      <c r="Q76" s="344"/>
      <c r="R76" s="522" t="s">
        <v>363</v>
      </c>
      <c r="S76" s="353">
        <f t="shared" ref="S76:S81" ca="1" si="90">IF(AY76="E",(M76*O76)+Q76,AO76)</f>
        <v>91980</v>
      </c>
      <c r="T76" s="523"/>
      <c r="U76" s="350"/>
      <c r="V76" s="308"/>
      <c r="W76" s="1090" t="str">
        <f t="shared" ref="W76:W81" ca="1" si="91">IF(AZ76="E",IF(AND(V76&lt;&gt;0,U76&lt;&gt;0),"X",IF(AND(V76&lt;&gt;0,U76=0),"A",IF(AND(V76=0,U76&lt;&gt;0),"P",""))),AR76)</f>
        <v/>
      </c>
      <c r="X76" s="1103">
        <f t="shared" ref="X76:X81" ca="1" si="92">IF(AZ76="E",IFERROR(IF(W76="X",0,IF(U76&gt;0,U76,V76/S76)),0),
IFERROR(IF(OR(AR76="X",AR76=0),0,
IF(AR76="P",AP76,IF(AR76="A",AQ76/S76,0))),0))</f>
        <v>0</v>
      </c>
      <c r="Y76" s="1120">
        <f t="shared" ref="Y76:Y81" ca="1" si="93">IF(AZ76="E",IFERROR(IF(W76="X",0,IF(V76&gt;0,V76,S76*U76)),0),
IFERROR(IF(OR(AR76="X",AR76="0"),0,IF(AR76="A",AQ76,S76*AP76)),0))</f>
        <v>0</v>
      </c>
      <c r="Z76" s="524"/>
      <c r="AA76" s="350"/>
      <c r="AB76" s="308"/>
      <c r="AC76" s="1090" t="str">
        <f t="shared" ref="AC76:AC81" ca="1" si="94">IF(BA76="E",IF(AND(AB76&lt;&gt;0,AA76&lt;&gt;0),"X",IF(AND(AB76&lt;&gt;0,AA76=0),"A",IF(AND(AB76=0,AA76&lt;&gt;0),"P",""))),AU76)</f>
        <v/>
      </c>
      <c r="AD76" s="1103">
        <f t="shared" ref="AD76:AD81" ca="1" si="95">IF(BA76="E",IFERROR(IF(AC76="X",0,IF(AA76&gt;0,AA76,AB76/S76)),0),
IFERROR(IF(OR(AU76="X",AU76=0),0,
IF(AU76="P",AS76,IF(AU76="A",AT76/S76,0))),0))</f>
        <v>0</v>
      </c>
      <c r="AE76" s="1120">
        <f t="shared" ref="AE76:AE81" ca="1" si="96">IF(BA76="E",IFERROR(IF(AC76="X",0,IF(AB76&gt;0,AB76,S76*AA76)),0),
IFERROR(IF(OR(AU76="X",AU76=0),0,
IF(AU76="A",AT76,S76*AS76)),0))</f>
        <v>0</v>
      </c>
      <c r="AF76" s="525"/>
      <c r="AG76" s="637"/>
      <c r="AH76" s="525"/>
      <c r="AI76" s="1086">
        <f t="shared" ref="AI76:AI81" ca="1" si="97">IF(BB76="E",AG76,AV76)</f>
        <v>50</v>
      </c>
      <c r="AJ76" s="380"/>
      <c r="AK76" s="440"/>
      <c r="AM76" s="460">
        <v>76</v>
      </c>
      <c r="AN76" s="1087" t="str">
        <f t="shared" ref="AN76:AN81" ca="1" si="98">IF($M$13=$AN$12,"",IF(ISTEXT(INDIRECT("'"&amp;$AM$20&amp;"'!"&amp;AN$21&amp;$AM76)),INDIRECT("'"&amp;$AM$20&amp;"'!"&amp;AN$21&amp;$AM76),INDIRECT("'"&amp;$AM$20&amp;"'!"&amp;AN$22&amp;$AM76)))</f>
        <v>WDVS</v>
      </c>
      <c r="AO76" s="1083">
        <f t="shared" ref="AO76:AV81" ca="1" si="99">IF($M$13=$AN$12,"",INDIRECT("'"&amp;$AM$20&amp;"'!"&amp;AO$21&amp;$AM76))</f>
        <v>91980</v>
      </c>
      <c r="AP76" s="356">
        <f t="shared" ca="1" si="99"/>
        <v>0</v>
      </c>
      <c r="AQ76" s="357">
        <f t="shared" ca="1" si="99"/>
        <v>0</v>
      </c>
      <c r="AR76" s="524" t="str">
        <f t="shared" ca="1" si="99"/>
        <v/>
      </c>
      <c r="AS76" s="356">
        <f t="shared" ca="1" si="99"/>
        <v>0</v>
      </c>
      <c r="AT76" s="357">
        <f t="shared" ca="1" si="99"/>
        <v>0</v>
      </c>
      <c r="AU76" s="524" t="str">
        <f t="shared" ca="1" si="99"/>
        <v/>
      </c>
      <c r="AV76" s="1083">
        <f t="shared" ca="1" si="99"/>
        <v>50</v>
      </c>
      <c r="AX76" s="1083" t="str">
        <f t="shared" ref="AX76:AX81" si="100">IF($M$13=$AN$12,"E",IF(ISTEXT(F76),"E","U"))</f>
        <v>U</v>
      </c>
      <c r="AY76" s="1083" t="str">
        <f t="shared" ref="AY76:AY81" si="101">IF($M$13=$AN$12,"E",IF(OR(ISNUMBER(M76),ISNUMBER(O76),ISNUMBER(Q76)),"E","U"))</f>
        <v>U</v>
      </c>
      <c r="AZ76" s="1083" t="str">
        <f t="shared" ref="AZ76:AZ81" si="102">IF($M$13=$AN$12,"E",IF(OR(ISNUMBER(U76),ISNUMBER(V76)),"E","U"))</f>
        <v>U</v>
      </c>
      <c r="BA76" s="1083" t="str">
        <f t="shared" ref="BA76:BA81" si="103">IF($M$13=$AN$12,"E",IF(OR(ISNUMBER(AA76),ISNUMBER(AB76)),"E","U"))</f>
        <v>U</v>
      </c>
      <c r="BB76" s="1083" t="str">
        <f t="shared" ref="BB76:BB81" si="104">IF($M$13=$AN$12,"E",IF(ISNUMBER(AG76),"E","U"))</f>
        <v>U</v>
      </c>
    </row>
    <row r="77" spans="1:54" ht="12" customHeight="1" x14ac:dyDescent="0.2">
      <c r="A77" s="440"/>
      <c r="B77" s="1042"/>
      <c r="C77" s="1036"/>
      <c r="D77" s="1037"/>
      <c r="E77" s="1084" t="str">
        <f t="shared" ca="1" si="89"/>
        <v>Verputz LD80 - Innenputz</v>
      </c>
      <c r="F77" s="1085"/>
      <c r="G77" s="1264"/>
      <c r="H77" s="1264"/>
      <c r="I77" s="1265"/>
      <c r="J77" s="638"/>
      <c r="K77" s="520" t="s">
        <v>177</v>
      </c>
      <c r="L77" s="521"/>
      <c r="M77" s="342"/>
      <c r="N77" s="521" t="s">
        <v>67</v>
      </c>
      <c r="O77" s="344"/>
      <c r="P77" s="504" t="s">
        <v>68</v>
      </c>
      <c r="Q77" s="344"/>
      <c r="R77" s="522" t="s">
        <v>363</v>
      </c>
      <c r="S77" s="353">
        <f t="shared" ca="1" si="90"/>
        <v>14448</v>
      </c>
      <c r="T77" s="523"/>
      <c r="U77" s="350"/>
      <c r="V77" s="308"/>
      <c r="W77" s="1090" t="str">
        <f t="shared" ca="1" si="91"/>
        <v/>
      </c>
      <c r="X77" s="1103">
        <f t="shared" ca="1" si="92"/>
        <v>0</v>
      </c>
      <c r="Y77" s="1120">
        <f t="shared" ca="1" si="93"/>
        <v>0</v>
      </c>
      <c r="Z77" s="524"/>
      <c r="AA77" s="350"/>
      <c r="AB77" s="308"/>
      <c r="AC77" s="1090" t="str">
        <f t="shared" ca="1" si="94"/>
        <v/>
      </c>
      <c r="AD77" s="1103">
        <f t="shared" ca="1" si="95"/>
        <v>0</v>
      </c>
      <c r="AE77" s="1120">
        <f t="shared" ca="1" si="96"/>
        <v>0</v>
      </c>
      <c r="AF77" s="525"/>
      <c r="AG77" s="637"/>
      <c r="AH77" s="525"/>
      <c r="AI77" s="1086">
        <f t="shared" ca="1" si="97"/>
        <v>80</v>
      </c>
      <c r="AJ77" s="380"/>
      <c r="AK77" s="440"/>
      <c r="AM77" s="460">
        <v>77</v>
      </c>
      <c r="AN77" s="1087" t="str">
        <f t="shared" ca="1" si="98"/>
        <v>Verputz LD80 - Innenputz</v>
      </c>
      <c r="AO77" s="1083">
        <f t="shared" ca="1" si="99"/>
        <v>14448</v>
      </c>
      <c r="AP77" s="356">
        <f t="shared" ca="1" si="99"/>
        <v>0</v>
      </c>
      <c r="AQ77" s="357">
        <f t="shared" ca="1" si="99"/>
        <v>0</v>
      </c>
      <c r="AR77" s="524" t="str">
        <f t="shared" ca="1" si="99"/>
        <v/>
      </c>
      <c r="AS77" s="356">
        <f t="shared" ca="1" si="99"/>
        <v>0</v>
      </c>
      <c r="AT77" s="357">
        <f t="shared" ca="1" si="99"/>
        <v>0</v>
      </c>
      <c r="AU77" s="524" t="str">
        <f t="shared" ca="1" si="99"/>
        <v/>
      </c>
      <c r="AV77" s="1083">
        <f t="shared" ca="1" si="99"/>
        <v>80</v>
      </c>
      <c r="AX77" s="1083" t="str">
        <f t="shared" si="100"/>
        <v>U</v>
      </c>
      <c r="AY77" s="1083" t="str">
        <f t="shared" si="101"/>
        <v>U</v>
      </c>
      <c r="AZ77" s="1083" t="str">
        <f t="shared" si="102"/>
        <v>U</v>
      </c>
      <c r="BA77" s="1083" t="str">
        <f t="shared" si="103"/>
        <v>U</v>
      </c>
      <c r="BB77" s="1083" t="str">
        <f t="shared" si="104"/>
        <v>U</v>
      </c>
    </row>
    <row r="78" spans="1:54" ht="12" customHeight="1" x14ac:dyDescent="0.2">
      <c r="A78" s="440"/>
      <c r="B78" s="1042"/>
      <c r="C78" s="1036"/>
      <c r="D78" s="1037"/>
      <c r="E78" s="1084" t="str">
        <f t="shared" ca="1" si="89"/>
        <v>Verputz LD100 -Schlitzarbeiten innen</v>
      </c>
      <c r="F78" s="1085"/>
      <c r="G78" s="1264"/>
      <c r="H78" s="1264"/>
      <c r="I78" s="1265"/>
      <c r="J78" s="638"/>
      <c r="K78" s="520" t="s">
        <v>177</v>
      </c>
      <c r="L78" s="521"/>
      <c r="M78" s="342"/>
      <c r="N78" s="521" t="s">
        <v>67</v>
      </c>
      <c r="O78" s="344"/>
      <c r="P78" s="504" t="s">
        <v>68</v>
      </c>
      <c r="Q78" s="344"/>
      <c r="R78" s="522" t="s">
        <v>363</v>
      </c>
      <c r="S78" s="353">
        <f t="shared" ca="1" si="90"/>
        <v>3055.2</v>
      </c>
      <c r="T78" s="523"/>
      <c r="U78" s="350"/>
      <c r="V78" s="308"/>
      <c r="W78" s="1090" t="str">
        <f t="shared" ca="1" si="91"/>
        <v/>
      </c>
      <c r="X78" s="1103">
        <f t="shared" ca="1" si="92"/>
        <v>0</v>
      </c>
      <c r="Y78" s="1120">
        <f t="shared" ca="1" si="93"/>
        <v>0</v>
      </c>
      <c r="Z78" s="524"/>
      <c r="AA78" s="350"/>
      <c r="AB78" s="308"/>
      <c r="AC78" s="1090" t="str">
        <f t="shared" ca="1" si="94"/>
        <v/>
      </c>
      <c r="AD78" s="1103">
        <f t="shared" ca="1" si="95"/>
        <v>0</v>
      </c>
      <c r="AE78" s="1120">
        <f t="shared" ca="1" si="96"/>
        <v>0</v>
      </c>
      <c r="AF78" s="525"/>
      <c r="AG78" s="637"/>
      <c r="AH78" s="525"/>
      <c r="AI78" s="1086">
        <f t="shared" ca="1" si="97"/>
        <v>100</v>
      </c>
      <c r="AJ78" s="380"/>
      <c r="AK78" s="440"/>
      <c r="AM78" s="460">
        <v>78</v>
      </c>
      <c r="AN78" s="1087" t="str">
        <f t="shared" ca="1" si="98"/>
        <v>Verputz LD100 -Schlitzarbeiten innen</v>
      </c>
      <c r="AO78" s="1083">
        <f t="shared" ca="1" si="99"/>
        <v>3055.2</v>
      </c>
      <c r="AP78" s="356">
        <f t="shared" ca="1" si="99"/>
        <v>0</v>
      </c>
      <c r="AQ78" s="357">
        <f t="shared" ca="1" si="99"/>
        <v>0</v>
      </c>
      <c r="AR78" s="524" t="str">
        <f t="shared" ca="1" si="99"/>
        <v/>
      </c>
      <c r="AS78" s="356">
        <f t="shared" ca="1" si="99"/>
        <v>0</v>
      </c>
      <c r="AT78" s="357">
        <f t="shared" ca="1" si="99"/>
        <v>0</v>
      </c>
      <c r="AU78" s="524" t="str">
        <f t="shared" ca="1" si="99"/>
        <v/>
      </c>
      <c r="AV78" s="1083">
        <f t="shared" ca="1" si="99"/>
        <v>100</v>
      </c>
      <c r="AX78" s="1083" t="str">
        <f t="shared" si="100"/>
        <v>U</v>
      </c>
      <c r="AY78" s="1083" t="str">
        <f t="shared" si="101"/>
        <v>U</v>
      </c>
      <c r="AZ78" s="1083" t="str">
        <f t="shared" si="102"/>
        <v>U</v>
      </c>
      <c r="BA78" s="1083" t="str">
        <f t="shared" si="103"/>
        <v>U</v>
      </c>
      <c r="BB78" s="1083" t="str">
        <f t="shared" si="104"/>
        <v>U</v>
      </c>
    </row>
    <row r="79" spans="1:54" ht="12" customHeight="1" x14ac:dyDescent="0.2">
      <c r="A79" s="440"/>
      <c r="B79" s="1042"/>
      <c r="C79" s="1036"/>
      <c r="D79" s="1037"/>
      <c r="E79" s="1084">
        <f t="shared" ca="1" si="89"/>
        <v>0</v>
      </c>
      <c r="F79" s="1085"/>
      <c r="G79" s="1264"/>
      <c r="H79" s="1264"/>
      <c r="I79" s="1265"/>
      <c r="J79" s="638"/>
      <c r="K79" s="520" t="s">
        <v>177</v>
      </c>
      <c r="L79" s="521"/>
      <c r="M79" s="342"/>
      <c r="N79" s="521" t="s">
        <v>67</v>
      </c>
      <c r="O79" s="344"/>
      <c r="P79" s="504" t="s">
        <v>68</v>
      </c>
      <c r="Q79" s="344"/>
      <c r="R79" s="522" t="s">
        <v>363</v>
      </c>
      <c r="S79" s="353">
        <f t="shared" ca="1" si="90"/>
        <v>0</v>
      </c>
      <c r="T79" s="523"/>
      <c r="U79" s="350"/>
      <c r="V79" s="308"/>
      <c r="W79" s="1090" t="str">
        <f t="shared" ca="1" si="91"/>
        <v/>
      </c>
      <c r="X79" s="1103">
        <f t="shared" ca="1" si="92"/>
        <v>0</v>
      </c>
      <c r="Y79" s="1120">
        <f t="shared" ca="1" si="93"/>
        <v>0</v>
      </c>
      <c r="Z79" s="524"/>
      <c r="AA79" s="350"/>
      <c r="AB79" s="308"/>
      <c r="AC79" s="1090" t="str">
        <f t="shared" ca="1" si="94"/>
        <v/>
      </c>
      <c r="AD79" s="1103">
        <f t="shared" ca="1" si="95"/>
        <v>0</v>
      </c>
      <c r="AE79" s="1120">
        <f t="shared" ca="1" si="96"/>
        <v>0</v>
      </c>
      <c r="AF79" s="525"/>
      <c r="AG79" s="637"/>
      <c r="AH79" s="525"/>
      <c r="AI79" s="1086">
        <f t="shared" ca="1" si="97"/>
        <v>0</v>
      </c>
      <c r="AJ79" s="380"/>
      <c r="AK79" s="440"/>
      <c r="AM79" s="460">
        <v>79</v>
      </c>
      <c r="AN79" s="1087">
        <f t="shared" ca="1" si="98"/>
        <v>0</v>
      </c>
      <c r="AO79" s="1083">
        <f t="shared" ca="1" si="99"/>
        <v>0</v>
      </c>
      <c r="AP79" s="356">
        <f t="shared" ca="1" si="99"/>
        <v>0</v>
      </c>
      <c r="AQ79" s="357">
        <f t="shared" ca="1" si="99"/>
        <v>0</v>
      </c>
      <c r="AR79" s="524" t="str">
        <f t="shared" ca="1" si="99"/>
        <v/>
      </c>
      <c r="AS79" s="356">
        <f t="shared" ca="1" si="99"/>
        <v>0</v>
      </c>
      <c r="AT79" s="357">
        <f t="shared" ca="1" si="99"/>
        <v>0</v>
      </c>
      <c r="AU79" s="524" t="str">
        <f t="shared" ca="1" si="99"/>
        <v/>
      </c>
      <c r="AV79" s="1083">
        <f t="shared" ca="1" si="99"/>
        <v>0</v>
      </c>
      <c r="AX79" s="1083" t="str">
        <f t="shared" si="100"/>
        <v>U</v>
      </c>
      <c r="AY79" s="1083" t="str">
        <f t="shared" si="101"/>
        <v>U</v>
      </c>
      <c r="AZ79" s="1083" t="str">
        <f t="shared" si="102"/>
        <v>U</v>
      </c>
      <c r="BA79" s="1083" t="str">
        <f t="shared" si="103"/>
        <v>U</v>
      </c>
      <c r="BB79" s="1083" t="str">
        <f t="shared" si="104"/>
        <v>U</v>
      </c>
    </row>
    <row r="80" spans="1:54" ht="12" customHeight="1" x14ac:dyDescent="0.2">
      <c r="A80" s="440"/>
      <c r="B80" s="1042"/>
      <c r="C80" s="1036"/>
      <c r="D80" s="1037"/>
      <c r="E80" s="1084">
        <f t="shared" ca="1" si="89"/>
        <v>0</v>
      </c>
      <c r="F80" s="1085"/>
      <c r="G80" s="1264"/>
      <c r="H80" s="1264"/>
      <c r="I80" s="1265"/>
      <c r="J80" s="638"/>
      <c r="K80" s="520" t="s">
        <v>177</v>
      </c>
      <c r="L80" s="521"/>
      <c r="M80" s="342"/>
      <c r="N80" s="521" t="s">
        <v>67</v>
      </c>
      <c r="O80" s="344"/>
      <c r="P80" s="504" t="s">
        <v>68</v>
      </c>
      <c r="Q80" s="344"/>
      <c r="R80" s="522" t="s">
        <v>363</v>
      </c>
      <c r="S80" s="353">
        <f t="shared" ca="1" si="90"/>
        <v>0</v>
      </c>
      <c r="T80" s="523"/>
      <c r="U80" s="350"/>
      <c r="V80" s="308"/>
      <c r="W80" s="1090" t="str">
        <f t="shared" ca="1" si="91"/>
        <v/>
      </c>
      <c r="X80" s="1103">
        <f t="shared" ca="1" si="92"/>
        <v>0</v>
      </c>
      <c r="Y80" s="1120">
        <f t="shared" ca="1" si="93"/>
        <v>0</v>
      </c>
      <c r="Z80" s="524"/>
      <c r="AA80" s="350"/>
      <c r="AB80" s="308"/>
      <c r="AC80" s="1090" t="str">
        <f t="shared" ca="1" si="94"/>
        <v/>
      </c>
      <c r="AD80" s="1103">
        <f t="shared" ca="1" si="95"/>
        <v>0</v>
      </c>
      <c r="AE80" s="1120">
        <f t="shared" ca="1" si="96"/>
        <v>0</v>
      </c>
      <c r="AF80" s="525"/>
      <c r="AG80" s="637"/>
      <c r="AH80" s="525"/>
      <c r="AI80" s="1086">
        <f t="shared" ca="1" si="97"/>
        <v>0</v>
      </c>
      <c r="AJ80" s="380"/>
      <c r="AK80" s="440"/>
      <c r="AM80" s="460">
        <v>80</v>
      </c>
      <c r="AN80" s="1087">
        <f t="shared" ca="1" si="98"/>
        <v>0</v>
      </c>
      <c r="AO80" s="1083">
        <f t="shared" ca="1" si="99"/>
        <v>0</v>
      </c>
      <c r="AP80" s="356">
        <f t="shared" ca="1" si="99"/>
        <v>0</v>
      </c>
      <c r="AQ80" s="357">
        <f t="shared" ca="1" si="99"/>
        <v>0</v>
      </c>
      <c r="AR80" s="524" t="str">
        <f t="shared" ca="1" si="99"/>
        <v/>
      </c>
      <c r="AS80" s="356">
        <f t="shared" ca="1" si="99"/>
        <v>0</v>
      </c>
      <c r="AT80" s="357">
        <f t="shared" ca="1" si="99"/>
        <v>0</v>
      </c>
      <c r="AU80" s="524" t="str">
        <f t="shared" ca="1" si="99"/>
        <v/>
      </c>
      <c r="AV80" s="1083">
        <f t="shared" ca="1" si="99"/>
        <v>0</v>
      </c>
      <c r="AX80" s="1083" t="str">
        <f t="shared" si="100"/>
        <v>U</v>
      </c>
      <c r="AY80" s="1083" t="str">
        <f t="shared" si="101"/>
        <v>U</v>
      </c>
      <c r="AZ80" s="1083" t="str">
        <f t="shared" si="102"/>
        <v>U</v>
      </c>
      <c r="BA80" s="1083" t="str">
        <f t="shared" si="103"/>
        <v>U</v>
      </c>
      <c r="BB80" s="1083" t="str">
        <f t="shared" si="104"/>
        <v>U</v>
      </c>
    </row>
    <row r="81" spans="1:54" ht="12" customHeight="1" x14ac:dyDescent="0.2">
      <c r="A81" s="440"/>
      <c r="B81" s="1042"/>
      <c r="C81" s="1036"/>
      <c r="D81" s="1037"/>
      <c r="E81" s="1084">
        <f t="shared" ca="1" si="89"/>
        <v>0</v>
      </c>
      <c r="F81" s="1085"/>
      <c r="G81" s="1264"/>
      <c r="H81" s="1264"/>
      <c r="I81" s="1265"/>
      <c r="J81" s="638"/>
      <c r="K81" s="520" t="s">
        <v>177</v>
      </c>
      <c r="L81" s="521"/>
      <c r="M81" s="342"/>
      <c r="N81" s="521" t="s">
        <v>67</v>
      </c>
      <c r="O81" s="344"/>
      <c r="P81" s="504" t="s">
        <v>68</v>
      </c>
      <c r="Q81" s="344"/>
      <c r="R81" s="522" t="s">
        <v>363</v>
      </c>
      <c r="S81" s="353">
        <f t="shared" ca="1" si="90"/>
        <v>0</v>
      </c>
      <c r="T81" s="523"/>
      <c r="U81" s="350"/>
      <c r="V81" s="308"/>
      <c r="W81" s="1090" t="str">
        <f t="shared" ca="1" si="91"/>
        <v/>
      </c>
      <c r="X81" s="1103">
        <f t="shared" ca="1" si="92"/>
        <v>0</v>
      </c>
      <c r="Y81" s="1120">
        <f t="shared" ca="1" si="93"/>
        <v>0</v>
      </c>
      <c r="Z81" s="524"/>
      <c r="AA81" s="350"/>
      <c r="AB81" s="308"/>
      <c r="AC81" s="1090" t="str">
        <f t="shared" ca="1" si="94"/>
        <v/>
      </c>
      <c r="AD81" s="1103">
        <f t="shared" ca="1" si="95"/>
        <v>0</v>
      </c>
      <c r="AE81" s="1120">
        <f t="shared" ca="1" si="96"/>
        <v>0</v>
      </c>
      <c r="AF81" s="525"/>
      <c r="AG81" s="637"/>
      <c r="AH81" s="525"/>
      <c r="AI81" s="1086">
        <f t="shared" ca="1" si="97"/>
        <v>0</v>
      </c>
      <c r="AJ81" s="380"/>
      <c r="AK81" s="440"/>
      <c r="AM81" s="460">
        <v>81</v>
      </c>
      <c r="AN81" s="1087">
        <f t="shared" ca="1" si="98"/>
        <v>0</v>
      </c>
      <c r="AO81" s="1083">
        <f t="shared" ca="1" si="99"/>
        <v>0</v>
      </c>
      <c r="AP81" s="356">
        <f t="shared" ca="1" si="99"/>
        <v>0</v>
      </c>
      <c r="AQ81" s="357">
        <f t="shared" ca="1" si="99"/>
        <v>0</v>
      </c>
      <c r="AR81" s="524" t="str">
        <f t="shared" ca="1" si="99"/>
        <v/>
      </c>
      <c r="AS81" s="356">
        <f t="shared" ca="1" si="99"/>
        <v>0</v>
      </c>
      <c r="AT81" s="357">
        <f t="shared" ca="1" si="99"/>
        <v>0</v>
      </c>
      <c r="AU81" s="524" t="str">
        <f t="shared" ca="1" si="99"/>
        <v/>
      </c>
      <c r="AV81" s="1083">
        <f t="shared" ca="1" si="99"/>
        <v>0</v>
      </c>
      <c r="AX81" s="1083" t="str">
        <f t="shared" si="100"/>
        <v>U</v>
      </c>
      <c r="AY81" s="1083" t="str">
        <f t="shared" si="101"/>
        <v>U</v>
      </c>
      <c r="AZ81" s="1083" t="str">
        <f t="shared" si="102"/>
        <v>U</v>
      </c>
      <c r="BA81" s="1083" t="str">
        <f t="shared" si="103"/>
        <v>U</v>
      </c>
      <c r="BB81" s="1083" t="str">
        <f t="shared" si="104"/>
        <v>U</v>
      </c>
    </row>
    <row r="82" spans="1:54" ht="12" customHeight="1" x14ac:dyDescent="0.25">
      <c r="A82" s="440"/>
      <c r="B82" s="1042"/>
      <c r="C82" s="1036"/>
      <c r="D82" s="1037" t="s">
        <v>154</v>
      </c>
      <c r="E82" s="1599" t="s">
        <v>159</v>
      </c>
      <c r="F82" s="1599"/>
      <c r="G82" s="1599"/>
      <c r="H82" s="1599"/>
      <c r="I82" s="1597"/>
      <c r="J82" s="1038"/>
      <c r="K82" s="529"/>
      <c r="L82" s="503"/>
      <c r="M82" s="526"/>
      <c r="N82" s="519"/>
      <c r="O82" s="530"/>
      <c r="P82" s="1037"/>
      <c r="Q82" s="1037"/>
      <c r="R82" s="1037"/>
      <c r="S82" s="354">
        <f ca="1">SUBTOTAL(109,S84:S86)</f>
        <v>68098.655999999988</v>
      </c>
      <c r="T82" s="363"/>
      <c r="U82" s="360"/>
      <c r="V82" s="360"/>
      <c r="W82" s="1091"/>
      <c r="X82" s="1105"/>
      <c r="Y82" s="1105"/>
      <c r="Z82" s="360"/>
      <c r="AA82" s="360"/>
      <c r="AB82" s="360"/>
      <c r="AC82" s="1091"/>
      <c r="AD82" s="1105"/>
      <c r="AE82" s="1105"/>
      <c r="AF82" s="360"/>
      <c r="AG82" s="360"/>
      <c r="AH82" s="360"/>
      <c r="AI82" s="360"/>
      <c r="AJ82" s="358"/>
      <c r="AK82" s="440"/>
      <c r="AM82" s="460">
        <v>82</v>
      </c>
      <c r="AN82" s="1078"/>
      <c r="AP82" s="1081"/>
      <c r="AS82" s="1081"/>
      <c r="AZ82" s="1081"/>
      <c r="BA82" s="1081"/>
    </row>
    <row r="83" spans="1:54" ht="12" customHeight="1" x14ac:dyDescent="0.25">
      <c r="A83" s="440"/>
      <c r="B83" s="1042"/>
      <c r="C83" s="1036"/>
      <c r="D83" s="1037"/>
      <c r="E83" s="1037"/>
      <c r="F83" s="1037"/>
      <c r="G83" s="1037"/>
      <c r="H83" s="1037"/>
      <c r="I83" s="1035"/>
      <c r="J83" s="1603" t="s">
        <v>170</v>
      </c>
      <c r="K83" s="1603"/>
      <c r="L83" s="503"/>
      <c r="M83" s="526"/>
      <c r="N83" s="519"/>
      <c r="O83" s="530"/>
      <c r="P83" s="1037"/>
      <c r="Q83" s="1037"/>
      <c r="R83" s="1037"/>
      <c r="S83" s="354"/>
      <c r="T83" s="363"/>
      <c r="U83" s="360"/>
      <c r="V83" s="360"/>
      <c r="W83" s="1092"/>
      <c r="X83" s="1105"/>
      <c r="Y83" s="1105"/>
      <c r="Z83" s="360"/>
      <c r="AA83" s="360"/>
      <c r="AB83" s="360"/>
      <c r="AC83" s="1092"/>
      <c r="AD83" s="1105"/>
      <c r="AE83" s="1105"/>
      <c r="AF83" s="360"/>
      <c r="AG83" s="360"/>
      <c r="AH83" s="360"/>
      <c r="AI83" s="360"/>
      <c r="AJ83" s="359"/>
      <c r="AK83" s="440"/>
      <c r="AM83" s="460">
        <v>83</v>
      </c>
      <c r="AN83" s="1078"/>
    </row>
    <row r="84" spans="1:54" ht="12" customHeight="1" x14ac:dyDescent="0.2">
      <c r="A84" s="440"/>
      <c r="B84" s="1042"/>
      <c r="C84" s="1036"/>
      <c r="D84" s="1037"/>
      <c r="E84" s="1084" t="str">
        <f ca="1">IF(AX84="E","",AN84)</f>
        <v>Maler LD 15-Innenwand nass</v>
      </c>
      <c r="F84" s="1085"/>
      <c r="G84" s="1264"/>
      <c r="H84" s="1264"/>
      <c r="I84" s="1265"/>
      <c r="J84" s="638"/>
      <c r="K84" s="520" t="s">
        <v>177</v>
      </c>
      <c r="L84" s="521"/>
      <c r="M84" s="342"/>
      <c r="N84" s="521" t="s">
        <v>67</v>
      </c>
      <c r="O84" s="344"/>
      <c r="P84" s="504" t="s">
        <v>68</v>
      </c>
      <c r="Q84" s="344"/>
      <c r="R84" s="522" t="s">
        <v>363</v>
      </c>
      <c r="S84" s="353">
        <f t="shared" ref="S84:S86" ca="1" si="105">IF(AY84="E",(M84*O84)+Q84,AO84)</f>
        <v>15085.44</v>
      </c>
      <c r="T84" s="523"/>
      <c r="U84" s="350"/>
      <c r="V84" s="308"/>
      <c r="W84" s="1090" t="str">
        <f t="shared" ref="W84:W86" ca="1" si="106">IF(AZ84="E",IF(AND(V84&lt;&gt;0,U84&lt;&gt;0),"X",IF(AND(V84&lt;&gt;0,U84=0),"A",IF(AND(V84=0,U84&lt;&gt;0),"P",""))),AR84)</f>
        <v/>
      </c>
      <c r="X84" s="1103">
        <f t="shared" ref="X84:X86" ca="1" si="107">IF(AZ84="E",IFERROR(IF(W84="X",0,IF(U84&gt;0,U84,V84/S84)),0),
IFERROR(IF(OR(AR84="X",AR84=0),0,
IF(AR84="P",AP84,IF(AR84="A",AQ84/S84,0))),0))</f>
        <v>0</v>
      </c>
      <c r="Y84" s="1120">
        <f t="shared" ref="Y84:Y86" ca="1" si="108">IF(AZ84="E",IFERROR(IF(W84="X",0,IF(V84&gt;0,V84,S84*U84)),0),
IFERROR(IF(OR(AR84="X",AR84="0"),0,IF(AR84="A",AQ84,S84*AP84)),0))</f>
        <v>0</v>
      </c>
      <c r="Z84" s="524"/>
      <c r="AA84" s="350"/>
      <c r="AB84" s="308"/>
      <c r="AC84" s="1090" t="str">
        <f t="shared" ref="AC84:AC86" ca="1" si="109">IF(BA84="E",IF(AND(AB84&lt;&gt;0,AA84&lt;&gt;0),"X",IF(AND(AB84&lt;&gt;0,AA84=0),"A",IF(AND(AB84=0,AA84&lt;&gt;0),"P",""))),AU84)</f>
        <v/>
      </c>
      <c r="AD84" s="1103">
        <f t="shared" ref="AD84:AD86" ca="1" si="110">IF(BA84="E",IFERROR(IF(AC84="X",0,IF(AA84&gt;0,AA84,AB84/S84)),0),
IFERROR(IF(OR(AU84="X",AU84=0),0,
IF(AU84="P",AS84,IF(AU84="A",AT84/S84,0))),0))</f>
        <v>0</v>
      </c>
      <c r="AE84" s="1120">
        <f t="shared" ref="AE84:AE86" ca="1" si="111">IF(BA84="E",IFERROR(IF(AC84="X",0,IF(AB84&gt;0,AB84,S84*AA84)),0),
IFERROR(IF(OR(AU84="X",AU84=0),0,
IF(AU84="A",AT84,S84*AS84)),0))</f>
        <v>0</v>
      </c>
      <c r="AF84" s="525"/>
      <c r="AG84" s="637"/>
      <c r="AH84" s="525"/>
      <c r="AI84" s="1086">
        <f t="shared" ref="AI84:AI86" ca="1" si="112">IF(BB84="E",AG84,AV84)</f>
        <v>15</v>
      </c>
      <c r="AJ84" s="380"/>
      <c r="AK84" s="440"/>
      <c r="AM84" s="460">
        <v>84</v>
      </c>
      <c r="AN84" s="1087" t="str">
        <f t="shared" ref="AN84:AN86" ca="1" si="113">IF($M$13=$AN$12,"",IF(ISTEXT(INDIRECT("'"&amp;$AM$20&amp;"'!"&amp;AN$21&amp;$AM84)),INDIRECT("'"&amp;$AM$20&amp;"'!"&amp;AN$21&amp;$AM84),INDIRECT("'"&amp;$AM$20&amp;"'!"&amp;AN$22&amp;$AM84)))</f>
        <v>Maler LD 15-Innenwand nass</v>
      </c>
      <c r="AO84" s="1083">
        <f t="shared" ref="AO84:AV86" ca="1" si="114">IF($M$13=$AN$12,"",INDIRECT("'"&amp;$AM$20&amp;"'!"&amp;AO$21&amp;$AM84))</f>
        <v>15085.44</v>
      </c>
      <c r="AP84" s="356">
        <f t="shared" ca="1" si="114"/>
        <v>0</v>
      </c>
      <c r="AQ84" s="357">
        <f t="shared" ca="1" si="114"/>
        <v>0</v>
      </c>
      <c r="AR84" s="524" t="str">
        <f t="shared" ca="1" si="114"/>
        <v/>
      </c>
      <c r="AS84" s="356">
        <f t="shared" ca="1" si="114"/>
        <v>0</v>
      </c>
      <c r="AT84" s="357">
        <f t="shared" ca="1" si="114"/>
        <v>0</v>
      </c>
      <c r="AU84" s="524" t="str">
        <f t="shared" ca="1" si="114"/>
        <v/>
      </c>
      <c r="AV84" s="1083">
        <f t="shared" ca="1" si="114"/>
        <v>15</v>
      </c>
      <c r="AX84" s="1083" t="str">
        <f t="shared" ref="AX84:AX86" si="115">IF($M$13=$AN$12,"E",IF(ISTEXT(F84),"E","U"))</f>
        <v>U</v>
      </c>
      <c r="AY84" s="1083" t="str">
        <f t="shared" ref="AY84:AY86" si="116">IF($M$13=$AN$12,"E",IF(OR(ISNUMBER(M84),ISNUMBER(O84),ISNUMBER(Q84)),"E","U"))</f>
        <v>U</v>
      </c>
      <c r="AZ84" s="1083" t="str">
        <f t="shared" ref="AZ84:AZ86" si="117">IF($M$13=$AN$12,"E",IF(OR(ISNUMBER(U84),ISNUMBER(V84)),"E","U"))</f>
        <v>U</v>
      </c>
      <c r="BA84" s="1083" t="str">
        <f t="shared" ref="BA84:BA86" si="118">IF($M$13=$AN$12,"E",IF(OR(ISNUMBER(AA84),ISNUMBER(AB84)),"E","U"))</f>
        <v>U</v>
      </c>
      <c r="BB84" s="1083" t="str">
        <f t="shared" ref="BB84:BB86" si="119">IF($M$13=$AN$12,"E",IF(ISNUMBER(AG84),"E","U"))</f>
        <v>U</v>
      </c>
    </row>
    <row r="85" spans="1:54" ht="12" customHeight="1" x14ac:dyDescent="0.2">
      <c r="A85" s="440"/>
      <c r="B85" s="1042"/>
      <c r="C85" s="1036"/>
      <c r="D85" s="1037"/>
      <c r="E85" s="1084" t="str">
        <f ca="1">IF(AX85="E","",AN85)</f>
        <v>Maler LD 25 - Innenwand standard Dispersion</v>
      </c>
      <c r="F85" s="1085"/>
      <c r="G85" s="1264"/>
      <c r="H85" s="1264"/>
      <c r="I85" s="1265"/>
      <c r="J85" s="638"/>
      <c r="K85" s="520" t="s">
        <v>177</v>
      </c>
      <c r="L85" s="521"/>
      <c r="M85" s="342"/>
      <c r="N85" s="521" t="s">
        <v>67</v>
      </c>
      <c r="O85" s="344"/>
      <c r="P85" s="504" t="s">
        <v>68</v>
      </c>
      <c r="Q85" s="344"/>
      <c r="R85" s="522" t="s">
        <v>363</v>
      </c>
      <c r="S85" s="353">
        <f t="shared" ca="1" si="105"/>
        <v>2734.2</v>
      </c>
      <c r="T85" s="523"/>
      <c r="U85" s="350"/>
      <c r="V85" s="308"/>
      <c r="W85" s="1090" t="str">
        <f t="shared" ca="1" si="106"/>
        <v/>
      </c>
      <c r="X85" s="1103">
        <f t="shared" ca="1" si="107"/>
        <v>0</v>
      </c>
      <c r="Y85" s="1120">
        <f t="shared" ca="1" si="108"/>
        <v>0</v>
      </c>
      <c r="Z85" s="524"/>
      <c r="AA85" s="350"/>
      <c r="AB85" s="308"/>
      <c r="AC85" s="1090" t="str">
        <f t="shared" ca="1" si="109"/>
        <v/>
      </c>
      <c r="AD85" s="1103">
        <f t="shared" ca="1" si="110"/>
        <v>0</v>
      </c>
      <c r="AE85" s="1120">
        <f t="shared" ca="1" si="111"/>
        <v>0</v>
      </c>
      <c r="AF85" s="525"/>
      <c r="AG85" s="637"/>
      <c r="AH85" s="525"/>
      <c r="AI85" s="1086">
        <f t="shared" ca="1" si="112"/>
        <v>25</v>
      </c>
      <c r="AJ85" s="380"/>
      <c r="AK85" s="440"/>
      <c r="AM85" s="460">
        <v>85</v>
      </c>
      <c r="AN85" s="1087" t="str">
        <f t="shared" ca="1" si="113"/>
        <v>Maler LD 25 - Innenwand standard Dispersion</v>
      </c>
      <c r="AO85" s="1083">
        <f t="shared" ca="1" si="114"/>
        <v>2734.2</v>
      </c>
      <c r="AP85" s="356">
        <f t="shared" ca="1" si="114"/>
        <v>0</v>
      </c>
      <c r="AQ85" s="357">
        <f t="shared" ca="1" si="114"/>
        <v>0</v>
      </c>
      <c r="AR85" s="524" t="str">
        <f t="shared" ca="1" si="114"/>
        <v/>
      </c>
      <c r="AS85" s="356">
        <f t="shared" ca="1" si="114"/>
        <v>0</v>
      </c>
      <c r="AT85" s="357">
        <f t="shared" ca="1" si="114"/>
        <v>0</v>
      </c>
      <c r="AU85" s="524" t="str">
        <f t="shared" ca="1" si="114"/>
        <v/>
      </c>
      <c r="AV85" s="1083">
        <f t="shared" ca="1" si="114"/>
        <v>25</v>
      </c>
      <c r="AX85" s="1083" t="str">
        <f t="shared" si="115"/>
        <v>U</v>
      </c>
      <c r="AY85" s="1083" t="str">
        <f t="shared" si="116"/>
        <v>U</v>
      </c>
      <c r="AZ85" s="1083" t="str">
        <f t="shared" si="117"/>
        <v>U</v>
      </c>
      <c r="BA85" s="1083" t="str">
        <f t="shared" si="118"/>
        <v>U</v>
      </c>
      <c r="BB85" s="1083" t="str">
        <f t="shared" si="119"/>
        <v>U</v>
      </c>
    </row>
    <row r="86" spans="1:54" ht="12" customHeight="1" x14ac:dyDescent="0.2">
      <c r="A86" s="440"/>
      <c r="B86" s="1042"/>
      <c r="C86" s="1036"/>
      <c r="D86" s="1037"/>
      <c r="E86" s="1084" t="str">
        <f ca="1">IF(AX86="E","",AN86)</f>
        <v>Maler LD 65- Anstriche, Beschichtungen</v>
      </c>
      <c r="F86" s="1085"/>
      <c r="G86" s="1264"/>
      <c r="H86" s="1264"/>
      <c r="I86" s="1265"/>
      <c r="J86" s="638"/>
      <c r="K86" s="520" t="s">
        <v>177</v>
      </c>
      <c r="L86" s="521"/>
      <c r="M86" s="342"/>
      <c r="N86" s="521" t="s">
        <v>67</v>
      </c>
      <c r="O86" s="344"/>
      <c r="P86" s="504" t="s">
        <v>68</v>
      </c>
      <c r="Q86" s="344"/>
      <c r="R86" s="522" t="s">
        <v>363</v>
      </c>
      <c r="S86" s="353">
        <f t="shared" ca="1" si="105"/>
        <v>50279.015999999996</v>
      </c>
      <c r="T86" s="523"/>
      <c r="U86" s="350"/>
      <c r="V86" s="308"/>
      <c r="W86" s="1090" t="str">
        <f t="shared" ca="1" si="106"/>
        <v/>
      </c>
      <c r="X86" s="1103">
        <f t="shared" ca="1" si="107"/>
        <v>0</v>
      </c>
      <c r="Y86" s="1120">
        <f t="shared" ca="1" si="108"/>
        <v>0</v>
      </c>
      <c r="Z86" s="524"/>
      <c r="AA86" s="350"/>
      <c r="AB86" s="308"/>
      <c r="AC86" s="1090" t="str">
        <f t="shared" ca="1" si="109"/>
        <v/>
      </c>
      <c r="AD86" s="1103">
        <f t="shared" ca="1" si="110"/>
        <v>0</v>
      </c>
      <c r="AE86" s="1120">
        <f t="shared" ca="1" si="111"/>
        <v>0</v>
      </c>
      <c r="AF86" s="525"/>
      <c r="AG86" s="637"/>
      <c r="AH86" s="525"/>
      <c r="AI86" s="1086">
        <f t="shared" ca="1" si="112"/>
        <v>65</v>
      </c>
      <c r="AJ86" s="380"/>
      <c r="AK86" s="440"/>
      <c r="AM86" s="460">
        <v>86</v>
      </c>
      <c r="AN86" s="1087" t="str">
        <f t="shared" ca="1" si="113"/>
        <v>Maler LD 65- Anstriche, Beschichtungen</v>
      </c>
      <c r="AO86" s="1083">
        <f t="shared" ca="1" si="114"/>
        <v>50279.015999999996</v>
      </c>
      <c r="AP86" s="356">
        <f t="shared" ca="1" si="114"/>
        <v>0</v>
      </c>
      <c r="AQ86" s="357">
        <f t="shared" ca="1" si="114"/>
        <v>0</v>
      </c>
      <c r="AR86" s="524" t="str">
        <f t="shared" ca="1" si="114"/>
        <v/>
      </c>
      <c r="AS86" s="356">
        <f t="shared" ca="1" si="114"/>
        <v>0</v>
      </c>
      <c r="AT86" s="357">
        <f t="shared" ca="1" si="114"/>
        <v>0</v>
      </c>
      <c r="AU86" s="524" t="str">
        <f t="shared" ca="1" si="114"/>
        <v/>
      </c>
      <c r="AV86" s="1083">
        <f t="shared" ca="1" si="114"/>
        <v>65</v>
      </c>
      <c r="AX86" s="1083" t="str">
        <f t="shared" si="115"/>
        <v>U</v>
      </c>
      <c r="AY86" s="1083" t="str">
        <f t="shared" si="116"/>
        <v>U</v>
      </c>
      <c r="AZ86" s="1083" t="str">
        <f t="shared" si="117"/>
        <v>U</v>
      </c>
      <c r="BA86" s="1083" t="str">
        <f t="shared" si="118"/>
        <v>U</v>
      </c>
      <c r="BB86" s="1083" t="str">
        <f t="shared" si="119"/>
        <v>U</v>
      </c>
    </row>
    <row r="87" spans="1:54" ht="12" customHeight="1" x14ac:dyDescent="0.25">
      <c r="A87" s="440"/>
      <c r="B87" s="1042"/>
      <c r="C87" s="1036"/>
      <c r="D87" s="1037" t="s">
        <v>155</v>
      </c>
      <c r="E87" s="1599" t="s">
        <v>160</v>
      </c>
      <c r="F87" s="1599"/>
      <c r="G87" s="1599"/>
      <c r="H87" s="1599"/>
      <c r="I87" s="1597"/>
      <c r="J87" s="1038"/>
      <c r="K87" s="529"/>
      <c r="L87" s="503"/>
      <c r="M87" s="526"/>
      <c r="N87" s="519"/>
      <c r="O87" s="527"/>
      <c r="P87" s="1037"/>
      <c r="Q87" s="1037"/>
      <c r="R87" s="1037"/>
      <c r="S87" s="354">
        <f ca="1">SUBTOTAL(109,S89:S91)</f>
        <v>0</v>
      </c>
      <c r="T87" s="363"/>
      <c r="U87" s="360"/>
      <c r="V87" s="360"/>
      <c r="W87" s="1091"/>
      <c r="X87" s="1105"/>
      <c r="Y87" s="1105"/>
      <c r="Z87" s="360"/>
      <c r="AA87" s="360"/>
      <c r="AB87" s="360"/>
      <c r="AC87" s="1091"/>
      <c r="AD87" s="1105"/>
      <c r="AE87" s="1105"/>
      <c r="AF87" s="360"/>
      <c r="AG87" s="360"/>
      <c r="AH87" s="360"/>
      <c r="AI87" s="360"/>
      <c r="AJ87" s="358"/>
      <c r="AK87" s="440"/>
      <c r="AM87" s="460">
        <v>87</v>
      </c>
      <c r="AN87" s="1078"/>
    </row>
    <row r="88" spans="1:54" ht="12" customHeight="1" x14ac:dyDescent="0.25">
      <c r="A88" s="440"/>
      <c r="B88" s="1042"/>
      <c r="C88" s="1036"/>
      <c r="D88" s="1037"/>
      <c r="E88" s="1037"/>
      <c r="F88" s="1037"/>
      <c r="G88" s="1037"/>
      <c r="H88" s="1037"/>
      <c r="I88" s="1035"/>
      <c r="J88" s="1603" t="s">
        <v>170</v>
      </c>
      <c r="K88" s="1603"/>
      <c r="L88" s="503"/>
      <c r="M88" s="526"/>
      <c r="N88" s="519"/>
      <c r="O88" s="527"/>
      <c r="P88" s="1037"/>
      <c r="Q88" s="1037"/>
      <c r="R88" s="1037"/>
      <c r="S88" s="354"/>
      <c r="T88" s="363"/>
      <c r="U88" s="360"/>
      <c r="V88" s="360"/>
      <c r="W88" s="1092"/>
      <c r="X88" s="1105"/>
      <c r="Y88" s="1105"/>
      <c r="Z88" s="360"/>
      <c r="AA88" s="360"/>
      <c r="AB88" s="360"/>
      <c r="AC88" s="1092"/>
      <c r="AD88" s="1105"/>
      <c r="AE88" s="1105"/>
      <c r="AF88" s="360"/>
      <c r="AG88" s="360"/>
      <c r="AH88" s="360"/>
      <c r="AI88" s="360"/>
      <c r="AJ88" s="359"/>
      <c r="AK88" s="440"/>
      <c r="AM88" s="460">
        <v>88</v>
      </c>
      <c r="AN88" s="1078"/>
    </row>
    <row r="89" spans="1:54" ht="12" customHeight="1" x14ac:dyDescent="0.2">
      <c r="A89" s="440"/>
      <c r="B89" s="1042"/>
      <c r="C89" s="1036"/>
      <c r="D89" s="1037"/>
      <c r="E89" s="1084">
        <f ca="1">IF(AX89="E","",AN89)</f>
        <v>0</v>
      </c>
      <c r="F89" s="1085"/>
      <c r="G89" s="1264"/>
      <c r="H89" s="1264"/>
      <c r="I89" s="1265"/>
      <c r="J89" s="638"/>
      <c r="K89" s="520" t="s">
        <v>177</v>
      </c>
      <c r="L89" s="521"/>
      <c r="M89" s="342"/>
      <c r="N89" s="521" t="s">
        <v>67</v>
      </c>
      <c r="O89" s="344"/>
      <c r="P89" s="504" t="s">
        <v>68</v>
      </c>
      <c r="Q89" s="344"/>
      <c r="R89" s="522" t="s">
        <v>363</v>
      </c>
      <c r="S89" s="353">
        <f t="shared" ref="S89:S91" ca="1" si="120">IF(AY89="E",(M89*O89)+Q89,AO89)</f>
        <v>0</v>
      </c>
      <c r="T89" s="523"/>
      <c r="U89" s="350"/>
      <c r="V89" s="308"/>
      <c r="W89" s="1090" t="str">
        <f t="shared" ref="W89:W91" ca="1" si="121">IF(AZ89="E",IF(AND(V89&lt;&gt;0,U89&lt;&gt;0),"X",IF(AND(V89&lt;&gt;0,U89=0),"A",IF(AND(V89=0,U89&lt;&gt;0),"P",""))),AR89)</f>
        <v/>
      </c>
      <c r="X89" s="1103">
        <f t="shared" ref="X89:X91" ca="1" si="122">IF(AZ89="E",IFERROR(IF(W89="X",0,IF(U89&gt;0,U89,V89/S89)),0),
IFERROR(IF(OR(AR89="X",AR89=0),0,
IF(AR89="P",AP89,IF(AR89="A",AQ89/S89,0))),0))</f>
        <v>0</v>
      </c>
      <c r="Y89" s="1120">
        <f t="shared" ref="Y89:Y91" ca="1" si="123">IF(AZ89="E",IFERROR(IF(W89="X",0,IF(V89&gt;0,V89,S89*U89)),0),
IFERROR(IF(OR(AR89="X",AR89="0"),0,IF(AR89="A",AQ89,S89*AP89)),0))</f>
        <v>0</v>
      </c>
      <c r="Z89" s="524"/>
      <c r="AA89" s="350"/>
      <c r="AB89" s="308"/>
      <c r="AC89" s="1090" t="str">
        <f t="shared" ref="AC89:AC91" ca="1" si="124">IF(BA89="E",IF(AND(AB89&lt;&gt;0,AA89&lt;&gt;0),"X",IF(AND(AB89&lt;&gt;0,AA89=0),"A",IF(AND(AB89=0,AA89&lt;&gt;0),"P",""))),AU89)</f>
        <v/>
      </c>
      <c r="AD89" s="1103">
        <f t="shared" ref="AD89:AD91" ca="1" si="125">IF(BA89="E",IFERROR(IF(AC89="X",0,IF(AA89&gt;0,AA89,AB89/S89)),0),
IFERROR(IF(OR(AU89="X",AU89=0),0,
IF(AU89="P",AS89,IF(AU89="A",AT89/S89,0))),0))</f>
        <v>0</v>
      </c>
      <c r="AE89" s="1120">
        <f t="shared" ref="AE89:AE91" ca="1" si="126">IF(BA89="E",IFERROR(IF(AC89="X",0,IF(AB89&gt;0,AB89,S89*AA89)),0),
IFERROR(IF(OR(AU89="X",AU89=0),0,
IF(AU89="A",AT89,S89*AS89)),0))</f>
        <v>0</v>
      </c>
      <c r="AF89" s="525"/>
      <c r="AG89" s="637"/>
      <c r="AH89" s="525"/>
      <c r="AI89" s="1086">
        <f t="shared" ref="AI89:AI91" ca="1" si="127">IF(BB89="E",AG89,AV89)</f>
        <v>0</v>
      </c>
      <c r="AJ89" s="380"/>
      <c r="AK89" s="440"/>
      <c r="AM89" s="460">
        <v>89</v>
      </c>
      <c r="AN89" s="1087">
        <f t="shared" ref="AN89:AN91" ca="1" si="128">IF($M$13=$AN$12,"",IF(ISTEXT(INDIRECT("'"&amp;$AM$20&amp;"'!"&amp;AN$21&amp;$AM89)),INDIRECT("'"&amp;$AM$20&amp;"'!"&amp;AN$21&amp;$AM89),INDIRECT("'"&amp;$AM$20&amp;"'!"&amp;AN$22&amp;$AM89)))</f>
        <v>0</v>
      </c>
      <c r="AO89" s="1083">
        <f t="shared" ref="AO89:AV91" ca="1" si="129">IF($M$13=$AN$12,"",INDIRECT("'"&amp;$AM$20&amp;"'!"&amp;AO$21&amp;$AM89))</f>
        <v>0</v>
      </c>
      <c r="AP89" s="356">
        <f t="shared" ca="1" si="129"/>
        <v>0</v>
      </c>
      <c r="AQ89" s="357">
        <f t="shared" ca="1" si="129"/>
        <v>0</v>
      </c>
      <c r="AR89" s="524" t="str">
        <f t="shared" ca="1" si="129"/>
        <v/>
      </c>
      <c r="AS89" s="356">
        <f t="shared" ca="1" si="129"/>
        <v>0</v>
      </c>
      <c r="AT89" s="357">
        <f t="shared" ca="1" si="129"/>
        <v>0</v>
      </c>
      <c r="AU89" s="524" t="str">
        <f t="shared" ca="1" si="129"/>
        <v/>
      </c>
      <c r="AV89" s="1083">
        <f t="shared" ca="1" si="129"/>
        <v>0</v>
      </c>
      <c r="AX89" s="1083" t="str">
        <f t="shared" ref="AX89:AX91" si="130">IF($M$13=$AN$12,"E",IF(ISTEXT(F89),"E","U"))</f>
        <v>U</v>
      </c>
      <c r="AY89" s="1083" t="str">
        <f t="shared" ref="AY89:AY91" si="131">IF($M$13=$AN$12,"E",IF(OR(ISNUMBER(M89),ISNUMBER(O89),ISNUMBER(Q89)),"E","U"))</f>
        <v>U</v>
      </c>
      <c r="AZ89" s="1083" t="str">
        <f t="shared" ref="AZ89:AZ91" si="132">IF($M$13=$AN$12,"E",IF(OR(ISNUMBER(U89),ISNUMBER(V89)),"E","U"))</f>
        <v>U</v>
      </c>
      <c r="BA89" s="1083" t="str">
        <f t="shared" ref="BA89:BA91" si="133">IF($M$13=$AN$12,"E",IF(OR(ISNUMBER(AA89),ISNUMBER(AB89)),"E","U"))</f>
        <v>U</v>
      </c>
      <c r="BB89" s="1083" t="str">
        <f t="shared" ref="BB89:BB91" si="134">IF($M$13=$AN$12,"E",IF(ISNUMBER(AG89),"E","U"))</f>
        <v>U</v>
      </c>
    </row>
    <row r="90" spans="1:54" ht="12" customHeight="1" x14ac:dyDescent="0.2">
      <c r="A90" s="440"/>
      <c r="B90" s="1042"/>
      <c r="C90" s="1036"/>
      <c r="D90" s="1037"/>
      <c r="E90" s="1084">
        <f ca="1">IF(AX90="E","",AN90)</f>
        <v>0</v>
      </c>
      <c r="F90" s="1085"/>
      <c r="G90" s="1264"/>
      <c r="H90" s="1264"/>
      <c r="I90" s="1265"/>
      <c r="J90" s="638"/>
      <c r="K90" s="520" t="s">
        <v>177</v>
      </c>
      <c r="L90" s="521"/>
      <c r="M90" s="342"/>
      <c r="N90" s="521" t="s">
        <v>67</v>
      </c>
      <c r="O90" s="344"/>
      <c r="P90" s="504" t="s">
        <v>68</v>
      </c>
      <c r="Q90" s="344"/>
      <c r="R90" s="522" t="s">
        <v>363</v>
      </c>
      <c r="S90" s="353">
        <f t="shared" ca="1" si="120"/>
        <v>0</v>
      </c>
      <c r="T90" s="523"/>
      <c r="U90" s="350"/>
      <c r="V90" s="308"/>
      <c r="W90" s="1090" t="str">
        <f t="shared" ca="1" si="121"/>
        <v/>
      </c>
      <c r="X90" s="1103">
        <f t="shared" ca="1" si="122"/>
        <v>0</v>
      </c>
      <c r="Y90" s="1120">
        <f t="shared" ca="1" si="123"/>
        <v>0</v>
      </c>
      <c r="Z90" s="524"/>
      <c r="AA90" s="350"/>
      <c r="AB90" s="308"/>
      <c r="AC90" s="1090" t="str">
        <f t="shared" ca="1" si="124"/>
        <v/>
      </c>
      <c r="AD90" s="1103">
        <f t="shared" ca="1" si="125"/>
        <v>0</v>
      </c>
      <c r="AE90" s="1120">
        <f t="shared" ca="1" si="126"/>
        <v>0</v>
      </c>
      <c r="AF90" s="525"/>
      <c r="AG90" s="637"/>
      <c r="AH90" s="525"/>
      <c r="AI90" s="1086">
        <f t="shared" ca="1" si="127"/>
        <v>0</v>
      </c>
      <c r="AJ90" s="380"/>
      <c r="AK90" s="440"/>
      <c r="AM90" s="460">
        <v>90</v>
      </c>
      <c r="AN90" s="1087">
        <f t="shared" ca="1" si="128"/>
        <v>0</v>
      </c>
      <c r="AO90" s="1083">
        <f t="shared" ca="1" si="129"/>
        <v>0</v>
      </c>
      <c r="AP90" s="356">
        <f t="shared" ca="1" si="129"/>
        <v>0</v>
      </c>
      <c r="AQ90" s="357">
        <f t="shared" ca="1" si="129"/>
        <v>0</v>
      </c>
      <c r="AR90" s="524" t="str">
        <f t="shared" ca="1" si="129"/>
        <v/>
      </c>
      <c r="AS90" s="356">
        <f t="shared" ca="1" si="129"/>
        <v>0</v>
      </c>
      <c r="AT90" s="357">
        <f t="shared" ca="1" si="129"/>
        <v>0</v>
      </c>
      <c r="AU90" s="524" t="str">
        <f t="shared" ca="1" si="129"/>
        <v/>
      </c>
      <c r="AV90" s="1083">
        <f t="shared" ca="1" si="129"/>
        <v>0</v>
      </c>
      <c r="AX90" s="1083" t="str">
        <f t="shared" si="130"/>
        <v>U</v>
      </c>
      <c r="AY90" s="1083" t="str">
        <f t="shared" si="131"/>
        <v>U</v>
      </c>
      <c r="AZ90" s="1083" t="str">
        <f t="shared" si="132"/>
        <v>U</v>
      </c>
      <c r="BA90" s="1083" t="str">
        <f t="shared" si="133"/>
        <v>U</v>
      </c>
      <c r="BB90" s="1083" t="str">
        <f t="shared" si="134"/>
        <v>U</v>
      </c>
    </row>
    <row r="91" spans="1:54" ht="12" customHeight="1" x14ac:dyDescent="0.2">
      <c r="A91" s="440"/>
      <c r="B91" s="1042"/>
      <c r="C91" s="1036"/>
      <c r="D91" s="1037"/>
      <c r="E91" s="1084">
        <f ca="1">IF(AX91="E","",AN91)</f>
        <v>0</v>
      </c>
      <c r="F91" s="1085"/>
      <c r="G91" s="1264"/>
      <c r="H91" s="1264"/>
      <c r="I91" s="1265"/>
      <c r="J91" s="638"/>
      <c r="K91" s="520" t="s">
        <v>177</v>
      </c>
      <c r="L91" s="521"/>
      <c r="M91" s="342"/>
      <c r="N91" s="521" t="s">
        <v>67</v>
      </c>
      <c r="O91" s="344"/>
      <c r="P91" s="504" t="s">
        <v>68</v>
      </c>
      <c r="Q91" s="344"/>
      <c r="R91" s="522" t="s">
        <v>363</v>
      </c>
      <c r="S91" s="353">
        <f t="shared" ca="1" si="120"/>
        <v>0</v>
      </c>
      <c r="T91" s="523"/>
      <c r="U91" s="350"/>
      <c r="V91" s="308"/>
      <c r="W91" s="1090" t="str">
        <f t="shared" ca="1" si="121"/>
        <v/>
      </c>
      <c r="X91" s="1103">
        <f t="shared" ca="1" si="122"/>
        <v>0</v>
      </c>
      <c r="Y91" s="1120">
        <f t="shared" ca="1" si="123"/>
        <v>0</v>
      </c>
      <c r="Z91" s="524"/>
      <c r="AA91" s="350"/>
      <c r="AB91" s="308"/>
      <c r="AC91" s="1090" t="str">
        <f t="shared" ca="1" si="124"/>
        <v/>
      </c>
      <c r="AD91" s="1103">
        <f t="shared" ca="1" si="125"/>
        <v>0</v>
      </c>
      <c r="AE91" s="1120">
        <f t="shared" ca="1" si="126"/>
        <v>0</v>
      </c>
      <c r="AF91" s="525"/>
      <c r="AG91" s="637"/>
      <c r="AH91" s="525"/>
      <c r="AI91" s="1086">
        <f t="shared" ca="1" si="127"/>
        <v>0</v>
      </c>
      <c r="AJ91" s="380"/>
      <c r="AK91" s="440"/>
      <c r="AM91" s="460">
        <v>91</v>
      </c>
      <c r="AN91" s="1087">
        <f t="shared" ca="1" si="128"/>
        <v>0</v>
      </c>
      <c r="AO91" s="1083">
        <f t="shared" ca="1" si="129"/>
        <v>0</v>
      </c>
      <c r="AP91" s="356">
        <f t="shared" ca="1" si="129"/>
        <v>0</v>
      </c>
      <c r="AQ91" s="357">
        <f t="shared" ca="1" si="129"/>
        <v>0</v>
      </c>
      <c r="AR91" s="524" t="str">
        <f t="shared" ca="1" si="129"/>
        <v/>
      </c>
      <c r="AS91" s="356">
        <f t="shared" ca="1" si="129"/>
        <v>0</v>
      </c>
      <c r="AT91" s="357">
        <f t="shared" ca="1" si="129"/>
        <v>0</v>
      </c>
      <c r="AU91" s="524" t="str">
        <f t="shared" ca="1" si="129"/>
        <v/>
      </c>
      <c r="AV91" s="1083">
        <f t="shared" ca="1" si="129"/>
        <v>0</v>
      </c>
      <c r="AX91" s="1083" t="str">
        <f t="shared" si="130"/>
        <v>U</v>
      </c>
      <c r="AY91" s="1083" t="str">
        <f t="shared" si="131"/>
        <v>U</v>
      </c>
      <c r="AZ91" s="1083" t="str">
        <f t="shared" si="132"/>
        <v>U</v>
      </c>
      <c r="BA91" s="1083" t="str">
        <f t="shared" si="133"/>
        <v>U</v>
      </c>
      <c r="BB91" s="1083" t="str">
        <f t="shared" si="134"/>
        <v>U</v>
      </c>
    </row>
    <row r="92" spans="1:54" ht="14.25" customHeight="1" collapsed="1" x14ac:dyDescent="0.2">
      <c r="A92" s="440"/>
      <c r="B92" s="1042"/>
      <c r="C92" s="1036" t="s">
        <v>156</v>
      </c>
      <c r="D92" s="494"/>
      <c r="E92" s="1608" t="s">
        <v>186</v>
      </c>
      <c r="F92" s="1608"/>
      <c r="G92" s="1608"/>
      <c r="H92" s="1608"/>
      <c r="I92" s="1608"/>
      <c r="J92" s="1608"/>
      <c r="K92" s="1608"/>
      <c r="L92" s="1041"/>
      <c r="M92" s="526"/>
      <c r="N92" s="519"/>
      <c r="O92" s="530"/>
      <c r="P92" s="1037"/>
      <c r="Q92" s="1037"/>
      <c r="R92" s="1037"/>
      <c r="S92" s="355">
        <f ca="1">S93+S98</f>
        <v>0</v>
      </c>
      <c r="T92" s="363"/>
      <c r="U92" s="360"/>
      <c r="V92" s="361"/>
      <c r="W92" s="1092"/>
      <c r="X92" s="1105"/>
      <c r="Y92" s="1121"/>
      <c r="Z92" s="363"/>
      <c r="AA92" s="360"/>
      <c r="AB92" s="361"/>
      <c r="AC92" s="1092"/>
      <c r="AD92" s="1105"/>
      <c r="AE92" s="1121"/>
      <c r="AF92" s="359"/>
      <c r="AG92" s="359"/>
      <c r="AH92" s="359"/>
      <c r="AI92" s="358"/>
      <c r="AJ92" s="359"/>
      <c r="AK92" s="440"/>
      <c r="AM92" s="460">
        <v>92</v>
      </c>
      <c r="AN92" s="1078"/>
    </row>
    <row r="93" spans="1:54" ht="12" customHeight="1" x14ac:dyDescent="0.25">
      <c r="A93" s="440"/>
      <c r="B93" s="1042"/>
      <c r="C93" s="1036"/>
      <c r="D93" s="1037" t="s">
        <v>157</v>
      </c>
      <c r="E93" s="1037" t="s">
        <v>172</v>
      </c>
      <c r="F93" s="1037"/>
      <c r="G93" s="1037"/>
      <c r="H93" s="1037"/>
      <c r="I93" s="1037"/>
      <c r="J93" s="1038"/>
      <c r="K93" s="529"/>
      <c r="L93" s="529"/>
      <c r="M93" s="536"/>
      <c r="N93" s="462"/>
      <c r="O93" s="537"/>
      <c r="P93" s="1037"/>
      <c r="Q93" s="1037"/>
      <c r="R93" s="1037"/>
      <c r="S93" s="354">
        <f ca="1">SUBTOTAL(109,S95:S97)</f>
        <v>0</v>
      </c>
      <c r="T93" s="363"/>
      <c r="U93" s="358"/>
      <c r="V93" s="358"/>
      <c r="W93" s="1091"/>
      <c r="X93" s="1104"/>
      <c r="Y93" s="1104"/>
      <c r="Z93" s="358"/>
      <c r="AA93" s="358"/>
      <c r="AB93" s="358"/>
      <c r="AC93" s="1091"/>
      <c r="AD93" s="1104"/>
      <c r="AE93" s="1104"/>
      <c r="AF93" s="358"/>
      <c r="AG93" s="358"/>
      <c r="AH93" s="358"/>
      <c r="AI93" s="358"/>
      <c r="AJ93" s="358"/>
      <c r="AK93" s="440"/>
      <c r="AM93" s="460">
        <v>93</v>
      </c>
      <c r="AN93" s="1078"/>
    </row>
    <row r="94" spans="1:54" ht="12" customHeight="1" x14ac:dyDescent="0.25">
      <c r="A94" s="440"/>
      <c r="B94" s="1042"/>
      <c r="C94" s="1036"/>
      <c r="D94" s="1037"/>
      <c r="E94" s="1037"/>
      <c r="F94" s="1037"/>
      <c r="G94" s="1037"/>
      <c r="H94" s="1037"/>
      <c r="I94" s="1037"/>
      <c r="J94" s="1603" t="s">
        <v>170</v>
      </c>
      <c r="K94" s="1603"/>
      <c r="L94" s="529"/>
      <c r="M94" s="536"/>
      <c r="N94" s="462"/>
      <c r="O94" s="537"/>
      <c r="P94" s="1037"/>
      <c r="Q94" s="1037"/>
      <c r="R94" s="1037"/>
      <c r="S94" s="354"/>
      <c r="T94" s="363"/>
      <c r="U94" s="366"/>
      <c r="V94" s="367"/>
      <c r="W94" s="1092"/>
      <c r="X94" s="1107"/>
      <c r="Y94" s="1123"/>
      <c r="Z94" s="363"/>
      <c r="AA94" s="366"/>
      <c r="AB94" s="367"/>
      <c r="AC94" s="1092"/>
      <c r="AD94" s="1107"/>
      <c r="AE94" s="1123"/>
      <c r="AF94" s="359"/>
      <c r="AG94" s="359"/>
      <c r="AH94" s="359"/>
      <c r="AI94" s="373"/>
      <c r="AJ94" s="359"/>
      <c r="AK94" s="440"/>
      <c r="AM94" s="460">
        <v>94</v>
      </c>
      <c r="AN94" s="1078"/>
    </row>
    <row r="95" spans="1:54" ht="12" customHeight="1" x14ac:dyDescent="0.2">
      <c r="A95" s="440"/>
      <c r="B95" s="1042"/>
      <c r="C95" s="1036"/>
      <c r="D95" s="1037"/>
      <c r="E95" s="1084">
        <f ca="1">IF(AX95="E","",AN95)</f>
        <v>0</v>
      </c>
      <c r="F95" s="1085"/>
      <c r="G95" s="1264"/>
      <c r="H95" s="1264"/>
      <c r="I95" s="1265"/>
      <c r="J95" s="638"/>
      <c r="K95" s="520" t="s">
        <v>177</v>
      </c>
      <c r="L95" s="521"/>
      <c r="M95" s="339"/>
      <c r="N95" s="521" t="s">
        <v>67</v>
      </c>
      <c r="O95" s="339"/>
      <c r="P95" s="504" t="s">
        <v>68</v>
      </c>
      <c r="Q95" s="344"/>
      <c r="R95" s="522" t="s">
        <v>363</v>
      </c>
      <c r="S95" s="353">
        <f t="shared" ref="S95:S97" ca="1" si="135">IF(AY95="E",(M95*O95)+Q95,AO95)</f>
        <v>0</v>
      </c>
      <c r="T95" s="523"/>
      <c r="U95" s="350"/>
      <c r="V95" s="308"/>
      <c r="W95" s="1090" t="str">
        <f t="shared" ref="W95:W97" ca="1" si="136">IF(AZ95="E",IF(AND(V95&lt;&gt;0,U95&lt;&gt;0),"X",IF(AND(V95&lt;&gt;0,U95=0),"A",IF(AND(V95=0,U95&lt;&gt;0),"P",""))),AR95)</f>
        <v/>
      </c>
      <c r="X95" s="1103">
        <f t="shared" ref="X95:X97" ca="1" si="137">IF(AZ95="E",IFERROR(IF(W95="X",0,IF(U95&gt;0,U95,V95/S95)),0),
IFERROR(IF(OR(AR95="X",AR95=0),0,
IF(AR95="P",AP95,IF(AR95="A",AQ95/S95,0))),0))</f>
        <v>0</v>
      </c>
      <c r="Y95" s="1120">
        <f t="shared" ref="Y95:Y97" ca="1" si="138">IF(AZ95="E",IFERROR(IF(W95="X",0,IF(V95&gt;0,V95,S95*U95)),0),
IFERROR(IF(OR(AR95="X",AR95="0"),0,IF(AR95="A",AQ95,S95*AP95)),0))</f>
        <v>0</v>
      </c>
      <c r="Z95" s="524"/>
      <c r="AA95" s="350"/>
      <c r="AB95" s="308"/>
      <c r="AC95" s="1090" t="str">
        <f t="shared" ref="AC95:AC97" ca="1" si="139">IF(BA95="E",IF(AND(AB95&lt;&gt;0,AA95&lt;&gt;0),"X",IF(AND(AB95&lt;&gt;0,AA95=0),"A",IF(AND(AB95=0,AA95&lt;&gt;0),"P",""))),AU95)</f>
        <v/>
      </c>
      <c r="AD95" s="1103">
        <f t="shared" ref="AD95:AD97" ca="1" si="140">IF(BA95="E",IFERROR(IF(AC95="X",0,IF(AA95&gt;0,AA95,AB95/S95)),0),
IFERROR(IF(OR(AU95="X",AU95=0),0,
IF(AU95="P",AS95,IF(AU95="A",AT95/S95,0))),0))</f>
        <v>0</v>
      </c>
      <c r="AE95" s="1120">
        <f t="shared" ref="AE95:AE97" ca="1" si="141">IF(BA95="E",IFERROR(IF(AC95="X",0,IF(AB95&gt;0,AB95,S95*AA95)),0),
IFERROR(IF(OR(AU95="X",AU95=0),0,
IF(AU95="A",AT95,S95*AS95)),0))</f>
        <v>0</v>
      </c>
      <c r="AF95" s="525"/>
      <c r="AG95" s="637"/>
      <c r="AH95" s="525"/>
      <c r="AI95" s="1086">
        <f t="shared" ref="AI95:AI97" ca="1" si="142">IF(BB95="E",AG95,AV95)</f>
        <v>0</v>
      </c>
      <c r="AJ95" s="380"/>
      <c r="AK95" s="440"/>
      <c r="AM95" s="460">
        <v>95</v>
      </c>
      <c r="AN95" s="1087">
        <f t="shared" ref="AN95:AN97" ca="1" si="143">IF($M$13=$AN$12,"",IF(ISTEXT(INDIRECT("'"&amp;$AM$20&amp;"'!"&amp;AN$21&amp;$AM95)),INDIRECT("'"&amp;$AM$20&amp;"'!"&amp;AN$21&amp;$AM95),INDIRECT("'"&amp;$AM$20&amp;"'!"&amp;AN$22&amp;$AM95)))</f>
        <v>0</v>
      </c>
      <c r="AO95" s="1083">
        <f t="shared" ref="AO95:AV97" ca="1" si="144">IF($M$13=$AN$12,"",INDIRECT("'"&amp;$AM$20&amp;"'!"&amp;AO$21&amp;$AM95))</f>
        <v>0</v>
      </c>
      <c r="AP95" s="356">
        <f t="shared" ca="1" si="144"/>
        <v>0</v>
      </c>
      <c r="AQ95" s="357">
        <f t="shared" ca="1" si="144"/>
        <v>0</v>
      </c>
      <c r="AR95" s="524" t="str">
        <f t="shared" ca="1" si="144"/>
        <v/>
      </c>
      <c r="AS95" s="356">
        <f t="shared" ca="1" si="144"/>
        <v>0</v>
      </c>
      <c r="AT95" s="357">
        <f t="shared" ca="1" si="144"/>
        <v>0</v>
      </c>
      <c r="AU95" s="524" t="str">
        <f t="shared" ca="1" si="144"/>
        <v/>
      </c>
      <c r="AV95" s="1083">
        <f t="shared" ca="1" si="144"/>
        <v>0</v>
      </c>
      <c r="AX95" s="1083" t="str">
        <f t="shared" ref="AX95:AX97" si="145">IF($M$13=$AN$12,"E",IF(ISTEXT(F95),"E","U"))</f>
        <v>U</v>
      </c>
      <c r="AY95" s="1083" t="str">
        <f t="shared" ref="AY95:AY97" si="146">IF($M$13=$AN$12,"E",IF(OR(ISNUMBER(M95),ISNUMBER(O95),ISNUMBER(Q95)),"E","U"))</f>
        <v>U</v>
      </c>
      <c r="AZ95" s="1083" t="str">
        <f t="shared" ref="AZ95:AZ97" si="147">IF($M$13=$AN$12,"E",IF(OR(ISNUMBER(U95),ISNUMBER(V95)),"E","U"))</f>
        <v>U</v>
      </c>
      <c r="BA95" s="1083" t="str">
        <f t="shared" ref="BA95:BA97" si="148">IF($M$13=$AN$12,"E",IF(OR(ISNUMBER(AA95),ISNUMBER(AB95)),"E","U"))</f>
        <v>U</v>
      </c>
      <c r="BB95" s="1083" t="str">
        <f t="shared" ref="BB95:BB97" si="149">IF($M$13=$AN$12,"E",IF(ISNUMBER(AG95),"E","U"))</f>
        <v>U</v>
      </c>
    </row>
    <row r="96" spans="1:54" ht="12" customHeight="1" x14ac:dyDescent="0.2">
      <c r="A96" s="440"/>
      <c r="B96" s="1042"/>
      <c r="C96" s="1036"/>
      <c r="D96" s="1037"/>
      <c r="E96" s="1084">
        <f ca="1">IF(AX96="E","",AN96)</f>
        <v>0</v>
      </c>
      <c r="F96" s="1085"/>
      <c r="G96" s="1264"/>
      <c r="H96" s="1264"/>
      <c r="I96" s="1265"/>
      <c r="J96" s="638"/>
      <c r="K96" s="520" t="s">
        <v>177</v>
      </c>
      <c r="L96" s="521"/>
      <c r="M96" s="339"/>
      <c r="N96" s="521" t="s">
        <v>67</v>
      </c>
      <c r="O96" s="339"/>
      <c r="P96" s="504" t="s">
        <v>68</v>
      </c>
      <c r="Q96" s="344"/>
      <c r="R96" s="522" t="s">
        <v>363</v>
      </c>
      <c r="S96" s="353">
        <f t="shared" ca="1" si="135"/>
        <v>0</v>
      </c>
      <c r="T96" s="523"/>
      <c r="U96" s="350"/>
      <c r="V96" s="308"/>
      <c r="W96" s="1090" t="str">
        <f t="shared" ca="1" si="136"/>
        <v/>
      </c>
      <c r="X96" s="1103">
        <f t="shared" ca="1" si="137"/>
        <v>0</v>
      </c>
      <c r="Y96" s="1120">
        <f t="shared" ca="1" si="138"/>
        <v>0</v>
      </c>
      <c r="Z96" s="524"/>
      <c r="AA96" s="350"/>
      <c r="AB96" s="308"/>
      <c r="AC96" s="1090" t="str">
        <f t="shared" ca="1" si="139"/>
        <v/>
      </c>
      <c r="AD96" s="1103">
        <f t="shared" ca="1" si="140"/>
        <v>0</v>
      </c>
      <c r="AE96" s="1120">
        <f t="shared" ca="1" si="141"/>
        <v>0</v>
      </c>
      <c r="AF96" s="525"/>
      <c r="AG96" s="637"/>
      <c r="AH96" s="525"/>
      <c r="AI96" s="1086">
        <f t="shared" ca="1" si="142"/>
        <v>0</v>
      </c>
      <c r="AJ96" s="380"/>
      <c r="AK96" s="440"/>
      <c r="AM96" s="460">
        <v>96</v>
      </c>
      <c r="AN96" s="1087">
        <f t="shared" ca="1" si="143"/>
        <v>0</v>
      </c>
      <c r="AO96" s="1083">
        <f t="shared" ca="1" si="144"/>
        <v>0</v>
      </c>
      <c r="AP96" s="356">
        <f t="shared" ca="1" si="144"/>
        <v>0</v>
      </c>
      <c r="AQ96" s="357">
        <f t="shared" ca="1" si="144"/>
        <v>0</v>
      </c>
      <c r="AR96" s="524" t="str">
        <f t="shared" ca="1" si="144"/>
        <v/>
      </c>
      <c r="AS96" s="356">
        <f t="shared" ca="1" si="144"/>
        <v>0</v>
      </c>
      <c r="AT96" s="357">
        <f t="shared" ca="1" si="144"/>
        <v>0</v>
      </c>
      <c r="AU96" s="524" t="str">
        <f t="shared" ca="1" si="144"/>
        <v/>
      </c>
      <c r="AV96" s="1083">
        <f t="shared" ca="1" si="144"/>
        <v>0</v>
      </c>
      <c r="AX96" s="1083" t="str">
        <f t="shared" si="145"/>
        <v>U</v>
      </c>
      <c r="AY96" s="1083" t="str">
        <f t="shared" si="146"/>
        <v>U</v>
      </c>
      <c r="AZ96" s="1083" t="str">
        <f t="shared" si="147"/>
        <v>U</v>
      </c>
      <c r="BA96" s="1083" t="str">
        <f t="shared" si="148"/>
        <v>U</v>
      </c>
      <c r="BB96" s="1083" t="str">
        <f t="shared" si="149"/>
        <v>U</v>
      </c>
    </row>
    <row r="97" spans="1:54" ht="12" customHeight="1" x14ac:dyDescent="0.2">
      <c r="A97" s="440"/>
      <c r="B97" s="1042"/>
      <c r="C97" s="1036"/>
      <c r="D97" s="1037"/>
      <c r="E97" s="1084">
        <f ca="1">IF(AX97="E","",AN97)</f>
        <v>0</v>
      </c>
      <c r="F97" s="1085"/>
      <c r="G97" s="1264"/>
      <c r="H97" s="1264"/>
      <c r="I97" s="1265"/>
      <c r="J97" s="638"/>
      <c r="K97" s="538" t="s">
        <v>177</v>
      </c>
      <c r="L97" s="503"/>
      <c r="M97" s="339"/>
      <c r="N97" s="521" t="s">
        <v>67</v>
      </c>
      <c r="O97" s="339"/>
      <c r="P97" s="504" t="s">
        <v>68</v>
      </c>
      <c r="Q97" s="344"/>
      <c r="R97" s="522" t="s">
        <v>363</v>
      </c>
      <c r="S97" s="353">
        <f t="shared" ca="1" si="135"/>
        <v>0</v>
      </c>
      <c r="T97" s="523"/>
      <c r="U97" s="350"/>
      <c r="V97" s="308"/>
      <c r="W97" s="1090" t="str">
        <f t="shared" ca="1" si="136"/>
        <v/>
      </c>
      <c r="X97" s="1103">
        <f t="shared" ca="1" si="137"/>
        <v>0</v>
      </c>
      <c r="Y97" s="1120">
        <f t="shared" ca="1" si="138"/>
        <v>0</v>
      </c>
      <c r="Z97" s="524"/>
      <c r="AA97" s="350"/>
      <c r="AB97" s="308"/>
      <c r="AC97" s="1090" t="str">
        <f t="shared" ca="1" si="139"/>
        <v/>
      </c>
      <c r="AD97" s="1103">
        <f t="shared" ca="1" si="140"/>
        <v>0</v>
      </c>
      <c r="AE97" s="1120">
        <f t="shared" ca="1" si="141"/>
        <v>0</v>
      </c>
      <c r="AF97" s="525"/>
      <c r="AG97" s="637"/>
      <c r="AH97" s="525"/>
      <c r="AI97" s="1086">
        <f t="shared" ca="1" si="142"/>
        <v>0</v>
      </c>
      <c r="AJ97" s="380"/>
      <c r="AK97" s="440"/>
      <c r="AM97" s="460">
        <v>97</v>
      </c>
      <c r="AN97" s="1087">
        <f t="shared" ca="1" si="143"/>
        <v>0</v>
      </c>
      <c r="AO97" s="1083">
        <f t="shared" ca="1" si="144"/>
        <v>0</v>
      </c>
      <c r="AP97" s="356">
        <f t="shared" ca="1" si="144"/>
        <v>0</v>
      </c>
      <c r="AQ97" s="357">
        <f t="shared" ca="1" si="144"/>
        <v>0</v>
      </c>
      <c r="AR97" s="524" t="str">
        <f t="shared" ca="1" si="144"/>
        <v/>
      </c>
      <c r="AS97" s="356">
        <f t="shared" ca="1" si="144"/>
        <v>0</v>
      </c>
      <c r="AT97" s="357">
        <f t="shared" ca="1" si="144"/>
        <v>0</v>
      </c>
      <c r="AU97" s="524" t="str">
        <f t="shared" ca="1" si="144"/>
        <v/>
      </c>
      <c r="AV97" s="1083">
        <f t="shared" ca="1" si="144"/>
        <v>0</v>
      </c>
      <c r="AX97" s="1083" t="str">
        <f t="shared" si="145"/>
        <v>U</v>
      </c>
      <c r="AY97" s="1083" t="str">
        <f t="shared" si="146"/>
        <v>U</v>
      </c>
      <c r="AZ97" s="1083" t="str">
        <f t="shared" si="147"/>
        <v>U</v>
      </c>
      <c r="BA97" s="1083" t="str">
        <f t="shared" si="148"/>
        <v>U</v>
      </c>
      <c r="BB97" s="1083" t="str">
        <f t="shared" si="149"/>
        <v>U</v>
      </c>
    </row>
    <row r="98" spans="1:54" ht="12" customHeight="1" x14ac:dyDescent="0.25">
      <c r="A98" s="440"/>
      <c r="B98" s="1042"/>
      <c r="C98" s="1036"/>
      <c r="D98" s="1037" t="s">
        <v>162</v>
      </c>
      <c r="E98" s="1607" t="s">
        <v>174</v>
      </c>
      <c r="F98" s="1607"/>
      <c r="G98" s="1607"/>
      <c r="H98" s="1607"/>
      <c r="I98" s="1607"/>
      <c r="J98" s="1038"/>
      <c r="K98" s="529"/>
      <c r="L98" s="503"/>
      <c r="M98" s="536"/>
      <c r="N98" s="462"/>
      <c r="O98" s="537"/>
      <c r="P98" s="1037"/>
      <c r="Q98" s="1037"/>
      <c r="R98" s="1037"/>
      <c r="S98" s="354">
        <f ca="1">SUBTOTAL(109,S100:S101)</f>
        <v>0</v>
      </c>
      <c r="T98" s="363"/>
      <c r="U98" s="360"/>
      <c r="V98" s="360"/>
      <c r="W98" s="1091"/>
      <c r="X98" s="1105"/>
      <c r="Y98" s="1105"/>
      <c r="Z98" s="360"/>
      <c r="AA98" s="360"/>
      <c r="AB98" s="360"/>
      <c r="AC98" s="1091"/>
      <c r="AD98" s="1105"/>
      <c r="AE98" s="1105"/>
      <c r="AF98" s="360"/>
      <c r="AG98" s="360"/>
      <c r="AH98" s="360"/>
      <c r="AI98" s="360"/>
      <c r="AJ98" s="358"/>
      <c r="AK98" s="440"/>
      <c r="AM98" s="460">
        <v>98</v>
      </c>
      <c r="AN98" s="1078"/>
    </row>
    <row r="99" spans="1:54" ht="12" customHeight="1" x14ac:dyDescent="0.25">
      <c r="A99" s="440"/>
      <c r="B99" s="1042"/>
      <c r="C99" s="1036"/>
      <c r="D99" s="1037"/>
      <c r="E99" s="1040"/>
      <c r="F99" s="1040"/>
      <c r="G99" s="1040"/>
      <c r="H99" s="1040"/>
      <c r="I99" s="1040"/>
      <c r="J99" s="1603" t="s">
        <v>178</v>
      </c>
      <c r="K99" s="1603"/>
      <c r="L99" s="503"/>
      <c r="M99" s="536"/>
      <c r="N99" s="462"/>
      <c r="O99" s="537"/>
      <c r="P99" s="1037"/>
      <c r="Q99" s="1037"/>
      <c r="R99" s="1037"/>
      <c r="S99" s="354"/>
      <c r="T99" s="363"/>
      <c r="U99" s="360"/>
      <c r="V99" s="360"/>
      <c r="W99" s="1092"/>
      <c r="X99" s="1105"/>
      <c r="Y99" s="1105"/>
      <c r="Z99" s="360"/>
      <c r="AA99" s="360"/>
      <c r="AB99" s="360"/>
      <c r="AC99" s="1092"/>
      <c r="AD99" s="1105"/>
      <c r="AE99" s="1105"/>
      <c r="AF99" s="360"/>
      <c r="AG99" s="360"/>
      <c r="AH99" s="360"/>
      <c r="AI99" s="360"/>
      <c r="AJ99" s="359"/>
      <c r="AK99" s="440"/>
      <c r="AM99" s="460">
        <v>99</v>
      </c>
      <c r="AN99" s="1078"/>
    </row>
    <row r="100" spans="1:54" ht="12" customHeight="1" x14ac:dyDescent="0.25">
      <c r="A100" s="440"/>
      <c r="B100" s="1042"/>
      <c r="C100" s="1036"/>
      <c r="D100" s="1037"/>
      <c r="E100" s="1084">
        <f ca="1">IF(AX100="E","",AN100)</f>
        <v>0</v>
      </c>
      <c r="F100" s="1085"/>
      <c r="G100" s="1264"/>
      <c r="H100" s="1264"/>
      <c r="I100" s="1265"/>
      <c r="J100" s="638"/>
      <c r="K100" s="538" t="s">
        <v>173</v>
      </c>
      <c r="L100" s="503"/>
      <c r="M100" s="339"/>
      <c r="N100" s="462"/>
      <c r="O100" s="339"/>
      <c r="P100" s="1037"/>
      <c r="Q100" s="344"/>
      <c r="R100" s="522" t="s">
        <v>363</v>
      </c>
      <c r="S100" s="353">
        <f t="shared" ref="S100:S101" ca="1" si="150">IF(AY100="E",(M100*O100)+Q100,AO100)</f>
        <v>0</v>
      </c>
      <c r="T100" s="523"/>
      <c r="U100" s="350"/>
      <c r="V100" s="308"/>
      <c r="W100" s="1090" t="str">
        <f t="shared" ref="W100:W101" ca="1" si="151">IF(AZ100="E",IF(AND(V100&lt;&gt;0,U100&lt;&gt;0),"X",IF(AND(V100&lt;&gt;0,U100=0),"A",IF(AND(V100=0,U100&lt;&gt;0),"P",""))),AR100)</f>
        <v/>
      </c>
      <c r="X100" s="1103">
        <f t="shared" ref="X100:X101" ca="1" si="152">IF(AZ100="E",IFERROR(IF(W100="X",0,IF(U100&gt;0,U100,V100/S100)),0),
IFERROR(IF(OR(AR100="X",AR100=0),0,
IF(AR100="P",AP100,IF(AR100="A",AQ100/S100,0))),0))</f>
        <v>0</v>
      </c>
      <c r="Y100" s="1120">
        <f t="shared" ref="Y100:Y101" ca="1" si="153">IF(AZ100="E",IFERROR(IF(W100="X",0,IF(V100&gt;0,V100,S100*U100)),0),
IFERROR(IF(OR(AR100="X",AR100="0"),0,IF(AR100="A",AQ100,S100*AP100)),0))</f>
        <v>0</v>
      </c>
      <c r="Z100" s="524"/>
      <c r="AA100" s="350"/>
      <c r="AB100" s="308"/>
      <c r="AC100" s="1090" t="str">
        <f t="shared" ref="AC100:AC101" ca="1" si="154">IF(BA100="E",IF(AND(AB100&lt;&gt;0,AA100&lt;&gt;0),"X",IF(AND(AB100&lt;&gt;0,AA100=0),"A",IF(AND(AB100=0,AA100&lt;&gt;0),"P",""))),AU100)</f>
        <v/>
      </c>
      <c r="AD100" s="1103">
        <f t="shared" ref="AD100:AD101" ca="1" si="155">IF(BA100="E",IFERROR(IF(AC100="X",0,IF(AA100&gt;0,AA100,AB100/S100)),0),
IFERROR(IF(OR(AU100="X",AU100=0),0,
IF(AU100="P",AS100,IF(AU100="A",AT100/S100,0))),0))</f>
        <v>0</v>
      </c>
      <c r="AE100" s="1120">
        <f t="shared" ref="AE100:AE101" ca="1" si="156">IF(BA100="E",IFERROR(IF(AC100="X",0,IF(AB100&gt;0,AB100,S100*AA100)),0),
IFERROR(IF(OR(AU100="X",AU100=0),0,
IF(AU100="A",AT100,S100*AS100)),0))</f>
        <v>0</v>
      </c>
      <c r="AF100" s="525"/>
      <c r="AG100" s="637"/>
      <c r="AH100" s="525"/>
      <c r="AI100" s="1086">
        <f t="shared" ref="AI100:AI101" ca="1" si="157">IF(BB100="E",AG100,AV100)</f>
        <v>0</v>
      </c>
      <c r="AJ100" s="380"/>
      <c r="AK100" s="440"/>
      <c r="AM100" s="460">
        <v>100</v>
      </c>
      <c r="AN100" s="1087">
        <f t="shared" ref="AN100:AN101" ca="1" si="158">IF($M$13=$AN$12,"",IF(ISTEXT(INDIRECT("'"&amp;$AM$20&amp;"'!"&amp;AN$21&amp;$AM100)),INDIRECT("'"&amp;$AM$20&amp;"'!"&amp;AN$21&amp;$AM100),INDIRECT("'"&amp;$AM$20&amp;"'!"&amp;AN$22&amp;$AM100)))</f>
        <v>0</v>
      </c>
      <c r="AO100" s="1083">
        <f t="shared" ref="AO100:AV101" ca="1" si="159">IF($M$13=$AN$12,"",INDIRECT("'"&amp;$AM$20&amp;"'!"&amp;AO$21&amp;$AM100))</f>
        <v>0</v>
      </c>
      <c r="AP100" s="356">
        <f t="shared" ca="1" si="159"/>
        <v>0</v>
      </c>
      <c r="AQ100" s="357">
        <f t="shared" ca="1" si="159"/>
        <v>0</v>
      </c>
      <c r="AR100" s="524" t="str">
        <f t="shared" ca="1" si="159"/>
        <v/>
      </c>
      <c r="AS100" s="356">
        <f t="shared" ca="1" si="159"/>
        <v>0</v>
      </c>
      <c r="AT100" s="357">
        <f t="shared" ca="1" si="159"/>
        <v>0</v>
      </c>
      <c r="AU100" s="524" t="str">
        <f t="shared" ca="1" si="159"/>
        <v/>
      </c>
      <c r="AV100" s="1083">
        <f t="shared" ca="1" si="159"/>
        <v>0</v>
      </c>
      <c r="AX100" s="1083" t="str">
        <f t="shared" ref="AX100:AX101" si="160">IF($M$13=$AN$12,"E",IF(ISTEXT(F100),"E","U"))</f>
        <v>U</v>
      </c>
      <c r="AY100" s="1083" t="str">
        <f t="shared" ref="AY100:AY101" si="161">IF($M$13=$AN$12,"E",IF(OR(ISNUMBER(M100),ISNUMBER(O100),ISNUMBER(Q100)),"E","U"))</f>
        <v>U</v>
      </c>
      <c r="AZ100" s="1083" t="str">
        <f t="shared" ref="AZ100:AZ101" si="162">IF($M$13=$AN$12,"E",IF(OR(ISNUMBER(U100),ISNUMBER(V100)),"E","U"))</f>
        <v>U</v>
      </c>
      <c r="BA100" s="1083" t="str">
        <f t="shared" ref="BA100:BA101" si="163">IF($M$13=$AN$12,"E",IF(OR(ISNUMBER(AA100),ISNUMBER(AB100)),"E","U"))</f>
        <v>U</v>
      </c>
      <c r="BB100" s="1083" t="str">
        <f t="shared" ref="BB100:BB101" si="164">IF($M$13=$AN$12,"E",IF(ISNUMBER(AG100),"E","U"))</f>
        <v>U</v>
      </c>
    </row>
    <row r="101" spans="1:54" ht="12" customHeight="1" x14ac:dyDescent="0.25">
      <c r="A101" s="440"/>
      <c r="B101" s="1042"/>
      <c r="C101" s="1036"/>
      <c r="D101" s="1037"/>
      <c r="E101" s="1084">
        <f ca="1">IF(AX101="E","",AN101)</f>
        <v>0</v>
      </c>
      <c r="F101" s="1085"/>
      <c r="G101" s="1264"/>
      <c r="H101" s="1264"/>
      <c r="I101" s="1265"/>
      <c r="J101" s="638"/>
      <c r="K101" s="538" t="s">
        <v>173</v>
      </c>
      <c r="L101" s="503"/>
      <c r="M101" s="339"/>
      <c r="N101" s="462"/>
      <c r="O101" s="339"/>
      <c r="P101" s="1037"/>
      <c r="Q101" s="344"/>
      <c r="R101" s="522" t="s">
        <v>363</v>
      </c>
      <c r="S101" s="353">
        <f t="shared" ca="1" si="150"/>
        <v>0</v>
      </c>
      <c r="T101" s="523"/>
      <c r="U101" s="350"/>
      <c r="V101" s="308"/>
      <c r="W101" s="1090" t="str">
        <f t="shared" ca="1" si="151"/>
        <v/>
      </c>
      <c r="X101" s="1103">
        <f t="shared" ca="1" si="152"/>
        <v>0</v>
      </c>
      <c r="Y101" s="1120">
        <f t="shared" ca="1" si="153"/>
        <v>0</v>
      </c>
      <c r="Z101" s="524"/>
      <c r="AA101" s="350"/>
      <c r="AB101" s="308"/>
      <c r="AC101" s="1090" t="str">
        <f t="shared" ca="1" si="154"/>
        <v/>
      </c>
      <c r="AD101" s="1103">
        <f t="shared" ca="1" si="155"/>
        <v>0</v>
      </c>
      <c r="AE101" s="1120">
        <f t="shared" ca="1" si="156"/>
        <v>0</v>
      </c>
      <c r="AF101" s="525"/>
      <c r="AG101" s="637"/>
      <c r="AH101" s="525"/>
      <c r="AI101" s="1086">
        <f t="shared" ca="1" si="157"/>
        <v>0</v>
      </c>
      <c r="AJ101" s="380"/>
      <c r="AK101" s="440"/>
      <c r="AM101" s="460">
        <v>101</v>
      </c>
      <c r="AN101" s="1087">
        <f t="shared" ca="1" si="158"/>
        <v>0</v>
      </c>
      <c r="AO101" s="1083">
        <f t="shared" ca="1" si="159"/>
        <v>0</v>
      </c>
      <c r="AP101" s="356">
        <f t="shared" ca="1" si="159"/>
        <v>0</v>
      </c>
      <c r="AQ101" s="357">
        <f t="shared" ca="1" si="159"/>
        <v>0</v>
      </c>
      <c r="AR101" s="524" t="str">
        <f t="shared" ca="1" si="159"/>
        <v/>
      </c>
      <c r="AS101" s="356">
        <f t="shared" ca="1" si="159"/>
        <v>0</v>
      </c>
      <c r="AT101" s="357">
        <f t="shared" ca="1" si="159"/>
        <v>0</v>
      </c>
      <c r="AU101" s="524" t="str">
        <f t="shared" ca="1" si="159"/>
        <v/>
      </c>
      <c r="AV101" s="1083">
        <f t="shared" ca="1" si="159"/>
        <v>0</v>
      </c>
      <c r="AX101" s="1083" t="str">
        <f t="shared" si="160"/>
        <v>U</v>
      </c>
      <c r="AY101" s="1083" t="str">
        <f t="shared" si="161"/>
        <v>U</v>
      </c>
      <c r="AZ101" s="1083" t="str">
        <f t="shared" si="162"/>
        <v>U</v>
      </c>
      <c r="BA101" s="1083" t="str">
        <f t="shared" si="163"/>
        <v>U</v>
      </c>
      <c r="BB101" s="1083" t="str">
        <f t="shared" si="164"/>
        <v>U</v>
      </c>
    </row>
    <row r="102" spans="1:54" ht="14.25" customHeight="1" x14ac:dyDescent="0.25">
      <c r="A102" s="440"/>
      <c r="B102" s="1042"/>
      <c r="C102" s="1036" t="s">
        <v>184</v>
      </c>
      <c r="D102" s="494"/>
      <c r="E102" s="1608" t="s">
        <v>185</v>
      </c>
      <c r="F102" s="1608"/>
      <c r="G102" s="1608"/>
      <c r="H102" s="1608"/>
      <c r="I102" s="1608"/>
      <c r="J102" s="1608"/>
      <c r="K102" s="1608"/>
      <c r="L102" s="529"/>
      <c r="M102" s="536"/>
      <c r="N102" s="462"/>
      <c r="O102" s="537"/>
      <c r="P102" s="1037"/>
      <c r="Q102" s="1037"/>
      <c r="R102" s="1037"/>
      <c r="S102" s="355">
        <f ca="1">SUBTOTAL(109,S104:S110)</f>
        <v>141152.4</v>
      </c>
      <c r="T102" s="363"/>
      <c r="U102" s="360"/>
      <c r="V102" s="361"/>
      <c r="W102" s="1092"/>
      <c r="X102" s="1105"/>
      <c r="Y102" s="1121"/>
      <c r="Z102" s="363"/>
      <c r="AA102" s="360"/>
      <c r="AB102" s="361"/>
      <c r="AC102" s="1092"/>
      <c r="AD102" s="1105"/>
      <c r="AE102" s="1121"/>
      <c r="AF102" s="359"/>
      <c r="AG102" s="359"/>
      <c r="AH102" s="359"/>
      <c r="AI102" s="358"/>
      <c r="AJ102" s="380"/>
      <c r="AK102" s="440"/>
      <c r="AL102" s="395"/>
      <c r="AM102" s="460">
        <v>102</v>
      </c>
      <c r="AN102" s="1078"/>
    </row>
    <row r="103" spans="1:54" ht="14.25" customHeight="1" x14ac:dyDescent="0.25">
      <c r="A103" s="440"/>
      <c r="B103" s="1042"/>
      <c r="C103" s="1036"/>
      <c r="D103" s="494"/>
      <c r="E103" s="1041"/>
      <c r="F103" s="1041"/>
      <c r="G103" s="1041"/>
      <c r="H103" s="1041"/>
      <c r="I103" s="1041"/>
      <c r="J103" s="1041"/>
      <c r="K103" s="1041"/>
      <c r="L103" s="529"/>
      <c r="M103" s="536"/>
      <c r="N103" s="462"/>
      <c r="O103" s="537"/>
      <c r="P103" s="1037"/>
      <c r="Q103" s="1037"/>
      <c r="R103" s="1037"/>
      <c r="S103" s="355"/>
      <c r="T103" s="363"/>
      <c r="U103" s="360"/>
      <c r="V103" s="361"/>
      <c r="W103" s="1092"/>
      <c r="X103" s="1105"/>
      <c r="Y103" s="1121"/>
      <c r="Z103" s="363"/>
      <c r="AA103" s="360"/>
      <c r="AB103" s="361"/>
      <c r="AC103" s="1092"/>
      <c r="AD103" s="1105"/>
      <c r="AE103" s="1121"/>
      <c r="AF103" s="359"/>
      <c r="AG103" s="359"/>
      <c r="AH103" s="359"/>
      <c r="AI103" s="358"/>
      <c r="AJ103" s="359"/>
      <c r="AK103" s="440"/>
      <c r="AL103" s="395"/>
      <c r="AM103" s="460">
        <v>103</v>
      </c>
      <c r="AN103" s="1078"/>
    </row>
    <row r="104" spans="1:54" ht="12" customHeight="1" x14ac:dyDescent="0.25">
      <c r="A104" s="440"/>
      <c r="B104" s="1042"/>
      <c r="C104" s="1036"/>
      <c r="D104" s="1037"/>
      <c r="E104" s="1084" t="str">
        <f t="shared" ref="E104:E110" ca="1" si="165">IF(AX104="E","",AN104)</f>
        <v>Sanitär</v>
      </c>
      <c r="F104" s="1085"/>
      <c r="G104" s="1264"/>
      <c r="H104" s="1264"/>
      <c r="I104" s="1265"/>
      <c r="J104" s="638"/>
      <c r="K104" s="538"/>
      <c r="L104" s="503"/>
      <c r="M104" s="339"/>
      <c r="N104" s="462"/>
      <c r="O104" s="339"/>
      <c r="P104" s="1037"/>
      <c r="Q104" s="344"/>
      <c r="R104" s="522" t="s">
        <v>363</v>
      </c>
      <c r="S104" s="353">
        <f t="shared" ref="S104:S110" ca="1" si="166">IF(AY104="E",(M104*O104)+Q104,AO104)</f>
        <v>141152.4</v>
      </c>
      <c r="T104" s="523"/>
      <c r="U104" s="350"/>
      <c r="V104" s="308"/>
      <c r="W104" s="1090" t="str">
        <f t="shared" ref="W104:W110" ca="1" si="167">IF(AZ104="E",IF(AND(V104&lt;&gt;0,U104&lt;&gt;0),"X",IF(AND(V104&lt;&gt;0,U104=0),"A",IF(AND(V104=0,U104&lt;&gt;0),"P",""))),AR104)</f>
        <v/>
      </c>
      <c r="X104" s="1103">
        <f t="shared" ref="X104:X110" ca="1" si="168">IF(AZ104="E",IFERROR(IF(W104="X",0,IF(U104&gt;0,U104,V104/S104)),0),
IFERROR(IF(OR(AR104="X",AR104=0),0,
IF(AR104="P",AP104,IF(AR104="A",AQ104/S104,0))),0))</f>
        <v>0</v>
      </c>
      <c r="Y104" s="1120">
        <f t="shared" ref="Y104:Y110" ca="1" si="169">IF(AZ104="E",IFERROR(IF(W104="X",0,IF(V104&gt;0,V104,S104*U104)),0),
IFERROR(IF(OR(AR104="X",AR104="0"),0,IF(AR104="A",AQ104,S104*AP104)),0))</f>
        <v>0</v>
      </c>
      <c r="Z104" s="524"/>
      <c r="AA104" s="350"/>
      <c r="AB104" s="308"/>
      <c r="AC104" s="1090" t="str">
        <f t="shared" ref="AC104:AC110" ca="1" si="170">IF(BA104="E",IF(AND(AB104&lt;&gt;0,AA104&lt;&gt;0),"X",IF(AND(AB104&lt;&gt;0,AA104=0),"A",IF(AND(AB104=0,AA104&lt;&gt;0),"P",""))),AU104)</f>
        <v/>
      </c>
      <c r="AD104" s="1103">
        <f t="shared" ref="AD104:AD110" ca="1" si="171">IF(BA104="E",IFERROR(IF(AC104="X",0,IF(AA104&gt;0,AA104,AB104/S104)),0),
IFERROR(IF(OR(AU104="X",AU104=0),0,
IF(AU104="P",AS104,IF(AU104="A",AT104/S104,0))),0))</f>
        <v>0</v>
      </c>
      <c r="AE104" s="1120">
        <f t="shared" ref="AE104:AE110" ca="1" si="172">IF(BA104="E",IFERROR(IF(AC104="X",0,IF(AB104&gt;0,AB104,S104*AA104)),0),
IFERROR(IF(OR(AU104="X",AU104=0),0,
IF(AU104="A",AT104,S104*AS104)),0))</f>
        <v>0</v>
      </c>
      <c r="AF104" s="525"/>
      <c r="AG104" s="637"/>
      <c r="AH104" s="525"/>
      <c r="AI104" s="1086">
        <f t="shared" ref="AI104:AI110" ca="1" si="173">IF(BB104="E",AG104,AV104)</f>
        <v>50</v>
      </c>
      <c r="AJ104" s="380"/>
      <c r="AK104" s="440"/>
      <c r="AL104" s="395"/>
      <c r="AM104" s="460">
        <v>104</v>
      </c>
      <c r="AN104" s="1087" t="str">
        <f t="shared" ref="AN104:AN110" ca="1" si="174">IF($M$13=$AN$12,"",IF(ISTEXT(INDIRECT("'"&amp;$AM$20&amp;"'!"&amp;AN$21&amp;$AM104)),INDIRECT("'"&amp;$AM$20&amp;"'!"&amp;AN$21&amp;$AM104),INDIRECT("'"&amp;$AM$20&amp;"'!"&amp;AN$22&amp;$AM104)))</f>
        <v>Sanitär</v>
      </c>
      <c r="AO104" s="1083">
        <f t="shared" ref="AO104:AV110" ca="1" si="175">IF($M$13=$AN$12,"",INDIRECT("'"&amp;$AM$20&amp;"'!"&amp;AO$21&amp;$AM104))</f>
        <v>141152.4</v>
      </c>
      <c r="AP104" s="356">
        <f t="shared" ca="1" si="175"/>
        <v>0</v>
      </c>
      <c r="AQ104" s="357">
        <f t="shared" ca="1" si="175"/>
        <v>0</v>
      </c>
      <c r="AR104" s="524" t="str">
        <f t="shared" ca="1" si="175"/>
        <v/>
      </c>
      <c r="AS104" s="356">
        <f t="shared" ca="1" si="175"/>
        <v>0</v>
      </c>
      <c r="AT104" s="357">
        <f t="shared" ca="1" si="175"/>
        <v>0</v>
      </c>
      <c r="AU104" s="524" t="str">
        <f t="shared" ca="1" si="175"/>
        <v/>
      </c>
      <c r="AV104" s="1083">
        <f t="shared" ca="1" si="175"/>
        <v>50</v>
      </c>
      <c r="AX104" s="1083" t="str">
        <f t="shared" ref="AX104:AX110" si="176">IF($M$13=$AN$12,"E",IF(ISTEXT(F104),"E","U"))</f>
        <v>U</v>
      </c>
      <c r="AY104" s="1083" t="str">
        <f t="shared" ref="AY104:AY110" si="177">IF($M$13=$AN$12,"E",IF(OR(ISNUMBER(M104),ISNUMBER(O104),ISNUMBER(Q104)),"E","U"))</f>
        <v>U</v>
      </c>
      <c r="AZ104" s="1083" t="str">
        <f t="shared" ref="AZ104:AZ110" si="178">IF($M$13=$AN$12,"E",IF(OR(ISNUMBER(U104),ISNUMBER(V104)),"E","U"))</f>
        <v>U</v>
      </c>
      <c r="BA104" s="1083" t="str">
        <f t="shared" ref="BA104:BA110" si="179">IF($M$13=$AN$12,"E",IF(OR(ISNUMBER(AA104),ISNUMBER(AB104)),"E","U"))</f>
        <v>U</v>
      </c>
      <c r="BB104" s="1083" t="str">
        <f t="shared" ref="BB104:BB110" si="180">IF($M$13=$AN$12,"E",IF(ISNUMBER(AG104),"E","U"))</f>
        <v>U</v>
      </c>
    </row>
    <row r="105" spans="1:54" ht="12" customHeight="1" x14ac:dyDescent="0.25">
      <c r="A105" s="440"/>
      <c r="B105" s="1042"/>
      <c r="C105" s="1036"/>
      <c r="D105" s="1037"/>
      <c r="E105" s="1084">
        <f t="shared" ca="1" si="165"/>
        <v>0</v>
      </c>
      <c r="F105" s="1085"/>
      <c r="G105" s="1264"/>
      <c r="H105" s="1264"/>
      <c r="I105" s="1265"/>
      <c r="J105" s="638"/>
      <c r="K105" s="538"/>
      <c r="L105" s="503"/>
      <c r="M105" s="339"/>
      <c r="N105" s="462"/>
      <c r="O105" s="339"/>
      <c r="P105" s="1037"/>
      <c r="Q105" s="344"/>
      <c r="R105" s="522" t="s">
        <v>363</v>
      </c>
      <c r="S105" s="353">
        <f t="shared" ca="1" si="166"/>
        <v>0</v>
      </c>
      <c r="T105" s="523"/>
      <c r="U105" s="350"/>
      <c r="V105" s="308"/>
      <c r="W105" s="1090" t="str">
        <f t="shared" ca="1" si="167"/>
        <v/>
      </c>
      <c r="X105" s="1103">
        <f t="shared" ca="1" si="168"/>
        <v>0</v>
      </c>
      <c r="Y105" s="1120">
        <f t="shared" ca="1" si="169"/>
        <v>0</v>
      </c>
      <c r="Z105" s="524"/>
      <c r="AA105" s="350"/>
      <c r="AB105" s="308"/>
      <c r="AC105" s="1090" t="str">
        <f t="shared" ca="1" si="170"/>
        <v/>
      </c>
      <c r="AD105" s="1103">
        <f t="shared" ca="1" si="171"/>
        <v>0</v>
      </c>
      <c r="AE105" s="1120">
        <f t="shared" ca="1" si="172"/>
        <v>0</v>
      </c>
      <c r="AF105" s="525"/>
      <c r="AG105" s="637"/>
      <c r="AH105" s="525"/>
      <c r="AI105" s="1086">
        <f t="shared" ca="1" si="173"/>
        <v>0</v>
      </c>
      <c r="AJ105" s="380"/>
      <c r="AK105" s="440"/>
      <c r="AL105" s="395"/>
      <c r="AM105" s="460">
        <v>105</v>
      </c>
      <c r="AN105" s="1087">
        <f t="shared" ca="1" si="174"/>
        <v>0</v>
      </c>
      <c r="AO105" s="1083">
        <f t="shared" ca="1" si="175"/>
        <v>0</v>
      </c>
      <c r="AP105" s="356">
        <f t="shared" ca="1" si="175"/>
        <v>0</v>
      </c>
      <c r="AQ105" s="357">
        <f t="shared" ca="1" si="175"/>
        <v>0</v>
      </c>
      <c r="AR105" s="524" t="str">
        <f t="shared" ca="1" si="175"/>
        <v/>
      </c>
      <c r="AS105" s="356">
        <f t="shared" ca="1" si="175"/>
        <v>0</v>
      </c>
      <c r="AT105" s="357">
        <f t="shared" ca="1" si="175"/>
        <v>0</v>
      </c>
      <c r="AU105" s="524" t="str">
        <f t="shared" ca="1" si="175"/>
        <v/>
      </c>
      <c r="AV105" s="1083">
        <f t="shared" ca="1" si="175"/>
        <v>0</v>
      </c>
      <c r="AX105" s="1083" t="str">
        <f t="shared" si="176"/>
        <v>U</v>
      </c>
      <c r="AY105" s="1083" t="str">
        <f t="shared" si="177"/>
        <v>U</v>
      </c>
      <c r="AZ105" s="1083" t="str">
        <f t="shared" si="178"/>
        <v>U</v>
      </c>
      <c r="BA105" s="1083" t="str">
        <f t="shared" si="179"/>
        <v>U</v>
      </c>
      <c r="BB105" s="1083" t="str">
        <f t="shared" si="180"/>
        <v>U</v>
      </c>
    </row>
    <row r="106" spans="1:54" ht="12" customHeight="1" x14ac:dyDescent="0.25">
      <c r="A106" s="440"/>
      <c r="B106" s="1042"/>
      <c r="C106" s="1036"/>
      <c r="D106" s="1037"/>
      <c r="E106" s="1084">
        <f t="shared" ca="1" si="165"/>
        <v>0</v>
      </c>
      <c r="F106" s="1085"/>
      <c r="G106" s="1264"/>
      <c r="H106" s="1264"/>
      <c r="I106" s="1265"/>
      <c r="J106" s="638"/>
      <c r="K106" s="538"/>
      <c r="L106" s="503"/>
      <c r="M106" s="339"/>
      <c r="N106" s="462"/>
      <c r="O106" s="339"/>
      <c r="P106" s="1037"/>
      <c r="Q106" s="344"/>
      <c r="R106" s="522" t="s">
        <v>363</v>
      </c>
      <c r="S106" s="353">
        <f t="shared" ca="1" si="166"/>
        <v>0</v>
      </c>
      <c r="T106" s="523"/>
      <c r="U106" s="350"/>
      <c r="V106" s="308"/>
      <c r="W106" s="1090" t="str">
        <f t="shared" ca="1" si="167"/>
        <v/>
      </c>
      <c r="X106" s="1103">
        <f t="shared" ca="1" si="168"/>
        <v>0</v>
      </c>
      <c r="Y106" s="1120">
        <f t="shared" ca="1" si="169"/>
        <v>0</v>
      </c>
      <c r="Z106" s="524"/>
      <c r="AA106" s="350"/>
      <c r="AB106" s="308"/>
      <c r="AC106" s="1090" t="str">
        <f t="shared" ca="1" si="170"/>
        <v/>
      </c>
      <c r="AD106" s="1103">
        <f t="shared" ca="1" si="171"/>
        <v>0</v>
      </c>
      <c r="AE106" s="1120">
        <f t="shared" ca="1" si="172"/>
        <v>0</v>
      </c>
      <c r="AF106" s="525"/>
      <c r="AG106" s="637"/>
      <c r="AH106" s="525"/>
      <c r="AI106" s="1086">
        <f t="shared" ca="1" si="173"/>
        <v>0</v>
      </c>
      <c r="AJ106" s="380"/>
      <c r="AK106" s="440"/>
      <c r="AL106" s="395"/>
      <c r="AM106" s="460">
        <v>106</v>
      </c>
      <c r="AN106" s="1087">
        <f t="shared" ca="1" si="174"/>
        <v>0</v>
      </c>
      <c r="AO106" s="1083">
        <f t="shared" ca="1" si="175"/>
        <v>0</v>
      </c>
      <c r="AP106" s="356">
        <f t="shared" ca="1" si="175"/>
        <v>0</v>
      </c>
      <c r="AQ106" s="357">
        <f t="shared" ca="1" si="175"/>
        <v>0</v>
      </c>
      <c r="AR106" s="524" t="str">
        <f t="shared" ca="1" si="175"/>
        <v/>
      </c>
      <c r="AS106" s="356">
        <f t="shared" ca="1" si="175"/>
        <v>0</v>
      </c>
      <c r="AT106" s="357">
        <f t="shared" ca="1" si="175"/>
        <v>0</v>
      </c>
      <c r="AU106" s="524" t="str">
        <f t="shared" ca="1" si="175"/>
        <v/>
      </c>
      <c r="AV106" s="1083">
        <f t="shared" ca="1" si="175"/>
        <v>0</v>
      </c>
      <c r="AX106" s="1083" t="str">
        <f t="shared" si="176"/>
        <v>U</v>
      </c>
      <c r="AY106" s="1083" t="str">
        <f t="shared" si="177"/>
        <v>U</v>
      </c>
      <c r="AZ106" s="1083" t="str">
        <f t="shared" si="178"/>
        <v>U</v>
      </c>
      <c r="BA106" s="1083" t="str">
        <f t="shared" si="179"/>
        <v>U</v>
      </c>
      <c r="BB106" s="1083" t="str">
        <f t="shared" si="180"/>
        <v>U</v>
      </c>
    </row>
    <row r="107" spans="1:54" ht="12" customHeight="1" x14ac:dyDescent="0.25">
      <c r="A107" s="440"/>
      <c r="B107" s="1042"/>
      <c r="C107" s="1036"/>
      <c r="D107" s="1037"/>
      <c r="E107" s="1084">
        <f t="shared" ca="1" si="165"/>
        <v>0</v>
      </c>
      <c r="F107" s="1085"/>
      <c r="G107" s="1264"/>
      <c r="H107" s="1264"/>
      <c r="I107" s="1265"/>
      <c r="J107" s="638"/>
      <c r="K107" s="538"/>
      <c r="L107" s="503"/>
      <c r="M107" s="339"/>
      <c r="N107" s="462"/>
      <c r="O107" s="339"/>
      <c r="P107" s="1037"/>
      <c r="Q107" s="344"/>
      <c r="R107" s="522" t="s">
        <v>363</v>
      </c>
      <c r="S107" s="353">
        <f t="shared" ca="1" si="166"/>
        <v>0</v>
      </c>
      <c r="T107" s="523"/>
      <c r="U107" s="350"/>
      <c r="V107" s="308"/>
      <c r="W107" s="1090" t="str">
        <f t="shared" ca="1" si="167"/>
        <v/>
      </c>
      <c r="X107" s="1103">
        <f t="shared" ca="1" si="168"/>
        <v>0</v>
      </c>
      <c r="Y107" s="1120">
        <f t="shared" ca="1" si="169"/>
        <v>0</v>
      </c>
      <c r="Z107" s="524"/>
      <c r="AA107" s="350"/>
      <c r="AB107" s="308"/>
      <c r="AC107" s="1090" t="str">
        <f t="shared" ca="1" si="170"/>
        <v/>
      </c>
      <c r="AD107" s="1103">
        <f t="shared" ca="1" si="171"/>
        <v>0</v>
      </c>
      <c r="AE107" s="1120">
        <f t="shared" ca="1" si="172"/>
        <v>0</v>
      </c>
      <c r="AF107" s="525"/>
      <c r="AG107" s="637"/>
      <c r="AH107" s="525"/>
      <c r="AI107" s="1086">
        <f t="shared" ca="1" si="173"/>
        <v>0</v>
      </c>
      <c r="AJ107" s="380"/>
      <c r="AK107" s="440"/>
      <c r="AL107" s="395"/>
      <c r="AM107" s="460">
        <v>107</v>
      </c>
      <c r="AN107" s="1087">
        <f t="shared" ca="1" si="174"/>
        <v>0</v>
      </c>
      <c r="AO107" s="1083">
        <f t="shared" ca="1" si="175"/>
        <v>0</v>
      </c>
      <c r="AP107" s="356">
        <f t="shared" ca="1" si="175"/>
        <v>0</v>
      </c>
      <c r="AQ107" s="357">
        <f t="shared" ca="1" si="175"/>
        <v>0</v>
      </c>
      <c r="AR107" s="524" t="str">
        <f t="shared" ca="1" si="175"/>
        <v/>
      </c>
      <c r="AS107" s="356">
        <f t="shared" ca="1" si="175"/>
        <v>0</v>
      </c>
      <c r="AT107" s="357">
        <f t="shared" ca="1" si="175"/>
        <v>0</v>
      </c>
      <c r="AU107" s="524" t="str">
        <f t="shared" ca="1" si="175"/>
        <v/>
      </c>
      <c r="AV107" s="1083">
        <f t="shared" ca="1" si="175"/>
        <v>0</v>
      </c>
      <c r="AX107" s="1083" t="str">
        <f t="shared" si="176"/>
        <v>U</v>
      </c>
      <c r="AY107" s="1083" t="str">
        <f t="shared" si="177"/>
        <v>U</v>
      </c>
      <c r="AZ107" s="1083" t="str">
        <f t="shared" si="178"/>
        <v>U</v>
      </c>
      <c r="BA107" s="1083" t="str">
        <f t="shared" si="179"/>
        <v>U</v>
      </c>
      <c r="BB107" s="1083" t="str">
        <f t="shared" si="180"/>
        <v>U</v>
      </c>
    </row>
    <row r="108" spans="1:54" ht="12" customHeight="1" x14ac:dyDescent="0.25">
      <c r="A108" s="440"/>
      <c r="B108" s="1042"/>
      <c r="C108" s="1036"/>
      <c r="D108" s="1037"/>
      <c r="E108" s="1084">
        <f t="shared" ca="1" si="165"/>
        <v>0</v>
      </c>
      <c r="F108" s="1085"/>
      <c r="G108" s="1264"/>
      <c r="H108" s="1264"/>
      <c r="I108" s="1265"/>
      <c r="J108" s="638"/>
      <c r="K108" s="538"/>
      <c r="L108" s="503"/>
      <c r="M108" s="339"/>
      <c r="N108" s="462"/>
      <c r="O108" s="339"/>
      <c r="P108" s="1037"/>
      <c r="Q108" s="344"/>
      <c r="R108" s="522" t="s">
        <v>363</v>
      </c>
      <c r="S108" s="353">
        <f t="shared" ca="1" si="166"/>
        <v>0</v>
      </c>
      <c r="T108" s="523"/>
      <c r="U108" s="350"/>
      <c r="V108" s="308"/>
      <c r="W108" s="1090" t="str">
        <f t="shared" ca="1" si="167"/>
        <v/>
      </c>
      <c r="X108" s="1103">
        <f t="shared" ca="1" si="168"/>
        <v>0</v>
      </c>
      <c r="Y108" s="1120">
        <f t="shared" ca="1" si="169"/>
        <v>0</v>
      </c>
      <c r="Z108" s="524"/>
      <c r="AA108" s="350"/>
      <c r="AB108" s="308"/>
      <c r="AC108" s="1090" t="str">
        <f t="shared" ca="1" si="170"/>
        <v/>
      </c>
      <c r="AD108" s="1103">
        <f t="shared" ca="1" si="171"/>
        <v>0</v>
      </c>
      <c r="AE108" s="1120">
        <f t="shared" ca="1" si="172"/>
        <v>0</v>
      </c>
      <c r="AF108" s="525"/>
      <c r="AG108" s="637"/>
      <c r="AH108" s="525"/>
      <c r="AI108" s="1086">
        <f t="shared" ca="1" si="173"/>
        <v>0</v>
      </c>
      <c r="AJ108" s="380"/>
      <c r="AK108" s="440"/>
      <c r="AM108" s="460">
        <v>108</v>
      </c>
      <c r="AN108" s="1087">
        <f t="shared" ca="1" si="174"/>
        <v>0</v>
      </c>
      <c r="AO108" s="1083">
        <f t="shared" ca="1" si="175"/>
        <v>0</v>
      </c>
      <c r="AP108" s="356">
        <f t="shared" ca="1" si="175"/>
        <v>0</v>
      </c>
      <c r="AQ108" s="357">
        <f t="shared" ca="1" si="175"/>
        <v>0</v>
      </c>
      <c r="AR108" s="524" t="str">
        <f t="shared" ca="1" si="175"/>
        <v/>
      </c>
      <c r="AS108" s="356">
        <f t="shared" ca="1" si="175"/>
        <v>0</v>
      </c>
      <c r="AT108" s="357">
        <f t="shared" ca="1" si="175"/>
        <v>0</v>
      </c>
      <c r="AU108" s="524" t="str">
        <f t="shared" ca="1" si="175"/>
        <v/>
      </c>
      <c r="AV108" s="1083">
        <f t="shared" ca="1" si="175"/>
        <v>0</v>
      </c>
      <c r="AX108" s="1083" t="str">
        <f t="shared" si="176"/>
        <v>U</v>
      </c>
      <c r="AY108" s="1083" t="str">
        <f t="shared" si="177"/>
        <v>U</v>
      </c>
      <c r="AZ108" s="1083" t="str">
        <f t="shared" si="178"/>
        <v>U</v>
      </c>
      <c r="BA108" s="1083" t="str">
        <f t="shared" si="179"/>
        <v>U</v>
      </c>
      <c r="BB108" s="1083" t="str">
        <f t="shared" si="180"/>
        <v>U</v>
      </c>
    </row>
    <row r="109" spans="1:54" ht="12" customHeight="1" x14ac:dyDescent="0.25">
      <c r="A109" s="440"/>
      <c r="B109" s="1042"/>
      <c r="C109" s="1036"/>
      <c r="D109" s="1037"/>
      <c r="E109" s="1084">
        <f t="shared" ca="1" si="165"/>
        <v>0</v>
      </c>
      <c r="F109" s="1085"/>
      <c r="G109" s="1264"/>
      <c r="H109" s="1264"/>
      <c r="I109" s="1265"/>
      <c r="J109" s="638"/>
      <c r="K109" s="538"/>
      <c r="L109" s="503"/>
      <c r="M109" s="339"/>
      <c r="N109" s="462"/>
      <c r="O109" s="339"/>
      <c r="P109" s="1037"/>
      <c r="Q109" s="344"/>
      <c r="R109" s="522" t="s">
        <v>363</v>
      </c>
      <c r="S109" s="353">
        <f t="shared" ca="1" si="166"/>
        <v>0</v>
      </c>
      <c r="T109" s="523"/>
      <c r="U109" s="350"/>
      <c r="V109" s="308"/>
      <c r="W109" s="1090" t="str">
        <f t="shared" ca="1" si="167"/>
        <v/>
      </c>
      <c r="X109" s="1103">
        <f t="shared" ca="1" si="168"/>
        <v>0</v>
      </c>
      <c r="Y109" s="1120">
        <f t="shared" ca="1" si="169"/>
        <v>0</v>
      </c>
      <c r="Z109" s="524"/>
      <c r="AA109" s="350"/>
      <c r="AB109" s="308"/>
      <c r="AC109" s="1090" t="str">
        <f t="shared" ca="1" si="170"/>
        <v/>
      </c>
      <c r="AD109" s="1103">
        <f t="shared" ca="1" si="171"/>
        <v>0</v>
      </c>
      <c r="AE109" s="1120">
        <f t="shared" ca="1" si="172"/>
        <v>0</v>
      </c>
      <c r="AF109" s="525"/>
      <c r="AG109" s="637"/>
      <c r="AH109" s="525"/>
      <c r="AI109" s="1086">
        <f t="shared" ca="1" si="173"/>
        <v>0</v>
      </c>
      <c r="AJ109" s="380"/>
      <c r="AK109" s="440"/>
      <c r="AM109" s="460">
        <v>109</v>
      </c>
      <c r="AN109" s="1087">
        <f t="shared" ca="1" si="174"/>
        <v>0</v>
      </c>
      <c r="AO109" s="1083">
        <f t="shared" ca="1" si="175"/>
        <v>0</v>
      </c>
      <c r="AP109" s="356">
        <f t="shared" ca="1" si="175"/>
        <v>0</v>
      </c>
      <c r="AQ109" s="357">
        <f t="shared" ca="1" si="175"/>
        <v>0</v>
      </c>
      <c r="AR109" s="524" t="str">
        <f t="shared" ca="1" si="175"/>
        <v/>
      </c>
      <c r="AS109" s="356">
        <f t="shared" ca="1" si="175"/>
        <v>0</v>
      </c>
      <c r="AT109" s="357">
        <f t="shared" ca="1" si="175"/>
        <v>0</v>
      </c>
      <c r="AU109" s="524" t="str">
        <f t="shared" ca="1" si="175"/>
        <v/>
      </c>
      <c r="AV109" s="1083">
        <f t="shared" ca="1" si="175"/>
        <v>0</v>
      </c>
      <c r="AX109" s="1083" t="str">
        <f t="shared" si="176"/>
        <v>U</v>
      </c>
      <c r="AY109" s="1083" t="str">
        <f t="shared" si="177"/>
        <v>U</v>
      </c>
      <c r="AZ109" s="1083" t="str">
        <f t="shared" si="178"/>
        <v>U</v>
      </c>
      <c r="BA109" s="1083" t="str">
        <f t="shared" si="179"/>
        <v>U</v>
      </c>
      <c r="BB109" s="1083" t="str">
        <f t="shared" si="180"/>
        <v>U</v>
      </c>
    </row>
    <row r="110" spans="1:54" ht="12" customHeight="1" x14ac:dyDescent="0.25">
      <c r="A110" s="440"/>
      <c r="B110" s="1042"/>
      <c r="C110" s="1036"/>
      <c r="D110" s="1037"/>
      <c r="E110" s="1084">
        <f t="shared" ca="1" si="165"/>
        <v>0</v>
      </c>
      <c r="F110" s="1085"/>
      <c r="G110" s="1264"/>
      <c r="H110" s="1264"/>
      <c r="I110" s="1265"/>
      <c r="J110" s="638"/>
      <c r="K110" s="538"/>
      <c r="L110" s="503"/>
      <c r="M110" s="339"/>
      <c r="N110" s="462"/>
      <c r="O110" s="339"/>
      <c r="P110" s="1037"/>
      <c r="Q110" s="344"/>
      <c r="R110" s="522" t="s">
        <v>363</v>
      </c>
      <c r="S110" s="353">
        <f t="shared" ca="1" si="166"/>
        <v>0</v>
      </c>
      <c r="T110" s="523"/>
      <c r="U110" s="350"/>
      <c r="V110" s="308"/>
      <c r="W110" s="1090" t="str">
        <f t="shared" ca="1" si="167"/>
        <v/>
      </c>
      <c r="X110" s="1103">
        <f t="shared" ca="1" si="168"/>
        <v>0</v>
      </c>
      <c r="Y110" s="1120">
        <f t="shared" ca="1" si="169"/>
        <v>0</v>
      </c>
      <c r="Z110" s="524"/>
      <c r="AA110" s="350"/>
      <c r="AB110" s="308"/>
      <c r="AC110" s="1090" t="str">
        <f t="shared" ca="1" si="170"/>
        <v/>
      </c>
      <c r="AD110" s="1103">
        <f t="shared" ca="1" si="171"/>
        <v>0</v>
      </c>
      <c r="AE110" s="1120">
        <f t="shared" ca="1" si="172"/>
        <v>0</v>
      </c>
      <c r="AF110" s="525"/>
      <c r="AG110" s="637"/>
      <c r="AH110" s="525"/>
      <c r="AI110" s="1086">
        <f t="shared" ca="1" si="173"/>
        <v>0</v>
      </c>
      <c r="AJ110" s="380"/>
      <c r="AK110" s="440"/>
      <c r="AM110" s="460">
        <v>110</v>
      </c>
      <c r="AN110" s="1087">
        <f t="shared" ca="1" si="174"/>
        <v>0</v>
      </c>
      <c r="AO110" s="1083">
        <f t="shared" ca="1" si="175"/>
        <v>0</v>
      </c>
      <c r="AP110" s="356">
        <f t="shared" ca="1" si="175"/>
        <v>0</v>
      </c>
      <c r="AQ110" s="357">
        <f t="shared" ca="1" si="175"/>
        <v>0</v>
      </c>
      <c r="AR110" s="524" t="str">
        <f t="shared" ca="1" si="175"/>
        <v/>
      </c>
      <c r="AS110" s="356">
        <f t="shared" ca="1" si="175"/>
        <v>0</v>
      </c>
      <c r="AT110" s="357">
        <f t="shared" ca="1" si="175"/>
        <v>0</v>
      </c>
      <c r="AU110" s="524" t="str">
        <f t="shared" ca="1" si="175"/>
        <v/>
      </c>
      <c r="AV110" s="1083">
        <f t="shared" ca="1" si="175"/>
        <v>0</v>
      </c>
      <c r="AX110" s="1083" t="str">
        <f t="shared" si="176"/>
        <v>U</v>
      </c>
      <c r="AY110" s="1083" t="str">
        <f t="shared" si="177"/>
        <v>U</v>
      </c>
      <c r="AZ110" s="1083" t="str">
        <f t="shared" si="178"/>
        <v>U</v>
      </c>
      <c r="BA110" s="1083" t="str">
        <f t="shared" si="179"/>
        <v>U</v>
      </c>
      <c r="BB110" s="1083" t="str">
        <f t="shared" si="180"/>
        <v>U</v>
      </c>
    </row>
    <row r="111" spans="1:54" ht="12" customHeight="1" collapsed="1" x14ac:dyDescent="0.25">
      <c r="A111" s="440"/>
      <c r="B111" s="505"/>
      <c r="C111" s="370"/>
      <c r="D111" s="374"/>
      <c r="E111" s="374"/>
      <c r="F111" s="374"/>
      <c r="G111" s="374"/>
      <c r="H111" s="374"/>
      <c r="I111" s="507"/>
      <c r="J111" s="507"/>
      <c r="K111" s="508"/>
      <c r="L111" s="508"/>
      <c r="M111" s="371"/>
      <c r="N111" s="517"/>
      <c r="O111" s="371"/>
      <c r="P111" s="371"/>
      <c r="Q111" s="371"/>
      <c r="R111" s="371"/>
      <c r="S111" s="371"/>
      <c r="T111" s="371"/>
      <c r="U111" s="371"/>
      <c r="V111" s="370"/>
      <c r="W111" s="1094"/>
      <c r="X111" s="1108"/>
      <c r="Y111" s="1124"/>
      <c r="Z111" s="371"/>
      <c r="AA111" s="371"/>
      <c r="AB111" s="370"/>
      <c r="AC111" s="1094"/>
      <c r="AD111" s="1108"/>
      <c r="AE111" s="1124"/>
      <c r="AF111" s="370"/>
      <c r="AG111" s="370"/>
      <c r="AH111" s="370"/>
      <c r="AI111" s="373"/>
      <c r="AJ111" s="370"/>
      <c r="AK111" s="440"/>
      <c r="AM111" s="460">
        <v>111</v>
      </c>
      <c r="AN111" s="1078"/>
    </row>
    <row r="112" spans="1:54" s="327" customFormat="1" ht="39.950000000000003" customHeight="1" x14ac:dyDescent="0.2">
      <c r="A112" s="440"/>
      <c r="B112" s="1164"/>
      <c r="C112" s="1165"/>
      <c r="D112" s="1165"/>
      <c r="E112" s="1165"/>
      <c r="F112" s="1165"/>
      <c r="G112" s="1165"/>
      <c r="H112" s="1165"/>
      <c r="I112" s="1165"/>
      <c r="J112" s="1165"/>
      <c r="K112" s="1165"/>
      <c r="L112" s="1165"/>
      <c r="M112" s="1165"/>
      <c r="N112" s="1165"/>
      <c r="O112" s="1165"/>
      <c r="P112" s="1165"/>
      <c r="Q112" s="1165"/>
      <c r="R112" s="1165"/>
      <c r="S112" s="1165"/>
      <c r="T112" s="1165"/>
      <c r="U112" s="440"/>
      <c r="V112" s="440"/>
      <c r="W112" s="440"/>
      <c r="X112" s="440"/>
      <c r="Y112" s="440"/>
      <c r="Z112" s="440"/>
      <c r="AA112" s="440"/>
      <c r="AB112" s="440"/>
      <c r="AC112" s="440"/>
      <c r="AD112" s="440"/>
      <c r="AE112" s="440"/>
      <c r="AF112" s="440"/>
      <c r="AG112" s="440"/>
      <c r="AH112" s="440"/>
      <c r="AI112" s="440"/>
      <c r="AJ112" s="440"/>
      <c r="AK112" s="440"/>
      <c r="AM112" s="460">
        <v>112</v>
      </c>
    </row>
    <row r="113" spans="1:54" ht="12" customHeight="1" x14ac:dyDescent="0.2">
      <c r="A113" s="440"/>
      <c r="B113" s="320"/>
      <c r="C113" s="1036"/>
      <c r="D113" s="1036"/>
      <c r="E113" s="1036"/>
      <c r="F113" s="1036"/>
      <c r="G113" s="1036"/>
      <c r="H113" s="1036"/>
      <c r="I113" s="1036"/>
      <c r="J113" s="1598"/>
      <c r="K113" s="1598"/>
      <c r="L113" s="1033"/>
      <c r="M113" s="379"/>
      <c r="N113" s="1033"/>
      <c r="O113" s="379"/>
      <c r="P113" s="379"/>
      <c r="Q113" s="379"/>
      <c r="R113" s="379"/>
      <c r="S113" s="379"/>
      <c r="T113" s="379"/>
      <c r="U113" s="1598"/>
      <c r="V113" s="1598"/>
      <c r="W113" s="1095"/>
      <c r="X113" s="1109"/>
      <c r="Y113" s="1109"/>
      <c r="Z113" s="379"/>
      <c r="AA113" s="1598"/>
      <c r="AB113" s="1598"/>
      <c r="AC113" s="1095"/>
      <c r="AD113" s="1109"/>
      <c r="AE113" s="1109"/>
      <c r="AF113" s="379"/>
      <c r="AG113" s="379"/>
      <c r="AH113" s="379"/>
      <c r="AI113" s="481"/>
      <c r="AJ113" s="379"/>
      <c r="AK113" s="440"/>
      <c r="AM113" s="460">
        <v>113</v>
      </c>
      <c r="AN113" s="1078"/>
    </row>
    <row r="114" spans="1:54" ht="12" customHeight="1" x14ac:dyDescent="0.2">
      <c r="A114" s="440"/>
      <c r="B114" s="320"/>
      <c r="C114" s="1036"/>
      <c r="D114" s="1036"/>
      <c r="E114" s="1036"/>
      <c r="F114" s="1036"/>
      <c r="G114" s="1036"/>
      <c r="H114" s="1036"/>
      <c r="I114" s="1036"/>
      <c r="J114" s="1598"/>
      <c r="K114" s="1598"/>
      <c r="L114" s="1033"/>
      <c r="M114" s="1036"/>
      <c r="N114" s="503"/>
      <c r="O114" s="1036"/>
      <c r="P114" s="1036"/>
      <c r="Q114" s="1036"/>
      <c r="R114" s="1036"/>
      <c r="S114" s="372"/>
      <c r="T114" s="372"/>
      <c r="U114" s="372"/>
      <c r="V114" s="372"/>
      <c r="W114" s="1096"/>
      <c r="X114" s="1110"/>
      <c r="Y114" s="1110"/>
      <c r="Z114" s="372"/>
      <c r="AA114" s="372"/>
      <c r="AB114" s="372"/>
      <c r="AC114" s="1096"/>
      <c r="AD114" s="1110"/>
      <c r="AE114" s="1110"/>
      <c r="AF114" s="372"/>
      <c r="AG114" s="372"/>
      <c r="AH114" s="372"/>
      <c r="AI114" s="482"/>
      <c r="AJ114" s="372"/>
      <c r="AK114" s="440"/>
      <c r="AM114" s="460">
        <v>114</v>
      </c>
      <c r="AN114" s="1078"/>
    </row>
    <row r="115" spans="1:54" ht="14.25" customHeight="1" x14ac:dyDescent="0.25">
      <c r="A115" s="440"/>
      <c r="B115" s="499">
        <v>2</v>
      </c>
      <c r="C115" s="494"/>
      <c r="D115" s="495"/>
      <c r="E115" s="1606" t="s">
        <v>54</v>
      </c>
      <c r="F115" s="1606"/>
      <c r="G115" s="1606"/>
      <c r="H115" s="1606"/>
      <c r="I115" s="1597"/>
      <c r="J115" s="1038"/>
      <c r="K115" s="462"/>
      <c r="L115" s="462"/>
      <c r="M115" s="363"/>
      <c r="N115" s="359"/>
      <c r="O115" s="363"/>
      <c r="P115" s="363"/>
      <c r="Q115" s="363"/>
      <c r="R115" s="363"/>
      <c r="S115" s="385">
        <f ca="1">S116</f>
        <v>0</v>
      </c>
      <c r="T115" s="363"/>
      <c r="U115" s="358"/>
      <c r="V115" s="358"/>
      <c r="W115" s="1091"/>
      <c r="X115" s="1104"/>
      <c r="Y115" s="1104"/>
      <c r="Z115" s="363"/>
      <c r="AA115" s="358"/>
      <c r="AB115" s="358"/>
      <c r="AC115" s="1091"/>
      <c r="AD115" s="1104"/>
      <c r="AE115" s="1104"/>
      <c r="AF115" s="358"/>
      <c r="AG115" s="358"/>
      <c r="AH115" s="358"/>
      <c r="AI115" s="358"/>
      <c r="AJ115" s="358"/>
      <c r="AK115" s="440"/>
      <c r="AM115" s="460">
        <v>115</v>
      </c>
      <c r="AN115" s="1078"/>
    </row>
    <row r="116" spans="1:54" ht="14.25" customHeight="1" x14ac:dyDescent="0.25">
      <c r="A116" s="440"/>
      <c r="B116" s="1043"/>
      <c r="C116" s="1036" t="s">
        <v>53</v>
      </c>
      <c r="D116" s="494"/>
      <c r="E116" s="1596" t="s">
        <v>52</v>
      </c>
      <c r="F116" s="1596"/>
      <c r="G116" s="1596"/>
      <c r="H116" s="1596"/>
      <c r="I116" s="1597"/>
      <c r="J116" s="1038"/>
      <c r="K116" s="462"/>
      <c r="L116" s="462"/>
      <c r="M116" s="1036"/>
      <c r="N116" s="503"/>
      <c r="O116" s="1036"/>
      <c r="P116" s="1036"/>
      <c r="Q116" s="1036"/>
      <c r="R116" s="1036"/>
      <c r="S116" s="355">
        <f ca="1">S117</f>
        <v>0</v>
      </c>
      <c r="T116" s="363"/>
      <c r="U116" s="358"/>
      <c r="V116" s="358"/>
      <c r="W116" s="1091"/>
      <c r="X116" s="1104"/>
      <c r="Y116" s="1104"/>
      <c r="Z116" s="363"/>
      <c r="AA116" s="358"/>
      <c r="AB116" s="358"/>
      <c r="AC116" s="1091"/>
      <c r="AD116" s="1104"/>
      <c r="AE116" s="1104"/>
      <c r="AF116" s="358"/>
      <c r="AG116" s="358"/>
      <c r="AH116" s="358"/>
      <c r="AI116" s="358"/>
      <c r="AJ116" s="358"/>
      <c r="AK116" s="440"/>
      <c r="AM116" s="460">
        <v>116</v>
      </c>
      <c r="AN116" s="1078"/>
    </row>
    <row r="117" spans="1:54" ht="12" customHeight="1" x14ac:dyDescent="0.25">
      <c r="A117" s="440"/>
      <c r="B117" s="1043"/>
      <c r="C117" s="380"/>
      <c r="D117" s="1037" t="s">
        <v>325</v>
      </c>
      <c r="E117" s="1599" t="s">
        <v>326</v>
      </c>
      <c r="F117" s="1599"/>
      <c r="G117" s="1599"/>
      <c r="H117" s="1599"/>
      <c r="I117" s="1632"/>
      <c r="J117" s="1038"/>
      <c r="K117" s="462"/>
      <c r="L117" s="462"/>
      <c r="M117" s="1036"/>
      <c r="N117" s="503"/>
      <c r="O117" s="1036"/>
      <c r="P117" s="1036"/>
      <c r="Q117" s="1036"/>
      <c r="R117" s="1036"/>
      <c r="S117" s="354">
        <f ca="1">SUBTOTAL(109,S119:S120)</f>
        <v>0</v>
      </c>
      <c r="T117" s="363"/>
      <c r="U117" s="358"/>
      <c r="V117" s="358"/>
      <c r="W117" s="1091"/>
      <c r="X117" s="1104"/>
      <c r="Y117" s="1104"/>
      <c r="Z117" s="358"/>
      <c r="AA117" s="358"/>
      <c r="AB117" s="358"/>
      <c r="AC117" s="1091"/>
      <c r="AD117" s="1104"/>
      <c r="AE117" s="1104"/>
      <c r="AF117" s="358"/>
      <c r="AG117" s="358"/>
      <c r="AH117" s="358"/>
      <c r="AI117" s="358"/>
      <c r="AJ117" s="358"/>
      <c r="AK117" s="440"/>
      <c r="AM117" s="460">
        <v>117</v>
      </c>
      <c r="AN117" s="1078"/>
    </row>
    <row r="118" spans="1:54" ht="12" customHeight="1" x14ac:dyDescent="0.25">
      <c r="A118" s="440"/>
      <c r="B118" s="1043"/>
      <c r="C118" s="380"/>
      <c r="D118" s="1037"/>
      <c r="E118" s="1037"/>
      <c r="F118" s="1037"/>
      <c r="G118" s="1037"/>
      <c r="H118" s="1037"/>
      <c r="I118" s="1035"/>
      <c r="J118" s="1038"/>
      <c r="K118" s="462"/>
      <c r="L118" s="462"/>
      <c r="M118" s="1036"/>
      <c r="N118" s="503"/>
      <c r="O118" s="1036"/>
      <c r="P118" s="1036"/>
      <c r="Q118" s="1036"/>
      <c r="R118" s="1036"/>
      <c r="S118" s="354"/>
      <c r="T118" s="363"/>
      <c r="U118" s="373"/>
      <c r="V118" s="373"/>
      <c r="W118" s="1091"/>
      <c r="X118" s="1111"/>
      <c r="Y118" s="1111"/>
      <c r="Z118" s="363"/>
      <c r="AA118" s="373"/>
      <c r="AB118" s="373"/>
      <c r="AC118" s="1091"/>
      <c r="AD118" s="1111"/>
      <c r="AE118" s="1111"/>
      <c r="AF118" s="358"/>
      <c r="AG118" s="358"/>
      <c r="AH118" s="358"/>
      <c r="AI118" s="373"/>
      <c r="AJ118" s="358"/>
      <c r="AK118" s="440"/>
      <c r="AM118" s="460">
        <v>118</v>
      </c>
      <c r="AN118" s="1078"/>
    </row>
    <row r="119" spans="1:54" ht="12" customHeight="1" x14ac:dyDescent="0.2">
      <c r="A119" s="440"/>
      <c r="B119" s="1043"/>
      <c r="C119" s="380"/>
      <c r="D119" s="1037"/>
      <c r="E119" s="1084">
        <f ca="1">IF(AX119="E","",AN119)</f>
        <v>0</v>
      </c>
      <c r="F119" s="1085"/>
      <c r="G119" s="1264"/>
      <c r="H119" s="1264"/>
      <c r="I119" s="1265"/>
      <c r="J119" s="638"/>
      <c r="K119" s="540" t="s">
        <v>171</v>
      </c>
      <c r="L119" s="541"/>
      <c r="M119" s="340"/>
      <c r="N119" s="528" t="s">
        <v>67</v>
      </c>
      <c r="O119" s="339"/>
      <c r="P119" s="543" t="s">
        <v>68</v>
      </c>
      <c r="Q119" s="344"/>
      <c r="R119" s="522" t="s">
        <v>363</v>
      </c>
      <c r="S119" s="353">
        <f t="shared" ref="S119:S120" ca="1" si="181">IF(AY119="E",(M119*O119)+Q119,AO119)</f>
        <v>0</v>
      </c>
      <c r="T119" s="523"/>
      <c r="U119" s="350"/>
      <c r="V119" s="308"/>
      <c r="W119" s="1090" t="str">
        <f t="shared" ref="W119:W120" ca="1" si="182">IF(AZ119="E",IF(AND(V119&lt;&gt;0,U119&lt;&gt;0),"X",IF(AND(V119&lt;&gt;0,U119=0),"A",IF(AND(V119=0,U119&lt;&gt;0),"P",""))),AR119)</f>
        <v/>
      </c>
      <c r="X119" s="1103">
        <f t="shared" ref="X119:X120" ca="1" si="183">IF(AZ119="E",IFERROR(IF(W119="X",0,IF(U119&gt;0,U119,V119/S119)),0),
IFERROR(IF(OR(AR119="X",AR119=0),0,
IF(AR119="P",AP119,IF(AR119="A",AQ119/S119,0))),0))</f>
        <v>0</v>
      </c>
      <c r="Y119" s="1120">
        <f t="shared" ref="Y119:Y120" ca="1" si="184">IF(AZ119="E",IFERROR(IF(W119="X",0,IF(V119&gt;0,V119,S119*U119)),0),
IFERROR(IF(OR(AR119="X",AR119="0"),0,IF(AR119="A",AQ119,S119*AP119)),0))</f>
        <v>0</v>
      </c>
      <c r="Z119" s="524"/>
      <c r="AA119" s="350"/>
      <c r="AB119" s="308"/>
      <c r="AC119" s="1090" t="str">
        <f t="shared" ref="AC119:AC120" ca="1" si="185">IF(BA119="E",IF(AND(AB119&lt;&gt;0,AA119&lt;&gt;0),"X",IF(AND(AB119&lt;&gt;0,AA119=0),"A",IF(AND(AB119=0,AA119&lt;&gt;0),"P",""))),AU119)</f>
        <v/>
      </c>
      <c r="AD119" s="1103">
        <f t="shared" ref="AD119:AD120" ca="1" si="186">IF(BA119="E",IFERROR(IF(AC119="X",0,IF(AA119&gt;0,AA119,AB119/S119)),0),
IFERROR(IF(OR(AU119="X",AU119=0),0,
IF(AU119="P",AS119,IF(AU119="A",AT119/S119,0))),0))</f>
        <v>0</v>
      </c>
      <c r="AE119" s="1120">
        <f t="shared" ref="AE119:AE120" ca="1" si="187">IF(BA119="E",IFERROR(IF(AC119="X",0,IF(AB119&gt;0,AB119,S119*AA119)),0),
IFERROR(IF(OR(AU119="X",AU119=0),0,
IF(AU119="A",AT119,S119*AS119)),0))</f>
        <v>0</v>
      </c>
      <c r="AF119" s="525"/>
      <c r="AG119" s="637"/>
      <c r="AH119" s="525"/>
      <c r="AI119" s="1086">
        <f t="shared" ref="AI119:AI120" ca="1" si="188">IF(BB119="E",AG119,AV119)</f>
        <v>0</v>
      </c>
      <c r="AJ119" s="380"/>
      <c r="AK119" s="440"/>
      <c r="AM119" s="460">
        <v>119</v>
      </c>
      <c r="AN119" s="1087">
        <f t="shared" ref="AN119:AN120" ca="1" si="189">IF($M$13=$AN$12,"",IF(ISTEXT(INDIRECT("'"&amp;$AM$20&amp;"'!"&amp;AN$21&amp;$AM119)),INDIRECT("'"&amp;$AM$20&amp;"'!"&amp;AN$21&amp;$AM119),INDIRECT("'"&amp;$AM$20&amp;"'!"&amp;AN$22&amp;$AM119)))</f>
        <v>0</v>
      </c>
      <c r="AO119" s="1083">
        <f t="shared" ref="AO119:AV120" ca="1" si="190">IF($M$13=$AN$12,"",INDIRECT("'"&amp;$AM$20&amp;"'!"&amp;AO$21&amp;$AM119))</f>
        <v>0</v>
      </c>
      <c r="AP119" s="356">
        <f t="shared" ca="1" si="190"/>
        <v>0</v>
      </c>
      <c r="AQ119" s="357">
        <f t="shared" ca="1" si="190"/>
        <v>0</v>
      </c>
      <c r="AR119" s="524" t="str">
        <f t="shared" ca="1" si="190"/>
        <v/>
      </c>
      <c r="AS119" s="356">
        <f t="shared" ca="1" si="190"/>
        <v>0</v>
      </c>
      <c r="AT119" s="357">
        <f t="shared" ca="1" si="190"/>
        <v>0</v>
      </c>
      <c r="AU119" s="524" t="str">
        <f t="shared" ca="1" si="190"/>
        <v/>
      </c>
      <c r="AV119" s="1083">
        <f t="shared" ca="1" si="190"/>
        <v>0</v>
      </c>
      <c r="AX119" s="1083" t="str">
        <f t="shared" ref="AX119:AX120" si="191">IF($M$13=$AN$12,"E",IF(ISTEXT(F119),"E","U"))</f>
        <v>U</v>
      </c>
      <c r="AY119" s="1083" t="str">
        <f t="shared" ref="AY119:AY120" si="192">IF($M$13=$AN$12,"E",IF(OR(ISNUMBER(M119),ISNUMBER(O119),ISNUMBER(Q119)),"E","U"))</f>
        <v>U</v>
      </c>
      <c r="AZ119" s="1083" t="str">
        <f t="shared" ref="AZ119:AZ120" si="193">IF($M$13=$AN$12,"E",IF(OR(ISNUMBER(U119),ISNUMBER(V119)),"E","U"))</f>
        <v>U</v>
      </c>
      <c r="BA119" s="1083" t="str">
        <f t="shared" ref="BA119:BA120" si="194">IF($M$13=$AN$12,"E",IF(OR(ISNUMBER(AA119),ISNUMBER(AB119)),"E","U"))</f>
        <v>U</v>
      </c>
      <c r="BB119" s="1083" t="str">
        <f t="shared" ref="BB119:BB120" si="195">IF($M$13=$AN$12,"E",IF(ISNUMBER(AG119),"E","U"))</f>
        <v>U</v>
      </c>
    </row>
    <row r="120" spans="1:54" ht="12" customHeight="1" x14ac:dyDescent="0.2">
      <c r="A120" s="440"/>
      <c r="B120" s="1043"/>
      <c r="C120" s="380"/>
      <c r="D120" s="1037"/>
      <c r="E120" s="1084">
        <f ca="1">IF(AX120="E","",AN120)</f>
        <v>0</v>
      </c>
      <c r="F120" s="1085"/>
      <c r="G120" s="1264"/>
      <c r="H120" s="1264"/>
      <c r="I120" s="1265"/>
      <c r="J120" s="638"/>
      <c r="K120" s="538" t="s">
        <v>171</v>
      </c>
      <c r="L120" s="541"/>
      <c r="M120" s="340"/>
      <c r="N120" s="528" t="s">
        <v>67</v>
      </c>
      <c r="O120" s="339"/>
      <c r="P120" s="543" t="s">
        <v>68</v>
      </c>
      <c r="Q120" s="344"/>
      <c r="R120" s="522" t="s">
        <v>363</v>
      </c>
      <c r="S120" s="353">
        <f t="shared" ca="1" si="181"/>
        <v>0</v>
      </c>
      <c r="T120" s="523"/>
      <c r="U120" s="350"/>
      <c r="V120" s="308"/>
      <c r="W120" s="1090" t="str">
        <f t="shared" ca="1" si="182"/>
        <v/>
      </c>
      <c r="X120" s="1103">
        <f t="shared" ca="1" si="183"/>
        <v>0</v>
      </c>
      <c r="Y120" s="1120">
        <f t="shared" ca="1" si="184"/>
        <v>0</v>
      </c>
      <c r="Z120" s="524"/>
      <c r="AA120" s="350"/>
      <c r="AB120" s="308"/>
      <c r="AC120" s="1090" t="str">
        <f t="shared" ca="1" si="185"/>
        <v/>
      </c>
      <c r="AD120" s="1103">
        <f t="shared" ca="1" si="186"/>
        <v>0</v>
      </c>
      <c r="AE120" s="1120">
        <f t="shared" ca="1" si="187"/>
        <v>0</v>
      </c>
      <c r="AF120" s="525"/>
      <c r="AG120" s="637"/>
      <c r="AH120" s="525"/>
      <c r="AI120" s="1086">
        <f t="shared" ca="1" si="188"/>
        <v>0</v>
      </c>
      <c r="AJ120" s="380"/>
      <c r="AK120" s="440"/>
      <c r="AM120" s="460">
        <v>120</v>
      </c>
      <c r="AN120" s="1087">
        <f t="shared" ca="1" si="189"/>
        <v>0</v>
      </c>
      <c r="AO120" s="1083">
        <f t="shared" ca="1" si="190"/>
        <v>0</v>
      </c>
      <c r="AP120" s="356">
        <f t="shared" ca="1" si="190"/>
        <v>0</v>
      </c>
      <c r="AQ120" s="357">
        <f t="shared" ca="1" si="190"/>
        <v>0</v>
      </c>
      <c r="AR120" s="524" t="str">
        <f t="shared" ca="1" si="190"/>
        <v/>
      </c>
      <c r="AS120" s="356">
        <f t="shared" ca="1" si="190"/>
        <v>0</v>
      </c>
      <c r="AT120" s="357">
        <f t="shared" ca="1" si="190"/>
        <v>0</v>
      </c>
      <c r="AU120" s="524" t="str">
        <f t="shared" ca="1" si="190"/>
        <v/>
      </c>
      <c r="AV120" s="1083">
        <f t="shared" ca="1" si="190"/>
        <v>0</v>
      </c>
      <c r="AX120" s="1083" t="str">
        <f t="shared" si="191"/>
        <v>U</v>
      </c>
      <c r="AY120" s="1083" t="str">
        <f t="shared" si="192"/>
        <v>U</v>
      </c>
      <c r="AZ120" s="1083" t="str">
        <f t="shared" si="193"/>
        <v>U</v>
      </c>
      <c r="BA120" s="1083" t="str">
        <f t="shared" si="194"/>
        <v>U</v>
      </c>
      <c r="BB120" s="1083" t="str">
        <f t="shared" si="195"/>
        <v>U</v>
      </c>
    </row>
    <row r="121" spans="1:54" ht="12" customHeight="1" collapsed="1" x14ac:dyDescent="0.2">
      <c r="A121" s="440"/>
      <c r="B121" s="324"/>
      <c r="C121" s="378"/>
      <c r="D121" s="374"/>
      <c r="E121" s="374"/>
      <c r="F121" s="374"/>
      <c r="G121" s="374"/>
      <c r="H121" s="374"/>
      <c r="I121" s="374"/>
      <c r="J121" s="374"/>
      <c r="K121" s="544"/>
      <c r="L121" s="544"/>
      <c r="M121" s="545"/>
      <c r="N121" s="544"/>
      <c r="O121" s="374"/>
      <c r="P121" s="374"/>
      <c r="Q121" s="374"/>
      <c r="R121" s="374"/>
      <c r="S121" s="374"/>
      <c r="T121" s="374"/>
      <c r="U121" s="374"/>
      <c r="V121" s="374"/>
      <c r="W121" s="1097"/>
      <c r="X121" s="1112"/>
      <c r="Y121" s="1112"/>
      <c r="Z121" s="374"/>
      <c r="AA121" s="374"/>
      <c r="AB121" s="374"/>
      <c r="AC121" s="1097"/>
      <c r="AD121" s="1112"/>
      <c r="AE121" s="1112"/>
      <c r="AF121" s="374"/>
      <c r="AG121" s="374"/>
      <c r="AH121" s="374"/>
      <c r="AI121" s="546"/>
      <c r="AJ121" s="374"/>
      <c r="AK121" s="440"/>
      <c r="AM121" s="460">
        <v>121</v>
      </c>
      <c r="AN121" s="1078"/>
    </row>
    <row r="122" spans="1:54" ht="12" customHeight="1" x14ac:dyDescent="0.2">
      <c r="A122" s="440"/>
      <c r="B122" s="547"/>
      <c r="C122" s="548"/>
      <c r="D122" s="548"/>
      <c r="E122" s="548"/>
      <c r="F122" s="548"/>
      <c r="G122" s="548"/>
      <c r="H122" s="548"/>
      <c r="I122" s="548"/>
      <c r="J122" s="1598"/>
      <c r="K122" s="1598"/>
      <c r="L122" s="1033"/>
      <c r="M122" s="549"/>
      <c r="N122" s="1033"/>
      <c r="O122" s="379"/>
      <c r="P122" s="379"/>
      <c r="Q122" s="379"/>
      <c r="R122" s="379"/>
      <c r="S122" s="389"/>
      <c r="T122" s="389"/>
      <c r="U122" s="1598"/>
      <c r="V122" s="1598"/>
      <c r="W122" s="1095"/>
      <c r="X122" s="1113"/>
      <c r="Y122" s="1113"/>
      <c r="Z122" s="389"/>
      <c r="AA122" s="1598"/>
      <c r="AB122" s="1598"/>
      <c r="AC122" s="1095"/>
      <c r="AD122" s="1113"/>
      <c r="AE122" s="1113"/>
      <c r="AF122" s="379"/>
      <c r="AG122" s="379"/>
      <c r="AH122" s="379"/>
      <c r="AI122" s="481"/>
      <c r="AJ122" s="379"/>
      <c r="AK122" s="440"/>
      <c r="AM122" s="460">
        <v>122</v>
      </c>
      <c r="AN122" s="1078"/>
    </row>
    <row r="123" spans="1:54" ht="12" customHeight="1" x14ac:dyDescent="0.2">
      <c r="A123" s="440"/>
      <c r="B123" s="320"/>
      <c r="C123" s="1036"/>
      <c r="D123" s="1036"/>
      <c r="E123" s="1036"/>
      <c r="F123" s="1036"/>
      <c r="G123" s="1036"/>
      <c r="H123" s="1036"/>
      <c r="I123" s="1036"/>
      <c r="J123" s="1598"/>
      <c r="K123" s="1598"/>
      <c r="L123" s="1033"/>
      <c r="M123" s="498"/>
      <c r="N123" s="503"/>
      <c r="O123" s="1036"/>
      <c r="P123" s="1036"/>
      <c r="Q123" s="1036"/>
      <c r="R123" s="1036"/>
      <c r="S123" s="372"/>
      <c r="T123" s="372"/>
      <c r="U123" s="372"/>
      <c r="V123" s="372"/>
      <c r="W123" s="1096"/>
      <c r="X123" s="1110"/>
      <c r="Y123" s="1110"/>
      <c r="Z123" s="372"/>
      <c r="AA123" s="372"/>
      <c r="AB123" s="372"/>
      <c r="AC123" s="1096"/>
      <c r="AD123" s="1110"/>
      <c r="AE123" s="1110"/>
      <c r="AF123" s="372"/>
      <c r="AG123" s="372"/>
      <c r="AH123" s="372"/>
      <c r="AI123" s="482"/>
      <c r="AJ123" s="372"/>
      <c r="AK123" s="440"/>
      <c r="AM123" s="460">
        <v>123</v>
      </c>
      <c r="AN123" s="1078"/>
    </row>
    <row r="124" spans="1:54" ht="14.25" customHeight="1" x14ac:dyDescent="0.25">
      <c r="A124" s="440"/>
      <c r="B124" s="499">
        <v>3</v>
      </c>
      <c r="C124" s="494"/>
      <c r="D124" s="495"/>
      <c r="E124" s="1606" t="s">
        <v>48</v>
      </c>
      <c r="F124" s="1606"/>
      <c r="G124" s="1606"/>
      <c r="H124" s="1606"/>
      <c r="I124" s="1597"/>
      <c r="J124" s="1038"/>
      <c r="K124" s="462"/>
      <c r="L124" s="462"/>
      <c r="M124" s="498"/>
      <c r="N124" s="359"/>
      <c r="O124" s="363"/>
      <c r="P124" s="363"/>
      <c r="Q124" s="363"/>
      <c r="R124" s="363"/>
      <c r="S124" s="385">
        <f ca="1">S125+S142+S155+S164</f>
        <v>400238.076</v>
      </c>
      <c r="T124" s="363"/>
      <c r="U124" s="358"/>
      <c r="V124" s="358"/>
      <c r="W124" s="1091"/>
      <c r="X124" s="1104"/>
      <c r="Y124" s="1104"/>
      <c r="Z124" s="363"/>
      <c r="AA124" s="358"/>
      <c r="AB124" s="358"/>
      <c r="AC124" s="1091"/>
      <c r="AD124" s="1104"/>
      <c r="AE124" s="1104"/>
      <c r="AF124" s="358"/>
      <c r="AG124" s="358"/>
      <c r="AH124" s="358"/>
      <c r="AI124" s="358"/>
      <c r="AJ124" s="358"/>
      <c r="AK124" s="440"/>
      <c r="AM124" s="460">
        <v>124</v>
      </c>
      <c r="AN124" s="1078"/>
    </row>
    <row r="125" spans="1:54" ht="14.25" customHeight="1" x14ac:dyDescent="0.25">
      <c r="A125" s="440"/>
      <c r="B125" s="1043"/>
      <c r="C125" s="1036" t="s">
        <v>47</v>
      </c>
      <c r="D125" s="494"/>
      <c r="E125" s="1596" t="s">
        <v>46</v>
      </c>
      <c r="F125" s="1596"/>
      <c r="G125" s="1596"/>
      <c r="H125" s="1596"/>
      <c r="I125" s="1597"/>
      <c r="J125" s="1038"/>
      <c r="K125" s="502"/>
      <c r="L125" s="502"/>
      <c r="M125" s="532"/>
      <c r="N125" s="463"/>
      <c r="O125" s="380"/>
      <c r="P125" s="363"/>
      <c r="Q125" s="363"/>
      <c r="R125" s="363"/>
      <c r="S125" s="355">
        <f ca="1">S126+S135+S136</f>
        <v>216030.87599999999</v>
      </c>
      <c r="T125" s="363"/>
      <c r="U125" s="358"/>
      <c r="V125" s="358"/>
      <c r="W125" s="1091"/>
      <c r="X125" s="1104"/>
      <c r="Y125" s="1104"/>
      <c r="Z125" s="363"/>
      <c r="AA125" s="358"/>
      <c r="AB125" s="358"/>
      <c r="AC125" s="1091"/>
      <c r="AD125" s="1104"/>
      <c r="AE125" s="1104"/>
      <c r="AF125" s="358"/>
      <c r="AG125" s="358"/>
      <c r="AH125" s="358"/>
      <c r="AI125" s="358"/>
      <c r="AJ125" s="358"/>
      <c r="AK125" s="440"/>
      <c r="AM125" s="460">
        <v>125</v>
      </c>
      <c r="AN125" s="1078"/>
    </row>
    <row r="126" spans="1:54" ht="12" customHeight="1" x14ac:dyDescent="0.25">
      <c r="A126" s="440"/>
      <c r="B126" s="1043"/>
      <c r="C126" s="380"/>
      <c r="D126" s="1037" t="s">
        <v>45</v>
      </c>
      <c r="E126" s="1599" t="s">
        <v>303</v>
      </c>
      <c r="F126" s="1599"/>
      <c r="G126" s="1599"/>
      <c r="H126" s="1599"/>
      <c r="I126" s="1632"/>
      <c r="J126" s="1038"/>
      <c r="K126" s="1038"/>
      <c r="L126" s="503"/>
      <c r="M126" s="498"/>
      <c r="N126" s="359"/>
      <c r="O126" s="363"/>
      <c r="P126" s="363"/>
      <c r="Q126" s="363"/>
      <c r="R126" s="363"/>
      <c r="S126" s="354">
        <f ca="1">SUBTOTAL(109,S128:S133)</f>
        <v>154002</v>
      </c>
      <c r="T126" s="363"/>
      <c r="U126" s="358"/>
      <c r="V126" s="358"/>
      <c r="W126" s="1091"/>
      <c r="X126" s="1104"/>
      <c r="Y126" s="1104"/>
      <c r="Z126" s="363"/>
      <c r="AA126" s="358"/>
      <c r="AB126" s="358"/>
      <c r="AC126" s="1091"/>
      <c r="AD126" s="1104"/>
      <c r="AE126" s="1104"/>
      <c r="AF126" s="358"/>
      <c r="AG126" s="358"/>
      <c r="AH126" s="358"/>
      <c r="AI126" s="358"/>
      <c r="AJ126" s="358"/>
      <c r="AK126" s="440"/>
      <c r="AM126" s="460">
        <v>126</v>
      </c>
      <c r="AN126" s="1078"/>
    </row>
    <row r="127" spans="1:54" ht="12" customHeight="1" x14ac:dyDescent="0.25">
      <c r="A127" s="440"/>
      <c r="B127" s="1043"/>
      <c r="C127" s="380"/>
      <c r="D127" s="1037"/>
      <c r="E127" s="1037"/>
      <c r="F127" s="1037"/>
      <c r="G127" s="1037"/>
      <c r="H127" s="1037"/>
      <c r="I127" s="1035"/>
      <c r="J127" s="1603" t="s">
        <v>188</v>
      </c>
      <c r="K127" s="1603"/>
      <c r="L127" s="503"/>
      <c r="M127" s="498"/>
      <c r="N127" s="359"/>
      <c r="O127" s="363"/>
      <c r="P127" s="363"/>
      <c r="Q127" s="363"/>
      <c r="R127" s="363"/>
      <c r="S127" s="354"/>
      <c r="T127" s="363"/>
      <c r="U127" s="358"/>
      <c r="V127" s="358"/>
      <c r="W127" s="1091"/>
      <c r="X127" s="1104"/>
      <c r="Y127" s="1104"/>
      <c r="Z127" s="363"/>
      <c r="AA127" s="358"/>
      <c r="AB127" s="358"/>
      <c r="AC127" s="1091"/>
      <c r="AD127" s="1104"/>
      <c r="AE127" s="1104"/>
      <c r="AF127" s="358"/>
      <c r="AG127" s="358"/>
      <c r="AH127" s="358"/>
      <c r="AI127" s="358"/>
      <c r="AJ127" s="358"/>
      <c r="AK127" s="440"/>
      <c r="AM127" s="460">
        <v>127</v>
      </c>
      <c r="AN127" s="1078"/>
    </row>
    <row r="128" spans="1:54" ht="12" customHeight="1" x14ac:dyDescent="0.2">
      <c r="A128" s="440"/>
      <c r="B128" s="1043"/>
      <c r="C128" s="380"/>
      <c r="D128" s="1037"/>
      <c r="E128" s="1084" t="str">
        <f t="shared" ref="E128:E133" ca="1" si="196">IF(AX128="E","",AN128)</f>
        <v>Wärmepumpe LD20</v>
      </c>
      <c r="F128" s="1085"/>
      <c r="G128" s="1264"/>
      <c r="H128" s="1264"/>
      <c r="I128" s="1265"/>
      <c r="J128" s="638"/>
      <c r="K128" s="550" t="s">
        <v>179</v>
      </c>
      <c r="L128" s="551"/>
      <c r="M128" s="340"/>
      <c r="N128" s="528" t="s">
        <v>69</v>
      </c>
      <c r="O128" s="339"/>
      <c r="P128" s="543" t="s">
        <v>70</v>
      </c>
      <c r="Q128" s="344"/>
      <c r="R128" s="522" t="s">
        <v>363</v>
      </c>
      <c r="S128" s="353">
        <f t="shared" ref="S128:S133" ca="1" si="197">IF(AY128="E",(M128*O128)+Q128,AO128)</f>
        <v>24012</v>
      </c>
      <c r="T128" s="523"/>
      <c r="U128" s="350"/>
      <c r="V128" s="308"/>
      <c r="W128" s="1090" t="str">
        <f t="shared" ref="W128:W133" ca="1" si="198">IF(AZ128="E",IF(AND(V128&lt;&gt;0,U128&lt;&gt;0),"X",IF(AND(V128&lt;&gt;0,U128=0),"A",IF(AND(V128=0,U128&lt;&gt;0),"P",""))),AR128)</f>
        <v/>
      </c>
      <c r="X128" s="1103">
        <f t="shared" ref="X128:X133" ca="1" si="199">IF(AZ128="E",IFERROR(IF(W128="X",0,IF(U128&gt;0,U128,V128/S128)),0),
IFERROR(IF(OR(AR128="X",AR128=0),0,
IF(AR128="P",AP128,IF(AR128="A",AQ128/S128,0))),0))</f>
        <v>0</v>
      </c>
      <c r="Y128" s="1120">
        <f t="shared" ref="Y128:Y133" ca="1" si="200">IF(AZ128="E",IFERROR(IF(W128="X",0,IF(V128&gt;0,V128,S128*U128)),0),
IFERROR(IF(OR(AR128="X",AR128="0"),0,IF(AR128="A",AQ128,S128*AP128)),0))</f>
        <v>0</v>
      </c>
      <c r="Z128" s="524"/>
      <c r="AA128" s="350"/>
      <c r="AB128" s="308"/>
      <c r="AC128" s="1090" t="str">
        <f t="shared" ref="AC128:AC133" ca="1" si="201">IF(BA128="E",IF(AND(AB128&lt;&gt;0,AA128&lt;&gt;0),"X",IF(AND(AB128&lt;&gt;0,AA128=0),"A",IF(AND(AB128=0,AA128&lt;&gt;0),"P",""))),AU128)</f>
        <v>A</v>
      </c>
      <c r="AD128" s="1103">
        <f t="shared" ref="AD128:AD133" ca="1" si="202">IF(BA128="E",IFERROR(IF(AC128="X",0,IF(AA128&gt;0,AA128,AB128/S128)),0),
IFERROR(IF(OR(AU128="X",AU128=0),0,
IF(AU128="P",AS128,IF(AU128="A",AT128/S128,0))),0))</f>
        <v>5.0183241712477095E-2</v>
      </c>
      <c r="AE128" s="1120">
        <f t="shared" ref="AE128:AE133" ca="1" si="203">IF(BA128="E",IFERROR(IF(AC128="X",0,IF(AB128&gt;0,AB128,S128*AA128)),0),
IFERROR(IF(OR(AU128="X",AU128=0),0,
IF(AU128="A",AT128,S128*AS128)),0))</f>
        <v>1205</v>
      </c>
      <c r="AF128" s="525"/>
      <c r="AG128" s="637"/>
      <c r="AH128" s="525"/>
      <c r="AI128" s="1086">
        <f t="shared" ref="AI128:AI133" ca="1" si="204">IF(BB128="E",AG128,AV128)</f>
        <v>20</v>
      </c>
      <c r="AJ128" s="380"/>
      <c r="AK128" s="440"/>
      <c r="AM128" s="460">
        <v>128</v>
      </c>
      <c r="AN128" s="1087" t="str">
        <f t="shared" ref="AN128:AN133" ca="1" si="205">IF($M$13=$AN$12,"",IF(ISTEXT(INDIRECT("'"&amp;$AM$20&amp;"'!"&amp;AN$21&amp;$AM128)),INDIRECT("'"&amp;$AM$20&amp;"'!"&amp;AN$21&amp;$AM128),INDIRECT("'"&amp;$AM$20&amp;"'!"&amp;AN$22&amp;$AM128)))</f>
        <v>Wärmepumpe LD20</v>
      </c>
      <c r="AO128" s="1083">
        <f t="shared" ref="AO128:AV133" ca="1" si="206">IF($M$13=$AN$12,"",INDIRECT("'"&amp;$AM$20&amp;"'!"&amp;AO$21&amp;$AM128))</f>
        <v>24012</v>
      </c>
      <c r="AP128" s="356">
        <f t="shared" ca="1" si="206"/>
        <v>0</v>
      </c>
      <c r="AQ128" s="357">
        <f t="shared" ca="1" si="206"/>
        <v>0</v>
      </c>
      <c r="AR128" s="524" t="str">
        <f t="shared" ca="1" si="206"/>
        <v/>
      </c>
      <c r="AS128" s="356">
        <f t="shared" ca="1" si="206"/>
        <v>5.0183241712477095E-2</v>
      </c>
      <c r="AT128" s="357">
        <f t="shared" ca="1" si="206"/>
        <v>1205</v>
      </c>
      <c r="AU128" s="524" t="str">
        <f t="shared" ca="1" si="206"/>
        <v>A</v>
      </c>
      <c r="AV128" s="1083">
        <f t="shared" ca="1" si="206"/>
        <v>20</v>
      </c>
      <c r="AX128" s="1083" t="str">
        <f t="shared" ref="AX128:AX133" si="207">IF($M$13=$AN$12,"E",IF(ISTEXT(F128),"E","U"))</f>
        <v>U</v>
      </c>
      <c r="AY128" s="1083" t="str">
        <f t="shared" ref="AY128:AY133" si="208">IF($M$13=$AN$12,"E",IF(OR(ISNUMBER(M128),ISNUMBER(O128),ISNUMBER(Q128)),"E","U"))</f>
        <v>U</v>
      </c>
      <c r="AZ128" s="1083" t="str">
        <f t="shared" ref="AZ128:AZ133" si="209">IF($M$13=$AN$12,"E",IF(OR(ISNUMBER(U128),ISNUMBER(V128)),"E","U"))</f>
        <v>U</v>
      </c>
      <c r="BA128" s="1083" t="str">
        <f t="shared" ref="BA128:BA133" si="210">IF($M$13=$AN$12,"E",IF(OR(ISNUMBER(AA128),ISNUMBER(AB128)),"E","U"))</f>
        <v>U</v>
      </c>
      <c r="BB128" s="1083" t="str">
        <f t="shared" ref="BB128:BB133" si="211">IF($M$13=$AN$12,"E",IF(ISNUMBER(AG128),"E","U"))</f>
        <v>U</v>
      </c>
    </row>
    <row r="129" spans="1:54" ht="12" customHeight="1" x14ac:dyDescent="0.2">
      <c r="A129" s="440"/>
      <c r="B129" s="1043"/>
      <c r="C129" s="380"/>
      <c r="D129" s="1037"/>
      <c r="E129" s="1084" t="str">
        <f t="shared" ca="1" si="196"/>
        <v>Sonden und Speicher  LD50</v>
      </c>
      <c r="F129" s="1085"/>
      <c r="G129" s="1264"/>
      <c r="H129" s="1264"/>
      <c r="I129" s="1265"/>
      <c r="J129" s="638"/>
      <c r="K129" s="520" t="s">
        <v>179</v>
      </c>
      <c r="L129" s="521"/>
      <c r="M129" s="340"/>
      <c r="N129" s="528" t="s">
        <v>69</v>
      </c>
      <c r="O129" s="339"/>
      <c r="P129" s="543" t="s">
        <v>70</v>
      </c>
      <c r="Q129" s="344"/>
      <c r="R129" s="522" t="s">
        <v>363</v>
      </c>
      <c r="S129" s="353">
        <f t="shared" ca="1" si="197"/>
        <v>82177.2</v>
      </c>
      <c r="T129" s="523"/>
      <c r="U129" s="350"/>
      <c r="V129" s="308"/>
      <c r="W129" s="1090" t="str">
        <f t="shared" ca="1" si="198"/>
        <v/>
      </c>
      <c r="X129" s="1103">
        <f t="shared" ca="1" si="199"/>
        <v>0</v>
      </c>
      <c r="Y129" s="1120">
        <f t="shared" ca="1" si="200"/>
        <v>0</v>
      </c>
      <c r="Z129" s="524"/>
      <c r="AA129" s="350"/>
      <c r="AB129" s="308"/>
      <c r="AC129" s="1090" t="str">
        <f t="shared" ca="1" si="201"/>
        <v/>
      </c>
      <c r="AD129" s="1103">
        <f t="shared" ca="1" si="202"/>
        <v>0</v>
      </c>
      <c r="AE129" s="1120">
        <f t="shared" ca="1" si="203"/>
        <v>0</v>
      </c>
      <c r="AF129" s="525"/>
      <c r="AG129" s="637"/>
      <c r="AH129" s="525"/>
      <c r="AI129" s="1086">
        <f t="shared" ca="1" si="204"/>
        <v>50</v>
      </c>
      <c r="AJ129" s="380"/>
      <c r="AK129" s="440"/>
      <c r="AM129" s="460">
        <v>129</v>
      </c>
      <c r="AN129" s="1087" t="str">
        <f t="shared" ca="1" si="205"/>
        <v>Sonden und Speicher  LD50</v>
      </c>
      <c r="AO129" s="1083">
        <f t="shared" ca="1" si="206"/>
        <v>82177.2</v>
      </c>
      <c r="AP129" s="356">
        <f t="shared" ca="1" si="206"/>
        <v>0</v>
      </c>
      <c r="AQ129" s="357">
        <f t="shared" ca="1" si="206"/>
        <v>0</v>
      </c>
      <c r="AR129" s="524" t="str">
        <f t="shared" ca="1" si="206"/>
        <v/>
      </c>
      <c r="AS129" s="356">
        <f t="shared" ca="1" si="206"/>
        <v>0</v>
      </c>
      <c r="AT129" s="357">
        <f t="shared" ca="1" si="206"/>
        <v>0</v>
      </c>
      <c r="AU129" s="524" t="str">
        <f t="shared" ca="1" si="206"/>
        <v/>
      </c>
      <c r="AV129" s="1083">
        <f t="shared" ca="1" si="206"/>
        <v>50</v>
      </c>
      <c r="AX129" s="1083" t="str">
        <f t="shared" si="207"/>
        <v>U</v>
      </c>
      <c r="AY129" s="1083" t="str">
        <f t="shared" si="208"/>
        <v>U</v>
      </c>
      <c r="AZ129" s="1083" t="str">
        <f t="shared" si="209"/>
        <v>U</v>
      </c>
      <c r="BA129" s="1083" t="str">
        <f t="shared" si="210"/>
        <v>U</v>
      </c>
      <c r="BB129" s="1083" t="str">
        <f t="shared" si="211"/>
        <v>U</v>
      </c>
    </row>
    <row r="130" spans="1:54" ht="12" customHeight="1" x14ac:dyDescent="0.2">
      <c r="A130" s="440"/>
      <c r="B130" s="1043"/>
      <c r="C130" s="380"/>
      <c r="D130" s="1037"/>
      <c r="E130" s="1084" t="str">
        <f t="shared" ca="1" si="196"/>
        <v>mittl. Solarthermie LD25</v>
      </c>
      <c r="F130" s="1085"/>
      <c r="G130" s="1264"/>
      <c r="H130" s="1264"/>
      <c r="I130" s="1265"/>
      <c r="J130" s="638"/>
      <c r="K130" s="520" t="s">
        <v>179</v>
      </c>
      <c r="L130" s="521"/>
      <c r="M130" s="340"/>
      <c r="N130" s="528" t="s">
        <v>69</v>
      </c>
      <c r="O130" s="339"/>
      <c r="P130" s="543" t="s">
        <v>70</v>
      </c>
      <c r="Q130" s="344"/>
      <c r="R130" s="522" t="s">
        <v>363</v>
      </c>
      <c r="S130" s="353">
        <f t="shared" ca="1" si="197"/>
        <v>32678.399999999998</v>
      </c>
      <c r="T130" s="523"/>
      <c r="U130" s="350"/>
      <c r="V130" s="308"/>
      <c r="W130" s="1090" t="str">
        <f t="shared" ca="1" si="198"/>
        <v/>
      </c>
      <c r="X130" s="1103">
        <f t="shared" ca="1" si="199"/>
        <v>0</v>
      </c>
      <c r="Y130" s="1120">
        <f t="shared" ca="1" si="200"/>
        <v>0</v>
      </c>
      <c r="Z130" s="524"/>
      <c r="AA130" s="350"/>
      <c r="AB130" s="308"/>
      <c r="AC130" s="1090" t="str">
        <f t="shared" ca="1" si="201"/>
        <v>A</v>
      </c>
      <c r="AD130" s="1103">
        <f t="shared" ca="1" si="202"/>
        <v>9.4557873090481796E-3</v>
      </c>
      <c r="AE130" s="1120">
        <f t="shared" ca="1" si="203"/>
        <v>309</v>
      </c>
      <c r="AF130" s="525"/>
      <c r="AG130" s="637"/>
      <c r="AH130" s="525"/>
      <c r="AI130" s="1086">
        <f t="shared" ca="1" si="204"/>
        <v>25</v>
      </c>
      <c r="AJ130" s="380"/>
      <c r="AK130" s="440"/>
      <c r="AM130" s="460">
        <v>130</v>
      </c>
      <c r="AN130" s="1087" t="str">
        <f t="shared" ca="1" si="205"/>
        <v>mittl. Solarthermie LD25</v>
      </c>
      <c r="AO130" s="1083">
        <f t="shared" ca="1" si="206"/>
        <v>32678.399999999998</v>
      </c>
      <c r="AP130" s="356">
        <f t="shared" ca="1" si="206"/>
        <v>0</v>
      </c>
      <c r="AQ130" s="357">
        <f t="shared" ca="1" si="206"/>
        <v>0</v>
      </c>
      <c r="AR130" s="524" t="str">
        <f t="shared" ca="1" si="206"/>
        <v/>
      </c>
      <c r="AS130" s="356">
        <f t="shared" ca="1" si="206"/>
        <v>9.4557873090481796E-3</v>
      </c>
      <c r="AT130" s="357">
        <f t="shared" ca="1" si="206"/>
        <v>309</v>
      </c>
      <c r="AU130" s="524" t="str">
        <f t="shared" ca="1" si="206"/>
        <v>A</v>
      </c>
      <c r="AV130" s="1083">
        <f t="shared" ca="1" si="206"/>
        <v>25</v>
      </c>
      <c r="AX130" s="1083" t="str">
        <f t="shared" si="207"/>
        <v>U</v>
      </c>
      <c r="AY130" s="1083" t="str">
        <f t="shared" si="208"/>
        <v>U</v>
      </c>
      <c r="AZ130" s="1083" t="str">
        <f t="shared" si="209"/>
        <v>U</v>
      </c>
      <c r="BA130" s="1083" t="str">
        <f t="shared" si="210"/>
        <v>U</v>
      </c>
      <c r="BB130" s="1083" t="str">
        <f t="shared" si="211"/>
        <v>U</v>
      </c>
    </row>
    <row r="131" spans="1:54" ht="12" customHeight="1" x14ac:dyDescent="0.2">
      <c r="A131" s="440"/>
      <c r="B131" s="1043"/>
      <c r="C131" s="380"/>
      <c r="D131" s="1037"/>
      <c r="E131" s="1084" t="str">
        <f t="shared" ca="1" si="196"/>
        <v>mittl. Solarthermie LD50</v>
      </c>
      <c r="F131" s="1085"/>
      <c r="G131" s="1264"/>
      <c r="H131" s="1264"/>
      <c r="I131" s="1265"/>
      <c r="J131" s="638"/>
      <c r="K131" s="520" t="s">
        <v>179</v>
      </c>
      <c r="L131" s="521"/>
      <c r="M131" s="340"/>
      <c r="N131" s="528" t="s">
        <v>69</v>
      </c>
      <c r="O131" s="339"/>
      <c r="P131" s="543" t="s">
        <v>70</v>
      </c>
      <c r="Q131" s="344"/>
      <c r="R131" s="522" t="s">
        <v>363</v>
      </c>
      <c r="S131" s="353">
        <f t="shared" ca="1" si="197"/>
        <v>15134.4</v>
      </c>
      <c r="T131" s="523"/>
      <c r="U131" s="350"/>
      <c r="V131" s="308"/>
      <c r="W131" s="1090" t="str">
        <f t="shared" ca="1" si="198"/>
        <v/>
      </c>
      <c r="X131" s="1103">
        <f t="shared" ca="1" si="199"/>
        <v>0</v>
      </c>
      <c r="Y131" s="1120">
        <f t="shared" ca="1" si="200"/>
        <v>0</v>
      </c>
      <c r="Z131" s="524"/>
      <c r="AA131" s="350"/>
      <c r="AB131" s="308"/>
      <c r="AC131" s="1090" t="str">
        <f t="shared" ca="1" si="201"/>
        <v/>
      </c>
      <c r="AD131" s="1103">
        <f t="shared" ca="1" si="202"/>
        <v>0</v>
      </c>
      <c r="AE131" s="1120">
        <f t="shared" ca="1" si="203"/>
        <v>0</v>
      </c>
      <c r="AF131" s="525"/>
      <c r="AG131" s="637"/>
      <c r="AH131" s="525"/>
      <c r="AI131" s="1086">
        <f t="shared" ca="1" si="204"/>
        <v>50</v>
      </c>
      <c r="AJ131" s="380"/>
      <c r="AK131" s="440"/>
      <c r="AM131" s="460">
        <v>131</v>
      </c>
      <c r="AN131" s="1087" t="str">
        <f t="shared" ca="1" si="205"/>
        <v>mittl. Solarthermie LD50</v>
      </c>
      <c r="AO131" s="1083">
        <f t="shared" ca="1" si="206"/>
        <v>15134.4</v>
      </c>
      <c r="AP131" s="356">
        <f t="shared" ca="1" si="206"/>
        <v>0</v>
      </c>
      <c r="AQ131" s="357">
        <f t="shared" ca="1" si="206"/>
        <v>0</v>
      </c>
      <c r="AR131" s="524" t="str">
        <f t="shared" ca="1" si="206"/>
        <v/>
      </c>
      <c r="AS131" s="356">
        <f t="shared" ca="1" si="206"/>
        <v>0</v>
      </c>
      <c r="AT131" s="357">
        <f t="shared" ca="1" si="206"/>
        <v>0</v>
      </c>
      <c r="AU131" s="524" t="str">
        <f t="shared" ca="1" si="206"/>
        <v/>
      </c>
      <c r="AV131" s="1083">
        <f t="shared" ca="1" si="206"/>
        <v>50</v>
      </c>
      <c r="AX131" s="1083" t="str">
        <f t="shared" si="207"/>
        <v>U</v>
      </c>
      <c r="AY131" s="1083" t="str">
        <f t="shared" si="208"/>
        <v>U</v>
      </c>
      <c r="AZ131" s="1083" t="str">
        <f t="shared" si="209"/>
        <v>U</v>
      </c>
      <c r="BA131" s="1083" t="str">
        <f t="shared" si="210"/>
        <v>U</v>
      </c>
      <c r="BB131" s="1083" t="str">
        <f t="shared" si="211"/>
        <v>U</v>
      </c>
    </row>
    <row r="132" spans="1:54" ht="12" customHeight="1" x14ac:dyDescent="0.2">
      <c r="A132" s="440"/>
      <c r="B132" s="1043"/>
      <c r="C132" s="380"/>
      <c r="D132" s="1037"/>
      <c r="E132" s="1084">
        <f t="shared" ca="1" si="196"/>
        <v>0</v>
      </c>
      <c r="F132" s="1085"/>
      <c r="G132" s="1264"/>
      <c r="H132" s="1264"/>
      <c r="I132" s="1265"/>
      <c r="J132" s="638"/>
      <c r="K132" s="520" t="s">
        <v>179</v>
      </c>
      <c r="L132" s="521"/>
      <c r="M132" s="340"/>
      <c r="N132" s="528" t="s">
        <v>69</v>
      </c>
      <c r="O132" s="339"/>
      <c r="P132" s="543" t="s">
        <v>70</v>
      </c>
      <c r="Q132" s="344"/>
      <c r="R132" s="522" t="s">
        <v>363</v>
      </c>
      <c r="S132" s="353">
        <f t="shared" ca="1" si="197"/>
        <v>0</v>
      </c>
      <c r="T132" s="523"/>
      <c r="U132" s="350"/>
      <c r="V132" s="308"/>
      <c r="W132" s="1090" t="str">
        <f t="shared" ca="1" si="198"/>
        <v/>
      </c>
      <c r="X132" s="1103">
        <f t="shared" ca="1" si="199"/>
        <v>0</v>
      </c>
      <c r="Y132" s="1120">
        <f t="shared" ca="1" si="200"/>
        <v>0</v>
      </c>
      <c r="Z132" s="524"/>
      <c r="AA132" s="350"/>
      <c r="AB132" s="308"/>
      <c r="AC132" s="1090" t="str">
        <f t="shared" ca="1" si="201"/>
        <v/>
      </c>
      <c r="AD132" s="1103">
        <f t="shared" ca="1" si="202"/>
        <v>0</v>
      </c>
      <c r="AE132" s="1120">
        <f t="shared" ca="1" si="203"/>
        <v>0</v>
      </c>
      <c r="AF132" s="525"/>
      <c r="AG132" s="637"/>
      <c r="AH132" s="525"/>
      <c r="AI132" s="1086">
        <f t="shared" ca="1" si="204"/>
        <v>0</v>
      </c>
      <c r="AJ132" s="380"/>
      <c r="AK132" s="440"/>
      <c r="AM132" s="460">
        <v>132</v>
      </c>
      <c r="AN132" s="1087">
        <f t="shared" ca="1" si="205"/>
        <v>0</v>
      </c>
      <c r="AO132" s="1083">
        <f t="shared" ca="1" si="206"/>
        <v>0</v>
      </c>
      <c r="AP132" s="356">
        <f t="shared" ca="1" si="206"/>
        <v>0</v>
      </c>
      <c r="AQ132" s="357">
        <f t="shared" ca="1" si="206"/>
        <v>0</v>
      </c>
      <c r="AR132" s="524" t="str">
        <f t="shared" ca="1" si="206"/>
        <v/>
      </c>
      <c r="AS132" s="356">
        <f t="shared" ca="1" si="206"/>
        <v>0</v>
      </c>
      <c r="AT132" s="357">
        <f t="shared" ca="1" si="206"/>
        <v>0</v>
      </c>
      <c r="AU132" s="524" t="str">
        <f t="shared" ca="1" si="206"/>
        <v/>
      </c>
      <c r="AV132" s="1083">
        <f t="shared" ca="1" si="206"/>
        <v>0</v>
      </c>
      <c r="AX132" s="1083" t="str">
        <f t="shared" si="207"/>
        <v>U</v>
      </c>
      <c r="AY132" s="1083" t="str">
        <f t="shared" si="208"/>
        <v>U</v>
      </c>
      <c r="AZ132" s="1083" t="str">
        <f t="shared" si="209"/>
        <v>U</v>
      </c>
      <c r="BA132" s="1083" t="str">
        <f t="shared" si="210"/>
        <v>U</v>
      </c>
      <c r="BB132" s="1083" t="str">
        <f t="shared" si="211"/>
        <v>U</v>
      </c>
    </row>
    <row r="133" spans="1:54" ht="12" customHeight="1" x14ac:dyDescent="0.2">
      <c r="A133" s="440"/>
      <c r="B133" s="1043"/>
      <c r="C133" s="380"/>
      <c r="D133" s="1037"/>
      <c r="E133" s="1084">
        <f t="shared" ca="1" si="196"/>
        <v>0</v>
      </c>
      <c r="F133" s="1085"/>
      <c r="G133" s="1264"/>
      <c r="H133" s="1264"/>
      <c r="I133" s="1265"/>
      <c r="J133" s="638"/>
      <c r="K133" s="520" t="s">
        <v>179</v>
      </c>
      <c r="L133" s="521"/>
      <c r="M133" s="340"/>
      <c r="N133" s="528" t="s">
        <v>69</v>
      </c>
      <c r="O133" s="339"/>
      <c r="P133" s="543" t="s">
        <v>70</v>
      </c>
      <c r="Q133" s="344"/>
      <c r="R133" s="522" t="s">
        <v>363</v>
      </c>
      <c r="S133" s="353">
        <f t="shared" ca="1" si="197"/>
        <v>0</v>
      </c>
      <c r="T133" s="523"/>
      <c r="U133" s="350"/>
      <c r="V133" s="308"/>
      <c r="W133" s="1090" t="str">
        <f t="shared" ca="1" si="198"/>
        <v/>
      </c>
      <c r="X133" s="1103">
        <f t="shared" ca="1" si="199"/>
        <v>0</v>
      </c>
      <c r="Y133" s="1120">
        <f t="shared" ca="1" si="200"/>
        <v>0</v>
      </c>
      <c r="Z133" s="524"/>
      <c r="AA133" s="350"/>
      <c r="AB133" s="308"/>
      <c r="AC133" s="1090" t="str">
        <f t="shared" ca="1" si="201"/>
        <v/>
      </c>
      <c r="AD133" s="1103">
        <f t="shared" ca="1" si="202"/>
        <v>0</v>
      </c>
      <c r="AE133" s="1120">
        <f t="shared" ca="1" si="203"/>
        <v>0</v>
      </c>
      <c r="AF133" s="525"/>
      <c r="AG133" s="637"/>
      <c r="AH133" s="525"/>
      <c r="AI133" s="1086">
        <f t="shared" ca="1" si="204"/>
        <v>0</v>
      </c>
      <c r="AJ133" s="380"/>
      <c r="AK133" s="440"/>
      <c r="AM133" s="460">
        <v>133</v>
      </c>
      <c r="AN133" s="1087">
        <f t="shared" ca="1" si="205"/>
        <v>0</v>
      </c>
      <c r="AO133" s="1083">
        <f t="shared" ca="1" si="206"/>
        <v>0</v>
      </c>
      <c r="AP133" s="356">
        <f t="shared" ca="1" si="206"/>
        <v>0</v>
      </c>
      <c r="AQ133" s="357">
        <f t="shared" ca="1" si="206"/>
        <v>0</v>
      </c>
      <c r="AR133" s="524" t="str">
        <f t="shared" ca="1" si="206"/>
        <v/>
      </c>
      <c r="AS133" s="356">
        <f t="shared" ca="1" si="206"/>
        <v>0</v>
      </c>
      <c r="AT133" s="357">
        <f t="shared" ca="1" si="206"/>
        <v>0</v>
      </c>
      <c r="AU133" s="524" t="str">
        <f t="shared" ca="1" si="206"/>
        <v/>
      </c>
      <c r="AV133" s="1083">
        <f t="shared" ca="1" si="206"/>
        <v>0</v>
      </c>
      <c r="AX133" s="1083" t="str">
        <f t="shared" si="207"/>
        <v>U</v>
      </c>
      <c r="AY133" s="1083" t="str">
        <f t="shared" si="208"/>
        <v>U</v>
      </c>
      <c r="AZ133" s="1083" t="str">
        <f t="shared" si="209"/>
        <v>U</v>
      </c>
      <c r="BA133" s="1083" t="str">
        <f t="shared" si="210"/>
        <v>U</v>
      </c>
      <c r="BB133" s="1083" t="str">
        <f t="shared" si="211"/>
        <v>U</v>
      </c>
    </row>
    <row r="134" spans="1:54" ht="12" customHeight="1" x14ac:dyDescent="0.25">
      <c r="A134" s="440"/>
      <c r="B134" s="1043"/>
      <c r="C134" s="380"/>
      <c r="D134" s="1037" t="s">
        <v>43</v>
      </c>
      <c r="E134" s="1599" t="s">
        <v>42</v>
      </c>
      <c r="F134" s="1599"/>
      <c r="G134" s="1599"/>
      <c r="H134" s="1599"/>
      <c r="I134" s="1631"/>
      <c r="J134" s="1038"/>
      <c r="K134" s="502"/>
      <c r="L134" s="502"/>
      <c r="M134" s="498"/>
      <c r="N134" s="359"/>
      <c r="O134" s="363"/>
      <c r="P134" s="363"/>
      <c r="Q134" s="363"/>
      <c r="R134" s="363"/>
      <c r="S134" s="365"/>
      <c r="T134" s="363"/>
      <c r="U134" s="375"/>
      <c r="V134" s="358"/>
      <c r="W134" s="1091"/>
      <c r="X134" s="1114"/>
      <c r="Y134" s="1104"/>
      <c r="Z134" s="363"/>
      <c r="AA134" s="375"/>
      <c r="AB134" s="358"/>
      <c r="AC134" s="1091"/>
      <c r="AD134" s="1114"/>
      <c r="AE134" s="1104"/>
      <c r="AF134" s="358"/>
      <c r="AG134" s="358"/>
      <c r="AH134" s="358"/>
      <c r="AI134" s="358"/>
      <c r="AJ134" s="380"/>
      <c r="AK134" s="440"/>
      <c r="AM134" s="460">
        <v>134</v>
      </c>
      <c r="AN134" s="1078"/>
    </row>
    <row r="135" spans="1:54" ht="12" customHeight="1" x14ac:dyDescent="0.25">
      <c r="A135" s="440"/>
      <c r="B135" s="1043"/>
      <c r="C135" s="380"/>
      <c r="D135" s="1037"/>
      <c r="E135" s="1037"/>
      <c r="F135" s="1037"/>
      <c r="G135" s="1037"/>
      <c r="H135" s="1037"/>
      <c r="I135" s="1038"/>
      <c r="J135" s="1038"/>
      <c r="K135" s="502"/>
      <c r="L135" s="502"/>
      <c r="M135" s="339"/>
      <c r="N135" s="528" t="s">
        <v>304</v>
      </c>
      <c r="O135" s="339"/>
      <c r="P135" s="543" t="s">
        <v>305</v>
      </c>
      <c r="Q135" s="344"/>
      <c r="R135" s="522" t="s">
        <v>363</v>
      </c>
      <c r="S135" s="353">
        <f ca="1">IF(AY135="E",(M135*O135)+Q135,AO135)</f>
        <v>21526.475999999999</v>
      </c>
      <c r="T135" s="523"/>
      <c r="U135" s="350"/>
      <c r="V135" s="308"/>
      <c r="W135" s="1090" t="str">
        <f ca="1">IF(AZ135="E",IF(AND(V135&lt;&gt;0,U135&lt;&gt;0),"X",IF(AND(V135&lt;&gt;0,U135=0),"A",IF(AND(V135=0,U135&lt;&gt;0),"P",""))),AR135)</f>
        <v/>
      </c>
      <c r="X135" s="1103">
        <f ca="1">IF(AZ135="E",IFERROR(IF(W135="X",0,IF(U135&gt;0,U135,V135/S135)),0),
IFERROR(IF(OR(AR135="X",AR135=0),0,
IF(AR135="P",AP135,IF(AR135="A",AQ135/S135,0))),0))</f>
        <v>0</v>
      </c>
      <c r="Y135" s="1120">
        <f ca="1">IF(AZ135="E",IFERROR(IF(W135="X",0,IF(V135&gt;0,V135,S135*U135)),0),
IFERROR(IF(OR(AR135="X",AR135="0"),0,IF(AR135="A",AQ135,S135*AP135)),0))</f>
        <v>0</v>
      </c>
      <c r="Z135" s="524"/>
      <c r="AA135" s="350"/>
      <c r="AB135" s="308"/>
      <c r="AC135" s="1090" t="str">
        <f ca="1">IF(BA135="E",IF(AND(AB135&lt;&gt;0,AA135&lt;&gt;0),"X",IF(AND(AB135&lt;&gt;0,AA135=0),"A",IF(AND(AB135=0,AA135&lt;&gt;0),"P",""))),AU135)</f>
        <v/>
      </c>
      <c r="AD135" s="1103">
        <f ca="1">IF(BA135="E",IFERROR(IF(AC135="X",0,IF(AA135&gt;0,AA135,AB135/S135)),0),
IFERROR(IF(OR(AU135="X",AU135=0),0,
IF(AU135="P",AS135,IF(AU135="A",AT135/S135,0))),0))</f>
        <v>0</v>
      </c>
      <c r="AE135" s="1120">
        <f ca="1">IF(BA135="E",IFERROR(IF(AC135="X",0,IF(AB135&gt;0,AB135,S135*AA135)),0),
IFERROR(IF(OR(AU135="X",AU135=0),0,
IF(AU135="A",AT135,S135*AS135)),0))</f>
        <v>0</v>
      </c>
      <c r="AF135" s="525"/>
      <c r="AG135" s="637"/>
      <c r="AH135" s="525"/>
      <c r="AI135" s="1086">
        <f ca="1">IF(BB135="E",AG135,AV135)</f>
        <v>50</v>
      </c>
      <c r="AJ135" s="380"/>
      <c r="AK135" s="440"/>
      <c r="AM135" s="460">
        <v>135</v>
      </c>
      <c r="AN135" s="1078"/>
      <c r="AO135" s="1083">
        <f t="shared" ref="AO135:AV135" ca="1" si="212">IF($M$13=$AN$12,"",INDIRECT("'"&amp;$AM$20&amp;"'!"&amp;AO$21&amp;$AM135))</f>
        <v>21526.475999999999</v>
      </c>
      <c r="AP135" s="356">
        <f t="shared" ca="1" si="212"/>
        <v>0</v>
      </c>
      <c r="AQ135" s="357">
        <f t="shared" ca="1" si="212"/>
        <v>0</v>
      </c>
      <c r="AR135" s="524" t="str">
        <f t="shared" ca="1" si="212"/>
        <v/>
      </c>
      <c r="AS135" s="356">
        <f t="shared" ca="1" si="212"/>
        <v>0</v>
      </c>
      <c r="AT135" s="357">
        <f t="shared" ca="1" si="212"/>
        <v>0</v>
      </c>
      <c r="AU135" s="524" t="str">
        <f t="shared" ca="1" si="212"/>
        <v/>
      </c>
      <c r="AV135" s="1083">
        <f t="shared" ca="1" si="212"/>
        <v>50</v>
      </c>
      <c r="AX135" s="1083" t="str">
        <f t="shared" ref="AX135" si="213">IF($M$13=$AN$12,"E",IF(ISTEXT(F135),"E","U"))</f>
        <v>U</v>
      </c>
      <c r="AY135" s="1083" t="str">
        <f t="shared" ref="AY135" si="214">IF($M$13=$AN$12,"E",IF(OR(ISNUMBER(M135),ISNUMBER(O135),ISNUMBER(Q135)),"E","U"))</f>
        <v>U</v>
      </c>
      <c r="AZ135" s="1083" t="str">
        <f t="shared" ref="AZ135" si="215">IF($M$13=$AN$12,"E",IF(OR(ISNUMBER(U135),ISNUMBER(V135)),"E","U"))</f>
        <v>U</v>
      </c>
      <c r="BA135" s="1083" t="str">
        <f t="shared" ref="BA135" si="216">IF($M$13=$AN$12,"E",IF(OR(ISNUMBER(AA135),ISNUMBER(AB135)),"E","U"))</f>
        <v>U</v>
      </c>
      <c r="BB135" s="1083" t="str">
        <f t="shared" ref="BB135" si="217">IF($M$13=$AN$12,"E",IF(ISNUMBER(AG135),"E","U"))</f>
        <v>U</v>
      </c>
    </row>
    <row r="136" spans="1:54" ht="12" customHeight="1" x14ac:dyDescent="0.25">
      <c r="A136" s="440"/>
      <c r="B136" s="1043"/>
      <c r="C136" s="380"/>
      <c r="D136" s="1037" t="s">
        <v>41</v>
      </c>
      <c r="E136" s="1599" t="s">
        <v>40</v>
      </c>
      <c r="F136" s="1599"/>
      <c r="G136" s="1599"/>
      <c r="H136" s="1599"/>
      <c r="I136" s="1632"/>
      <c r="J136" s="1038"/>
      <c r="K136" s="462"/>
      <c r="L136" s="462"/>
      <c r="M136" s="498"/>
      <c r="N136" s="361"/>
      <c r="O136" s="365"/>
      <c r="P136" s="365"/>
      <c r="Q136" s="365"/>
      <c r="R136" s="365"/>
      <c r="S136" s="354">
        <f ca="1">SUBTOTAL(109,S138:S141)</f>
        <v>40502.400000000001</v>
      </c>
      <c r="T136" s="363"/>
      <c r="U136" s="375"/>
      <c r="V136" s="358"/>
      <c r="W136" s="1091"/>
      <c r="X136" s="1114"/>
      <c r="Y136" s="1104"/>
      <c r="Z136" s="363"/>
      <c r="AA136" s="375"/>
      <c r="AB136" s="358"/>
      <c r="AC136" s="1091"/>
      <c r="AD136" s="1114"/>
      <c r="AE136" s="1104"/>
      <c r="AF136" s="358"/>
      <c r="AG136" s="358"/>
      <c r="AH136" s="358"/>
      <c r="AI136" s="358"/>
      <c r="AJ136" s="380"/>
      <c r="AK136" s="440"/>
      <c r="AM136" s="460">
        <v>136</v>
      </c>
      <c r="AN136" s="1078"/>
    </row>
    <row r="137" spans="1:54" ht="12" customHeight="1" x14ac:dyDescent="0.25">
      <c r="A137" s="440"/>
      <c r="B137" s="1043"/>
      <c r="C137" s="380"/>
      <c r="D137" s="1037"/>
      <c r="E137" s="1037"/>
      <c r="F137" s="1037"/>
      <c r="G137" s="1037"/>
      <c r="H137" s="1037"/>
      <c r="I137" s="1035"/>
      <c r="J137" s="1603" t="s">
        <v>452</v>
      </c>
      <c r="K137" s="1603"/>
      <c r="L137" s="462"/>
      <c r="M137" s="498"/>
      <c r="N137" s="361"/>
      <c r="O137" s="365"/>
      <c r="P137" s="365"/>
      <c r="Q137" s="365"/>
      <c r="R137" s="365"/>
      <c r="S137" s="354"/>
      <c r="T137" s="363"/>
      <c r="U137" s="375"/>
      <c r="V137" s="358"/>
      <c r="W137" s="1091"/>
      <c r="X137" s="1114"/>
      <c r="Y137" s="1104"/>
      <c r="Z137" s="363"/>
      <c r="AA137" s="375"/>
      <c r="AB137" s="358"/>
      <c r="AC137" s="1091"/>
      <c r="AD137" s="1114"/>
      <c r="AE137" s="1104"/>
      <c r="AF137" s="358"/>
      <c r="AG137" s="358"/>
      <c r="AH137" s="358"/>
      <c r="AI137" s="358"/>
      <c r="AJ137" s="380"/>
      <c r="AK137" s="440"/>
      <c r="AM137" s="460">
        <v>137</v>
      </c>
      <c r="AN137" s="1078"/>
    </row>
    <row r="138" spans="1:54" ht="12" customHeight="1" x14ac:dyDescent="0.2">
      <c r="A138" s="440"/>
      <c r="B138" s="1043"/>
      <c r="C138" s="380"/>
      <c r="D138" s="1037"/>
      <c r="E138" s="1084">
        <f ca="1">IF(AX138="E","",AN138)</f>
        <v>0</v>
      </c>
      <c r="F138" s="1085"/>
      <c r="G138" s="1264"/>
      <c r="H138" s="1264"/>
      <c r="I138" s="1265"/>
      <c r="J138" s="639"/>
      <c r="K138" s="520" t="s">
        <v>180</v>
      </c>
      <c r="L138" s="521"/>
      <c r="M138" s="340"/>
      <c r="N138" s="528" t="s">
        <v>67</v>
      </c>
      <c r="O138" s="339"/>
      <c r="P138" s="543" t="s">
        <v>68</v>
      </c>
      <c r="Q138" s="344"/>
      <c r="R138" s="522" t="s">
        <v>363</v>
      </c>
      <c r="S138" s="353">
        <f t="shared" ref="S138:S141" ca="1" si="218">IF(AY138="E",(M138*O138)+Q138,AO138)</f>
        <v>0</v>
      </c>
      <c r="T138" s="523"/>
      <c r="U138" s="350"/>
      <c r="V138" s="308"/>
      <c r="W138" s="1090" t="str">
        <f t="shared" ref="W138:W141" ca="1" si="219">IF(AZ138="E",IF(AND(V138&lt;&gt;0,U138&lt;&gt;0),"X",IF(AND(V138&lt;&gt;0,U138=0),"A",IF(AND(V138=0,U138&lt;&gt;0),"P",""))),AR138)</f>
        <v/>
      </c>
      <c r="X138" s="1103">
        <f t="shared" ref="X138:X141" ca="1" si="220">IF(AZ138="E",IFERROR(IF(W138="X",0,IF(U138&gt;0,U138,V138/S138)),0),
IFERROR(IF(OR(AR138="X",AR138=0),0,
IF(AR138="P",AP138,IF(AR138="A",AQ138/S138,0))),0))</f>
        <v>0</v>
      </c>
      <c r="Y138" s="1120">
        <f t="shared" ref="Y138:Y141" ca="1" si="221">IF(AZ138="E",IFERROR(IF(W138="X",0,IF(V138&gt;0,V138,S138*U138)),0),
IFERROR(IF(OR(AR138="X",AR138="0"),0,IF(AR138="A",AQ138,S138*AP138)),0))</f>
        <v>0</v>
      </c>
      <c r="Z138" s="524"/>
      <c r="AA138" s="350"/>
      <c r="AB138" s="308"/>
      <c r="AC138" s="1090" t="str">
        <f t="shared" ref="AC138:AC141" ca="1" si="222">IF(BA138="E",IF(AND(AB138&lt;&gt;0,AA138&lt;&gt;0),"X",IF(AND(AB138&lt;&gt;0,AA138=0),"A",IF(AND(AB138=0,AA138&lt;&gt;0),"P",""))),AU138)</f>
        <v/>
      </c>
      <c r="AD138" s="1103">
        <f t="shared" ref="AD138:AD141" ca="1" si="223">IF(BA138="E",IFERROR(IF(AC138="X",0,IF(AA138&gt;0,AA138,AB138/S138)),0),
IFERROR(IF(OR(AU138="X",AU138=0),0,
IF(AU138="P",AS138,IF(AU138="A",AT138/S138,0))),0))</f>
        <v>0</v>
      </c>
      <c r="AE138" s="1120">
        <f t="shared" ref="AE138:AE141" ca="1" si="224">IF(BA138="E",IFERROR(IF(AC138="X",0,IF(AB138&gt;0,AB138,S138*AA138)),0),
IFERROR(IF(OR(AU138="X",AU138=0),0,
IF(AU138="A",AT138,S138*AS138)),0))</f>
        <v>0</v>
      </c>
      <c r="AF138" s="525"/>
      <c r="AG138" s="637"/>
      <c r="AH138" s="525"/>
      <c r="AI138" s="1086">
        <f t="shared" ref="AI138:AI141" ca="1" si="225">IF(BB138="E",AG138,AV138)</f>
        <v>0</v>
      </c>
      <c r="AJ138" s="380"/>
      <c r="AK138" s="440"/>
      <c r="AM138" s="460">
        <v>138</v>
      </c>
      <c r="AN138" s="1087">
        <f t="shared" ref="AN138:AN141" ca="1" si="226">IF($M$13=$AN$12,"",IF(ISTEXT(INDIRECT("'"&amp;$AM$20&amp;"'!"&amp;AN$21&amp;$AM138)),INDIRECT("'"&amp;$AM$20&amp;"'!"&amp;AN$21&amp;$AM138),INDIRECT("'"&amp;$AM$20&amp;"'!"&amp;AN$22&amp;$AM138)))</f>
        <v>0</v>
      </c>
      <c r="AO138" s="1083">
        <f t="shared" ref="AO138:AV141" ca="1" si="227">IF($M$13=$AN$12,"",INDIRECT("'"&amp;$AM$20&amp;"'!"&amp;AO$21&amp;$AM138))</f>
        <v>0</v>
      </c>
      <c r="AP138" s="356">
        <f t="shared" ca="1" si="227"/>
        <v>0</v>
      </c>
      <c r="AQ138" s="357">
        <f t="shared" ca="1" si="227"/>
        <v>0</v>
      </c>
      <c r="AR138" s="524" t="str">
        <f t="shared" ca="1" si="227"/>
        <v/>
      </c>
      <c r="AS138" s="356">
        <f t="shared" ca="1" si="227"/>
        <v>0</v>
      </c>
      <c r="AT138" s="357">
        <f t="shared" ca="1" si="227"/>
        <v>0</v>
      </c>
      <c r="AU138" s="524" t="str">
        <f t="shared" ca="1" si="227"/>
        <v/>
      </c>
      <c r="AV138" s="1083">
        <f t="shared" ca="1" si="227"/>
        <v>0</v>
      </c>
      <c r="AX138" s="1083" t="str">
        <f t="shared" ref="AX138:AX141" si="228">IF($M$13=$AN$12,"E",IF(ISTEXT(F138),"E","U"))</f>
        <v>U</v>
      </c>
      <c r="AY138" s="1083" t="str">
        <f t="shared" ref="AY138:AY141" si="229">IF($M$13=$AN$12,"E",IF(OR(ISNUMBER(M138),ISNUMBER(O138),ISNUMBER(Q138)),"E","U"))</f>
        <v>U</v>
      </c>
      <c r="AZ138" s="1083" t="str">
        <f t="shared" ref="AZ138:AZ141" si="230">IF($M$13=$AN$12,"E",IF(OR(ISNUMBER(U138),ISNUMBER(V138)),"E","U"))</f>
        <v>U</v>
      </c>
      <c r="BA138" s="1083" t="str">
        <f t="shared" ref="BA138:BA141" si="231">IF($M$13=$AN$12,"E",IF(OR(ISNUMBER(AA138),ISNUMBER(AB138)),"E","U"))</f>
        <v>U</v>
      </c>
      <c r="BB138" s="1083" t="str">
        <f t="shared" ref="BB138:BB141" si="232">IF($M$13=$AN$12,"E",IF(ISNUMBER(AG138),"E","U"))</f>
        <v>U</v>
      </c>
    </row>
    <row r="139" spans="1:54" ht="12" customHeight="1" x14ac:dyDescent="0.2">
      <c r="A139" s="440"/>
      <c r="B139" s="1043"/>
      <c r="C139" s="380"/>
      <c r="D139" s="1037"/>
      <c r="E139" s="1084" t="str">
        <f ca="1">IF(AX139="E","",AN139)</f>
        <v>Fussbodenheizung LD50</v>
      </c>
      <c r="F139" s="1085"/>
      <c r="G139" s="1264"/>
      <c r="H139" s="1264"/>
      <c r="I139" s="1265"/>
      <c r="J139" s="638"/>
      <c r="K139" s="520" t="s">
        <v>180</v>
      </c>
      <c r="L139" s="521"/>
      <c r="M139" s="340"/>
      <c r="N139" s="528" t="s">
        <v>67</v>
      </c>
      <c r="O139" s="339"/>
      <c r="P139" s="543" t="s">
        <v>68</v>
      </c>
      <c r="Q139" s="344"/>
      <c r="R139" s="522" t="s">
        <v>363</v>
      </c>
      <c r="S139" s="353">
        <f t="shared" ca="1" si="218"/>
        <v>40502.400000000001</v>
      </c>
      <c r="T139" s="523"/>
      <c r="U139" s="350"/>
      <c r="V139" s="308"/>
      <c r="W139" s="1090" t="str">
        <f t="shared" ca="1" si="219"/>
        <v/>
      </c>
      <c r="X139" s="1103">
        <f t="shared" ca="1" si="220"/>
        <v>0</v>
      </c>
      <c r="Y139" s="1120">
        <f t="shared" ca="1" si="221"/>
        <v>0</v>
      </c>
      <c r="Z139" s="524"/>
      <c r="AA139" s="350"/>
      <c r="AB139" s="308"/>
      <c r="AC139" s="1090" t="str">
        <f t="shared" ca="1" si="222"/>
        <v/>
      </c>
      <c r="AD139" s="1103">
        <f t="shared" ca="1" si="223"/>
        <v>0</v>
      </c>
      <c r="AE139" s="1120">
        <f t="shared" ca="1" si="224"/>
        <v>0</v>
      </c>
      <c r="AF139" s="525"/>
      <c r="AG139" s="637"/>
      <c r="AH139" s="525"/>
      <c r="AI139" s="1086">
        <f t="shared" ca="1" si="225"/>
        <v>50</v>
      </c>
      <c r="AJ139" s="380"/>
      <c r="AK139" s="440"/>
      <c r="AM139" s="460">
        <v>139</v>
      </c>
      <c r="AN139" s="1087" t="str">
        <f t="shared" ca="1" si="226"/>
        <v>Fussbodenheizung LD50</v>
      </c>
      <c r="AO139" s="1083">
        <f t="shared" ca="1" si="227"/>
        <v>40502.400000000001</v>
      </c>
      <c r="AP139" s="356">
        <f t="shared" ca="1" si="227"/>
        <v>0</v>
      </c>
      <c r="AQ139" s="357">
        <f t="shared" ca="1" si="227"/>
        <v>0</v>
      </c>
      <c r="AR139" s="524" t="str">
        <f t="shared" ca="1" si="227"/>
        <v/>
      </c>
      <c r="AS139" s="356">
        <f t="shared" ca="1" si="227"/>
        <v>0</v>
      </c>
      <c r="AT139" s="357">
        <f t="shared" ca="1" si="227"/>
        <v>0</v>
      </c>
      <c r="AU139" s="524" t="str">
        <f t="shared" ca="1" si="227"/>
        <v/>
      </c>
      <c r="AV139" s="1083">
        <f t="shared" ca="1" si="227"/>
        <v>50</v>
      </c>
      <c r="AX139" s="1083" t="str">
        <f t="shared" si="228"/>
        <v>U</v>
      </c>
      <c r="AY139" s="1083" t="str">
        <f t="shared" si="229"/>
        <v>U</v>
      </c>
      <c r="AZ139" s="1083" t="str">
        <f t="shared" si="230"/>
        <v>U</v>
      </c>
      <c r="BA139" s="1083" t="str">
        <f t="shared" si="231"/>
        <v>U</v>
      </c>
      <c r="BB139" s="1083" t="str">
        <f t="shared" si="232"/>
        <v>U</v>
      </c>
    </row>
    <row r="140" spans="1:54" ht="12" customHeight="1" x14ac:dyDescent="0.2">
      <c r="A140" s="440"/>
      <c r="B140" s="1043"/>
      <c r="C140" s="380"/>
      <c r="D140" s="1037"/>
      <c r="E140" s="1084">
        <f ca="1">IF(AX140="E","",AN140)</f>
        <v>0</v>
      </c>
      <c r="F140" s="1085"/>
      <c r="G140" s="1264"/>
      <c r="H140" s="1264"/>
      <c r="I140" s="1265"/>
      <c r="J140" s="638"/>
      <c r="K140" s="520" t="s">
        <v>180</v>
      </c>
      <c r="L140" s="552"/>
      <c r="M140" s="339"/>
      <c r="N140" s="528" t="s">
        <v>67</v>
      </c>
      <c r="O140" s="339"/>
      <c r="P140" s="543" t="s">
        <v>68</v>
      </c>
      <c r="Q140" s="344"/>
      <c r="R140" s="522" t="s">
        <v>363</v>
      </c>
      <c r="S140" s="353">
        <f t="shared" ca="1" si="218"/>
        <v>0</v>
      </c>
      <c r="T140" s="523"/>
      <c r="U140" s="350"/>
      <c r="V140" s="308"/>
      <c r="W140" s="1090" t="str">
        <f t="shared" ca="1" si="219"/>
        <v/>
      </c>
      <c r="X140" s="1103">
        <f t="shared" ca="1" si="220"/>
        <v>0</v>
      </c>
      <c r="Y140" s="1120">
        <f t="shared" ca="1" si="221"/>
        <v>0</v>
      </c>
      <c r="Z140" s="524"/>
      <c r="AA140" s="350"/>
      <c r="AB140" s="308"/>
      <c r="AC140" s="1090" t="str">
        <f t="shared" ca="1" si="222"/>
        <v/>
      </c>
      <c r="AD140" s="1103">
        <f t="shared" ca="1" si="223"/>
        <v>0</v>
      </c>
      <c r="AE140" s="1120">
        <f t="shared" ca="1" si="224"/>
        <v>0</v>
      </c>
      <c r="AF140" s="525"/>
      <c r="AG140" s="637"/>
      <c r="AH140" s="525"/>
      <c r="AI140" s="1086">
        <f t="shared" ca="1" si="225"/>
        <v>0</v>
      </c>
      <c r="AJ140" s="380"/>
      <c r="AK140" s="440"/>
      <c r="AM140" s="460">
        <v>140</v>
      </c>
      <c r="AN140" s="1087">
        <f t="shared" ca="1" si="226"/>
        <v>0</v>
      </c>
      <c r="AO140" s="1083">
        <f t="shared" ca="1" si="227"/>
        <v>0</v>
      </c>
      <c r="AP140" s="356">
        <f t="shared" ca="1" si="227"/>
        <v>0</v>
      </c>
      <c r="AQ140" s="357">
        <f t="shared" ca="1" si="227"/>
        <v>0</v>
      </c>
      <c r="AR140" s="524" t="str">
        <f t="shared" ca="1" si="227"/>
        <v/>
      </c>
      <c r="AS140" s="356">
        <f t="shared" ca="1" si="227"/>
        <v>0</v>
      </c>
      <c r="AT140" s="357">
        <f t="shared" ca="1" si="227"/>
        <v>0</v>
      </c>
      <c r="AU140" s="524" t="str">
        <f t="shared" ca="1" si="227"/>
        <v/>
      </c>
      <c r="AV140" s="1083">
        <f t="shared" ca="1" si="227"/>
        <v>0</v>
      </c>
      <c r="AX140" s="1083" t="str">
        <f t="shared" si="228"/>
        <v>U</v>
      </c>
      <c r="AY140" s="1083" t="str">
        <f t="shared" si="229"/>
        <v>U</v>
      </c>
      <c r="AZ140" s="1083" t="str">
        <f t="shared" si="230"/>
        <v>U</v>
      </c>
      <c r="BA140" s="1083" t="str">
        <f t="shared" si="231"/>
        <v>U</v>
      </c>
      <c r="BB140" s="1083" t="str">
        <f t="shared" si="232"/>
        <v>U</v>
      </c>
    </row>
    <row r="141" spans="1:54" ht="12" customHeight="1" x14ac:dyDescent="0.2">
      <c r="A141" s="440"/>
      <c r="B141" s="1043"/>
      <c r="C141" s="380"/>
      <c r="D141" s="1037"/>
      <c r="E141" s="1084">
        <f ca="1">IF(AX141="E","",AN141)</f>
        <v>0</v>
      </c>
      <c r="F141" s="1085"/>
      <c r="G141" s="1264"/>
      <c r="H141" s="1264"/>
      <c r="I141" s="1265"/>
      <c r="J141" s="638"/>
      <c r="K141" s="520" t="s">
        <v>180</v>
      </c>
      <c r="L141" s="552"/>
      <c r="M141" s="339"/>
      <c r="N141" s="528" t="s">
        <v>67</v>
      </c>
      <c r="O141" s="339"/>
      <c r="P141" s="543" t="s">
        <v>68</v>
      </c>
      <c r="Q141" s="344"/>
      <c r="R141" s="522" t="s">
        <v>363</v>
      </c>
      <c r="S141" s="353">
        <f t="shared" ca="1" si="218"/>
        <v>0</v>
      </c>
      <c r="T141" s="523"/>
      <c r="U141" s="350"/>
      <c r="V141" s="308"/>
      <c r="W141" s="1090" t="str">
        <f t="shared" ca="1" si="219"/>
        <v/>
      </c>
      <c r="X141" s="1103">
        <f t="shared" ca="1" si="220"/>
        <v>0</v>
      </c>
      <c r="Y141" s="1120">
        <f t="shared" ca="1" si="221"/>
        <v>0</v>
      </c>
      <c r="Z141" s="524"/>
      <c r="AA141" s="350"/>
      <c r="AB141" s="308"/>
      <c r="AC141" s="1090" t="str">
        <f t="shared" ca="1" si="222"/>
        <v/>
      </c>
      <c r="AD141" s="1103">
        <f t="shared" ca="1" si="223"/>
        <v>0</v>
      </c>
      <c r="AE141" s="1120">
        <f t="shared" ca="1" si="224"/>
        <v>0</v>
      </c>
      <c r="AF141" s="525"/>
      <c r="AG141" s="637"/>
      <c r="AH141" s="525"/>
      <c r="AI141" s="1086">
        <f t="shared" ca="1" si="225"/>
        <v>0</v>
      </c>
      <c r="AJ141" s="380"/>
      <c r="AK141" s="440"/>
      <c r="AM141" s="460">
        <v>141</v>
      </c>
      <c r="AN141" s="1087">
        <f t="shared" ca="1" si="226"/>
        <v>0</v>
      </c>
      <c r="AO141" s="1083">
        <f t="shared" ca="1" si="227"/>
        <v>0</v>
      </c>
      <c r="AP141" s="356">
        <f t="shared" ca="1" si="227"/>
        <v>0</v>
      </c>
      <c r="AQ141" s="357">
        <f t="shared" ca="1" si="227"/>
        <v>0</v>
      </c>
      <c r="AR141" s="524" t="str">
        <f t="shared" ca="1" si="227"/>
        <v/>
      </c>
      <c r="AS141" s="356">
        <f t="shared" ca="1" si="227"/>
        <v>0</v>
      </c>
      <c r="AT141" s="357">
        <f t="shared" ca="1" si="227"/>
        <v>0</v>
      </c>
      <c r="AU141" s="524" t="str">
        <f t="shared" ca="1" si="227"/>
        <v/>
      </c>
      <c r="AV141" s="1083">
        <f t="shared" ca="1" si="227"/>
        <v>0</v>
      </c>
      <c r="AX141" s="1083" t="str">
        <f t="shared" si="228"/>
        <v>U</v>
      </c>
      <c r="AY141" s="1083" t="str">
        <f t="shared" si="229"/>
        <v>U</v>
      </c>
      <c r="AZ141" s="1083" t="str">
        <f t="shared" si="230"/>
        <v>U</v>
      </c>
      <c r="BA141" s="1083" t="str">
        <f t="shared" si="231"/>
        <v>U</v>
      </c>
      <c r="BB141" s="1083" t="str">
        <f t="shared" si="232"/>
        <v>U</v>
      </c>
    </row>
    <row r="142" spans="1:54" ht="14.25" customHeight="1" collapsed="1" x14ac:dyDescent="0.25">
      <c r="A142" s="440"/>
      <c r="B142" s="1043"/>
      <c r="C142" s="1036" t="s">
        <v>39</v>
      </c>
      <c r="D142" s="494"/>
      <c r="E142" s="1596" t="s">
        <v>38</v>
      </c>
      <c r="F142" s="1596"/>
      <c r="G142" s="1596"/>
      <c r="H142" s="1596"/>
      <c r="I142" s="1597"/>
      <c r="J142" s="1038"/>
      <c r="K142" s="462"/>
      <c r="L142" s="462"/>
      <c r="M142" s="498"/>
      <c r="N142" s="359"/>
      <c r="O142" s="363"/>
      <c r="P142" s="363"/>
      <c r="Q142" s="363"/>
      <c r="R142" s="363"/>
      <c r="S142" s="355">
        <f ca="1">S143+S147+S151</f>
        <v>144762</v>
      </c>
      <c r="T142" s="363"/>
      <c r="U142" s="375"/>
      <c r="V142" s="358"/>
      <c r="W142" s="1091"/>
      <c r="X142" s="1114"/>
      <c r="Y142" s="1104"/>
      <c r="Z142" s="363"/>
      <c r="AA142" s="375"/>
      <c r="AB142" s="358"/>
      <c r="AC142" s="1091"/>
      <c r="AD142" s="1114"/>
      <c r="AE142" s="1104"/>
      <c r="AF142" s="358"/>
      <c r="AG142" s="358"/>
      <c r="AH142" s="358"/>
      <c r="AI142" s="358"/>
      <c r="AJ142" s="380"/>
      <c r="AK142" s="440"/>
      <c r="AM142" s="460">
        <v>142</v>
      </c>
      <c r="AN142" s="1078"/>
    </row>
    <row r="143" spans="1:54" ht="12" customHeight="1" x14ac:dyDescent="0.25">
      <c r="A143" s="440"/>
      <c r="B143" s="1043"/>
      <c r="C143" s="380"/>
      <c r="D143" s="1037" t="s">
        <v>37</v>
      </c>
      <c r="E143" s="1599" t="s">
        <v>36</v>
      </c>
      <c r="F143" s="1599"/>
      <c r="G143" s="1599"/>
      <c r="H143" s="1599"/>
      <c r="I143" s="1632"/>
      <c r="J143" s="1038"/>
      <c r="K143" s="462"/>
      <c r="L143" s="462"/>
      <c r="M143" s="498"/>
      <c r="N143" s="359"/>
      <c r="O143" s="363"/>
      <c r="P143" s="363"/>
      <c r="Q143" s="363"/>
      <c r="R143" s="363"/>
      <c r="S143" s="354">
        <f ca="1">SUBTOTAL(109,S145:S146)</f>
        <v>144762</v>
      </c>
      <c r="T143" s="363"/>
      <c r="U143" s="375"/>
      <c r="V143" s="358"/>
      <c r="W143" s="1091"/>
      <c r="X143" s="1114"/>
      <c r="Y143" s="1104"/>
      <c r="Z143" s="363"/>
      <c r="AA143" s="375"/>
      <c r="AB143" s="358"/>
      <c r="AC143" s="1091"/>
      <c r="AD143" s="1114"/>
      <c r="AE143" s="1104"/>
      <c r="AF143" s="358"/>
      <c r="AG143" s="358"/>
      <c r="AH143" s="358"/>
      <c r="AI143" s="358"/>
      <c r="AJ143" s="380"/>
      <c r="AK143" s="440"/>
      <c r="AM143" s="460">
        <v>143</v>
      </c>
      <c r="AN143" s="1078"/>
    </row>
    <row r="144" spans="1:54" ht="12" customHeight="1" x14ac:dyDescent="0.25">
      <c r="A144" s="440"/>
      <c r="B144" s="1043"/>
      <c r="C144" s="380"/>
      <c r="D144" s="1037"/>
      <c r="E144" s="1037"/>
      <c r="F144" s="1037"/>
      <c r="G144" s="1037"/>
      <c r="H144" s="1037"/>
      <c r="I144" s="1035"/>
      <c r="J144" s="1603"/>
      <c r="K144" s="1603"/>
      <c r="L144" s="462"/>
      <c r="M144" s="498"/>
      <c r="N144" s="359"/>
      <c r="O144" s="363"/>
      <c r="P144" s="363"/>
      <c r="Q144" s="363"/>
      <c r="R144" s="363"/>
      <c r="S144" s="354"/>
      <c r="T144" s="363"/>
      <c r="U144" s="375"/>
      <c r="V144" s="358"/>
      <c r="W144" s="1091"/>
      <c r="X144" s="1114"/>
      <c r="Y144" s="1104"/>
      <c r="Z144" s="363"/>
      <c r="AA144" s="375"/>
      <c r="AB144" s="358"/>
      <c r="AC144" s="1091"/>
      <c r="AD144" s="1114"/>
      <c r="AE144" s="1104"/>
      <c r="AF144" s="358"/>
      <c r="AG144" s="358"/>
      <c r="AH144" s="358"/>
      <c r="AI144" s="358"/>
      <c r="AJ144" s="380"/>
      <c r="AK144" s="440"/>
      <c r="AM144" s="460">
        <v>144</v>
      </c>
      <c r="AN144" s="1078"/>
    </row>
    <row r="145" spans="1:54" ht="12" customHeight="1" x14ac:dyDescent="0.2">
      <c r="A145" s="440"/>
      <c r="B145" s="1043"/>
      <c r="C145" s="380"/>
      <c r="D145" s="1037"/>
      <c r="E145" s="1084" t="str">
        <f ca="1">IF(AX145="E","",AN145)</f>
        <v>Lüftung mit WRG - Ventilatoren LD15</v>
      </c>
      <c r="F145" s="1085"/>
      <c r="G145" s="1264"/>
      <c r="H145" s="1264"/>
      <c r="I145" s="1265"/>
      <c r="J145" s="638"/>
      <c r="K145" s="520"/>
      <c r="L145" s="521"/>
      <c r="M145" s="340"/>
      <c r="N145" s="553" t="s">
        <v>71</v>
      </c>
      <c r="O145" s="339"/>
      <c r="P145" s="524" t="s">
        <v>72</v>
      </c>
      <c r="Q145" s="344"/>
      <c r="R145" s="522" t="s">
        <v>363</v>
      </c>
      <c r="S145" s="353">
        <f t="shared" ref="S145:S146" ca="1" si="233">IF(AY145="E",(M145*O145)+Q145,AO145)</f>
        <v>9000</v>
      </c>
      <c r="T145" s="523"/>
      <c r="U145" s="350"/>
      <c r="V145" s="308"/>
      <c r="W145" s="1090" t="str">
        <f t="shared" ref="W145:W146" ca="1" si="234">IF(AZ145="E",IF(AND(V145&lt;&gt;0,U145&lt;&gt;0),"X",IF(AND(V145&lt;&gt;0,U145=0),"A",IF(AND(V145=0,U145&lt;&gt;0),"P",""))),AR145)</f>
        <v/>
      </c>
      <c r="X145" s="1103">
        <f t="shared" ref="X145:X146" ca="1" si="235">IF(AZ145="E",IFERROR(IF(W145="X",0,IF(U145&gt;0,U145,V145/S145)),0),
IFERROR(IF(OR(AR145="X",AR145=0),0,
IF(AR145="P",AP145,IF(AR145="A",AQ145/S145,0))),0))</f>
        <v>0</v>
      </c>
      <c r="Y145" s="1120">
        <f t="shared" ref="Y145:Y146" ca="1" si="236">IF(AZ145="E",IFERROR(IF(W145="X",0,IF(V145&gt;0,V145,S145*U145)),0),
IFERROR(IF(OR(AR145="X",AR145="0"),0,IF(AR145="A",AQ145,S145*AP145)),0))</f>
        <v>0</v>
      </c>
      <c r="Z145" s="524"/>
      <c r="AA145" s="350"/>
      <c r="AB145" s="308"/>
      <c r="AC145" s="1090" t="str">
        <f t="shared" ref="AC145:AC146" ca="1" si="237">IF(BA145="E",IF(AND(AB145&lt;&gt;0,AA145&lt;&gt;0),"X",IF(AND(AB145&lt;&gt;0,AA145=0),"A",IF(AND(AB145=0,AA145&lt;&gt;0),"P",""))),AU145)</f>
        <v/>
      </c>
      <c r="AD145" s="1103">
        <f t="shared" ref="AD145:AD146" ca="1" si="238">IF(BA145="E",IFERROR(IF(AC145="X",0,IF(AA145&gt;0,AA145,AB145/S145)),0),
IFERROR(IF(OR(AU145="X",AU145=0),0,
IF(AU145="P",AS145,IF(AU145="A",AT145/S145,0))),0))</f>
        <v>0</v>
      </c>
      <c r="AE145" s="1120">
        <f t="shared" ref="AE145:AE146" ca="1" si="239">IF(BA145="E",IFERROR(IF(AC145="X",0,IF(AB145&gt;0,AB145,S145*AA145)),0),
IFERROR(IF(OR(AU145="X",AU145=0),0,
IF(AU145="A",AT145,S145*AS145)),0))</f>
        <v>0</v>
      </c>
      <c r="AF145" s="525"/>
      <c r="AG145" s="637"/>
      <c r="AH145" s="525"/>
      <c r="AI145" s="1086">
        <f t="shared" ref="AI145:AI146" ca="1" si="240">IF(BB145="E",AG145,AV145)</f>
        <v>15</v>
      </c>
      <c r="AJ145" s="380"/>
      <c r="AK145" s="440"/>
      <c r="AM145" s="460">
        <v>145</v>
      </c>
      <c r="AN145" s="1087" t="str">
        <f t="shared" ref="AN145:AN146" ca="1" si="241">IF($M$13=$AN$12,"",IF(ISTEXT(INDIRECT("'"&amp;$AM$20&amp;"'!"&amp;AN$21&amp;$AM145)),INDIRECT("'"&amp;$AM$20&amp;"'!"&amp;AN$21&amp;$AM145),INDIRECT("'"&amp;$AM$20&amp;"'!"&amp;AN$22&amp;$AM145)))</f>
        <v>Lüftung mit WRG - Ventilatoren LD15</v>
      </c>
      <c r="AO145" s="1083">
        <f t="shared" ref="AO145:AV146" ca="1" si="242">IF($M$13=$AN$12,"",INDIRECT("'"&amp;$AM$20&amp;"'!"&amp;AO$21&amp;$AM145))</f>
        <v>9000</v>
      </c>
      <c r="AP145" s="356">
        <f t="shared" ca="1" si="242"/>
        <v>0</v>
      </c>
      <c r="AQ145" s="357">
        <f t="shared" ca="1" si="242"/>
        <v>0</v>
      </c>
      <c r="AR145" s="524" t="str">
        <f t="shared" ca="1" si="242"/>
        <v/>
      </c>
      <c r="AS145" s="356">
        <f t="shared" ca="1" si="242"/>
        <v>0</v>
      </c>
      <c r="AT145" s="357">
        <f t="shared" ca="1" si="242"/>
        <v>0</v>
      </c>
      <c r="AU145" s="524" t="str">
        <f t="shared" ca="1" si="242"/>
        <v/>
      </c>
      <c r="AV145" s="1083">
        <f t="shared" ca="1" si="242"/>
        <v>15</v>
      </c>
      <c r="AX145" s="1083" t="str">
        <f t="shared" ref="AX145:AX146" si="243">IF($M$13=$AN$12,"E",IF(ISTEXT(F145),"E","U"))</f>
        <v>U</v>
      </c>
      <c r="AY145" s="1083" t="str">
        <f t="shared" ref="AY145:AY146" si="244">IF($M$13=$AN$12,"E",IF(OR(ISNUMBER(M145),ISNUMBER(O145),ISNUMBER(Q145)),"E","U"))</f>
        <v>U</v>
      </c>
      <c r="AZ145" s="1083" t="str">
        <f t="shared" ref="AZ145:AZ146" si="245">IF($M$13=$AN$12,"E",IF(OR(ISNUMBER(U145),ISNUMBER(V145)),"E","U"))</f>
        <v>U</v>
      </c>
      <c r="BA145" s="1083" t="str">
        <f t="shared" ref="BA145:BA146" si="246">IF($M$13=$AN$12,"E",IF(OR(ISNUMBER(AA145),ISNUMBER(AB145)),"E","U"))</f>
        <v>U</v>
      </c>
      <c r="BB145" s="1083" t="str">
        <f t="shared" ref="BB145:BB146" si="247">IF($M$13=$AN$12,"E",IF(ISNUMBER(AG145),"E","U"))</f>
        <v>U</v>
      </c>
    </row>
    <row r="146" spans="1:54" ht="12" customHeight="1" x14ac:dyDescent="0.2">
      <c r="A146" s="440"/>
      <c r="B146" s="1043"/>
      <c r="C146" s="380"/>
      <c r="D146" s="1037"/>
      <c r="E146" s="1084" t="str">
        <f ca="1">IF(AX146="E","",AN146)</f>
        <v>Lüftung mit WRG LD50</v>
      </c>
      <c r="F146" s="1085"/>
      <c r="G146" s="1264"/>
      <c r="H146" s="1264"/>
      <c r="I146" s="1265"/>
      <c r="J146" s="638"/>
      <c r="K146" s="520"/>
      <c r="L146" s="521"/>
      <c r="M146" s="340"/>
      <c r="N146" s="553" t="s">
        <v>71</v>
      </c>
      <c r="O146" s="339"/>
      <c r="P146" s="524" t="s">
        <v>72</v>
      </c>
      <c r="Q146" s="344"/>
      <c r="R146" s="522" t="s">
        <v>363</v>
      </c>
      <c r="S146" s="353">
        <f t="shared" ca="1" si="233"/>
        <v>135762</v>
      </c>
      <c r="T146" s="523"/>
      <c r="U146" s="350"/>
      <c r="V146" s="308"/>
      <c r="W146" s="1090" t="str">
        <f t="shared" ca="1" si="234"/>
        <v/>
      </c>
      <c r="X146" s="1103">
        <f t="shared" ca="1" si="235"/>
        <v>0</v>
      </c>
      <c r="Y146" s="1120">
        <f t="shared" ca="1" si="236"/>
        <v>0</v>
      </c>
      <c r="Z146" s="524"/>
      <c r="AA146" s="350"/>
      <c r="AB146" s="308"/>
      <c r="AC146" s="1090" t="str">
        <f t="shared" ca="1" si="237"/>
        <v>A</v>
      </c>
      <c r="AD146" s="1103">
        <f t="shared" ca="1" si="238"/>
        <v>1.6271121521486132E-2</v>
      </c>
      <c r="AE146" s="1120">
        <f t="shared" ca="1" si="239"/>
        <v>2209</v>
      </c>
      <c r="AF146" s="525"/>
      <c r="AG146" s="637"/>
      <c r="AH146" s="525"/>
      <c r="AI146" s="1086">
        <f t="shared" ca="1" si="240"/>
        <v>50</v>
      </c>
      <c r="AJ146" s="380"/>
      <c r="AK146" s="440"/>
      <c r="AM146" s="460">
        <v>146</v>
      </c>
      <c r="AN146" s="1087" t="str">
        <f t="shared" ca="1" si="241"/>
        <v>Lüftung mit WRG LD50</v>
      </c>
      <c r="AO146" s="1083">
        <f t="shared" ca="1" si="242"/>
        <v>135762</v>
      </c>
      <c r="AP146" s="356">
        <f t="shared" ca="1" si="242"/>
        <v>0</v>
      </c>
      <c r="AQ146" s="357">
        <f t="shared" ca="1" si="242"/>
        <v>0</v>
      </c>
      <c r="AR146" s="524" t="str">
        <f t="shared" ca="1" si="242"/>
        <v/>
      </c>
      <c r="AS146" s="356">
        <f t="shared" ca="1" si="242"/>
        <v>1.6271121521486132E-2</v>
      </c>
      <c r="AT146" s="357">
        <f t="shared" ca="1" si="242"/>
        <v>2209</v>
      </c>
      <c r="AU146" s="524" t="str">
        <f t="shared" ca="1" si="242"/>
        <v>A</v>
      </c>
      <c r="AV146" s="1083">
        <f t="shared" ca="1" si="242"/>
        <v>50</v>
      </c>
      <c r="AX146" s="1083" t="str">
        <f t="shared" si="243"/>
        <v>U</v>
      </c>
      <c r="AY146" s="1083" t="str">
        <f t="shared" si="244"/>
        <v>U</v>
      </c>
      <c r="AZ146" s="1083" t="str">
        <f t="shared" si="245"/>
        <v>U</v>
      </c>
      <c r="BA146" s="1083" t="str">
        <f t="shared" si="246"/>
        <v>U</v>
      </c>
      <c r="BB146" s="1083" t="str">
        <f t="shared" si="247"/>
        <v>U</v>
      </c>
    </row>
    <row r="147" spans="1:54" ht="12" customHeight="1" x14ac:dyDescent="0.25">
      <c r="A147" s="440"/>
      <c r="B147" s="1043"/>
      <c r="C147" s="380"/>
      <c r="D147" s="1037" t="s">
        <v>35</v>
      </c>
      <c r="E147" s="1599" t="s">
        <v>194</v>
      </c>
      <c r="F147" s="1599"/>
      <c r="G147" s="1599"/>
      <c r="H147" s="1599"/>
      <c r="I147" s="1632"/>
      <c r="J147" s="1038"/>
      <c r="K147" s="462"/>
      <c r="L147" s="462"/>
      <c r="M147" s="498"/>
      <c r="N147" s="359"/>
      <c r="O147" s="365"/>
      <c r="P147" s="363"/>
      <c r="Q147" s="363"/>
      <c r="R147" s="363"/>
      <c r="S147" s="354">
        <f ca="1">SUBTOTAL(109,S149:S150)</f>
        <v>0</v>
      </c>
      <c r="T147" s="363"/>
      <c r="U147" s="376"/>
      <c r="V147" s="365"/>
      <c r="W147" s="1093"/>
      <c r="X147" s="1115"/>
      <c r="Y147" s="1122"/>
      <c r="Z147" s="363"/>
      <c r="AA147" s="376"/>
      <c r="AB147" s="365"/>
      <c r="AC147" s="1093"/>
      <c r="AD147" s="1115"/>
      <c r="AE147" s="1122"/>
      <c r="AF147" s="363"/>
      <c r="AG147" s="363"/>
      <c r="AH147" s="363"/>
      <c r="AI147" s="358"/>
      <c r="AJ147" s="380"/>
      <c r="AK147" s="440"/>
      <c r="AM147" s="460">
        <v>147</v>
      </c>
      <c r="AN147" s="1078"/>
    </row>
    <row r="148" spans="1:54" ht="12" customHeight="1" x14ac:dyDescent="0.25">
      <c r="A148" s="440"/>
      <c r="B148" s="1043"/>
      <c r="C148" s="380"/>
      <c r="D148" s="1037"/>
      <c r="E148" s="1037"/>
      <c r="F148" s="1037"/>
      <c r="G148" s="1037"/>
      <c r="H148" s="1037"/>
      <c r="I148" s="1035"/>
      <c r="J148" s="1603"/>
      <c r="K148" s="1603"/>
      <c r="L148" s="462"/>
      <c r="M148" s="498"/>
      <c r="N148" s="359"/>
      <c r="O148" s="365"/>
      <c r="P148" s="363"/>
      <c r="Q148" s="363"/>
      <c r="R148" s="363"/>
      <c r="S148" s="354"/>
      <c r="T148" s="363"/>
      <c r="U148" s="376"/>
      <c r="V148" s="365"/>
      <c r="W148" s="1093"/>
      <c r="X148" s="1115"/>
      <c r="Y148" s="1122"/>
      <c r="Z148" s="363"/>
      <c r="AA148" s="376"/>
      <c r="AB148" s="365"/>
      <c r="AC148" s="1093"/>
      <c r="AD148" s="1115"/>
      <c r="AE148" s="1122"/>
      <c r="AF148" s="363"/>
      <c r="AG148" s="363"/>
      <c r="AH148" s="363"/>
      <c r="AI148" s="358"/>
      <c r="AJ148" s="380"/>
      <c r="AK148" s="440"/>
      <c r="AM148" s="460">
        <v>148</v>
      </c>
      <c r="AN148" s="1078"/>
    </row>
    <row r="149" spans="1:54" ht="12" customHeight="1" x14ac:dyDescent="0.2">
      <c r="A149" s="440"/>
      <c r="B149" s="1043"/>
      <c r="C149" s="554"/>
      <c r="D149" s="1037"/>
      <c r="E149" s="1084">
        <f ca="1">IF(AX149="E","",AN149)</f>
        <v>0</v>
      </c>
      <c r="F149" s="1085"/>
      <c r="G149" s="1264"/>
      <c r="H149" s="1264"/>
      <c r="I149" s="1265"/>
      <c r="J149" s="638"/>
      <c r="K149" s="520"/>
      <c r="L149" s="521"/>
      <c r="M149" s="340"/>
      <c r="N149" s="553" t="s">
        <v>71</v>
      </c>
      <c r="O149" s="339"/>
      <c r="P149" s="524" t="s">
        <v>72</v>
      </c>
      <c r="Q149" s="344"/>
      <c r="R149" s="522" t="s">
        <v>363</v>
      </c>
      <c r="S149" s="353">
        <f t="shared" ref="S149:S150" ca="1" si="248">IF(AY149="E",(M149*O149)+Q149,AO149)</f>
        <v>0</v>
      </c>
      <c r="T149" s="523"/>
      <c r="U149" s="350"/>
      <c r="V149" s="308"/>
      <c r="W149" s="1090" t="str">
        <f t="shared" ref="W149:W150" ca="1" si="249">IF(AZ149="E",IF(AND(V149&lt;&gt;0,U149&lt;&gt;0),"X",IF(AND(V149&lt;&gt;0,U149=0),"A",IF(AND(V149=0,U149&lt;&gt;0),"P",""))),AR149)</f>
        <v/>
      </c>
      <c r="X149" s="1103">
        <f t="shared" ref="X149:X150" ca="1" si="250">IF(AZ149="E",IFERROR(IF(W149="X",0,IF(U149&gt;0,U149,V149/S149)),0),
IFERROR(IF(OR(AR149="X",AR149=0),0,
IF(AR149="P",AP149,IF(AR149="A",AQ149/S149,0))),0))</f>
        <v>0</v>
      </c>
      <c r="Y149" s="1120">
        <f t="shared" ref="Y149:Y150" ca="1" si="251">IF(AZ149="E",IFERROR(IF(W149="X",0,IF(V149&gt;0,V149,S149*U149)),0),
IFERROR(IF(OR(AR149="X",AR149="0"),0,IF(AR149="A",AQ149,S149*AP149)),0))</f>
        <v>0</v>
      </c>
      <c r="Z149" s="524"/>
      <c r="AA149" s="350"/>
      <c r="AB149" s="308"/>
      <c r="AC149" s="1090" t="str">
        <f t="shared" ref="AC149:AC150" ca="1" si="252">IF(BA149="E",IF(AND(AB149&lt;&gt;0,AA149&lt;&gt;0),"X",IF(AND(AB149&lt;&gt;0,AA149=0),"A",IF(AND(AB149=0,AA149&lt;&gt;0),"P",""))),AU149)</f>
        <v/>
      </c>
      <c r="AD149" s="1103">
        <f t="shared" ref="AD149:AD150" ca="1" si="253">IF(BA149="E",IFERROR(IF(AC149="X",0,IF(AA149&gt;0,AA149,AB149/S149)),0),
IFERROR(IF(OR(AU149="X",AU149=0),0,
IF(AU149="P",AS149,IF(AU149="A",AT149/S149,0))),0))</f>
        <v>0</v>
      </c>
      <c r="AE149" s="1120">
        <f t="shared" ref="AE149:AE150" ca="1" si="254">IF(BA149="E",IFERROR(IF(AC149="X",0,IF(AB149&gt;0,AB149,S149*AA149)),0),
IFERROR(IF(OR(AU149="X",AU149=0),0,
IF(AU149="A",AT149,S149*AS149)),0))</f>
        <v>0</v>
      </c>
      <c r="AF149" s="525"/>
      <c r="AG149" s="637"/>
      <c r="AH149" s="525"/>
      <c r="AI149" s="1086">
        <f t="shared" ref="AI149:AI150" ca="1" si="255">IF(BB149="E",AG149,AV149)</f>
        <v>0</v>
      </c>
      <c r="AJ149" s="380"/>
      <c r="AK149" s="440"/>
      <c r="AM149" s="460">
        <v>149</v>
      </c>
      <c r="AN149" s="1087">
        <f t="shared" ref="AN149:AN150" ca="1" si="256">IF($M$13=$AN$12,"",IF(ISTEXT(INDIRECT("'"&amp;$AM$20&amp;"'!"&amp;AN$21&amp;$AM149)),INDIRECT("'"&amp;$AM$20&amp;"'!"&amp;AN$21&amp;$AM149),INDIRECT("'"&amp;$AM$20&amp;"'!"&amp;AN$22&amp;$AM149)))</f>
        <v>0</v>
      </c>
      <c r="AO149" s="1083">
        <f t="shared" ref="AO149:AV150" ca="1" si="257">IF($M$13=$AN$12,"",INDIRECT("'"&amp;$AM$20&amp;"'!"&amp;AO$21&amp;$AM149))</f>
        <v>0</v>
      </c>
      <c r="AP149" s="356">
        <f t="shared" ca="1" si="257"/>
        <v>0</v>
      </c>
      <c r="AQ149" s="357">
        <f t="shared" ca="1" si="257"/>
        <v>0</v>
      </c>
      <c r="AR149" s="524" t="str">
        <f t="shared" ca="1" si="257"/>
        <v/>
      </c>
      <c r="AS149" s="356">
        <f t="shared" ca="1" si="257"/>
        <v>0</v>
      </c>
      <c r="AT149" s="357">
        <f t="shared" ca="1" si="257"/>
        <v>0</v>
      </c>
      <c r="AU149" s="524" t="str">
        <f t="shared" ca="1" si="257"/>
        <v/>
      </c>
      <c r="AV149" s="1083">
        <f t="shared" ca="1" si="257"/>
        <v>0</v>
      </c>
      <c r="AX149" s="1083" t="str">
        <f t="shared" ref="AX149:AX150" si="258">IF($M$13=$AN$12,"E",IF(ISTEXT(F149),"E","U"))</f>
        <v>U</v>
      </c>
      <c r="AY149" s="1083" t="str">
        <f t="shared" ref="AY149:AY150" si="259">IF($M$13=$AN$12,"E",IF(OR(ISNUMBER(M149),ISNUMBER(O149),ISNUMBER(Q149)),"E","U"))</f>
        <v>U</v>
      </c>
      <c r="AZ149" s="1083" t="str">
        <f t="shared" ref="AZ149:AZ150" si="260">IF($M$13=$AN$12,"E",IF(OR(ISNUMBER(U149),ISNUMBER(V149)),"E","U"))</f>
        <v>U</v>
      </c>
      <c r="BA149" s="1083" t="str">
        <f t="shared" ref="BA149:BA150" si="261">IF($M$13=$AN$12,"E",IF(OR(ISNUMBER(AA149),ISNUMBER(AB149)),"E","U"))</f>
        <v>U</v>
      </c>
      <c r="BB149" s="1083" t="str">
        <f t="shared" ref="BB149:BB150" si="262">IF($M$13=$AN$12,"E",IF(ISNUMBER(AG149),"E","U"))</f>
        <v>U</v>
      </c>
    </row>
    <row r="150" spans="1:54" ht="12" customHeight="1" x14ac:dyDescent="0.2">
      <c r="A150" s="440"/>
      <c r="B150" s="1043"/>
      <c r="C150" s="554"/>
      <c r="D150" s="1037"/>
      <c r="E150" s="1084">
        <f ca="1">IF(AX150="E","",AN150)</f>
        <v>0</v>
      </c>
      <c r="F150" s="1085"/>
      <c r="G150" s="1264"/>
      <c r="H150" s="1264"/>
      <c r="I150" s="1265"/>
      <c r="J150" s="638"/>
      <c r="K150" s="520"/>
      <c r="L150" s="521"/>
      <c r="M150" s="340"/>
      <c r="N150" s="553" t="s">
        <v>71</v>
      </c>
      <c r="O150" s="339"/>
      <c r="P150" s="524" t="s">
        <v>72</v>
      </c>
      <c r="Q150" s="344"/>
      <c r="R150" s="522" t="s">
        <v>363</v>
      </c>
      <c r="S150" s="353">
        <f t="shared" ca="1" si="248"/>
        <v>0</v>
      </c>
      <c r="T150" s="523"/>
      <c r="U150" s="350"/>
      <c r="V150" s="308"/>
      <c r="W150" s="1090" t="str">
        <f t="shared" ca="1" si="249"/>
        <v/>
      </c>
      <c r="X150" s="1103">
        <f t="shared" ca="1" si="250"/>
        <v>0</v>
      </c>
      <c r="Y150" s="1120">
        <f t="shared" ca="1" si="251"/>
        <v>0</v>
      </c>
      <c r="Z150" s="524"/>
      <c r="AA150" s="350"/>
      <c r="AB150" s="308"/>
      <c r="AC150" s="1090" t="str">
        <f t="shared" ca="1" si="252"/>
        <v/>
      </c>
      <c r="AD150" s="1103">
        <f t="shared" ca="1" si="253"/>
        <v>0</v>
      </c>
      <c r="AE150" s="1120">
        <f t="shared" ca="1" si="254"/>
        <v>0</v>
      </c>
      <c r="AF150" s="525"/>
      <c r="AG150" s="637"/>
      <c r="AH150" s="525"/>
      <c r="AI150" s="1086">
        <f t="shared" ca="1" si="255"/>
        <v>0</v>
      </c>
      <c r="AJ150" s="380"/>
      <c r="AK150" s="440"/>
      <c r="AM150" s="460">
        <v>150</v>
      </c>
      <c r="AN150" s="1087">
        <f t="shared" ca="1" si="256"/>
        <v>0</v>
      </c>
      <c r="AO150" s="1083">
        <f t="shared" ca="1" si="257"/>
        <v>0</v>
      </c>
      <c r="AP150" s="356">
        <f t="shared" ca="1" si="257"/>
        <v>0</v>
      </c>
      <c r="AQ150" s="357">
        <f t="shared" ca="1" si="257"/>
        <v>0</v>
      </c>
      <c r="AR150" s="524" t="str">
        <f t="shared" ca="1" si="257"/>
        <v/>
      </c>
      <c r="AS150" s="356">
        <f t="shared" ca="1" si="257"/>
        <v>0</v>
      </c>
      <c r="AT150" s="357">
        <f t="shared" ca="1" si="257"/>
        <v>0</v>
      </c>
      <c r="AU150" s="524" t="str">
        <f t="shared" ca="1" si="257"/>
        <v/>
      </c>
      <c r="AV150" s="1083">
        <f t="shared" ca="1" si="257"/>
        <v>0</v>
      </c>
      <c r="AX150" s="1083" t="str">
        <f t="shared" si="258"/>
        <v>U</v>
      </c>
      <c r="AY150" s="1083" t="str">
        <f t="shared" si="259"/>
        <v>U</v>
      </c>
      <c r="AZ150" s="1083" t="str">
        <f t="shared" si="260"/>
        <v>U</v>
      </c>
      <c r="BA150" s="1083" t="str">
        <f t="shared" si="261"/>
        <v>U</v>
      </c>
      <c r="BB150" s="1083" t="str">
        <f t="shared" si="262"/>
        <v>U</v>
      </c>
    </row>
    <row r="151" spans="1:54" ht="12" customHeight="1" x14ac:dyDescent="0.2">
      <c r="A151" s="440"/>
      <c r="B151" s="1043"/>
      <c r="C151" s="554"/>
      <c r="D151" s="1037" t="s">
        <v>327</v>
      </c>
      <c r="E151" s="1607" t="s">
        <v>307</v>
      </c>
      <c r="F151" s="1607"/>
      <c r="G151" s="1607"/>
      <c r="H151" s="1607"/>
      <c r="I151" s="1607"/>
      <c r="J151" s="519"/>
      <c r="K151" s="503"/>
      <c r="L151" s="503"/>
      <c r="M151" s="498"/>
      <c r="N151" s="359"/>
      <c r="O151" s="365"/>
      <c r="P151" s="363"/>
      <c r="Q151" s="363"/>
      <c r="R151" s="363"/>
      <c r="S151" s="354">
        <f ca="1">SUBTOTAL(109,S153:S154)</f>
        <v>0</v>
      </c>
      <c r="T151" s="363"/>
      <c r="U151" s="376"/>
      <c r="V151" s="365"/>
      <c r="W151" s="1093"/>
      <c r="X151" s="1115"/>
      <c r="Y151" s="1122"/>
      <c r="Z151" s="363"/>
      <c r="AA151" s="376"/>
      <c r="AB151" s="365"/>
      <c r="AC151" s="1093"/>
      <c r="AD151" s="1115"/>
      <c r="AE151" s="1122"/>
      <c r="AF151" s="363"/>
      <c r="AG151" s="363"/>
      <c r="AH151" s="363"/>
      <c r="AI151" s="358"/>
      <c r="AJ151" s="380"/>
      <c r="AK151" s="440"/>
      <c r="AM151" s="460">
        <v>151</v>
      </c>
      <c r="AN151" s="1078"/>
    </row>
    <row r="152" spans="1:54" ht="12" customHeight="1" x14ac:dyDescent="0.2">
      <c r="A152" s="440"/>
      <c r="B152" s="1043"/>
      <c r="C152" s="554"/>
      <c r="D152" s="1037"/>
      <c r="E152" s="1040"/>
      <c r="F152" s="1040"/>
      <c r="G152" s="1040"/>
      <c r="H152" s="1040"/>
      <c r="I152" s="1040"/>
      <c r="J152" s="1603"/>
      <c r="K152" s="1603"/>
      <c r="L152" s="503"/>
      <c r="M152" s="498"/>
      <c r="N152" s="359"/>
      <c r="O152" s="365"/>
      <c r="P152" s="363"/>
      <c r="Q152" s="363"/>
      <c r="R152" s="363"/>
      <c r="S152" s="354"/>
      <c r="T152" s="363"/>
      <c r="U152" s="376"/>
      <c r="V152" s="365"/>
      <c r="W152" s="1093"/>
      <c r="X152" s="1115"/>
      <c r="Y152" s="1122"/>
      <c r="Z152" s="363"/>
      <c r="AA152" s="376"/>
      <c r="AB152" s="365"/>
      <c r="AC152" s="1093"/>
      <c r="AD152" s="1115"/>
      <c r="AE152" s="1122"/>
      <c r="AF152" s="363"/>
      <c r="AG152" s="363"/>
      <c r="AH152" s="363"/>
      <c r="AI152" s="358"/>
      <c r="AJ152" s="380"/>
      <c r="AK152" s="440"/>
      <c r="AM152" s="460">
        <v>152</v>
      </c>
      <c r="AN152" s="1078"/>
    </row>
    <row r="153" spans="1:54" ht="12" customHeight="1" x14ac:dyDescent="0.2">
      <c r="A153" s="440"/>
      <c r="B153" s="1043"/>
      <c r="C153" s="554"/>
      <c r="D153" s="1037"/>
      <c r="E153" s="1084">
        <f ca="1">IF(AX153="E","",AN153)</f>
        <v>0</v>
      </c>
      <c r="F153" s="1085"/>
      <c r="G153" s="1264"/>
      <c r="H153" s="1264"/>
      <c r="I153" s="1265"/>
      <c r="J153" s="638"/>
      <c r="K153" s="520"/>
      <c r="L153" s="521"/>
      <c r="M153" s="340"/>
      <c r="N153" s="553" t="s">
        <v>71</v>
      </c>
      <c r="O153" s="339"/>
      <c r="P153" s="524" t="s">
        <v>72</v>
      </c>
      <c r="Q153" s="344"/>
      <c r="R153" s="522" t="s">
        <v>363</v>
      </c>
      <c r="S153" s="353">
        <f t="shared" ref="S153:S154" ca="1" si="263">IF(AY153="E",(M153*O153)+Q153,AO153)</f>
        <v>0</v>
      </c>
      <c r="T153" s="523"/>
      <c r="U153" s="350"/>
      <c r="V153" s="308"/>
      <c r="W153" s="1090" t="str">
        <f t="shared" ref="W153:W154" ca="1" si="264">IF(AZ153="E",IF(AND(V153&lt;&gt;0,U153&lt;&gt;0),"X",IF(AND(V153&lt;&gt;0,U153=0),"A",IF(AND(V153=0,U153&lt;&gt;0),"P",""))),AR153)</f>
        <v/>
      </c>
      <c r="X153" s="1103">
        <f t="shared" ref="X153:X154" ca="1" si="265">IF(AZ153="E",IFERROR(IF(W153="X",0,IF(U153&gt;0,U153,V153/S153)),0),
IFERROR(IF(OR(AR153="X",AR153=0),0,
IF(AR153="P",AP153,IF(AR153="A",AQ153/S153,0))),0))</f>
        <v>0</v>
      </c>
      <c r="Y153" s="1120">
        <f t="shared" ref="Y153:Y154" ca="1" si="266">IF(AZ153="E",IFERROR(IF(W153="X",0,IF(V153&gt;0,V153,S153*U153)),0),
IFERROR(IF(OR(AR153="X",AR153="0"),0,IF(AR153="A",AQ153,S153*AP153)),0))</f>
        <v>0</v>
      </c>
      <c r="Z153" s="524"/>
      <c r="AA153" s="350"/>
      <c r="AB153" s="308"/>
      <c r="AC153" s="1090" t="str">
        <f t="shared" ref="AC153:AC154" ca="1" si="267">IF(BA153="E",IF(AND(AB153&lt;&gt;0,AA153&lt;&gt;0),"X",IF(AND(AB153&lt;&gt;0,AA153=0),"A",IF(AND(AB153=0,AA153&lt;&gt;0),"P",""))),AU153)</f>
        <v/>
      </c>
      <c r="AD153" s="1103">
        <f t="shared" ref="AD153:AD154" ca="1" si="268">IF(BA153="E",IFERROR(IF(AC153="X",0,IF(AA153&gt;0,AA153,AB153/S153)),0),
IFERROR(IF(OR(AU153="X",AU153=0),0,
IF(AU153="P",AS153,IF(AU153="A",AT153/S153,0))),0))</f>
        <v>0</v>
      </c>
      <c r="AE153" s="1120">
        <f t="shared" ref="AE153:AE154" ca="1" si="269">IF(BA153="E",IFERROR(IF(AC153="X",0,IF(AB153&gt;0,AB153,S153*AA153)),0),
IFERROR(IF(OR(AU153="X",AU153=0),0,
IF(AU153="A",AT153,S153*AS153)),0))</f>
        <v>0</v>
      </c>
      <c r="AF153" s="525"/>
      <c r="AG153" s="637"/>
      <c r="AH153" s="525"/>
      <c r="AI153" s="1086">
        <f t="shared" ref="AI153:AI154" ca="1" si="270">IF(BB153="E",AG153,AV153)</f>
        <v>0</v>
      </c>
      <c r="AJ153" s="380"/>
      <c r="AK153" s="440"/>
      <c r="AM153" s="460">
        <v>153</v>
      </c>
      <c r="AN153" s="1087">
        <f t="shared" ref="AN153:AN154" ca="1" si="271">IF($M$13=$AN$12,"",IF(ISTEXT(INDIRECT("'"&amp;$AM$20&amp;"'!"&amp;AN$21&amp;$AM153)),INDIRECT("'"&amp;$AM$20&amp;"'!"&amp;AN$21&amp;$AM153),INDIRECT("'"&amp;$AM$20&amp;"'!"&amp;AN$22&amp;$AM153)))</f>
        <v>0</v>
      </c>
      <c r="AO153" s="1083">
        <f t="shared" ref="AO153:AV154" ca="1" si="272">IF($M$13=$AN$12,"",INDIRECT("'"&amp;$AM$20&amp;"'!"&amp;AO$21&amp;$AM153))</f>
        <v>0</v>
      </c>
      <c r="AP153" s="356">
        <f t="shared" ca="1" si="272"/>
        <v>0</v>
      </c>
      <c r="AQ153" s="357">
        <f t="shared" ca="1" si="272"/>
        <v>0</v>
      </c>
      <c r="AR153" s="524" t="str">
        <f t="shared" ca="1" si="272"/>
        <v/>
      </c>
      <c r="AS153" s="356">
        <f t="shared" ca="1" si="272"/>
        <v>0</v>
      </c>
      <c r="AT153" s="357">
        <f t="shared" ca="1" si="272"/>
        <v>0</v>
      </c>
      <c r="AU153" s="524" t="str">
        <f t="shared" ca="1" si="272"/>
        <v/>
      </c>
      <c r="AV153" s="1083">
        <f t="shared" ca="1" si="272"/>
        <v>0</v>
      </c>
      <c r="AX153" s="1083" t="str">
        <f t="shared" ref="AX153:AX154" si="273">IF($M$13=$AN$12,"E",IF(ISTEXT(F153),"E","U"))</f>
        <v>U</v>
      </c>
      <c r="AY153" s="1083" t="str">
        <f t="shared" ref="AY153:AY154" si="274">IF($M$13=$AN$12,"E",IF(OR(ISNUMBER(M153),ISNUMBER(O153),ISNUMBER(Q153)),"E","U"))</f>
        <v>U</v>
      </c>
      <c r="AZ153" s="1083" t="str">
        <f t="shared" ref="AZ153:AZ154" si="275">IF($M$13=$AN$12,"E",IF(OR(ISNUMBER(U153),ISNUMBER(V153)),"E","U"))</f>
        <v>U</v>
      </c>
      <c r="BA153" s="1083" t="str">
        <f t="shared" ref="BA153:BA154" si="276">IF($M$13=$AN$12,"E",IF(OR(ISNUMBER(AA153),ISNUMBER(AB153)),"E","U"))</f>
        <v>U</v>
      </c>
      <c r="BB153" s="1083" t="str">
        <f t="shared" ref="BB153:BB154" si="277">IF($M$13=$AN$12,"E",IF(ISNUMBER(AG153),"E","U"))</f>
        <v>U</v>
      </c>
    </row>
    <row r="154" spans="1:54" ht="12" customHeight="1" x14ac:dyDescent="0.2">
      <c r="A154" s="440"/>
      <c r="B154" s="1043"/>
      <c r="C154" s="554"/>
      <c r="D154" s="1037"/>
      <c r="E154" s="1084">
        <f ca="1">IF(AX154="E","",AN154)</f>
        <v>0</v>
      </c>
      <c r="F154" s="1085"/>
      <c r="G154" s="1264"/>
      <c r="H154" s="1264"/>
      <c r="I154" s="1265"/>
      <c r="J154" s="638"/>
      <c r="K154" s="520"/>
      <c r="L154" s="521"/>
      <c r="M154" s="340"/>
      <c r="N154" s="553" t="s">
        <v>71</v>
      </c>
      <c r="O154" s="339"/>
      <c r="P154" s="524" t="s">
        <v>72</v>
      </c>
      <c r="Q154" s="344"/>
      <c r="R154" s="522" t="s">
        <v>363</v>
      </c>
      <c r="S154" s="353">
        <f t="shared" ca="1" si="263"/>
        <v>0</v>
      </c>
      <c r="T154" s="523"/>
      <c r="U154" s="350"/>
      <c r="V154" s="308"/>
      <c r="W154" s="1090" t="str">
        <f t="shared" ca="1" si="264"/>
        <v/>
      </c>
      <c r="X154" s="1103">
        <f t="shared" ca="1" si="265"/>
        <v>0</v>
      </c>
      <c r="Y154" s="1120">
        <f t="shared" ca="1" si="266"/>
        <v>0</v>
      </c>
      <c r="Z154" s="524"/>
      <c r="AA154" s="350"/>
      <c r="AB154" s="308"/>
      <c r="AC154" s="1090" t="str">
        <f t="shared" ca="1" si="267"/>
        <v/>
      </c>
      <c r="AD154" s="1103">
        <f t="shared" ca="1" si="268"/>
        <v>0</v>
      </c>
      <c r="AE154" s="1120">
        <f t="shared" ca="1" si="269"/>
        <v>0</v>
      </c>
      <c r="AF154" s="525"/>
      <c r="AG154" s="637"/>
      <c r="AH154" s="525"/>
      <c r="AI154" s="1086">
        <f t="shared" ca="1" si="270"/>
        <v>0</v>
      </c>
      <c r="AJ154" s="380"/>
      <c r="AK154" s="440"/>
      <c r="AM154" s="460">
        <v>154</v>
      </c>
      <c r="AN154" s="1087">
        <f t="shared" ca="1" si="271"/>
        <v>0</v>
      </c>
      <c r="AO154" s="1083">
        <f t="shared" ca="1" si="272"/>
        <v>0</v>
      </c>
      <c r="AP154" s="356">
        <f t="shared" ca="1" si="272"/>
        <v>0</v>
      </c>
      <c r="AQ154" s="357">
        <f t="shared" ca="1" si="272"/>
        <v>0</v>
      </c>
      <c r="AR154" s="524" t="str">
        <f t="shared" ca="1" si="272"/>
        <v/>
      </c>
      <c r="AS154" s="356">
        <f t="shared" ca="1" si="272"/>
        <v>0</v>
      </c>
      <c r="AT154" s="357">
        <f t="shared" ca="1" si="272"/>
        <v>0</v>
      </c>
      <c r="AU154" s="524" t="str">
        <f t="shared" ca="1" si="272"/>
        <v/>
      </c>
      <c r="AV154" s="1083">
        <f t="shared" ca="1" si="272"/>
        <v>0</v>
      </c>
      <c r="AX154" s="1083" t="str">
        <f t="shared" si="273"/>
        <v>U</v>
      </c>
      <c r="AY154" s="1083" t="str">
        <f t="shared" si="274"/>
        <v>U</v>
      </c>
      <c r="AZ154" s="1083" t="str">
        <f t="shared" si="275"/>
        <v>U</v>
      </c>
      <c r="BA154" s="1083" t="str">
        <f t="shared" si="276"/>
        <v>U</v>
      </c>
      <c r="BB154" s="1083" t="str">
        <f t="shared" si="277"/>
        <v>U</v>
      </c>
    </row>
    <row r="155" spans="1:54" ht="14.25" customHeight="1" collapsed="1" x14ac:dyDescent="0.25">
      <c r="A155" s="440"/>
      <c r="B155" s="1043"/>
      <c r="C155" s="1036" t="s">
        <v>34</v>
      </c>
      <c r="D155" s="494"/>
      <c r="E155" s="1596" t="s">
        <v>33</v>
      </c>
      <c r="F155" s="1596"/>
      <c r="G155" s="1596"/>
      <c r="H155" s="1596"/>
      <c r="I155" s="1597"/>
      <c r="J155" s="1038"/>
      <c r="K155" s="462"/>
      <c r="L155" s="462"/>
      <c r="M155" s="498"/>
      <c r="N155" s="359"/>
      <c r="O155" s="365"/>
      <c r="P155" s="363"/>
      <c r="Q155" s="363"/>
      <c r="R155" s="363"/>
      <c r="S155" s="355">
        <f ca="1">S156+S163</f>
        <v>39445.199999999997</v>
      </c>
      <c r="T155" s="363"/>
      <c r="U155" s="375"/>
      <c r="V155" s="361"/>
      <c r="W155" s="1091"/>
      <c r="X155" s="1114"/>
      <c r="Y155" s="1121"/>
      <c r="Z155" s="363"/>
      <c r="AA155" s="375"/>
      <c r="AB155" s="361"/>
      <c r="AC155" s="1091"/>
      <c r="AD155" s="1114"/>
      <c r="AE155" s="1121"/>
      <c r="AF155" s="358"/>
      <c r="AG155" s="358"/>
      <c r="AH155" s="358"/>
      <c r="AI155" s="358"/>
      <c r="AJ155" s="380"/>
      <c r="AK155" s="440"/>
      <c r="AM155" s="460">
        <v>155</v>
      </c>
      <c r="AN155" s="1078"/>
    </row>
    <row r="156" spans="1:54" ht="12" customHeight="1" x14ac:dyDescent="0.25">
      <c r="A156" s="440"/>
      <c r="B156" s="1043"/>
      <c r="C156" s="380"/>
      <c r="D156" s="1037" t="s">
        <v>32</v>
      </c>
      <c r="E156" s="1599" t="s">
        <v>31</v>
      </c>
      <c r="F156" s="1599"/>
      <c r="G156" s="1599"/>
      <c r="H156" s="1599"/>
      <c r="I156" s="1632"/>
      <c r="J156" s="1038"/>
      <c r="K156" s="462"/>
      <c r="L156" s="462"/>
      <c r="M156" s="498"/>
      <c r="N156" s="359"/>
      <c r="O156" s="365"/>
      <c r="P156" s="363"/>
      <c r="Q156" s="363"/>
      <c r="R156" s="363"/>
      <c r="S156" s="354">
        <f ca="1">SUBTOTAL(109,S158:S161)</f>
        <v>39445.199999999997</v>
      </c>
      <c r="T156" s="363"/>
      <c r="U156" s="375"/>
      <c r="V156" s="361"/>
      <c r="W156" s="1091"/>
      <c r="X156" s="1114"/>
      <c r="Y156" s="1121"/>
      <c r="Z156" s="363"/>
      <c r="AA156" s="375"/>
      <c r="AB156" s="361"/>
      <c r="AC156" s="1091"/>
      <c r="AD156" s="1114"/>
      <c r="AE156" s="1121"/>
      <c r="AF156" s="358"/>
      <c r="AG156" s="358"/>
      <c r="AH156" s="358"/>
      <c r="AI156" s="358"/>
      <c r="AJ156" s="380"/>
      <c r="AK156" s="440"/>
      <c r="AM156" s="460">
        <v>156</v>
      </c>
      <c r="AN156" s="1078"/>
    </row>
    <row r="157" spans="1:54" ht="12" customHeight="1" x14ac:dyDescent="0.25">
      <c r="A157" s="440"/>
      <c r="B157" s="1043"/>
      <c r="C157" s="380"/>
      <c r="D157" s="1037"/>
      <c r="E157" s="1037"/>
      <c r="F157" s="1037"/>
      <c r="G157" s="1037"/>
      <c r="H157" s="1037"/>
      <c r="I157" s="1035"/>
      <c r="J157" s="1603" t="s">
        <v>188</v>
      </c>
      <c r="K157" s="1603"/>
      <c r="L157" s="462"/>
      <c r="M157" s="498"/>
      <c r="N157" s="359"/>
      <c r="O157" s="365"/>
      <c r="P157" s="363"/>
      <c r="Q157" s="363"/>
      <c r="R157" s="363"/>
      <c r="S157" s="354"/>
      <c r="T157" s="363"/>
      <c r="U157" s="375"/>
      <c r="V157" s="361"/>
      <c r="W157" s="1091"/>
      <c r="X157" s="1114"/>
      <c r="Y157" s="1121"/>
      <c r="Z157" s="363"/>
      <c r="AA157" s="375"/>
      <c r="AB157" s="361"/>
      <c r="AC157" s="1091"/>
      <c r="AD157" s="1114"/>
      <c r="AE157" s="1121"/>
      <c r="AF157" s="358"/>
      <c r="AG157" s="358"/>
      <c r="AH157" s="358"/>
      <c r="AI157" s="358"/>
      <c r="AJ157" s="380"/>
      <c r="AK157" s="440"/>
      <c r="AM157" s="460">
        <v>157</v>
      </c>
      <c r="AN157" s="1078"/>
    </row>
    <row r="158" spans="1:54" ht="12" customHeight="1" x14ac:dyDescent="0.2">
      <c r="A158" s="440"/>
      <c r="B158" s="1043"/>
      <c r="C158" s="380"/>
      <c r="D158" s="1037"/>
      <c r="E158" s="1084" t="str">
        <f>IF(AX158="E","",AN158)</f>
        <v/>
      </c>
      <c r="F158" s="1085" t="s">
        <v>765</v>
      </c>
      <c r="G158" s="1264"/>
      <c r="H158" s="1264"/>
      <c r="I158" s="1265"/>
      <c r="J158" s="638"/>
      <c r="K158" s="550" t="s">
        <v>179</v>
      </c>
      <c r="L158" s="551"/>
      <c r="M158" s="340"/>
      <c r="N158" s="553" t="s">
        <v>559</v>
      </c>
      <c r="O158" s="339"/>
      <c r="P158" s="524" t="s">
        <v>560</v>
      </c>
      <c r="Q158" s="344">
        <f>2915*1.2</f>
        <v>3498</v>
      </c>
      <c r="R158" s="522" t="s">
        <v>363</v>
      </c>
      <c r="S158" s="353">
        <f t="shared" ref="S158:S161" si="278">IF(AY158="E",(M158*O158)+Q158,AO158)</f>
        <v>3498</v>
      </c>
      <c r="T158" s="523"/>
      <c r="U158" s="350"/>
      <c r="V158" s="308"/>
      <c r="W158" s="1090" t="str">
        <f t="shared" ref="W158:W161" ca="1" si="279">IF(AZ158="E",IF(AND(V158&lt;&gt;0,U158&lt;&gt;0),"X",IF(AND(V158&lt;&gt;0,U158=0),"A",IF(AND(V158=0,U158&lt;&gt;0),"P",""))),AR158)</f>
        <v/>
      </c>
      <c r="X158" s="1103">
        <f t="shared" ref="X158:X161" ca="1" si="280">IF(AZ158="E",IFERROR(IF(W158="X",0,IF(U158&gt;0,U158,V158/S158)),0),
IFERROR(IF(OR(AR158="X",AR158=0),0,
IF(AR158="P",AP158,IF(AR158="A",AQ158/S158,0))),0))</f>
        <v>0</v>
      </c>
      <c r="Y158" s="1120">
        <f t="shared" ref="Y158:Y161" ca="1" si="281">IF(AZ158="E",IFERROR(IF(W158="X",0,IF(V158&gt;0,V158,S158*U158)),0),
IFERROR(IF(OR(AR158="X",AR158="0"),0,IF(AR158="A",AQ158,S158*AP158)),0))</f>
        <v>0</v>
      </c>
      <c r="Z158" s="524"/>
      <c r="AA158" s="350"/>
      <c r="AB158" s="308">
        <v>100</v>
      </c>
      <c r="AC158" s="1090" t="str">
        <f t="shared" ref="AC158:AC161" si="282">IF(BA158="E",IF(AND(AB158&lt;&gt;0,AA158&lt;&gt;0),"X",IF(AND(AB158&lt;&gt;0,AA158=0),"A",IF(AND(AB158=0,AA158&lt;&gt;0),"P",""))),AU158)</f>
        <v>A</v>
      </c>
      <c r="AD158" s="1103">
        <f t="shared" ref="AD158:AD161" si="283">IF(BA158="E",IFERROR(IF(AC158="X",0,IF(AA158&gt;0,AA158,AB158/S158)),0),
IFERROR(IF(OR(AU158="X",AU158=0),0,
IF(AU158="P",AS158,IF(AU158="A",AT158/S158,0))),0))</f>
        <v>2.8587764436821039E-2</v>
      </c>
      <c r="AE158" s="1120">
        <f t="shared" ref="AE158:AE161" si="284">IF(BA158="E",IFERROR(IF(AC158="X",0,IF(AB158&gt;0,AB158,S158*AA158)),0),
IFERROR(IF(OR(AU158="X",AU158=0),0,
IF(AU158="A",AT158,S158*AS158)),0))</f>
        <v>100</v>
      </c>
      <c r="AF158" s="525"/>
      <c r="AG158" s="637">
        <v>15</v>
      </c>
      <c r="AH158" s="525"/>
      <c r="AI158" s="1086">
        <f t="shared" ref="AI158:AI161" si="285">IF(BB158="E",AG158,AV158)</f>
        <v>15</v>
      </c>
      <c r="AJ158" s="380"/>
      <c r="AK158" s="440"/>
      <c r="AM158" s="460">
        <v>158</v>
      </c>
      <c r="AN158" s="1087">
        <f t="shared" ref="AN158:AN161" ca="1" si="286">IF($M$13=$AN$12,"",IF(ISTEXT(INDIRECT("'"&amp;$AM$20&amp;"'!"&amp;AN$21&amp;$AM158)),INDIRECT("'"&amp;$AM$20&amp;"'!"&amp;AN$21&amp;$AM158),INDIRECT("'"&amp;$AM$20&amp;"'!"&amp;AN$22&amp;$AM158)))</f>
        <v>0</v>
      </c>
      <c r="AO158" s="1083">
        <f t="shared" ref="AO158:AV161" ca="1" si="287">IF($M$13=$AN$12,"",INDIRECT("'"&amp;$AM$20&amp;"'!"&amp;AO$21&amp;$AM158))</f>
        <v>0</v>
      </c>
      <c r="AP158" s="356">
        <f t="shared" ca="1" si="287"/>
        <v>0</v>
      </c>
      <c r="AQ158" s="357">
        <f t="shared" ca="1" si="287"/>
        <v>0</v>
      </c>
      <c r="AR158" s="524" t="str">
        <f t="shared" ca="1" si="287"/>
        <v/>
      </c>
      <c r="AS158" s="356">
        <f t="shared" ca="1" si="287"/>
        <v>0</v>
      </c>
      <c r="AT158" s="357">
        <f t="shared" ca="1" si="287"/>
        <v>0</v>
      </c>
      <c r="AU158" s="524" t="str">
        <f t="shared" ca="1" si="287"/>
        <v/>
      </c>
      <c r="AV158" s="1083">
        <f t="shared" ca="1" si="287"/>
        <v>0</v>
      </c>
      <c r="AX158" s="1083" t="str">
        <f t="shared" ref="AX158:AX161" si="288">IF($M$13=$AN$12,"E",IF(ISTEXT(F158),"E","U"))</f>
        <v>E</v>
      </c>
      <c r="AY158" s="1083" t="str">
        <f t="shared" ref="AY158:AY161" si="289">IF($M$13=$AN$12,"E",IF(OR(ISNUMBER(M158),ISNUMBER(O158),ISNUMBER(Q158)),"E","U"))</f>
        <v>E</v>
      </c>
      <c r="AZ158" s="1083" t="str">
        <f t="shared" ref="AZ158:AZ161" si="290">IF($M$13=$AN$12,"E",IF(OR(ISNUMBER(U158),ISNUMBER(V158)),"E","U"))</f>
        <v>U</v>
      </c>
      <c r="BA158" s="1083" t="str">
        <f t="shared" ref="BA158:BA161" si="291">IF($M$13=$AN$12,"E",IF(OR(ISNUMBER(AA158),ISNUMBER(AB158)),"E","U"))</f>
        <v>E</v>
      </c>
      <c r="BB158" s="1083" t="str">
        <f t="shared" ref="BB158:BB161" si="292">IF($M$13=$AN$12,"E",IF(ISNUMBER(AG158),"E","U"))</f>
        <v>E</v>
      </c>
    </row>
    <row r="159" spans="1:54" ht="12" customHeight="1" x14ac:dyDescent="0.2">
      <c r="A159" s="440"/>
      <c r="B159" s="1043"/>
      <c r="C159" s="380"/>
      <c r="D159" s="1037"/>
      <c r="E159" s="1084" t="str">
        <f>IF(AX159="E","",AN159)</f>
        <v/>
      </c>
      <c r="F159" s="1085" t="s">
        <v>766</v>
      </c>
      <c r="G159" s="1264"/>
      <c r="H159" s="1264"/>
      <c r="I159" s="1265"/>
      <c r="J159" s="638"/>
      <c r="K159" s="550" t="s">
        <v>179</v>
      </c>
      <c r="L159" s="551"/>
      <c r="M159" s="340"/>
      <c r="N159" s="553" t="s">
        <v>69</v>
      </c>
      <c r="O159" s="339"/>
      <c r="P159" s="524" t="s">
        <v>70</v>
      </c>
      <c r="Q159" s="344">
        <f>17963*1.2</f>
        <v>21555.599999999999</v>
      </c>
      <c r="R159" s="522" t="s">
        <v>363</v>
      </c>
      <c r="S159" s="353">
        <f t="shared" si="278"/>
        <v>21555.599999999999</v>
      </c>
      <c r="T159" s="523"/>
      <c r="U159" s="350"/>
      <c r="V159" s="308"/>
      <c r="W159" s="1090" t="str">
        <f t="shared" ca="1" si="279"/>
        <v/>
      </c>
      <c r="X159" s="1103">
        <f t="shared" ca="1" si="280"/>
        <v>0</v>
      </c>
      <c r="Y159" s="1120">
        <f t="shared" ca="1" si="281"/>
        <v>0</v>
      </c>
      <c r="Z159" s="524"/>
      <c r="AA159" s="350"/>
      <c r="AB159" s="308">
        <v>329</v>
      </c>
      <c r="AC159" s="1090" t="str">
        <f t="shared" si="282"/>
        <v>A</v>
      </c>
      <c r="AD159" s="1103">
        <f t="shared" si="283"/>
        <v>1.5262855128133758E-2</v>
      </c>
      <c r="AE159" s="1120">
        <f t="shared" si="284"/>
        <v>329</v>
      </c>
      <c r="AF159" s="525"/>
      <c r="AG159" s="637">
        <v>30</v>
      </c>
      <c r="AH159" s="525"/>
      <c r="AI159" s="1086">
        <f t="shared" si="285"/>
        <v>30</v>
      </c>
      <c r="AJ159" s="380"/>
      <c r="AK159" s="440"/>
      <c r="AM159" s="460">
        <v>159</v>
      </c>
      <c r="AN159" s="1087">
        <f t="shared" ca="1" si="286"/>
        <v>0</v>
      </c>
      <c r="AO159" s="1083">
        <f t="shared" ca="1" si="287"/>
        <v>0</v>
      </c>
      <c r="AP159" s="356">
        <f t="shared" ca="1" si="287"/>
        <v>0</v>
      </c>
      <c r="AQ159" s="357">
        <f t="shared" ca="1" si="287"/>
        <v>0</v>
      </c>
      <c r="AR159" s="524" t="str">
        <f t="shared" ca="1" si="287"/>
        <v/>
      </c>
      <c r="AS159" s="356">
        <f t="shared" ca="1" si="287"/>
        <v>0</v>
      </c>
      <c r="AT159" s="357">
        <f t="shared" ca="1" si="287"/>
        <v>0</v>
      </c>
      <c r="AU159" s="524" t="str">
        <f t="shared" ca="1" si="287"/>
        <v/>
      </c>
      <c r="AV159" s="1083">
        <f t="shared" ca="1" si="287"/>
        <v>0</v>
      </c>
      <c r="AX159" s="1083" t="str">
        <f t="shared" si="288"/>
        <v>E</v>
      </c>
      <c r="AY159" s="1083" t="str">
        <f t="shared" si="289"/>
        <v>E</v>
      </c>
      <c r="AZ159" s="1083" t="str">
        <f t="shared" si="290"/>
        <v>U</v>
      </c>
      <c r="BA159" s="1083" t="str">
        <f t="shared" si="291"/>
        <v>E</v>
      </c>
      <c r="BB159" s="1083" t="str">
        <f t="shared" si="292"/>
        <v>E</v>
      </c>
    </row>
    <row r="160" spans="1:54" ht="12" customHeight="1" x14ac:dyDescent="0.2">
      <c r="A160" s="440"/>
      <c r="B160" s="1043"/>
      <c r="C160" s="380"/>
      <c r="D160" s="1037"/>
      <c r="E160" s="1084" t="str">
        <f>IF(AX160="E","",AN160)</f>
        <v/>
      </c>
      <c r="F160" s="1085" t="s">
        <v>767</v>
      </c>
      <c r="G160" s="1264"/>
      <c r="H160" s="1264"/>
      <c r="I160" s="1265"/>
      <c r="J160" s="638"/>
      <c r="K160" s="550" t="s">
        <v>179</v>
      </c>
      <c r="L160" s="551"/>
      <c r="M160" s="340"/>
      <c r="N160" s="553" t="s">
        <v>69</v>
      </c>
      <c r="O160" s="339"/>
      <c r="P160" s="524" t="s">
        <v>70</v>
      </c>
      <c r="Q160" s="344">
        <f>11993*1.2</f>
        <v>14391.6</v>
      </c>
      <c r="R160" s="522" t="s">
        <v>363</v>
      </c>
      <c r="S160" s="353">
        <f t="shared" si="278"/>
        <v>14391.6</v>
      </c>
      <c r="T160" s="523"/>
      <c r="U160" s="350"/>
      <c r="V160" s="308"/>
      <c r="W160" s="1090" t="str">
        <f t="shared" ca="1" si="279"/>
        <v/>
      </c>
      <c r="X160" s="1103">
        <f t="shared" ca="1" si="280"/>
        <v>0</v>
      </c>
      <c r="Y160" s="1120">
        <f t="shared" ca="1" si="281"/>
        <v>0</v>
      </c>
      <c r="Z160" s="524"/>
      <c r="AA160" s="350"/>
      <c r="AB160" s="308"/>
      <c r="AC160" s="1090" t="str">
        <f t="shared" ca="1" si="282"/>
        <v/>
      </c>
      <c r="AD160" s="1103">
        <f t="shared" ca="1" si="283"/>
        <v>0</v>
      </c>
      <c r="AE160" s="1120">
        <f t="shared" ca="1" si="284"/>
        <v>0</v>
      </c>
      <c r="AF160" s="525"/>
      <c r="AG160" s="637">
        <v>50</v>
      </c>
      <c r="AH160" s="525"/>
      <c r="AI160" s="1086">
        <f t="shared" si="285"/>
        <v>50</v>
      </c>
      <c r="AJ160" s="380"/>
      <c r="AK160" s="440"/>
      <c r="AM160" s="460">
        <v>160</v>
      </c>
      <c r="AN160" s="1087">
        <f t="shared" ca="1" si="286"/>
        <v>0</v>
      </c>
      <c r="AO160" s="1083">
        <f t="shared" ca="1" si="287"/>
        <v>0</v>
      </c>
      <c r="AP160" s="356">
        <f t="shared" ca="1" si="287"/>
        <v>0</v>
      </c>
      <c r="AQ160" s="357">
        <f t="shared" ca="1" si="287"/>
        <v>0</v>
      </c>
      <c r="AR160" s="524" t="str">
        <f t="shared" ca="1" si="287"/>
        <v/>
      </c>
      <c r="AS160" s="356">
        <f t="shared" ca="1" si="287"/>
        <v>0</v>
      </c>
      <c r="AT160" s="357">
        <f t="shared" ca="1" si="287"/>
        <v>0</v>
      </c>
      <c r="AU160" s="524" t="str">
        <f t="shared" ca="1" si="287"/>
        <v/>
      </c>
      <c r="AV160" s="1083">
        <f t="shared" ca="1" si="287"/>
        <v>0</v>
      </c>
      <c r="AX160" s="1083" t="str">
        <f t="shared" si="288"/>
        <v>E</v>
      </c>
      <c r="AY160" s="1083" t="str">
        <f t="shared" si="289"/>
        <v>E</v>
      </c>
      <c r="AZ160" s="1083" t="str">
        <f t="shared" si="290"/>
        <v>U</v>
      </c>
      <c r="BA160" s="1083" t="str">
        <f t="shared" si="291"/>
        <v>U</v>
      </c>
      <c r="BB160" s="1083" t="str">
        <f t="shared" si="292"/>
        <v>E</v>
      </c>
    </row>
    <row r="161" spans="1:54" ht="12" customHeight="1" x14ac:dyDescent="0.2">
      <c r="A161" s="440"/>
      <c r="B161" s="1043"/>
      <c r="C161" s="380"/>
      <c r="D161" s="1037"/>
      <c r="E161" s="1084">
        <f ca="1">IF(AX161="E","",AN161)</f>
        <v>0</v>
      </c>
      <c r="F161" s="1085"/>
      <c r="G161" s="1264"/>
      <c r="H161" s="1264"/>
      <c r="I161" s="1265"/>
      <c r="J161" s="638"/>
      <c r="K161" s="550" t="s">
        <v>179</v>
      </c>
      <c r="L161" s="551"/>
      <c r="M161" s="340"/>
      <c r="N161" s="553" t="s">
        <v>69</v>
      </c>
      <c r="O161" s="339"/>
      <c r="P161" s="524" t="s">
        <v>70</v>
      </c>
      <c r="Q161" s="344"/>
      <c r="R161" s="522" t="s">
        <v>363</v>
      </c>
      <c r="S161" s="353">
        <f t="shared" ca="1" si="278"/>
        <v>0</v>
      </c>
      <c r="T161" s="523"/>
      <c r="U161" s="350"/>
      <c r="V161" s="308"/>
      <c r="W161" s="1090" t="str">
        <f t="shared" ca="1" si="279"/>
        <v/>
      </c>
      <c r="X161" s="1103">
        <f t="shared" ca="1" si="280"/>
        <v>0</v>
      </c>
      <c r="Y161" s="1120">
        <f t="shared" ca="1" si="281"/>
        <v>0</v>
      </c>
      <c r="Z161" s="524"/>
      <c r="AA161" s="350"/>
      <c r="AB161" s="308"/>
      <c r="AC161" s="1090" t="str">
        <f t="shared" ca="1" si="282"/>
        <v/>
      </c>
      <c r="AD161" s="1103">
        <f t="shared" ca="1" si="283"/>
        <v>0</v>
      </c>
      <c r="AE161" s="1120">
        <f t="shared" ca="1" si="284"/>
        <v>0</v>
      </c>
      <c r="AF161" s="525"/>
      <c r="AG161" s="637"/>
      <c r="AH161" s="525"/>
      <c r="AI161" s="1086">
        <f t="shared" ca="1" si="285"/>
        <v>0</v>
      </c>
      <c r="AJ161" s="380"/>
      <c r="AK161" s="440"/>
      <c r="AM161" s="460">
        <v>161</v>
      </c>
      <c r="AN161" s="1087">
        <f t="shared" ca="1" si="286"/>
        <v>0</v>
      </c>
      <c r="AO161" s="1083">
        <f t="shared" ca="1" si="287"/>
        <v>0</v>
      </c>
      <c r="AP161" s="356">
        <f t="shared" ca="1" si="287"/>
        <v>0</v>
      </c>
      <c r="AQ161" s="357">
        <f t="shared" ca="1" si="287"/>
        <v>0</v>
      </c>
      <c r="AR161" s="524" t="str">
        <f t="shared" ca="1" si="287"/>
        <v/>
      </c>
      <c r="AS161" s="356">
        <f t="shared" ca="1" si="287"/>
        <v>0</v>
      </c>
      <c r="AT161" s="357">
        <f t="shared" ca="1" si="287"/>
        <v>0</v>
      </c>
      <c r="AU161" s="524" t="str">
        <f t="shared" ca="1" si="287"/>
        <v/>
      </c>
      <c r="AV161" s="1083">
        <f t="shared" ca="1" si="287"/>
        <v>0</v>
      </c>
      <c r="AX161" s="1083" t="str">
        <f t="shared" si="288"/>
        <v>U</v>
      </c>
      <c r="AY161" s="1083" t="str">
        <f t="shared" si="289"/>
        <v>U</v>
      </c>
      <c r="AZ161" s="1083" t="str">
        <f t="shared" si="290"/>
        <v>U</v>
      </c>
      <c r="BA161" s="1083" t="str">
        <f t="shared" si="291"/>
        <v>U</v>
      </c>
      <c r="BB161" s="1083" t="str">
        <f t="shared" si="292"/>
        <v>U</v>
      </c>
    </row>
    <row r="162" spans="1:54" ht="12" customHeight="1" x14ac:dyDescent="0.25">
      <c r="A162" s="440"/>
      <c r="B162" s="1043"/>
      <c r="C162" s="380"/>
      <c r="D162" s="1037" t="s">
        <v>30</v>
      </c>
      <c r="E162" s="1599" t="s">
        <v>29</v>
      </c>
      <c r="F162" s="1599"/>
      <c r="G162" s="1599"/>
      <c r="H162" s="1599"/>
      <c r="I162" s="1632"/>
      <c r="J162" s="1038"/>
      <c r="K162" s="462"/>
      <c r="L162" s="462"/>
      <c r="M162" s="498"/>
      <c r="N162" s="359"/>
      <c r="O162" s="365"/>
      <c r="P162" s="363"/>
      <c r="Q162" s="363"/>
      <c r="R162" s="363"/>
      <c r="S162" s="355"/>
      <c r="T162" s="363"/>
      <c r="U162" s="375"/>
      <c r="V162" s="361"/>
      <c r="W162" s="1091"/>
      <c r="X162" s="1114"/>
      <c r="Y162" s="1121"/>
      <c r="Z162" s="363"/>
      <c r="AA162" s="375"/>
      <c r="AB162" s="361"/>
      <c r="AC162" s="1091"/>
      <c r="AD162" s="1114"/>
      <c r="AE162" s="1121"/>
      <c r="AF162" s="358"/>
      <c r="AG162" s="358"/>
      <c r="AH162" s="358"/>
      <c r="AI162" s="358"/>
      <c r="AJ162" s="380"/>
      <c r="AK162" s="440"/>
      <c r="AM162" s="460">
        <v>162</v>
      </c>
      <c r="AN162" s="1078"/>
    </row>
    <row r="163" spans="1:54" ht="12" customHeight="1" x14ac:dyDescent="0.25">
      <c r="A163" s="440"/>
      <c r="B163" s="1043"/>
      <c r="C163" s="380"/>
      <c r="D163" s="1037"/>
      <c r="E163" s="1037"/>
      <c r="F163" s="1037"/>
      <c r="G163" s="1037"/>
      <c r="H163" s="1037"/>
      <c r="I163" s="1035"/>
      <c r="J163" s="1038"/>
      <c r="K163" s="462"/>
      <c r="L163" s="462"/>
      <c r="M163" s="339"/>
      <c r="N163" s="359"/>
      <c r="O163" s="339"/>
      <c r="P163" s="363"/>
      <c r="Q163" s="344"/>
      <c r="R163" s="522" t="s">
        <v>363</v>
      </c>
      <c r="S163" s="353">
        <f ca="1">IF(AY163="E",(M163*O163)+Q163,AO163)</f>
        <v>0</v>
      </c>
      <c r="T163" s="523"/>
      <c r="U163" s="350"/>
      <c r="V163" s="308"/>
      <c r="W163" s="1090" t="str">
        <f ca="1">IF(AZ163="E",IF(AND(V163&lt;&gt;0,U163&lt;&gt;0),"X",IF(AND(V163&lt;&gt;0,U163=0),"A",IF(AND(V163=0,U163&lt;&gt;0),"P",""))),AR163)</f>
        <v/>
      </c>
      <c r="X163" s="1103">
        <f ca="1">IF(AZ163="E",IFERROR(IF(W163="X",0,IF(U163&gt;0,U163,V163/S163)),0),
IFERROR(IF(OR(AR163="X",AR163=0),0,
IF(AR163="P",AP163,IF(AR163="A",AQ163/S163,0))),0))</f>
        <v>0</v>
      </c>
      <c r="Y163" s="1120">
        <f ca="1">IF(AZ163="E",IFERROR(IF(W163="X",0,IF(V163&gt;0,V163,S163*U163)),0),
IFERROR(IF(OR(AR163="X",AR163="0"),0,IF(AR163="A",AQ163,S163*AP163)),0))</f>
        <v>0</v>
      </c>
      <c r="Z163" s="524"/>
      <c r="AA163" s="350"/>
      <c r="AB163" s="308"/>
      <c r="AC163" s="1090" t="str">
        <f ca="1">IF(BA163="E",IF(AND(AB163&lt;&gt;0,AA163&lt;&gt;0),"X",IF(AND(AB163&lt;&gt;0,AA163=0),"A",IF(AND(AB163=0,AA163&lt;&gt;0),"P",""))),AU163)</f>
        <v/>
      </c>
      <c r="AD163" s="1103">
        <f ca="1">IF(BA163="E",IFERROR(IF(AC163="X",0,IF(AA163&gt;0,AA163,AB163/S163)),0),
IFERROR(IF(OR(AU163="X",AU163=0),0,
IF(AU163="P",AS163,IF(AU163="A",AT163/S163,0))),0))</f>
        <v>0</v>
      </c>
      <c r="AE163" s="1120">
        <f ca="1">IF(BA163="E",IFERROR(IF(AC163="X",0,IF(AB163&gt;0,AB163,S163*AA163)),0),
IFERROR(IF(OR(AU163="X",AU163=0),0,
IF(AU163="A",AT163,S163*AS163)),0))</f>
        <v>0</v>
      </c>
      <c r="AF163" s="525"/>
      <c r="AG163" s="637"/>
      <c r="AH163" s="525"/>
      <c r="AI163" s="1086">
        <f ca="1">IF(BB163="E",AG163,AV163)</f>
        <v>0</v>
      </c>
      <c r="AJ163" s="380"/>
      <c r="AK163" s="440"/>
      <c r="AM163" s="460">
        <v>163</v>
      </c>
      <c r="AN163" s="1078"/>
      <c r="AO163" s="1083">
        <f t="shared" ref="AO163:AV163" ca="1" si="293">IF($M$13=$AN$12,"",INDIRECT("'"&amp;$AM$20&amp;"'!"&amp;AO$21&amp;$AM163))</f>
        <v>0</v>
      </c>
      <c r="AP163" s="356">
        <f t="shared" ca="1" si="293"/>
        <v>0</v>
      </c>
      <c r="AQ163" s="357">
        <f t="shared" ca="1" si="293"/>
        <v>0</v>
      </c>
      <c r="AR163" s="524" t="str">
        <f t="shared" ca="1" si="293"/>
        <v/>
      </c>
      <c r="AS163" s="356">
        <f t="shared" ca="1" si="293"/>
        <v>0</v>
      </c>
      <c r="AT163" s="357">
        <f t="shared" ca="1" si="293"/>
        <v>0</v>
      </c>
      <c r="AU163" s="524" t="str">
        <f t="shared" ca="1" si="293"/>
        <v/>
      </c>
      <c r="AV163" s="1083">
        <f t="shared" ca="1" si="293"/>
        <v>0</v>
      </c>
      <c r="AX163" s="1083" t="str">
        <f t="shared" ref="AX163" si="294">IF($M$13=$AN$12,"E",IF(ISTEXT(F163),"E","U"))</f>
        <v>U</v>
      </c>
      <c r="AY163" s="1083" t="str">
        <f t="shared" ref="AY163" si="295">IF($M$13=$AN$12,"E",IF(OR(ISNUMBER(M163),ISNUMBER(O163),ISNUMBER(Q163)),"E","U"))</f>
        <v>U</v>
      </c>
      <c r="AZ163" s="1083" t="str">
        <f t="shared" ref="AZ163" si="296">IF($M$13=$AN$12,"E",IF(OR(ISNUMBER(U163),ISNUMBER(V163)),"E","U"))</f>
        <v>U</v>
      </c>
      <c r="BA163" s="1083" t="str">
        <f t="shared" ref="BA163" si="297">IF($M$13=$AN$12,"E",IF(OR(ISNUMBER(AA163),ISNUMBER(AB163)),"E","U"))</f>
        <v>U</v>
      </c>
      <c r="BB163" s="1083" t="str">
        <f t="shared" ref="BB163" si="298">IF($M$13=$AN$12,"E",IF(ISNUMBER(AG163),"E","U"))</f>
        <v>U</v>
      </c>
    </row>
    <row r="164" spans="1:54" ht="14.25" customHeight="1" x14ac:dyDescent="0.25">
      <c r="A164" s="440"/>
      <c r="B164" s="1043"/>
      <c r="C164" s="1036" t="s">
        <v>28</v>
      </c>
      <c r="D164" s="494"/>
      <c r="E164" s="1596" t="s">
        <v>27</v>
      </c>
      <c r="F164" s="1596"/>
      <c r="G164" s="1596"/>
      <c r="H164" s="1596"/>
      <c r="I164" s="1597"/>
      <c r="J164" s="1038"/>
      <c r="K164" s="462"/>
      <c r="L164" s="462"/>
      <c r="M164" s="498"/>
      <c r="N164" s="359"/>
      <c r="O164" s="365"/>
      <c r="P164" s="363"/>
      <c r="Q164" s="363"/>
      <c r="R164" s="363"/>
      <c r="S164" s="355">
        <f ca="1">S165</f>
        <v>0</v>
      </c>
      <c r="T164" s="363"/>
      <c r="U164" s="375"/>
      <c r="V164" s="361"/>
      <c r="W164" s="1091"/>
      <c r="X164" s="1114"/>
      <c r="Y164" s="1121"/>
      <c r="Z164" s="363"/>
      <c r="AA164" s="375"/>
      <c r="AB164" s="361"/>
      <c r="AC164" s="1091"/>
      <c r="AD164" s="1114"/>
      <c r="AE164" s="1121"/>
      <c r="AF164" s="358"/>
      <c r="AG164" s="358"/>
      <c r="AH164" s="358"/>
      <c r="AI164" s="358"/>
      <c r="AJ164" s="380"/>
      <c r="AK164" s="440"/>
      <c r="AM164" s="460">
        <v>164</v>
      </c>
      <c r="AN164" s="1078"/>
    </row>
    <row r="165" spans="1:54" ht="12" customHeight="1" x14ac:dyDescent="0.25">
      <c r="A165" s="440"/>
      <c r="B165" s="1043"/>
      <c r="C165" s="380"/>
      <c r="D165" s="1037" t="s">
        <v>26</v>
      </c>
      <c r="E165" s="1599" t="s">
        <v>25</v>
      </c>
      <c r="F165" s="1599"/>
      <c r="G165" s="1599"/>
      <c r="H165" s="1599"/>
      <c r="I165" s="1631"/>
      <c r="J165" s="1038"/>
      <c r="K165" s="502"/>
      <c r="L165" s="502"/>
      <c r="M165" s="498"/>
      <c r="N165" s="359"/>
      <c r="O165" s="365"/>
      <c r="P165" s="363"/>
      <c r="Q165" s="363"/>
      <c r="R165" s="363"/>
      <c r="S165" s="354">
        <f ca="1">SUBTOTAL(109,S167:S170)</f>
        <v>0</v>
      </c>
      <c r="T165" s="363"/>
      <c r="U165" s="375"/>
      <c r="V165" s="361"/>
      <c r="W165" s="1091"/>
      <c r="X165" s="1114"/>
      <c r="Y165" s="1121"/>
      <c r="Z165" s="363"/>
      <c r="AA165" s="375"/>
      <c r="AB165" s="361"/>
      <c r="AC165" s="1091"/>
      <c r="AD165" s="1114"/>
      <c r="AE165" s="1121"/>
      <c r="AF165" s="358"/>
      <c r="AG165" s="358"/>
      <c r="AH165" s="358"/>
      <c r="AI165" s="358"/>
      <c r="AJ165" s="380"/>
      <c r="AK165" s="440"/>
      <c r="AM165" s="460">
        <v>165</v>
      </c>
      <c r="AN165" s="1078"/>
    </row>
    <row r="166" spans="1:54" ht="12" customHeight="1" x14ac:dyDescent="0.25">
      <c r="A166" s="440"/>
      <c r="B166" s="1043"/>
      <c r="C166" s="380"/>
      <c r="D166" s="1037"/>
      <c r="E166" s="1037"/>
      <c r="F166" s="1037"/>
      <c r="G166" s="1037"/>
      <c r="H166" s="1037"/>
      <c r="I166" s="1038"/>
      <c r="J166" s="1038"/>
      <c r="K166" s="502"/>
      <c r="L166" s="502"/>
      <c r="M166" s="498"/>
      <c r="N166" s="359"/>
      <c r="O166" s="365"/>
      <c r="P166" s="363"/>
      <c r="Q166" s="363"/>
      <c r="R166" s="363"/>
      <c r="S166" s="354"/>
      <c r="T166" s="363"/>
      <c r="U166" s="375"/>
      <c r="V166" s="361"/>
      <c r="W166" s="1091"/>
      <c r="X166" s="1114"/>
      <c r="Y166" s="1121"/>
      <c r="Z166" s="363"/>
      <c r="AA166" s="375"/>
      <c r="AB166" s="361"/>
      <c r="AC166" s="1091"/>
      <c r="AD166" s="1114"/>
      <c r="AE166" s="1121"/>
      <c r="AF166" s="358"/>
      <c r="AG166" s="358"/>
      <c r="AH166" s="358"/>
      <c r="AI166" s="358"/>
      <c r="AJ166" s="380"/>
      <c r="AK166" s="440"/>
      <c r="AM166" s="460">
        <v>166</v>
      </c>
      <c r="AN166" s="1078"/>
    </row>
    <row r="167" spans="1:54" ht="12" customHeight="1" x14ac:dyDescent="0.2">
      <c r="A167" s="440"/>
      <c r="B167" s="1043"/>
      <c r="C167" s="380"/>
      <c r="D167" s="1037"/>
      <c r="E167" s="1084">
        <f ca="1">IF(AX167="E","",AN167)</f>
        <v>0</v>
      </c>
      <c r="F167" s="1085"/>
      <c r="G167" s="1264"/>
      <c r="H167" s="1264"/>
      <c r="I167" s="1265"/>
      <c r="J167" s="638"/>
      <c r="K167" s="555"/>
      <c r="L167" s="541"/>
      <c r="M167" s="340"/>
      <c r="N167" s="553" t="s">
        <v>69</v>
      </c>
      <c r="O167" s="339"/>
      <c r="P167" s="525" t="s">
        <v>70</v>
      </c>
      <c r="Q167" s="344"/>
      <c r="R167" s="522" t="s">
        <v>363</v>
      </c>
      <c r="S167" s="353">
        <f t="shared" ref="S167:S170" ca="1" si="299">IF(AY167="E",(M167*O167)+Q167,AO167)</f>
        <v>0</v>
      </c>
      <c r="T167" s="523"/>
      <c r="U167" s="350"/>
      <c r="V167" s="308"/>
      <c r="W167" s="1090" t="str">
        <f t="shared" ref="W167:W170" ca="1" si="300">IF(AZ167="E",IF(AND(V167&lt;&gt;0,U167&lt;&gt;0),"X",IF(AND(V167&lt;&gt;0,U167=0),"A",IF(AND(V167=0,U167&lt;&gt;0),"P",""))),AR167)</f>
        <v/>
      </c>
      <c r="X167" s="1103">
        <f t="shared" ref="X167:X170" ca="1" si="301">IF(AZ167="E",IFERROR(IF(W167="X",0,IF(U167&gt;0,U167,V167/S167)),0),
IFERROR(IF(OR(AR167="X",AR167=0),0,
IF(AR167="P",AP167,IF(AR167="A",AQ167/S167,0))),0))</f>
        <v>0</v>
      </c>
      <c r="Y167" s="1120">
        <f t="shared" ref="Y167:Y170" ca="1" si="302">IF(AZ167="E",IFERROR(IF(W167="X",0,IF(V167&gt;0,V167,S167*U167)),0),
IFERROR(IF(OR(AR167="X",AR167="0"),0,IF(AR167="A",AQ167,S167*AP167)),0))</f>
        <v>0</v>
      </c>
      <c r="Z167" s="524"/>
      <c r="AA167" s="350"/>
      <c r="AB167" s="308"/>
      <c r="AC167" s="1090" t="str">
        <f t="shared" ref="AC167:AC170" ca="1" si="303">IF(BA167="E",IF(AND(AB167&lt;&gt;0,AA167&lt;&gt;0),"X",IF(AND(AB167&lt;&gt;0,AA167=0),"A",IF(AND(AB167=0,AA167&lt;&gt;0),"P",""))),AU167)</f>
        <v/>
      </c>
      <c r="AD167" s="1103">
        <f t="shared" ref="AD167:AD170" ca="1" si="304">IF(BA167="E",IFERROR(IF(AC167="X",0,IF(AA167&gt;0,AA167,AB167/S167)),0),
IFERROR(IF(OR(AU167="X",AU167=0),0,
IF(AU167="P",AS167,IF(AU167="A",AT167/S167,0))),0))</f>
        <v>0</v>
      </c>
      <c r="AE167" s="1120">
        <f t="shared" ref="AE167:AE170" ca="1" si="305">IF(BA167="E",IFERROR(IF(AC167="X",0,IF(AB167&gt;0,AB167,S167*AA167)),0),
IFERROR(IF(OR(AU167="X",AU167=0),0,
IF(AU167="A",AT167,S167*AS167)),0))</f>
        <v>0</v>
      </c>
      <c r="AF167" s="525"/>
      <c r="AG167" s="637"/>
      <c r="AH167" s="525"/>
      <c r="AI167" s="1086">
        <f t="shared" ref="AI167:AI170" ca="1" si="306">IF(BB167="E",AG167,AV167)</f>
        <v>0</v>
      </c>
      <c r="AJ167" s="380"/>
      <c r="AK167" s="440"/>
      <c r="AM167" s="460">
        <v>167</v>
      </c>
      <c r="AN167" s="1087">
        <f t="shared" ref="AN167:AN170" ca="1" si="307">IF($M$13=$AN$12,"",IF(ISTEXT(INDIRECT("'"&amp;$AM$20&amp;"'!"&amp;AN$21&amp;$AM167)),INDIRECT("'"&amp;$AM$20&amp;"'!"&amp;AN$21&amp;$AM167),INDIRECT("'"&amp;$AM$20&amp;"'!"&amp;AN$22&amp;$AM167)))</f>
        <v>0</v>
      </c>
      <c r="AO167" s="1083">
        <f t="shared" ref="AO167:AV170" ca="1" si="308">IF($M$13=$AN$12,"",INDIRECT("'"&amp;$AM$20&amp;"'!"&amp;AO$21&amp;$AM167))</f>
        <v>0</v>
      </c>
      <c r="AP167" s="356">
        <f t="shared" ca="1" si="308"/>
        <v>0</v>
      </c>
      <c r="AQ167" s="357">
        <f t="shared" ca="1" si="308"/>
        <v>0</v>
      </c>
      <c r="AR167" s="524" t="str">
        <f t="shared" ca="1" si="308"/>
        <v/>
      </c>
      <c r="AS167" s="356">
        <f t="shared" ca="1" si="308"/>
        <v>0</v>
      </c>
      <c r="AT167" s="357">
        <f t="shared" ca="1" si="308"/>
        <v>0</v>
      </c>
      <c r="AU167" s="524" t="str">
        <f t="shared" ca="1" si="308"/>
        <v/>
      </c>
      <c r="AV167" s="1083">
        <f t="shared" ca="1" si="308"/>
        <v>0</v>
      </c>
      <c r="AX167" s="1083" t="str">
        <f t="shared" ref="AX167:AX170" si="309">IF($M$13=$AN$12,"E",IF(ISTEXT(F167),"E","U"))</f>
        <v>U</v>
      </c>
      <c r="AY167" s="1083" t="str">
        <f t="shared" ref="AY167:AY170" si="310">IF($M$13=$AN$12,"E",IF(OR(ISNUMBER(M167),ISNUMBER(O167),ISNUMBER(Q167)),"E","U"))</f>
        <v>U</v>
      </c>
      <c r="AZ167" s="1083" t="str">
        <f t="shared" ref="AZ167:AZ170" si="311">IF($M$13=$AN$12,"E",IF(OR(ISNUMBER(U167),ISNUMBER(V167)),"E","U"))</f>
        <v>U</v>
      </c>
      <c r="BA167" s="1083" t="str">
        <f t="shared" ref="BA167:BA170" si="312">IF($M$13=$AN$12,"E",IF(OR(ISNUMBER(AA167),ISNUMBER(AB167)),"E","U"))</f>
        <v>U</v>
      </c>
      <c r="BB167" s="1083" t="str">
        <f t="shared" ref="BB167:BB170" si="313">IF($M$13=$AN$12,"E",IF(ISNUMBER(AG167),"E","U"))</f>
        <v>U</v>
      </c>
    </row>
    <row r="168" spans="1:54" ht="12" customHeight="1" x14ac:dyDescent="0.2">
      <c r="A168" s="440"/>
      <c r="B168" s="1043"/>
      <c r="C168" s="380"/>
      <c r="D168" s="1037"/>
      <c r="E168" s="1084">
        <f ca="1">IF(AX168="E","",AN168)</f>
        <v>0</v>
      </c>
      <c r="F168" s="1085"/>
      <c r="G168" s="1264"/>
      <c r="H168" s="1264"/>
      <c r="I168" s="1265"/>
      <c r="J168" s="638"/>
      <c r="K168" s="555"/>
      <c r="L168" s="541"/>
      <c r="M168" s="340"/>
      <c r="N168" s="553"/>
      <c r="O168" s="339"/>
      <c r="P168" s="525"/>
      <c r="Q168" s="344"/>
      <c r="R168" s="522" t="s">
        <v>363</v>
      </c>
      <c r="S168" s="353">
        <f t="shared" ca="1" si="299"/>
        <v>0</v>
      </c>
      <c r="T168" s="523"/>
      <c r="U168" s="350"/>
      <c r="V168" s="308"/>
      <c r="W168" s="1090" t="str">
        <f t="shared" ca="1" si="300"/>
        <v/>
      </c>
      <c r="X168" s="1103">
        <f t="shared" ca="1" si="301"/>
        <v>0</v>
      </c>
      <c r="Y168" s="1120">
        <f t="shared" ca="1" si="302"/>
        <v>0</v>
      </c>
      <c r="Z168" s="524"/>
      <c r="AA168" s="350"/>
      <c r="AB168" s="308"/>
      <c r="AC168" s="1090" t="str">
        <f t="shared" ca="1" si="303"/>
        <v/>
      </c>
      <c r="AD168" s="1103">
        <f t="shared" ca="1" si="304"/>
        <v>0</v>
      </c>
      <c r="AE168" s="1120">
        <f t="shared" ca="1" si="305"/>
        <v>0</v>
      </c>
      <c r="AF168" s="525"/>
      <c r="AG168" s="637"/>
      <c r="AH168" s="525"/>
      <c r="AI168" s="1086">
        <f t="shared" ca="1" si="306"/>
        <v>0</v>
      </c>
      <c r="AJ168" s="380"/>
      <c r="AK168" s="440"/>
      <c r="AM168" s="460">
        <v>168</v>
      </c>
      <c r="AN168" s="1087">
        <f t="shared" ca="1" si="307"/>
        <v>0</v>
      </c>
      <c r="AO168" s="1083">
        <f t="shared" ca="1" si="308"/>
        <v>0</v>
      </c>
      <c r="AP168" s="356">
        <f t="shared" ca="1" si="308"/>
        <v>0</v>
      </c>
      <c r="AQ168" s="357">
        <f t="shared" ca="1" si="308"/>
        <v>0</v>
      </c>
      <c r="AR168" s="524" t="str">
        <f t="shared" ca="1" si="308"/>
        <v/>
      </c>
      <c r="AS168" s="356">
        <f t="shared" ca="1" si="308"/>
        <v>0</v>
      </c>
      <c r="AT168" s="357">
        <f t="shared" ca="1" si="308"/>
        <v>0</v>
      </c>
      <c r="AU168" s="524" t="str">
        <f t="shared" ca="1" si="308"/>
        <v/>
      </c>
      <c r="AV168" s="1083">
        <f t="shared" ca="1" si="308"/>
        <v>0</v>
      </c>
      <c r="AX168" s="1083" t="str">
        <f t="shared" si="309"/>
        <v>U</v>
      </c>
      <c r="AY168" s="1083" t="str">
        <f t="shared" si="310"/>
        <v>U</v>
      </c>
      <c r="AZ168" s="1083" t="str">
        <f t="shared" si="311"/>
        <v>U</v>
      </c>
      <c r="BA168" s="1083" t="str">
        <f t="shared" si="312"/>
        <v>U</v>
      </c>
      <c r="BB168" s="1083" t="str">
        <f t="shared" si="313"/>
        <v>U</v>
      </c>
    </row>
    <row r="169" spans="1:54" ht="12" customHeight="1" x14ac:dyDescent="0.2">
      <c r="A169" s="440"/>
      <c r="B169" s="1043"/>
      <c r="C169" s="380"/>
      <c r="D169" s="1037"/>
      <c r="E169" s="1084">
        <f ca="1">IF(AX169="E","",AN169)</f>
        <v>0</v>
      </c>
      <c r="F169" s="1085"/>
      <c r="G169" s="1264"/>
      <c r="H169" s="1264"/>
      <c r="I169" s="1265"/>
      <c r="J169" s="638"/>
      <c r="K169" s="555"/>
      <c r="L169" s="541"/>
      <c r="M169" s="340"/>
      <c r="N169" s="553"/>
      <c r="O169" s="339"/>
      <c r="P169" s="525"/>
      <c r="Q169" s="344"/>
      <c r="R169" s="522" t="s">
        <v>363</v>
      </c>
      <c r="S169" s="353">
        <f t="shared" ca="1" si="299"/>
        <v>0</v>
      </c>
      <c r="T169" s="523"/>
      <c r="U169" s="350"/>
      <c r="V169" s="308"/>
      <c r="W169" s="1090" t="str">
        <f t="shared" ca="1" si="300"/>
        <v/>
      </c>
      <c r="X169" s="1103">
        <f t="shared" ca="1" si="301"/>
        <v>0</v>
      </c>
      <c r="Y169" s="1120">
        <f t="shared" ca="1" si="302"/>
        <v>0</v>
      </c>
      <c r="Z169" s="524"/>
      <c r="AA169" s="350"/>
      <c r="AB169" s="308"/>
      <c r="AC169" s="1090" t="str">
        <f t="shared" ca="1" si="303"/>
        <v/>
      </c>
      <c r="AD169" s="1103">
        <f t="shared" ca="1" si="304"/>
        <v>0</v>
      </c>
      <c r="AE169" s="1120">
        <f t="shared" ca="1" si="305"/>
        <v>0</v>
      </c>
      <c r="AF169" s="525"/>
      <c r="AG169" s="637"/>
      <c r="AH169" s="525"/>
      <c r="AI169" s="1086">
        <f t="shared" ca="1" si="306"/>
        <v>0</v>
      </c>
      <c r="AJ169" s="380"/>
      <c r="AK169" s="440"/>
      <c r="AM169" s="460">
        <v>169</v>
      </c>
      <c r="AN169" s="1087">
        <f t="shared" ca="1" si="307"/>
        <v>0</v>
      </c>
      <c r="AO169" s="1083">
        <f t="shared" ca="1" si="308"/>
        <v>0</v>
      </c>
      <c r="AP169" s="356">
        <f t="shared" ca="1" si="308"/>
        <v>0</v>
      </c>
      <c r="AQ169" s="357">
        <f t="shared" ca="1" si="308"/>
        <v>0</v>
      </c>
      <c r="AR169" s="524" t="str">
        <f t="shared" ca="1" si="308"/>
        <v/>
      </c>
      <c r="AS169" s="356">
        <f t="shared" ca="1" si="308"/>
        <v>0</v>
      </c>
      <c r="AT169" s="357">
        <f t="shared" ca="1" si="308"/>
        <v>0</v>
      </c>
      <c r="AU169" s="524" t="str">
        <f t="shared" ca="1" si="308"/>
        <v/>
      </c>
      <c r="AV169" s="1083">
        <f t="shared" ca="1" si="308"/>
        <v>0</v>
      </c>
      <c r="AX169" s="1083" t="str">
        <f t="shared" si="309"/>
        <v>U</v>
      </c>
      <c r="AY169" s="1083" t="str">
        <f t="shared" si="310"/>
        <v>U</v>
      </c>
      <c r="AZ169" s="1083" t="str">
        <f t="shared" si="311"/>
        <v>U</v>
      </c>
      <c r="BA169" s="1083" t="str">
        <f t="shared" si="312"/>
        <v>U</v>
      </c>
      <c r="BB169" s="1083" t="str">
        <f t="shared" si="313"/>
        <v>U</v>
      </c>
    </row>
    <row r="170" spans="1:54" ht="12" customHeight="1" x14ac:dyDescent="0.2">
      <c r="A170" s="440"/>
      <c r="B170" s="1043"/>
      <c r="C170" s="380"/>
      <c r="D170" s="1037"/>
      <c r="E170" s="1084">
        <f ca="1">IF(AX170="E","",AN170)</f>
        <v>0</v>
      </c>
      <c r="F170" s="1085"/>
      <c r="G170" s="1264"/>
      <c r="H170" s="1264"/>
      <c r="I170" s="1265"/>
      <c r="J170" s="638"/>
      <c r="K170" s="555"/>
      <c r="L170" s="541"/>
      <c r="M170" s="340"/>
      <c r="N170" s="553"/>
      <c r="O170" s="339"/>
      <c r="P170" s="525"/>
      <c r="Q170" s="344"/>
      <c r="R170" s="522" t="s">
        <v>363</v>
      </c>
      <c r="S170" s="353">
        <f t="shared" ca="1" si="299"/>
        <v>0</v>
      </c>
      <c r="T170" s="523"/>
      <c r="U170" s="350"/>
      <c r="V170" s="308"/>
      <c r="W170" s="1090" t="str">
        <f t="shared" ca="1" si="300"/>
        <v/>
      </c>
      <c r="X170" s="1103">
        <f t="shared" ca="1" si="301"/>
        <v>0</v>
      </c>
      <c r="Y170" s="1120">
        <f t="shared" ca="1" si="302"/>
        <v>0</v>
      </c>
      <c r="Z170" s="524"/>
      <c r="AA170" s="350"/>
      <c r="AB170" s="308"/>
      <c r="AC170" s="1090" t="str">
        <f t="shared" ca="1" si="303"/>
        <v/>
      </c>
      <c r="AD170" s="1103">
        <f t="shared" ca="1" si="304"/>
        <v>0</v>
      </c>
      <c r="AE170" s="1120">
        <f t="shared" ca="1" si="305"/>
        <v>0</v>
      </c>
      <c r="AF170" s="525"/>
      <c r="AG170" s="637"/>
      <c r="AH170" s="525"/>
      <c r="AI170" s="1086">
        <f t="shared" ca="1" si="306"/>
        <v>0</v>
      </c>
      <c r="AJ170" s="380"/>
      <c r="AK170" s="440"/>
      <c r="AM170" s="460">
        <v>170</v>
      </c>
      <c r="AN170" s="1087">
        <f t="shared" ca="1" si="307"/>
        <v>0</v>
      </c>
      <c r="AO170" s="1083">
        <f t="shared" ca="1" si="308"/>
        <v>0</v>
      </c>
      <c r="AP170" s="356">
        <f t="shared" ca="1" si="308"/>
        <v>0</v>
      </c>
      <c r="AQ170" s="357">
        <f t="shared" ca="1" si="308"/>
        <v>0</v>
      </c>
      <c r="AR170" s="524" t="str">
        <f t="shared" ca="1" si="308"/>
        <v/>
      </c>
      <c r="AS170" s="356">
        <f t="shared" ca="1" si="308"/>
        <v>0</v>
      </c>
      <c r="AT170" s="357">
        <f t="shared" ca="1" si="308"/>
        <v>0</v>
      </c>
      <c r="AU170" s="524" t="str">
        <f t="shared" ca="1" si="308"/>
        <v/>
      </c>
      <c r="AV170" s="1083">
        <f t="shared" ca="1" si="308"/>
        <v>0</v>
      </c>
      <c r="AX170" s="1083" t="str">
        <f t="shared" si="309"/>
        <v>U</v>
      </c>
      <c r="AY170" s="1083" t="str">
        <f t="shared" si="310"/>
        <v>U</v>
      </c>
      <c r="AZ170" s="1083" t="str">
        <f t="shared" si="311"/>
        <v>U</v>
      </c>
      <c r="BA170" s="1083" t="str">
        <f t="shared" si="312"/>
        <v>U</v>
      </c>
      <c r="BB170" s="1083" t="str">
        <f t="shared" si="313"/>
        <v>U</v>
      </c>
    </row>
    <row r="171" spans="1:54" ht="12" customHeight="1" collapsed="1" x14ac:dyDescent="0.2">
      <c r="A171" s="440"/>
      <c r="B171" s="324"/>
      <c r="C171" s="378"/>
      <c r="D171" s="374"/>
      <c r="E171" s="374"/>
      <c r="F171" s="374"/>
      <c r="G171" s="374"/>
      <c r="H171" s="374"/>
      <c r="I171" s="374"/>
      <c r="J171" s="374"/>
      <c r="K171" s="374"/>
      <c r="L171" s="374"/>
      <c r="M171" s="545"/>
      <c r="N171" s="544"/>
      <c r="O171" s="374"/>
      <c r="P171" s="374"/>
      <c r="Q171" s="374"/>
      <c r="R171" s="374"/>
      <c r="S171" s="374"/>
      <c r="T171" s="374"/>
      <c r="U171" s="374"/>
      <c r="V171" s="374"/>
      <c r="W171" s="1097"/>
      <c r="X171" s="1112"/>
      <c r="Y171" s="1112"/>
      <c r="Z171" s="374"/>
      <c r="AA171" s="374"/>
      <c r="AB171" s="374"/>
      <c r="AC171" s="1097"/>
      <c r="AD171" s="1112"/>
      <c r="AE171" s="1112"/>
      <c r="AF171" s="374"/>
      <c r="AG171" s="374"/>
      <c r="AH171" s="374"/>
      <c r="AI171" s="556"/>
      <c r="AJ171" s="374"/>
      <c r="AK171" s="440"/>
      <c r="AM171" s="460">
        <v>171</v>
      </c>
      <c r="AN171" s="1078"/>
    </row>
    <row r="172" spans="1:54" ht="12" customHeight="1" x14ac:dyDescent="0.2">
      <c r="A172" s="440"/>
      <c r="B172" s="547"/>
      <c r="C172" s="548"/>
      <c r="D172" s="548"/>
      <c r="E172" s="548"/>
      <c r="F172" s="548"/>
      <c r="G172" s="548"/>
      <c r="H172" s="548"/>
      <c r="I172" s="548"/>
      <c r="J172" s="1604"/>
      <c r="K172" s="1604"/>
      <c r="L172" s="1039"/>
      <c r="M172" s="558"/>
      <c r="N172" s="1039"/>
      <c r="O172" s="389"/>
      <c r="P172" s="389"/>
      <c r="Q172" s="379"/>
      <c r="R172" s="379"/>
      <c r="S172" s="379"/>
      <c r="T172" s="379"/>
      <c r="U172" s="1598"/>
      <c r="V172" s="1598"/>
      <c r="W172" s="1095"/>
      <c r="X172" s="1113"/>
      <c r="Y172" s="1113"/>
      <c r="Z172" s="379"/>
      <c r="AA172" s="1598"/>
      <c r="AB172" s="1598"/>
      <c r="AC172" s="1095"/>
      <c r="AD172" s="1113"/>
      <c r="AE172" s="1113"/>
      <c r="AF172" s="379"/>
      <c r="AG172" s="379"/>
      <c r="AH172" s="379"/>
      <c r="AI172" s="481"/>
      <c r="AJ172" s="379"/>
      <c r="AK172" s="440"/>
      <c r="AM172" s="460">
        <v>172</v>
      </c>
      <c r="AN172" s="1078"/>
    </row>
    <row r="173" spans="1:54" ht="12" customHeight="1" x14ac:dyDescent="0.2">
      <c r="A173" s="440"/>
      <c r="B173" s="320"/>
      <c r="C173" s="1036"/>
      <c r="D173" s="1036"/>
      <c r="E173" s="1036"/>
      <c r="F173" s="1036"/>
      <c r="G173" s="1036"/>
      <c r="H173" s="1036"/>
      <c r="I173" s="1036"/>
      <c r="J173" s="1598"/>
      <c r="K173" s="1598"/>
      <c r="L173" s="1033"/>
      <c r="M173" s="498"/>
      <c r="N173" s="503"/>
      <c r="O173" s="1036"/>
      <c r="P173" s="1036"/>
      <c r="Q173" s="1036"/>
      <c r="R173" s="1036"/>
      <c r="S173" s="372"/>
      <c r="T173" s="372"/>
      <c r="U173" s="372"/>
      <c r="V173" s="372"/>
      <c r="W173" s="1096"/>
      <c r="X173" s="1110"/>
      <c r="Y173" s="1110"/>
      <c r="Z173" s="372"/>
      <c r="AA173" s="372"/>
      <c r="AB173" s="372"/>
      <c r="AC173" s="1096"/>
      <c r="AD173" s="1110"/>
      <c r="AE173" s="1110"/>
      <c r="AF173" s="372"/>
      <c r="AG173" s="372"/>
      <c r="AH173" s="372"/>
      <c r="AI173" s="482"/>
      <c r="AJ173" s="372"/>
      <c r="AK173" s="440"/>
      <c r="AM173" s="460">
        <v>173</v>
      </c>
      <c r="AN173" s="1078"/>
    </row>
    <row r="174" spans="1:54" ht="14.25" customHeight="1" x14ac:dyDescent="0.2">
      <c r="A174" s="440"/>
      <c r="B174" s="499">
        <v>4</v>
      </c>
      <c r="C174" s="494"/>
      <c r="D174" s="495"/>
      <c r="E174" s="1034" t="s">
        <v>23</v>
      </c>
      <c r="F174" s="1034"/>
      <c r="G174" s="1034"/>
      <c r="H174" s="1034"/>
      <c r="I174" s="380"/>
      <c r="J174" s="380"/>
      <c r="K174" s="463"/>
      <c r="L174" s="463"/>
      <c r="M174" s="498"/>
      <c r="N174" s="359"/>
      <c r="O174" s="363"/>
      <c r="P174" s="363"/>
      <c r="Q174" s="363"/>
      <c r="R174" s="363"/>
      <c r="S174" s="385">
        <f ca="1">S175+S181</f>
        <v>188442.408</v>
      </c>
      <c r="T174" s="363"/>
      <c r="U174" s="358"/>
      <c r="V174" s="358"/>
      <c r="W174" s="1091"/>
      <c r="X174" s="1104"/>
      <c r="Y174" s="1104"/>
      <c r="Z174" s="363"/>
      <c r="AA174" s="358"/>
      <c r="AB174" s="358"/>
      <c r="AC174" s="1091"/>
      <c r="AD174" s="1104"/>
      <c r="AE174" s="1104"/>
      <c r="AF174" s="358"/>
      <c r="AG174" s="358"/>
      <c r="AH174" s="358"/>
      <c r="AI174" s="358"/>
      <c r="AJ174" s="358"/>
      <c r="AK174" s="440"/>
      <c r="AM174" s="460">
        <v>174</v>
      </c>
      <c r="AN174" s="1078"/>
    </row>
    <row r="175" spans="1:54" ht="14.25" customHeight="1" x14ac:dyDescent="0.25">
      <c r="A175" s="440"/>
      <c r="B175" s="1043"/>
      <c r="C175" s="1036" t="s">
        <v>22</v>
      </c>
      <c r="D175" s="494"/>
      <c r="E175" s="1596" t="s">
        <v>21</v>
      </c>
      <c r="F175" s="1596"/>
      <c r="G175" s="1596"/>
      <c r="H175" s="1596"/>
      <c r="I175" s="1597"/>
      <c r="J175" s="1038"/>
      <c r="K175" s="462"/>
      <c r="L175" s="462"/>
      <c r="M175" s="498"/>
      <c r="N175" s="359"/>
      <c r="O175" s="363"/>
      <c r="P175" s="363"/>
      <c r="Q175" s="363"/>
      <c r="R175" s="363"/>
      <c r="S175" s="355">
        <f ca="1">S176</f>
        <v>0</v>
      </c>
      <c r="T175" s="363"/>
      <c r="U175" s="358"/>
      <c r="V175" s="358"/>
      <c r="W175" s="1091"/>
      <c r="X175" s="1104"/>
      <c r="Y175" s="1104"/>
      <c r="Z175" s="363"/>
      <c r="AA175" s="358"/>
      <c r="AB175" s="358"/>
      <c r="AC175" s="1091"/>
      <c r="AD175" s="1104"/>
      <c r="AE175" s="1104"/>
      <c r="AF175" s="358"/>
      <c r="AG175" s="358"/>
      <c r="AH175" s="358"/>
      <c r="AI175" s="358"/>
      <c r="AJ175" s="358"/>
      <c r="AK175" s="440"/>
      <c r="AM175" s="460">
        <v>175</v>
      </c>
      <c r="AN175" s="1078"/>
    </row>
    <row r="176" spans="1:54" ht="12" customHeight="1" x14ac:dyDescent="0.25">
      <c r="A176" s="440"/>
      <c r="B176" s="1043"/>
      <c r="C176" s="380"/>
      <c r="D176" s="1037" t="s">
        <v>20</v>
      </c>
      <c r="E176" s="1599" t="s">
        <v>19</v>
      </c>
      <c r="F176" s="1599"/>
      <c r="G176" s="1599"/>
      <c r="H176" s="1599"/>
      <c r="I176" s="1632"/>
      <c r="J176" s="1038"/>
      <c r="K176" s="529"/>
      <c r="L176" s="503"/>
      <c r="M176" s="498"/>
      <c r="N176" s="359"/>
      <c r="O176" s="363"/>
      <c r="P176" s="363"/>
      <c r="Q176" s="363"/>
      <c r="R176" s="363"/>
      <c r="S176" s="390">
        <f ca="1">SUBTOTAL(109,S178:S180)</f>
        <v>0</v>
      </c>
      <c r="T176" s="363"/>
      <c r="U176" s="358"/>
      <c r="V176" s="358"/>
      <c r="W176" s="1091"/>
      <c r="X176" s="1104"/>
      <c r="Y176" s="1104"/>
      <c r="Z176" s="363"/>
      <c r="AA176" s="358"/>
      <c r="AB176" s="358"/>
      <c r="AC176" s="1091"/>
      <c r="AD176" s="1104"/>
      <c r="AE176" s="1104"/>
      <c r="AF176" s="358"/>
      <c r="AG176" s="358"/>
      <c r="AH176" s="358"/>
      <c r="AI176" s="358"/>
      <c r="AJ176" s="380"/>
      <c r="AK176" s="440"/>
      <c r="AM176" s="460">
        <v>176</v>
      </c>
      <c r="AN176" s="1078"/>
    </row>
    <row r="177" spans="1:54" ht="12" customHeight="1" x14ac:dyDescent="0.25">
      <c r="A177" s="440"/>
      <c r="B177" s="1043"/>
      <c r="C177" s="380"/>
      <c r="D177" s="1037"/>
      <c r="E177" s="1037"/>
      <c r="F177" s="1037"/>
      <c r="G177" s="1037"/>
      <c r="H177" s="1037"/>
      <c r="I177" s="1035"/>
      <c r="J177" s="1603" t="s">
        <v>170</v>
      </c>
      <c r="K177" s="1603"/>
      <c r="L177" s="503"/>
      <c r="M177" s="498"/>
      <c r="N177" s="359"/>
      <c r="O177" s="363"/>
      <c r="P177" s="363"/>
      <c r="Q177" s="363"/>
      <c r="R177" s="363"/>
      <c r="S177" s="390"/>
      <c r="T177" s="363"/>
      <c r="U177" s="358"/>
      <c r="V177" s="358"/>
      <c r="W177" s="1091"/>
      <c r="X177" s="1104"/>
      <c r="Y177" s="1104"/>
      <c r="Z177" s="363"/>
      <c r="AA177" s="358"/>
      <c r="AB177" s="358"/>
      <c r="AC177" s="1091"/>
      <c r="AD177" s="1104"/>
      <c r="AE177" s="1104"/>
      <c r="AF177" s="358"/>
      <c r="AG177" s="358"/>
      <c r="AH177" s="358"/>
      <c r="AI177" s="358"/>
      <c r="AJ177" s="380"/>
      <c r="AK177" s="440"/>
      <c r="AM177" s="460">
        <v>177</v>
      </c>
      <c r="AN177" s="1078"/>
    </row>
    <row r="178" spans="1:54" ht="12" customHeight="1" x14ac:dyDescent="0.2">
      <c r="A178" s="440"/>
      <c r="B178" s="1043"/>
      <c r="C178" s="380"/>
      <c r="D178" s="1037"/>
      <c r="E178" s="1084">
        <f ca="1">IF(AX178="E","",AN178)</f>
        <v>0</v>
      </c>
      <c r="F178" s="1085"/>
      <c r="G178" s="1264"/>
      <c r="H178" s="1264"/>
      <c r="I178" s="1265"/>
      <c r="J178" s="638"/>
      <c r="K178" s="520" t="s">
        <v>177</v>
      </c>
      <c r="L178" s="521"/>
      <c r="M178" s="340"/>
      <c r="N178" s="528" t="s">
        <v>67</v>
      </c>
      <c r="O178" s="339"/>
      <c r="P178" s="543" t="s">
        <v>68</v>
      </c>
      <c r="Q178" s="344"/>
      <c r="R178" s="522" t="s">
        <v>363</v>
      </c>
      <c r="S178" s="353">
        <f t="shared" ref="S178:S180" ca="1" si="314">IF(AY178="E",(M178*O178)+Q178,AO178)</f>
        <v>0</v>
      </c>
      <c r="T178" s="523"/>
      <c r="U178" s="350"/>
      <c r="V178" s="308"/>
      <c r="W178" s="1090" t="str">
        <f t="shared" ref="W178:W180" ca="1" si="315">IF(AZ178="E",IF(AND(V178&lt;&gt;0,U178&lt;&gt;0),"X",IF(AND(V178&lt;&gt;0,U178=0),"A",IF(AND(V178=0,U178&lt;&gt;0),"P",""))),AR178)</f>
        <v/>
      </c>
      <c r="X178" s="1103">
        <f t="shared" ref="X178:X180" ca="1" si="316">IF(AZ178="E",IFERROR(IF(W178="X",0,IF(U178&gt;0,U178,V178/S178)),0),
IFERROR(IF(OR(AR178="X",AR178=0),0,
IF(AR178="P",AP178,IF(AR178="A",AQ178/S178,0))),0))</f>
        <v>0</v>
      </c>
      <c r="Y178" s="1120">
        <f t="shared" ref="Y178:Y180" ca="1" si="317">IF(AZ178="E",IFERROR(IF(W178="X",0,IF(V178&gt;0,V178,S178*U178)),0),
IFERROR(IF(OR(AR178="X",AR178="0"),0,IF(AR178="A",AQ178,S178*AP178)),0))</f>
        <v>0</v>
      </c>
      <c r="Z178" s="524"/>
      <c r="AA178" s="350"/>
      <c r="AB178" s="308"/>
      <c r="AC178" s="1090" t="str">
        <f t="shared" ref="AC178:AC180" ca="1" si="318">IF(BA178="E",IF(AND(AB178&lt;&gt;0,AA178&lt;&gt;0),"X",IF(AND(AB178&lt;&gt;0,AA178=0),"A",IF(AND(AB178=0,AA178&lt;&gt;0),"P",""))),AU178)</f>
        <v/>
      </c>
      <c r="AD178" s="1103">
        <f t="shared" ref="AD178:AD180" ca="1" si="319">IF(BA178="E",IFERROR(IF(AC178="X",0,IF(AA178&gt;0,AA178,AB178/S178)),0),
IFERROR(IF(OR(AU178="X",AU178=0),0,
IF(AU178="P",AS178,IF(AU178="A",AT178/S178,0))),0))</f>
        <v>0</v>
      </c>
      <c r="AE178" s="1120">
        <f t="shared" ref="AE178:AE180" ca="1" si="320">IF(BA178="E",IFERROR(IF(AC178="X",0,IF(AB178&gt;0,AB178,S178*AA178)),0),
IFERROR(IF(OR(AU178="X",AU178=0),0,
IF(AU178="A",AT178,S178*AS178)),0))</f>
        <v>0</v>
      </c>
      <c r="AF178" s="525"/>
      <c r="AG178" s="637"/>
      <c r="AH178" s="525"/>
      <c r="AI178" s="1086">
        <f t="shared" ref="AI178:AI180" ca="1" si="321">IF(BB178="E",AG178,AV178)</f>
        <v>0</v>
      </c>
      <c r="AJ178" s="380"/>
      <c r="AK178" s="440"/>
      <c r="AM178" s="460">
        <v>178</v>
      </c>
      <c r="AN178" s="1087">
        <f t="shared" ref="AN178:AN180" ca="1" si="322">IF($M$13=$AN$12,"",IF(ISTEXT(INDIRECT("'"&amp;$AM$20&amp;"'!"&amp;AN$21&amp;$AM178)),INDIRECT("'"&amp;$AM$20&amp;"'!"&amp;AN$21&amp;$AM178),INDIRECT("'"&amp;$AM$20&amp;"'!"&amp;AN$22&amp;$AM178)))</f>
        <v>0</v>
      </c>
      <c r="AO178" s="1083">
        <f t="shared" ref="AO178:AV180" ca="1" si="323">IF($M$13=$AN$12,"",INDIRECT("'"&amp;$AM$20&amp;"'!"&amp;AO$21&amp;$AM178))</f>
        <v>0</v>
      </c>
      <c r="AP178" s="356">
        <f t="shared" ca="1" si="323"/>
        <v>0</v>
      </c>
      <c r="AQ178" s="357">
        <f t="shared" ca="1" si="323"/>
        <v>0</v>
      </c>
      <c r="AR178" s="524" t="str">
        <f t="shared" ca="1" si="323"/>
        <v/>
      </c>
      <c r="AS178" s="356">
        <f t="shared" ca="1" si="323"/>
        <v>0</v>
      </c>
      <c r="AT178" s="357">
        <f t="shared" ca="1" si="323"/>
        <v>0</v>
      </c>
      <c r="AU178" s="524" t="str">
        <f t="shared" ca="1" si="323"/>
        <v/>
      </c>
      <c r="AV178" s="1083">
        <f t="shared" ca="1" si="323"/>
        <v>0</v>
      </c>
      <c r="AX178" s="1083" t="str">
        <f t="shared" ref="AX178:AX180" si="324">IF($M$13=$AN$12,"E",IF(ISTEXT(F178),"E","U"))</f>
        <v>U</v>
      </c>
      <c r="AY178" s="1083" t="str">
        <f t="shared" ref="AY178:AY180" si="325">IF($M$13=$AN$12,"E",IF(OR(ISNUMBER(M178),ISNUMBER(O178),ISNUMBER(Q178)),"E","U"))</f>
        <v>U</v>
      </c>
      <c r="AZ178" s="1083" t="str">
        <f t="shared" ref="AZ178:AZ180" si="326">IF($M$13=$AN$12,"E",IF(OR(ISNUMBER(U178),ISNUMBER(V178)),"E","U"))</f>
        <v>U</v>
      </c>
      <c r="BA178" s="1083" t="str">
        <f t="shared" ref="BA178:BA180" si="327">IF($M$13=$AN$12,"E",IF(OR(ISNUMBER(AA178),ISNUMBER(AB178)),"E","U"))</f>
        <v>U</v>
      </c>
      <c r="BB178" s="1083" t="str">
        <f t="shared" ref="BB178:BB180" si="328">IF($M$13=$AN$12,"E",IF(ISNUMBER(AG178),"E","U"))</f>
        <v>U</v>
      </c>
    </row>
    <row r="179" spans="1:54" ht="12" customHeight="1" x14ac:dyDescent="0.2">
      <c r="A179" s="440"/>
      <c r="B179" s="1043"/>
      <c r="C179" s="380"/>
      <c r="D179" s="1037"/>
      <c r="E179" s="1084">
        <f ca="1">IF(AX179="E","",AN179)</f>
        <v>0</v>
      </c>
      <c r="F179" s="1085"/>
      <c r="G179" s="1264"/>
      <c r="H179" s="1264"/>
      <c r="I179" s="1265"/>
      <c r="J179" s="638"/>
      <c r="K179" s="520" t="s">
        <v>177</v>
      </c>
      <c r="L179" s="521"/>
      <c r="M179" s="340"/>
      <c r="N179" s="528" t="s">
        <v>67</v>
      </c>
      <c r="O179" s="339"/>
      <c r="P179" s="543" t="s">
        <v>68</v>
      </c>
      <c r="Q179" s="344"/>
      <c r="R179" s="522" t="s">
        <v>363</v>
      </c>
      <c r="S179" s="353">
        <f t="shared" ca="1" si="314"/>
        <v>0</v>
      </c>
      <c r="T179" s="523"/>
      <c r="U179" s="350"/>
      <c r="V179" s="308"/>
      <c r="W179" s="1090" t="str">
        <f t="shared" ca="1" si="315"/>
        <v/>
      </c>
      <c r="X179" s="1103">
        <f t="shared" ca="1" si="316"/>
        <v>0</v>
      </c>
      <c r="Y179" s="1120">
        <f t="shared" ca="1" si="317"/>
        <v>0</v>
      </c>
      <c r="Z179" s="524"/>
      <c r="AA179" s="350"/>
      <c r="AB179" s="308"/>
      <c r="AC179" s="1090" t="str">
        <f t="shared" ca="1" si="318"/>
        <v/>
      </c>
      <c r="AD179" s="1103">
        <f t="shared" ca="1" si="319"/>
        <v>0</v>
      </c>
      <c r="AE179" s="1120">
        <f t="shared" ca="1" si="320"/>
        <v>0</v>
      </c>
      <c r="AF179" s="525"/>
      <c r="AG179" s="637"/>
      <c r="AH179" s="525"/>
      <c r="AI179" s="1086">
        <f t="shared" ca="1" si="321"/>
        <v>0</v>
      </c>
      <c r="AJ179" s="380"/>
      <c r="AK179" s="440"/>
      <c r="AM179" s="460">
        <v>179</v>
      </c>
      <c r="AN179" s="1087">
        <f t="shared" ca="1" si="322"/>
        <v>0</v>
      </c>
      <c r="AO179" s="1083">
        <f t="shared" ca="1" si="323"/>
        <v>0</v>
      </c>
      <c r="AP179" s="356">
        <f t="shared" ca="1" si="323"/>
        <v>0</v>
      </c>
      <c r="AQ179" s="357">
        <f t="shared" ca="1" si="323"/>
        <v>0</v>
      </c>
      <c r="AR179" s="524" t="str">
        <f t="shared" ca="1" si="323"/>
        <v/>
      </c>
      <c r="AS179" s="356">
        <f t="shared" ca="1" si="323"/>
        <v>0</v>
      </c>
      <c r="AT179" s="357">
        <f t="shared" ca="1" si="323"/>
        <v>0</v>
      </c>
      <c r="AU179" s="524" t="str">
        <f t="shared" ca="1" si="323"/>
        <v/>
      </c>
      <c r="AV179" s="1083">
        <f t="shared" ca="1" si="323"/>
        <v>0</v>
      </c>
      <c r="AX179" s="1083" t="str">
        <f t="shared" si="324"/>
        <v>U</v>
      </c>
      <c r="AY179" s="1083" t="str">
        <f t="shared" si="325"/>
        <v>U</v>
      </c>
      <c r="AZ179" s="1083" t="str">
        <f t="shared" si="326"/>
        <v>U</v>
      </c>
      <c r="BA179" s="1083" t="str">
        <f t="shared" si="327"/>
        <v>U</v>
      </c>
      <c r="BB179" s="1083" t="str">
        <f t="shared" si="328"/>
        <v>U</v>
      </c>
    </row>
    <row r="180" spans="1:54" ht="12" customHeight="1" x14ac:dyDescent="0.2">
      <c r="A180" s="440"/>
      <c r="B180" s="1043"/>
      <c r="C180" s="380"/>
      <c r="D180" s="1037"/>
      <c r="E180" s="1084">
        <f ca="1">IF(AX180="E","",AN180)</f>
        <v>0</v>
      </c>
      <c r="F180" s="1085"/>
      <c r="G180" s="1264"/>
      <c r="H180" s="1264"/>
      <c r="I180" s="1265"/>
      <c r="J180" s="638"/>
      <c r="K180" s="520" t="s">
        <v>177</v>
      </c>
      <c r="L180" s="521"/>
      <c r="M180" s="340"/>
      <c r="N180" s="528" t="s">
        <v>67</v>
      </c>
      <c r="O180" s="339"/>
      <c r="P180" s="543" t="s">
        <v>68</v>
      </c>
      <c r="Q180" s="344"/>
      <c r="R180" s="522" t="s">
        <v>363</v>
      </c>
      <c r="S180" s="353">
        <f t="shared" ca="1" si="314"/>
        <v>0</v>
      </c>
      <c r="T180" s="523"/>
      <c r="U180" s="350"/>
      <c r="V180" s="308"/>
      <c r="W180" s="1090" t="str">
        <f t="shared" ca="1" si="315"/>
        <v/>
      </c>
      <c r="X180" s="1103">
        <f t="shared" ca="1" si="316"/>
        <v>0</v>
      </c>
      <c r="Y180" s="1120">
        <f t="shared" ca="1" si="317"/>
        <v>0</v>
      </c>
      <c r="Z180" s="524"/>
      <c r="AA180" s="350"/>
      <c r="AB180" s="308"/>
      <c r="AC180" s="1090" t="str">
        <f t="shared" ca="1" si="318"/>
        <v/>
      </c>
      <c r="AD180" s="1103">
        <f t="shared" ca="1" si="319"/>
        <v>0</v>
      </c>
      <c r="AE180" s="1120">
        <f t="shared" ca="1" si="320"/>
        <v>0</v>
      </c>
      <c r="AF180" s="525"/>
      <c r="AG180" s="637"/>
      <c r="AH180" s="525"/>
      <c r="AI180" s="1086">
        <f t="shared" ca="1" si="321"/>
        <v>0</v>
      </c>
      <c r="AJ180" s="380"/>
      <c r="AK180" s="440"/>
      <c r="AM180" s="460">
        <v>180</v>
      </c>
      <c r="AN180" s="1087">
        <f t="shared" ca="1" si="322"/>
        <v>0</v>
      </c>
      <c r="AO180" s="1083">
        <f t="shared" ca="1" si="323"/>
        <v>0</v>
      </c>
      <c r="AP180" s="356">
        <f t="shared" ca="1" si="323"/>
        <v>0</v>
      </c>
      <c r="AQ180" s="357">
        <f t="shared" ca="1" si="323"/>
        <v>0</v>
      </c>
      <c r="AR180" s="524" t="str">
        <f t="shared" ca="1" si="323"/>
        <v/>
      </c>
      <c r="AS180" s="356">
        <f t="shared" ca="1" si="323"/>
        <v>0</v>
      </c>
      <c r="AT180" s="357">
        <f t="shared" ca="1" si="323"/>
        <v>0</v>
      </c>
      <c r="AU180" s="524" t="str">
        <f t="shared" ca="1" si="323"/>
        <v/>
      </c>
      <c r="AV180" s="1083">
        <f t="shared" ca="1" si="323"/>
        <v>0</v>
      </c>
      <c r="AX180" s="1083" t="str">
        <f t="shared" si="324"/>
        <v>U</v>
      </c>
      <c r="AY180" s="1083" t="str">
        <f t="shared" si="325"/>
        <v>U</v>
      </c>
      <c r="AZ180" s="1083" t="str">
        <f t="shared" si="326"/>
        <v>U</v>
      </c>
      <c r="BA180" s="1083" t="str">
        <f t="shared" si="327"/>
        <v>U</v>
      </c>
      <c r="BB180" s="1083" t="str">
        <f t="shared" si="328"/>
        <v>U</v>
      </c>
    </row>
    <row r="181" spans="1:54" ht="14.25" customHeight="1" x14ac:dyDescent="0.25">
      <c r="A181" s="440"/>
      <c r="B181" s="1043"/>
      <c r="C181" s="1036" t="s">
        <v>18</v>
      </c>
      <c r="D181" s="494"/>
      <c r="E181" s="1596" t="s">
        <v>17</v>
      </c>
      <c r="F181" s="1596"/>
      <c r="G181" s="1596"/>
      <c r="H181" s="1596"/>
      <c r="I181" s="1597"/>
      <c r="J181" s="1038"/>
      <c r="K181" s="462"/>
      <c r="L181" s="462"/>
      <c r="M181" s="498"/>
      <c r="N181" s="359"/>
      <c r="O181" s="363"/>
      <c r="P181" s="363"/>
      <c r="Q181" s="363"/>
      <c r="R181" s="363"/>
      <c r="S181" s="355">
        <f ca="1">S182+S186+S195</f>
        <v>188442.408</v>
      </c>
      <c r="T181" s="363"/>
      <c r="U181" s="375"/>
      <c r="V181" s="358"/>
      <c r="W181" s="1091"/>
      <c r="X181" s="1114"/>
      <c r="Y181" s="1104"/>
      <c r="Z181" s="363"/>
      <c r="AA181" s="375"/>
      <c r="AB181" s="358"/>
      <c r="AC181" s="1091"/>
      <c r="AD181" s="1114"/>
      <c r="AE181" s="1104"/>
      <c r="AF181" s="358"/>
      <c r="AG181" s="358"/>
      <c r="AH181" s="358"/>
      <c r="AI181" s="358"/>
      <c r="AJ181" s="380"/>
      <c r="AK181" s="440"/>
      <c r="AM181" s="460">
        <v>181</v>
      </c>
      <c r="AN181" s="1078"/>
    </row>
    <row r="182" spans="1:54" ht="12" customHeight="1" x14ac:dyDescent="0.25">
      <c r="A182" s="440"/>
      <c r="B182" s="1043"/>
      <c r="C182" s="380"/>
      <c r="D182" s="1037" t="s">
        <v>342</v>
      </c>
      <c r="E182" s="1599" t="s">
        <v>182</v>
      </c>
      <c r="F182" s="1599"/>
      <c r="G182" s="1599"/>
      <c r="H182" s="1599"/>
      <c r="I182" s="1632"/>
      <c r="J182" s="1038"/>
      <c r="K182" s="529"/>
      <c r="L182" s="503"/>
      <c r="M182" s="498"/>
      <c r="N182" s="359"/>
      <c r="O182" s="363"/>
      <c r="P182" s="363"/>
      <c r="Q182" s="363"/>
      <c r="R182" s="363"/>
      <c r="S182" s="390">
        <f ca="1">SUBTOTAL(109,S184:S185)</f>
        <v>0</v>
      </c>
      <c r="T182" s="363"/>
      <c r="U182" s="375"/>
      <c r="V182" s="358"/>
      <c r="W182" s="1091"/>
      <c r="X182" s="1114"/>
      <c r="Y182" s="1104"/>
      <c r="Z182" s="363"/>
      <c r="AA182" s="375"/>
      <c r="AB182" s="358"/>
      <c r="AC182" s="1091"/>
      <c r="AD182" s="1114"/>
      <c r="AE182" s="1104"/>
      <c r="AF182" s="358"/>
      <c r="AG182" s="358"/>
      <c r="AH182" s="358"/>
      <c r="AI182" s="358"/>
      <c r="AJ182" s="380"/>
      <c r="AK182" s="440"/>
      <c r="AM182" s="460">
        <v>182</v>
      </c>
      <c r="AN182" s="1078"/>
    </row>
    <row r="183" spans="1:54" ht="12" customHeight="1" x14ac:dyDescent="0.25">
      <c r="A183" s="440"/>
      <c r="B183" s="1043"/>
      <c r="C183" s="380"/>
      <c r="D183" s="1037"/>
      <c r="E183" s="1037"/>
      <c r="F183" s="1037"/>
      <c r="G183" s="1037"/>
      <c r="H183" s="1037"/>
      <c r="I183" s="1035"/>
      <c r="J183" s="1603" t="s">
        <v>170</v>
      </c>
      <c r="K183" s="1603"/>
      <c r="L183" s="503"/>
      <c r="M183" s="498"/>
      <c r="N183" s="359"/>
      <c r="O183" s="363"/>
      <c r="P183" s="363"/>
      <c r="Q183" s="363"/>
      <c r="R183" s="363"/>
      <c r="S183" s="390"/>
      <c r="T183" s="363"/>
      <c r="U183" s="375"/>
      <c r="V183" s="358"/>
      <c r="W183" s="1091"/>
      <c r="X183" s="1114"/>
      <c r="Y183" s="1104"/>
      <c r="Z183" s="363"/>
      <c r="AA183" s="375"/>
      <c r="AB183" s="358"/>
      <c r="AC183" s="1091"/>
      <c r="AD183" s="1114"/>
      <c r="AE183" s="1104"/>
      <c r="AF183" s="358"/>
      <c r="AG183" s="358"/>
      <c r="AH183" s="358"/>
      <c r="AI183" s="358"/>
      <c r="AJ183" s="380"/>
      <c r="AK183" s="440"/>
      <c r="AM183" s="460">
        <v>183</v>
      </c>
      <c r="AN183" s="1078"/>
    </row>
    <row r="184" spans="1:54" ht="12" customHeight="1" x14ac:dyDescent="0.2">
      <c r="A184" s="440"/>
      <c r="B184" s="1043"/>
      <c r="C184" s="380"/>
      <c r="D184" s="1037"/>
      <c r="E184" s="1084">
        <f ca="1">IF(AX184="E","",AN184)</f>
        <v>0</v>
      </c>
      <c r="F184" s="1085"/>
      <c r="G184" s="1264"/>
      <c r="H184" s="1264"/>
      <c r="I184" s="1265"/>
      <c r="J184" s="638"/>
      <c r="K184" s="520" t="s">
        <v>177</v>
      </c>
      <c r="L184" s="521"/>
      <c r="M184" s="340"/>
      <c r="N184" s="528" t="s">
        <v>67</v>
      </c>
      <c r="O184" s="339"/>
      <c r="P184" s="543" t="s">
        <v>68</v>
      </c>
      <c r="Q184" s="344"/>
      <c r="R184" s="522" t="s">
        <v>363</v>
      </c>
      <c r="S184" s="353">
        <f t="shared" ref="S184:S185" ca="1" si="329">IF(AY184="E",(M184*O184)+Q184,AO184)</f>
        <v>0</v>
      </c>
      <c r="T184" s="523"/>
      <c r="U184" s="350"/>
      <c r="V184" s="308"/>
      <c r="W184" s="1090" t="str">
        <f t="shared" ref="W184:W185" ca="1" si="330">IF(AZ184="E",IF(AND(V184&lt;&gt;0,U184&lt;&gt;0),"X",IF(AND(V184&lt;&gt;0,U184=0),"A",IF(AND(V184=0,U184&lt;&gt;0),"P",""))),AR184)</f>
        <v/>
      </c>
      <c r="X184" s="1103">
        <f t="shared" ref="X184:X185" ca="1" si="331">IF(AZ184="E",IFERROR(IF(W184="X",0,IF(U184&gt;0,U184,V184/S184)),0),
IFERROR(IF(OR(AR184="X",AR184=0),0,
IF(AR184="P",AP184,IF(AR184="A",AQ184/S184,0))),0))</f>
        <v>0</v>
      </c>
      <c r="Y184" s="1120">
        <f t="shared" ref="Y184:Y185" ca="1" si="332">IF(AZ184="E",IFERROR(IF(W184="X",0,IF(V184&gt;0,V184,S184*U184)),0),
IFERROR(IF(OR(AR184="X",AR184="0"),0,IF(AR184="A",AQ184,S184*AP184)),0))</f>
        <v>0</v>
      </c>
      <c r="Z184" s="524"/>
      <c r="AA184" s="350"/>
      <c r="AB184" s="308"/>
      <c r="AC184" s="1090" t="str">
        <f t="shared" ref="AC184:AC185" ca="1" si="333">IF(BA184="E",IF(AND(AB184&lt;&gt;0,AA184&lt;&gt;0),"X",IF(AND(AB184&lt;&gt;0,AA184=0),"A",IF(AND(AB184=0,AA184&lt;&gt;0),"P",""))),AU184)</f>
        <v/>
      </c>
      <c r="AD184" s="1103">
        <f t="shared" ref="AD184:AD185" ca="1" si="334">IF(BA184="E",IFERROR(IF(AC184="X",0,IF(AA184&gt;0,AA184,AB184/S184)),0),
IFERROR(IF(OR(AU184="X",AU184=0),0,
IF(AU184="P",AS184,IF(AU184="A",AT184/S184,0))),0))</f>
        <v>0</v>
      </c>
      <c r="AE184" s="1120">
        <f t="shared" ref="AE184:AE185" ca="1" si="335">IF(BA184="E",IFERROR(IF(AC184="X",0,IF(AB184&gt;0,AB184,S184*AA184)),0),
IFERROR(IF(OR(AU184="X",AU184=0),0,
IF(AU184="A",AT184,S184*AS184)),0))</f>
        <v>0</v>
      </c>
      <c r="AF184" s="525"/>
      <c r="AG184" s="637"/>
      <c r="AH184" s="525"/>
      <c r="AI184" s="1086">
        <f t="shared" ref="AI184:AI185" ca="1" si="336">IF(BB184="E",AG184,AV184)</f>
        <v>0</v>
      </c>
      <c r="AJ184" s="380"/>
      <c r="AK184" s="440"/>
      <c r="AM184" s="460">
        <v>184</v>
      </c>
      <c r="AN184" s="1087">
        <f t="shared" ref="AN184:AN185" ca="1" si="337">IF($M$13=$AN$12,"",IF(ISTEXT(INDIRECT("'"&amp;$AM$20&amp;"'!"&amp;AN$21&amp;$AM184)),INDIRECT("'"&amp;$AM$20&amp;"'!"&amp;AN$21&amp;$AM184),INDIRECT("'"&amp;$AM$20&amp;"'!"&amp;AN$22&amp;$AM184)))</f>
        <v>0</v>
      </c>
      <c r="AO184" s="1083">
        <f t="shared" ref="AO184:AV185" ca="1" si="338">IF($M$13=$AN$12,"",INDIRECT("'"&amp;$AM$20&amp;"'!"&amp;AO$21&amp;$AM184))</f>
        <v>0</v>
      </c>
      <c r="AP184" s="356">
        <f t="shared" ca="1" si="338"/>
        <v>0</v>
      </c>
      <c r="AQ184" s="357">
        <f t="shared" ca="1" si="338"/>
        <v>0</v>
      </c>
      <c r="AR184" s="524" t="str">
        <f t="shared" ca="1" si="338"/>
        <v/>
      </c>
      <c r="AS184" s="356">
        <f t="shared" ca="1" si="338"/>
        <v>0</v>
      </c>
      <c r="AT184" s="357">
        <f t="shared" ca="1" si="338"/>
        <v>0</v>
      </c>
      <c r="AU184" s="524" t="str">
        <f t="shared" ca="1" si="338"/>
        <v/>
      </c>
      <c r="AV184" s="1083">
        <f t="shared" ca="1" si="338"/>
        <v>0</v>
      </c>
      <c r="AX184" s="1083" t="str">
        <f t="shared" ref="AX184:AX185" si="339">IF($M$13=$AN$12,"E",IF(ISTEXT(F184),"E","U"))</f>
        <v>U</v>
      </c>
      <c r="AY184" s="1083" t="str">
        <f t="shared" ref="AY184:AY185" si="340">IF($M$13=$AN$12,"E",IF(OR(ISNUMBER(M184),ISNUMBER(O184),ISNUMBER(Q184)),"E","U"))</f>
        <v>U</v>
      </c>
      <c r="AZ184" s="1083" t="str">
        <f t="shared" ref="AZ184:AZ185" si="341">IF($M$13=$AN$12,"E",IF(OR(ISNUMBER(U184),ISNUMBER(V184)),"E","U"))</f>
        <v>U</v>
      </c>
      <c r="BA184" s="1083" t="str">
        <f t="shared" ref="BA184:BA185" si="342">IF($M$13=$AN$12,"E",IF(OR(ISNUMBER(AA184),ISNUMBER(AB184)),"E","U"))</f>
        <v>U</v>
      </c>
      <c r="BB184" s="1083" t="str">
        <f t="shared" ref="BB184:BB185" si="343">IF($M$13=$AN$12,"E",IF(ISNUMBER(AG184),"E","U"))</f>
        <v>U</v>
      </c>
    </row>
    <row r="185" spans="1:54" ht="12" customHeight="1" x14ac:dyDescent="0.2">
      <c r="A185" s="440"/>
      <c r="B185" s="1043"/>
      <c r="C185" s="380"/>
      <c r="D185" s="1037"/>
      <c r="E185" s="1084">
        <f ca="1">IF(AX185="E","",AN185)</f>
        <v>0</v>
      </c>
      <c r="F185" s="1085"/>
      <c r="G185" s="1264"/>
      <c r="H185" s="1264"/>
      <c r="I185" s="1265"/>
      <c r="J185" s="638"/>
      <c r="K185" s="520" t="s">
        <v>177</v>
      </c>
      <c r="L185" s="521"/>
      <c r="M185" s="340"/>
      <c r="N185" s="528" t="s">
        <v>67</v>
      </c>
      <c r="O185" s="339"/>
      <c r="P185" s="543" t="s">
        <v>68</v>
      </c>
      <c r="Q185" s="344"/>
      <c r="R185" s="522" t="s">
        <v>363</v>
      </c>
      <c r="S185" s="353">
        <f t="shared" ca="1" si="329"/>
        <v>0</v>
      </c>
      <c r="T185" s="523"/>
      <c r="U185" s="350"/>
      <c r="V185" s="308"/>
      <c r="W185" s="1090" t="str">
        <f t="shared" ca="1" si="330"/>
        <v/>
      </c>
      <c r="X185" s="1103">
        <f t="shared" ca="1" si="331"/>
        <v>0</v>
      </c>
      <c r="Y185" s="1120">
        <f t="shared" ca="1" si="332"/>
        <v>0</v>
      </c>
      <c r="Z185" s="524"/>
      <c r="AA185" s="350"/>
      <c r="AB185" s="308"/>
      <c r="AC185" s="1090" t="str">
        <f t="shared" ca="1" si="333"/>
        <v/>
      </c>
      <c r="AD185" s="1103">
        <f t="shared" ca="1" si="334"/>
        <v>0</v>
      </c>
      <c r="AE185" s="1120">
        <f t="shared" ca="1" si="335"/>
        <v>0</v>
      </c>
      <c r="AF185" s="525"/>
      <c r="AG185" s="637"/>
      <c r="AH185" s="525"/>
      <c r="AI185" s="1086">
        <f t="shared" ca="1" si="336"/>
        <v>0</v>
      </c>
      <c r="AJ185" s="380"/>
      <c r="AK185" s="440"/>
      <c r="AM185" s="460">
        <v>185</v>
      </c>
      <c r="AN185" s="1087">
        <f t="shared" ca="1" si="337"/>
        <v>0</v>
      </c>
      <c r="AO185" s="1083">
        <f t="shared" ca="1" si="338"/>
        <v>0</v>
      </c>
      <c r="AP185" s="356">
        <f t="shared" ca="1" si="338"/>
        <v>0</v>
      </c>
      <c r="AQ185" s="357">
        <f t="shared" ca="1" si="338"/>
        <v>0</v>
      </c>
      <c r="AR185" s="524" t="str">
        <f t="shared" ca="1" si="338"/>
        <v/>
      </c>
      <c r="AS185" s="356">
        <f t="shared" ca="1" si="338"/>
        <v>0</v>
      </c>
      <c r="AT185" s="357">
        <f t="shared" ca="1" si="338"/>
        <v>0</v>
      </c>
      <c r="AU185" s="524" t="str">
        <f t="shared" ca="1" si="338"/>
        <v/>
      </c>
      <c r="AV185" s="1083">
        <f t="shared" ca="1" si="338"/>
        <v>0</v>
      </c>
      <c r="AX185" s="1083" t="str">
        <f t="shared" si="339"/>
        <v>U</v>
      </c>
      <c r="AY185" s="1083" t="str">
        <f t="shared" si="340"/>
        <v>U</v>
      </c>
      <c r="AZ185" s="1083" t="str">
        <f t="shared" si="341"/>
        <v>U</v>
      </c>
      <c r="BA185" s="1083" t="str">
        <f t="shared" si="342"/>
        <v>U</v>
      </c>
      <c r="BB185" s="1083" t="str">
        <f t="shared" si="343"/>
        <v>U</v>
      </c>
    </row>
    <row r="186" spans="1:54" ht="12" customHeight="1" x14ac:dyDescent="0.25">
      <c r="A186" s="440"/>
      <c r="B186" s="1043"/>
      <c r="C186" s="380"/>
      <c r="D186" s="1037" t="s">
        <v>343</v>
      </c>
      <c r="E186" s="1599" t="s">
        <v>183</v>
      </c>
      <c r="F186" s="1599"/>
      <c r="G186" s="1599"/>
      <c r="H186" s="1599"/>
      <c r="I186" s="1632"/>
      <c r="J186" s="1038"/>
      <c r="K186" s="529"/>
      <c r="L186" s="503"/>
      <c r="M186" s="498"/>
      <c r="N186" s="361"/>
      <c r="O186" s="365"/>
      <c r="P186" s="365"/>
      <c r="Q186" s="365"/>
      <c r="R186" s="365"/>
      <c r="S186" s="390">
        <f ca="1">SUBTOTAL(109,S188:S194)</f>
        <v>153092.80799999999</v>
      </c>
      <c r="T186" s="363"/>
      <c r="U186" s="375"/>
      <c r="V186" s="361"/>
      <c r="W186" s="1091"/>
      <c r="X186" s="1114"/>
      <c r="Y186" s="1121"/>
      <c r="Z186" s="363"/>
      <c r="AA186" s="375"/>
      <c r="AB186" s="361"/>
      <c r="AC186" s="1091"/>
      <c r="AD186" s="1114"/>
      <c r="AE186" s="1121"/>
      <c r="AF186" s="358"/>
      <c r="AG186" s="358"/>
      <c r="AH186" s="358"/>
      <c r="AI186" s="358"/>
      <c r="AJ186" s="380"/>
      <c r="AK186" s="440"/>
      <c r="AM186" s="460">
        <v>186</v>
      </c>
      <c r="AN186" s="1078"/>
    </row>
    <row r="187" spans="1:54" ht="12" customHeight="1" x14ac:dyDescent="0.25">
      <c r="A187" s="440"/>
      <c r="B187" s="1043"/>
      <c r="C187" s="380"/>
      <c r="D187" s="1037"/>
      <c r="E187" s="1037"/>
      <c r="F187" s="1037"/>
      <c r="G187" s="1037"/>
      <c r="H187" s="1037"/>
      <c r="I187" s="1035"/>
      <c r="J187" s="1603" t="s">
        <v>306</v>
      </c>
      <c r="K187" s="1603"/>
      <c r="L187" s="503"/>
      <c r="M187" s="498"/>
      <c r="N187" s="361"/>
      <c r="O187" s="365"/>
      <c r="P187" s="365"/>
      <c r="Q187" s="365"/>
      <c r="R187" s="365"/>
      <c r="S187" s="390"/>
      <c r="T187" s="363"/>
      <c r="U187" s="375"/>
      <c r="V187" s="361"/>
      <c r="W187" s="1091"/>
      <c r="X187" s="1114"/>
      <c r="Y187" s="1121"/>
      <c r="Z187" s="363"/>
      <c r="AA187" s="375"/>
      <c r="AB187" s="361"/>
      <c r="AC187" s="1091"/>
      <c r="AD187" s="1114"/>
      <c r="AE187" s="1121"/>
      <c r="AF187" s="358"/>
      <c r="AG187" s="358"/>
      <c r="AH187" s="358"/>
      <c r="AI187" s="358"/>
      <c r="AJ187" s="380"/>
      <c r="AK187" s="440"/>
      <c r="AM187" s="460">
        <v>187</v>
      </c>
      <c r="AN187" s="1078"/>
    </row>
    <row r="188" spans="1:54" ht="12" customHeight="1" x14ac:dyDescent="0.2">
      <c r="A188" s="440"/>
      <c r="B188" s="1043"/>
      <c r="C188" s="380"/>
      <c r="D188" s="1037"/>
      <c r="E188" s="1084" t="str">
        <f t="shared" ref="E188:E194" ca="1" si="344">IF(AX188="E","",AN188)</f>
        <v>Holz/Alufenster Uw=0,55</v>
      </c>
      <c r="F188" s="1085"/>
      <c r="G188" s="1264"/>
      <c r="H188" s="1264"/>
      <c r="I188" s="1265"/>
      <c r="J188" s="638"/>
      <c r="K188" s="520" t="s">
        <v>177</v>
      </c>
      <c r="L188" s="521"/>
      <c r="M188" s="340"/>
      <c r="N188" s="528" t="s">
        <v>67</v>
      </c>
      <c r="O188" s="339"/>
      <c r="P188" s="543" t="s">
        <v>68</v>
      </c>
      <c r="Q188" s="344"/>
      <c r="R188" s="522" t="s">
        <v>363</v>
      </c>
      <c r="S188" s="353">
        <f t="shared" ref="S188:S194" ca="1" si="345">IF(AY188="E",(M188*O188)+Q188,AO188)</f>
        <v>153092.80799999999</v>
      </c>
      <c r="T188" s="523"/>
      <c r="U188" s="350"/>
      <c r="V188" s="308"/>
      <c r="W188" s="1090" t="str">
        <f t="shared" ref="W188:W194" ca="1" si="346">IF(AZ188="E",IF(AND(V188&lt;&gt;0,U188&lt;&gt;0),"X",IF(AND(V188&lt;&gt;0,U188=0),"A",IF(AND(V188=0,U188&lt;&gt;0),"P",""))),AR188)</f>
        <v/>
      </c>
      <c r="X188" s="1103">
        <f t="shared" ref="X188:X194" ca="1" si="347">IF(AZ188="E",IFERROR(IF(W188="X",0,IF(U188&gt;0,U188,V188/S188)),0),
IFERROR(IF(OR(AR188="X",AR188=0),0,
IF(AR188="P",AP188,IF(AR188="A",AQ188/S188,0))),0))</f>
        <v>0</v>
      </c>
      <c r="Y188" s="1120">
        <f t="shared" ref="Y188:Y194" ca="1" si="348">IF(AZ188="E",IFERROR(IF(W188="X",0,IF(V188&gt;0,V188,S188*U188)),0),
IFERROR(IF(OR(AR188="X",AR188="0"),0,IF(AR188="A",AQ188,S188*AP188)),0))</f>
        <v>0</v>
      </c>
      <c r="Z188" s="524"/>
      <c r="AA188" s="350"/>
      <c r="AB188" s="308"/>
      <c r="AC188" s="1090" t="str">
        <f t="shared" ref="AC188:AC194" ca="1" si="349">IF(BA188="E",IF(AND(AB188&lt;&gt;0,AA188&lt;&gt;0),"X",IF(AND(AB188&lt;&gt;0,AA188=0),"A",IF(AND(AB188=0,AA188&lt;&gt;0),"P",""))),AU188)</f>
        <v>A</v>
      </c>
      <c r="AD188" s="1103">
        <f t="shared" ref="AD188:AD194" ca="1" si="350">IF(BA188="E",IFERROR(IF(AC188="X",0,IF(AA188&gt;0,AA188,AB188/S188)),0),
IFERROR(IF(OR(AU188="X",AU188=0),0,
IF(AU188="P",AS188,IF(AU188="A",AT188/S188,0))),0))</f>
        <v>2.4037706591677386E-3</v>
      </c>
      <c r="AE188" s="1120">
        <f t="shared" ref="AE188:AE194" ca="1" si="351">IF(BA188="E",IFERROR(IF(AC188="X",0,IF(AB188&gt;0,AB188,S188*AA188)),0),
IFERROR(IF(OR(AU188="X",AU188=0),0,
IF(AU188="A",AT188,S188*AS188)),0))</f>
        <v>368</v>
      </c>
      <c r="AF188" s="525"/>
      <c r="AG188" s="637"/>
      <c r="AH188" s="525"/>
      <c r="AI188" s="1086">
        <f t="shared" ref="AI188:AI194" ca="1" si="352">IF(BB188="E",AG188,AV188)</f>
        <v>50</v>
      </c>
      <c r="AJ188" s="380"/>
      <c r="AK188" s="440"/>
      <c r="AM188" s="460">
        <v>188</v>
      </c>
      <c r="AN188" s="1087" t="str">
        <f t="shared" ref="AN188:AN194" ca="1" si="353">IF($M$13=$AN$12,"",IF(ISTEXT(INDIRECT("'"&amp;$AM$20&amp;"'!"&amp;AN$21&amp;$AM188)),INDIRECT("'"&amp;$AM$20&amp;"'!"&amp;AN$21&amp;$AM188),INDIRECT("'"&amp;$AM$20&amp;"'!"&amp;AN$22&amp;$AM188)))</f>
        <v>Holz/Alufenster Uw=0,55</v>
      </c>
      <c r="AO188" s="1083">
        <f t="shared" ref="AO188:AV194" ca="1" si="354">IF($M$13=$AN$12,"",INDIRECT("'"&amp;$AM$20&amp;"'!"&amp;AO$21&amp;$AM188))</f>
        <v>153092.80799999999</v>
      </c>
      <c r="AP188" s="356">
        <f t="shared" ca="1" si="354"/>
        <v>0</v>
      </c>
      <c r="AQ188" s="357">
        <f t="shared" ca="1" si="354"/>
        <v>0</v>
      </c>
      <c r="AR188" s="524" t="str">
        <f t="shared" ca="1" si="354"/>
        <v/>
      </c>
      <c r="AS188" s="356">
        <f t="shared" ca="1" si="354"/>
        <v>2.4037706591677386E-3</v>
      </c>
      <c r="AT188" s="357">
        <f t="shared" ca="1" si="354"/>
        <v>368</v>
      </c>
      <c r="AU188" s="524" t="str">
        <f t="shared" ca="1" si="354"/>
        <v>A</v>
      </c>
      <c r="AV188" s="1083">
        <f t="shared" ca="1" si="354"/>
        <v>50</v>
      </c>
      <c r="AX188" s="1083" t="str">
        <f t="shared" ref="AX188:AX194" si="355">IF($M$13=$AN$12,"E",IF(ISTEXT(F188),"E","U"))</f>
        <v>U</v>
      </c>
      <c r="AY188" s="1083" t="str">
        <f t="shared" ref="AY188:AY194" si="356">IF($M$13=$AN$12,"E",IF(OR(ISNUMBER(M188),ISNUMBER(O188),ISNUMBER(Q188)),"E","U"))</f>
        <v>U</v>
      </c>
      <c r="AZ188" s="1083" t="str">
        <f t="shared" ref="AZ188:AZ194" si="357">IF($M$13=$AN$12,"E",IF(OR(ISNUMBER(U188),ISNUMBER(V188)),"E","U"))</f>
        <v>U</v>
      </c>
      <c r="BA188" s="1083" t="str">
        <f t="shared" ref="BA188:BA194" si="358">IF($M$13=$AN$12,"E",IF(OR(ISNUMBER(AA188),ISNUMBER(AB188)),"E","U"))</f>
        <v>U</v>
      </c>
      <c r="BB188" s="1083" t="str">
        <f t="shared" ref="BB188:BB194" si="359">IF($M$13=$AN$12,"E",IF(ISNUMBER(AG188),"E","U"))</f>
        <v>U</v>
      </c>
    </row>
    <row r="189" spans="1:54" ht="12" customHeight="1" x14ac:dyDescent="0.2">
      <c r="A189" s="440"/>
      <c r="B189" s="1043"/>
      <c r="C189" s="380"/>
      <c r="D189" s="1037"/>
      <c r="E189" s="1084">
        <f t="shared" ca="1" si="344"/>
        <v>0</v>
      </c>
      <c r="F189" s="1085"/>
      <c r="G189" s="1264"/>
      <c r="H189" s="1264"/>
      <c r="I189" s="1265"/>
      <c r="J189" s="638"/>
      <c r="K189" s="520" t="s">
        <v>177</v>
      </c>
      <c r="L189" s="521"/>
      <c r="M189" s="340"/>
      <c r="N189" s="528" t="s">
        <v>67</v>
      </c>
      <c r="O189" s="339"/>
      <c r="P189" s="543" t="s">
        <v>68</v>
      </c>
      <c r="Q189" s="344"/>
      <c r="R189" s="522" t="s">
        <v>363</v>
      </c>
      <c r="S189" s="353">
        <f t="shared" ca="1" si="345"/>
        <v>0</v>
      </c>
      <c r="T189" s="523"/>
      <c r="U189" s="350"/>
      <c r="V189" s="308"/>
      <c r="W189" s="1090" t="str">
        <f t="shared" ca="1" si="346"/>
        <v/>
      </c>
      <c r="X189" s="1103">
        <f t="shared" ca="1" si="347"/>
        <v>0</v>
      </c>
      <c r="Y189" s="1120">
        <f t="shared" ca="1" si="348"/>
        <v>0</v>
      </c>
      <c r="Z189" s="524"/>
      <c r="AA189" s="350"/>
      <c r="AB189" s="308"/>
      <c r="AC189" s="1090" t="str">
        <f t="shared" ca="1" si="349"/>
        <v/>
      </c>
      <c r="AD189" s="1103">
        <f t="shared" ca="1" si="350"/>
        <v>0</v>
      </c>
      <c r="AE189" s="1120">
        <f t="shared" ca="1" si="351"/>
        <v>0</v>
      </c>
      <c r="AF189" s="525"/>
      <c r="AG189" s="637"/>
      <c r="AH189" s="525"/>
      <c r="AI189" s="1086">
        <f t="shared" ca="1" si="352"/>
        <v>0</v>
      </c>
      <c r="AJ189" s="380"/>
      <c r="AK189" s="440"/>
      <c r="AM189" s="460">
        <v>189</v>
      </c>
      <c r="AN189" s="1087">
        <f t="shared" ca="1" si="353"/>
        <v>0</v>
      </c>
      <c r="AO189" s="1083">
        <f t="shared" ca="1" si="354"/>
        <v>0</v>
      </c>
      <c r="AP189" s="356">
        <f t="shared" ca="1" si="354"/>
        <v>0</v>
      </c>
      <c r="AQ189" s="357">
        <f t="shared" ca="1" si="354"/>
        <v>0</v>
      </c>
      <c r="AR189" s="524" t="str">
        <f t="shared" ca="1" si="354"/>
        <v/>
      </c>
      <c r="AS189" s="356">
        <f t="shared" ca="1" si="354"/>
        <v>0</v>
      </c>
      <c r="AT189" s="357">
        <f t="shared" ca="1" si="354"/>
        <v>0</v>
      </c>
      <c r="AU189" s="524" t="str">
        <f t="shared" ca="1" si="354"/>
        <v/>
      </c>
      <c r="AV189" s="1083">
        <f t="shared" ca="1" si="354"/>
        <v>0</v>
      </c>
      <c r="AX189" s="1083" t="str">
        <f t="shared" si="355"/>
        <v>U</v>
      </c>
      <c r="AY189" s="1083" t="str">
        <f t="shared" si="356"/>
        <v>U</v>
      </c>
      <c r="AZ189" s="1083" t="str">
        <f t="shared" si="357"/>
        <v>U</v>
      </c>
      <c r="BA189" s="1083" t="str">
        <f t="shared" si="358"/>
        <v>U</v>
      </c>
      <c r="BB189" s="1083" t="str">
        <f t="shared" si="359"/>
        <v>U</v>
      </c>
    </row>
    <row r="190" spans="1:54" ht="12" customHeight="1" x14ac:dyDescent="0.2">
      <c r="A190" s="440"/>
      <c r="B190" s="1043"/>
      <c r="C190" s="380"/>
      <c r="D190" s="1037"/>
      <c r="E190" s="1084">
        <f t="shared" ca="1" si="344"/>
        <v>0</v>
      </c>
      <c r="F190" s="1085"/>
      <c r="G190" s="1264"/>
      <c r="H190" s="1264"/>
      <c r="I190" s="1265"/>
      <c r="J190" s="638"/>
      <c r="K190" s="520" t="s">
        <v>177</v>
      </c>
      <c r="L190" s="521"/>
      <c r="M190" s="340"/>
      <c r="N190" s="528" t="s">
        <v>67</v>
      </c>
      <c r="O190" s="339"/>
      <c r="P190" s="543" t="s">
        <v>68</v>
      </c>
      <c r="Q190" s="344"/>
      <c r="R190" s="522" t="s">
        <v>363</v>
      </c>
      <c r="S190" s="353">
        <f t="shared" ca="1" si="345"/>
        <v>0</v>
      </c>
      <c r="T190" s="523"/>
      <c r="U190" s="350"/>
      <c r="V190" s="308"/>
      <c r="W190" s="1090" t="str">
        <f t="shared" ca="1" si="346"/>
        <v/>
      </c>
      <c r="X190" s="1103">
        <f t="shared" ca="1" si="347"/>
        <v>0</v>
      </c>
      <c r="Y190" s="1120">
        <f t="shared" ca="1" si="348"/>
        <v>0</v>
      </c>
      <c r="Z190" s="524"/>
      <c r="AA190" s="350"/>
      <c r="AB190" s="308"/>
      <c r="AC190" s="1090" t="str">
        <f t="shared" ca="1" si="349"/>
        <v/>
      </c>
      <c r="AD190" s="1103">
        <f t="shared" ca="1" si="350"/>
        <v>0</v>
      </c>
      <c r="AE190" s="1120">
        <f t="shared" ca="1" si="351"/>
        <v>0</v>
      </c>
      <c r="AF190" s="525"/>
      <c r="AG190" s="637"/>
      <c r="AH190" s="525"/>
      <c r="AI190" s="1086">
        <f t="shared" ca="1" si="352"/>
        <v>0</v>
      </c>
      <c r="AJ190" s="380"/>
      <c r="AK190" s="440"/>
      <c r="AM190" s="460">
        <v>190</v>
      </c>
      <c r="AN190" s="1087">
        <f t="shared" ca="1" si="353"/>
        <v>0</v>
      </c>
      <c r="AO190" s="1083">
        <f t="shared" ca="1" si="354"/>
        <v>0</v>
      </c>
      <c r="AP190" s="356">
        <f t="shared" ca="1" si="354"/>
        <v>0</v>
      </c>
      <c r="AQ190" s="357">
        <f t="shared" ca="1" si="354"/>
        <v>0</v>
      </c>
      <c r="AR190" s="524" t="str">
        <f t="shared" ca="1" si="354"/>
        <v/>
      </c>
      <c r="AS190" s="356">
        <f t="shared" ca="1" si="354"/>
        <v>0</v>
      </c>
      <c r="AT190" s="357">
        <f t="shared" ca="1" si="354"/>
        <v>0</v>
      </c>
      <c r="AU190" s="524" t="str">
        <f t="shared" ca="1" si="354"/>
        <v/>
      </c>
      <c r="AV190" s="1083">
        <f t="shared" ca="1" si="354"/>
        <v>0</v>
      </c>
      <c r="AX190" s="1083" t="str">
        <f t="shared" si="355"/>
        <v>U</v>
      </c>
      <c r="AY190" s="1083" t="str">
        <f t="shared" si="356"/>
        <v>U</v>
      </c>
      <c r="AZ190" s="1083" t="str">
        <f t="shared" si="357"/>
        <v>U</v>
      </c>
      <c r="BA190" s="1083" t="str">
        <f t="shared" si="358"/>
        <v>U</v>
      </c>
      <c r="BB190" s="1083" t="str">
        <f t="shared" si="359"/>
        <v>U</v>
      </c>
    </row>
    <row r="191" spans="1:54" ht="12" customHeight="1" x14ac:dyDescent="0.25">
      <c r="A191" s="440"/>
      <c r="B191" s="1043"/>
      <c r="C191" s="380"/>
      <c r="D191" s="1037"/>
      <c r="E191" s="1084">
        <f t="shared" ca="1" si="344"/>
        <v>0</v>
      </c>
      <c r="F191" s="1085"/>
      <c r="G191" s="1264"/>
      <c r="H191" s="1264"/>
      <c r="I191" s="1265"/>
      <c r="J191" s="638"/>
      <c r="K191" s="520" t="s">
        <v>177</v>
      </c>
      <c r="L191" s="521"/>
      <c r="M191" s="340"/>
      <c r="N191" s="528" t="s">
        <v>67</v>
      </c>
      <c r="O191" s="339"/>
      <c r="P191" s="543" t="s">
        <v>68</v>
      </c>
      <c r="Q191" s="344"/>
      <c r="R191" s="522" t="s">
        <v>363</v>
      </c>
      <c r="S191" s="353">
        <f t="shared" ca="1" si="345"/>
        <v>0</v>
      </c>
      <c r="T191" s="523"/>
      <c r="U191" s="350"/>
      <c r="V191" s="308"/>
      <c r="W191" s="1090" t="str">
        <f t="shared" ca="1" si="346"/>
        <v/>
      </c>
      <c r="X191" s="1103">
        <f t="shared" ca="1" si="347"/>
        <v>0</v>
      </c>
      <c r="Y191" s="1120">
        <f t="shared" ca="1" si="348"/>
        <v>0</v>
      </c>
      <c r="Z191" s="524"/>
      <c r="AA191" s="350"/>
      <c r="AB191" s="308"/>
      <c r="AC191" s="1090" t="str">
        <f t="shared" ca="1" si="349"/>
        <v/>
      </c>
      <c r="AD191" s="1103">
        <f t="shared" ca="1" si="350"/>
        <v>0</v>
      </c>
      <c r="AE191" s="1120">
        <f t="shared" ca="1" si="351"/>
        <v>0</v>
      </c>
      <c r="AF191" s="525"/>
      <c r="AG191" s="637"/>
      <c r="AH191" s="525"/>
      <c r="AI191" s="1086">
        <f t="shared" ca="1" si="352"/>
        <v>0</v>
      </c>
      <c r="AJ191" s="380"/>
      <c r="AK191" s="440"/>
      <c r="AL191" s="395"/>
      <c r="AM191" s="460">
        <v>191</v>
      </c>
      <c r="AN191" s="1087">
        <f t="shared" ca="1" si="353"/>
        <v>0</v>
      </c>
      <c r="AO191" s="1083">
        <f t="shared" ca="1" si="354"/>
        <v>0</v>
      </c>
      <c r="AP191" s="356">
        <f t="shared" ca="1" si="354"/>
        <v>0</v>
      </c>
      <c r="AQ191" s="357">
        <f t="shared" ca="1" si="354"/>
        <v>0</v>
      </c>
      <c r="AR191" s="524" t="str">
        <f t="shared" ca="1" si="354"/>
        <v/>
      </c>
      <c r="AS191" s="356">
        <f t="shared" ca="1" si="354"/>
        <v>0</v>
      </c>
      <c r="AT191" s="357">
        <f t="shared" ca="1" si="354"/>
        <v>0</v>
      </c>
      <c r="AU191" s="524" t="str">
        <f t="shared" ca="1" si="354"/>
        <v/>
      </c>
      <c r="AV191" s="1083">
        <f t="shared" ca="1" si="354"/>
        <v>0</v>
      </c>
      <c r="AX191" s="1083" t="str">
        <f t="shared" si="355"/>
        <v>U</v>
      </c>
      <c r="AY191" s="1083" t="str">
        <f t="shared" si="356"/>
        <v>U</v>
      </c>
      <c r="AZ191" s="1083" t="str">
        <f t="shared" si="357"/>
        <v>U</v>
      </c>
      <c r="BA191" s="1083" t="str">
        <f t="shared" si="358"/>
        <v>U</v>
      </c>
      <c r="BB191" s="1083" t="str">
        <f t="shared" si="359"/>
        <v>U</v>
      </c>
    </row>
    <row r="192" spans="1:54" ht="12" customHeight="1" x14ac:dyDescent="0.25">
      <c r="A192" s="440"/>
      <c r="B192" s="1043"/>
      <c r="C192" s="380"/>
      <c r="D192" s="1037"/>
      <c r="E192" s="1084">
        <f t="shared" ca="1" si="344"/>
        <v>0</v>
      </c>
      <c r="F192" s="1085"/>
      <c r="G192" s="1264"/>
      <c r="H192" s="1264"/>
      <c r="I192" s="1265"/>
      <c r="J192" s="638"/>
      <c r="K192" s="520" t="s">
        <v>177</v>
      </c>
      <c r="L192" s="521"/>
      <c r="M192" s="340"/>
      <c r="N192" s="528" t="s">
        <v>67</v>
      </c>
      <c r="O192" s="339"/>
      <c r="P192" s="543" t="s">
        <v>68</v>
      </c>
      <c r="Q192" s="344"/>
      <c r="R192" s="522" t="s">
        <v>363</v>
      </c>
      <c r="S192" s="353">
        <f t="shared" ca="1" si="345"/>
        <v>0</v>
      </c>
      <c r="T192" s="523"/>
      <c r="U192" s="350"/>
      <c r="V192" s="308"/>
      <c r="W192" s="1090" t="str">
        <f t="shared" ca="1" si="346"/>
        <v/>
      </c>
      <c r="X192" s="1103">
        <f t="shared" ca="1" si="347"/>
        <v>0</v>
      </c>
      <c r="Y192" s="1120">
        <f t="shared" ca="1" si="348"/>
        <v>0</v>
      </c>
      <c r="Z192" s="524"/>
      <c r="AA192" s="350"/>
      <c r="AB192" s="308"/>
      <c r="AC192" s="1090" t="str">
        <f t="shared" ca="1" si="349"/>
        <v/>
      </c>
      <c r="AD192" s="1103">
        <f t="shared" ca="1" si="350"/>
        <v>0</v>
      </c>
      <c r="AE192" s="1120">
        <f t="shared" ca="1" si="351"/>
        <v>0</v>
      </c>
      <c r="AF192" s="525"/>
      <c r="AG192" s="637"/>
      <c r="AH192" s="525"/>
      <c r="AI192" s="1086">
        <f t="shared" ca="1" si="352"/>
        <v>0</v>
      </c>
      <c r="AJ192" s="380"/>
      <c r="AK192" s="440"/>
      <c r="AL192" s="395"/>
      <c r="AM192" s="460">
        <v>192</v>
      </c>
      <c r="AN192" s="1087">
        <f t="shared" ca="1" si="353"/>
        <v>0</v>
      </c>
      <c r="AO192" s="1083">
        <f t="shared" ca="1" si="354"/>
        <v>0</v>
      </c>
      <c r="AP192" s="356">
        <f t="shared" ca="1" si="354"/>
        <v>0</v>
      </c>
      <c r="AQ192" s="357">
        <f t="shared" ca="1" si="354"/>
        <v>0</v>
      </c>
      <c r="AR192" s="524" t="str">
        <f t="shared" ca="1" si="354"/>
        <v/>
      </c>
      <c r="AS192" s="356">
        <f t="shared" ca="1" si="354"/>
        <v>0</v>
      </c>
      <c r="AT192" s="357">
        <f t="shared" ca="1" si="354"/>
        <v>0</v>
      </c>
      <c r="AU192" s="524" t="str">
        <f t="shared" ca="1" si="354"/>
        <v/>
      </c>
      <c r="AV192" s="1083">
        <f t="shared" ca="1" si="354"/>
        <v>0</v>
      </c>
      <c r="AX192" s="1083" t="str">
        <f t="shared" si="355"/>
        <v>U</v>
      </c>
      <c r="AY192" s="1083" t="str">
        <f t="shared" si="356"/>
        <v>U</v>
      </c>
      <c r="AZ192" s="1083" t="str">
        <f t="shared" si="357"/>
        <v>U</v>
      </c>
      <c r="BA192" s="1083" t="str">
        <f t="shared" si="358"/>
        <v>U</v>
      </c>
      <c r="BB192" s="1083" t="str">
        <f t="shared" si="359"/>
        <v>U</v>
      </c>
    </row>
    <row r="193" spans="1:54" ht="12" customHeight="1" x14ac:dyDescent="0.25">
      <c r="A193" s="440"/>
      <c r="B193" s="1043"/>
      <c r="C193" s="380"/>
      <c r="D193" s="1037"/>
      <c r="E193" s="1084">
        <f t="shared" ca="1" si="344"/>
        <v>0</v>
      </c>
      <c r="F193" s="1085"/>
      <c r="G193" s="1264"/>
      <c r="H193" s="1264"/>
      <c r="I193" s="1265"/>
      <c r="J193" s="638"/>
      <c r="K193" s="520" t="s">
        <v>177</v>
      </c>
      <c r="L193" s="521"/>
      <c r="M193" s="340"/>
      <c r="N193" s="528" t="s">
        <v>67</v>
      </c>
      <c r="O193" s="339"/>
      <c r="P193" s="543" t="s">
        <v>68</v>
      </c>
      <c r="Q193" s="344"/>
      <c r="R193" s="522" t="s">
        <v>363</v>
      </c>
      <c r="S193" s="353">
        <f t="shared" ca="1" si="345"/>
        <v>0</v>
      </c>
      <c r="T193" s="523"/>
      <c r="U193" s="350"/>
      <c r="V193" s="308"/>
      <c r="W193" s="1090" t="str">
        <f t="shared" ca="1" si="346"/>
        <v/>
      </c>
      <c r="X193" s="1103">
        <f t="shared" ca="1" si="347"/>
        <v>0</v>
      </c>
      <c r="Y193" s="1120">
        <f t="shared" ca="1" si="348"/>
        <v>0</v>
      </c>
      <c r="Z193" s="524"/>
      <c r="AA193" s="350"/>
      <c r="AB193" s="308"/>
      <c r="AC193" s="1090" t="str">
        <f t="shared" ca="1" si="349"/>
        <v/>
      </c>
      <c r="AD193" s="1103">
        <f t="shared" ca="1" si="350"/>
        <v>0</v>
      </c>
      <c r="AE193" s="1120">
        <f t="shared" ca="1" si="351"/>
        <v>0</v>
      </c>
      <c r="AF193" s="525"/>
      <c r="AG193" s="637"/>
      <c r="AH193" s="525"/>
      <c r="AI193" s="1086">
        <f t="shared" ca="1" si="352"/>
        <v>0</v>
      </c>
      <c r="AJ193" s="380"/>
      <c r="AK193" s="440"/>
      <c r="AL193" s="395"/>
      <c r="AM193" s="460">
        <v>193</v>
      </c>
      <c r="AN193" s="1087">
        <f t="shared" ca="1" si="353"/>
        <v>0</v>
      </c>
      <c r="AO193" s="1083">
        <f t="shared" ca="1" si="354"/>
        <v>0</v>
      </c>
      <c r="AP193" s="356">
        <f t="shared" ca="1" si="354"/>
        <v>0</v>
      </c>
      <c r="AQ193" s="357">
        <f t="shared" ca="1" si="354"/>
        <v>0</v>
      </c>
      <c r="AR193" s="524" t="str">
        <f t="shared" ca="1" si="354"/>
        <v/>
      </c>
      <c r="AS193" s="356">
        <f t="shared" ca="1" si="354"/>
        <v>0</v>
      </c>
      <c r="AT193" s="357">
        <f t="shared" ca="1" si="354"/>
        <v>0</v>
      </c>
      <c r="AU193" s="524" t="str">
        <f t="shared" ca="1" si="354"/>
        <v/>
      </c>
      <c r="AV193" s="1083">
        <f t="shared" ca="1" si="354"/>
        <v>0</v>
      </c>
      <c r="AX193" s="1083" t="str">
        <f t="shared" si="355"/>
        <v>U</v>
      </c>
      <c r="AY193" s="1083" t="str">
        <f t="shared" si="356"/>
        <v>U</v>
      </c>
      <c r="AZ193" s="1083" t="str">
        <f t="shared" si="357"/>
        <v>U</v>
      </c>
      <c r="BA193" s="1083" t="str">
        <f t="shared" si="358"/>
        <v>U</v>
      </c>
      <c r="BB193" s="1083" t="str">
        <f t="shared" si="359"/>
        <v>U</v>
      </c>
    </row>
    <row r="194" spans="1:54" ht="12" customHeight="1" x14ac:dyDescent="0.25">
      <c r="A194" s="440"/>
      <c r="B194" s="1043"/>
      <c r="C194" s="380"/>
      <c r="D194" s="1037"/>
      <c r="E194" s="1084">
        <f t="shared" ca="1" si="344"/>
        <v>0</v>
      </c>
      <c r="F194" s="1085"/>
      <c r="G194" s="1264"/>
      <c r="H194" s="1264"/>
      <c r="I194" s="1265"/>
      <c r="J194" s="638"/>
      <c r="K194" s="520" t="s">
        <v>177</v>
      </c>
      <c r="L194" s="521"/>
      <c r="M194" s="340"/>
      <c r="N194" s="528" t="s">
        <v>67</v>
      </c>
      <c r="O194" s="339"/>
      <c r="P194" s="543" t="s">
        <v>68</v>
      </c>
      <c r="Q194" s="344"/>
      <c r="R194" s="522" t="s">
        <v>363</v>
      </c>
      <c r="S194" s="353">
        <f t="shared" ca="1" si="345"/>
        <v>0</v>
      </c>
      <c r="T194" s="523"/>
      <c r="U194" s="350"/>
      <c r="V194" s="308"/>
      <c r="W194" s="1090" t="str">
        <f t="shared" ca="1" si="346"/>
        <v/>
      </c>
      <c r="X194" s="1103">
        <f t="shared" ca="1" si="347"/>
        <v>0</v>
      </c>
      <c r="Y194" s="1120">
        <f t="shared" ca="1" si="348"/>
        <v>0</v>
      </c>
      <c r="Z194" s="524"/>
      <c r="AA194" s="350"/>
      <c r="AB194" s="308"/>
      <c r="AC194" s="1090" t="str">
        <f t="shared" ca="1" si="349"/>
        <v/>
      </c>
      <c r="AD194" s="1103">
        <f t="shared" ca="1" si="350"/>
        <v>0</v>
      </c>
      <c r="AE194" s="1120">
        <f t="shared" ca="1" si="351"/>
        <v>0</v>
      </c>
      <c r="AF194" s="525"/>
      <c r="AG194" s="637"/>
      <c r="AH194" s="525"/>
      <c r="AI194" s="1086">
        <f t="shared" ca="1" si="352"/>
        <v>0</v>
      </c>
      <c r="AJ194" s="380"/>
      <c r="AK194" s="440"/>
      <c r="AL194" s="395"/>
      <c r="AM194" s="460">
        <v>194</v>
      </c>
      <c r="AN194" s="1087">
        <f t="shared" ca="1" si="353"/>
        <v>0</v>
      </c>
      <c r="AO194" s="1083">
        <f t="shared" ca="1" si="354"/>
        <v>0</v>
      </c>
      <c r="AP194" s="356">
        <f t="shared" ca="1" si="354"/>
        <v>0</v>
      </c>
      <c r="AQ194" s="357">
        <f t="shared" ca="1" si="354"/>
        <v>0</v>
      </c>
      <c r="AR194" s="524" t="str">
        <f t="shared" ca="1" si="354"/>
        <v/>
      </c>
      <c r="AS194" s="356">
        <f t="shared" ca="1" si="354"/>
        <v>0</v>
      </c>
      <c r="AT194" s="357">
        <f t="shared" ca="1" si="354"/>
        <v>0</v>
      </c>
      <c r="AU194" s="524" t="str">
        <f t="shared" ca="1" si="354"/>
        <v/>
      </c>
      <c r="AV194" s="1083">
        <f t="shared" ca="1" si="354"/>
        <v>0</v>
      </c>
      <c r="AX194" s="1083" t="str">
        <f t="shared" si="355"/>
        <v>U</v>
      </c>
      <c r="AY194" s="1083" t="str">
        <f t="shared" si="356"/>
        <v>U</v>
      </c>
      <c r="AZ194" s="1083" t="str">
        <f t="shared" si="357"/>
        <v>U</v>
      </c>
      <c r="BA194" s="1083" t="str">
        <f t="shared" si="358"/>
        <v>U</v>
      </c>
      <c r="BB194" s="1083" t="str">
        <f t="shared" si="359"/>
        <v>U</v>
      </c>
    </row>
    <row r="195" spans="1:54" ht="12" customHeight="1" x14ac:dyDescent="0.25">
      <c r="A195" s="440"/>
      <c r="B195" s="1043"/>
      <c r="C195" s="380"/>
      <c r="D195" s="1037" t="s">
        <v>16</v>
      </c>
      <c r="E195" s="1599" t="s">
        <v>15</v>
      </c>
      <c r="F195" s="1599"/>
      <c r="G195" s="1599"/>
      <c r="H195" s="1599"/>
      <c r="I195" s="1632"/>
      <c r="J195" s="1038"/>
      <c r="K195" s="529"/>
      <c r="L195" s="503"/>
      <c r="M195" s="498"/>
      <c r="N195" s="361"/>
      <c r="O195" s="365"/>
      <c r="P195" s="365"/>
      <c r="Q195" s="365"/>
      <c r="R195" s="365"/>
      <c r="S195" s="390">
        <f ca="1">SUBTOTAL(109,S197:S200)</f>
        <v>35349.599999999999</v>
      </c>
      <c r="T195" s="363"/>
      <c r="U195" s="375"/>
      <c r="V195" s="361"/>
      <c r="W195" s="1091"/>
      <c r="X195" s="1114"/>
      <c r="Y195" s="1121"/>
      <c r="Z195" s="363"/>
      <c r="AA195" s="375"/>
      <c r="AB195" s="361"/>
      <c r="AC195" s="1091"/>
      <c r="AD195" s="1114"/>
      <c r="AE195" s="1121"/>
      <c r="AF195" s="358"/>
      <c r="AG195" s="358"/>
      <c r="AH195" s="358"/>
      <c r="AI195" s="358"/>
      <c r="AJ195" s="380"/>
      <c r="AK195" s="440"/>
      <c r="AL195" s="395"/>
      <c r="AM195" s="460">
        <v>195</v>
      </c>
      <c r="AN195" s="1078"/>
    </row>
    <row r="196" spans="1:54" ht="12" customHeight="1" x14ac:dyDescent="0.25">
      <c r="A196" s="440"/>
      <c r="B196" s="1043"/>
      <c r="C196" s="380"/>
      <c r="D196" s="1037"/>
      <c r="E196" s="1037"/>
      <c r="F196" s="1037"/>
      <c r="G196" s="1037"/>
      <c r="H196" s="1037"/>
      <c r="I196" s="1035"/>
      <c r="J196" s="1603" t="s">
        <v>181</v>
      </c>
      <c r="K196" s="1603"/>
      <c r="L196" s="503"/>
      <c r="M196" s="498"/>
      <c r="N196" s="361"/>
      <c r="O196" s="365"/>
      <c r="P196" s="365"/>
      <c r="Q196" s="365"/>
      <c r="R196" s="365"/>
      <c r="S196" s="390"/>
      <c r="T196" s="363"/>
      <c r="U196" s="375"/>
      <c r="V196" s="361"/>
      <c r="W196" s="1091"/>
      <c r="X196" s="1114"/>
      <c r="Y196" s="1121"/>
      <c r="Z196" s="363"/>
      <c r="AA196" s="375"/>
      <c r="AB196" s="361"/>
      <c r="AC196" s="1091"/>
      <c r="AD196" s="1114"/>
      <c r="AE196" s="1121"/>
      <c r="AF196" s="358"/>
      <c r="AG196" s="358"/>
      <c r="AH196" s="358"/>
      <c r="AI196" s="358"/>
      <c r="AJ196" s="380"/>
      <c r="AK196" s="440"/>
      <c r="AL196" s="395"/>
      <c r="AM196" s="460">
        <v>196</v>
      </c>
      <c r="AN196" s="1078"/>
    </row>
    <row r="197" spans="1:54" ht="12" customHeight="1" x14ac:dyDescent="0.2">
      <c r="A197" s="440"/>
      <c r="B197" s="1043"/>
      <c r="C197" s="380"/>
      <c r="D197" s="1037"/>
      <c r="E197" s="1084" t="str">
        <f ca="1">IF(AX197="E","",AN197)</f>
        <v>Vollverschattung+gedämmt. Jalousiekasten</v>
      </c>
      <c r="F197" s="1085"/>
      <c r="G197" s="1264"/>
      <c r="H197" s="1264"/>
      <c r="I197" s="1265"/>
      <c r="J197" s="638"/>
      <c r="K197" s="555" t="s">
        <v>95</v>
      </c>
      <c r="L197" s="541"/>
      <c r="M197" s="340"/>
      <c r="N197" s="528" t="s">
        <v>67</v>
      </c>
      <c r="O197" s="339"/>
      <c r="P197" s="543" t="s">
        <v>68</v>
      </c>
      <c r="Q197" s="344"/>
      <c r="R197" s="522" t="s">
        <v>363</v>
      </c>
      <c r="S197" s="353">
        <f t="shared" ref="S197:S200" ca="1" si="360">IF(AY197="E",(M197*O197)+Q197,AO197)</f>
        <v>35349.599999999999</v>
      </c>
      <c r="T197" s="523"/>
      <c r="U197" s="350"/>
      <c r="V197" s="308"/>
      <c r="W197" s="1090" t="str">
        <f t="shared" ref="W197:W200" ca="1" si="361">IF(AZ197="E",IF(AND(V197&lt;&gt;0,U197&lt;&gt;0),"X",IF(AND(V197&lt;&gt;0,U197=0),"A",IF(AND(V197=0,U197&lt;&gt;0),"P",""))),AR197)</f>
        <v/>
      </c>
      <c r="X197" s="1103">
        <f t="shared" ref="X197:X200" ca="1" si="362">IF(AZ197="E",IFERROR(IF(W197="X",0,IF(U197&gt;0,U197,V197/S197)),0),
IFERROR(IF(OR(AR197="X",AR197=0),0,
IF(AR197="P",AP197,IF(AR197="A",AQ197/S197,0))),0))</f>
        <v>0</v>
      </c>
      <c r="Y197" s="1120">
        <f t="shared" ref="Y197:Y200" ca="1" si="363">IF(AZ197="E",IFERROR(IF(W197="X",0,IF(V197&gt;0,V197,S197*U197)),0),
IFERROR(IF(OR(AR197="X",AR197="0"),0,IF(AR197="A",AQ197,S197*AP197)),0))</f>
        <v>0</v>
      </c>
      <c r="Z197" s="524"/>
      <c r="AA197" s="350"/>
      <c r="AB197" s="308"/>
      <c r="AC197" s="1090" t="str">
        <f t="shared" ref="AC197:AC200" ca="1" si="364">IF(BA197="E",IF(AND(AB197&lt;&gt;0,AA197&lt;&gt;0),"X",IF(AND(AB197&lt;&gt;0,AA197=0),"A",IF(AND(AB197=0,AA197&lt;&gt;0),"P",""))),AU197)</f>
        <v>A</v>
      </c>
      <c r="AD197" s="1103">
        <f t="shared" ref="AD197:AD200" ca="1" si="365">IF(BA197="E",IFERROR(IF(AC197="X",0,IF(AA197&gt;0,AA197,AB197/S197)),0),
IFERROR(IF(OR(AU197="X",AU197=0),0,
IF(AU197="P",AS197,IF(AU197="A",AT197/S197,0))),0))</f>
        <v>1.0183990766515039E-2</v>
      </c>
      <c r="AE197" s="1120">
        <f t="shared" ref="AE197:AE200" ca="1" si="366">IF(BA197="E",IFERROR(IF(AC197="X",0,IF(AB197&gt;0,AB197,S197*AA197)),0),
IFERROR(IF(OR(AU197="X",AU197=0),0,
IF(AU197="A",AT197,S197*AS197)),0))</f>
        <v>360</v>
      </c>
      <c r="AF197" s="525"/>
      <c r="AG197" s="637"/>
      <c r="AH197" s="525"/>
      <c r="AI197" s="1086">
        <f t="shared" ref="AI197:AI200" ca="1" si="367">IF(BB197="E",AG197,AV197)</f>
        <v>25</v>
      </c>
      <c r="AJ197" s="380"/>
      <c r="AK197" s="440"/>
      <c r="AM197" s="460">
        <v>197</v>
      </c>
      <c r="AN197" s="1087" t="str">
        <f t="shared" ref="AN197:AN200" ca="1" si="368">IF($M$13=$AN$12,"",IF(ISTEXT(INDIRECT("'"&amp;$AM$20&amp;"'!"&amp;AN$21&amp;$AM197)),INDIRECT("'"&amp;$AM$20&amp;"'!"&amp;AN$21&amp;$AM197),INDIRECT("'"&amp;$AM$20&amp;"'!"&amp;AN$22&amp;$AM197)))</f>
        <v>Vollverschattung+gedämmt. Jalousiekasten</v>
      </c>
      <c r="AO197" s="1083">
        <f t="shared" ref="AO197:AV200" ca="1" si="369">IF($M$13=$AN$12,"",INDIRECT("'"&amp;$AM$20&amp;"'!"&amp;AO$21&amp;$AM197))</f>
        <v>35349.599999999999</v>
      </c>
      <c r="AP197" s="356">
        <f t="shared" ca="1" si="369"/>
        <v>0</v>
      </c>
      <c r="AQ197" s="357">
        <f t="shared" ca="1" si="369"/>
        <v>0</v>
      </c>
      <c r="AR197" s="524" t="str">
        <f t="shared" ca="1" si="369"/>
        <v/>
      </c>
      <c r="AS197" s="356">
        <f t="shared" ca="1" si="369"/>
        <v>1.0183990766515039E-2</v>
      </c>
      <c r="AT197" s="357">
        <f t="shared" ca="1" si="369"/>
        <v>360</v>
      </c>
      <c r="AU197" s="524" t="str">
        <f t="shared" ca="1" si="369"/>
        <v>A</v>
      </c>
      <c r="AV197" s="1083">
        <f t="shared" ca="1" si="369"/>
        <v>25</v>
      </c>
      <c r="AX197" s="1083" t="str">
        <f t="shared" ref="AX197:AX200" si="370">IF($M$13=$AN$12,"E",IF(ISTEXT(F197),"E","U"))</f>
        <v>U</v>
      </c>
      <c r="AY197" s="1083" t="str">
        <f t="shared" ref="AY197:AY200" si="371">IF($M$13=$AN$12,"E",IF(OR(ISNUMBER(M197),ISNUMBER(O197),ISNUMBER(Q197)),"E","U"))</f>
        <v>U</v>
      </c>
      <c r="AZ197" s="1083" t="str">
        <f t="shared" ref="AZ197:AZ200" si="372">IF($M$13=$AN$12,"E",IF(OR(ISNUMBER(U197),ISNUMBER(V197)),"E","U"))</f>
        <v>U</v>
      </c>
      <c r="BA197" s="1083" t="str">
        <f t="shared" ref="BA197:BA200" si="373">IF($M$13=$AN$12,"E",IF(OR(ISNUMBER(AA197),ISNUMBER(AB197)),"E","U"))</f>
        <v>U</v>
      </c>
      <c r="BB197" s="1083" t="str">
        <f t="shared" ref="BB197:BB200" si="374">IF($M$13=$AN$12,"E",IF(ISNUMBER(AG197),"E","U"))</f>
        <v>U</v>
      </c>
    </row>
    <row r="198" spans="1:54" ht="12" customHeight="1" x14ac:dyDescent="0.2">
      <c r="A198" s="440"/>
      <c r="B198" s="1043"/>
      <c r="C198" s="380"/>
      <c r="D198" s="1037"/>
      <c r="E198" s="1084">
        <f ca="1">IF(AX198="E","",AN198)</f>
        <v>0</v>
      </c>
      <c r="F198" s="1085"/>
      <c r="G198" s="1264"/>
      <c r="H198" s="1264"/>
      <c r="I198" s="1265"/>
      <c r="J198" s="638"/>
      <c r="K198" s="555" t="s">
        <v>95</v>
      </c>
      <c r="L198" s="541"/>
      <c r="M198" s="341"/>
      <c r="N198" s="528" t="s">
        <v>67</v>
      </c>
      <c r="O198" s="345"/>
      <c r="P198" s="543" t="s">
        <v>68</v>
      </c>
      <c r="Q198" s="344"/>
      <c r="R198" s="522" t="s">
        <v>363</v>
      </c>
      <c r="S198" s="353">
        <f t="shared" ca="1" si="360"/>
        <v>0</v>
      </c>
      <c r="T198" s="523"/>
      <c r="U198" s="350"/>
      <c r="V198" s="308"/>
      <c r="W198" s="1090" t="str">
        <f t="shared" ca="1" si="361"/>
        <v/>
      </c>
      <c r="X198" s="1103">
        <f t="shared" ca="1" si="362"/>
        <v>0</v>
      </c>
      <c r="Y198" s="1120">
        <f t="shared" ca="1" si="363"/>
        <v>0</v>
      </c>
      <c r="Z198" s="524"/>
      <c r="AA198" s="350"/>
      <c r="AB198" s="308"/>
      <c r="AC198" s="1090" t="str">
        <f t="shared" ca="1" si="364"/>
        <v/>
      </c>
      <c r="AD198" s="1103">
        <f t="shared" ca="1" si="365"/>
        <v>0</v>
      </c>
      <c r="AE198" s="1120">
        <f t="shared" ca="1" si="366"/>
        <v>0</v>
      </c>
      <c r="AF198" s="525"/>
      <c r="AG198" s="637"/>
      <c r="AH198" s="525"/>
      <c r="AI198" s="1086">
        <f t="shared" ca="1" si="367"/>
        <v>0</v>
      </c>
      <c r="AJ198" s="380"/>
      <c r="AK198" s="440"/>
      <c r="AM198" s="460">
        <v>198</v>
      </c>
      <c r="AN198" s="1087">
        <f t="shared" ca="1" si="368"/>
        <v>0</v>
      </c>
      <c r="AO198" s="1083">
        <f t="shared" ca="1" si="369"/>
        <v>0</v>
      </c>
      <c r="AP198" s="356">
        <f t="shared" ca="1" si="369"/>
        <v>0</v>
      </c>
      <c r="AQ198" s="357">
        <f t="shared" ca="1" si="369"/>
        <v>0</v>
      </c>
      <c r="AR198" s="524" t="str">
        <f t="shared" ca="1" si="369"/>
        <v/>
      </c>
      <c r="AS198" s="356">
        <f t="shared" ca="1" si="369"/>
        <v>0</v>
      </c>
      <c r="AT198" s="357">
        <f t="shared" ca="1" si="369"/>
        <v>0</v>
      </c>
      <c r="AU198" s="524" t="str">
        <f t="shared" ca="1" si="369"/>
        <v/>
      </c>
      <c r="AV198" s="1083">
        <f t="shared" ca="1" si="369"/>
        <v>0</v>
      </c>
      <c r="AX198" s="1083" t="str">
        <f t="shared" si="370"/>
        <v>U</v>
      </c>
      <c r="AY198" s="1083" t="str">
        <f t="shared" si="371"/>
        <v>U</v>
      </c>
      <c r="AZ198" s="1083" t="str">
        <f t="shared" si="372"/>
        <v>U</v>
      </c>
      <c r="BA198" s="1083" t="str">
        <f t="shared" si="373"/>
        <v>U</v>
      </c>
      <c r="BB198" s="1083" t="str">
        <f t="shared" si="374"/>
        <v>U</v>
      </c>
    </row>
    <row r="199" spans="1:54" ht="12" customHeight="1" x14ac:dyDescent="0.2">
      <c r="A199" s="440"/>
      <c r="B199" s="1043"/>
      <c r="C199" s="380"/>
      <c r="D199" s="1037"/>
      <c r="E199" s="1084">
        <f ca="1">IF(AX199="E","",AN199)</f>
        <v>0</v>
      </c>
      <c r="F199" s="1085"/>
      <c r="G199" s="1264"/>
      <c r="H199" s="1264"/>
      <c r="I199" s="1265"/>
      <c r="J199" s="638"/>
      <c r="K199" s="555" t="s">
        <v>95</v>
      </c>
      <c r="L199" s="541"/>
      <c r="M199" s="341"/>
      <c r="N199" s="528" t="s">
        <v>67</v>
      </c>
      <c r="O199" s="345"/>
      <c r="P199" s="543" t="s">
        <v>68</v>
      </c>
      <c r="Q199" s="344"/>
      <c r="R199" s="522" t="s">
        <v>363</v>
      </c>
      <c r="S199" s="353">
        <f t="shared" ca="1" si="360"/>
        <v>0</v>
      </c>
      <c r="T199" s="523"/>
      <c r="U199" s="350"/>
      <c r="V199" s="308"/>
      <c r="W199" s="1090" t="str">
        <f t="shared" ca="1" si="361"/>
        <v/>
      </c>
      <c r="X199" s="1103">
        <f t="shared" ca="1" si="362"/>
        <v>0</v>
      </c>
      <c r="Y199" s="1120">
        <f t="shared" ca="1" si="363"/>
        <v>0</v>
      </c>
      <c r="Z199" s="524"/>
      <c r="AA199" s="350"/>
      <c r="AB199" s="308"/>
      <c r="AC199" s="1090" t="str">
        <f t="shared" ca="1" si="364"/>
        <v/>
      </c>
      <c r="AD199" s="1103">
        <f t="shared" ca="1" si="365"/>
        <v>0</v>
      </c>
      <c r="AE199" s="1120">
        <f t="shared" ca="1" si="366"/>
        <v>0</v>
      </c>
      <c r="AF199" s="525"/>
      <c r="AG199" s="637"/>
      <c r="AH199" s="525"/>
      <c r="AI199" s="1086">
        <f t="shared" ca="1" si="367"/>
        <v>0</v>
      </c>
      <c r="AJ199" s="380"/>
      <c r="AK199" s="440"/>
      <c r="AM199" s="460">
        <v>199</v>
      </c>
      <c r="AN199" s="1087">
        <f t="shared" ca="1" si="368"/>
        <v>0</v>
      </c>
      <c r="AO199" s="1083">
        <f t="shared" ca="1" si="369"/>
        <v>0</v>
      </c>
      <c r="AP199" s="356">
        <f t="shared" ca="1" si="369"/>
        <v>0</v>
      </c>
      <c r="AQ199" s="357">
        <f t="shared" ca="1" si="369"/>
        <v>0</v>
      </c>
      <c r="AR199" s="524" t="str">
        <f t="shared" ca="1" si="369"/>
        <v/>
      </c>
      <c r="AS199" s="356">
        <f t="shared" ca="1" si="369"/>
        <v>0</v>
      </c>
      <c r="AT199" s="357">
        <f t="shared" ca="1" si="369"/>
        <v>0</v>
      </c>
      <c r="AU199" s="524" t="str">
        <f t="shared" ca="1" si="369"/>
        <v/>
      </c>
      <c r="AV199" s="1083">
        <f t="shared" ca="1" si="369"/>
        <v>0</v>
      </c>
      <c r="AX199" s="1083" t="str">
        <f t="shared" si="370"/>
        <v>U</v>
      </c>
      <c r="AY199" s="1083" t="str">
        <f t="shared" si="371"/>
        <v>U</v>
      </c>
      <c r="AZ199" s="1083" t="str">
        <f t="shared" si="372"/>
        <v>U</v>
      </c>
      <c r="BA199" s="1083" t="str">
        <f t="shared" si="373"/>
        <v>U</v>
      </c>
      <c r="BB199" s="1083" t="str">
        <f t="shared" si="374"/>
        <v>U</v>
      </c>
    </row>
    <row r="200" spans="1:54" ht="12" customHeight="1" x14ac:dyDescent="0.2">
      <c r="A200" s="440"/>
      <c r="B200" s="1043"/>
      <c r="C200" s="380"/>
      <c r="D200" s="1037"/>
      <c r="E200" s="1084">
        <f ca="1">IF(AX200="E","",AN200)</f>
        <v>0</v>
      </c>
      <c r="F200" s="1085"/>
      <c r="G200" s="1264"/>
      <c r="H200" s="1264"/>
      <c r="I200" s="1265"/>
      <c r="J200" s="638"/>
      <c r="K200" s="555" t="s">
        <v>95</v>
      </c>
      <c r="L200" s="541"/>
      <c r="M200" s="340"/>
      <c r="N200" s="528" t="s">
        <v>67</v>
      </c>
      <c r="O200" s="339"/>
      <c r="P200" s="543" t="s">
        <v>68</v>
      </c>
      <c r="Q200" s="344"/>
      <c r="R200" s="522" t="s">
        <v>363</v>
      </c>
      <c r="S200" s="353">
        <f t="shared" ca="1" si="360"/>
        <v>0</v>
      </c>
      <c r="T200" s="523"/>
      <c r="U200" s="350"/>
      <c r="V200" s="308"/>
      <c r="W200" s="1090" t="str">
        <f t="shared" ca="1" si="361"/>
        <v/>
      </c>
      <c r="X200" s="1103">
        <f t="shared" ca="1" si="362"/>
        <v>0</v>
      </c>
      <c r="Y200" s="1120">
        <f t="shared" ca="1" si="363"/>
        <v>0</v>
      </c>
      <c r="Z200" s="524"/>
      <c r="AA200" s="350"/>
      <c r="AB200" s="308"/>
      <c r="AC200" s="1090" t="str">
        <f t="shared" ca="1" si="364"/>
        <v/>
      </c>
      <c r="AD200" s="1103">
        <f t="shared" ca="1" si="365"/>
        <v>0</v>
      </c>
      <c r="AE200" s="1120">
        <f t="shared" ca="1" si="366"/>
        <v>0</v>
      </c>
      <c r="AF200" s="525"/>
      <c r="AG200" s="637"/>
      <c r="AH200" s="525"/>
      <c r="AI200" s="1086">
        <f t="shared" ca="1" si="367"/>
        <v>0</v>
      </c>
      <c r="AJ200" s="380"/>
      <c r="AK200" s="440"/>
      <c r="AM200" s="460">
        <v>200</v>
      </c>
      <c r="AN200" s="1087">
        <f t="shared" ca="1" si="368"/>
        <v>0</v>
      </c>
      <c r="AO200" s="1083">
        <f t="shared" ca="1" si="369"/>
        <v>0</v>
      </c>
      <c r="AP200" s="356">
        <f t="shared" ca="1" si="369"/>
        <v>0</v>
      </c>
      <c r="AQ200" s="357">
        <f t="shared" ca="1" si="369"/>
        <v>0</v>
      </c>
      <c r="AR200" s="524" t="str">
        <f t="shared" ca="1" si="369"/>
        <v/>
      </c>
      <c r="AS200" s="356">
        <f t="shared" ca="1" si="369"/>
        <v>0</v>
      </c>
      <c r="AT200" s="357">
        <f t="shared" ca="1" si="369"/>
        <v>0</v>
      </c>
      <c r="AU200" s="524" t="str">
        <f t="shared" ca="1" si="369"/>
        <v/>
      </c>
      <c r="AV200" s="1083">
        <f t="shared" ca="1" si="369"/>
        <v>0</v>
      </c>
      <c r="AX200" s="1083" t="str">
        <f t="shared" si="370"/>
        <v>U</v>
      </c>
      <c r="AY200" s="1083" t="str">
        <f t="shared" si="371"/>
        <v>U</v>
      </c>
      <c r="AZ200" s="1083" t="str">
        <f t="shared" si="372"/>
        <v>U</v>
      </c>
      <c r="BA200" s="1083" t="str">
        <f t="shared" si="373"/>
        <v>U</v>
      </c>
      <c r="BB200" s="1083" t="str">
        <f t="shared" si="374"/>
        <v>U</v>
      </c>
    </row>
    <row r="201" spans="1:54" ht="12" customHeight="1" collapsed="1" x14ac:dyDescent="0.2">
      <c r="A201" s="440"/>
      <c r="B201" s="324"/>
      <c r="C201" s="378"/>
      <c r="D201" s="374"/>
      <c r="E201" s="374"/>
      <c r="F201" s="374"/>
      <c r="G201" s="374"/>
      <c r="H201" s="374"/>
      <c r="I201" s="374"/>
      <c r="J201" s="374"/>
      <c r="K201" s="374"/>
      <c r="L201" s="374"/>
      <c r="M201" s="545"/>
      <c r="N201" s="544"/>
      <c r="O201" s="374"/>
      <c r="P201" s="374"/>
      <c r="Q201" s="374"/>
      <c r="R201" s="374"/>
      <c r="S201" s="374"/>
      <c r="T201" s="374"/>
      <c r="U201" s="374"/>
      <c r="V201" s="374"/>
      <c r="W201" s="1097"/>
      <c r="X201" s="1112"/>
      <c r="Y201" s="1112"/>
      <c r="Z201" s="374"/>
      <c r="AA201" s="374"/>
      <c r="AB201" s="374"/>
      <c r="AC201" s="1097"/>
      <c r="AD201" s="1112"/>
      <c r="AE201" s="1112"/>
      <c r="AF201" s="374"/>
      <c r="AG201" s="374"/>
      <c r="AH201" s="374"/>
      <c r="AI201" s="556"/>
      <c r="AJ201" s="374"/>
      <c r="AK201" s="440"/>
      <c r="AM201" s="460">
        <v>201</v>
      </c>
      <c r="AN201" s="1078"/>
    </row>
    <row r="202" spans="1:54" ht="12" customHeight="1" x14ac:dyDescent="0.2">
      <c r="A202" s="440"/>
      <c r="B202" s="320"/>
      <c r="C202" s="1036"/>
      <c r="D202" s="1036"/>
      <c r="E202" s="1036"/>
      <c r="F202" s="1036"/>
      <c r="G202" s="1036"/>
      <c r="H202" s="1036"/>
      <c r="I202" s="1036"/>
      <c r="J202" s="1036"/>
      <c r="K202" s="503"/>
      <c r="L202" s="503"/>
      <c r="M202" s="549"/>
      <c r="N202" s="1033"/>
      <c r="O202" s="379"/>
      <c r="P202" s="379"/>
      <c r="Q202" s="379"/>
      <c r="R202" s="379"/>
      <c r="S202" s="379"/>
      <c r="T202" s="379"/>
      <c r="U202" s="1598"/>
      <c r="V202" s="1598"/>
      <c r="W202" s="1095"/>
      <c r="X202" s="1113"/>
      <c r="Y202" s="1113"/>
      <c r="Z202" s="379"/>
      <c r="AA202" s="1598"/>
      <c r="AB202" s="1598"/>
      <c r="AC202" s="1095"/>
      <c r="AD202" s="1113"/>
      <c r="AE202" s="1113"/>
      <c r="AF202" s="379"/>
      <c r="AG202" s="379"/>
      <c r="AH202" s="379"/>
      <c r="AI202" s="481"/>
      <c r="AJ202" s="379"/>
      <c r="AK202" s="440"/>
      <c r="AM202" s="460">
        <v>202</v>
      </c>
      <c r="AN202" s="1078"/>
    </row>
    <row r="203" spans="1:54" ht="12" customHeight="1" x14ac:dyDescent="0.2">
      <c r="A203" s="440"/>
      <c r="B203" s="320"/>
      <c r="C203" s="1036"/>
      <c r="D203" s="1036"/>
      <c r="E203" s="1036"/>
      <c r="F203" s="1036"/>
      <c r="G203" s="1036"/>
      <c r="H203" s="1036"/>
      <c r="I203" s="1036"/>
      <c r="J203" s="1036"/>
      <c r="K203" s="503"/>
      <c r="L203" s="503"/>
      <c r="M203" s="498"/>
      <c r="N203" s="503"/>
      <c r="O203" s="1036"/>
      <c r="P203" s="1036"/>
      <c r="Q203" s="1036"/>
      <c r="R203" s="1036"/>
      <c r="S203" s="372"/>
      <c r="T203" s="372"/>
      <c r="U203" s="372"/>
      <c r="V203" s="372"/>
      <c r="W203" s="1096"/>
      <c r="X203" s="1110"/>
      <c r="Y203" s="1110"/>
      <c r="Z203" s="372"/>
      <c r="AA203" s="372"/>
      <c r="AB203" s="372"/>
      <c r="AC203" s="1096"/>
      <c r="AD203" s="1110"/>
      <c r="AE203" s="1110"/>
      <c r="AF203" s="372"/>
      <c r="AG203" s="372"/>
      <c r="AH203" s="372"/>
      <c r="AI203" s="482"/>
      <c r="AJ203" s="372"/>
      <c r="AK203" s="440"/>
      <c r="AM203" s="460">
        <v>203</v>
      </c>
      <c r="AN203" s="1078"/>
    </row>
    <row r="204" spans="1:54" ht="14.25" customHeight="1" x14ac:dyDescent="0.25">
      <c r="A204" s="440"/>
      <c r="B204" s="499">
        <v>5</v>
      </c>
      <c r="C204" s="494"/>
      <c r="D204" s="495"/>
      <c r="E204" s="1606" t="s">
        <v>13</v>
      </c>
      <c r="F204" s="1606"/>
      <c r="G204" s="1606"/>
      <c r="H204" s="1606"/>
      <c r="I204" s="1597"/>
      <c r="J204" s="1038"/>
      <c r="K204" s="462"/>
      <c r="L204" s="462"/>
      <c r="M204" s="498"/>
      <c r="N204" s="359"/>
      <c r="O204" s="363"/>
      <c r="P204" s="363"/>
      <c r="Q204" s="363"/>
      <c r="R204" s="363"/>
      <c r="S204" s="385">
        <f ca="1">S205</f>
        <v>164110.95600000001</v>
      </c>
      <c r="T204" s="363"/>
      <c r="U204" s="363"/>
      <c r="V204" s="363"/>
      <c r="W204" s="1093"/>
      <c r="X204" s="1116"/>
      <c r="Y204" s="1116"/>
      <c r="Z204" s="363"/>
      <c r="AA204" s="363"/>
      <c r="AB204" s="363"/>
      <c r="AC204" s="1093"/>
      <c r="AD204" s="1116"/>
      <c r="AE204" s="1116"/>
      <c r="AF204" s="363"/>
      <c r="AG204" s="363"/>
      <c r="AH204" s="363"/>
      <c r="AI204" s="358"/>
      <c r="AJ204" s="363"/>
      <c r="AK204" s="440"/>
      <c r="AM204" s="460">
        <v>204</v>
      </c>
      <c r="AN204" s="1078"/>
    </row>
    <row r="205" spans="1:54" ht="14.25" customHeight="1" x14ac:dyDescent="0.25">
      <c r="A205" s="440"/>
      <c r="B205" s="1042"/>
      <c r="C205" s="1036" t="s">
        <v>12</v>
      </c>
      <c r="D205" s="494"/>
      <c r="E205" s="1596" t="s">
        <v>11</v>
      </c>
      <c r="F205" s="1596"/>
      <c r="G205" s="1596"/>
      <c r="H205" s="1596"/>
      <c r="I205" s="1632"/>
      <c r="J205" s="1038"/>
      <c r="K205" s="462"/>
      <c r="L205" s="462"/>
      <c r="M205" s="498"/>
      <c r="N205" s="359"/>
      <c r="O205" s="363"/>
      <c r="P205" s="363"/>
      <c r="Q205" s="363"/>
      <c r="R205" s="363"/>
      <c r="S205" s="355">
        <f ca="1">SUBTOTAL(109,S207:S211)</f>
        <v>164110.95600000001</v>
      </c>
      <c r="T205" s="363"/>
      <c r="U205" s="363"/>
      <c r="V205" s="377"/>
      <c r="W205" s="1093"/>
      <c r="X205" s="1116"/>
      <c r="Y205" s="1125"/>
      <c r="Z205" s="363"/>
      <c r="AA205" s="363"/>
      <c r="AB205" s="377"/>
      <c r="AC205" s="1093"/>
      <c r="AD205" s="1116"/>
      <c r="AE205" s="1125"/>
      <c r="AF205" s="363"/>
      <c r="AG205" s="363"/>
      <c r="AH205" s="363"/>
      <c r="AI205" s="358"/>
      <c r="AJ205" s="363"/>
      <c r="AK205" s="440"/>
      <c r="AM205" s="460">
        <v>205</v>
      </c>
      <c r="AN205" s="1078"/>
    </row>
    <row r="206" spans="1:54" ht="14.25" customHeight="1" x14ac:dyDescent="0.25">
      <c r="A206" s="440"/>
      <c r="B206" s="1042"/>
      <c r="C206" s="1036"/>
      <c r="D206" s="494"/>
      <c r="E206" s="1036"/>
      <c r="F206" s="1036"/>
      <c r="G206" s="1036"/>
      <c r="H206" s="1036"/>
      <c r="I206" s="1035"/>
      <c r="J206" s="1038"/>
      <c r="K206" s="462"/>
      <c r="L206" s="462"/>
      <c r="M206" s="498"/>
      <c r="N206" s="359"/>
      <c r="O206" s="363"/>
      <c r="P206" s="363"/>
      <c r="Q206" s="363"/>
      <c r="R206" s="363"/>
      <c r="S206" s="355"/>
      <c r="T206" s="363"/>
      <c r="U206" s="363"/>
      <c r="V206" s="377"/>
      <c r="W206" s="1093"/>
      <c r="X206" s="1116"/>
      <c r="Y206" s="1125"/>
      <c r="Z206" s="363"/>
      <c r="AA206" s="363"/>
      <c r="AB206" s="377"/>
      <c r="AC206" s="1093"/>
      <c r="AD206" s="1116"/>
      <c r="AE206" s="1125"/>
      <c r="AF206" s="363"/>
      <c r="AG206" s="363"/>
      <c r="AH206" s="363"/>
      <c r="AI206" s="358"/>
      <c r="AJ206" s="363"/>
      <c r="AK206" s="440"/>
      <c r="AM206" s="460">
        <v>206</v>
      </c>
      <c r="AN206" s="1078"/>
    </row>
    <row r="207" spans="1:54" ht="12" customHeight="1" x14ac:dyDescent="0.2">
      <c r="A207" s="440"/>
      <c r="B207" s="1043"/>
      <c r="C207" s="380"/>
      <c r="D207" s="380"/>
      <c r="E207" s="1084" t="str">
        <f ca="1">IF(AX207="E","",AN207)</f>
        <v>Elektroaussbau</v>
      </c>
      <c r="F207" s="1085"/>
      <c r="G207" s="1264"/>
      <c r="H207" s="1264"/>
      <c r="I207" s="1265"/>
      <c r="J207" s="559"/>
      <c r="K207" s="463"/>
      <c r="L207" s="463"/>
      <c r="M207" s="339"/>
      <c r="N207" s="361"/>
      <c r="O207" s="339"/>
      <c r="P207" s="365"/>
      <c r="Q207" s="344"/>
      <c r="R207" s="522" t="s">
        <v>363</v>
      </c>
      <c r="S207" s="353">
        <f t="shared" ref="S207:S211" ca="1" si="375">IF(AY207="E",(M207*O207)+Q207,AO207)</f>
        <v>164110.95600000001</v>
      </c>
      <c r="T207" s="523"/>
      <c r="U207" s="350"/>
      <c r="V207" s="308"/>
      <c r="W207" s="1090" t="str">
        <f t="shared" ref="W207:W211" ca="1" si="376">IF(AZ207="E",IF(AND(V207&lt;&gt;0,U207&lt;&gt;0),"X",IF(AND(V207&lt;&gt;0,U207=0),"A",IF(AND(V207=0,U207&lt;&gt;0),"P",""))),AR207)</f>
        <v/>
      </c>
      <c r="X207" s="1103">
        <f t="shared" ref="X207:X211" ca="1" si="377">IF(AZ207="E",IFERROR(IF(W207="X",0,IF(U207&gt;0,U207,V207/S207)),0),
IFERROR(IF(OR(AR207="X",AR207=0),0,
IF(AR207="P",AP207,IF(AR207="A",AQ207/S207,0))),0))</f>
        <v>0</v>
      </c>
      <c r="Y207" s="1120">
        <f t="shared" ref="Y207:Y211" ca="1" si="378">IF(AZ207="E",IFERROR(IF(W207="X",0,IF(V207&gt;0,V207,S207*U207)),0),
IFERROR(IF(OR(AR207="X",AR207="0"),0,IF(AR207="A",AQ207,S207*AP207)),0))</f>
        <v>0</v>
      </c>
      <c r="Z207" s="524"/>
      <c r="AA207" s="350"/>
      <c r="AB207" s="308"/>
      <c r="AC207" s="1090" t="str">
        <f t="shared" ref="AC207:AC211" ca="1" si="379">IF(BA207="E",IF(AND(AB207&lt;&gt;0,AA207&lt;&gt;0),"X",IF(AND(AB207&lt;&gt;0,AA207=0),"A",IF(AND(AB207=0,AA207&lt;&gt;0),"P",""))),AU207)</f>
        <v/>
      </c>
      <c r="AD207" s="1103">
        <f t="shared" ref="AD207:AD211" ca="1" si="380">IF(BA207="E",IFERROR(IF(AC207="X",0,IF(AA207&gt;0,AA207,AB207/S207)),0),
IFERROR(IF(OR(AU207="X",AU207=0),0,
IF(AU207="P",AS207,IF(AU207="A",AT207/S207,0))),0))</f>
        <v>0</v>
      </c>
      <c r="AE207" s="1120">
        <f t="shared" ref="AE207:AE211" ca="1" si="381">IF(BA207="E",IFERROR(IF(AC207="X",0,IF(AB207&gt;0,AB207,S207*AA207)),0),
IFERROR(IF(OR(AU207="X",AU207=0),0,
IF(AU207="A",AT207,S207*AS207)),0))</f>
        <v>0</v>
      </c>
      <c r="AF207" s="525"/>
      <c r="AG207" s="637"/>
      <c r="AH207" s="525"/>
      <c r="AI207" s="1086">
        <f t="shared" ref="AI207:AI211" ca="1" si="382">IF(BB207="E",AG207,AV207)</f>
        <v>50</v>
      </c>
      <c r="AJ207" s="380"/>
      <c r="AK207" s="440"/>
      <c r="AM207" s="460">
        <v>207</v>
      </c>
      <c r="AN207" s="1087" t="str">
        <f t="shared" ref="AN207:AN211" ca="1" si="383">IF($M$13=$AN$12,"",IF(ISTEXT(INDIRECT("'"&amp;$AM$20&amp;"'!"&amp;AN$21&amp;$AM207)),INDIRECT("'"&amp;$AM$20&amp;"'!"&amp;AN$21&amp;$AM207),INDIRECT("'"&amp;$AM$20&amp;"'!"&amp;AN$22&amp;$AM207)))</f>
        <v>Elektroaussbau</v>
      </c>
      <c r="AO207" s="1083">
        <f t="shared" ref="AO207:AV211" ca="1" si="384">IF($M$13=$AN$12,"",INDIRECT("'"&amp;$AM$20&amp;"'!"&amp;AO$21&amp;$AM207))</f>
        <v>164110.95600000001</v>
      </c>
      <c r="AP207" s="356">
        <f t="shared" ca="1" si="384"/>
        <v>0</v>
      </c>
      <c r="AQ207" s="357">
        <f t="shared" ca="1" si="384"/>
        <v>0</v>
      </c>
      <c r="AR207" s="524" t="str">
        <f t="shared" ca="1" si="384"/>
        <v/>
      </c>
      <c r="AS207" s="356">
        <f t="shared" ca="1" si="384"/>
        <v>0</v>
      </c>
      <c r="AT207" s="357">
        <f t="shared" ca="1" si="384"/>
        <v>0</v>
      </c>
      <c r="AU207" s="524" t="str">
        <f t="shared" ca="1" si="384"/>
        <v/>
      </c>
      <c r="AV207" s="1083">
        <f t="shared" ca="1" si="384"/>
        <v>50</v>
      </c>
      <c r="AX207" s="1083" t="str">
        <f t="shared" ref="AX207:AX211" si="385">IF($M$13=$AN$12,"E",IF(ISTEXT(F207),"E","U"))</f>
        <v>U</v>
      </c>
      <c r="AY207" s="1083" t="str">
        <f t="shared" ref="AY207:AY211" si="386">IF($M$13=$AN$12,"E",IF(OR(ISNUMBER(M207),ISNUMBER(O207),ISNUMBER(Q207)),"E","U"))</f>
        <v>U</v>
      </c>
      <c r="AZ207" s="1083" t="str">
        <f t="shared" ref="AZ207:AZ211" si="387">IF($M$13=$AN$12,"E",IF(OR(ISNUMBER(U207),ISNUMBER(V207)),"E","U"))</f>
        <v>U</v>
      </c>
      <c r="BA207" s="1083" t="str">
        <f t="shared" ref="BA207:BA211" si="388">IF($M$13=$AN$12,"E",IF(OR(ISNUMBER(AA207),ISNUMBER(AB207)),"E","U"))</f>
        <v>U</v>
      </c>
      <c r="BB207" s="1083" t="str">
        <f t="shared" ref="BB207:BB211" si="389">IF($M$13=$AN$12,"E",IF(ISNUMBER(AG207),"E","U"))</f>
        <v>U</v>
      </c>
    </row>
    <row r="208" spans="1:54" ht="12" customHeight="1" x14ac:dyDescent="0.2">
      <c r="A208" s="440"/>
      <c r="B208" s="1043"/>
      <c r="C208" s="380"/>
      <c r="D208" s="380"/>
      <c r="E208" s="1084">
        <f ca="1">IF(AX208="E","",AN208)</f>
        <v>0</v>
      </c>
      <c r="F208" s="1085"/>
      <c r="G208" s="1264"/>
      <c r="H208" s="1264"/>
      <c r="I208" s="1265"/>
      <c r="J208" s="559"/>
      <c r="K208" s="463"/>
      <c r="L208" s="463"/>
      <c r="M208" s="339"/>
      <c r="N208" s="361"/>
      <c r="O208" s="339"/>
      <c r="P208" s="365"/>
      <c r="Q208" s="344"/>
      <c r="R208" s="522" t="s">
        <v>363</v>
      </c>
      <c r="S208" s="353">
        <f t="shared" ca="1" si="375"/>
        <v>0</v>
      </c>
      <c r="T208" s="523"/>
      <c r="U208" s="350"/>
      <c r="V208" s="308"/>
      <c r="W208" s="1090" t="str">
        <f t="shared" ca="1" si="376"/>
        <v/>
      </c>
      <c r="X208" s="1103">
        <f t="shared" ca="1" si="377"/>
        <v>0</v>
      </c>
      <c r="Y208" s="1120">
        <f t="shared" ca="1" si="378"/>
        <v>0</v>
      </c>
      <c r="Z208" s="524"/>
      <c r="AA208" s="350"/>
      <c r="AB208" s="308"/>
      <c r="AC208" s="1090" t="str">
        <f t="shared" ca="1" si="379"/>
        <v/>
      </c>
      <c r="AD208" s="1103">
        <f t="shared" ca="1" si="380"/>
        <v>0</v>
      </c>
      <c r="AE208" s="1120">
        <f t="shared" ca="1" si="381"/>
        <v>0</v>
      </c>
      <c r="AF208" s="525"/>
      <c r="AG208" s="637"/>
      <c r="AH208" s="525"/>
      <c r="AI208" s="1086">
        <f t="shared" ca="1" si="382"/>
        <v>0</v>
      </c>
      <c r="AJ208" s="380"/>
      <c r="AK208" s="440"/>
      <c r="AM208" s="460">
        <v>208</v>
      </c>
      <c r="AN208" s="1087">
        <f t="shared" ca="1" si="383"/>
        <v>0</v>
      </c>
      <c r="AO208" s="1083">
        <f t="shared" ca="1" si="384"/>
        <v>0</v>
      </c>
      <c r="AP208" s="356">
        <f t="shared" ca="1" si="384"/>
        <v>0</v>
      </c>
      <c r="AQ208" s="357">
        <f t="shared" ca="1" si="384"/>
        <v>0</v>
      </c>
      <c r="AR208" s="524" t="str">
        <f t="shared" ca="1" si="384"/>
        <v/>
      </c>
      <c r="AS208" s="356">
        <f t="shared" ca="1" si="384"/>
        <v>0</v>
      </c>
      <c r="AT208" s="357">
        <f t="shared" ca="1" si="384"/>
        <v>0</v>
      </c>
      <c r="AU208" s="524" t="str">
        <f t="shared" ca="1" si="384"/>
        <v/>
      </c>
      <c r="AV208" s="1083">
        <f t="shared" ca="1" si="384"/>
        <v>0</v>
      </c>
      <c r="AX208" s="1083" t="str">
        <f t="shared" si="385"/>
        <v>U</v>
      </c>
      <c r="AY208" s="1083" t="str">
        <f t="shared" si="386"/>
        <v>U</v>
      </c>
      <c r="AZ208" s="1083" t="str">
        <f t="shared" si="387"/>
        <v>U</v>
      </c>
      <c r="BA208" s="1083" t="str">
        <f t="shared" si="388"/>
        <v>U</v>
      </c>
      <c r="BB208" s="1083" t="str">
        <f t="shared" si="389"/>
        <v>U</v>
      </c>
    </row>
    <row r="209" spans="1:54" ht="12" customHeight="1" x14ac:dyDescent="0.2">
      <c r="A209" s="440"/>
      <c r="B209" s="1043"/>
      <c r="C209" s="380"/>
      <c r="D209" s="380"/>
      <c r="E209" s="1084">
        <f ca="1">IF(AX209="E","",AN209)</f>
        <v>0</v>
      </c>
      <c r="F209" s="1085"/>
      <c r="G209" s="1264"/>
      <c r="H209" s="1264"/>
      <c r="I209" s="1265"/>
      <c r="J209" s="559"/>
      <c r="K209" s="463"/>
      <c r="L209" s="463"/>
      <c r="M209" s="339"/>
      <c r="N209" s="361"/>
      <c r="O209" s="339"/>
      <c r="P209" s="365"/>
      <c r="Q209" s="344"/>
      <c r="R209" s="522" t="s">
        <v>363</v>
      </c>
      <c r="S209" s="353">
        <f t="shared" ca="1" si="375"/>
        <v>0</v>
      </c>
      <c r="T209" s="523"/>
      <c r="U209" s="350"/>
      <c r="V209" s="308"/>
      <c r="W209" s="1090" t="str">
        <f t="shared" ca="1" si="376"/>
        <v/>
      </c>
      <c r="X209" s="1103">
        <f t="shared" ca="1" si="377"/>
        <v>0</v>
      </c>
      <c r="Y209" s="1120">
        <f t="shared" ca="1" si="378"/>
        <v>0</v>
      </c>
      <c r="Z209" s="524"/>
      <c r="AA209" s="350"/>
      <c r="AB209" s="308"/>
      <c r="AC209" s="1090" t="str">
        <f t="shared" ca="1" si="379"/>
        <v/>
      </c>
      <c r="AD209" s="1103">
        <f t="shared" ca="1" si="380"/>
        <v>0</v>
      </c>
      <c r="AE209" s="1120">
        <f t="shared" ca="1" si="381"/>
        <v>0</v>
      </c>
      <c r="AF209" s="525"/>
      <c r="AG209" s="637"/>
      <c r="AH209" s="525"/>
      <c r="AI209" s="1086">
        <f t="shared" ca="1" si="382"/>
        <v>0</v>
      </c>
      <c r="AJ209" s="380"/>
      <c r="AK209" s="440"/>
      <c r="AM209" s="460">
        <v>209</v>
      </c>
      <c r="AN209" s="1087">
        <f t="shared" ca="1" si="383"/>
        <v>0</v>
      </c>
      <c r="AO209" s="1083">
        <f t="shared" ca="1" si="384"/>
        <v>0</v>
      </c>
      <c r="AP209" s="356">
        <f t="shared" ca="1" si="384"/>
        <v>0</v>
      </c>
      <c r="AQ209" s="357">
        <f t="shared" ca="1" si="384"/>
        <v>0</v>
      </c>
      <c r="AR209" s="524" t="str">
        <f t="shared" ca="1" si="384"/>
        <v/>
      </c>
      <c r="AS209" s="356">
        <f t="shared" ca="1" si="384"/>
        <v>0</v>
      </c>
      <c r="AT209" s="357">
        <f t="shared" ca="1" si="384"/>
        <v>0</v>
      </c>
      <c r="AU209" s="524" t="str">
        <f t="shared" ca="1" si="384"/>
        <v/>
      </c>
      <c r="AV209" s="1083">
        <f t="shared" ca="1" si="384"/>
        <v>0</v>
      </c>
      <c r="AX209" s="1083" t="str">
        <f t="shared" si="385"/>
        <v>U</v>
      </c>
      <c r="AY209" s="1083" t="str">
        <f t="shared" si="386"/>
        <v>U</v>
      </c>
      <c r="AZ209" s="1083" t="str">
        <f t="shared" si="387"/>
        <v>U</v>
      </c>
      <c r="BA209" s="1083" t="str">
        <f t="shared" si="388"/>
        <v>U</v>
      </c>
      <c r="BB209" s="1083" t="str">
        <f t="shared" si="389"/>
        <v>U</v>
      </c>
    </row>
    <row r="210" spans="1:54" ht="12" customHeight="1" x14ac:dyDescent="0.2">
      <c r="A210" s="440"/>
      <c r="B210" s="1043"/>
      <c r="C210" s="380"/>
      <c r="D210" s="380"/>
      <c r="E210" s="1084">
        <f ca="1">IF(AX210="E","",AN210)</f>
        <v>0</v>
      </c>
      <c r="F210" s="1085"/>
      <c r="G210" s="1264"/>
      <c r="H210" s="1264"/>
      <c r="I210" s="1265"/>
      <c r="J210" s="559"/>
      <c r="K210" s="463"/>
      <c r="L210" s="463"/>
      <c r="M210" s="339"/>
      <c r="N210" s="361"/>
      <c r="O210" s="339"/>
      <c r="P210" s="365"/>
      <c r="Q210" s="344"/>
      <c r="R210" s="522" t="s">
        <v>363</v>
      </c>
      <c r="S210" s="353">
        <f t="shared" ca="1" si="375"/>
        <v>0</v>
      </c>
      <c r="T210" s="523"/>
      <c r="U210" s="350"/>
      <c r="V210" s="308"/>
      <c r="W210" s="1090" t="str">
        <f t="shared" ca="1" si="376"/>
        <v/>
      </c>
      <c r="X210" s="1103">
        <f t="shared" ca="1" si="377"/>
        <v>0</v>
      </c>
      <c r="Y210" s="1120">
        <f t="shared" ca="1" si="378"/>
        <v>0</v>
      </c>
      <c r="Z210" s="524"/>
      <c r="AA210" s="350"/>
      <c r="AB210" s="308"/>
      <c r="AC210" s="1090" t="str">
        <f t="shared" ca="1" si="379"/>
        <v/>
      </c>
      <c r="AD210" s="1103">
        <f t="shared" ca="1" si="380"/>
        <v>0</v>
      </c>
      <c r="AE210" s="1120">
        <f t="shared" ca="1" si="381"/>
        <v>0</v>
      </c>
      <c r="AF210" s="525"/>
      <c r="AG210" s="637"/>
      <c r="AH210" s="525"/>
      <c r="AI210" s="1086">
        <f t="shared" ca="1" si="382"/>
        <v>0</v>
      </c>
      <c r="AJ210" s="380"/>
      <c r="AK210" s="440"/>
      <c r="AM210" s="460">
        <v>210</v>
      </c>
      <c r="AN210" s="1087">
        <f t="shared" ca="1" si="383"/>
        <v>0</v>
      </c>
      <c r="AO210" s="1083">
        <f t="shared" ca="1" si="384"/>
        <v>0</v>
      </c>
      <c r="AP210" s="356">
        <f t="shared" ca="1" si="384"/>
        <v>0</v>
      </c>
      <c r="AQ210" s="357">
        <f t="shared" ca="1" si="384"/>
        <v>0</v>
      </c>
      <c r="AR210" s="524" t="str">
        <f t="shared" ca="1" si="384"/>
        <v/>
      </c>
      <c r="AS210" s="356">
        <f t="shared" ca="1" si="384"/>
        <v>0</v>
      </c>
      <c r="AT210" s="357">
        <f t="shared" ca="1" si="384"/>
        <v>0</v>
      </c>
      <c r="AU210" s="524" t="str">
        <f t="shared" ca="1" si="384"/>
        <v/>
      </c>
      <c r="AV210" s="1083">
        <f t="shared" ca="1" si="384"/>
        <v>0</v>
      </c>
      <c r="AX210" s="1083" t="str">
        <f t="shared" si="385"/>
        <v>U</v>
      </c>
      <c r="AY210" s="1083" t="str">
        <f t="shared" si="386"/>
        <v>U</v>
      </c>
      <c r="AZ210" s="1083" t="str">
        <f t="shared" si="387"/>
        <v>U</v>
      </c>
      <c r="BA210" s="1083" t="str">
        <f t="shared" si="388"/>
        <v>U</v>
      </c>
      <c r="BB210" s="1083" t="str">
        <f t="shared" si="389"/>
        <v>U</v>
      </c>
    </row>
    <row r="211" spans="1:54" ht="12" customHeight="1" x14ac:dyDescent="0.2">
      <c r="A211" s="440"/>
      <c r="B211" s="1043"/>
      <c r="C211" s="380"/>
      <c r="D211" s="380"/>
      <c r="E211" s="1084">
        <f ca="1">IF(AX211="E","",AN211)</f>
        <v>0</v>
      </c>
      <c r="F211" s="1085"/>
      <c r="G211" s="1264"/>
      <c r="H211" s="1264"/>
      <c r="I211" s="1265"/>
      <c r="J211" s="559"/>
      <c r="K211" s="463"/>
      <c r="L211" s="463"/>
      <c r="M211" s="339"/>
      <c r="N211" s="361"/>
      <c r="O211" s="339"/>
      <c r="P211" s="365"/>
      <c r="Q211" s="344"/>
      <c r="R211" s="522" t="s">
        <v>363</v>
      </c>
      <c r="S211" s="353">
        <f t="shared" ca="1" si="375"/>
        <v>0</v>
      </c>
      <c r="T211" s="523"/>
      <c r="U211" s="350"/>
      <c r="V211" s="308"/>
      <c r="W211" s="1090" t="str">
        <f t="shared" ca="1" si="376"/>
        <v/>
      </c>
      <c r="X211" s="1103">
        <f t="shared" ca="1" si="377"/>
        <v>0</v>
      </c>
      <c r="Y211" s="1120">
        <f t="shared" ca="1" si="378"/>
        <v>0</v>
      </c>
      <c r="Z211" s="524"/>
      <c r="AA211" s="350"/>
      <c r="AB211" s="308"/>
      <c r="AC211" s="1090" t="str">
        <f t="shared" ca="1" si="379"/>
        <v/>
      </c>
      <c r="AD211" s="1103">
        <f t="shared" ca="1" si="380"/>
        <v>0</v>
      </c>
      <c r="AE211" s="1120">
        <f t="shared" ca="1" si="381"/>
        <v>0</v>
      </c>
      <c r="AF211" s="525"/>
      <c r="AG211" s="637"/>
      <c r="AH211" s="525"/>
      <c r="AI211" s="1086">
        <f t="shared" ca="1" si="382"/>
        <v>0</v>
      </c>
      <c r="AJ211" s="380"/>
      <c r="AK211" s="440"/>
      <c r="AM211" s="460">
        <v>211</v>
      </c>
      <c r="AN211" s="1087">
        <f t="shared" ca="1" si="383"/>
        <v>0</v>
      </c>
      <c r="AO211" s="1083">
        <f t="shared" ca="1" si="384"/>
        <v>0</v>
      </c>
      <c r="AP211" s="356">
        <f t="shared" ca="1" si="384"/>
        <v>0</v>
      </c>
      <c r="AQ211" s="357">
        <f t="shared" ca="1" si="384"/>
        <v>0</v>
      </c>
      <c r="AR211" s="524" t="str">
        <f t="shared" ca="1" si="384"/>
        <v/>
      </c>
      <c r="AS211" s="356">
        <f t="shared" ca="1" si="384"/>
        <v>0</v>
      </c>
      <c r="AT211" s="357">
        <f t="shared" ca="1" si="384"/>
        <v>0</v>
      </c>
      <c r="AU211" s="524" t="str">
        <f t="shared" ca="1" si="384"/>
        <v/>
      </c>
      <c r="AV211" s="1083">
        <f t="shared" ca="1" si="384"/>
        <v>0</v>
      </c>
      <c r="AX211" s="1083" t="str">
        <f t="shared" si="385"/>
        <v>U</v>
      </c>
      <c r="AY211" s="1083" t="str">
        <f t="shared" si="386"/>
        <v>U</v>
      </c>
      <c r="AZ211" s="1083" t="str">
        <f t="shared" si="387"/>
        <v>U</v>
      </c>
      <c r="BA211" s="1083" t="str">
        <f t="shared" si="388"/>
        <v>U</v>
      </c>
      <c r="BB211" s="1083" t="str">
        <f t="shared" si="389"/>
        <v>U</v>
      </c>
    </row>
    <row r="212" spans="1:54" ht="12" customHeight="1" collapsed="1" x14ac:dyDescent="0.2">
      <c r="A212" s="440"/>
      <c r="B212" s="324"/>
      <c r="C212" s="378"/>
      <c r="D212" s="378"/>
      <c r="E212" s="378"/>
      <c r="F212" s="378"/>
      <c r="G212" s="378"/>
      <c r="H212" s="378"/>
      <c r="I212" s="378"/>
      <c r="J212" s="378"/>
      <c r="K212" s="378"/>
      <c r="L212" s="378"/>
      <c r="M212" s="560"/>
      <c r="N212" s="561"/>
      <c r="O212" s="378"/>
      <c r="P212" s="378"/>
      <c r="Q212" s="378"/>
      <c r="R212" s="378"/>
      <c r="S212" s="378"/>
      <c r="T212" s="378"/>
      <c r="U212" s="378"/>
      <c r="V212" s="378"/>
      <c r="W212" s="1098"/>
      <c r="X212" s="1117"/>
      <c r="Y212" s="1117"/>
      <c r="Z212" s="378"/>
      <c r="AA212" s="378"/>
      <c r="AB212" s="378"/>
      <c r="AC212" s="1098"/>
      <c r="AD212" s="1117"/>
      <c r="AE212" s="1117"/>
      <c r="AF212" s="378"/>
      <c r="AG212" s="378"/>
      <c r="AH212" s="378"/>
      <c r="AI212" s="562"/>
      <c r="AJ212" s="378"/>
      <c r="AK212" s="440"/>
      <c r="AM212" s="460">
        <v>212</v>
      </c>
      <c r="AN212" s="1078"/>
    </row>
    <row r="213" spans="1:54" ht="12" customHeight="1" x14ac:dyDescent="0.2">
      <c r="A213" s="440"/>
      <c r="B213" s="320"/>
      <c r="C213" s="1036"/>
      <c r="D213" s="1036"/>
      <c r="E213" s="1036"/>
      <c r="F213" s="1036"/>
      <c r="G213" s="1036"/>
      <c r="H213" s="1036"/>
      <c r="I213" s="1036"/>
      <c r="J213" s="1036"/>
      <c r="K213" s="503"/>
      <c r="L213" s="503"/>
      <c r="M213" s="549"/>
      <c r="N213" s="1033"/>
      <c r="O213" s="379"/>
      <c r="P213" s="379"/>
      <c r="Q213" s="379"/>
      <c r="R213" s="379"/>
      <c r="S213" s="379"/>
      <c r="T213" s="379"/>
      <c r="U213" s="379"/>
      <c r="V213" s="379"/>
      <c r="W213" s="1099"/>
      <c r="X213" s="1118"/>
      <c r="Y213" s="1118"/>
      <c r="Z213" s="379"/>
      <c r="AA213" s="379"/>
      <c r="AB213" s="379"/>
      <c r="AC213" s="1099"/>
      <c r="AD213" s="1118"/>
      <c r="AE213" s="1118"/>
      <c r="AF213" s="379"/>
      <c r="AG213" s="379"/>
      <c r="AH213" s="379"/>
      <c r="AI213" s="481"/>
      <c r="AJ213" s="379"/>
      <c r="AK213" s="440"/>
      <c r="AM213" s="460">
        <v>213</v>
      </c>
      <c r="AN213" s="1078"/>
    </row>
    <row r="214" spans="1:54" ht="12" customHeight="1" x14ac:dyDescent="0.2">
      <c r="A214" s="440"/>
      <c r="B214" s="320"/>
      <c r="C214" s="1036"/>
      <c r="D214" s="1036"/>
      <c r="E214" s="1036"/>
      <c r="F214" s="1036"/>
      <c r="G214" s="1036"/>
      <c r="H214" s="1036"/>
      <c r="I214" s="1036"/>
      <c r="J214" s="1036"/>
      <c r="K214" s="503"/>
      <c r="L214" s="503"/>
      <c r="M214" s="498"/>
      <c r="N214" s="503"/>
      <c r="O214" s="1036"/>
      <c r="P214" s="1036"/>
      <c r="Q214" s="1036"/>
      <c r="R214" s="1036"/>
      <c r="S214" s="372"/>
      <c r="T214" s="372"/>
      <c r="U214" s="372"/>
      <c r="V214" s="372"/>
      <c r="W214" s="1096"/>
      <c r="X214" s="1110"/>
      <c r="Y214" s="1110"/>
      <c r="Z214" s="372"/>
      <c r="AA214" s="372"/>
      <c r="AB214" s="372"/>
      <c r="AC214" s="1096"/>
      <c r="AD214" s="1110"/>
      <c r="AE214" s="1110"/>
      <c r="AF214" s="372"/>
      <c r="AG214" s="372"/>
      <c r="AH214" s="372"/>
      <c r="AI214" s="482"/>
      <c r="AJ214" s="372"/>
      <c r="AK214" s="440"/>
      <c r="AM214" s="460">
        <v>214</v>
      </c>
      <c r="AN214" s="1078"/>
    </row>
    <row r="215" spans="1:54" ht="12" customHeight="1" x14ac:dyDescent="0.25">
      <c r="A215" s="440"/>
      <c r="B215" s="499">
        <v>6</v>
      </c>
      <c r="C215" s="495"/>
      <c r="D215" s="495"/>
      <c r="E215" s="1606" t="s">
        <v>10</v>
      </c>
      <c r="F215" s="1606"/>
      <c r="G215" s="1606"/>
      <c r="H215" s="1606"/>
      <c r="I215" s="1605"/>
      <c r="J215" s="1038"/>
      <c r="K215" s="502"/>
      <c r="L215" s="502"/>
      <c r="M215" s="498"/>
      <c r="N215" s="503"/>
      <c r="O215" s="1036"/>
      <c r="P215" s="1036"/>
      <c r="Q215" s="1036"/>
      <c r="R215" s="1036"/>
      <c r="S215" s="385">
        <f ca="1">SUBTOTAL(109,S216)</f>
        <v>0</v>
      </c>
      <c r="T215" s="372"/>
      <c r="U215" s="372"/>
      <c r="V215" s="372"/>
      <c r="W215" s="1096"/>
      <c r="X215" s="1110"/>
      <c r="Y215" s="1110"/>
      <c r="Z215" s="372"/>
      <c r="AA215" s="372"/>
      <c r="AB215" s="372"/>
      <c r="AC215" s="1096"/>
      <c r="AD215" s="1110"/>
      <c r="AE215" s="1110"/>
      <c r="AF215" s="372"/>
      <c r="AG215" s="372"/>
      <c r="AH215" s="372"/>
      <c r="AI215" s="482"/>
      <c r="AJ215" s="372"/>
      <c r="AK215" s="440"/>
      <c r="AM215" s="460">
        <v>215</v>
      </c>
      <c r="AN215" s="1078"/>
    </row>
    <row r="216" spans="1:54" ht="12" customHeight="1" x14ac:dyDescent="0.25">
      <c r="A216" s="440"/>
      <c r="B216" s="499"/>
      <c r="C216" s="495"/>
      <c r="D216" s="495"/>
      <c r="E216" s="1034"/>
      <c r="F216" s="1034"/>
      <c r="G216" s="1034"/>
      <c r="H216" s="1034"/>
      <c r="I216" s="1038"/>
      <c r="J216" s="1038"/>
      <c r="K216" s="502"/>
      <c r="L216" s="502"/>
      <c r="M216" s="339"/>
      <c r="N216" s="361"/>
      <c r="O216" s="339"/>
      <c r="P216" s="365"/>
      <c r="Q216" s="344"/>
      <c r="R216" s="522" t="s">
        <v>363</v>
      </c>
      <c r="S216" s="353">
        <f ca="1">IF(AY216="E",(M216*O216)+Q216,AO216)</f>
        <v>0</v>
      </c>
      <c r="T216" s="523"/>
      <c r="U216" s="350"/>
      <c r="V216" s="308"/>
      <c r="W216" s="1090" t="str">
        <f ca="1">IF(AZ216="E",IF(AND(V216&lt;&gt;0,U216&lt;&gt;0),"X",IF(AND(V216&lt;&gt;0,U216=0),"A",IF(AND(V216=0,U216&lt;&gt;0),"P",""))),AR216)</f>
        <v/>
      </c>
      <c r="X216" s="1103">
        <f ca="1">IF(AZ216="E",IFERROR(IF(W216="X",0,IF(U216&gt;0,U216,V216/S216)),0),
IFERROR(IF(OR(AR216="X",AR216=0),0,
IF(AR216="P",AP216,IF(AR216="A",AQ216/S216,0))),0))</f>
        <v>0</v>
      </c>
      <c r="Y216" s="1120">
        <f ca="1">IF(AZ216="E",IFERROR(IF(W216="X",0,IF(V216&gt;0,V216,S216*U216)),0),
IFERROR(IF(OR(AR216="X",AR216="0"),0,IF(AR216="A",AQ216,S216*AP216)),0))</f>
        <v>0</v>
      </c>
      <c r="Z216" s="524"/>
      <c r="AA216" s="350"/>
      <c r="AB216" s="308"/>
      <c r="AC216" s="1090" t="str">
        <f ca="1">IF(BA216="E",IF(AND(AB216&lt;&gt;0,AA216&lt;&gt;0),"X",IF(AND(AB216&lt;&gt;0,AA216=0),"A",IF(AND(AB216=0,AA216&lt;&gt;0),"P",""))),AU216)</f>
        <v/>
      </c>
      <c r="AD216" s="1103">
        <f ca="1">IF(BA216="E",IFERROR(IF(AC216="X",0,IF(AA216&gt;0,AA216,AB216/S216)),0),
IFERROR(IF(OR(AU216="X",AU216=0),0,
IF(AU216="P",AS216,IF(AU216="A",AT216/S216,0))),0))</f>
        <v>0</v>
      </c>
      <c r="AE216" s="1120">
        <f ca="1">IF(BA216="E",IFERROR(IF(AC216="X",0,IF(AB216&gt;0,AB216,S216*AA216)),0),
IFERROR(IF(OR(AU216="X",AU216=0),0,
IF(AU216="A",AT216,S216*AS216)),0))</f>
        <v>0</v>
      </c>
      <c r="AF216" s="525"/>
      <c r="AG216" s="637"/>
      <c r="AH216" s="525"/>
      <c r="AI216" s="1086">
        <f ca="1">IF(BB216="E",AG216,AV216)</f>
        <v>0</v>
      </c>
      <c r="AJ216" s="380"/>
      <c r="AK216" s="440"/>
      <c r="AM216" s="460">
        <v>216</v>
      </c>
      <c r="AN216" s="1078"/>
      <c r="AO216" s="1083">
        <f t="shared" ref="AO216:AV216" ca="1" si="390">IF($M$13=$AN$12,"",INDIRECT("'"&amp;$AM$20&amp;"'!"&amp;AO$21&amp;$AM216))</f>
        <v>0</v>
      </c>
      <c r="AP216" s="356">
        <f t="shared" ca="1" si="390"/>
        <v>0</v>
      </c>
      <c r="AQ216" s="357">
        <f t="shared" ca="1" si="390"/>
        <v>0</v>
      </c>
      <c r="AR216" s="524" t="str">
        <f t="shared" ca="1" si="390"/>
        <v/>
      </c>
      <c r="AS216" s="356">
        <f t="shared" ca="1" si="390"/>
        <v>0</v>
      </c>
      <c r="AT216" s="357">
        <f t="shared" ca="1" si="390"/>
        <v>0</v>
      </c>
      <c r="AU216" s="524" t="str">
        <f t="shared" ca="1" si="390"/>
        <v/>
      </c>
      <c r="AV216" s="1083">
        <f t="shared" ca="1" si="390"/>
        <v>0</v>
      </c>
      <c r="AX216" s="1083" t="str">
        <f t="shared" ref="AX216" si="391">IF($M$13=$AN$12,"E",IF(ISTEXT(F216),"E","U"))</f>
        <v>U</v>
      </c>
      <c r="AY216" s="1083" t="str">
        <f t="shared" ref="AY216" si="392">IF($M$13=$AN$12,"E",IF(OR(ISNUMBER(M216),ISNUMBER(O216),ISNUMBER(Q216)),"E","U"))</f>
        <v>U</v>
      </c>
      <c r="AZ216" s="1083" t="str">
        <f t="shared" ref="AZ216" si="393">IF($M$13=$AN$12,"E",IF(OR(ISNUMBER(U216),ISNUMBER(V216)),"E","U"))</f>
        <v>U</v>
      </c>
      <c r="BA216" s="1083" t="str">
        <f t="shared" ref="BA216" si="394">IF($M$13=$AN$12,"E",IF(OR(ISNUMBER(AA216),ISNUMBER(AB216)),"E","U"))</f>
        <v>U</v>
      </c>
      <c r="BB216" s="1083" t="str">
        <f t="shared" ref="BB216" si="395">IF($M$13=$AN$12,"E",IF(ISNUMBER(AG216),"E","U"))</f>
        <v>U</v>
      </c>
    </row>
    <row r="217" spans="1:54" ht="12" customHeight="1" x14ac:dyDescent="0.25">
      <c r="A217" s="440"/>
      <c r="B217" s="505"/>
      <c r="C217" s="563"/>
      <c r="D217" s="563"/>
      <c r="E217" s="506"/>
      <c r="F217" s="506"/>
      <c r="G217" s="506"/>
      <c r="H217" s="506"/>
      <c r="I217" s="507"/>
      <c r="J217" s="507"/>
      <c r="K217" s="508"/>
      <c r="L217" s="508"/>
      <c r="M217" s="564"/>
      <c r="N217" s="517"/>
      <c r="O217" s="371"/>
      <c r="P217" s="371"/>
      <c r="Q217" s="371"/>
      <c r="R217" s="371"/>
      <c r="S217" s="371"/>
      <c r="T217" s="371"/>
      <c r="U217" s="371"/>
      <c r="V217" s="371"/>
      <c r="W217" s="1100"/>
      <c r="X217" s="1108"/>
      <c r="Y217" s="1108"/>
      <c r="Z217" s="371"/>
      <c r="AA217" s="371"/>
      <c r="AB217" s="371"/>
      <c r="AC217" s="1100"/>
      <c r="AD217" s="1108"/>
      <c r="AE217" s="1108"/>
      <c r="AF217" s="371"/>
      <c r="AG217" s="371"/>
      <c r="AH217" s="371"/>
      <c r="AI217" s="565"/>
      <c r="AJ217" s="371"/>
      <c r="AK217" s="440"/>
      <c r="AM217" s="460">
        <v>217</v>
      </c>
      <c r="AN217" s="1078"/>
    </row>
    <row r="218" spans="1:54" ht="12" customHeight="1" x14ac:dyDescent="0.2">
      <c r="A218" s="440"/>
      <c r="B218" s="320"/>
      <c r="C218" s="1036"/>
      <c r="D218" s="1036"/>
      <c r="E218" s="1036"/>
      <c r="F218" s="1036"/>
      <c r="G218" s="1036"/>
      <c r="H218" s="1036"/>
      <c r="I218" s="380"/>
      <c r="J218" s="380"/>
      <c r="K218" s="463"/>
      <c r="L218" s="463"/>
      <c r="M218" s="549"/>
      <c r="N218" s="1033"/>
      <c r="O218" s="379"/>
      <c r="P218" s="379"/>
      <c r="Q218" s="379"/>
      <c r="R218" s="379"/>
      <c r="S218" s="379"/>
      <c r="T218" s="379"/>
      <c r="U218" s="379"/>
      <c r="V218" s="379"/>
      <c r="W218" s="1099"/>
      <c r="X218" s="1118"/>
      <c r="Y218" s="1118"/>
      <c r="Z218" s="379"/>
      <c r="AA218" s="379"/>
      <c r="AB218" s="379"/>
      <c r="AC218" s="1099"/>
      <c r="AD218" s="1118"/>
      <c r="AE218" s="1118"/>
      <c r="AF218" s="379"/>
      <c r="AG218" s="379"/>
      <c r="AH218" s="379"/>
      <c r="AI218" s="481"/>
      <c r="AJ218" s="379"/>
      <c r="AK218" s="440"/>
      <c r="AM218" s="460">
        <v>218</v>
      </c>
      <c r="AN218" s="1078"/>
    </row>
    <row r="219" spans="1:54" ht="12" customHeight="1" x14ac:dyDescent="0.2">
      <c r="A219" s="440"/>
      <c r="B219" s="320"/>
      <c r="C219" s="1036"/>
      <c r="D219" s="1036"/>
      <c r="E219" s="1036"/>
      <c r="F219" s="1036"/>
      <c r="G219" s="1036"/>
      <c r="H219" s="1036"/>
      <c r="I219" s="380"/>
      <c r="J219" s="380"/>
      <c r="K219" s="463"/>
      <c r="L219" s="463"/>
      <c r="M219" s="498"/>
      <c r="N219" s="503"/>
      <c r="O219" s="1036"/>
      <c r="P219" s="1036"/>
      <c r="Q219" s="1036"/>
      <c r="R219" s="1036"/>
      <c r="S219" s="372"/>
      <c r="T219" s="372"/>
      <c r="U219" s="372"/>
      <c r="V219" s="372"/>
      <c r="W219" s="1096"/>
      <c r="X219" s="1110"/>
      <c r="Y219" s="1110"/>
      <c r="Z219" s="372"/>
      <c r="AA219" s="372"/>
      <c r="AB219" s="372"/>
      <c r="AC219" s="1096"/>
      <c r="AD219" s="1110"/>
      <c r="AE219" s="1110"/>
      <c r="AF219" s="372"/>
      <c r="AG219" s="372"/>
      <c r="AH219" s="372"/>
      <c r="AI219" s="482"/>
      <c r="AJ219" s="372"/>
      <c r="AK219" s="440"/>
      <c r="AM219" s="460">
        <v>219</v>
      </c>
      <c r="AN219" s="1078"/>
    </row>
    <row r="220" spans="1:54" ht="12" customHeight="1" x14ac:dyDescent="0.25">
      <c r="A220" s="440"/>
      <c r="B220" s="499">
        <v>7</v>
      </c>
      <c r="C220" s="494"/>
      <c r="D220" s="495"/>
      <c r="E220" s="1596" t="s">
        <v>9</v>
      </c>
      <c r="F220" s="1596"/>
      <c r="G220" s="1596"/>
      <c r="H220" s="1596"/>
      <c r="I220" s="1632"/>
      <c r="J220" s="1038"/>
      <c r="K220" s="462"/>
      <c r="L220" s="462"/>
      <c r="M220" s="363"/>
      <c r="N220" s="363"/>
      <c r="O220" s="363"/>
      <c r="P220" s="363"/>
      <c r="Q220" s="363"/>
      <c r="R220" s="363"/>
      <c r="S220" s="385">
        <f ca="1">S221</f>
        <v>526746</v>
      </c>
      <c r="T220" s="363"/>
      <c r="U220" s="363"/>
      <c r="V220" s="363"/>
      <c r="W220" s="1093"/>
      <c r="X220" s="1116"/>
      <c r="Y220" s="1116"/>
      <c r="Z220" s="363"/>
      <c r="AA220" s="363"/>
      <c r="AB220" s="363"/>
      <c r="AC220" s="1093"/>
      <c r="AD220" s="1116"/>
      <c r="AE220" s="1116"/>
      <c r="AF220" s="363"/>
      <c r="AG220" s="363"/>
      <c r="AH220" s="363"/>
      <c r="AI220" s="358"/>
      <c r="AJ220" s="363"/>
      <c r="AK220" s="440"/>
      <c r="AM220" s="460">
        <v>220</v>
      </c>
      <c r="AN220" s="1078"/>
    </row>
    <row r="221" spans="1:54" ht="12" customHeight="1" x14ac:dyDescent="0.25">
      <c r="A221" s="440"/>
      <c r="B221" s="499"/>
      <c r="C221" s="494"/>
      <c r="D221" s="495"/>
      <c r="E221" s="1034"/>
      <c r="F221" s="1034"/>
      <c r="G221" s="1034"/>
      <c r="H221" s="1034"/>
      <c r="I221" s="1035"/>
      <c r="J221" s="1038"/>
      <c r="K221" s="462"/>
      <c r="L221" s="462"/>
      <c r="M221" s="363"/>
      <c r="N221" s="363"/>
      <c r="O221" s="363"/>
      <c r="P221" s="363"/>
      <c r="Q221" s="363"/>
      <c r="R221" s="363"/>
      <c r="S221" s="355">
        <f ca="1">SUBTOTAL(109,S222:S227)</f>
        <v>526746</v>
      </c>
      <c r="T221" s="363"/>
      <c r="U221" s="363"/>
      <c r="V221" s="363"/>
      <c r="W221" s="1093"/>
      <c r="X221" s="1116"/>
      <c r="Y221" s="1116"/>
      <c r="Z221" s="363"/>
      <c r="AA221" s="363"/>
      <c r="AB221" s="363"/>
      <c r="AC221" s="1093"/>
      <c r="AD221" s="1116"/>
      <c r="AE221" s="1116"/>
      <c r="AF221" s="363"/>
      <c r="AG221" s="363"/>
      <c r="AH221" s="363"/>
      <c r="AI221" s="358"/>
      <c r="AJ221" s="363"/>
      <c r="AK221" s="440"/>
      <c r="AM221" s="460">
        <v>221</v>
      </c>
      <c r="AN221" s="1078"/>
    </row>
    <row r="222" spans="1:54" ht="12" customHeight="1" x14ac:dyDescent="0.25">
      <c r="A222" s="440"/>
      <c r="B222" s="499"/>
      <c r="C222" s="495"/>
      <c r="D222" s="495"/>
      <c r="E222" s="1084" t="str">
        <f t="shared" ref="E222:E227" ca="1" si="396">IF(AX222="E","",AN222)</f>
        <v>sämtliche Planungs- und Dienstleistungen</v>
      </c>
      <c r="F222" s="1085"/>
      <c r="G222" s="1264"/>
      <c r="H222" s="1264"/>
      <c r="I222" s="1265"/>
      <c r="J222" s="1038"/>
      <c r="K222" s="462"/>
      <c r="L222" s="462"/>
      <c r="M222" s="339"/>
      <c r="N222" s="361"/>
      <c r="O222" s="339"/>
      <c r="P222" s="365"/>
      <c r="Q222" s="344"/>
      <c r="R222" s="522" t="s">
        <v>363</v>
      </c>
      <c r="S222" s="353">
        <f t="shared" ref="S222:S227" ca="1" si="397">IF(AY222="E",(M222*O222)+Q222,AO222)</f>
        <v>526746</v>
      </c>
      <c r="T222" s="363"/>
      <c r="U222" s="363"/>
      <c r="V222" s="363"/>
      <c r="W222" s="1093"/>
      <c r="X222" s="1116"/>
      <c r="Y222" s="1116"/>
      <c r="Z222" s="363"/>
      <c r="AA222" s="363"/>
      <c r="AB222" s="363"/>
      <c r="AC222" s="1093"/>
      <c r="AD222" s="1116"/>
      <c r="AE222" s="1116"/>
      <c r="AF222" s="363"/>
      <c r="AG222" s="363"/>
      <c r="AH222" s="363"/>
      <c r="AI222" s="358"/>
      <c r="AJ222" s="363"/>
      <c r="AK222" s="440"/>
      <c r="AM222" s="460">
        <v>222</v>
      </c>
      <c r="AN222" s="1087" t="str">
        <f t="shared" ref="AN222:AN227" ca="1" si="398">IF($M$13=$AN$12,"",IF(ISTEXT(INDIRECT("'"&amp;$AM$20&amp;"'!"&amp;AN$21&amp;$AM222)),INDIRECT("'"&amp;$AM$20&amp;"'!"&amp;AN$21&amp;$AM222),INDIRECT("'"&amp;$AM$20&amp;"'!"&amp;AN$22&amp;$AM222)))</f>
        <v>sämtliche Planungs- und Dienstleistungen</v>
      </c>
      <c r="AO222" s="1083">
        <f t="shared" ref="AO222:AO227" ca="1" si="399">IF($M$13=$AN$12,"",INDIRECT("'"&amp;$AM$20&amp;"'!"&amp;AO$21&amp;$AM222))</f>
        <v>526746</v>
      </c>
      <c r="AX222" s="1083" t="str">
        <f t="shared" ref="AX222:AX227" si="400">IF($M$13=$AN$12,"E",IF(ISTEXT(F222),"E","U"))</f>
        <v>U</v>
      </c>
      <c r="AY222" s="1083" t="str">
        <f t="shared" ref="AY222:AY227" si="401">IF($M$13=$AN$12,"E",IF(OR(ISNUMBER(M222),ISNUMBER(O222),ISNUMBER(Q222)),"E","U"))</f>
        <v>U</v>
      </c>
    </row>
    <row r="223" spans="1:54" ht="12" customHeight="1" x14ac:dyDescent="0.25">
      <c r="A223" s="440"/>
      <c r="B223" s="499"/>
      <c r="C223" s="495"/>
      <c r="D223" s="495"/>
      <c r="E223" s="1084">
        <f t="shared" ca="1" si="396"/>
        <v>0</v>
      </c>
      <c r="F223" s="1085"/>
      <c r="G223" s="1264"/>
      <c r="H223" s="1264"/>
      <c r="I223" s="1265"/>
      <c r="J223" s="1038"/>
      <c r="K223" s="462"/>
      <c r="L223" s="462"/>
      <c r="M223" s="339"/>
      <c r="N223" s="361"/>
      <c r="O223" s="339"/>
      <c r="P223" s="365"/>
      <c r="Q223" s="344"/>
      <c r="R223" s="522" t="s">
        <v>363</v>
      </c>
      <c r="S223" s="353">
        <f t="shared" ca="1" si="397"/>
        <v>0</v>
      </c>
      <c r="T223" s="363"/>
      <c r="U223" s="363"/>
      <c r="V223" s="363"/>
      <c r="W223" s="1093"/>
      <c r="X223" s="1116"/>
      <c r="Y223" s="1116"/>
      <c r="Z223" s="363"/>
      <c r="AA223" s="363"/>
      <c r="AB223" s="363"/>
      <c r="AC223" s="1093"/>
      <c r="AD223" s="1116"/>
      <c r="AE223" s="1116"/>
      <c r="AF223" s="363"/>
      <c r="AG223" s="363"/>
      <c r="AH223" s="363"/>
      <c r="AI223" s="358"/>
      <c r="AJ223" s="363"/>
      <c r="AK223" s="440"/>
      <c r="AM223" s="460">
        <v>223</v>
      </c>
      <c r="AN223" s="1087">
        <f t="shared" ca="1" si="398"/>
        <v>0</v>
      </c>
      <c r="AO223" s="1083">
        <f t="shared" ca="1" si="399"/>
        <v>0</v>
      </c>
      <c r="AX223" s="1083" t="str">
        <f t="shared" si="400"/>
        <v>U</v>
      </c>
      <c r="AY223" s="1083" t="str">
        <f t="shared" si="401"/>
        <v>U</v>
      </c>
    </row>
    <row r="224" spans="1:54" ht="12" customHeight="1" x14ac:dyDescent="0.25">
      <c r="A224" s="440"/>
      <c r="B224" s="499"/>
      <c r="C224" s="495"/>
      <c r="D224" s="495"/>
      <c r="E224" s="1084">
        <f t="shared" ca="1" si="396"/>
        <v>0</v>
      </c>
      <c r="F224" s="1085"/>
      <c r="G224" s="1264"/>
      <c r="H224" s="1264"/>
      <c r="I224" s="1265"/>
      <c r="J224" s="1038"/>
      <c r="K224" s="462"/>
      <c r="L224" s="462"/>
      <c r="M224" s="339"/>
      <c r="N224" s="361"/>
      <c r="O224" s="339"/>
      <c r="P224" s="365"/>
      <c r="Q224" s="344"/>
      <c r="R224" s="522" t="s">
        <v>363</v>
      </c>
      <c r="S224" s="353">
        <f t="shared" ca="1" si="397"/>
        <v>0</v>
      </c>
      <c r="T224" s="363"/>
      <c r="U224" s="363"/>
      <c r="V224" s="363"/>
      <c r="W224" s="1093"/>
      <c r="X224" s="1116"/>
      <c r="Y224" s="1116"/>
      <c r="Z224" s="363"/>
      <c r="AA224" s="363"/>
      <c r="AB224" s="363"/>
      <c r="AC224" s="1093"/>
      <c r="AD224" s="1116"/>
      <c r="AE224" s="1116"/>
      <c r="AF224" s="363"/>
      <c r="AG224" s="363"/>
      <c r="AH224" s="363"/>
      <c r="AI224" s="358"/>
      <c r="AJ224" s="363"/>
      <c r="AK224" s="440"/>
      <c r="AM224" s="460">
        <v>224</v>
      </c>
      <c r="AN224" s="1087">
        <f t="shared" ca="1" si="398"/>
        <v>0</v>
      </c>
      <c r="AO224" s="1083">
        <f t="shared" ca="1" si="399"/>
        <v>0</v>
      </c>
      <c r="AX224" s="1083" t="str">
        <f t="shared" si="400"/>
        <v>U</v>
      </c>
      <c r="AY224" s="1083" t="str">
        <f t="shared" si="401"/>
        <v>U</v>
      </c>
    </row>
    <row r="225" spans="1:51" ht="12" customHeight="1" x14ac:dyDescent="0.25">
      <c r="A225" s="440"/>
      <c r="B225" s="499"/>
      <c r="C225" s="495"/>
      <c r="D225" s="495"/>
      <c r="E225" s="1084">
        <f t="shared" ca="1" si="396"/>
        <v>0</v>
      </c>
      <c r="F225" s="1085"/>
      <c r="G225" s="1264"/>
      <c r="H225" s="1264"/>
      <c r="I225" s="1265"/>
      <c r="J225" s="1038"/>
      <c r="K225" s="462"/>
      <c r="L225" s="462"/>
      <c r="M225" s="339"/>
      <c r="N225" s="361"/>
      <c r="O225" s="339"/>
      <c r="P225" s="365"/>
      <c r="Q225" s="344"/>
      <c r="R225" s="522" t="s">
        <v>363</v>
      </c>
      <c r="S225" s="353">
        <f t="shared" ca="1" si="397"/>
        <v>0</v>
      </c>
      <c r="T225" s="363"/>
      <c r="U225" s="363"/>
      <c r="V225" s="363"/>
      <c r="W225" s="1093"/>
      <c r="X225" s="1116"/>
      <c r="Y225" s="1116"/>
      <c r="Z225" s="363"/>
      <c r="AA225" s="363"/>
      <c r="AB225" s="363"/>
      <c r="AC225" s="1093"/>
      <c r="AD225" s="1116"/>
      <c r="AE225" s="1116"/>
      <c r="AF225" s="363"/>
      <c r="AG225" s="363"/>
      <c r="AH225" s="363"/>
      <c r="AI225" s="358"/>
      <c r="AJ225" s="363"/>
      <c r="AK225" s="440"/>
      <c r="AM225" s="460">
        <v>225</v>
      </c>
      <c r="AN225" s="1087">
        <f t="shared" ca="1" si="398"/>
        <v>0</v>
      </c>
      <c r="AO225" s="1083">
        <f t="shared" ca="1" si="399"/>
        <v>0</v>
      </c>
      <c r="AX225" s="1083" t="str">
        <f t="shared" si="400"/>
        <v>U</v>
      </c>
      <c r="AY225" s="1083" t="str">
        <f t="shared" si="401"/>
        <v>U</v>
      </c>
    </row>
    <row r="226" spans="1:51" ht="12" customHeight="1" x14ac:dyDescent="0.25">
      <c r="A226" s="440"/>
      <c r="B226" s="499"/>
      <c r="C226" s="495"/>
      <c r="D226" s="495"/>
      <c r="E226" s="1084">
        <f t="shared" ca="1" si="396"/>
        <v>0</v>
      </c>
      <c r="F226" s="1085"/>
      <c r="G226" s="1264"/>
      <c r="H226" s="1264"/>
      <c r="I226" s="1265"/>
      <c r="J226" s="1038"/>
      <c r="K226" s="462"/>
      <c r="L226" s="462"/>
      <c r="M226" s="339"/>
      <c r="N226" s="361"/>
      <c r="O226" s="339"/>
      <c r="P226" s="365"/>
      <c r="Q226" s="344"/>
      <c r="R226" s="522" t="s">
        <v>363</v>
      </c>
      <c r="S226" s="353">
        <f t="shared" ca="1" si="397"/>
        <v>0</v>
      </c>
      <c r="T226" s="363"/>
      <c r="U226" s="363"/>
      <c r="V226" s="363"/>
      <c r="W226" s="1093"/>
      <c r="X226" s="1116"/>
      <c r="Y226" s="1116"/>
      <c r="Z226" s="363"/>
      <c r="AA226" s="363"/>
      <c r="AB226" s="363"/>
      <c r="AC226" s="1093"/>
      <c r="AD226" s="1116"/>
      <c r="AE226" s="1116"/>
      <c r="AF226" s="363"/>
      <c r="AG226" s="363"/>
      <c r="AH226" s="363"/>
      <c r="AI226" s="358"/>
      <c r="AJ226" s="363"/>
      <c r="AK226" s="440"/>
      <c r="AM226" s="460">
        <v>226</v>
      </c>
      <c r="AN226" s="1087">
        <f t="shared" ca="1" si="398"/>
        <v>0</v>
      </c>
      <c r="AO226" s="1083">
        <f t="shared" ca="1" si="399"/>
        <v>0</v>
      </c>
      <c r="AX226" s="1083" t="str">
        <f t="shared" si="400"/>
        <v>U</v>
      </c>
      <c r="AY226" s="1083" t="str">
        <f t="shared" si="401"/>
        <v>U</v>
      </c>
    </row>
    <row r="227" spans="1:51" ht="12" customHeight="1" x14ac:dyDescent="0.25">
      <c r="A227" s="440"/>
      <c r="B227" s="499"/>
      <c r="C227" s="495"/>
      <c r="D227" s="495"/>
      <c r="E227" s="1084">
        <f t="shared" ca="1" si="396"/>
        <v>0</v>
      </c>
      <c r="F227" s="1085"/>
      <c r="G227" s="1264"/>
      <c r="H227" s="1264"/>
      <c r="I227" s="1265"/>
      <c r="J227" s="1038"/>
      <c r="K227" s="462"/>
      <c r="L227" s="462"/>
      <c r="M227" s="339"/>
      <c r="N227" s="361"/>
      <c r="O227" s="339"/>
      <c r="P227" s="365"/>
      <c r="Q227" s="344"/>
      <c r="R227" s="522" t="s">
        <v>363</v>
      </c>
      <c r="S227" s="353">
        <f t="shared" ca="1" si="397"/>
        <v>0</v>
      </c>
      <c r="T227" s="363"/>
      <c r="U227" s="363"/>
      <c r="V227" s="363"/>
      <c r="W227" s="1093"/>
      <c r="X227" s="1116"/>
      <c r="Y227" s="1116"/>
      <c r="Z227" s="363"/>
      <c r="AA227" s="363"/>
      <c r="AB227" s="363"/>
      <c r="AC227" s="1093"/>
      <c r="AD227" s="1116"/>
      <c r="AE227" s="1116"/>
      <c r="AF227" s="363"/>
      <c r="AG227" s="363"/>
      <c r="AH227" s="363"/>
      <c r="AI227" s="358"/>
      <c r="AJ227" s="363"/>
      <c r="AK227" s="440"/>
      <c r="AM227" s="460">
        <v>227</v>
      </c>
      <c r="AN227" s="1087">
        <f t="shared" ca="1" si="398"/>
        <v>0</v>
      </c>
      <c r="AO227" s="1083">
        <f t="shared" ca="1" si="399"/>
        <v>0</v>
      </c>
      <c r="AX227" s="1083" t="str">
        <f t="shared" si="400"/>
        <v>U</v>
      </c>
      <c r="AY227" s="1083" t="str">
        <f t="shared" si="401"/>
        <v>U</v>
      </c>
    </row>
    <row r="228" spans="1:51" ht="12" customHeight="1" collapsed="1" x14ac:dyDescent="0.25">
      <c r="A228" s="440"/>
      <c r="B228" s="505"/>
      <c r="C228" s="563"/>
      <c r="D228" s="563"/>
      <c r="E228" s="506"/>
      <c r="F228" s="506"/>
      <c r="G228" s="506"/>
      <c r="H228" s="506"/>
      <c r="I228" s="507"/>
      <c r="J228" s="507"/>
      <c r="K228" s="508"/>
      <c r="L228" s="508"/>
      <c r="M228" s="564"/>
      <c r="N228" s="517"/>
      <c r="O228" s="371"/>
      <c r="P228" s="371"/>
      <c r="Q228" s="371"/>
      <c r="R228" s="371"/>
      <c r="S228" s="391"/>
      <c r="T228" s="371"/>
      <c r="U228" s="371"/>
      <c r="V228" s="371"/>
      <c r="W228" s="1100"/>
      <c r="X228" s="1108"/>
      <c r="Y228" s="1108"/>
      <c r="Z228" s="371"/>
      <c r="AA228" s="371"/>
      <c r="AB228" s="371"/>
      <c r="AC228" s="1100"/>
      <c r="AD228" s="1108"/>
      <c r="AE228" s="1108"/>
      <c r="AF228" s="371"/>
      <c r="AG228" s="371"/>
      <c r="AH228" s="371"/>
      <c r="AI228" s="373"/>
      <c r="AJ228" s="371"/>
      <c r="AK228" s="440"/>
      <c r="AM228" s="460">
        <v>228</v>
      </c>
      <c r="AN228" s="1078"/>
    </row>
    <row r="229" spans="1:51" ht="12" customHeight="1" x14ac:dyDescent="0.2">
      <c r="A229" s="440"/>
      <c r="B229" s="320"/>
      <c r="C229" s="1036"/>
      <c r="D229" s="1036"/>
      <c r="E229" s="1036"/>
      <c r="F229" s="1036"/>
      <c r="G229" s="1036"/>
      <c r="H229" s="1036"/>
      <c r="I229" s="380"/>
      <c r="J229" s="380"/>
      <c r="K229" s="463"/>
      <c r="L229" s="463"/>
      <c r="M229" s="498"/>
      <c r="N229" s="503"/>
      <c r="O229" s="1036"/>
      <c r="P229" s="1036"/>
      <c r="Q229" s="1036"/>
      <c r="R229" s="1036"/>
      <c r="S229" s="379"/>
      <c r="T229" s="379"/>
      <c r="U229" s="379"/>
      <c r="V229" s="379"/>
      <c r="W229" s="1099"/>
      <c r="X229" s="1118"/>
      <c r="Y229" s="1118"/>
      <c r="Z229" s="379"/>
      <c r="AA229" s="379"/>
      <c r="AB229" s="379"/>
      <c r="AC229" s="1099"/>
      <c r="AD229" s="1118"/>
      <c r="AE229" s="1118"/>
      <c r="AF229" s="379"/>
      <c r="AG229" s="379"/>
      <c r="AH229" s="379"/>
      <c r="AI229" s="481"/>
      <c r="AJ229" s="379"/>
      <c r="AK229" s="440"/>
      <c r="AM229" s="460">
        <v>229</v>
      </c>
      <c r="AN229" s="1078"/>
    </row>
    <row r="230" spans="1:51" ht="12" customHeight="1" x14ac:dyDescent="0.2">
      <c r="A230" s="440"/>
      <c r="B230" s="320"/>
      <c r="C230" s="1036"/>
      <c r="D230" s="1036"/>
      <c r="E230" s="1036"/>
      <c r="F230" s="1036"/>
      <c r="G230" s="1036"/>
      <c r="H230" s="1036"/>
      <c r="I230" s="380"/>
      <c r="J230" s="380"/>
      <c r="K230" s="463"/>
      <c r="L230" s="463"/>
      <c r="M230" s="498"/>
      <c r="N230" s="503"/>
      <c r="O230" s="1036"/>
      <c r="P230" s="1036"/>
      <c r="Q230" s="1036"/>
      <c r="R230" s="1036"/>
      <c r="S230" s="372"/>
      <c r="T230" s="372"/>
      <c r="U230" s="372"/>
      <c r="V230" s="372"/>
      <c r="W230" s="1096"/>
      <c r="X230" s="1110"/>
      <c r="Y230" s="1110"/>
      <c r="Z230" s="372"/>
      <c r="AA230" s="372"/>
      <c r="AB230" s="372"/>
      <c r="AC230" s="1096"/>
      <c r="AD230" s="1110"/>
      <c r="AE230" s="1110"/>
      <c r="AF230" s="372"/>
      <c r="AG230" s="372"/>
      <c r="AH230" s="372"/>
      <c r="AI230" s="482"/>
      <c r="AJ230" s="372"/>
      <c r="AK230" s="440"/>
      <c r="AM230" s="460">
        <v>230</v>
      </c>
      <c r="AN230" s="1078"/>
    </row>
    <row r="231" spans="1:51" ht="14.25" customHeight="1" x14ac:dyDescent="0.25">
      <c r="A231" s="440"/>
      <c r="B231" s="499">
        <v>8</v>
      </c>
      <c r="C231" s="494"/>
      <c r="D231" s="495"/>
      <c r="E231" s="1606" t="s">
        <v>7</v>
      </c>
      <c r="F231" s="1606"/>
      <c r="G231" s="1606"/>
      <c r="H231" s="1606"/>
      <c r="I231" s="1597"/>
      <c r="J231" s="1038"/>
      <c r="K231" s="462"/>
      <c r="L231" s="462"/>
      <c r="M231" s="498"/>
      <c r="N231" s="359"/>
      <c r="O231" s="363"/>
      <c r="P231" s="363"/>
      <c r="Q231" s="363"/>
      <c r="R231" s="363"/>
      <c r="S231" s="385">
        <f ca="1">S232</f>
        <v>0</v>
      </c>
      <c r="T231" s="363"/>
      <c r="U231" s="363"/>
      <c r="V231" s="363"/>
      <c r="W231" s="1093"/>
      <c r="X231" s="1116"/>
      <c r="Y231" s="1116"/>
      <c r="Z231" s="363"/>
      <c r="AA231" s="363"/>
      <c r="AB231" s="363"/>
      <c r="AC231" s="1093"/>
      <c r="AD231" s="1116"/>
      <c r="AE231" s="1116"/>
      <c r="AF231" s="363"/>
      <c r="AG231" s="363"/>
      <c r="AH231" s="363"/>
      <c r="AI231" s="358"/>
      <c r="AJ231" s="363"/>
      <c r="AK231" s="440"/>
      <c r="AM231" s="460">
        <v>231</v>
      </c>
      <c r="AN231" s="1078"/>
    </row>
    <row r="232" spans="1:51" ht="14.25" customHeight="1" x14ac:dyDescent="0.25">
      <c r="A232" s="440"/>
      <c r="B232" s="1043"/>
      <c r="C232" s="1036" t="s">
        <v>6</v>
      </c>
      <c r="D232" s="494"/>
      <c r="E232" s="1596" t="s">
        <v>5</v>
      </c>
      <c r="F232" s="1596"/>
      <c r="G232" s="1596"/>
      <c r="H232" s="1596"/>
      <c r="I232" s="1597"/>
      <c r="J232" s="1038"/>
      <c r="K232" s="462"/>
      <c r="L232" s="462"/>
      <c r="M232" s="498"/>
      <c r="N232" s="359"/>
      <c r="O232" s="363"/>
      <c r="P232" s="363"/>
      <c r="Q232" s="363"/>
      <c r="R232" s="363"/>
      <c r="S232" s="355">
        <f ca="1">SUBTOTAL(109,S233:S234)</f>
        <v>0</v>
      </c>
      <c r="T232" s="363"/>
      <c r="U232" s="363"/>
      <c r="V232" s="363"/>
      <c r="W232" s="1093"/>
      <c r="X232" s="1116"/>
      <c r="Y232" s="1116"/>
      <c r="Z232" s="363"/>
      <c r="AA232" s="363"/>
      <c r="AB232" s="363"/>
      <c r="AC232" s="1093"/>
      <c r="AD232" s="1116"/>
      <c r="AE232" s="1116"/>
      <c r="AF232" s="363"/>
      <c r="AG232" s="363"/>
      <c r="AH232" s="363"/>
      <c r="AI232" s="358"/>
      <c r="AJ232" s="363"/>
      <c r="AK232" s="440"/>
      <c r="AM232" s="460">
        <v>232</v>
      </c>
      <c r="AN232" s="1078"/>
    </row>
    <row r="233" spans="1:51" ht="12" customHeight="1" x14ac:dyDescent="0.25">
      <c r="A233" s="440"/>
      <c r="B233" s="1043"/>
      <c r="C233" s="380"/>
      <c r="D233" s="1037" t="s">
        <v>4</v>
      </c>
      <c r="E233" s="1599" t="s">
        <v>3</v>
      </c>
      <c r="F233" s="1599"/>
      <c r="G233" s="1599"/>
      <c r="H233" s="1599"/>
      <c r="I233" s="1632"/>
      <c r="J233" s="1038"/>
      <c r="K233" s="462"/>
      <c r="L233" s="462"/>
      <c r="M233" s="339"/>
      <c r="N233" s="361"/>
      <c r="O233" s="339"/>
      <c r="P233" s="363"/>
      <c r="Q233" s="351"/>
      <c r="R233" s="522" t="s">
        <v>363</v>
      </c>
      <c r="S233" s="353">
        <f t="shared" ref="S233:S234" ca="1" si="402">IF(AY233="E",(M233*O233)+Q233,AO233)</f>
        <v>0</v>
      </c>
      <c r="T233" s="363"/>
      <c r="U233" s="363"/>
      <c r="V233" s="363"/>
      <c r="W233" s="1093"/>
      <c r="X233" s="1116"/>
      <c r="Y233" s="1116"/>
      <c r="Z233" s="363"/>
      <c r="AA233" s="363"/>
      <c r="AB233" s="363"/>
      <c r="AC233" s="1093"/>
      <c r="AD233" s="1116"/>
      <c r="AE233" s="1116"/>
      <c r="AF233" s="363"/>
      <c r="AG233" s="363"/>
      <c r="AH233" s="363"/>
      <c r="AI233" s="358"/>
      <c r="AJ233" s="363"/>
      <c r="AK233" s="440"/>
      <c r="AM233" s="460">
        <v>233</v>
      </c>
      <c r="AN233" s="1078"/>
      <c r="AO233" s="1083">
        <f ca="1">IF($M$13=$AN$12,"",INDIRECT("'"&amp;$AM$20&amp;"'!"&amp;AO$21&amp;$AM233))</f>
        <v>0</v>
      </c>
      <c r="AY233" s="1083" t="str">
        <f>IF($M$13=$AN$12,"E",IF(OR(ISNUMBER(M233),ISNUMBER(O233),ISNUMBER(Q233)),"E","U"))</f>
        <v>U</v>
      </c>
    </row>
    <row r="234" spans="1:51" ht="12" customHeight="1" x14ac:dyDescent="0.25">
      <c r="A234" s="440"/>
      <c r="B234" s="1043"/>
      <c r="C234" s="380"/>
      <c r="D234" s="1037" t="s">
        <v>2</v>
      </c>
      <c r="E234" s="1599" t="s">
        <v>1</v>
      </c>
      <c r="F234" s="1599"/>
      <c r="G234" s="1599"/>
      <c r="H234" s="1599"/>
      <c r="I234" s="1631"/>
      <c r="J234" s="1038"/>
      <c r="K234" s="502"/>
      <c r="L234" s="502"/>
      <c r="M234" s="339"/>
      <c r="N234" s="361"/>
      <c r="O234" s="339"/>
      <c r="P234" s="363"/>
      <c r="Q234" s="344"/>
      <c r="R234" s="522" t="s">
        <v>363</v>
      </c>
      <c r="S234" s="353">
        <f t="shared" ca="1" si="402"/>
        <v>0</v>
      </c>
      <c r="T234" s="363"/>
      <c r="U234" s="363"/>
      <c r="V234" s="363"/>
      <c r="W234" s="1093"/>
      <c r="X234" s="1116"/>
      <c r="Y234" s="1116"/>
      <c r="Z234" s="363"/>
      <c r="AA234" s="363"/>
      <c r="AB234" s="363"/>
      <c r="AC234" s="1093"/>
      <c r="AD234" s="1116"/>
      <c r="AE234" s="1116"/>
      <c r="AF234" s="363"/>
      <c r="AG234" s="363"/>
      <c r="AH234" s="363"/>
      <c r="AI234" s="358"/>
      <c r="AJ234" s="363"/>
      <c r="AK234" s="440"/>
      <c r="AM234" s="460">
        <v>234</v>
      </c>
      <c r="AN234" s="1078"/>
      <c r="AO234" s="1083">
        <f ca="1">IF($M$13=$AN$12,"",INDIRECT("'"&amp;$AM$20&amp;"'!"&amp;AO$21&amp;$AM234))</f>
        <v>0</v>
      </c>
      <c r="AY234" s="1083" t="str">
        <f>IF($M$13=$AN$12,"E",IF(OR(ISNUMBER(M234),ISNUMBER(O234),ISNUMBER(Q234)),"E","U"))</f>
        <v>U</v>
      </c>
    </row>
    <row r="235" spans="1:51" ht="12" customHeight="1" collapsed="1" x14ac:dyDescent="0.25">
      <c r="A235" s="440"/>
      <c r="B235" s="324"/>
      <c r="C235" s="378"/>
      <c r="D235" s="374"/>
      <c r="E235" s="374"/>
      <c r="F235" s="374"/>
      <c r="G235" s="374"/>
      <c r="H235" s="374"/>
      <c r="I235" s="374"/>
      <c r="J235" s="507"/>
      <c r="K235" s="508"/>
      <c r="L235" s="508"/>
      <c r="M235" s="564"/>
      <c r="N235" s="517"/>
      <c r="O235" s="371"/>
      <c r="P235" s="371"/>
      <c r="Q235" s="371"/>
      <c r="R235" s="371"/>
      <c r="S235" s="371"/>
      <c r="T235" s="371"/>
      <c r="U235" s="371"/>
      <c r="V235" s="371"/>
      <c r="W235" s="1100"/>
      <c r="X235" s="1108"/>
      <c r="Y235" s="1108"/>
      <c r="Z235" s="371"/>
      <c r="AA235" s="371"/>
      <c r="AB235" s="371"/>
      <c r="AC235" s="1100"/>
      <c r="AD235" s="1108"/>
      <c r="AE235" s="1108"/>
      <c r="AF235" s="371"/>
      <c r="AG235" s="371"/>
      <c r="AH235" s="371"/>
      <c r="AI235" s="373"/>
      <c r="AJ235" s="371"/>
      <c r="AK235" s="440"/>
      <c r="AM235" s="460">
        <v>235</v>
      </c>
      <c r="AN235" s="1078"/>
    </row>
    <row r="236" spans="1:51" ht="12" customHeight="1" x14ac:dyDescent="0.2">
      <c r="A236" s="440"/>
      <c r="B236" s="320"/>
      <c r="C236" s="1036"/>
      <c r="D236" s="1036"/>
      <c r="E236" s="1036"/>
      <c r="F236" s="1036"/>
      <c r="G236" s="1036"/>
      <c r="H236" s="1036"/>
      <c r="I236" s="1036"/>
      <c r="J236" s="1036"/>
      <c r="K236" s="503"/>
      <c r="L236" s="503"/>
      <c r="M236" s="549"/>
      <c r="N236" s="1033"/>
      <c r="O236" s="379"/>
      <c r="P236" s="379"/>
      <c r="Q236" s="379"/>
      <c r="R236" s="379"/>
      <c r="S236" s="379"/>
      <c r="T236" s="379"/>
      <c r="U236" s="379"/>
      <c r="V236" s="379"/>
      <c r="W236" s="1099"/>
      <c r="X236" s="1118"/>
      <c r="Y236" s="1118"/>
      <c r="Z236" s="379"/>
      <c r="AA236" s="379"/>
      <c r="AB236" s="379"/>
      <c r="AC236" s="1099"/>
      <c r="AD236" s="1118"/>
      <c r="AE236" s="1118"/>
      <c r="AF236" s="379"/>
      <c r="AG236" s="379"/>
      <c r="AH236" s="379"/>
      <c r="AI236" s="481"/>
      <c r="AJ236" s="379"/>
      <c r="AK236" s="440"/>
      <c r="AM236" s="460">
        <v>236</v>
      </c>
      <c r="AN236" s="1078"/>
    </row>
    <row r="237" spans="1:51" ht="12" customHeight="1" x14ac:dyDescent="0.2">
      <c r="A237" s="440"/>
      <c r="B237" s="320"/>
      <c r="C237" s="1036"/>
      <c r="D237" s="1036"/>
      <c r="E237" s="1036"/>
      <c r="F237" s="1036"/>
      <c r="G237" s="1036"/>
      <c r="H237" s="1036"/>
      <c r="I237" s="1036"/>
      <c r="J237" s="1036"/>
      <c r="K237" s="503"/>
      <c r="L237" s="503"/>
      <c r="M237" s="498"/>
      <c r="N237" s="503"/>
      <c r="O237" s="1036"/>
      <c r="P237" s="1036"/>
      <c r="Q237" s="1036"/>
      <c r="R237" s="1036"/>
      <c r="S237" s="372"/>
      <c r="T237" s="372"/>
      <c r="U237" s="372"/>
      <c r="V237" s="372"/>
      <c r="W237" s="1096"/>
      <c r="X237" s="1110"/>
      <c r="Y237" s="1110"/>
      <c r="Z237" s="372"/>
      <c r="AA237" s="372"/>
      <c r="AB237" s="372"/>
      <c r="AC237" s="1096"/>
      <c r="AD237" s="1110"/>
      <c r="AE237" s="1110"/>
      <c r="AF237" s="372"/>
      <c r="AG237" s="372"/>
      <c r="AH237" s="372"/>
      <c r="AI237" s="482"/>
      <c r="AJ237" s="372"/>
      <c r="AK237" s="440"/>
      <c r="AM237" s="460">
        <v>237</v>
      </c>
      <c r="AN237" s="1078"/>
    </row>
    <row r="238" spans="1:51" ht="12" customHeight="1" x14ac:dyDescent="0.25">
      <c r="A238" s="440"/>
      <c r="B238" s="499">
        <v>9</v>
      </c>
      <c r="C238" s="380"/>
      <c r="D238" s="495"/>
      <c r="E238" s="1606" t="s">
        <v>0</v>
      </c>
      <c r="F238" s="1606"/>
      <c r="G238" s="1606"/>
      <c r="H238" s="1606"/>
      <c r="I238" s="1605"/>
      <c r="J238" s="1038"/>
      <c r="K238" s="502"/>
      <c r="L238" s="502"/>
      <c r="M238" s="498"/>
      <c r="N238" s="503"/>
      <c r="O238" s="1036"/>
      <c r="P238" s="1036"/>
      <c r="Q238" s="1036"/>
      <c r="R238" s="1036"/>
      <c r="S238" s="385">
        <f ca="1">S239</f>
        <v>0</v>
      </c>
      <c r="T238" s="363"/>
      <c r="U238" s="363"/>
      <c r="V238" s="363"/>
      <c r="W238" s="1093"/>
      <c r="X238" s="1116"/>
      <c r="Y238" s="1116"/>
      <c r="Z238" s="363"/>
      <c r="AA238" s="363"/>
      <c r="AB238" s="363"/>
      <c r="AC238" s="1093"/>
      <c r="AD238" s="1116"/>
      <c r="AE238" s="1116"/>
      <c r="AF238" s="363"/>
      <c r="AG238" s="363"/>
      <c r="AH238" s="363"/>
      <c r="AI238" s="358"/>
      <c r="AJ238" s="363"/>
      <c r="AK238" s="440"/>
      <c r="AM238" s="460">
        <v>238</v>
      </c>
      <c r="AN238" s="1078"/>
    </row>
    <row r="239" spans="1:51" ht="12" customHeight="1" x14ac:dyDescent="0.25">
      <c r="A239" s="440"/>
      <c r="B239" s="499"/>
      <c r="C239" s="380"/>
      <c r="D239" s="495"/>
      <c r="E239" s="1034"/>
      <c r="F239" s="1034"/>
      <c r="G239" s="1034"/>
      <c r="H239" s="1034"/>
      <c r="I239" s="1038"/>
      <c r="J239" s="1038"/>
      <c r="K239" s="502"/>
      <c r="L239" s="502"/>
      <c r="M239" s="339"/>
      <c r="N239" s="361"/>
      <c r="O239" s="339"/>
      <c r="P239" s="363"/>
      <c r="Q239" s="344"/>
      <c r="R239" s="522" t="s">
        <v>363</v>
      </c>
      <c r="S239" s="353">
        <f ca="1">IF(AY239="E",(M239*O239)+Q239,AO239)</f>
        <v>0</v>
      </c>
      <c r="T239" s="363"/>
      <c r="U239" s="363"/>
      <c r="V239" s="363"/>
      <c r="W239" s="1093"/>
      <c r="X239" s="1116"/>
      <c r="Y239" s="1116"/>
      <c r="Z239" s="363"/>
      <c r="AA239" s="363"/>
      <c r="AB239" s="363"/>
      <c r="AC239" s="1093"/>
      <c r="AD239" s="1116"/>
      <c r="AE239" s="1116"/>
      <c r="AF239" s="363"/>
      <c r="AG239" s="363"/>
      <c r="AH239" s="363"/>
      <c r="AI239" s="358"/>
      <c r="AJ239" s="363"/>
      <c r="AK239" s="440"/>
      <c r="AM239" s="460">
        <v>239</v>
      </c>
      <c r="AN239" s="1078"/>
      <c r="AO239" s="1083">
        <f ca="1">IF($M$13=$AN$12,"",INDIRECT("'"&amp;$AM$20&amp;"'!"&amp;AO$21&amp;$AM239))</f>
        <v>0</v>
      </c>
      <c r="AY239" s="1083" t="str">
        <f>IF($M$13=$AN$12,"E",IF(OR(ISNUMBER(M239),ISNUMBER(O239),ISNUMBER(Q239)),"E","U"))</f>
        <v>U</v>
      </c>
    </row>
    <row r="240" spans="1:51" ht="11.25" x14ac:dyDescent="0.2">
      <c r="A240" s="440"/>
      <c r="B240" s="324"/>
      <c r="C240" s="378"/>
      <c r="D240" s="378"/>
      <c r="E240" s="378"/>
      <c r="F240" s="378"/>
      <c r="G240" s="378"/>
      <c r="H240" s="378"/>
      <c r="I240" s="378"/>
      <c r="J240" s="378"/>
      <c r="K240" s="561"/>
      <c r="L240" s="561"/>
      <c r="M240" s="560"/>
      <c r="N240" s="561"/>
      <c r="O240" s="378"/>
      <c r="P240" s="378"/>
      <c r="Q240" s="378"/>
      <c r="R240" s="378"/>
      <c r="S240" s="378"/>
      <c r="T240" s="378"/>
      <c r="U240" s="378"/>
      <c r="V240" s="378"/>
      <c r="W240" s="1098"/>
      <c r="X240" s="1117"/>
      <c r="Y240" s="1117"/>
      <c r="Z240" s="378"/>
      <c r="AA240" s="378"/>
      <c r="AB240" s="378"/>
      <c r="AC240" s="1098"/>
      <c r="AD240" s="1117"/>
      <c r="AE240" s="1117"/>
      <c r="AF240" s="378"/>
      <c r="AG240" s="378"/>
      <c r="AH240" s="378"/>
      <c r="AI240" s="510"/>
      <c r="AJ240" s="378"/>
      <c r="AK240" s="440"/>
      <c r="AM240" s="460">
        <v>240</v>
      </c>
      <c r="AN240" s="1078"/>
    </row>
    <row r="241" spans="1:54" ht="11.25" x14ac:dyDescent="0.2">
      <c r="A241" s="440"/>
      <c r="B241" s="1043"/>
      <c r="C241" s="380"/>
      <c r="D241" s="380"/>
      <c r="E241" s="380"/>
      <c r="F241" s="380"/>
      <c r="G241" s="380"/>
      <c r="H241" s="380"/>
      <c r="I241" s="380"/>
      <c r="J241" s="380"/>
      <c r="K241" s="463"/>
      <c r="L241" s="463"/>
      <c r="M241" s="532"/>
      <c r="N241" s="463"/>
      <c r="O241" s="380"/>
      <c r="P241" s="380"/>
      <c r="Q241" s="380"/>
      <c r="R241" s="380"/>
      <c r="S241" s="380"/>
      <c r="T241" s="380"/>
      <c r="U241" s="380"/>
      <c r="V241" s="380"/>
      <c r="W241" s="1101"/>
      <c r="X241" s="1119"/>
      <c r="Y241" s="1119"/>
      <c r="Z241" s="380"/>
      <c r="AA241" s="380"/>
      <c r="AB241" s="380"/>
      <c r="AC241" s="1101"/>
      <c r="AD241" s="1119"/>
      <c r="AE241" s="1119"/>
      <c r="AF241" s="380"/>
      <c r="AG241" s="380"/>
      <c r="AH241" s="380"/>
      <c r="AI241" s="464"/>
      <c r="AJ241" s="380"/>
      <c r="AK241" s="440"/>
      <c r="AM241" s="460">
        <v>241</v>
      </c>
      <c r="AN241" s="1078"/>
    </row>
    <row r="242" spans="1:54" ht="11.25" x14ac:dyDescent="0.2">
      <c r="A242" s="440"/>
      <c r="B242" s="1043"/>
      <c r="C242" s="380"/>
      <c r="D242" s="380"/>
      <c r="E242" s="380"/>
      <c r="F242" s="380"/>
      <c r="G242" s="380"/>
      <c r="H242" s="380"/>
      <c r="I242" s="380"/>
      <c r="J242" s="380"/>
      <c r="K242" s="463"/>
      <c r="L242" s="463"/>
      <c r="M242" s="532"/>
      <c r="N242" s="463"/>
      <c r="O242" s="380"/>
      <c r="P242" s="380"/>
      <c r="Q242" s="380"/>
      <c r="R242" s="380"/>
      <c r="S242" s="380"/>
      <c r="T242" s="380"/>
      <c r="U242" s="380"/>
      <c r="V242" s="380"/>
      <c r="W242" s="1101"/>
      <c r="X242" s="1119"/>
      <c r="Y242" s="1119"/>
      <c r="Z242" s="380"/>
      <c r="AA242" s="380"/>
      <c r="AB242" s="380"/>
      <c r="AC242" s="1101"/>
      <c r="AD242" s="1119"/>
      <c r="AE242" s="1119"/>
      <c r="AF242" s="380"/>
      <c r="AG242" s="380"/>
      <c r="AH242" s="380"/>
      <c r="AI242" s="464"/>
      <c r="AJ242" s="380"/>
      <c r="AK242" s="440"/>
      <c r="AM242" s="460">
        <v>242</v>
      </c>
      <c r="AN242" s="1078"/>
    </row>
    <row r="243" spans="1:54" x14ac:dyDescent="0.25">
      <c r="A243" s="440"/>
      <c r="B243" s="493" t="s">
        <v>362</v>
      </c>
      <c r="C243" s="494"/>
      <c r="D243" s="495"/>
      <c r="E243" s="1606" t="s">
        <v>272</v>
      </c>
      <c r="F243" s="1606"/>
      <c r="G243" s="1606"/>
      <c r="H243" s="1606"/>
      <c r="I243" s="1597"/>
      <c r="J243" s="1038"/>
      <c r="K243" s="462"/>
      <c r="L243" s="462"/>
      <c r="M243" s="498"/>
      <c r="N243" s="359"/>
      <c r="O243" s="363"/>
      <c r="P243" s="363"/>
      <c r="Q243" s="363"/>
      <c r="R243" s="363"/>
      <c r="S243" s="385">
        <f ca="1">S244</f>
        <v>1845816.6599999997</v>
      </c>
      <c r="T243" s="363"/>
      <c r="U243" s="363"/>
      <c r="V243" s="363"/>
      <c r="W243" s="1093"/>
      <c r="X243" s="1116"/>
      <c r="Y243" s="1116"/>
      <c r="Z243" s="363"/>
      <c r="AA243" s="363"/>
      <c r="AB243" s="363"/>
      <c r="AC243" s="1093"/>
      <c r="AD243" s="1116"/>
      <c r="AE243" s="1116"/>
      <c r="AF243" s="363"/>
      <c r="AG243" s="363"/>
      <c r="AH243" s="363"/>
      <c r="AI243" s="358"/>
      <c r="AJ243" s="363"/>
      <c r="AK243" s="440"/>
      <c r="AM243" s="460">
        <v>243</v>
      </c>
      <c r="AN243" s="1078"/>
    </row>
    <row r="244" spans="1:54" ht="14.25" customHeight="1" x14ac:dyDescent="0.25">
      <c r="A244" s="440"/>
      <c r="B244" s="1043"/>
      <c r="C244" s="1036"/>
      <c r="D244" s="494"/>
      <c r="E244" s="1596" t="s">
        <v>359</v>
      </c>
      <c r="F244" s="1596"/>
      <c r="G244" s="1596"/>
      <c r="H244" s="1596"/>
      <c r="I244" s="1597"/>
      <c r="J244" s="1038"/>
      <c r="K244" s="462"/>
      <c r="L244" s="462"/>
      <c r="M244" s="498"/>
      <c r="N244" s="359"/>
      <c r="O244" s="363"/>
      <c r="P244" s="363"/>
      <c r="Q244" s="363"/>
      <c r="R244" s="363"/>
      <c r="S244" s="355">
        <f ca="1">SUBTOTAL(109,S246:S250)</f>
        <v>1845816.6599999997</v>
      </c>
      <c r="T244" s="363"/>
      <c r="U244" s="363"/>
      <c r="V244" s="363"/>
      <c r="W244" s="1093"/>
      <c r="X244" s="1116"/>
      <c r="Y244" s="1116"/>
      <c r="Z244" s="363"/>
      <c r="AA244" s="363"/>
      <c r="AB244" s="363"/>
      <c r="AC244" s="1093"/>
      <c r="AD244" s="1116"/>
      <c r="AE244" s="1116"/>
      <c r="AF244" s="363"/>
      <c r="AG244" s="363"/>
      <c r="AH244" s="363"/>
      <c r="AI244" s="358"/>
      <c r="AJ244" s="363"/>
      <c r="AK244" s="440"/>
      <c r="AM244" s="460">
        <v>244</v>
      </c>
      <c r="AN244" s="1078"/>
    </row>
    <row r="245" spans="1:54" ht="11.25" customHeight="1" x14ac:dyDescent="0.25">
      <c r="A245" s="440"/>
      <c r="B245" s="1042"/>
      <c r="C245" s="1036"/>
      <c r="D245" s="494"/>
      <c r="E245" s="1036"/>
      <c r="F245" s="1036"/>
      <c r="G245" s="1036"/>
      <c r="H245" s="1036"/>
      <c r="I245" s="1035"/>
      <c r="J245" s="1038"/>
      <c r="K245" s="462"/>
      <c r="L245" s="462"/>
      <c r="M245" s="498"/>
      <c r="N245" s="359"/>
      <c r="O245" s="363"/>
      <c r="P245" s="363"/>
      <c r="Q245" s="363"/>
      <c r="R245" s="363"/>
      <c r="S245" s="355"/>
      <c r="T245" s="363"/>
      <c r="U245" s="363"/>
      <c r="V245" s="363"/>
      <c r="W245" s="1093"/>
      <c r="X245" s="1116"/>
      <c r="Y245" s="1116"/>
      <c r="Z245" s="363"/>
      <c r="AA245" s="363"/>
      <c r="AB245" s="363"/>
      <c r="AC245" s="1093"/>
      <c r="AD245" s="1116"/>
      <c r="AE245" s="1116"/>
      <c r="AF245" s="363"/>
      <c r="AG245" s="363"/>
      <c r="AH245" s="363"/>
      <c r="AI245" s="358"/>
      <c r="AJ245" s="363"/>
      <c r="AK245" s="440"/>
      <c r="AM245" s="460">
        <v>245</v>
      </c>
      <c r="AN245" s="1078"/>
    </row>
    <row r="246" spans="1:54" ht="12" customHeight="1" x14ac:dyDescent="0.25">
      <c r="A246" s="440"/>
      <c r="B246" s="1043"/>
      <c r="C246" s="380"/>
      <c r="D246" s="1037"/>
      <c r="E246" s="1084" t="str">
        <f ca="1">IF(AX246="E","",AN246)</f>
        <v>Baumeister</v>
      </c>
      <c r="F246" s="1085"/>
      <c r="G246" s="1264"/>
      <c r="H246" s="1264"/>
      <c r="I246" s="1265"/>
      <c r="J246" s="1038"/>
      <c r="K246" s="462"/>
      <c r="L246" s="462"/>
      <c r="M246" s="345"/>
      <c r="N246" s="528"/>
      <c r="O246" s="345"/>
      <c r="P246" s="543"/>
      <c r="Q246" s="344"/>
      <c r="R246" s="522" t="s">
        <v>363</v>
      </c>
      <c r="S246" s="353">
        <f t="shared" ref="S246:S250" ca="1" si="403">IF(AY246="E",(M246*O246)+Q246,AO246)</f>
        <v>1116603.8639999998</v>
      </c>
      <c r="T246" s="523"/>
      <c r="U246" s="350"/>
      <c r="V246" s="308"/>
      <c r="W246" s="1090" t="str">
        <f t="shared" ref="W246:W250" ca="1" si="404">IF(AZ246="E",IF(AND(V246&lt;&gt;0,U246&lt;&gt;0),"X",IF(AND(V246&lt;&gt;0,U246=0),"A",IF(AND(V246=0,U246&lt;&gt;0),"P",""))),AR246)</f>
        <v/>
      </c>
      <c r="X246" s="1103">
        <f t="shared" ref="X246:X250" ca="1" si="405">IF(AZ246="E",IFERROR(IF(W246="X",0,IF(U246&gt;0,U246,V246/S246)),0),
IFERROR(IF(OR(AR246="X",AR246=0),0,
IF(AR246="P",AP246,IF(AR246="A",AQ246/S246,0))),0))</f>
        <v>0</v>
      </c>
      <c r="Y246" s="1120">
        <f t="shared" ref="Y246:Y250" ca="1" si="406">IF(AZ246="E",IFERROR(IF(W246="X",0,IF(V246&gt;0,V246,S246*U246)),0),
IFERROR(IF(OR(AR246="X",AR246="0"),0,IF(AR246="A",AQ246,S246*AP246)),0))</f>
        <v>0</v>
      </c>
      <c r="Z246" s="524"/>
      <c r="AA246" s="350"/>
      <c r="AB246" s="308"/>
      <c r="AC246" s="1090" t="str">
        <f t="shared" ref="AC246:AC250" ca="1" si="407">IF(BA246="E",IF(AND(AB246&lt;&gt;0,AA246&lt;&gt;0),"X",IF(AND(AB246&lt;&gt;0,AA246=0),"A",IF(AND(AB246=0,AA246&lt;&gt;0),"P",""))),AU246)</f>
        <v/>
      </c>
      <c r="AD246" s="1103">
        <f t="shared" ref="AD246:AD250" ca="1" si="408">IF(BA246="E",IFERROR(IF(AC246="X",0,IF(AA246&gt;0,AA246,AB246/S246)),0),
IFERROR(IF(OR(AU246="X",AU246=0),0,
IF(AU246="P",AS246,IF(AU246="A",AT246/S246,0))),0))</f>
        <v>0</v>
      </c>
      <c r="AE246" s="1120">
        <f t="shared" ref="AE246:AE250" ca="1" si="409">IF(BA246="E",IFERROR(IF(AC246="X",0,IF(AB246&gt;0,AB246,S246*AA246)),0),
IFERROR(IF(OR(AU246="X",AU246=0),0,
IF(AU246="A",AT246,S246*AS246)),0))</f>
        <v>0</v>
      </c>
      <c r="AF246" s="525"/>
      <c r="AG246" s="637"/>
      <c r="AH246" s="525"/>
      <c r="AI246" s="1086">
        <f t="shared" ref="AI246:AI250" ca="1" si="410">IF(BB246="E",AG246,AV246)</f>
        <v>100</v>
      </c>
      <c r="AJ246" s="380"/>
      <c r="AK246" s="440"/>
      <c r="AM246" s="460">
        <v>246</v>
      </c>
      <c r="AN246" s="1087" t="str">
        <f t="shared" ref="AN246:AN250" ca="1" si="411">IF($M$13=$AN$12,"",IF(ISTEXT(INDIRECT("'"&amp;$AM$20&amp;"'!"&amp;AN$21&amp;$AM246)),INDIRECT("'"&amp;$AM$20&amp;"'!"&amp;AN$21&amp;$AM246),INDIRECT("'"&amp;$AM$20&amp;"'!"&amp;AN$22&amp;$AM246)))</f>
        <v>Baumeister</v>
      </c>
      <c r="AO246" s="1083">
        <f t="shared" ref="AO246:AV250" ca="1" si="412">IF($M$13=$AN$12,"",INDIRECT("'"&amp;$AM$20&amp;"'!"&amp;AO$21&amp;$AM246))</f>
        <v>1116603.8639999998</v>
      </c>
      <c r="AP246" s="356">
        <f t="shared" ca="1" si="412"/>
        <v>0</v>
      </c>
      <c r="AQ246" s="357">
        <f t="shared" ca="1" si="412"/>
        <v>0</v>
      </c>
      <c r="AR246" s="524" t="str">
        <f t="shared" ca="1" si="412"/>
        <v/>
      </c>
      <c r="AS246" s="356">
        <f t="shared" ca="1" si="412"/>
        <v>0</v>
      </c>
      <c r="AT246" s="357">
        <f t="shared" ca="1" si="412"/>
        <v>0</v>
      </c>
      <c r="AU246" s="524" t="str">
        <f t="shared" ca="1" si="412"/>
        <v/>
      </c>
      <c r="AV246" s="1083">
        <f t="shared" ca="1" si="412"/>
        <v>100</v>
      </c>
      <c r="AX246" s="1083" t="str">
        <f t="shared" ref="AX246:AX250" si="413">IF($M$13=$AN$12,"E",IF(ISTEXT(F246),"E","U"))</f>
        <v>U</v>
      </c>
      <c r="AY246" s="1083" t="str">
        <f t="shared" ref="AY246:AY250" si="414">IF($M$13=$AN$12,"E",IF(OR(ISNUMBER(M246),ISNUMBER(O246),ISNUMBER(Q246)),"E","U"))</f>
        <v>U</v>
      </c>
      <c r="AZ246" s="1083" t="str">
        <f t="shared" ref="AZ246:AZ250" si="415">IF($M$13=$AN$12,"E",IF(OR(ISNUMBER(U246),ISNUMBER(V246)),"E","U"))</f>
        <v>U</v>
      </c>
      <c r="BA246" s="1083" t="str">
        <f t="shared" ref="BA246:BA250" si="416">IF($M$13=$AN$12,"E",IF(OR(ISNUMBER(AA246),ISNUMBER(AB246)),"E","U"))</f>
        <v>U</v>
      </c>
      <c r="BB246" s="1083" t="str">
        <f t="shared" ref="BB246:BB250" si="417">IF($M$13=$AN$12,"E",IF(ISNUMBER(AG246),"E","U"))</f>
        <v>U</v>
      </c>
    </row>
    <row r="247" spans="1:54" ht="12" customHeight="1" x14ac:dyDescent="0.25">
      <c r="A247" s="440"/>
      <c r="B247" s="1043"/>
      <c r="C247" s="380"/>
      <c r="D247" s="1037"/>
      <c r="E247" s="1084" t="str">
        <f ca="1">IF(AX247="E","",AN247)</f>
        <v>Zimmermann</v>
      </c>
      <c r="F247" s="1085"/>
      <c r="G247" s="1264"/>
      <c r="H247" s="1264"/>
      <c r="I247" s="1265"/>
      <c r="J247" s="1038"/>
      <c r="K247" s="462"/>
      <c r="L247" s="462"/>
      <c r="M247" s="345"/>
      <c r="N247" s="528"/>
      <c r="O247" s="345"/>
      <c r="P247" s="543"/>
      <c r="Q247" s="344"/>
      <c r="R247" s="522" t="s">
        <v>363</v>
      </c>
      <c r="S247" s="353">
        <f t="shared" ca="1" si="403"/>
        <v>22720.5</v>
      </c>
      <c r="T247" s="523"/>
      <c r="U247" s="350"/>
      <c r="V247" s="308"/>
      <c r="W247" s="1090" t="str">
        <f t="shared" ca="1" si="404"/>
        <v/>
      </c>
      <c r="X247" s="1103">
        <f t="shared" ca="1" si="405"/>
        <v>0</v>
      </c>
      <c r="Y247" s="1120">
        <f t="shared" ca="1" si="406"/>
        <v>0</v>
      </c>
      <c r="Z247" s="524"/>
      <c r="AA247" s="350"/>
      <c r="AB247" s="308"/>
      <c r="AC247" s="1090" t="str">
        <f t="shared" ca="1" si="407"/>
        <v/>
      </c>
      <c r="AD247" s="1103">
        <f t="shared" ca="1" si="408"/>
        <v>0</v>
      </c>
      <c r="AE247" s="1120">
        <f t="shared" ca="1" si="409"/>
        <v>0</v>
      </c>
      <c r="AF247" s="525"/>
      <c r="AG247" s="637"/>
      <c r="AH247" s="525"/>
      <c r="AI247" s="1086">
        <f t="shared" ca="1" si="410"/>
        <v>50</v>
      </c>
      <c r="AJ247" s="380"/>
      <c r="AK247" s="440"/>
      <c r="AM247" s="460">
        <v>247</v>
      </c>
      <c r="AN247" s="1087" t="str">
        <f t="shared" ca="1" si="411"/>
        <v>Zimmermann</v>
      </c>
      <c r="AO247" s="1083">
        <f t="shared" ca="1" si="412"/>
        <v>22720.5</v>
      </c>
      <c r="AP247" s="356">
        <f t="shared" ca="1" si="412"/>
        <v>0</v>
      </c>
      <c r="AQ247" s="357">
        <f t="shared" ca="1" si="412"/>
        <v>0</v>
      </c>
      <c r="AR247" s="524" t="str">
        <f t="shared" ca="1" si="412"/>
        <v/>
      </c>
      <c r="AS247" s="356">
        <f t="shared" ca="1" si="412"/>
        <v>0</v>
      </c>
      <c r="AT247" s="357">
        <f t="shared" ca="1" si="412"/>
        <v>0</v>
      </c>
      <c r="AU247" s="524" t="str">
        <f t="shared" ca="1" si="412"/>
        <v/>
      </c>
      <c r="AV247" s="1083">
        <f t="shared" ca="1" si="412"/>
        <v>50</v>
      </c>
      <c r="AX247" s="1083" t="str">
        <f t="shared" si="413"/>
        <v>U</v>
      </c>
      <c r="AY247" s="1083" t="str">
        <f t="shared" si="414"/>
        <v>U</v>
      </c>
      <c r="AZ247" s="1083" t="str">
        <f t="shared" si="415"/>
        <v>U</v>
      </c>
      <c r="BA247" s="1083" t="str">
        <f t="shared" si="416"/>
        <v>U</v>
      </c>
      <c r="BB247" s="1083" t="str">
        <f t="shared" si="417"/>
        <v>U</v>
      </c>
    </row>
    <row r="248" spans="1:54" ht="12" customHeight="1" x14ac:dyDescent="0.25">
      <c r="A248" s="440"/>
      <c r="B248" s="1043"/>
      <c r="C248" s="380"/>
      <c r="D248" s="1037"/>
      <c r="E248" s="1084" t="str">
        <f ca="1">IF(AX248="E","",AN248)</f>
        <v>alle sonst. mit LD100</v>
      </c>
      <c r="F248" s="1085"/>
      <c r="G248" s="1264"/>
      <c r="H248" s="1264"/>
      <c r="I248" s="1265"/>
      <c r="J248" s="1038"/>
      <c r="K248" s="462"/>
      <c r="L248" s="462"/>
      <c r="M248" s="345"/>
      <c r="N248" s="528"/>
      <c r="O248" s="345"/>
      <c r="P248" s="543"/>
      <c r="Q248" s="344"/>
      <c r="R248" s="522" t="s">
        <v>363</v>
      </c>
      <c r="S248" s="353">
        <f t="shared" ca="1" si="403"/>
        <v>507862.68</v>
      </c>
      <c r="T248" s="523"/>
      <c r="U248" s="350"/>
      <c r="V248" s="308"/>
      <c r="W248" s="1090" t="str">
        <f t="shared" ca="1" si="404"/>
        <v/>
      </c>
      <c r="X248" s="1103">
        <f t="shared" ca="1" si="405"/>
        <v>0</v>
      </c>
      <c r="Y248" s="1120">
        <f t="shared" ca="1" si="406"/>
        <v>0</v>
      </c>
      <c r="Z248" s="524"/>
      <c r="AA248" s="350"/>
      <c r="AB248" s="308"/>
      <c r="AC248" s="1090" t="str">
        <f t="shared" ca="1" si="407"/>
        <v/>
      </c>
      <c r="AD248" s="1103">
        <f t="shared" ca="1" si="408"/>
        <v>0</v>
      </c>
      <c r="AE248" s="1120">
        <f t="shared" ca="1" si="409"/>
        <v>0</v>
      </c>
      <c r="AF248" s="525"/>
      <c r="AG248" s="637"/>
      <c r="AH248" s="525"/>
      <c r="AI248" s="1086">
        <f t="shared" ca="1" si="410"/>
        <v>100</v>
      </c>
      <c r="AJ248" s="380"/>
      <c r="AK248" s="440"/>
      <c r="AM248" s="460">
        <v>248</v>
      </c>
      <c r="AN248" s="1087" t="str">
        <f t="shared" ca="1" si="411"/>
        <v>alle sonst. mit LD100</v>
      </c>
      <c r="AO248" s="1083">
        <f t="shared" ca="1" si="412"/>
        <v>507862.68</v>
      </c>
      <c r="AP248" s="356">
        <f t="shared" ca="1" si="412"/>
        <v>0</v>
      </c>
      <c r="AQ248" s="357">
        <f t="shared" ca="1" si="412"/>
        <v>0</v>
      </c>
      <c r="AR248" s="524" t="str">
        <f t="shared" ca="1" si="412"/>
        <v/>
      </c>
      <c r="AS248" s="356">
        <f t="shared" ca="1" si="412"/>
        <v>0</v>
      </c>
      <c r="AT248" s="357">
        <f t="shared" ca="1" si="412"/>
        <v>0</v>
      </c>
      <c r="AU248" s="524" t="str">
        <f t="shared" ca="1" si="412"/>
        <v/>
      </c>
      <c r="AV248" s="1083">
        <f t="shared" ca="1" si="412"/>
        <v>100</v>
      </c>
      <c r="AX248" s="1083" t="str">
        <f t="shared" si="413"/>
        <v>U</v>
      </c>
      <c r="AY248" s="1083" t="str">
        <f t="shared" si="414"/>
        <v>U</v>
      </c>
      <c r="AZ248" s="1083" t="str">
        <f t="shared" si="415"/>
        <v>U</v>
      </c>
      <c r="BA248" s="1083" t="str">
        <f t="shared" si="416"/>
        <v>U</v>
      </c>
      <c r="BB248" s="1083" t="str">
        <f t="shared" si="417"/>
        <v>U</v>
      </c>
    </row>
    <row r="249" spans="1:54" ht="12" customHeight="1" x14ac:dyDescent="0.25">
      <c r="A249" s="440"/>
      <c r="B249" s="1043"/>
      <c r="C249" s="380"/>
      <c r="D249" s="1037"/>
      <c r="E249" s="1084" t="str">
        <f ca="1">IF(AX249="E","",AN249)</f>
        <v>Trockenbau</v>
      </c>
      <c r="F249" s="1085"/>
      <c r="G249" s="1264"/>
      <c r="H249" s="1264"/>
      <c r="I249" s="1265"/>
      <c r="J249" s="1038"/>
      <c r="K249" s="462"/>
      <c r="L249" s="462"/>
      <c r="M249" s="345"/>
      <c r="N249" s="528"/>
      <c r="O249" s="345"/>
      <c r="P249" s="543"/>
      <c r="Q249" s="344"/>
      <c r="R249" s="522" t="s">
        <v>363</v>
      </c>
      <c r="S249" s="353">
        <f t="shared" ca="1" si="403"/>
        <v>138950.43599999999</v>
      </c>
      <c r="T249" s="523"/>
      <c r="U249" s="350"/>
      <c r="V249" s="308"/>
      <c r="W249" s="1090" t="str">
        <f t="shared" ca="1" si="404"/>
        <v/>
      </c>
      <c r="X249" s="1103">
        <f t="shared" ca="1" si="405"/>
        <v>0</v>
      </c>
      <c r="Y249" s="1120">
        <f t="shared" ca="1" si="406"/>
        <v>0</v>
      </c>
      <c r="Z249" s="524"/>
      <c r="AA249" s="350"/>
      <c r="AB249" s="308"/>
      <c r="AC249" s="1090" t="str">
        <f t="shared" ca="1" si="407"/>
        <v/>
      </c>
      <c r="AD249" s="1103">
        <f t="shared" ca="1" si="408"/>
        <v>0</v>
      </c>
      <c r="AE249" s="1120">
        <f t="shared" ca="1" si="409"/>
        <v>0</v>
      </c>
      <c r="AF249" s="525"/>
      <c r="AG249" s="637"/>
      <c r="AH249" s="525"/>
      <c r="AI249" s="1086">
        <f t="shared" ca="1" si="410"/>
        <v>50</v>
      </c>
      <c r="AJ249" s="380"/>
      <c r="AK249" s="440"/>
      <c r="AM249" s="460">
        <v>249</v>
      </c>
      <c r="AN249" s="1087" t="str">
        <f t="shared" ca="1" si="411"/>
        <v>Trockenbau</v>
      </c>
      <c r="AO249" s="1083">
        <f t="shared" ca="1" si="412"/>
        <v>138950.43599999999</v>
      </c>
      <c r="AP249" s="356">
        <f t="shared" ca="1" si="412"/>
        <v>0</v>
      </c>
      <c r="AQ249" s="357">
        <f t="shared" ca="1" si="412"/>
        <v>0</v>
      </c>
      <c r="AR249" s="524" t="str">
        <f t="shared" ca="1" si="412"/>
        <v/>
      </c>
      <c r="AS249" s="356">
        <f t="shared" ca="1" si="412"/>
        <v>0</v>
      </c>
      <c r="AT249" s="357">
        <f t="shared" ca="1" si="412"/>
        <v>0</v>
      </c>
      <c r="AU249" s="524" t="str">
        <f t="shared" ca="1" si="412"/>
        <v/>
      </c>
      <c r="AV249" s="1083">
        <f t="shared" ca="1" si="412"/>
        <v>50</v>
      </c>
      <c r="AX249" s="1083" t="str">
        <f t="shared" si="413"/>
        <v>U</v>
      </c>
      <c r="AY249" s="1083" t="str">
        <f t="shared" si="414"/>
        <v>U</v>
      </c>
      <c r="AZ249" s="1083" t="str">
        <f t="shared" si="415"/>
        <v>U</v>
      </c>
      <c r="BA249" s="1083" t="str">
        <f t="shared" si="416"/>
        <v>U</v>
      </c>
      <c r="BB249" s="1083" t="str">
        <f t="shared" si="417"/>
        <v>U</v>
      </c>
    </row>
    <row r="250" spans="1:54" ht="12" customHeight="1" x14ac:dyDescent="0.25">
      <c r="A250" s="440"/>
      <c r="B250" s="1043"/>
      <c r="C250" s="380"/>
      <c r="D250" s="1037"/>
      <c r="E250" s="1084" t="str">
        <f ca="1">IF(AX250="E","",AN250)</f>
        <v>Türen mit Stahlzargen</v>
      </c>
      <c r="F250" s="1085"/>
      <c r="G250" s="1264"/>
      <c r="H250" s="1264"/>
      <c r="I250" s="1265"/>
      <c r="J250" s="1038"/>
      <c r="K250" s="462"/>
      <c r="L250" s="462"/>
      <c r="M250" s="344"/>
      <c r="N250" s="528"/>
      <c r="O250" s="344"/>
      <c r="P250" s="543"/>
      <c r="Q250" s="344"/>
      <c r="R250" s="522" t="s">
        <v>363</v>
      </c>
      <c r="S250" s="353">
        <f t="shared" ca="1" si="403"/>
        <v>59679.18</v>
      </c>
      <c r="T250" s="523"/>
      <c r="U250" s="350"/>
      <c r="V250" s="308"/>
      <c r="W250" s="1090" t="str">
        <f t="shared" ca="1" si="404"/>
        <v/>
      </c>
      <c r="X250" s="1103">
        <f t="shared" ca="1" si="405"/>
        <v>0</v>
      </c>
      <c r="Y250" s="1120">
        <f t="shared" ca="1" si="406"/>
        <v>0</v>
      </c>
      <c r="Z250" s="524"/>
      <c r="AA250" s="350"/>
      <c r="AB250" s="308"/>
      <c r="AC250" s="1090" t="str">
        <f t="shared" ca="1" si="407"/>
        <v/>
      </c>
      <c r="AD250" s="1103">
        <f t="shared" ca="1" si="408"/>
        <v>0</v>
      </c>
      <c r="AE250" s="1120">
        <f t="shared" ca="1" si="409"/>
        <v>0</v>
      </c>
      <c r="AF250" s="525"/>
      <c r="AG250" s="637"/>
      <c r="AH250" s="525"/>
      <c r="AI250" s="1086">
        <f t="shared" ca="1" si="410"/>
        <v>100</v>
      </c>
      <c r="AJ250" s="380"/>
      <c r="AK250" s="440"/>
      <c r="AM250" s="460">
        <v>250</v>
      </c>
      <c r="AN250" s="1087" t="str">
        <f t="shared" ca="1" si="411"/>
        <v>Türen mit Stahlzargen</v>
      </c>
      <c r="AO250" s="1083">
        <f t="shared" ca="1" si="412"/>
        <v>59679.18</v>
      </c>
      <c r="AP250" s="356">
        <f t="shared" ca="1" si="412"/>
        <v>0</v>
      </c>
      <c r="AQ250" s="357">
        <f t="shared" ca="1" si="412"/>
        <v>0</v>
      </c>
      <c r="AR250" s="524" t="str">
        <f t="shared" ca="1" si="412"/>
        <v/>
      </c>
      <c r="AS250" s="356">
        <f t="shared" ca="1" si="412"/>
        <v>0</v>
      </c>
      <c r="AT250" s="357">
        <f t="shared" ca="1" si="412"/>
        <v>0</v>
      </c>
      <c r="AU250" s="524" t="str">
        <f t="shared" ca="1" si="412"/>
        <v/>
      </c>
      <c r="AV250" s="1083">
        <f t="shared" ca="1" si="412"/>
        <v>100</v>
      </c>
      <c r="AX250" s="1083" t="str">
        <f t="shared" si="413"/>
        <v>U</v>
      </c>
      <c r="AY250" s="1083" t="str">
        <f t="shared" si="414"/>
        <v>U</v>
      </c>
      <c r="AZ250" s="1083" t="str">
        <f t="shared" si="415"/>
        <v>U</v>
      </c>
      <c r="BA250" s="1083" t="str">
        <f t="shared" si="416"/>
        <v>U</v>
      </c>
      <c r="BB250" s="1083" t="str">
        <f t="shared" si="417"/>
        <v>U</v>
      </c>
    </row>
    <row r="251" spans="1:54" ht="11.25" collapsed="1" x14ac:dyDescent="0.2">
      <c r="A251" s="440"/>
      <c r="B251" s="324"/>
      <c r="C251" s="378"/>
      <c r="D251" s="378"/>
      <c r="E251" s="378"/>
      <c r="F251" s="378"/>
      <c r="G251" s="378"/>
      <c r="H251" s="378"/>
      <c r="I251" s="378"/>
      <c r="J251" s="378"/>
      <c r="K251" s="378"/>
      <c r="L251" s="378"/>
      <c r="M251" s="560"/>
      <c r="N251" s="561"/>
      <c r="O251" s="378"/>
      <c r="P251" s="378"/>
      <c r="Q251" s="378"/>
      <c r="R251" s="378"/>
      <c r="S251" s="378"/>
      <c r="T251" s="378"/>
      <c r="U251" s="378"/>
      <c r="V251" s="378"/>
      <c r="W251" s="378"/>
      <c r="X251" s="378"/>
      <c r="Y251" s="378"/>
      <c r="Z251" s="378"/>
      <c r="AA251" s="378"/>
      <c r="AB251" s="378"/>
      <c r="AC251" s="378"/>
      <c r="AD251" s="378"/>
      <c r="AE251" s="378"/>
      <c r="AF251" s="378"/>
      <c r="AG251" s="378"/>
      <c r="AH251" s="378"/>
      <c r="AI251" s="510"/>
      <c r="AJ251" s="378"/>
      <c r="AK251" s="440"/>
      <c r="AM251" s="460">
        <v>251</v>
      </c>
      <c r="AN251" s="1078"/>
    </row>
    <row r="252" spans="1:54" ht="11.25" x14ac:dyDescent="0.2">
      <c r="A252" s="440"/>
      <c r="B252" s="1043"/>
      <c r="C252" s="380"/>
      <c r="D252" s="380"/>
      <c r="E252" s="380"/>
      <c r="F252" s="380"/>
      <c r="G252" s="380"/>
      <c r="H252" s="380"/>
      <c r="I252" s="380"/>
      <c r="J252" s="380"/>
      <c r="K252" s="463"/>
      <c r="L252" s="463"/>
      <c r="M252" s="532"/>
      <c r="N252" s="463"/>
      <c r="O252" s="380"/>
      <c r="P252" s="380"/>
      <c r="Q252" s="380"/>
      <c r="R252" s="380"/>
      <c r="S252" s="380"/>
      <c r="T252" s="380"/>
      <c r="U252" s="380"/>
      <c r="V252" s="380"/>
      <c r="W252" s="380"/>
      <c r="X252" s="380"/>
      <c r="Y252" s="380"/>
      <c r="Z252" s="380"/>
      <c r="AA252" s="380"/>
      <c r="AB252" s="380"/>
      <c r="AC252" s="380"/>
      <c r="AD252" s="380"/>
      <c r="AE252" s="380"/>
      <c r="AF252" s="380"/>
      <c r="AG252" s="380"/>
      <c r="AH252" s="380"/>
      <c r="AI252" s="464"/>
      <c r="AJ252" s="380"/>
      <c r="AK252" s="440"/>
      <c r="AM252" s="460">
        <v>252</v>
      </c>
      <c r="AN252" s="1078"/>
    </row>
    <row r="253" spans="1:54" ht="11.25" x14ac:dyDescent="0.2">
      <c r="A253" s="440"/>
      <c r="B253" s="1043"/>
      <c r="C253" s="380"/>
      <c r="D253" s="380"/>
      <c r="E253" s="380"/>
      <c r="F253" s="380"/>
      <c r="G253" s="380"/>
      <c r="H253" s="380"/>
      <c r="I253" s="380"/>
      <c r="J253" s="380"/>
      <c r="K253" s="463"/>
      <c r="L253" s="463"/>
      <c r="M253" s="532"/>
      <c r="N253" s="463"/>
      <c r="O253" s="380"/>
      <c r="P253" s="380"/>
      <c r="Q253" s="380"/>
      <c r="R253" s="380"/>
      <c r="S253" s="380"/>
      <c r="T253" s="380"/>
      <c r="U253" s="380"/>
      <c r="V253" s="380"/>
      <c r="W253" s="380"/>
      <c r="X253" s="380"/>
      <c r="Y253" s="380"/>
      <c r="Z253" s="380"/>
      <c r="AA253" s="380"/>
      <c r="AB253" s="380"/>
      <c r="AC253" s="380"/>
      <c r="AD253" s="380"/>
      <c r="AE253" s="380"/>
      <c r="AF253" s="380"/>
      <c r="AG253" s="380"/>
      <c r="AH253" s="380"/>
      <c r="AI253" s="464"/>
      <c r="AJ253" s="380"/>
      <c r="AK253" s="440"/>
      <c r="AM253" s="460">
        <v>253</v>
      </c>
      <c r="AN253" s="1078"/>
    </row>
    <row r="254" spans="1:54" ht="12.75" customHeight="1" x14ac:dyDescent="0.25">
      <c r="A254" s="440"/>
      <c r="B254" s="493" t="s">
        <v>366</v>
      </c>
      <c r="C254" s="494"/>
      <c r="D254" s="495"/>
      <c r="E254" s="1596" t="s">
        <v>365</v>
      </c>
      <c r="F254" s="1596"/>
      <c r="G254" s="1596"/>
      <c r="H254" s="1596"/>
      <c r="I254" s="1632"/>
      <c r="J254" s="1038"/>
      <c r="K254" s="462"/>
      <c r="L254" s="462"/>
      <c r="M254" s="498"/>
      <c r="N254" s="359"/>
      <c r="O254" s="363"/>
      <c r="P254" s="363"/>
      <c r="Q254" s="363"/>
      <c r="R254" s="363"/>
      <c r="S254" s="385">
        <f ca="1">S255</f>
        <v>0</v>
      </c>
      <c r="T254" s="363"/>
      <c r="U254" s="363"/>
      <c r="V254" s="363"/>
      <c r="W254" s="363"/>
      <c r="X254" s="363"/>
      <c r="Y254" s="363"/>
      <c r="Z254" s="363"/>
      <c r="AA254" s="363"/>
      <c r="AB254" s="363"/>
      <c r="AC254" s="363"/>
      <c r="AD254" s="363"/>
      <c r="AE254" s="363"/>
      <c r="AF254" s="363"/>
      <c r="AG254" s="363"/>
      <c r="AH254" s="363"/>
      <c r="AI254" s="358"/>
      <c r="AJ254" s="363"/>
      <c r="AK254" s="440"/>
      <c r="AM254" s="460">
        <v>254</v>
      </c>
      <c r="AN254" s="1078"/>
    </row>
    <row r="255" spans="1:54" ht="12.75" customHeight="1" x14ac:dyDescent="0.25">
      <c r="A255" s="440"/>
      <c r="B255" s="493"/>
      <c r="C255" s="494"/>
      <c r="D255" s="495"/>
      <c r="E255" s="1034"/>
      <c r="F255" s="1034"/>
      <c r="G255" s="1034"/>
      <c r="H255" s="1034"/>
      <c r="I255" s="1035"/>
      <c r="J255" s="1038"/>
      <c r="K255" s="462"/>
      <c r="L255" s="462"/>
      <c r="M255" s="498"/>
      <c r="N255" s="359"/>
      <c r="O255" s="363"/>
      <c r="P255" s="363"/>
      <c r="Q255" s="363"/>
      <c r="R255" s="363"/>
      <c r="S255" s="355">
        <f ca="1">SUBTOTAL(109,S256:S258)</f>
        <v>0</v>
      </c>
      <c r="T255" s="363"/>
      <c r="U255" s="363"/>
      <c r="V255" s="363"/>
      <c r="W255" s="363"/>
      <c r="X255" s="363"/>
      <c r="Y255" s="363"/>
      <c r="Z255" s="363"/>
      <c r="AA255" s="363"/>
      <c r="AB255" s="363"/>
      <c r="AC255" s="363"/>
      <c r="AD255" s="363"/>
      <c r="AE255" s="363"/>
      <c r="AF255" s="363"/>
      <c r="AG255" s="363"/>
      <c r="AH255" s="363"/>
      <c r="AI255" s="358"/>
      <c r="AJ255" s="363"/>
      <c r="AK255" s="440"/>
      <c r="AM255" s="460">
        <v>255</v>
      </c>
      <c r="AN255" s="1078"/>
    </row>
    <row r="256" spans="1:54" ht="11.25" x14ac:dyDescent="0.2">
      <c r="A256" s="440"/>
      <c r="B256" s="1043"/>
      <c r="C256" s="380"/>
      <c r="D256" s="380"/>
      <c r="E256" s="1084">
        <f ca="1">IF(AX256="E","",AN256)</f>
        <v>0</v>
      </c>
      <c r="F256" s="1085"/>
      <c r="G256" s="1264"/>
      <c r="H256" s="1264"/>
      <c r="I256" s="1265"/>
      <c r="J256" s="559"/>
      <c r="K256" s="463"/>
      <c r="L256" s="463"/>
      <c r="M256" s="339"/>
      <c r="N256" s="359" t="s">
        <v>67</v>
      </c>
      <c r="O256" s="339"/>
      <c r="P256" s="363"/>
      <c r="Q256" s="344"/>
      <c r="R256" s="522" t="s">
        <v>363</v>
      </c>
      <c r="S256" s="353">
        <f t="shared" ref="S256:S258" ca="1" si="418">IF(AY256="E",(M256*O256)+Q256,AO256)</f>
        <v>0</v>
      </c>
      <c r="T256" s="363"/>
      <c r="U256" s="381"/>
      <c r="V256" s="363"/>
      <c r="W256" s="363"/>
      <c r="X256" s="381"/>
      <c r="Y256" s="363"/>
      <c r="Z256" s="363"/>
      <c r="AA256" s="381"/>
      <c r="AB256" s="363"/>
      <c r="AC256" s="363"/>
      <c r="AD256" s="381"/>
      <c r="AE256" s="363"/>
      <c r="AF256" s="363"/>
      <c r="AG256" s="363"/>
      <c r="AH256" s="363"/>
      <c r="AI256" s="358"/>
      <c r="AJ256" s="363"/>
      <c r="AK256" s="440"/>
      <c r="AM256" s="460">
        <v>256</v>
      </c>
      <c r="AN256" s="1087">
        <f ca="1">IF($M$13=$AN$12,"",IF(ISTEXT(INDIRECT("'"&amp;$AM$20&amp;"'!"&amp;AN$21&amp;$AM256)),INDIRECT("'"&amp;$AM$20&amp;"'!"&amp;AN$21&amp;$AM256),INDIRECT("'"&amp;$AM$20&amp;"'!"&amp;AN$22&amp;$AM256)))</f>
        <v>0</v>
      </c>
      <c r="AO256" s="1083">
        <f ca="1">IF($M$13=$AN$12,"",INDIRECT("'"&amp;$AM$20&amp;"'!"&amp;AO$21&amp;$AM256))</f>
        <v>0</v>
      </c>
      <c r="AX256" s="1083" t="str">
        <f>IF($M$13=$AN$12,"E",IF(ISTEXT(F256),"E","U"))</f>
        <v>U</v>
      </c>
      <c r="AY256" s="1083" t="str">
        <f>IF($M$13=$AN$12,"E",IF(OR(ISNUMBER(M256),ISNUMBER(O256),ISNUMBER(Q256)),"E","U"))</f>
        <v>U</v>
      </c>
    </row>
    <row r="257" spans="1:51" ht="11.25" x14ac:dyDescent="0.2">
      <c r="A257" s="440"/>
      <c r="B257" s="1043"/>
      <c r="C257" s="380"/>
      <c r="D257" s="380"/>
      <c r="E257" s="1084">
        <f ca="1">IF(AX257="E","",AN257)</f>
        <v>0</v>
      </c>
      <c r="F257" s="1085"/>
      <c r="G257" s="1264"/>
      <c r="H257" s="1264"/>
      <c r="I257" s="1265"/>
      <c r="J257" s="559"/>
      <c r="K257" s="463"/>
      <c r="L257" s="463"/>
      <c r="M257" s="339"/>
      <c r="N257" s="359" t="s">
        <v>67</v>
      </c>
      <c r="O257" s="339"/>
      <c r="P257" s="363"/>
      <c r="Q257" s="344"/>
      <c r="R257" s="522" t="s">
        <v>363</v>
      </c>
      <c r="S257" s="353">
        <f t="shared" ca="1" si="418"/>
        <v>0</v>
      </c>
      <c r="T257" s="380"/>
      <c r="U257" s="380"/>
      <c r="V257" s="380"/>
      <c r="W257" s="380"/>
      <c r="X257" s="380"/>
      <c r="Y257" s="380"/>
      <c r="Z257" s="380"/>
      <c r="AA257" s="380"/>
      <c r="AB257" s="380"/>
      <c r="AC257" s="380"/>
      <c r="AD257" s="380"/>
      <c r="AE257" s="380"/>
      <c r="AF257" s="380"/>
      <c r="AG257" s="380"/>
      <c r="AH257" s="380"/>
      <c r="AI257" s="464"/>
      <c r="AJ257" s="380"/>
      <c r="AK257" s="440"/>
      <c r="AM257" s="460">
        <v>257</v>
      </c>
      <c r="AN257" s="1087">
        <f ca="1">IF($M$13=$AN$12,"",IF(ISTEXT(INDIRECT("'"&amp;$AM$20&amp;"'!"&amp;AN$21&amp;$AM257)),INDIRECT("'"&amp;$AM$20&amp;"'!"&amp;AN$21&amp;$AM257),INDIRECT("'"&amp;$AM$20&amp;"'!"&amp;AN$22&amp;$AM257)))</f>
        <v>0</v>
      </c>
      <c r="AO257" s="1083">
        <f ca="1">IF($M$13=$AN$12,"",INDIRECT("'"&amp;$AM$20&amp;"'!"&amp;AO$21&amp;$AM257))</f>
        <v>0</v>
      </c>
      <c r="AX257" s="1083" t="str">
        <f>IF($M$13=$AN$12,"E",IF(ISTEXT(F257),"E","U"))</f>
        <v>U</v>
      </c>
      <c r="AY257" s="1083" t="str">
        <f>IF($M$13=$AN$12,"E",IF(OR(ISNUMBER(M257),ISNUMBER(O257),ISNUMBER(Q257)),"E","U"))</f>
        <v>U</v>
      </c>
    </row>
    <row r="258" spans="1:51" ht="11.25" x14ac:dyDescent="0.2">
      <c r="A258" s="440"/>
      <c r="B258" s="1043"/>
      <c r="C258" s="380"/>
      <c r="D258" s="380"/>
      <c r="E258" s="1084">
        <f ca="1">IF(AX258="E","",AN258)</f>
        <v>0</v>
      </c>
      <c r="F258" s="1085"/>
      <c r="G258" s="1264"/>
      <c r="H258" s="1264"/>
      <c r="I258" s="1265"/>
      <c r="J258" s="559"/>
      <c r="K258" s="463"/>
      <c r="L258" s="463"/>
      <c r="M258" s="339"/>
      <c r="N258" s="359" t="s">
        <v>67</v>
      </c>
      <c r="O258" s="339"/>
      <c r="P258" s="363"/>
      <c r="Q258" s="344"/>
      <c r="R258" s="522" t="s">
        <v>363</v>
      </c>
      <c r="S258" s="353">
        <f t="shared" ca="1" si="418"/>
        <v>0</v>
      </c>
      <c r="T258" s="380"/>
      <c r="U258" s="380"/>
      <c r="V258" s="380"/>
      <c r="W258" s="380"/>
      <c r="X258" s="380"/>
      <c r="Y258" s="380"/>
      <c r="Z258" s="380"/>
      <c r="AA258" s="380"/>
      <c r="AB258" s="380"/>
      <c r="AC258" s="380"/>
      <c r="AD258" s="380"/>
      <c r="AE258" s="380"/>
      <c r="AF258" s="380"/>
      <c r="AG258" s="380"/>
      <c r="AH258" s="380"/>
      <c r="AI258" s="464"/>
      <c r="AJ258" s="380"/>
      <c r="AK258" s="440"/>
      <c r="AM258" s="460">
        <v>258</v>
      </c>
      <c r="AN258" s="1087">
        <f ca="1">IF($M$13=$AN$12,"",IF(ISTEXT(INDIRECT("'"&amp;$AM$20&amp;"'!"&amp;AN$21&amp;$AM258)),INDIRECT("'"&amp;$AM$20&amp;"'!"&amp;AN$21&amp;$AM258),INDIRECT("'"&amp;$AM$20&amp;"'!"&amp;AN$22&amp;$AM258)))</f>
        <v>0</v>
      </c>
      <c r="AO258" s="1083">
        <f ca="1">IF($M$13=$AN$12,"",INDIRECT("'"&amp;$AM$20&amp;"'!"&amp;AO$21&amp;$AM258))</f>
        <v>0</v>
      </c>
      <c r="AX258" s="1083" t="str">
        <f>IF($M$13=$AN$12,"E",IF(ISTEXT(F258),"E","U"))</f>
        <v>U</v>
      </c>
      <c r="AY258" s="1083" t="str">
        <f>IF($M$13=$AN$12,"E",IF(OR(ISNUMBER(M258),ISNUMBER(O258),ISNUMBER(Q258)),"E","U"))</f>
        <v>U</v>
      </c>
    </row>
    <row r="259" spans="1:51" ht="11.25" collapsed="1" x14ac:dyDescent="0.2">
      <c r="A259" s="440"/>
      <c r="B259" s="1043"/>
      <c r="C259" s="380"/>
      <c r="D259" s="380"/>
      <c r="E259" s="380"/>
      <c r="F259" s="380"/>
      <c r="G259" s="380"/>
      <c r="H259" s="380"/>
      <c r="I259" s="380"/>
      <c r="J259" s="380"/>
      <c r="K259" s="463"/>
      <c r="L259" s="463"/>
      <c r="M259" s="380"/>
      <c r="N259" s="463"/>
      <c r="O259" s="380"/>
      <c r="P259" s="380"/>
      <c r="Q259" s="380"/>
      <c r="R259" s="380"/>
      <c r="S259" s="380"/>
      <c r="T259" s="380"/>
      <c r="U259" s="380"/>
      <c r="V259" s="380"/>
      <c r="W259" s="380"/>
      <c r="X259" s="380"/>
      <c r="Y259" s="380"/>
      <c r="Z259" s="380"/>
      <c r="AA259" s="380"/>
      <c r="AB259" s="380"/>
      <c r="AC259" s="380"/>
      <c r="AD259" s="380"/>
      <c r="AE259" s="380"/>
      <c r="AF259" s="380"/>
      <c r="AG259" s="380"/>
      <c r="AH259" s="380"/>
      <c r="AI259" s="464"/>
      <c r="AJ259" s="380"/>
      <c r="AK259" s="440"/>
      <c r="AM259" s="460">
        <v>259</v>
      </c>
      <c r="AN259" s="1078"/>
    </row>
    <row r="260" spans="1:51" ht="11.25" x14ac:dyDescent="0.2">
      <c r="A260" s="440"/>
      <c r="B260" s="1043"/>
      <c r="C260" s="380"/>
      <c r="D260" s="380"/>
      <c r="E260" s="380"/>
      <c r="F260" s="380"/>
      <c r="G260" s="380"/>
      <c r="H260" s="380"/>
      <c r="I260" s="380"/>
      <c r="J260" s="380"/>
      <c r="K260" s="463"/>
      <c r="L260" s="463"/>
      <c r="M260" s="380"/>
      <c r="N260" s="463"/>
      <c r="O260" s="380"/>
      <c r="P260" s="380"/>
      <c r="Q260" s="380"/>
      <c r="R260" s="380"/>
      <c r="S260" s="380"/>
      <c r="T260" s="380"/>
      <c r="U260" s="380"/>
      <c r="V260" s="380"/>
      <c r="W260" s="380"/>
      <c r="X260" s="380"/>
      <c r="Y260" s="380"/>
      <c r="Z260" s="380"/>
      <c r="AA260" s="380"/>
      <c r="AB260" s="380"/>
      <c r="AC260" s="380"/>
      <c r="AD260" s="380"/>
      <c r="AE260" s="380"/>
      <c r="AF260" s="380"/>
      <c r="AG260" s="380"/>
      <c r="AH260" s="380"/>
      <c r="AI260" s="464"/>
      <c r="AJ260" s="380"/>
      <c r="AK260" s="440"/>
      <c r="AM260" s="460">
        <v>260</v>
      </c>
      <c r="AN260" s="1078"/>
    </row>
    <row r="261" spans="1:51" ht="11.25" x14ac:dyDescent="0.2">
      <c r="A261" s="440"/>
      <c r="B261" s="324"/>
      <c r="C261" s="378"/>
      <c r="D261" s="378"/>
      <c r="E261" s="378"/>
      <c r="F261" s="378"/>
      <c r="G261" s="378"/>
      <c r="H261" s="378"/>
      <c r="I261" s="378"/>
      <c r="J261" s="378"/>
      <c r="K261" s="561"/>
      <c r="L261" s="561"/>
      <c r="M261" s="378"/>
      <c r="N261" s="561"/>
      <c r="O261" s="378"/>
      <c r="P261" s="378"/>
      <c r="Q261" s="378"/>
      <c r="R261" s="378"/>
      <c r="S261" s="378"/>
      <c r="T261" s="378"/>
      <c r="U261" s="378"/>
      <c r="V261" s="378"/>
      <c r="W261" s="378"/>
      <c r="X261" s="378"/>
      <c r="Y261" s="378"/>
      <c r="Z261" s="378"/>
      <c r="AA261" s="378"/>
      <c r="AB261" s="378"/>
      <c r="AC261" s="378"/>
      <c r="AD261" s="378"/>
      <c r="AE261" s="378"/>
      <c r="AF261" s="378"/>
      <c r="AG261" s="378"/>
      <c r="AH261" s="378"/>
      <c r="AI261" s="510"/>
      <c r="AJ261" s="378"/>
      <c r="AK261" s="440"/>
      <c r="AM261" s="460">
        <v>261</v>
      </c>
      <c r="AN261" s="1078"/>
    </row>
    <row r="262" spans="1:51" ht="11.25" x14ac:dyDescent="0.2">
      <c r="A262" s="440"/>
      <c r="B262" s="440"/>
      <c r="C262" s="440"/>
      <c r="D262" s="440"/>
      <c r="E262" s="440"/>
      <c r="F262" s="440"/>
      <c r="G262" s="440"/>
      <c r="H262" s="440"/>
      <c r="I262" s="440"/>
      <c r="J262" s="440"/>
      <c r="K262" s="440"/>
      <c r="L262" s="440"/>
      <c r="M262" s="440"/>
      <c r="N262" s="440"/>
      <c r="O262" s="440"/>
      <c r="P262" s="440"/>
      <c r="Q262" s="440"/>
      <c r="R262" s="440"/>
      <c r="S262" s="440"/>
      <c r="T262" s="440"/>
      <c r="U262" s="440"/>
      <c r="V262" s="440"/>
      <c r="W262" s="440"/>
      <c r="X262" s="440"/>
      <c r="Y262" s="440"/>
      <c r="Z262" s="440"/>
      <c r="AA262" s="440"/>
      <c r="AB262" s="440"/>
      <c r="AC262" s="440"/>
      <c r="AD262" s="440"/>
      <c r="AE262" s="440"/>
      <c r="AF262" s="440"/>
      <c r="AG262" s="440"/>
      <c r="AH262" s="440"/>
      <c r="AI262" s="440"/>
      <c r="AJ262" s="440"/>
      <c r="AK262" s="440"/>
    </row>
    <row r="263" spans="1:51" ht="11.25" x14ac:dyDescent="0.2">
      <c r="AC263" s="569"/>
      <c r="AD263" s="460"/>
    </row>
    <row r="264" spans="1:51" ht="11.25" x14ac:dyDescent="0.2">
      <c r="Z264" s="568"/>
      <c r="AA264" s="569"/>
      <c r="AB264" s="569"/>
      <c r="AC264" s="569"/>
      <c r="AD264" s="460"/>
    </row>
    <row r="265" spans="1:51" ht="11.25" x14ac:dyDescent="0.2">
      <c r="Z265" s="568"/>
      <c r="AA265" s="569"/>
      <c r="AB265" s="569"/>
      <c r="AC265" s="569"/>
      <c r="AD265" s="460"/>
    </row>
    <row r="266" spans="1:51" ht="11.25" x14ac:dyDescent="0.2">
      <c r="Z266" s="568"/>
      <c r="AA266" s="569"/>
      <c r="AB266" s="569"/>
      <c r="AC266" s="569"/>
      <c r="AD266" s="460"/>
    </row>
    <row r="267" spans="1:51" ht="11.25" x14ac:dyDescent="0.2">
      <c r="Z267" s="568"/>
      <c r="AA267" s="569"/>
      <c r="AB267" s="569"/>
      <c r="AC267" s="569"/>
      <c r="AD267" s="460"/>
    </row>
    <row r="268" spans="1:51" ht="11.25" x14ac:dyDescent="0.2">
      <c r="Z268" s="568"/>
      <c r="AA268" s="569"/>
      <c r="AB268" s="569"/>
      <c r="AC268" s="569"/>
      <c r="AD268" s="460"/>
    </row>
    <row r="269" spans="1:51" ht="11.25" x14ac:dyDescent="0.2">
      <c r="Z269" s="568"/>
      <c r="AA269" s="569"/>
      <c r="AB269" s="569"/>
      <c r="AC269" s="569"/>
      <c r="AD269" s="460"/>
    </row>
    <row r="270" spans="1:51" ht="11.25" x14ac:dyDescent="0.2">
      <c r="AC270" s="569"/>
      <c r="AD270" s="460"/>
    </row>
    <row r="271" spans="1:51" ht="11.25" x14ac:dyDescent="0.2">
      <c r="AC271" s="569"/>
      <c r="AD271" s="460"/>
    </row>
    <row r="272" spans="1:51" ht="11.25" x14ac:dyDescent="0.2">
      <c r="AC272" s="569"/>
      <c r="AD272" s="460"/>
    </row>
    <row r="273" spans="26:30" ht="11.25" x14ac:dyDescent="0.2">
      <c r="AC273" s="569"/>
      <c r="AD273" s="460"/>
    </row>
    <row r="274" spans="26:30" ht="11.25" x14ac:dyDescent="0.2">
      <c r="AC274" s="569"/>
      <c r="AD274" s="460"/>
    </row>
    <row r="275" spans="26:30" ht="11.25" x14ac:dyDescent="0.2">
      <c r="AC275" s="569"/>
      <c r="AD275" s="460"/>
    </row>
    <row r="276" spans="26:30" ht="11.25" x14ac:dyDescent="0.2">
      <c r="AC276" s="569"/>
      <c r="AD276" s="460"/>
    </row>
    <row r="277" spans="26:30" ht="11.25" x14ac:dyDescent="0.2">
      <c r="AC277" s="569"/>
      <c r="AD277" s="460"/>
    </row>
    <row r="278" spans="26:30" ht="11.25" x14ac:dyDescent="0.2">
      <c r="Z278" s="568"/>
      <c r="AA278" s="569"/>
      <c r="AB278" s="569"/>
      <c r="AC278" s="569"/>
      <c r="AD278" s="460"/>
    </row>
    <row r="279" spans="26:30" ht="11.25" x14ac:dyDescent="0.2">
      <c r="Z279" s="568"/>
      <c r="AA279" s="569"/>
      <c r="AB279" s="569"/>
      <c r="AC279" s="569"/>
      <c r="AD279" s="460"/>
    </row>
    <row r="280" spans="26:30" ht="11.25" x14ac:dyDescent="0.2">
      <c r="Z280" s="568"/>
      <c r="AA280" s="569"/>
      <c r="AB280" s="569"/>
      <c r="AC280" s="569"/>
      <c r="AD280" s="460"/>
    </row>
    <row r="281" spans="26:30" ht="11.25" x14ac:dyDescent="0.2">
      <c r="Z281" s="568"/>
      <c r="AA281" s="569"/>
      <c r="AB281" s="569"/>
      <c r="AC281" s="569"/>
      <c r="AD281" s="460"/>
    </row>
    <row r="282" spans="26:30" ht="11.25" x14ac:dyDescent="0.2">
      <c r="Z282" s="568"/>
      <c r="AA282" s="569"/>
      <c r="AB282" s="569"/>
      <c r="AC282" s="569"/>
      <c r="AD282" s="460"/>
    </row>
    <row r="283" spans="26:30" ht="11.25" x14ac:dyDescent="0.2">
      <c r="Z283" s="568"/>
      <c r="AA283" s="569"/>
      <c r="AB283" s="569"/>
      <c r="AC283" s="569"/>
      <c r="AD283" s="460"/>
    </row>
    <row r="284" spans="26:30" ht="11.25" x14ac:dyDescent="0.2">
      <c r="Z284" s="568"/>
      <c r="AA284" s="569"/>
      <c r="AB284" s="569"/>
      <c r="AC284" s="569"/>
      <c r="AD284" s="460"/>
    </row>
    <row r="285" spans="26:30" ht="11.25" x14ac:dyDescent="0.2">
      <c r="Z285" s="568"/>
      <c r="AA285" s="569"/>
      <c r="AB285" s="569"/>
      <c r="AC285" s="569"/>
      <c r="AD285" s="460"/>
    </row>
    <row r="286" spans="26:30" ht="11.25" x14ac:dyDescent="0.2">
      <c r="Z286" s="568"/>
      <c r="AA286" s="569"/>
      <c r="AB286" s="569"/>
      <c r="AC286" s="569"/>
      <c r="AD286" s="460"/>
    </row>
    <row r="287" spans="26:30" ht="11.25" x14ac:dyDescent="0.2">
      <c r="Z287" s="568"/>
      <c r="AA287" s="569"/>
      <c r="AB287" s="569"/>
      <c r="AC287" s="569"/>
      <c r="AD287" s="460"/>
    </row>
    <row r="288" spans="26:30" ht="11.25" x14ac:dyDescent="0.2">
      <c r="Z288" s="568"/>
      <c r="AA288" s="569"/>
      <c r="AB288" s="569"/>
      <c r="AC288" s="569"/>
      <c r="AD288" s="460"/>
    </row>
    <row r="289" spans="26:30" ht="11.25" x14ac:dyDescent="0.2">
      <c r="Z289" s="568"/>
      <c r="AA289" s="569"/>
      <c r="AB289" s="569"/>
      <c r="AC289" s="569"/>
      <c r="AD289" s="460"/>
    </row>
    <row r="290" spans="26:30" ht="11.25" x14ac:dyDescent="0.2">
      <c r="Z290" s="568"/>
      <c r="AA290" s="569"/>
      <c r="AB290" s="569"/>
      <c r="AC290" s="569"/>
      <c r="AD290" s="460"/>
    </row>
    <row r="291" spans="26:30" ht="11.25" x14ac:dyDescent="0.2">
      <c r="Z291" s="568"/>
      <c r="AA291" s="569"/>
      <c r="AB291" s="569"/>
      <c r="AC291" s="569"/>
      <c r="AD291" s="460"/>
    </row>
    <row r="292" spans="26:30" ht="11.25" x14ac:dyDescent="0.2">
      <c r="Z292" s="568"/>
      <c r="AA292" s="569"/>
      <c r="AB292" s="569"/>
      <c r="AC292" s="569"/>
      <c r="AD292" s="460"/>
    </row>
    <row r="293" spans="26:30" ht="11.25" x14ac:dyDescent="0.2">
      <c r="Z293" s="568"/>
      <c r="AA293" s="569"/>
      <c r="AB293" s="569"/>
      <c r="AC293" s="569"/>
      <c r="AD293" s="460"/>
    </row>
    <row r="294" spans="26:30" ht="11.25" x14ac:dyDescent="0.2">
      <c r="Z294" s="568"/>
      <c r="AA294" s="569"/>
      <c r="AB294" s="569"/>
      <c r="AC294" s="569"/>
      <c r="AD294" s="460"/>
    </row>
    <row r="295" spans="26:30" ht="11.25" x14ac:dyDescent="0.2">
      <c r="Z295" s="568"/>
      <c r="AA295" s="569"/>
      <c r="AB295" s="569"/>
      <c r="AC295" s="569"/>
      <c r="AD295" s="460"/>
    </row>
    <row r="296" spans="26:30" ht="11.25" x14ac:dyDescent="0.2">
      <c r="Z296" s="568"/>
      <c r="AA296" s="569"/>
      <c r="AB296" s="569"/>
      <c r="AC296" s="569"/>
      <c r="AD296" s="460"/>
    </row>
    <row r="297" spans="26:30" ht="11.25" x14ac:dyDescent="0.2">
      <c r="Z297" s="568"/>
      <c r="AA297" s="569"/>
      <c r="AB297" s="569"/>
      <c r="AC297" s="569"/>
      <c r="AD297" s="460"/>
    </row>
    <row r="298" spans="26:30" ht="11.25" x14ac:dyDescent="0.2">
      <c r="Z298" s="568"/>
      <c r="AA298" s="569"/>
      <c r="AB298" s="569"/>
      <c r="AC298" s="569"/>
      <c r="AD298" s="460"/>
    </row>
    <row r="299" spans="26:30" ht="11.25" x14ac:dyDescent="0.2">
      <c r="Z299" s="568"/>
      <c r="AA299" s="569"/>
      <c r="AB299" s="569"/>
      <c r="AC299" s="569"/>
      <c r="AD299" s="460"/>
    </row>
    <row r="300" spans="26:30" ht="11.25" x14ac:dyDescent="0.2">
      <c r="Z300" s="568"/>
      <c r="AA300" s="569"/>
      <c r="AB300" s="569"/>
      <c r="AC300" s="569"/>
      <c r="AD300" s="460"/>
    </row>
    <row r="301" spans="26:30" ht="11.25" x14ac:dyDescent="0.2">
      <c r="Z301" s="568"/>
      <c r="AA301" s="569"/>
      <c r="AB301" s="569"/>
      <c r="AC301" s="569"/>
      <c r="AD301" s="460"/>
    </row>
    <row r="302" spans="26:30" ht="11.25" x14ac:dyDescent="0.2">
      <c r="Z302" s="568"/>
      <c r="AA302" s="569"/>
      <c r="AB302" s="569"/>
      <c r="AC302" s="569"/>
      <c r="AD302" s="460"/>
    </row>
    <row r="303" spans="26:30" ht="11.25" x14ac:dyDescent="0.2">
      <c r="Z303" s="568"/>
      <c r="AA303" s="569"/>
      <c r="AB303" s="569"/>
      <c r="AC303" s="569"/>
      <c r="AD303" s="460"/>
    </row>
    <row r="304" spans="26:30" ht="11.25" x14ac:dyDescent="0.2">
      <c r="Z304" s="568"/>
      <c r="AA304" s="569"/>
      <c r="AB304" s="569"/>
      <c r="AC304" s="569"/>
      <c r="AD304" s="460"/>
    </row>
    <row r="305" spans="26:30" ht="11.25" x14ac:dyDescent="0.2">
      <c r="Z305" s="568"/>
      <c r="AA305" s="569"/>
      <c r="AB305" s="569"/>
      <c r="AC305" s="569"/>
      <c r="AD305" s="460"/>
    </row>
    <row r="306" spans="26:30" ht="11.25" x14ac:dyDescent="0.2">
      <c r="Z306" s="568"/>
      <c r="AA306" s="569"/>
      <c r="AB306" s="569"/>
      <c r="AC306" s="569"/>
      <c r="AD306" s="460"/>
    </row>
    <row r="307" spans="26:30" ht="11.25" x14ac:dyDescent="0.2">
      <c r="Z307" s="568"/>
      <c r="AA307" s="569"/>
      <c r="AB307" s="569"/>
      <c r="AC307" s="569"/>
      <c r="AD307" s="460"/>
    </row>
    <row r="308" spans="26:30" ht="11.25" x14ac:dyDescent="0.2">
      <c r="Z308" s="568"/>
      <c r="AA308" s="569"/>
      <c r="AB308" s="569"/>
      <c r="AC308" s="569"/>
      <c r="AD308" s="460"/>
    </row>
    <row r="309" spans="26:30" ht="11.25" x14ac:dyDescent="0.2">
      <c r="Z309" s="568"/>
      <c r="AA309" s="569"/>
      <c r="AB309" s="569"/>
      <c r="AC309" s="569"/>
      <c r="AD309" s="460"/>
    </row>
    <row r="310" spans="26:30" ht="11.25" x14ac:dyDescent="0.2">
      <c r="Z310" s="568"/>
      <c r="AA310" s="569"/>
      <c r="AB310" s="569"/>
      <c r="AC310" s="569"/>
      <c r="AD310" s="460"/>
    </row>
    <row r="311" spans="26:30" ht="11.25" x14ac:dyDescent="0.2">
      <c r="Z311" s="568"/>
      <c r="AA311" s="569"/>
      <c r="AB311" s="569"/>
      <c r="AC311" s="569"/>
      <c r="AD311" s="460"/>
    </row>
    <row r="312" spans="26:30" ht="11.25" x14ac:dyDescent="0.2">
      <c r="Z312" s="568"/>
      <c r="AA312" s="569"/>
      <c r="AB312" s="569"/>
      <c r="AC312" s="569"/>
      <c r="AD312" s="460"/>
    </row>
    <row r="313" spans="26:30" ht="11.25" x14ac:dyDescent="0.2">
      <c r="Z313" s="568"/>
      <c r="AA313" s="569"/>
      <c r="AB313" s="569"/>
      <c r="AC313" s="569"/>
      <c r="AD313" s="460"/>
    </row>
    <row r="314" spans="26:30" ht="11.25" x14ac:dyDescent="0.2">
      <c r="Z314" s="568"/>
      <c r="AA314" s="569"/>
      <c r="AB314" s="569"/>
      <c r="AC314" s="569"/>
      <c r="AD314" s="460"/>
    </row>
    <row r="315" spans="26:30" ht="11.25" x14ac:dyDescent="0.2">
      <c r="Z315" s="568"/>
      <c r="AA315" s="569"/>
      <c r="AB315" s="569"/>
      <c r="AC315" s="569"/>
      <c r="AD315" s="460"/>
    </row>
    <row r="316" spans="26:30" ht="11.25" x14ac:dyDescent="0.2">
      <c r="Z316" s="568"/>
      <c r="AA316" s="569"/>
      <c r="AB316" s="569"/>
      <c r="AC316" s="569"/>
      <c r="AD316" s="460"/>
    </row>
    <row r="317" spans="26:30" ht="11.25" x14ac:dyDescent="0.2">
      <c r="Z317" s="568"/>
      <c r="AA317" s="569"/>
      <c r="AB317" s="569"/>
      <c r="AC317" s="569"/>
      <c r="AD317" s="460"/>
    </row>
    <row r="318" spans="26:30" ht="11.25" x14ac:dyDescent="0.2">
      <c r="Z318" s="568"/>
      <c r="AA318" s="569"/>
      <c r="AB318" s="569"/>
      <c r="AC318" s="569"/>
      <c r="AD318" s="460"/>
    </row>
    <row r="319" spans="26:30" ht="11.25" x14ac:dyDescent="0.2">
      <c r="Z319" s="568"/>
      <c r="AA319" s="569"/>
      <c r="AB319" s="569"/>
      <c r="AC319" s="569"/>
      <c r="AD319" s="460"/>
    </row>
    <row r="320" spans="26:30" ht="11.25" x14ac:dyDescent="0.2">
      <c r="Z320" s="568"/>
      <c r="AA320" s="569"/>
      <c r="AB320" s="569"/>
      <c r="AC320" s="569"/>
      <c r="AD320" s="460"/>
    </row>
    <row r="321" spans="26:30" ht="11.25" x14ac:dyDescent="0.2">
      <c r="Z321" s="568"/>
      <c r="AA321" s="569"/>
      <c r="AB321" s="569"/>
      <c r="AC321" s="569"/>
      <c r="AD321" s="460"/>
    </row>
    <row r="322" spans="26:30" ht="11.25" x14ac:dyDescent="0.2">
      <c r="Z322" s="568"/>
      <c r="AA322" s="569"/>
      <c r="AB322" s="569"/>
      <c r="AC322" s="569"/>
      <c r="AD322" s="460"/>
    </row>
    <row r="323" spans="26:30" ht="11.25" x14ac:dyDescent="0.2">
      <c r="Z323" s="568"/>
      <c r="AA323" s="569"/>
      <c r="AB323" s="569"/>
      <c r="AC323" s="569"/>
      <c r="AD323" s="460"/>
    </row>
    <row r="324" spans="26:30" ht="11.25" x14ac:dyDescent="0.2">
      <c r="Z324" s="568"/>
      <c r="AA324" s="569"/>
      <c r="AB324" s="569"/>
      <c r="AC324" s="569"/>
      <c r="AD324" s="460"/>
    </row>
    <row r="325" spans="26:30" ht="11.25" x14ac:dyDescent="0.2">
      <c r="Z325" s="568"/>
      <c r="AA325" s="569"/>
      <c r="AB325" s="569"/>
      <c r="AC325" s="569"/>
      <c r="AD325" s="460"/>
    </row>
    <row r="326" spans="26:30" ht="11.25" x14ac:dyDescent="0.2">
      <c r="Z326" s="568"/>
      <c r="AA326" s="569"/>
      <c r="AB326" s="569"/>
      <c r="AC326" s="569"/>
      <c r="AD326" s="460"/>
    </row>
    <row r="327" spans="26:30" ht="11.25" x14ac:dyDescent="0.2">
      <c r="Z327" s="568"/>
      <c r="AA327" s="569"/>
      <c r="AB327" s="569"/>
      <c r="AC327" s="569"/>
      <c r="AD327" s="460"/>
    </row>
    <row r="328" spans="26:30" ht="11.25" x14ac:dyDescent="0.2">
      <c r="Z328" s="568"/>
      <c r="AA328" s="569"/>
      <c r="AB328" s="569"/>
      <c r="AC328" s="569"/>
      <c r="AD328" s="460"/>
    </row>
    <row r="329" spans="26:30" ht="11.25" x14ac:dyDescent="0.2">
      <c r="Z329" s="568"/>
      <c r="AA329" s="569"/>
      <c r="AB329" s="569"/>
      <c r="AC329" s="569"/>
      <c r="AD329" s="460"/>
    </row>
    <row r="330" spans="26:30" ht="11.25" x14ac:dyDescent="0.2">
      <c r="Z330" s="568"/>
      <c r="AA330" s="569"/>
      <c r="AB330" s="569"/>
      <c r="AC330" s="569"/>
      <c r="AD330" s="460"/>
    </row>
    <row r="331" spans="26:30" ht="11.25" x14ac:dyDescent="0.2">
      <c r="Z331" s="568"/>
      <c r="AA331" s="569"/>
      <c r="AB331" s="569"/>
      <c r="AC331" s="569"/>
      <c r="AD331" s="460"/>
    </row>
    <row r="332" spans="26:30" ht="11.25" x14ac:dyDescent="0.2">
      <c r="Z332" s="568"/>
      <c r="AA332" s="569"/>
      <c r="AB332" s="569"/>
      <c r="AC332" s="569"/>
      <c r="AD332" s="460"/>
    </row>
    <row r="333" spans="26:30" ht="11.25" x14ac:dyDescent="0.2">
      <c r="Z333" s="568"/>
      <c r="AA333" s="569"/>
      <c r="AB333" s="569"/>
      <c r="AC333" s="569"/>
      <c r="AD333" s="460"/>
    </row>
    <row r="334" spans="26:30" ht="11.25" x14ac:dyDescent="0.2">
      <c r="Z334" s="568"/>
      <c r="AA334" s="569"/>
      <c r="AB334" s="569"/>
      <c r="AC334" s="569"/>
      <c r="AD334" s="460"/>
    </row>
    <row r="335" spans="26:30" ht="11.25" x14ac:dyDescent="0.2">
      <c r="Z335" s="568"/>
      <c r="AA335" s="569"/>
      <c r="AB335" s="569"/>
      <c r="AC335" s="569"/>
      <c r="AD335" s="460"/>
    </row>
    <row r="336" spans="26:30" ht="11.25" x14ac:dyDescent="0.2">
      <c r="Z336" s="568"/>
      <c r="AA336" s="569"/>
      <c r="AB336" s="569"/>
      <c r="AC336" s="569"/>
      <c r="AD336" s="460"/>
    </row>
    <row r="337" spans="26:30" ht="11.25" x14ac:dyDescent="0.2">
      <c r="Z337" s="568"/>
      <c r="AA337" s="569"/>
      <c r="AB337" s="569"/>
      <c r="AC337" s="569"/>
      <c r="AD337" s="460"/>
    </row>
    <row r="338" spans="26:30" ht="11.25" x14ac:dyDescent="0.2">
      <c r="Z338" s="568"/>
      <c r="AA338" s="569"/>
      <c r="AB338" s="569"/>
      <c r="AC338" s="569"/>
      <c r="AD338" s="460"/>
    </row>
    <row r="339" spans="26:30" ht="11.25" x14ac:dyDescent="0.2">
      <c r="Z339" s="568"/>
      <c r="AA339" s="569"/>
      <c r="AB339" s="569"/>
      <c r="AC339" s="569"/>
      <c r="AD339" s="460"/>
    </row>
    <row r="340" spans="26:30" ht="11.25" x14ac:dyDescent="0.2">
      <c r="Z340" s="568"/>
      <c r="AA340" s="569"/>
      <c r="AB340" s="569"/>
      <c r="AC340" s="569"/>
      <c r="AD340" s="460"/>
    </row>
    <row r="341" spans="26:30" ht="11.25" x14ac:dyDescent="0.2">
      <c r="Z341" s="568"/>
      <c r="AA341" s="569"/>
      <c r="AB341" s="569"/>
      <c r="AC341" s="569"/>
      <c r="AD341" s="460"/>
    </row>
    <row r="342" spans="26:30" ht="11.25" x14ac:dyDescent="0.2">
      <c r="Z342" s="568"/>
      <c r="AA342" s="569"/>
      <c r="AB342" s="569"/>
      <c r="AC342" s="569"/>
      <c r="AD342" s="460"/>
    </row>
    <row r="343" spans="26:30" ht="11.25" x14ac:dyDescent="0.2">
      <c r="Z343" s="568"/>
      <c r="AA343" s="569"/>
      <c r="AB343" s="569"/>
      <c r="AC343" s="569"/>
      <c r="AD343" s="460"/>
    </row>
    <row r="344" spans="26:30" ht="11.25" x14ac:dyDescent="0.2">
      <c r="Z344" s="568"/>
      <c r="AA344" s="569"/>
      <c r="AB344" s="569"/>
      <c r="AC344" s="569"/>
      <c r="AD344" s="460"/>
    </row>
    <row r="345" spans="26:30" ht="11.25" x14ac:dyDescent="0.2">
      <c r="Z345" s="568"/>
      <c r="AA345" s="569"/>
      <c r="AB345" s="569"/>
      <c r="AC345" s="569"/>
      <c r="AD345" s="460"/>
    </row>
    <row r="346" spans="26:30" ht="11.25" x14ac:dyDescent="0.2">
      <c r="Z346" s="568"/>
      <c r="AA346" s="569"/>
      <c r="AB346" s="569"/>
      <c r="AC346" s="569"/>
      <c r="AD346" s="460"/>
    </row>
    <row r="347" spans="26:30" ht="11.25" x14ac:dyDescent="0.2">
      <c r="Z347" s="568"/>
      <c r="AA347" s="569"/>
      <c r="AB347" s="569"/>
      <c r="AC347" s="569"/>
      <c r="AD347" s="460"/>
    </row>
    <row r="348" spans="26:30" ht="11.25" x14ac:dyDescent="0.2">
      <c r="Z348" s="568"/>
      <c r="AA348" s="569"/>
      <c r="AB348" s="569"/>
      <c r="AC348" s="569"/>
      <c r="AD348" s="460"/>
    </row>
    <row r="349" spans="26:30" ht="11.25" x14ac:dyDescent="0.2">
      <c r="Z349" s="568"/>
      <c r="AA349" s="569"/>
      <c r="AB349" s="569"/>
      <c r="AC349" s="569"/>
      <c r="AD349" s="460"/>
    </row>
    <row r="350" spans="26:30" ht="11.25" x14ac:dyDescent="0.2">
      <c r="Z350" s="568"/>
      <c r="AA350" s="569"/>
      <c r="AB350" s="569"/>
      <c r="AC350" s="569"/>
      <c r="AD350" s="460"/>
    </row>
    <row r="351" spans="26:30" ht="11.25" x14ac:dyDescent="0.2">
      <c r="Z351" s="568"/>
      <c r="AA351" s="569"/>
      <c r="AB351" s="569"/>
      <c r="AC351" s="569"/>
      <c r="AD351" s="460"/>
    </row>
    <row r="352" spans="26:30" ht="11.25" x14ac:dyDescent="0.2">
      <c r="Z352" s="568"/>
      <c r="AA352" s="569"/>
      <c r="AB352" s="569"/>
      <c r="AC352" s="569"/>
      <c r="AD352" s="460"/>
    </row>
    <row r="353" spans="26:30" ht="11.25" x14ac:dyDescent="0.2">
      <c r="Z353" s="568"/>
      <c r="AA353" s="569"/>
      <c r="AB353" s="569"/>
      <c r="AC353" s="569"/>
      <c r="AD353" s="460"/>
    </row>
    <row r="354" spans="26:30" ht="11.25" x14ac:dyDescent="0.2">
      <c r="Z354" s="568"/>
      <c r="AA354" s="569"/>
      <c r="AB354" s="569"/>
      <c r="AC354" s="569"/>
      <c r="AD354" s="460"/>
    </row>
    <row r="355" spans="26:30" ht="11.25" x14ac:dyDescent="0.2">
      <c r="Z355" s="568"/>
      <c r="AA355" s="569"/>
      <c r="AB355" s="569"/>
      <c r="AC355" s="569"/>
      <c r="AD355" s="460"/>
    </row>
    <row r="356" spans="26:30" ht="11.25" x14ac:dyDescent="0.2">
      <c r="Z356" s="568"/>
      <c r="AA356" s="569"/>
      <c r="AB356" s="569"/>
      <c r="AC356" s="569"/>
      <c r="AD356" s="460"/>
    </row>
    <row r="357" spans="26:30" ht="11.25" x14ac:dyDescent="0.2">
      <c r="Z357" s="568"/>
      <c r="AA357" s="569"/>
      <c r="AB357" s="569"/>
      <c r="AC357" s="569"/>
      <c r="AD357" s="460"/>
    </row>
    <row r="358" spans="26:30" ht="11.25" x14ac:dyDescent="0.2">
      <c r="Z358" s="568"/>
      <c r="AA358" s="569"/>
      <c r="AB358" s="569"/>
      <c r="AC358" s="569"/>
      <c r="AD358" s="460"/>
    </row>
    <row r="359" spans="26:30" ht="11.25" x14ac:dyDescent="0.2">
      <c r="Z359" s="568"/>
      <c r="AA359" s="569"/>
      <c r="AB359" s="569"/>
      <c r="AC359" s="569"/>
      <c r="AD359" s="460"/>
    </row>
    <row r="360" spans="26:30" ht="11.25" x14ac:dyDescent="0.2">
      <c r="Z360" s="568"/>
      <c r="AA360" s="569"/>
      <c r="AB360" s="569"/>
      <c r="AC360" s="569"/>
      <c r="AD360" s="460"/>
    </row>
    <row r="361" spans="26:30" ht="11.25" x14ac:dyDescent="0.2">
      <c r="Z361" s="568"/>
      <c r="AA361" s="569"/>
      <c r="AB361" s="569"/>
      <c r="AC361" s="569"/>
      <c r="AD361" s="460"/>
    </row>
    <row r="362" spans="26:30" ht="11.25" x14ac:dyDescent="0.2">
      <c r="Z362" s="568"/>
      <c r="AA362" s="569"/>
      <c r="AB362" s="569"/>
      <c r="AC362" s="569"/>
      <c r="AD362" s="460"/>
    </row>
    <row r="363" spans="26:30" ht="11.25" x14ac:dyDescent="0.2">
      <c r="Z363" s="568"/>
      <c r="AA363" s="569"/>
      <c r="AB363" s="569"/>
      <c r="AC363" s="569"/>
      <c r="AD363" s="460"/>
    </row>
    <row r="364" spans="26:30" ht="11.25" x14ac:dyDescent="0.2">
      <c r="Z364" s="568"/>
      <c r="AA364" s="569"/>
      <c r="AB364" s="569"/>
      <c r="AC364" s="569"/>
      <c r="AD364" s="460"/>
    </row>
    <row r="365" spans="26:30" ht="11.25" x14ac:dyDescent="0.2">
      <c r="Z365" s="568"/>
      <c r="AA365" s="569"/>
      <c r="AB365" s="569"/>
      <c r="AC365" s="569"/>
      <c r="AD365" s="460"/>
    </row>
    <row r="366" spans="26:30" ht="11.25" x14ac:dyDescent="0.2">
      <c r="Z366" s="568"/>
      <c r="AA366" s="569"/>
      <c r="AB366" s="569"/>
      <c r="AC366" s="569"/>
      <c r="AD366" s="460"/>
    </row>
    <row r="367" spans="26:30" ht="11.25" x14ac:dyDescent="0.2">
      <c r="Z367" s="568"/>
      <c r="AA367" s="569"/>
      <c r="AB367" s="569"/>
      <c r="AC367" s="569"/>
      <c r="AD367" s="460"/>
    </row>
    <row r="368" spans="26:30" ht="11.25" x14ac:dyDescent="0.2">
      <c r="Z368" s="568"/>
      <c r="AA368" s="569"/>
      <c r="AB368" s="569"/>
      <c r="AC368" s="569"/>
      <c r="AD368" s="460"/>
    </row>
    <row r="369" spans="26:30" ht="11.25" x14ac:dyDescent="0.2">
      <c r="Z369" s="568"/>
      <c r="AA369" s="569"/>
      <c r="AB369" s="569"/>
      <c r="AC369" s="569"/>
      <c r="AD369" s="460"/>
    </row>
    <row r="370" spans="26:30" ht="11.25" x14ac:dyDescent="0.2">
      <c r="Z370" s="568"/>
      <c r="AA370" s="569"/>
      <c r="AB370" s="569"/>
      <c r="AC370" s="569"/>
      <c r="AD370" s="460"/>
    </row>
    <row r="371" spans="26:30" ht="11.25" x14ac:dyDescent="0.2">
      <c r="Z371" s="568"/>
      <c r="AA371" s="569"/>
      <c r="AB371" s="569"/>
      <c r="AC371" s="569"/>
      <c r="AD371" s="460"/>
    </row>
    <row r="372" spans="26:30" ht="11.25" x14ac:dyDescent="0.2">
      <c r="Z372" s="568"/>
      <c r="AA372" s="569"/>
      <c r="AB372" s="569"/>
      <c r="AC372" s="569"/>
      <c r="AD372" s="460"/>
    </row>
    <row r="373" spans="26:30" ht="11.25" x14ac:dyDescent="0.2">
      <c r="Z373" s="568"/>
      <c r="AA373" s="569"/>
      <c r="AB373" s="569"/>
      <c r="AC373" s="569"/>
      <c r="AD373" s="460"/>
    </row>
    <row r="374" spans="26:30" ht="11.25" x14ac:dyDescent="0.2">
      <c r="Z374" s="568"/>
      <c r="AA374" s="569"/>
      <c r="AB374" s="569"/>
      <c r="AC374" s="569"/>
      <c r="AD374" s="460"/>
    </row>
    <row r="375" spans="26:30" ht="11.25" x14ac:dyDescent="0.2">
      <c r="Z375" s="568"/>
      <c r="AA375" s="569"/>
      <c r="AB375" s="569"/>
      <c r="AC375" s="569"/>
      <c r="AD375" s="460"/>
    </row>
    <row r="376" spans="26:30" ht="11.25" x14ac:dyDescent="0.2">
      <c r="Z376" s="568"/>
      <c r="AA376" s="569"/>
      <c r="AB376" s="569"/>
      <c r="AC376" s="569"/>
      <c r="AD376" s="460"/>
    </row>
    <row r="377" spans="26:30" ht="11.25" x14ac:dyDescent="0.2">
      <c r="AD377" s="460"/>
    </row>
    <row r="378" spans="26:30" ht="11.25" x14ac:dyDescent="0.2">
      <c r="AD378" s="460"/>
    </row>
    <row r="379" spans="26:30" ht="11.25" x14ac:dyDescent="0.2">
      <c r="AD379" s="460"/>
    </row>
    <row r="380" spans="26:30" ht="11.25" x14ac:dyDescent="0.2">
      <c r="AD380" s="460"/>
    </row>
    <row r="381" spans="26:30" ht="11.25" x14ac:dyDescent="0.2">
      <c r="AD381" s="460"/>
    </row>
    <row r="382" spans="26:30" ht="11.25" x14ac:dyDescent="0.2">
      <c r="AD382" s="460"/>
    </row>
    <row r="383" spans="26:30" ht="11.25" x14ac:dyDescent="0.2">
      <c r="AD383" s="460"/>
    </row>
    <row r="384" spans="26:30" ht="11.25" x14ac:dyDescent="0.2">
      <c r="AD384" s="460"/>
    </row>
    <row r="385" spans="30:30" ht="11.25" x14ac:dyDescent="0.2">
      <c r="AD385" s="460"/>
    </row>
    <row r="386" spans="30:30" ht="11.25" x14ac:dyDescent="0.2">
      <c r="AD386" s="460"/>
    </row>
    <row r="387" spans="30:30" ht="11.25" x14ac:dyDescent="0.2">
      <c r="AD387" s="460"/>
    </row>
    <row r="388" spans="30:30" ht="11.25" x14ac:dyDescent="0.2">
      <c r="AD388" s="460"/>
    </row>
    <row r="389" spans="30:30" ht="11.25" x14ac:dyDescent="0.2">
      <c r="AD389" s="460"/>
    </row>
    <row r="390" spans="30:30" ht="11.25" x14ac:dyDescent="0.2">
      <c r="AD390" s="460"/>
    </row>
    <row r="391" spans="30:30" ht="11.25" x14ac:dyDescent="0.2">
      <c r="AD391" s="460"/>
    </row>
    <row r="392" spans="30:30" ht="11.25" x14ac:dyDescent="0.2">
      <c r="AD392" s="460"/>
    </row>
    <row r="393" spans="30:30" ht="11.25" x14ac:dyDescent="0.2">
      <c r="AD393" s="460"/>
    </row>
    <row r="394" spans="30:30" ht="11.25" x14ac:dyDescent="0.2">
      <c r="AD394" s="460"/>
    </row>
    <row r="395" spans="30:30" ht="11.25" x14ac:dyDescent="0.2">
      <c r="AD395" s="460"/>
    </row>
    <row r="396" spans="30:30" ht="11.25" x14ac:dyDescent="0.2">
      <c r="AD396" s="460"/>
    </row>
    <row r="397" spans="30:30" ht="11.25" x14ac:dyDescent="0.2">
      <c r="AD397" s="460"/>
    </row>
    <row r="398" spans="30:30" ht="11.25" x14ac:dyDescent="0.2">
      <c r="AD398" s="460"/>
    </row>
    <row r="399" spans="30:30" ht="11.25" x14ac:dyDescent="0.2">
      <c r="AD399" s="460"/>
    </row>
    <row r="400" spans="30:30" ht="11.25" x14ac:dyDescent="0.2">
      <c r="AD400" s="460"/>
    </row>
    <row r="401" spans="30:30" ht="11.25" x14ac:dyDescent="0.2">
      <c r="AD401" s="460"/>
    </row>
    <row r="402" spans="30:30" ht="11.25" x14ac:dyDescent="0.2">
      <c r="AD402" s="460"/>
    </row>
    <row r="403" spans="30:30" ht="11.25" x14ac:dyDescent="0.2">
      <c r="AD403" s="460"/>
    </row>
    <row r="404" spans="30:30" ht="11.25" x14ac:dyDescent="0.2">
      <c r="AD404" s="460"/>
    </row>
    <row r="405" spans="30:30" ht="11.25" x14ac:dyDescent="0.2">
      <c r="AD405" s="460"/>
    </row>
    <row r="406" spans="30:30" ht="11.25" x14ac:dyDescent="0.2">
      <c r="AD406" s="460"/>
    </row>
    <row r="407" spans="30:30" ht="11.25" x14ac:dyDescent="0.2">
      <c r="AD407" s="460"/>
    </row>
    <row r="408" spans="30:30" ht="11.25" x14ac:dyDescent="0.2">
      <c r="AD408" s="460"/>
    </row>
    <row r="409" spans="30:30" ht="11.25" x14ac:dyDescent="0.2">
      <c r="AD409" s="460"/>
    </row>
    <row r="410" spans="30:30" ht="11.25" x14ac:dyDescent="0.2">
      <c r="AD410" s="460"/>
    </row>
    <row r="411" spans="30:30" ht="11.25" x14ac:dyDescent="0.2">
      <c r="AD411" s="460"/>
    </row>
    <row r="412" spans="30:30" ht="11.25" x14ac:dyDescent="0.2">
      <c r="AD412" s="460"/>
    </row>
    <row r="413" spans="30:30" ht="11.25" x14ac:dyDescent="0.2">
      <c r="AD413" s="460"/>
    </row>
    <row r="414" spans="30:30" ht="11.25" x14ac:dyDescent="0.2">
      <c r="AD414" s="460"/>
    </row>
    <row r="415" spans="30:30" ht="11.25" x14ac:dyDescent="0.2">
      <c r="AD415" s="460"/>
    </row>
    <row r="416" spans="30:30" ht="11.25" x14ac:dyDescent="0.2">
      <c r="AD416" s="460"/>
    </row>
    <row r="417" spans="30:30" ht="11.25" x14ac:dyDescent="0.2">
      <c r="AD417" s="460"/>
    </row>
    <row r="418" spans="30:30" ht="11.25" x14ac:dyDescent="0.2">
      <c r="AD418" s="460"/>
    </row>
    <row r="419" spans="30:30" ht="11.25" x14ac:dyDescent="0.2">
      <c r="AD419" s="460"/>
    </row>
    <row r="420" spans="30:30" ht="11.25" x14ac:dyDescent="0.2">
      <c r="AD420" s="460"/>
    </row>
    <row r="421" spans="30:30" ht="11.25" x14ac:dyDescent="0.2">
      <c r="AD421" s="460"/>
    </row>
    <row r="422" spans="30:30" ht="11.25" x14ac:dyDescent="0.2">
      <c r="AD422" s="460"/>
    </row>
    <row r="423" spans="30:30" ht="11.25" x14ac:dyDescent="0.2">
      <c r="AD423" s="460"/>
    </row>
    <row r="424" spans="30:30" ht="11.25" x14ac:dyDescent="0.2">
      <c r="AD424" s="460"/>
    </row>
    <row r="425" spans="30:30" ht="11.25" x14ac:dyDescent="0.2">
      <c r="AD425" s="460"/>
    </row>
    <row r="426" spans="30:30" ht="11.25" x14ac:dyDescent="0.2">
      <c r="AD426" s="460"/>
    </row>
    <row r="427" spans="30:30" ht="11.25" x14ac:dyDescent="0.2">
      <c r="AD427" s="460"/>
    </row>
    <row r="428" spans="30:30" ht="11.25" x14ac:dyDescent="0.2">
      <c r="AD428" s="460"/>
    </row>
    <row r="429" spans="30:30" ht="11.25" x14ac:dyDescent="0.2">
      <c r="AD429" s="460"/>
    </row>
    <row r="430" spans="30:30" ht="11.25" x14ac:dyDescent="0.2">
      <c r="AD430" s="460"/>
    </row>
    <row r="431" spans="30:30" ht="11.25" x14ac:dyDescent="0.2">
      <c r="AD431" s="460"/>
    </row>
    <row r="432" spans="30:30" ht="11.25" x14ac:dyDescent="0.2">
      <c r="AD432" s="460"/>
    </row>
    <row r="433" spans="30:30" ht="11.25" x14ac:dyDescent="0.2">
      <c r="AD433" s="460"/>
    </row>
    <row r="434" spans="30:30" ht="11.25" x14ac:dyDescent="0.2">
      <c r="AD434" s="460"/>
    </row>
    <row r="435" spans="30:30" ht="11.25" x14ac:dyDescent="0.2">
      <c r="AD435" s="460"/>
    </row>
    <row r="436" spans="30:30" ht="11.25" x14ac:dyDescent="0.2">
      <c r="AD436" s="460"/>
    </row>
    <row r="437" spans="30:30" ht="11.25" x14ac:dyDescent="0.2">
      <c r="AD437" s="460"/>
    </row>
    <row r="438" spans="30:30" ht="11.25" x14ac:dyDescent="0.2">
      <c r="AD438" s="460"/>
    </row>
    <row r="439" spans="30:30" ht="11.25" x14ac:dyDescent="0.2">
      <c r="AD439" s="460"/>
    </row>
    <row r="440" spans="30:30" ht="11.25" x14ac:dyDescent="0.2">
      <c r="AD440" s="460"/>
    </row>
    <row r="441" spans="30:30" ht="11.25" x14ac:dyDescent="0.2">
      <c r="AD441" s="460"/>
    </row>
    <row r="442" spans="30:30" ht="11.25" x14ac:dyDescent="0.2">
      <c r="AD442" s="460"/>
    </row>
    <row r="443" spans="30:30" ht="11.25" x14ac:dyDescent="0.2">
      <c r="AD443" s="460"/>
    </row>
    <row r="444" spans="30:30" ht="11.25" x14ac:dyDescent="0.2">
      <c r="AD444" s="460"/>
    </row>
    <row r="445" spans="30:30" ht="11.25" x14ac:dyDescent="0.2">
      <c r="AD445" s="460"/>
    </row>
    <row r="446" spans="30:30" ht="11.25" x14ac:dyDescent="0.2">
      <c r="AD446" s="460"/>
    </row>
    <row r="447" spans="30:30" ht="11.25" x14ac:dyDescent="0.2">
      <c r="AD447" s="460"/>
    </row>
    <row r="448" spans="30:30" ht="11.25" x14ac:dyDescent="0.2">
      <c r="AD448" s="460"/>
    </row>
    <row r="449" spans="30:30" ht="11.25" x14ac:dyDescent="0.2">
      <c r="AD449" s="460"/>
    </row>
    <row r="450" spans="30:30" ht="11.25" x14ac:dyDescent="0.2">
      <c r="AD450" s="460"/>
    </row>
    <row r="451" spans="30:30" ht="11.25" x14ac:dyDescent="0.2">
      <c r="AD451" s="460"/>
    </row>
    <row r="452" spans="30:30" ht="11.25" x14ac:dyDescent="0.2">
      <c r="AD452" s="460"/>
    </row>
    <row r="453" spans="30:30" ht="11.25" x14ac:dyDescent="0.2">
      <c r="AD453" s="460"/>
    </row>
    <row r="454" spans="30:30" ht="11.25" x14ac:dyDescent="0.2">
      <c r="AD454" s="460"/>
    </row>
    <row r="455" spans="30:30" ht="11.25" x14ac:dyDescent="0.2">
      <c r="AD455" s="460"/>
    </row>
    <row r="456" spans="30:30" ht="11.25" x14ac:dyDescent="0.2">
      <c r="AD456" s="460"/>
    </row>
    <row r="457" spans="30:30" ht="11.25" x14ac:dyDescent="0.2">
      <c r="AD457" s="460"/>
    </row>
    <row r="458" spans="30:30" ht="11.25" x14ac:dyDescent="0.2">
      <c r="AD458" s="460"/>
    </row>
    <row r="459" spans="30:30" ht="11.25" x14ac:dyDescent="0.2">
      <c r="AD459" s="460"/>
    </row>
    <row r="460" spans="30:30" ht="11.25" x14ac:dyDescent="0.2">
      <c r="AD460" s="460"/>
    </row>
    <row r="461" spans="30:30" ht="11.25" x14ac:dyDescent="0.2">
      <c r="AD461" s="460"/>
    </row>
    <row r="462" spans="30:30" ht="11.25" x14ac:dyDescent="0.2">
      <c r="AD462" s="460"/>
    </row>
    <row r="463" spans="30:30" ht="11.25" x14ac:dyDescent="0.2">
      <c r="AD463" s="460"/>
    </row>
    <row r="464" spans="30:30" ht="11.25" x14ac:dyDescent="0.2">
      <c r="AD464" s="460"/>
    </row>
    <row r="465" spans="30:30" ht="11.25" x14ac:dyDescent="0.2">
      <c r="AD465" s="460"/>
    </row>
    <row r="466" spans="30:30" ht="11.25" x14ac:dyDescent="0.2">
      <c r="AD466" s="460"/>
    </row>
    <row r="467" spans="30:30" ht="11.25" x14ac:dyDescent="0.2">
      <c r="AD467" s="460"/>
    </row>
    <row r="468" spans="30:30" ht="11.25" x14ac:dyDescent="0.2">
      <c r="AD468" s="460"/>
    </row>
    <row r="469" spans="30:30" ht="11.25" x14ac:dyDescent="0.2">
      <c r="AD469" s="460"/>
    </row>
    <row r="470" spans="30:30" ht="11.25" x14ac:dyDescent="0.2">
      <c r="AD470" s="460"/>
    </row>
    <row r="471" spans="30:30" ht="11.25" x14ac:dyDescent="0.2">
      <c r="AD471" s="460"/>
    </row>
    <row r="472" spans="30:30" ht="11.25" x14ac:dyDescent="0.2">
      <c r="AD472" s="460"/>
    </row>
    <row r="473" spans="30:30" ht="11.25" x14ac:dyDescent="0.2">
      <c r="AD473" s="460"/>
    </row>
    <row r="474" spans="30:30" ht="11.25" x14ac:dyDescent="0.2">
      <c r="AD474" s="460"/>
    </row>
    <row r="475" spans="30:30" ht="11.25" x14ac:dyDescent="0.2">
      <c r="AD475" s="460"/>
    </row>
    <row r="476" spans="30:30" ht="11.25" x14ac:dyDescent="0.2">
      <c r="AD476" s="460"/>
    </row>
    <row r="477" spans="30:30" ht="11.25" x14ac:dyDescent="0.2">
      <c r="AD477" s="460"/>
    </row>
    <row r="478" spans="30:30" ht="11.25" x14ac:dyDescent="0.2">
      <c r="AD478" s="460"/>
    </row>
    <row r="479" spans="30:30" ht="11.25" x14ac:dyDescent="0.2">
      <c r="AD479" s="460"/>
    </row>
    <row r="480" spans="30:30" ht="11.25" x14ac:dyDescent="0.2">
      <c r="AD480" s="460"/>
    </row>
    <row r="481" spans="30:30" ht="11.25" x14ac:dyDescent="0.2">
      <c r="AD481" s="460"/>
    </row>
    <row r="482" spans="30:30" ht="11.25" x14ac:dyDescent="0.2">
      <c r="AD482" s="460"/>
    </row>
    <row r="483" spans="30:30" ht="11.25" x14ac:dyDescent="0.2">
      <c r="AD483" s="460"/>
    </row>
    <row r="484" spans="30:30" ht="11.25" x14ac:dyDescent="0.2">
      <c r="AD484" s="460"/>
    </row>
    <row r="485" spans="30:30" ht="11.25" x14ac:dyDescent="0.2">
      <c r="AD485" s="460"/>
    </row>
    <row r="486" spans="30:30" ht="11.25" x14ac:dyDescent="0.2">
      <c r="AD486" s="460"/>
    </row>
    <row r="487" spans="30:30" ht="11.25" x14ac:dyDescent="0.2">
      <c r="AD487" s="460"/>
    </row>
    <row r="488" spans="30:30" ht="11.25" x14ac:dyDescent="0.2">
      <c r="AD488" s="460"/>
    </row>
    <row r="489" spans="30:30" ht="11.25" x14ac:dyDescent="0.2">
      <c r="AD489" s="460"/>
    </row>
    <row r="490" spans="30:30" ht="11.25" x14ac:dyDescent="0.2">
      <c r="AD490" s="460"/>
    </row>
    <row r="491" spans="30:30" ht="11.25" x14ac:dyDescent="0.2">
      <c r="AD491" s="460"/>
    </row>
    <row r="492" spans="30:30" ht="11.25" x14ac:dyDescent="0.2">
      <c r="AD492" s="460"/>
    </row>
    <row r="493" spans="30:30" ht="11.25" x14ac:dyDescent="0.2">
      <c r="AD493" s="460"/>
    </row>
    <row r="494" spans="30:30" ht="11.25" x14ac:dyDescent="0.2">
      <c r="AD494" s="460"/>
    </row>
    <row r="495" spans="30:30" ht="11.25" x14ac:dyDescent="0.2">
      <c r="AD495" s="460"/>
    </row>
    <row r="496" spans="30:30" ht="11.25" x14ac:dyDescent="0.2">
      <c r="AD496" s="460"/>
    </row>
    <row r="497" spans="30:30" ht="11.25" x14ac:dyDescent="0.2">
      <c r="AD497" s="460"/>
    </row>
    <row r="498" spans="30:30" ht="11.25" x14ac:dyDescent="0.2">
      <c r="AD498" s="460"/>
    </row>
    <row r="499" spans="30:30" ht="11.25" x14ac:dyDescent="0.2">
      <c r="AD499" s="460"/>
    </row>
    <row r="500" spans="30:30" ht="11.25" x14ac:dyDescent="0.2">
      <c r="AD500" s="460"/>
    </row>
    <row r="501" spans="30:30" ht="11.25" x14ac:dyDescent="0.2">
      <c r="AD501" s="460"/>
    </row>
    <row r="502" spans="30:30" ht="11.25" x14ac:dyDescent="0.2">
      <c r="AD502" s="460"/>
    </row>
    <row r="503" spans="30:30" ht="11.25" x14ac:dyDescent="0.2">
      <c r="AD503" s="460"/>
    </row>
    <row r="504" spans="30:30" ht="11.25" x14ac:dyDescent="0.2">
      <c r="AD504" s="460"/>
    </row>
    <row r="505" spans="30:30" ht="11.25" x14ac:dyDescent="0.2">
      <c r="AD505" s="460"/>
    </row>
    <row r="506" spans="30:30" ht="11.25" x14ac:dyDescent="0.2">
      <c r="AD506" s="460"/>
    </row>
    <row r="507" spans="30:30" ht="11.25" x14ac:dyDescent="0.2">
      <c r="AD507" s="460"/>
    </row>
    <row r="508" spans="30:30" ht="11.25" x14ac:dyDescent="0.2">
      <c r="AD508" s="460"/>
    </row>
    <row r="509" spans="30:30" ht="11.25" x14ac:dyDescent="0.2">
      <c r="AD509" s="460"/>
    </row>
    <row r="510" spans="30:30" ht="11.25" x14ac:dyDescent="0.2">
      <c r="AD510" s="460"/>
    </row>
    <row r="511" spans="30:30" ht="11.25" x14ac:dyDescent="0.2">
      <c r="AD511" s="460"/>
    </row>
    <row r="512" spans="30:30" ht="11.25" x14ac:dyDescent="0.2">
      <c r="AD512" s="460"/>
    </row>
    <row r="513" spans="30:30" ht="11.25" x14ac:dyDescent="0.2">
      <c r="AD513" s="460"/>
    </row>
    <row r="514" spans="30:30" ht="11.25" x14ac:dyDescent="0.2">
      <c r="AD514" s="460"/>
    </row>
    <row r="515" spans="30:30" ht="11.25" x14ac:dyDescent="0.2">
      <c r="AD515" s="460"/>
    </row>
    <row r="516" spans="30:30" ht="11.25" x14ac:dyDescent="0.2">
      <c r="AD516" s="460"/>
    </row>
    <row r="517" spans="30:30" ht="11.25" x14ac:dyDescent="0.2">
      <c r="AD517" s="460"/>
    </row>
    <row r="518" spans="30:30" ht="11.25" x14ac:dyDescent="0.2">
      <c r="AD518" s="460"/>
    </row>
    <row r="519" spans="30:30" ht="11.25" x14ac:dyDescent="0.2">
      <c r="AD519" s="460"/>
    </row>
    <row r="520" spans="30:30" ht="11.25" x14ac:dyDescent="0.2">
      <c r="AD520" s="460"/>
    </row>
    <row r="521" spans="30:30" ht="11.25" x14ac:dyDescent="0.2">
      <c r="AD521" s="460"/>
    </row>
    <row r="522" spans="30:30" ht="11.25" x14ac:dyDescent="0.2">
      <c r="AD522" s="460"/>
    </row>
    <row r="523" spans="30:30" ht="11.25" x14ac:dyDescent="0.2">
      <c r="AD523" s="460"/>
    </row>
    <row r="524" spans="30:30" ht="11.25" x14ac:dyDescent="0.2">
      <c r="AD524" s="460"/>
    </row>
    <row r="525" spans="30:30" ht="11.25" x14ac:dyDescent="0.2">
      <c r="AD525" s="460"/>
    </row>
    <row r="526" spans="30:30" ht="11.25" x14ac:dyDescent="0.2">
      <c r="AD526" s="460"/>
    </row>
    <row r="527" spans="30:30" ht="11.25" x14ac:dyDescent="0.2">
      <c r="AD527" s="460"/>
    </row>
    <row r="528" spans="30:30" ht="11.25" x14ac:dyDescent="0.2">
      <c r="AD528" s="460"/>
    </row>
    <row r="529" spans="30:30" ht="11.25" x14ac:dyDescent="0.2">
      <c r="AD529" s="460"/>
    </row>
    <row r="530" spans="30:30" ht="11.25" x14ac:dyDescent="0.2">
      <c r="AD530" s="460"/>
    </row>
    <row r="531" spans="30:30" ht="11.25" x14ac:dyDescent="0.2">
      <c r="AD531" s="460"/>
    </row>
    <row r="532" spans="30:30" ht="11.25" x14ac:dyDescent="0.2">
      <c r="AD532" s="460"/>
    </row>
    <row r="533" spans="30:30" ht="11.25" x14ac:dyDescent="0.2">
      <c r="AD533" s="460"/>
    </row>
    <row r="534" spans="30:30" ht="11.25" x14ac:dyDescent="0.2">
      <c r="AD534" s="460"/>
    </row>
    <row r="535" spans="30:30" ht="11.25" x14ac:dyDescent="0.2">
      <c r="AD535" s="460"/>
    </row>
    <row r="536" spans="30:30" ht="11.25" x14ac:dyDescent="0.2">
      <c r="AD536" s="460"/>
    </row>
    <row r="537" spans="30:30" ht="11.25" x14ac:dyDescent="0.2">
      <c r="AD537" s="460"/>
    </row>
    <row r="538" spans="30:30" ht="11.25" x14ac:dyDescent="0.2">
      <c r="AD538" s="460"/>
    </row>
    <row r="539" spans="30:30" ht="11.25" x14ac:dyDescent="0.2">
      <c r="AD539" s="460"/>
    </row>
    <row r="540" spans="30:30" ht="11.25" x14ac:dyDescent="0.2">
      <c r="AD540" s="460"/>
    </row>
    <row r="541" spans="30:30" ht="11.25" x14ac:dyDescent="0.2">
      <c r="AD541" s="460"/>
    </row>
    <row r="542" spans="30:30" ht="11.25" x14ac:dyDescent="0.2">
      <c r="AD542" s="460"/>
    </row>
    <row r="543" spans="30:30" ht="11.25" x14ac:dyDescent="0.2">
      <c r="AD543" s="460"/>
    </row>
    <row r="544" spans="30:30" ht="11.25" x14ac:dyDescent="0.2">
      <c r="AD544" s="460"/>
    </row>
    <row r="545" spans="30:30" ht="11.25" x14ac:dyDescent="0.2">
      <c r="AD545" s="460"/>
    </row>
    <row r="546" spans="30:30" ht="11.25" x14ac:dyDescent="0.2">
      <c r="AD546" s="460"/>
    </row>
    <row r="547" spans="30:30" ht="11.25" x14ac:dyDescent="0.2">
      <c r="AD547" s="460"/>
    </row>
    <row r="548" spans="30:30" ht="11.25" x14ac:dyDescent="0.2">
      <c r="AD548" s="460"/>
    </row>
    <row r="549" spans="30:30" ht="11.25" x14ac:dyDescent="0.2">
      <c r="AD549" s="460"/>
    </row>
    <row r="550" spans="30:30" ht="11.25" x14ac:dyDescent="0.2">
      <c r="AD550" s="460"/>
    </row>
    <row r="551" spans="30:30" ht="11.25" x14ac:dyDescent="0.2">
      <c r="AD551" s="460"/>
    </row>
    <row r="552" spans="30:30" ht="11.25" x14ac:dyDescent="0.2">
      <c r="AD552" s="460"/>
    </row>
    <row r="553" spans="30:30" ht="11.25" x14ac:dyDescent="0.2">
      <c r="AD553" s="460"/>
    </row>
    <row r="554" spans="30:30" ht="11.25" x14ac:dyDescent="0.2">
      <c r="AD554" s="460"/>
    </row>
    <row r="555" spans="30:30" ht="11.25" x14ac:dyDescent="0.2">
      <c r="AD555" s="460"/>
    </row>
    <row r="556" spans="30:30" ht="11.25" x14ac:dyDescent="0.2">
      <c r="AD556" s="460"/>
    </row>
    <row r="557" spans="30:30" ht="11.25" x14ac:dyDescent="0.2">
      <c r="AD557" s="460"/>
    </row>
    <row r="558" spans="30:30" ht="11.25" x14ac:dyDescent="0.2">
      <c r="AD558" s="460"/>
    </row>
    <row r="559" spans="30:30" ht="11.25" x14ac:dyDescent="0.2">
      <c r="AD559" s="460"/>
    </row>
    <row r="560" spans="30:30" ht="11.25" x14ac:dyDescent="0.2">
      <c r="AD560" s="460"/>
    </row>
    <row r="561" spans="30:30" ht="11.25" x14ac:dyDescent="0.2">
      <c r="AD561" s="460"/>
    </row>
    <row r="562" spans="30:30" ht="11.25" x14ac:dyDescent="0.2">
      <c r="AD562" s="460"/>
    </row>
    <row r="563" spans="30:30" ht="11.25" x14ac:dyDescent="0.2">
      <c r="AD563" s="460"/>
    </row>
    <row r="564" spans="30:30" ht="11.25" x14ac:dyDescent="0.2">
      <c r="AD564" s="460"/>
    </row>
    <row r="565" spans="30:30" ht="11.25" x14ac:dyDescent="0.2">
      <c r="AD565" s="460"/>
    </row>
    <row r="566" spans="30:30" ht="11.25" x14ac:dyDescent="0.2">
      <c r="AD566" s="460"/>
    </row>
    <row r="567" spans="30:30" ht="11.25" x14ac:dyDescent="0.2">
      <c r="AD567" s="460"/>
    </row>
    <row r="568" spans="30:30" ht="11.25" x14ac:dyDescent="0.2">
      <c r="AD568" s="460"/>
    </row>
    <row r="569" spans="30:30" ht="11.25" x14ac:dyDescent="0.2">
      <c r="AD569" s="460"/>
    </row>
    <row r="570" spans="30:30" ht="11.25" x14ac:dyDescent="0.2">
      <c r="AD570" s="460"/>
    </row>
    <row r="571" spans="30:30" ht="11.25" x14ac:dyDescent="0.2">
      <c r="AD571" s="460"/>
    </row>
    <row r="572" spans="30:30" ht="11.25" x14ac:dyDescent="0.2">
      <c r="AD572" s="460"/>
    </row>
    <row r="573" spans="30:30" ht="11.25" x14ac:dyDescent="0.2">
      <c r="AD573" s="460"/>
    </row>
    <row r="574" spans="30:30" ht="11.25" x14ac:dyDescent="0.2">
      <c r="AD574" s="460"/>
    </row>
    <row r="575" spans="30:30" ht="11.25" x14ac:dyDescent="0.2">
      <c r="AD575" s="460"/>
    </row>
    <row r="576" spans="30:30" ht="11.25" x14ac:dyDescent="0.2">
      <c r="AD576" s="460"/>
    </row>
    <row r="577" spans="30:30" ht="11.25" x14ac:dyDescent="0.2">
      <c r="AD577" s="460"/>
    </row>
    <row r="578" spans="30:30" ht="11.25" x14ac:dyDescent="0.2">
      <c r="AD578" s="460"/>
    </row>
    <row r="579" spans="30:30" ht="11.25" x14ac:dyDescent="0.2">
      <c r="AD579" s="460"/>
    </row>
    <row r="580" spans="30:30" ht="11.25" x14ac:dyDescent="0.2">
      <c r="AD580" s="460"/>
    </row>
    <row r="581" spans="30:30" ht="11.25" x14ac:dyDescent="0.2">
      <c r="AD581" s="460"/>
    </row>
    <row r="582" spans="30:30" ht="11.25" x14ac:dyDescent="0.2">
      <c r="AD582" s="460"/>
    </row>
    <row r="583" spans="30:30" ht="11.25" x14ac:dyDescent="0.2">
      <c r="AD583" s="460"/>
    </row>
    <row r="584" spans="30:30" ht="11.25" x14ac:dyDescent="0.2">
      <c r="AD584" s="460"/>
    </row>
    <row r="585" spans="30:30" ht="11.25" x14ac:dyDescent="0.2">
      <c r="AD585" s="460"/>
    </row>
    <row r="586" spans="30:30" ht="11.25" x14ac:dyDescent="0.2">
      <c r="AD586" s="460"/>
    </row>
    <row r="587" spans="30:30" ht="11.25" x14ac:dyDescent="0.2">
      <c r="AD587" s="460"/>
    </row>
    <row r="588" spans="30:30" ht="11.25" x14ac:dyDescent="0.2">
      <c r="AD588" s="460"/>
    </row>
    <row r="589" spans="30:30" ht="11.25" x14ac:dyDescent="0.2">
      <c r="AD589" s="460"/>
    </row>
    <row r="590" spans="30:30" ht="11.25" x14ac:dyDescent="0.2">
      <c r="AD590" s="460"/>
    </row>
    <row r="591" spans="30:30" ht="11.25" x14ac:dyDescent="0.2">
      <c r="AD591" s="460"/>
    </row>
    <row r="592" spans="30:30" ht="11.25" x14ac:dyDescent="0.2">
      <c r="AD592" s="460"/>
    </row>
    <row r="593" spans="30:30" ht="11.25" x14ac:dyDescent="0.2">
      <c r="AD593" s="460"/>
    </row>
    <row r="594" spans="30:30" ht="11.25" x14ac:dyDescent="0.2">
      <c r="AD594" s="460"/>
    </row>
    <row r="595" spans="30:30" ht="11.25" x14ac:dyDescent="0.2">
      <c r="AD595" s="460"/>
    </row>
    <row r="596" spans="30:30" ht="11.25" x14ac:dyDescent="0.2">
      <c r="AD596" s="460"/>
    </row>
    <row r="597" spans="30:30" ht="11.25" x14ac:dyDescent="0.2">
      <c r="AD597" s="460"/>
    </row>
    <row r="598" spans="30:30" ht="11.25" x14ac:dyDescent="0.2">
      <c r="AD598" s="460"/>
    </row>
    <row r="599" spans="30:30" ht="11.25" x14ac:dyDescent="0.2">
      <c r="AD599" s="460"/>
    </row>
    <row r="600" spans="30:30" ht="11.25" x14ac:dyDescent="0.2">
      <c r="AD600" s="460"/>
    </row>
    <row r="601" spans="30:30" ht="11.25" x14ac:dyDescent="0.2">
      <c r="AD601" s="460"/>
    </row>
    <row r="602" spans="30:30" ht="11.25" x14ac:dyDescent="0.2">
      <c r="AD602" s="460"/>
    </row>
    <row r="603" spans="30:30" ht="11.25" x14ac:dyDescent="0.2">
      <c r="AD603" s="460"/>
    </row>
    <row r="604" spans="30:30" ht="11.25" x14ac:dyDescent="0.2">
      <c r="AD604" s="460"/>
    </row>
    <row r="605" spans="30:30" ht="11.25" x14ac:dyDescent="0.2">
      <c r="AD605" s="460"/>
    </row>
    <row r="606" spans="30:30" ht="11.25" x14ac:dyDescent="0.2">
      <c r="AD606" s="460"/>
    </row>
    <row r="607" spans="30:30" ht="11.25" x14ac:dyDescent="0.2">
      <c r="AD607" s="460"/>
    </row>
    <row r="608" spans="30:30" ht="11.25" x14ac:dyDescent="0.2">
      <c r="AD608" s="460"/>
    </row>
    <row r="609" spans="30:30" ht="11.25" x14ac:dyDescent="0.2">
      <c r="AD609" s="460"/>
    </row>
    <row r="610" spans="30:30" ht="11.25" x14ac:dyDescent="0.2">
      <c r="AD610" s="460"/>
    </row>
    <row r="611" spans="30:30" ht="11.25" x14ac:dyDescent="0.2">
      <c r="AD611" s="460"/>
    </row>
    <row r="612" spans="30:30" ht="11.25" x14ac:dyDescent="0.2">
      <c r="AD612" s="460"/>
    </row>
    <row r="613" spans="30:30" ht="11.25" x14ac:dyDescent="0.2">
      <c r="AD613" s="460"/>
    </row>
    <row r="614" spans="30:30" ht="11.25" x14ac:dyDescent="0.2">
      <c r="AD614" s="460"/>
    </row>
    <row r="615" spans="30:30" ht="11.25" x14ac:dyDescent="0.2">
      <c r="AD615" s="460"/>
    </row>
    <row r="616" spans="30:30" ht="11.25" x14ac:dyDescent="0.2">
      <c r="AD616" s="460"/>
    </row>
    <row r="617" spans="30:30" ht="11.25" x14ac:dyDescent="0.2">
      <c r="AD617" s="460"/>
    </row>
    <row r="618" spans="30:30" ht="11.25" x14ac:dyDescent="0.2">
      <c r="AD618" s="460"/>
    </row>
    <row r="619" spans="30:30" ht="11.25" x14ac:dyDescent="0.2">
      <c r="AD619" s="460"/>
    </row>
    <row r="620" spans="30:30" ht="11.25" x14ac:dyDescent="0.2">
      <c r="AD620" s="460"/>
    </row>
    <row r="621" spans="30:30" ht="11.25" x14ac:dyDescent="0.2">
      <c r="AD621" s="460"/>
    </row>
    <row r="622" spans="30:30" ht="11.25" x14ac:dyDescent="0.2">
      <c r="AD622" s="460"/>
    </row>
  </sheetData>
  <sheetProtection sheet="1" objects="1" scenarios="1" selectLockedCells="1"/>
  <mergeCells count="113">
    <mergeCell ref="E233:I233"/>
    <mergeCell ref="E234:I234"/>
    <mergeCell ref="E238:I238"/>
    <mergeCell ref="E243:I243"/>
    <mergeCell ref="E244:I244"/>
    <mergeCell ref="E231:I231"/>
    <mergeCell ref="E254:I254"/>
    <mergeCell ref="U202:V202"/>
    <mergeCell ref="E195:I195"/>
    <mergeCell ref="J196:K196"/>
    <mergeCell ref="E215:I215"/>
    <mergeCell ref="E220:I220"/>
    <mergeCell ref="AA202:AB202"/>
    <mergeCell ref="E204:I204"/>
    <mergeCell ref="E205:I205"/>
    <mergeCell ref="E232:I232"/>
    <mergeCell ref="U172:V172"/>
    <mergeCell ref="AA172:AB172"/>
    <mergeCell ref="E186:I186"/>
    <mergeCell ref="J187:K187"/>
    <mergeCell ref="E181:I181"/>
    <mergeCell ref="E182:I182"/>
    <mergeCell ref="J183:K183"/>
    <mergeCell ref="E164:I164"/>
    <mergeCell ref="E165:I165"/>
    <mergeCell ref="E155:I155"/>
    <mergeCell ref="E156:I156"/>
    <mergeCell ref="J173:K173"/>
    <mergeCell ref="E175:I175"/>
    <mergeCell ref="E176:I176"/>
    <mergeCell ref="J177:K177"/>
    <mergeCell ref="J172:K172"/>
    <mergeCell ref="J157:K157"/>
    <mergeCell ref="E147:I147"/>
    <mergeCell ref="J148:K148"/>
    <mergeCell ref="E151:I151"/>
    <mergeCell ref="J152:K152"/>
    <mergeCell ref="E142:I142"/>
    <mergeCell ref="E143:I143"/>
    <mergeCell ref="J144:K144"/>
    <mergeCell ref="E162:I162"/>
    <mergeCell ref="E125:I125"/>
    <mergeCell ref="E126:I126"/>
    <mergeCell ref="J127:K127"/>
    <mergeCell ref="J122:K122"/>
    <mergeCell ref="U122:V122"/>
    <mergeCell ref="AA122:AB122"/>
    <mergeCell ref="E134:I134"/>
    <mergeCell ref="E136:I136"/>
    <mergeCell ref="J137:K137"/>
    <mergeCell ref="AA113:AB113"/>
    <mergeCell ref="J114:K114"/>
    <mergeCell ref="E115:I115"/>
    <mergeCell ref="E116:I116"/>
    <mergeCell ref="E117:I117"/>
    <mergeCell ref="J113:K113"/>
    <mergeCell ref="U113:V113"/>
    <mergeCell ref="J123:K123"/>
    <mergeCell ref="E124:I124"/>
    <mergeCell ref="J88:K88"/>
    <mergeCell ref="E92:K92"/>
    <mergeCell ref="J94:K94"/>
    <mergeCell ref="E82:I82"/>
    <mergeCell ref="J83:K83"/>
    <mergeCell ref="E87:I87"/>
    <mergeCell ref="E102:K102"/>
    <mergeCell ref="E98:I98"/>
    <mergeCell ref="J99:K99"/>
    <mergeCell ref="E53:I53"/>
    <mergeCell ref="E54:I54"/>
    <mergeCell ref="J55:K55"/>
    <mergeCell ref="E47:I47"/>
    <mergeCell ref="J48:K48"/>
    <mergeCell ref="J75:K75"/>
    <mergeCell ref="E64:I64"/>
    <mergeCell ref="J65:K65"/>
    <mergeCell ref="J69:K69"/>
    <mergeCell ref="E59:I59"/>
    <mergeCell ref="J60:K60"/>
    <mergeCell ref="E73:I73"/>
    <mergeCell ref="E74:I74"/>
    <mergeCell ref="E23:I23"/>
    <mergeCell ref="M13:O13"/>
    <mergeCell ref="E39:I39"/>
    <mergeCell ref="E40:I40"/>
    <mergeCell ref="E41:I41"/>
    <mergeCell ref="J42:K42"/>
    <mergeCell ref="H35:I35"/>
    <mergeCell ref="J37:K37"/>
    <mergeCell ref="U37:V37"/>
    <mergeCell ref="X37:Y37"/>
    <mergeCell ref="AA37:AB37"/>
    <mergeCell ref="J38:K38"/>
    <mergeCell ref="E26:I26"/>
    <mergeCell ref="E31:I31"/>
    <mergeCell ref="E32:I32"/>
    <mergeCell ref="E33:I33"/>
    <mergeCell ref="D34:E34"/>
    <mergeCell ref="F34:G34"/>
    <mergeCell ref="H34:I34"/>
    <mergeCell ref="B1:AJ1"/>
    <mergeCell ref="AG19:AH19"/>
    <mergeCell ref="AP19:AQ19"/>
    <mergeCell ref="AS19:AT19"/>
    <mergeCell ref="J18:K18"/>
    <mergeCell ref="U18:Y18"/>
    <mergeCell ref="AA18:AE18"/>
    <mergeCell ref="J20:K20"/>
    <mergeCell ref="J19:K19"/>
    <mergeCell ref="U19:V19"/>
    <mergeCell ref="X19:Y19"/>
    <mergeCell ref="AA19:AB19"/>
    <mergeCell ref="AD19:AE19"/>
  </mergeCells>
  <conditionalFormatting sqref="W43:W48 W53:W55 W59:W60 W64:W65 W68:W69 W73:W75 W82:W83 W87:W88 W92:W94 W98:W99 W102:W103 W111 W121:W127 W134 W136:W137 W142:W144 W147:W148 W151:W152 W155:W157 W162 W164:W166 W171:W177 W181:W183 W186:W187 W195:W196 W201:W206 W212:W215 W217:W245 W113:W118">
    <cfRule type="cellIs" dxfId="70" priority="63" operator="equal">
      <formula>"X"</formula>
    </cfRule>
  </conditionalFormatting>
  <conditionalFormatting sqref="AC47:AC48 AC53:AC55 AC59:AC60 AC64:AC65 AC68:AC69 AC73:AC75 AC82:AC83 AC87:AC88 AC92:AC94 AC98:AC99 AC102:AC103 AC111 AC121:AC127 AC134 AC136:AC137 AC142:AC144 AC147:AC148 AC151:AC152 AC155:AC157 AC162 AC164:AC166 AC171:AC177 AC181:AC183 AC186:AC187 AC195:AC196 AC201:AC206 AC212:AC215 AC217:AC245 AC113:AC118">
    <cfRule type="cellIs" dxfId="69" priority="62" operator="equal">
      <formula>"X"</formula>
    </cfRule>
  </conditionalFormatting>
  <conditionalFormatting sqref="AC43:AC46">
    <cfRule type="cellIs" dxfId="68" priority="61" operator="equal">
      <formula>"X"</formula>
    </cfRule>
  </conditionalFormatting>
  <conditionalFormatting sqref="W49:W52">
    <cfRule type="cellIs" dxfId="67" priority="60" operator="equal">
      <formula>"X"</formula>
    </cfRule>
  </conditionalFormatting>
  <conditionalFormatting sqref="AC49:AC52">
    <cfRule type="cellIs" dxfId="66" priority="59" operator="equal">
      <formula>"X"</formula>
    </cfRule>
  </conditionalFormatting>
  <conditionalFormatting sqref="W56:W58">
    <cfRule type="cellIs" dxfId="65" priority="58" operator="equal">
      <formula>"X"</formula>
    </cfRule>
  </conditionalFormatting>
  <conditionalFormatting sqref="AC56:AC58">
    <cfRule type="cellIs" dxfId="64" priority="57" operator="equal">
      <formula>"X"</formula>
    </cfRule>
  </conditionalFormatting>
  <conditionalFormatting sqref="W61:W63">
    <cfRule type="cellIs" dxfId="63" priority="56" operator="equal">
      <formula>"X"</formula>
    </cfRule>
  </conditionalFormatting>
  <conditionalFormatting sqref="AC61:AC63">
    <cfRule type="cellIs" dxfId="62" priority="55" operator="equal">
      <formula>"X"</formula>
    </cfRule>
  </conditionalFormatting>
  <conditionalFormatting sqref="W66:W67">
    <cfRule type="cellIs" dxfId="61" priority="54" operator="equal">
      <formula>"X"</formula>
    </cfRule>
  </conditionalFormatting>
  <conditionalFormatting sqref="AC66:AC67">
    <cfRule type="cellIs" dxfId="60" priority="53" operator="equal">
      <formula>"X"</formula>
    </cfRule>
  </conditionalFormatting>
  <conditionalFormatting sqref="W70:W72">
    <cfRule type="cellIs" dxfId="59" priority="52" operator="equal">
      <formula>"X"</formula>
    </cfRule>
  </conditionalFormatting>
  <conditionalFormatting sqref="AC70:AC72">
    <cfRule type="cellIs" dxfId="58" priority="51" operator="equal">
      <formula>"X"</formula>
    </cfRule>
  </conditionalFormatting>
  <conditionalFormatting sqref="W76:W81">
    <cfRule type="cellIs" dxfId="57" priority="50" operator="equal">
      <formula>"X"</formula>
    </cfRule>
  </conditionalFormatting>
  <conditionalFormatting sqref="AC76:AC81">
    <cfRule type="cellIs" dxfId="56" priority="49" operator="equal">
      <formula>"X"</formula>
    </cfRule>
  </conditionalFormatting>
  <conditionalFormatting sqref="W84:W86">
    <cfRule type="cellIs" dxfId="55" priority="48" operator="equal">
      <formula>"X"</formula>
    </cfRule>
  </conditionalFormatting>
  <conditionalFormatting sqref="AC84:AC86">
    <cfRule type="cellIs" dxfId="54" priority="47" operator="equal">
      <formula>"X"</formula>
    </cfRule>
  </conditionalFormatting>
  <conditionalFormatting sqref="W89:W91">
    <cfRule type="cellIs" dxfId="53" priority="46" operator="equal">
      <formula>"X"</formula>
    </cfRule>
  </conditionalFormatting>
  <conditionalFormatting sqref="AC89:AC91">
    <cfRule type="cellIs" dxfId="52" priority="45" operator="equal">
      <formula>"X"</formula>
    </cfRule>
  </conditionalFormatting>
  <conditionalFormatting sqref="W95:W97">
    <cfRule type="cellIs" dxfId="51" priority="44" operator="equal">
      <formula>"X"</formula>
    </cfRule>
  </conditionalFormatting>
  <conditionalFormatting sqref="AC95:AC97">
    <cfRule type="cellIs" dxfId="50" priority="43" operator="equal">
      <formula>"X"</formula>
    </cfRule>
  </conditionalFormatting>
  <conditionalFormatting sqref="W100:W101">
    <cfRule type="cellIs" dxfId="49" priority="42" operator="equal">
      <formula>"X"</formula>
    </cfRule>
  </conditionalFormatting>
  <conditionalFormatting sqref="AC100:AC101">
    <cfRule type="cellIs" dxfId="48" priority="41" operator="equal">
      <formula>"X"</formula>
    </cfRule>
  </conditionalFormatting>
  <conditionalFormatting sqref="W104:W110">
    <cfRule type="cellIs" dxfId="47" priority="40" operator="equal">
      <formula>"X"</formula>
    </cfRule>
  </conditionalFormatting>
  <conditionalFormatting sqref="AC104:AC110">
    <cfRule type="cellIs" dxfId="46" priority="39" operator="equal">
      <formula>"X"</formula>
    </cfRule>
  </conditionalFormatting>
  <conditionalFormatting sqref="W119:W120">
    <cfRule type="cellIs" dxfId="45" priority="38" operator="equal">
      <formula>"X"</formula>
    </cfRule>
  </conditionalFormatting>
  <conditionalFormatting sqref="AC119:AC120">
    <cfRule type="cellIs" dxfId="44" priority="37" operator="equal">
      <formula>"X"</formula>
    </cfRule>
  </conditionalFormatting>
  <conditionalFormatting sqref="W128:W133">
    <cfRule type="cellIs" dxfId="43" priority="36" operator="equal">
      <formula>"X"</formula>
    </cfRule>
  </conditionalFormatting>
  <conditionalFormatting sqref="AC128:AC133">
    <cfRule type="cellIs" dxfId="42" priority="35" operator="equal">
      <formula>"X"</formula>
    </cfRule>
  </conditionalFormatting>
  <conditionalFormatting sqref="W135">
    <cfRule type="cellIs" dxfId="41" priority="34" operator="equal">
      <formula>"X"</formula>
    </cfRule>
  </conditionalFormatting>
  <conditionalFormatting sqref="AC135">
    <cfRule type="cellIs" dxfId="40" priority="33" operator="equal">
      <formula>"X"</formula>
    </cfRule>
  </conditionalFormatting>
  <conditionalFormatting sqref="W138:W141">
    <cfRule type="cellIs" dxfId="39" priority="32" operator="equal">
      <formula>"X"</formula>
    </cfRule>
  </conditionalFormatting>
  <conditionalFormatting sqref="AC138:AC141">
    <cfRule type="cellIs" dxfId="38" priority="31" operator="equal">
      <formula>"X"</formula>
    </cfRule>
  </conditionalFormatting>
  <conditionalFormatting sqref="W145:W146">
    <cfRule type="cellIs" dxfId="37" priority="30" operator="equal">
      <formula>"X"</formula>
    </cfRule>
  </conditionalFormatting>
  <conditionalFormatting sqref="AC145:AC146">
    <cfRule type="cellIs" dxfId="36" priority="29" operator="equal">
      <formula>"X"</formula>
    </cfRule>
  </conditionalFormatting>
  <conditionalFormatting sqref="W149:W150">
    <cfRule type="cellIs" dxfId="35" priority="28" operator="equal">
      <formula>"X"</formula>
    </cfRule>
  </conditionalFormatting>
  <conditionalFormatting sqref="AC149:AC150">
    <cfRule type="cellIs" dxfId="34" priority="27" operator="equal">
      <formula>"X"</formula>
    </cfRule>
  </conditionalFormatting>
  <conditionalFormatting sqref="W153:W154">
    <cfRule type="cellIs" dxfId="33" priority="26" operator="equal">
      <formula>"X"</formula>
    </cfRule>
  </conditionalFormatting>
  <conditionalFormatting sqref="AC153:AC154">
    <cfRule type="cellIs" dxfId="32" priority="25" operator="equal">
      <formula>"X"</formula>
    </cfRule>
  </conditionalFormatting>
  <conditionalFormatting sqref="W158:W161">
    <cfRule type="cellIs" dxfId="31" priority="24" operator="equal">
      <formula>"X"</formula>
    </cfRule>
  </conditionalFormatting>
  <conditionalFormatting sqref="AC158:AC161">
    <cfRule type="cellIs" dxfId="30" priority="23" operator="equal">
      <formula>"X"</formula>
    </cfRule>
  </conditionalFormatting>
  <conditionalFormatting sqref="W163">
    <cfRule type="cellIs" dxfId="29" priority="22" operator="equal">
      <formula>"X"</formula>
    </cfRule>
  </conditionalFormatting>
  <conditionalFormatting sqref="AC163">
    <cfRule type="cellIs" dxfId="28" priority="21" operator="equal">
      <formula>"X"</formula>
    </cfRule>
  </conditionalFormatting>
  <conditionalFormatting sqref="W167:W170">
    <cfRule type="cellIs" dxfId="27" priority="20" operator="equal">
      <formula>"X"</formula>
    </cfRule>
  </conditionalFormatting>
  <conditionalFormatting sqref="AC167:AC170">
    <cfRule type="cellIs" dxfId="26" priority="19" operator="equal">
      <formula>"X"</formula>
    </cfRule>
  </conditionalFormatting>
  <conditionalFormatting sqref="W178:W180">
    <cfRule type="cellIs" dxfId="25" priority="18" operator="equal">
      <formula>"X"</formula>
    </cfRule>
  </conditionalFormatting>
  <conditionalFormatting sqref="AC178:AC180">
    <cfRule type="cellIs" dxfId="24" priority="17" operator="equal">
      <formula>"X"</formula>
    </cfRule>
  </conditionalFormatting>
  <conditionalFormatting sqref="W184:W185">
    <cfRule type="cellIs" dxfId="23" priority="16" operator="equal">
      <formula>"X"</formula>
    </cfRule>
  </conditionalFormatting>
  <conditionalFormatting sqref="AC184:AC185">
    <cfRule type="cellIs" dxfId="22" priority="15" operator="equal">
      <formula>"X"</formula>
    </cfRule>
  </conditionalFormatting>
  <conditionalFormatting sqref="W188:W194">
    <cfRule type="cellIs" dxfId="21" priority="14" operator="equal">
      <formula>"X"</formula>
    </cfRule>
  </conditionalFormatting>
  <conditionalFormatting sqref="AC188:AC194">
    <cfRule type="cellIs" dxfId="20" priority="13" operator="equal">
      <formula>"X"</formula>
    </cfRule>
  </conditionalFormatting>
  <conditionalFormatting sqref="W197:W200">
    <cfRule type="cellIs" dxfId="19" priority="12" operator="equal">
      <formula>"X"</formula>
    </cfRule>
  </conditionalFormatting>
  <conditionalFormatting sqref="AC197:AC200">
    <cfRule type="cellIs" dxfId="18" priority="11" operator="equal">
      <formula>"X"</formula>
    </cfRule>
  </conditionalFormatting>
  <conditionalFormatting sqref="W207:W211">
    <cfRule type="cellIs" dxfId="17" priority="10" operator="equal">
      <formula>"X"</formula>
    </cfRule>
  </conditionalFormatting>
  <conditionalFormatting sqref="AC207:AC211">
    <cfRule type="cellIs" dxfId="16" priority="9" operator="equal">
      <formula>"X"</formula>
    </cfRule>
  </conditionalFormatting>
  <conditionalFormatting sqref="W216">
    <cfRule type="cellIs" dxfId="15" priority="8" operator="equal">
      <formula>"X"</formula>
    </cfRule>
  </conditionalFormatting>
  <conditionalFormatting sqref="AC216">
    <cfRule type="cellIs" dxfId="14" priority="7" operator="equal">
      <formula>"X"</formula>
    </cfRule>
  </conditionalFormatting>
  <conditionalFormatting sqref="W246:W250">
    <cfRule type="cellIs" dxfId="13" priority="6" operator="equal">
      <formula>"X"</formula>
    </cfRule>
  </conditionalFormatting>
  <conditionalFormatting sqref="AC246:AC250">
    <cfRule type="cellIs" dxfId="12" priority="5" operator="equal">
      <formula>"X"</formula>
    </cfRule>
  </conditionalFormatting>
  <conditionalFormatting sqref="X43:X111 X113:X250">
    <cfRule type="expression" dxfId="11" priority="4">
      <formula>IF(W43="P",TRUE,FALSE)</formula>
    </cfRule>
  </conditionalFormatting>
  <conditionalFormatting sqref="Y43:Y111 Y113:Y250">
    <cfRule type="expression" dxfId="10" priority="3">
      <formula>IF(W43="A",TRUE,FALSE)</formula>
    </cfRule>
  </conditionalFormatting>
  <conditionalFormatting sqref="AD43:AD111 AD113:AD250">
    <cfRule type="expression" dxfId="9" priority="2">
      <formula>IF(AC43="P",TRUE,FALSE)</formula>
    </cfRule>
  </conditionalFormatting>
  <conditionalFormatting sqref="AE43:AE111 AE113:AE250">
    <cfRule type="expression" dxfId="8" priority="1">
      <formula>IF(AC43="A",TRUE,FALSE)</formula>
    </cfRule>
  </conditionalFormatting>
  <pageMargins left="0.23622047244094491" right="0.23622047244094491" top="0.55118110236220474" bottom="0.55118110236220474" header="0.31496062992125984" footer="0.31496062992125984"/>
  <pageSetup paperSize="9" scale="67" fitToHeight="0" orientation="landscape" horizontalDpi="1200" verticalDpi="1200" r:id="rId1"/>
  <rowBreaks count="4" manualBreakCount="4">
    <brk id="52" max="16383" man="1"/>
    <brk id="111" max="16383" man="1"/>
    <brk id="171" max="16383" man="1"/>
    <brk id="2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8910" r:id="rId4" name="Drop Down 94">
              <controlPr defaultSize="0" autoLine="0" autoPict="0">
                <anchor moveWithCells="1">
                  <from>
                    <xdr:col>12</xdr:col>
                    <xdr:colOff>0</xdr:colOff>
                    <xdr:row>12</xdr:row>
                    <xdr:rowOff>0</xdr:rowOff>
                  </from>
                  <to>
                    <xdr:col>15</xdr:col>
                    <xdr:colOff>57150</xdr:colOff>
                    <xdr:row>13</xdr:row>
                    <xdr:rowOff>38100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8">
    <tabColor theme="7" tint="0.39997558519241921"/>
    <outlinePr summaryBelow="0" summaryRight="0"/>
  </sheetPr>
  <dimension ref="A1:AC401"/>
  <sheetViews>
    <sheetView showGridLines="0" showRowColHeaders="0" showZeros="0" tabSelected="1" zoomScaleNormal="100" workbookViewId="0">
      <pane ySplit="1" topLeftCell="A2" activePane="bottomLeft" state="frozen"/>
      <selection activeCell="I1" sqref="I1"/>
      <selection pane="bottomLeft" activeCell="G14" sqref="G14"/>
    </sheetView>
  </sheetViews>
  <sheetFormatPr baseColWidth="10" defaultRowHeight="11.25" x14ac:dyDescent="0.2"/>
  <cols>
    <col min="1" max="1" width="4.28515625" style="460" customWidth="1"/>
    <col min="2" max="2" width="2.7109375" style="327" customWidth="1"/>
    <col min="3" max="3" width="3.85546875" style="327" customWidth="1"/>
    <col min="4" max="4" width="10.7109375" style="327" customWidth="1"/>
    <col min="5" max="5" width="7" style="327" customWidth="1"/>
    <col min="6" max="6" width="16.28515625" style="327" customWidth="1"/>
    <col min="7" max="7" width="18" style="327" customWidth="1"/>
    <col min="8" max="8" width="12.85546875" style="327" customWidth="1"/>
    <col min="9" max="10" width="17.42578125" style="327" customWidth="1"/>
    <col min="11" max="12" width="16.140625" style="327" customWidth="1"/>
    <col min="13" max="13" width="11.7109375" style="327" customWidth="1"/>
    <col min="14" max="14" width="13.85546875" style="327" customWidth="1"/>
    <col min="15" max="18" width="11.42578125" style="327" customWidth="1"/>
    <col min="19" max="19" width="4.28515625" style="460" customWidth="1"/>
    <col min="20" max="20" width="11.42578125" style="327"/>
    <col min="21" max="21" width="14.42578125" style="327" customWidth="1"/>
    <col min="22" max="22" width="11.42578125" style="327"/>
    <col min="23" max="23" width="14.28515625" style="327" customWidth="1"/>
    <col min="24" max="24" width="11.42578125" style="327" customWidth="1"/>
    <col min="25" max="29" width="11.42578125" style="327"/>
    <col min="30" max="30" width="14" style="327" customWidth="1"/>
    <col min="31" max="16384" width="11.42578125" style="327"/>
  </cols>
  <sheetData>
    <row r="1" spans="1:26" ht="24.95" customHeight="1" x14ac:dyDescent="0.2">
      <c r="A1" s="459"/>
      <c r="B1" s="1609" t="str">
        <f>"Eingabe: Finanzierungs- und Folgekosten - Variante: "&amp;'1. Projektangaben'!C27&amp;" "&amp;LISTEN!E38&amp;""</f>
        <v xml:space="preserve">Eingabe: Finanzierungs- und Folgekosten - Variante: PH-WDVS-WP-WRG-mittl.Sol-mit PV </v>
      </c>
      <c r="C1" s="1609"/>
      <c r="D1" s="1609"/>
      <c r="E1" s="1609"/>
      <c r="F1" s="1609"/>
      <c r="G1" s="1609"/>
      <c r="H1" s="1609"/>
      <c r="I1" s="1609"/>
      <c r="J1" s="1609"/>
      <c r="K1" s="1609"/>
      <c r="L1" s="1609"/>
      <c r="M1" s="1609"/>
      <c r="N1" s="1609"/>
      <c r="O1" s="1609"/>
      <c r="P1" s="1609"/>
      <c r="Q1" s="1609"/>
      <c r="R1" s="1609"/>
      <c r="S1" s="459"/>
      <c r="T1" s="571"/>
    </row>
    <row r="2" spans="1:26" ht="50.1" customHeight="1" x14ac:dyDescent="0.2">
      <c r="A2" s="440"/>
      <c r="B2" s="1164"/>
      <c r="C2" s="1165"/>
      <c r="D2" s="1165"/>
      <c r="E2" s="1165"/>
      <c r="F2" s="1165"/>
      <c r="G2" s="1165"/>
      <c r="H2" s="1165"/>
      <c r="I2" s="1165"/>
      <c r="J2" s="1165"/>
      <c r="K2" s="1165"/>
      <c r="L2" s="1165"/>
      <c r="M2" s="1165"/>
      <c r="N2" s="1165"/>
      <c r="O2" s="1165"/>
      <c r="P2" s="1165"/>
      <c r="Q2" s="1165"/>
      <c r="R2" s="1165"/>
      <c r="S2" s="440"/>
    </row>
    <row r="3" spans="1:26" ht="12.95" customHeight="1" x14ac:dyDescent="0.2">
      <c r="A3" s="440"/>
      <c r="B3" s="759" t="s">
        <v>108</v>
      </c>
      <c r="C3" s="628"/>
      <c r="D3" s="628"/>
      <c r="E3" s="628"/>
      <c r="F3" s="628"/>
      <c r="G3" s="628"/>
      <c r="H3" s="628"/>
      <c r="I3" s="628"/>
      <c r="J3" s="628"/>
      <c r="K3" s="628"/>
      <c r="L3" s="610"/>
      <c r="M3" s="628"/>
      <c r="N3" s="628"/>
      <c r="O3" s="610"/>
      <c r="P3" s="610"/>
      <c r="Q3" s="610"/>
      <c r="R3" s="610"/>
      <c r="S3" s="440"/>
      <c r="T3" s="571"/>
    </row>
    <row r="4" spans="1:26" ht="12.95" customHeight="1" x14ac:dyDescent="0.2">
      <c r="A4" s="440"/>
      <c r="B4" s="610"/>
      <c r="C4" s="610"/>
      <c r="D4" s="610"/>
      <c r="E4" s="437" t="str">
        <f>'1. Projektangaben'!$B$4</f>
        <v>Bauvorhaben</v>
      </c>
      <c r="F4" s="404" t="str">
        <f>IF('1. Projektangaben'!$C$4="","",'1. Projektangaben'!$C$4)</f>
        <v>KliNaWo</v>
      </c>
      <c r="G4" s="406"/>
      <c r="H4" s="1403" t="str">
        <f>'1. Projektangaben'!$H$4</f>
        <v>Architekt</v>
      </c>
      <c r="I4" s="404" t="str">
        <f>IF('1. Projektangaben'!$I$4="","",'1. Projektangaben'!$I$4)</f>
        <v>Walser und Werle Architekten</v>
      </c>
      <c r="J4" s="447"/>
      <c r="K4" s="1404"/>
      <c r="L4" s="1404"/>
      <c r="M4" s="572"/>
      <c r="N4" s="610"/>
      <c r="O4" s="610"/>
      <c r="P4" s="610"/>
      <c r="Q4" s="610"/>
      <c r="R4" s="610"/>
      <c r="S4" s="440"/>
      <c r="T4" s="458"/>
      <c r="W4" s="573"/>
      <c r="X4" s="574"/>
      <c r="Y4" s="569"/>
      <c r="Z4" s="571"/>
    </row>
    <row r="5" spans="1:26" ht="12.95" customHeight="1" x14ac:dyDescent="0.2">
      <c r="A5" s="440"/>
      <c r="B5" s="610"/>
      <c r="C5" s="610"/>
      <c r="D5" s="610"/>
      <c r="E5" s="437" t="str">
        <f>'1. Projektangaben'!$B$5</f>
        <v>Bauherr</v>
      </c>
      <c r="F5" s="404" t="str">
        <f>IF('1. Projektangaben'!$C$5="","",'1. Projektangaben'!$C$5)</f>
        <v>privater Bauträger</v>
      </c>
      <c r="G5" s="443"/>
      <c r="H5" s="1403" t="str">
        <f>'1. Projektangaben'!$H$5</f>
        <v>Baujahr</v>
      </c>
      <c r="I5" s="1402">
        <f>IF('1. Projektangaben'!$I$5="","",'1. Projektangaben'!$I$5)</f>
        <v>2017</v>
      </c>
      <c r="J5" s="1404"/>
      <c r="K5" s="1404"/>
      <c r="L5" s="1404"/>
      <c r="M5" s="628"/>
      <c r="N5" s="610"/>
      <c r="O5" s="610"/>
      <c r="P5" s="610"/>
      <c r="Q5" s="610"/>
      <c r="R5" s="610"/>
      <c r="S5" s="440"/>
      <c r="T5" s="458"/>
      <c r="W5" s="573"/>
      <c r="X5" s="574"/>
      <c r="Y5" s="569"/>
      <c r="Z5" s="571"/>
    </row>
    <row r="6" spans="1:26" ht="12.95" customHeight="1" x14ac:dyDescent="0.2">
      <c r="A6" s="440"/>
      <c r="B6" s="610"/>
      <c r="C6" s="610"/>
      <c r="D6" s="610"/>
      <c r="E6" s="437" t="str">
        <f>'1. Projektangaben'!$B$6</f>
        <v>Adresse, Ort</v>
      </c>
      <c r="F6" s="404" t="str">
        <f>IF('1. Projektangaben'!$C$6="","",'1. Projektangaben'!$C$6)</f>
        <v>Siedlungsstrasse, Feldkirch</v>
      </c>
      <c r="G6" s="443"/>
      <c r="H6" s="1403" t="str">
        <f>'1. Projektangaben'!$H$6</f>
        <v>Personen</v>
      </c>
      <c r="I6" s="1402">
        <f>IF('1. Projektangaben'!$I$6="","",'1. Projektangaben'!$I$6)</f>
        <v>54</v>
      </c>
      <c r="J6" s="1404"/>
      <c r="K6" s="1404"/>
      <c r="L6" s="1404"/>
      <c r="M6" s="328"/>
      <c r="N6" s="610"/>
      <c r="O6" s="610"/>
      <c r="P6" s="610"/>
      <c r="Q6" s="610"/>
      <c r="R6" s="610"/>
      <c r="S6" s="440"/>
      <c r="T6" s="458"/>
      <c r="W6" s="573"/>
      <c r="X6" s="574"/>
      <c r="Y6" s="571"/>
      <c r="Z6" s="571"/>
    </row>
    <row r="7" spans="1:26" ht="12.95" customHeight="1" x14ac:dyDescent="0.2">
      <c r="A7" s="440"/>
      <c r="B7" s="610"/>
      <c r="C7" s="610"/>
      <c r="D7" s="610"/>
      <c r="E7" s="437" t="str">
        <f>'1. Projektangaben'!B7</f>
        <v>Gebäudetyp</v>
      </c>
      <c r="F7" s="1409" t="str">
        <f>IF('1. Projektangaben'!$C$7="","",'1. Projektangaben'!$C$7)</f>
        <v>Mehrfamilienhaus</v>
      </c>
      <c r="G7" s="1216" t="str">
        <f>'1. Projektangaben'!$E$7</f>
        <v>18+1 WE</v>
      </c>
      <c r="H7" s="1403" t="str">
        <f>'1. Projektangaben'!$H$7</f>
        <v>Anmerkung</v>
      </c>
      <c r="I7" s="404" t="str">
        <f>IF('1. Projektangaben'!$I$7="","",'1. Projektangaben'!$I$7)</f>
        <v>Beispiele verschiedener Varianten</v>
      </c>
      <c r="J7" s="447"/>
      <c r="K7" s="1404"/>
      <c r="L7" s="1404"/>
      <c r="M7" s="572"/>
      <c r="N7" s="610"/>
      <c r="O7" s="610"/>
      <c r="P7" s="610"/>
      <c r="Q7" s="610"/>
      <c r="R7" s="610"/>
      <c r="S7" s="440"/>
      <c r="T7" s="458"/>
      <c r="W7" s="458"/>
      <c r="X7" s="458"/>
      <c r="Y7" s="458"/>
      <c r="Z7" s="458"/>
    </row>
    <row r="8" spans="1:26" ht="12.95" customHeight="1" x14ac:dyDescent="0.2">
      <c r="A8" s="440"/>
      <c r="B8" s="446"/>
      <c r="C8" s="610"/>
      <c r="D8" s="610"/>
      <c r="E8" s="437" t="s">
        <v>111</v>
      </c>
      <c r="F8" s="469" t="str">
        <f>'1. Projektangaben'!E26</f>
        <v>PHWRGSo</v>
      </c>
      <c r="G8" s="470"/>
      <c r="H8" s="1403" t="str">
        <f>'1. Projektangaben'!G22</f>
        <v>EBF</v>
      </c>
      <c r="I8" s="1402">
        <f>'1. Projektangaben'!G23</f>
        <v>1410.2</v>
      </c>
      <c r="J8" s="1404" t="s">
        <v>67</v>
      </c>
      <c r="K8" s="1404"/>
      <c r="L8" s="1404"/>
      <c r="M8" s="628"/>
      <c r="N8" s="610"/>
      <c r="O8" s="610"/>
      <c r="P8" s="610"/>
      <c r="Q8" s="610"/>
      <c r="R8" s="610"/>
      <c r="S8" s="440"/>
      <c r="T8" s="458"/>
    </row>
    <row r="9" spans="1:26" ht="12.95" customHeight="1" x14ac:dyDescent="0.2">
      <c r="A9" s="440"/>
      <c r="B9" s="628"/>
      <c r="C9" s="628"/>
      <c r="D9" s="628"/>
      <c r="E9" s="628"/>
      <c r="F9" s="628"/>
      <c r="G9" s="628"/>
      <c r="H9" s="628"/>
      <c r="I9" s="628"/>
      <c r="J9" s="628"/>
      <c r="K9" s="628"/>
      <c r="L9" s="628"/>
      <c r="M9" s="628"/>
      <c r="N9" s="628"/>
      <c r="O9" s="610"/>
      <c r="P9" s="610"/>
      <c r="Q9" s="610"/>
      <c r="R9" s="610"/>
      <c r="S9" s="440"/>
      <c r="T9" s="458"/>
    </row>
    <row r="10" spans="1:26" ht="39.950000000000003" customHeight="1" x14ac:dyDescent="0.2">
      <c r="A10" s="440"/>
      <c r="B10" s="1164"/>
      <c r="C10" s="1165"/>
      <c r="D10" s="1165"/>
      <c r="E10" s="1165"/>
      <c r="F10" s="1165"/>
      <c r="G10" s="1165"/>
      <c r="H10" s="1165"/>
      <c r="I10" s="1165"/>
      <c r="J10" s="1165"/>
      <c r="K10" s="1165"/>
      <c r="L10" s="1165"/>
      <c r="M10" s="1165"/>
      <c r="N10" s="1165"/>
      <c r="O10" s="1165"/>
      <c r="P10" s="1165"/>
      <c r="Q10" s="1165"/>
      <c r="R10" s="1165"/>
      <c r="S10" s="440"/>
    </row>
    <row r="11" spans="1:26" ht="12.95" customHeight="1" x14ac:dyDescent="0.2">
      <c r="A11" s="440"/>
      <c r="B11" s="577"/>
      <c r="C11" s="578"/>
      <c r="D11" s="578"/>
      <c r="E11" s="579"/>
      <c r="F11" s="579"/>
      <c r="G11" s="579"/>
      <c r="H11" s="579"/>
      <c r="I11" s="578"/>
      <c r="J11" s="578"/>
      <c r="K11" s="578"/>
      <c r="L11" s="578"/>
      <c r="M11" s="578"/>
      <c r="N11" s="578"/>
      <c r="O11" s="1151"/>
      <c r="P11" s="1151"/>
      <c r="Q11" s="1151"/>
      <c r="R11" s="1151"/>
      <c r="S11" s="440"/>
    </row>
    <row r="12" spans="1:26" ht="18" customHeight="1" thickBot="1" x14ac:dyDescent="0.25">
      <c r="A12" s="440"/>
      <c r="B12" s="577"/>
      <c r="C12" s="1151"/>
      <c r="D12" s="1151"/>
      <c r="E12" s="579"/>
      <c r="F12" s="579"/>
      <c r="G12" s="328" t="s">
        <v>65</v>
      </c>
      <c r="H12" s="1151"/>
      <c r="I12" s="1151"/>
      <c r="J12" s="1151"/>
      <c r="K12" s="1151"/>
      <c r="L12" s="1151"/>
      <c r="M12" s="578"/>
      <c r="N12" s="1151"/>
      <c r="O12" s="1151"/>
      <c r="P12" s="1151"/>
      <c r="Q12" s="1151"/>
      <c r="R12" s="1151"/>
      <c r="S12" s="440"/>
    </row>
    <row r="13" spans="1:26" ht="18" customHeight="1" thickBot="1" x14ac:dyDescent="0.25">
      <c r="A13" s="440"/>
      <c r="B13" s="577"/>
      <c r="C13" s="1151"/>
      <c r="D13" s="1151"/>
      <c r="E13" s="1151"/>
      <c r="F13" s="580" t="s">
        <v>193</v>
      </c>
      <c r="G13" s="581">
        <f ca="1">SUM(BERECHNUNG!O896:O1002)</f>
        <v>4210862.4959999993</v>
      </c>
      <c r="H13" s="1150"/>
      <c r="I13" s="1150"/>
      <c r="J13" s="1150"/>
      <c r="K13" s="1150"/>
      <c r="L13" s="1150"/>
      <c r="M13" s="1406" t="s">
        <v>400</v>
      </c>
      <c r="N13" s="1407"/>
      <c r="O13" s="1407"/>
      <c r="P13" s="1408"/>
      <c r="Q13" s="1151"/>
      <c r="R13" s="1151"/>
      <c r="S13" s="440"/>
    </row>
    <row r="14" spans="1:26" ht="18" customHeight="1" x14ac:dyDescent="0.2">
      <c r="A14" s="440"/>
      <c r="B14" s="577"/>
      <c r="C14" s="1151"/>
      <c r="D14" s="1151"/>
      <c r="E14" s="1150"/>
      <c r="F14" s="582" t="str">
        <f>"- Einmalzuschuss"</f>
        <v>- Einmalzuschuss</v>
      </c>
      <c r="G14" s="346">
        <f>43250+1375</f>
        <v>44625</v>
      </c>
      <c r="H14" s="1150"/>
      <c r="I14" s="1143" t="s">
        <v>439</v>
      </c>
      <c r="J14" s="1143" t="s">
        <v>440</v>
      </c>
      <c r="K14" s="1150"/>
      <c r="L14" s="1150"/>
      <c r="M14" s="1412"/>
      <c r="N14" s="1413"/>
      <c r="O14" s="1422"/>
      <c r="P14" s="1423"/>
      <c r="Q14" s="1151"/>
      <c r="R14" s="1151"/>
      <c r="S14" s="440"/>
    </row>
    <row r="15" spans="1:26" ht="18" customHeight="1" thickBot="1" x14ac:dyDescent="0.25">
      <c r="A15" s="440"/>
      <c r="B15" s="577"/>
      <c r="C15" s="1151"/>
      <c r="D15" s="1151"/>
      <c r="E15" s="583"/>
      <c r="F15" s="584" t="str">
        <f>"- Summe Jährlicher Zuschüsse"</f>
        <v>- Summe Jährlicher Zuschüsse</v>
      </c>
      <c r="G15" s="457">
        <f>I15*J15</f>
        <v>0</v>
      </c>
      <c r="H15" s="585"/>
      <c r="I15" s="347"/>
      <c r="J15" s="348"/>
      <c r="K15" s="1150"/>
      <c r="L15" s="1150"/>
      <c r="M15" s="1415"/>
      <c r="N15" s="1416"/>
      <c r="O15" s="1417"/>
      <c r="P15" s="1424"/>
      <c r="Q15" s="1151"/>
      <c r="R15" s="1151"/>
      <c r="S15" s="440"/>
    </row>
    <row r="16" spans="1:26" ht="18" customHeight="1" x14ac:dyDescent="0.2">
      <c r="A16" s="440"/>
      <c r="B16" s="577"/>
      <c r="C16" s="1151"/>
      <c r="D16" s="1151"/>
      <c r="E16" s="1150"/>
      <c r="F16" s="582" t="str">
        <f>"= Gesamtkosten nach  Abzug Zuschüsse"</f>
        <v>= Gesamtkosten nach  Abzug Zuschüsse</v>
      </c>
      <c r="G16" s="586">
        <f ca="1">G13-G14-G15</f>
        <v>4166237.4959999993</v>
      </c>
      <c r="H16" s="1143" t="s">
        <v>195</v>
      </c>
      <c r="I16" s="1431" t="s">
        <v>849</v>
      </c>
      <c r="J16" s="587"/>
      <c r="K16" s="1150"/>
      <c r="L16" s="1150"/>
      <c r="M16" s="1418"/>
      <c r="N16" s="1414"/>
      <c r="O16" s="1417"/>
      <c r="P16" s="1424"/>
      <c r="Q16" s="1151"/>
      <c r="R16" s="1151"/>
      <c r="S16" s="440"/>
    </row>
    <row r="17" spans="1:19" ht="18" customHeight="1" thickBot="1" x14ac:dyDescent="0.25">
      <c r="A17" s="440"/>
      <c r="B17" s="577"/>
      <c r="C17" s="1151"/>
      <c r="D17" s="1151"/>
      <c r="E17" s="583"/>
      <c r="F17" s="584" t="str">
        <f>"- Eigenkapitaleinsatz"</f>
        <v>- Eigenkapitaleinsatz</v>
      </c>
      <c r="G17" s="1427">
        <f>IF(I17="",'1. Projektangaben'!$O$12,I17)</f>
        <v>1114633.632</v>
      </c>
      <c r="H17" s="588">
        <f ca="1">IF(G13=0,0,G17/G16)</f>
        <v>0.26753962851857549</v>
      </c>
      <c r="I17" s="1434"/>
      <c r="J17" s="589"/>
      <c r="K17" s="1150"/>
      <c r="L17" s="1150"/>
      <c r="M17" s="1418"/>
      <c r="N17" s="1414"/>
      <c r="O17" s="1417"/>
      <c r="P17" s="1424"/>
      <c r="Q17" s="1151"/>
      <c r="R17" s="1151"/>
      <c r="S17" s="440"/>
    </row>
    <row r="18" spans="1:19" ht="18" customHeight="1" thickBot="1" x14ac:dyDescent="0.25">
      <c r="A18" s="440"/>
      <c r="B18" s="577"/>
      <c r="C18" s="1151"/>
      <c r="D18" s="1151"/>
      <c r="E18" s="590"/>
      <c r="F18" s="591" t="str">
        <f>"= Fremdkapitaleinsatz"</f>
        <v>= Fremdkapitaleinsatz</v>
      </c>
      <c r="G18" s="592">
        <f ca="1">G16-G17</f>
        <v>3051603.8639999991</v>
      </c>
      <c r="H18" s="593">
        <f ca="1">1-H17</f>
        <v>0.73246037148142451</v>
      </c>
      <c r="I18" s="1150"/>
      <c r="J18" s="1150"/>
      <c r="K18" s="1150"/>
      <c r="L18" s="1150"/>
      <c r="M18" s="1418"/>
      <c r="N18" s="1414" t="s">
        <v>871</v>
      </c>
      <c r="O18" s="1417"/>
      <c r="P18" s="1424"/>
      <c r="Q18" s="1151"/>
      <c r="R18" s="1151"/>
      <c r="S18" s="440"/>
    </row>
    <row r="19" spans="1:19" ht="18" customHeight="1" thickTop="1" x14ac:dyDescent="0.2">
      <c r="A19" s="440"/>
      <c r="B19" s="577"/>
      <c r="C19" s="1151"/>
      <c r="D19" s="1151"/>
      <c r="E19" s="1150"/>
      <c r="F19" s="594" t="s">
        <v>112</v>
      </c>
      <c r="G19" s="1429">
        <f>N19</f>
        <v>1897302</v>
      </c>
      <c r="H19" s="595">
        <f ca="1">IF(G16=0,0,G19/G16)</f>
        <v>0.45539938657400059</v>
      </c>
      <c r="I19" s="1150"/>
      <c r="J19" s="1150"/>
      <c r="K19" s="1150"/>
      <c r="L19" s="1150"/>
      <c r="M19" s="1419"/>
      <c r="N19" s="1414">
        <f>1335*'1. Projektangaben'!G27</f>
        <v>1897302</v>
      </c>
      <c r="O19" s="1417"/>
      <c r="P19" s="1424"/>
      <c r="Q19" s="1151"/>
      <c r="R19" s="1151"/>
      <c r="S19" s="440"/>
    </row>
    <row r="20" spans="1:19" ht="18" customHeight="1" x14ac:dyDescent="0.2">
      <c r="A20" s="440"/>
      <c r="B20" s="577"/>
      <c r="C20" s="578"/>
      <c r="D20" s="578"/>
      <c r="E20" s="579"/>
      <c r="F20" s="596" t="s">
        <v>191</v>
      </c>
      <c r="G20" s="1428">
        <f ca="1">G18-G19</f>
        <v>1154301.8639999991</v>
      </c>
      <c r="H20" s="597">
        <f ca="1">IFERROR(IF(G16=0,0,G20/G18),0)</f>
        <v>0.3782607164767961</v>
      </c>
      <c r="I20" s="1150"/>
      <c r="J20" s="1150"/>
      <c r="K20" s="1150"/>
      <c r="L20" s="1150"/>
      <c r="M20" s="1420"/>
      <c r="N20" s="1421"/>
      <c r="O20" s="1417"/>
      <c r="P20" s="1424"/>
      <c r="Q20" s="1151"/>
      <c r="R20" s="1151"/>
      <c r="S20" s="440"/>
    </row>
    <row r="21" spans="1:19" ht="18" customHeight="1" x14ac:dyDescent="0.2">
      <c r="A21" s="440"/>
      <c r="B21" s="577"/>
      <c r="C21" s="578"/>
      <c r="D21" s="1181" t="s">
        <v>793</v>
      </c>
      <c r="E21" s="578"/>
      <c r="F21" s="578"/>
      <c r="G21" s="1150"/>
      <c r="H21" s="598"/>
      <c r="I21" s="589"/>
      <c r="J21" s="589"/>
      <c r="K21" s="1150"/>
      <c r="L21" s="1150"/>
      <c r="M21" s="1418"/>
      <c r="N21" s="1414"/>
      <c r="O21" s="1417"/>
      <c r="P21" s="1424"/>
      <c r="Q21" s="1151"/>
      <c r="R21" s="1151"/>
      <c r="S21" s="440"/>
    </row>
    <row r="22" spans="1:19" ht="18" customHeight="1" x14ac:dyDescent="0.25">
      <c r="A22" s="483"/>
      <c r="B22" s="577"/>
      <c r="C22" s="599"/>
      <c r="D22" s="1432" t="s">
        <v>191</v>
      </c>
      <c r="E22" s="600"/>
      <c r="F22" s="1147" t="s">
        <v>202</v>
      </c>
      <c r="G22" s="1147" t="s">
        <v>113</v>
      </c>
      <c r="H22" s="1147" t="s">
        <v>115</v>
      </c>
      <c r="I22" s="1147" t="s">
        <v>114</v>
      </c>
      <c r="J22" s="1147"/>
      <c r="K22" s="1150"/>
      <c r="L22" s="1150"/>
      <c r="M22" s="1418"/>
      <c r="N22" s="1414"/>
      <c r="O22" s="1417"/>
      <c r="P22" s="1424"/>
      <c r="Q22" s="1151"/>
      <c r="R22" s="1151"/>
      <c r="S22" s="483"/>
    </row>
    <row r="23" spans="1:19" ht="18" customHeight="1" thickBot="1" x14ac:dyDescent="0.25">
      <c r="A23" s="440"/>
      <c r="B23" s="577"/>
      <c r="C23" s="599"/>
      <c r="D23" s="578"/>
      <c r="E23" s="599"/>
      <c r="F23" s="328" t="s">
        <v>65</v>
      </c>
      <c r="G23" s="328" t="s">
        <v>66</v>
      </c>
      <c r="H23" s="328" t="s">
        <v>204</v>
      </c>
      <c r="I23" s="328" t="s">
        <v>93</v>
      </c>
      <c r="J23" s="328"/>
      <c r="K23" s="1150"/>
      <c r="L23" s="1150"/>
      <c r="M23" s="1410"/>
      <c r="N23" s="1411"/>
      <c r="O23" s="314"/>
      <c r="P23" s="1425"/>
      <c r="Q23" s="1151"/>
      <c r="R23" s="1151"/>
      <c r="S23" s="440"/>
    </row>
    <row r="24" spans="1:19" ht="18" customHeight="1" x14ac:dyDescent="0.2">
      <c r="A24" s="440"/>
      <c r="B24" s="577"/>
      <c r="C24" s="599"/>
      <c r="D24" s="599" t="s">
        <v>468</v>
      </c>
      <c r="E24" s="599"/>
      <c r="F24" s="602"/>
      <c r="G24" s="313"/>
      <c r="H24" s="217"/>
      <c r="I24" s="602"/>
      <c r="J24" s="602"/>
      <c r="K24" s="1150"/>
      <c r="L24" s="1150"/>
      <c r="M24" s="578"/>
      <c r="N24" s="578"/>
      <c r="O24" s="1151"/>
      <c r="P24" s="1151"/>
      <c r="Q24" s="1151"/>
      <c r="R24" s="1151"/>
      <c r="S24" s="440"/>
    </row>
    <row r="25" spans="1:19" ht="18" customHeight="1" x14ac:dyDescent="0.2">
      <c r="A25" s="440"/>
      <c r="B25" s="577"/>
      <c r="C25" s="599"/>
      <c r="D25" s="599" t="s">
        <v>469</v>
      </c>
      <c r="E25" s="599"/>
      <c r="F25" s="1430">
        <f ca="1">G20</f>
        <v>1154301.8639999991</v>
      </c>
      <c r="G25" s="601">
        <f ca="1">IF(F25=0,"",IF(ISNUMBER(G24),G24,'1. Projektangaben'!$F$12))</f>
        <v>35</v>
      </c>
      <c r="H25" s="642">
        <f ca="1">IF(F25=0,"",IF(ISNUMBER(H24),H24,'1. Projektangaben'!$F$14))</f>
        <v>0.02</v>
      </c>
      <c r="I25" s="601">
        <f ca="1">IFERROR(PMT(H25,G25,F25,,0)*-1,"")</f>
        <v>46174.624633000763</v>
      </c>
      <c r="J25" s="602"/>
      <c r="K25" s="1150"/>
      <c r="L25" s="1150"/>
      <c r="M25" s="578"/>
      <c r="N25" s="578"/>
      <c r="O25" s="1151"/>
      <c r="P25" s="1151"/>
      <c r="Q25" s="1151"/>
      <c r="R25" s="1151"/>
      <c r="S25" s="440"/>
    </row>
    <row r="26" spans="1:19" ht="12.95" customHeight="1" x14ac:dyDescent="0.2">
      <c r="A26" s="440"/>
      <c r="B26" s="577"/>
      <c r="C26" s="582"/>
      <c r="D26" s="582"/>
      <c r="E26" s="455"/>
      <c r="F26" s="603" t="str">
        <f>IF(G24&gt;'1. Projektangaben'!F12,"Achtung, Kreditlaufzeit ist länger als Betrachtungszeitraum!","")</f>
        <v/>
      </c>
      <c r="G26" s="1150"/>
      <c r="H26" s="1150"/>
      <c r="I26" s="1150"/>
      <c r="J26" s="1150"/>
      <c r="K26" s="1151"/>
      <c r="L26" s="1151"/>
      <c r="M26" s="1151"/>
      <c r="N26" s="1151"/>
      <c r="O26" s="1151"/>
      <c r="P26" s="1151"/>
      <c r="Q26" s="1151"/>
      <c r="R26" s="1151"/>
      <c r="S26" s="440"/>
    </row>
    <row r="27" spans="1:19" ht="12.95" customHeight="1" x14ac:dyDescent="0.2">
      <c r="A27" s="440"/>
      <c r="B27" s="577"/>
      <c r="C27" s="582"/>
      <c r="D27" s="1432" t="s">
        <v>207</v>
      </c>
      <c r="E27" s="1141"/>
      <c r="F27" s="605"/>
      <c r="G27" s="605"/>
      <c r="H27" s="605"/>
      <c r="I27" s="605"/>
      <c r="J27" s="605"/>
      <c r="K27" s="1151"/>
      <c r="L27" s="1151"/>
      <c r="M27" s="1151"/>
      <c r="N27" s="1151"/>
      <c r="O27" s="1151"/>
      <c r="P27" s="1151"/>
      <c r="Q27" s="1151"/>
      <c r="R27" s="1151"/>
      <c r="S27" s="440"/>
    </row>
    <row r="28" spans="1:19" ht="12.95" customHeight="1" x14ac:dyDescent="0.2">
      <c r="A28" s="440"/>
      <c r="B28" s="577"/>
      <c r="C28" s="582"/>
      <c r="D28" s="1433" t="s">
        <v>206</v>
      </c>
      <c r="E28" s="455"/>
      <c r="F28" s="1143" t="s">
        <v>203</v>
      </c>
      <c r="G28" s="1150"/>
      <c r="H28" s="449" t="s">
        <v>372</v>
      </c>
      <c r="I28" s="1150"/>
      <c r="J28" s="1150"/>
      <c r="K28" s="1151"/>
      <c r="L28" s="1151"/>
      <c r="M28" s="1151"/>
      <c r="N28" s="1151"/>
      <c r="O28" s="1151"/>
      <c r="P28" s="1151"/>
      <c r="Q28" s="1151"/>
      <c r="R28" s="1151"/>
      <c r="S28" s="440"/>
    </row>
    <row r="29" spans="1:19" ht="12.95" customHeight="1" x14ac:dyDescent="0.2">
      <c r="A29" s="440"/>
      <c r="B29" s="577"/>
      <c r="C29" s="582"/>
      <c r="D29" s="1151"/>
      <c r="E29" s="455"/>
      <c r="F29" s="313">
        <v>35</v>
      </c>
      <c r="G29" s="1150" t="s">
        <v>161</v>
      </c>
      <c r="H29" s="313">
        <v>12</v>
      </c>
      <c r="I29" s="1150" t="s">
        <v>371</v>
      </c>
      <c r="J29" s="1151"/>
      <c r="K29" s="1151"/>
      <c r="L29" s="1151"/>
      <c r="M29" s="1151"/>
      <c r="N29" s="1151"/>
      <c r="O29" s="1151"/>
      <c r="P29" s="1151"/>
      <c r="Q29" s="1151"/>
      <c r="R29" s="1151"/>
      <c r="S29" s="440"/>
    </row>
    <row r="30" spans="1:19" ht="12.95" customHeight="1" x14ac:dyDescent="0.2">
      <c r="A30" s="440"/>
      <c r="B30" s="577"/>
      <c r="C30" s="582"/>
      <c r="D30" s="603" t="str">
        <f>IF(F29&gt;'1. Projektangaben'!F12,"Achtung, Kreditlaufzeit ist länger als Betrachtungszeitraum!","")</f>
        <v/>
      </c>
      <c r="E30" s="1151"/>
      <c r="F30" s="1150"/>
      <c r="G30" s="1150"/>
      <c r="H30" s="1150"/>
      <c r="I30" s="1150"/>
      <c r="J30" s="1150"/>
      <c r="K30" s="1151"/>
      <c r="L30" s="1151"/>
      <c r="M30" s="1151"/>
      <c r="N30" s="1151"/>
      <c r="O30" s="1151"/>
      <c r="P30" s="1151"/>
      <c r="Q30" s="1151"/>
      <c r="R30" s="1151"/>
      <c r="S30" s="440"/>
    </row>
    <row r="31" spans="1:19" ht="12.95" customHeight="1" x14ac:dyDescent="0.2">
      <c r="A31" s="440"/>
      <c r="B31" s="577"/>
      <c r="C31" s="582"/>
      <c r="D31" s="603"/>
      <c r="E31" s="1151"/>
      <c r="F31" s="1150"/>
      <c r="G31" s="1150"/>
      <c r="H31" s="1150"/>
      <c r="I31" s="1150"/>
      <c r="J31" s="1150"/>
      <c r="K31" s="1151"/>
      <c r="L31" s="1151"/>
      <c r="M31" s="1151"/>
      <c r="N31" s="1151"/>
      <c r="O31" s="1151"/>
      <c r="P31" s="1151"/>
      <c r="Q31" s="1151"/>
      <c r="R31" s="1151"/>
      <c r="S31" s="440"/>
    </row>
    <row r="32" spans="1:19" ht="12.95" customHeight="1" x14ac:dyDescent="0.2">
      <c r="A32" s="440"/>
      <c r="B32" s="577"/>
      <c r="C32" s="579"/>
      <c r="D32" s="942" t="s">
        <v>351</v>
      </c>
      <c r="E32" s="1143"/>
      <c r="F32" s="1143"/>
      <c r="G32" s="1143"/>
      <c r="H32" s="1143" t="s">
        <v>113</v>
      </c>
      <c r="I32" s="1143" t="s">
        <v>245</v>
      </c>
      <c r="J32" s="1143" t="s">
        <v>114</v>
      </c>
      <c r="K32" s="1151"/>
      <c r="L32" s="1151"/>
      <c r="M32" s="1151"/>
      <c r="N32" s="1151"/>
      <c r="O32" s="1151"/>
      <c r="P32" s="1151"/>
      <c r="Q32" s="1151"/>
      <c r="R32" s="1151"/>
      <c r="S32" s="440"/>
    </row>
    <row r="33" spans="1:29" ht="12.95" customHeight="1" x14ac:dyDescent="0.2">
      <c r="A33" s="440"/>
      <c r="B33" s="577"/>
      <c r="C33" s="578"/>
      <c r="D33" s="328" t="s">
        <v>349</v>
      </c>
      <c r="E33" s="328"/>
      <c r="F33" s="328" t="s">
        <v>350</v>
      </c>
      <c r="G33" s="328"/>
      <c r="H33" s="328" t="s">
        <v>66</v>
      </c>
      <c r="I33" s="328" t="s">
        <v>204</v>
      </c>
      <c r="J33" s="328" t="s">
        <v>93</v>
      </c>
      <c r="K33" s="1151"/>
      <c r="L33" s="1151"/>
      <c r="M33" s="1151"/>
      <c r="N33" s="1151"/>
      <c r="O33" s="1151"/>
      <c r="P33" s="1151"/>
      <c r="Q33" s="1151"/>
      <c r="R33" s="1151"/>
      <c r="S33" s="440"/>
      <c r="AC33" s="606"/>
    </row>
    <row r="34" spans="1:29" ht="12.95" customHeight="1" x14ac:dyDescent="0.2">
      <c r="A34" s="440"/>
      <c r="B34" s="577"/>
      <c r="C34" s="578"/>
      <c r="D34" s="1142">
        <v>1</v>
      </c>
      <c r="E34" s="1142" t="str">
        <f>"-"</f>
        <v>-</v>
      </c>
      <c r="F34" s="313">
        <v>5</v>
      </c>
      <c r="G34" s="603" t="str">
        <f>IF(F34&gt;$F$29,"Achtung! Wert liegt über gesamster Kreditlaufzeit","")</f>
        <v/>
      </c>
      <c r="H34" s="1142">
        <f>IF(OR(D34="",F34=""),"",F34-D34+1)</f>
        <v>5</v>
      </c>
      <c r="I34" s="218">
        <v>1.4999999999999999E-2</v>
      </c>
      <c r="J34" s="607">
        <f>IF(OR($G$19="",$G$19=0,F34=""),"",$G$19*I34+$H$29)</f>
        <v>28471.53</v>
      </c>
      <c r="K34" s="1151"/>
      <c r="L34" s="1151"/>
      <c r="M34" s="1151"/>
      <c r="N34" s="1151"/>
      <c r="O34" s="1151"/>
      <c r="P34" s="1151"/>
      <c r="Q34" s="1151"/>
      <c r="R34" s="1151"/>
      <c r="S34" s="440"/>
    </row>
    <row r="35" spans="1:29" ht="12.95" customHeight="1" x14ac:dyDescent="0.2">
      <c r="A35" s="440"/>
      <c r="B35" s="577"/>
      <c r="C35" s="578"/>
      <c r="D35" s="1142">
        <f>IF(OR(F34="",F34=0,F34=$F$29),"",1+F34)</f>
        <v>6</v>
      </c>
      <c r="E35" s="1142" t="str">
        <f t="shared" ref="E35:E40" si="0">"-"</f>
        <v>-</v>
      </c>
      <c r="F35" s="313">
        <v>10</v>
      </c>
      <c r="G35" s="603" t="str">
        <f>IF(F35&gt;$F$29,"Achtung! Wert liegt über gesamster Kreditlaufzeit","")</f>
        <v/>
      </c>
      <c r="H35" s="1142">
        <f t="shared" ref="H35:H40" si="1">IF(OR(D35="",F35=""),"",F35-D35+1)</f>
        <v>5</v>
      </c>
      <c r="I35" s="218">
        <v>2.5000000000000001E-2</v>
      </c>
      <c r="J35" s="607">
        <f t="shared" ref="J35:J40" si="2">IF(OR($G$19="",$G$19=0,F35=""),"",$G$19*I35+$H$29)</f>
        <v>47444.55</v>
      </c>
      <c r="K35" s="1151"/>
      <c r="L35" s="1151"/>
      <c r="M35" s="1151"/>
      <c r="N35" s="1151"/>
      <c r="O35" s="1151"/>
      <c r="P35" s="1151"/>
      <c r="Q35" s="1151"/>
      <c r="R35" s="1151"/>
      <c r="S35" s="440"/>
    </row>
    <row r="36" spans="1:29" ht="12.95" customHeight="1" x14ac:dyDescent="0.2">
      <c r="A36" s="440"/>
      <c r="B36" s="577"/>
      <c r="C36" s="578"/>
      <c r="D36" s="1142">
        <f>IF(OR(F35="",F35=0,F35=$F$29),"",1+F35)</f>
        <v>11</v>
      </c>
      <c r="E36" s="1142" t="str">
        <f t="shared" si="0"/>
        <v>-</v>
      </c>
      <c r="F36" s="313">
        <v>15</v>
      </c>
      <c r="G36" s="603" t="str">
        <f t="shared" ref="G36:G40" si="3">IF(F36&gt;$F$29,"Achtung! Wert liegt über gesamster Kreditlaufzeit","")</f>
        <v/>
      </c>
      <c r="H36" s="1142">
        <f t="shared" si="1"/>
        <v>5</v>
      </c>
      <c r="I36" s="218">
        <v>3.5000000000000003E-2</v>
      </c>
      <c r="J36" s="607">
        <f t="shared" si="2"/>
        <v>66417.570000000007</v>
      </c>
      <c r="K36" s="1151"/>
      <c r="L36" s="1151"/>
      <c r="M36" s="1151"/>
      <c r="N36" s="1151"/>
      <c r="O36" s="1151"/>
      <c r="P36" s="1151"/>
      <c r="Q36" s="1151"/>
      <c r="R36" s="1151"/>
      <c r="S36" s="440"/>
    </row>
    <row r="37" spans="1:29" ht="12.95" customHeight="1" x14ac:dyDescent="0.2">
      <c r="A37" s="440"/>
      <c r="B37" s="577"/>
      <c r="C37" s="578"/>
      <c r="D37" s="1142">
        <f>IF(OR(F36="",F36=0,F36=$F$29),"",1+F36)</f>
        <v>16</v>
      </c>
      <c r="E37" s="1142" t="str">
        <f t="shared" si="0"/>
        <v>-</v>
      </c>
      <c r="F37" s="313">
        <v>20</v>
      </c>
      <c r="G37" s="603" t="str">
        <f t="shared" si="3"/>
        <v/>
      </c>
      <c r="H37" s="1142">
        <f t="shared" si="1"/>
        <v>5</v>
      </c>
      <c r="I37" s="218">
        <v>4.4999999999999998E-2</v>
      </c>
      <c r="J37" s="607">
        <f t="shared" si="2"/>
        <v>85390.59</v>
      </c>
      <c r="K37" s="1151"/>
      <c r="L37" s="1151"/>
      <c r="M37" s="1151"/>
      <c r="N37" s="1151"/>
      <c r="O37" s="1151"/>
      <c r="P37" s="1151"/>
      <c r="Q37" s="1151"/>
      <c r="R37" s="1151"/>
      <c r="S37" s="440"/>
    </row>
    <row r="38" spans="1:29" ht="12.95" customHeight="1" x14ac:dyDescent="0.2">
      <c r="A38" s="440"/>
      <c r="B38" s="577"/>
      <c r="C38" s="578"/>
      <c r="D38" s="1142">
        <f t="shared" ref="D38:D40" si="4">IF(OR(F37="",F37=0,F37=$F$29),"",1+F37)</f>
        <v>21</v>
      </c>
      <c r="E38" s="1142" t="str">
        <f t="shared" si="0"/>
        <v>-</v>
      </c>
      <c r="F38" s="313">
        <v>25</v>
      </c>
      <c r="G38" s="603" t="str">
        <f t="shared" si="3"/>
        <v/>
      </c>
      <c r="H38" s="1142">
        <f t="shared" si="1"/>
        <v>5</v>
      </c>
      <c r="I38" s="218">
        <v>5.5E-2</v>
      </c>
      <c r="J38" s="607">
        <f t="shared" si="2"/>
        <v>104363.61</v>
      </c>
      <c r="K38" s="1151"/>
      <c r="L38" s="1151"/>
      <c r="M38" s="1151"/>
      <c r="N38" s="1151"/>
      <c r="O38" s="1151"/>
      <c r="P38" s="1151"/>
      <c r="Q38" s="1151"/>
      <c r="R38" s="1151"/>
      <c r="S38" s="440"/>
    </row>
    <row r="39" spans="1:29" ht="12.95" customHeight="1" x14ac:dyDescent="0.2">
      <c r="A39" s="440"/>
      <c r="B39" s="577"/>
      <c r="C39" s="578"/>
      <c r="D39" s="1142">
        <f t="shared" si="4"/>
        <v>26</v>
      </c>
      <c r="E39" s="1142" t="str">
        <f t="shared" si="0"/>
        <v>-</v>
      </c>
      <c r="F39" s="313">
        <v>30</v>
      </c>
      <c r="G39" s="603" t="str">
        <f t="shared" si="3"/>
        <v/>
      </c>
      <c r="H39" s="1142">
        <f t="shared" si="1"/>
        <v>5</v>
      </c>
      <c r="I39" s="218">
        <v>0.06</v>
      </c>
      <c r="J39" s="607">
        <f t="shared" si="2"/>
        <v>113850.12</v>
      </c>
      <c r="K39" s="1151"/>
      <c r="L39" s="1151"/>
      <c r="M39" s="1151"/>
      <c r="N39" s="1151"/>
      <c r="O39" s="1151"/>
      <c r="P39" s="1151"/>
      <c r="Q39" s="1151"/>
      <c r="R39" s="1151"/>
      <c r="S39" s="440"/>
    </row>
    <row r="40" spans="1:29" ht="12.95" customHeight="1" x14ac:dyDescent="0.2">
      <c r="A40" s="440"/>
      <c r="B40" s="577"/>
      <c r="C40" s="578"/>
      <c r="D40" s="1142">
        <f t="shared" si="4"/>
        <v>31</v>
      </c>
      <c r="E40" s="1142" t="str">
        <f t="shared" si="0"/>
        <v>-</v>
      </c>
      <c r="F40" s="313">
        <v>35</v>
      </c>
      <c r="G40" s="603" t="str">
        <f t="shared" si="3"/>
        <v/>
      </c>
      <c r="H40" s="1142">
        <f t="shared" si="1"/>
        <v>5</v>
      </c>
      <c r="I40" s="218">
        <v>6.5000000000000002E-2</v>
      </c>
      <c r="J40" s="607">
        <f t="shared" si="2"/>
        <v>123336.63</v>
      </c>
      <c r="K40" s="1151"/>
      <c r="L40" s="1151"/>
      <c r="M40" s="1151"/>
      <c r="N40" s="1151"/>
      <c r="O40" s="1151"/>
      <c r="P40" s="1151"/>
      <c r="Q40" s="1151"/>
      <c r="R40" s="1151"/>
      <c r="S40" s="440"/>
    </row>
    <row r="41" spans="1:29" ht="12.95" customHeight="1" x14ac:dyDescent="0.2">
      <c r="A41" s="440"/>
      <c r="B41" s="1151"/>
      <c r="C41" s="1151"/>
      <c r="D41" s="1151"/>
      <c r="E41" s="1151"/>
      <c r="F41" s="1151"/>
      <c r="G41" s="1151"/>
      <c r="H41" s="1151"/>
      <c r="I41" s="1151"/>
      <c r="J41" s="1151"/>
      <c r="K41" s="1151"/>
      <c r="L41" s="1151"/>
      <c r="M41" s="1151"/>
      <c r="N41" s="1151"/>
      <c r="O41" s="1151"/>
      <c r="P41" s="1151"/>
      <c r="Q41" s="1151"/>
      <c r="R41" s="1151"/>
      <c r="S41" s="440"/>
    </row>
    <row r="42" spans="1:29" ht="12.95" customHeight="1" x14ac:dyDescent="0.2">
      <c r="A42" s="440"/>
      <c r="B42" s="577"/>
      <c r="C42" s="578"/>
      <c r="D42" s="578"/>
      <c r="E42" s="579"/>
      <c r="F42" s="579"/>
      <c r="G42" s="579"/>
      <c r="H42" s="1151"/>
      <c r="I42" s="1151"/>
      <c r="J42" s="1151"/>
      <c r="K42" s="1151"/>
      <c r="L42" s="317"/>
      <c r="M42" s="317"/>
      <c r="N42" s="608"/>
      <c r="O42" s="317"/>
      <c r="P42" s="317"/>
      <c r="Q42" s="317"/>
      <c r="R42" s="317"/>
      <c r="S42" s="440"/>
    </row>
    <row r="43" spans="1:29" ht="39.950000000000003" customHeight="1" x14ac:dyDescent="0.2">
      <c r="A43" s="440"/>
      <c r="B43" s="1164"/>
      <c r="C43" s="1165"/>
      <c r="D43" s="1165"/>
      <c r="E43" s="1165"/>
      <c r="F43" s="1165"/>
      <c r="G43" s="1165"/>
      <c r="H43" s="1165"/>
      <c r="I43" s="1165"/>
      <c r="J43" s="1165"/>
      <c r="K43" s="1165"/>
      <c r="L43" s="1165"/>
      <c r="M43" s="1165"/>
      <c r="N43" s="1165"/>
      <c r="O43" s="1165"/>
      <c r="P43" s="1165"/>
      <c r="Q43" s="1165"/>
      <c r="R43" s="1165"/>
      <c r="S43" s="440"/>
    </row>
    <row r="44" spans="1:29" ht="12.95" customHeight="1" x14ac:dyDescent="0.2">
      <c r="A44" s="440"/>
      <c r="B44" s="413"/>
      <c r="C44" s="628"/>
      <c r="D44" s="628"/>
      <c r="E44" s="414"/>
      <c r="F44" s="414"/>
      <c r="G44" s="414"/>
      <c r="H44" s="414"/>
      <c r="I44" s="628"/>
      <c r="J44" s="628"/>
      <c r="K44" s="1053" t="s">
        <v>94</v>
      </c>
      <c r="L44" s="438"/>
      <c r="M44" s="628"/>
      <c r="N44" s="628"/>
      <c r="O44" s="610"/>
      <c r="P44" s="610"/>
      <c r="Q44" s="610"/>
      <c r="R44" s="610"/>
      <c r="S44" s="440"/>
    </row>
    <row r="45" spans="1:29" ht="12.95" customHeight="1" x14ac:dyDescent="0.2">
      <c r="A45" s="440"/>
      <c r="B45" s="413"/>
      <c r="C45" s="628"/>
      <c r="D45" s="628"/>
      <c r="E45" s="414"/>
      <c r="F45" s="414"/>
      <c r="G45" s="414"/>
      <c r="H45" s="414"/>
      <c r="I45" s="628"/>
      <c r="J45" s="628"/>
      <c r="K45" s="319" t="s">
        <v>93</v>
      </c>
      <c r="L45" s="319"/>
      <c r="M45" s="628"/>
      <c r="N45" s="628"/>
      <c r="O45" s="610"/>
      <c r="P45" s="610"/>
      <c r="Q45" s="610"/>
      <c r="R45" s="610"/>
      <c r="S45" s="440"/>
    </row>
    <row r="46" spans="1:29" ht="12.95" customHeight="1" x14ac:dyDescent="0.2">
      <c r="A46" s="440"/>
      <c r="B46" s="609" t="s">
        <v>60</v>
      </c>
      <c r="C46" s="494"/>
      <c r="D46" s="1618" t="s">
        <v>73</v>
      </c>
      <c r="E46" s="1625"/>
      <c r="F46" s="1626"/>
      <c r="G46" s="611"/>
      <c r="H46" s="611"/>
      <c r="I46" s="611"/>
      <c r="J46" s="611"/>
      <c r="K46" s="1131">
        <f ca="1">SUM(K47:K48)</f>
        <v>2996.3999999999996</v>
      </c>
      <c r="L46" s="328"/>
      <c r="M46" s="628"/>
      <c r="N46" s="628"/>
      <c r="O46" s="610"/>
      <c r="P46" s="610"/>
      <c r="Q46" s="610"/>
      <c r="R46" s="610"/>
      <c r="S46" s="440"/>
    </row>
    <row r="47" spans="1:29" ht="12.95" customHeight="1" x14ac:dyDescent="0.2">
      <c r="A47" s="440"/>
      <c r="B47" s="320"/>
      <c r="C47" s="320" t="s">
        <v>74</v>
      </c>
      <c r="D47" s="1621" t="s">
        <v>75</v>
      </c>
      <c r="E47" s="1621"/>
      <c r="F47" s="1621"/>
      <c r="G47" s="1621"/>
      <c r="H47" s="610"/>
      <c r="I47" s="610"/>
      <c r="J47" s="610"/>
      <c r="K47" s="306"/>
      <c r="L47" s="438"/>
      <c r="M47" s="438"/>
      <c r="N47" s="438"/>
      <c r="O47" s="610"/>
      <c r="P47" s="610"/>
      <c r="Q47" s="610"/>
      <c r="R47" s="610"/>
      <c r="S47" s="440"/>
    </row>
    <row r="48" spans="1:29" ht="12.95" customHeight="1" x14ac:dyDescent="0.2">
      <c r="A48" s="440"/>
      <c r="B48" s="320"/>
      <c r="C48" s="320" t="s">
        <v>76</v>
      </c>
      <c r="D48" s="1621" t="s">
        <v>77</v>
      </c>
      <c r="E48" s="1621"/>
      <c r="F48" s="1621"/>
      <c r="G48" s="1621"/>
      <c r="H48" s="628"/>
      <c r="I48" s="628"/>
      <c r="J48" s="628"/>
      <c r="K48" s="620">
        <f ca="1">SUM(K49:K51)</f>
        <v>2996.3999999999996</v>
      </c>
      <c r="L48" s="438"/>
      <c r="M48" s="628"/>
      <c r="N48" s="319"/>
      <c r="O48" s="610"/>
      <c r="P48" s="610"/>
      <c r="Q48" s="610"/>
      <c r="R48" s="610"/>
      <c r="S48" s="440"/>
    </row>
    <row r="49" spans="1:19" ht="12.95" customHeight="1" x14ac:dyDescent="0.2">
      <c r="A49" s="440"/>
      <c r="B49" s="320"/>
      <c r="C49" s="320"/>
      <c r="D49" s="753"/>
      <c r="E49" s="753"/>
      <c r="F49" s="753"/>
      <c r="G49" s="753"/>
      <c r="H49" s="753"/>
      <c r="I49" s="753"/>
      <c r="J49" s="621" t="s">
        <v>531</v>
      </c>
      <c r="K49" s="1133">
        <f ca="1">BERECHNUNG!X148+'PV-Einspeisung'!AB272</f>
        <v>2996.3999999999996</v>
      </c>
      <c r="L49" s="749"/>
      <c r="M49" s="751"/>
      <c r="N49" s="319"/>
      <c r="O49" s="754"/>
      <c r="P49" s="754"/>
      <c r="Q49" s="754"/>
      <c r="R49" s="754"/>
      <c r="S49" s="440"/>
    </row>
    <row r="50" spans="1:19" ht="12.95" customHeight="1" x14ac:dyDescent="0.2">
      <c r="A50" s="440"/>
      <c r="B50" s="320"/>
      <c r="C50" s="320"/>
      <c r="D50" s="753"/>
      <c r="E50" s="753"/>
      <c r="F50" s="753"/>
      <c r="G50" s="753"/>
      <c r="H50" s="753"/>
      <c r="I50" s="753"/>
      <c r="J50" s="621" t="s">
        <v>532</v>
      </c>
      <c r="K50" s="1132"/>
      <c r="L50" s="749"/>
      <c r="M50" s="751"/>
      <c r="N50" s="319"/>
      <c r="O50" s="754"/>
      <c r="P50" s="754"/>
      <c r="Q50" s="754"/>
      <c r="R50" s="754"/>
      <c r="S50" s="440"/>
    </row>
    <row r="51" spans="1:19" ht="12.95" customHeight="1" x14ac:dyDescent="0.2">
      <c r="A51" s="440"/>
      <c r="B51" s="320"/>
      <c r="C51" s="320"/>
      <c r="D51" s="753"/>
      <c r="E51" s="753"/>
      <c r="F51" s="753"/>
      <c r="G51" s="753"/>
      <c r="H51" s="753"/>
      <c r="I51" s="753"/>
      <c r="J51" s="621" t="s">
        <v>272</v>
      </c>
      <c r="K51" s="1132"/>
      <c r="L51" s="749"/>
      <c r="M51" s="751"/>
      <c r="N51" s="319"/>
      <c r="O51" s="754"/>
      <c r="P51" s="754"/>
      <c r="Q51" s="754"/>
      <c r="R51" s="754"/>
      <c r="S51" s="440"/>
    </row>
    <row r="52" spans="1:19" ht="12.95" customHeight="1" x14ac:dyDescent="0.2">
      <c r="A52" s="440"/>
      <c r="B52" s="321"/>
      <c r="C52" s="321"/>
      <c r="D52" s="612"/>
      <c r="E52" s="612"/>
      <c r="F52" s="612"/>
      <c r="G52" s="612"/>
      <c r="H52" s="324"/>
      <c r="I52" s="324"/>
      <c r="J52" s="324"/>
      <c r="K52" s="613"/>
      <c r="L52" s="613"/>
      <c r="M52" s="324"/>
      <c r="N52" s="318"/>
      <c r="O52" s="318"/>
      <c r="P52" s="318"/>
      <c r="Q52" s="318"/>
      <c r="R52" s="319"/>
      <c r="S52" s="440"/>
    </row>
    <row r="53" spans="1:19" ht="12.95" customHeight="1" x14ac:dyDescent="0.2">
      <c r="A53" s="440"/>
      <c r="B53" s="320"/>
      <c r="C53" s="320"/>
      <c r="D53" s="614"/>
      <c r="E53" s="614"/>
      <c r="F53" s="614"/>
      <c r="G53" s="614"/>
      <c r="H53" s="628"/>
      <c r="I53" s="628"/>
      <c r="J53" s="628"/>
      <c r="K53" s="1053" t="s">
        <v>94</v>
      </c>
      <c r="L53" s="438"/>
      <c r="M53" s="628"/>
      <c r="N53" s="319"/>
      <c r="O53" s="319"/>
      <c r="P53" s="319"/>
      <c r="Q53" s="319"/>
      <c r="R53" s="319"/>
      <c r="S53" s="440"/>
    </row>
    <row r="54" spans="1:19" ht="12.95" customHeight="1" x14ac:dyDescent="0.2">
      <c r="A54" s="440"/>
      <c r="B54" s="320"/>
      <c r="C54" s="320"/>
      <c r="D54" s="320"/>
      <c r="E54" s="320"/>
      <c r="F54" s="320"/>
      <c r="G54" s="320"/>
      <c r="H54" s="628"/>
      <c r="I54" s="628"/>
      <c r="J54" s="628"/>
      <c r="K54" s="319" t="s">
        <v>93</v>
      </c>
      <c r="L54" s="319"/>
      <c r="M54" s="628"/>
      <c r="N54" s="319"/>
      <c r="O54" s="319"/>
      <c r="P54" s="319"/>
      <c r="Q54" s="319"/>
      <c r="R54" s="319"/>
      <c r="S54" s="440"/>
    </row>
    <row r="55" spans="1:19" ht="12.95" customHeight="1" x14ac:dyDescent="0.2">
      <c r="A55" s="440"/>
      <c r="B55" s="609" t="s">
        <v>55</v>
      </c>
      <c r="C55" s="494"/>
      <c r="D55" s="609" t="s">
        <v>78</v>
      </c>
      <c r="E55" s="609"/>
      <c r="F55" s="609"/>
      <c r="G55" s="322"/>
      <c r="H55" s="610"/>
      <c r="I55" s="610"/>
      <c r="J55" s="610"/>
      <c r="K55" s="1131">
        <f>SUM(K56:K56)</f>
        <v>0</v>
      </c>
      <c r="L55" s="328"/>
      <c r="M55" s="320"/>
      <c r="N55" s="320"/>
      <c r="O55" s="320"/>
      <c r="P55" s="320"/>
      <c r="Q55" s="320"/>
      <c r="R55" s="320"/>
      <c r="S55" s="440"/>
    </row>
    <row r="56" spans="1:19" ht="12.95" customHeight="1" x14ac:dyDescent="0.2">
      <c r="A56" s="440"/>
      <c r="B56" s="628"/>
      <c r="C56" s="320" t="s">
        <v>80</v>
      </c>
      <c r="D56" s="1621" t="s">
        <v>79</v>
      </c>
      <c r="E56" s="1622"/>
      <c r="F56" s="1617"/>
      <c r="G56" s="1617"/>
      <c r="H56" s="610"/>
      <c r="I56" s="610"/>
      <c r="J56" s="610"/>
      <c r="K56" s="1132"/>
      <c r="L56" s="438"/>
      <c r="M56" s="320"/>
      <c r="N56" s="320"/>
      <c r="O56" s="320"/>
      <c r="P56" s="320"/>
      <c r="Q56" s="320"/>
      <c r="R56" s="320"/>
      <c r="S56" s="440"/>
    </row>
    <row r="57" spans="1:19" ht="12.95" customHeight="1" x14ac:dyDescent="0.2">
      <c r="A57" s="440"/>
      <c r="B57" s="324"/>
      <c r="C57" s="321"/>
      <c r="D57" s="321"/>
      <c r="E57" s="321"/>
      <c r="F57" s="321"/>
      <c r="G57" s="321"/>
      <c r="H57" s="321"/>
      <c r="I57" s="321"/>
      <c r="J57" s="321"/>
      <c r="K57" s="321"/>
      <c r="L57" s="321"/>
      <c r="M57" s="321"/>
      <c r="N57" s="321"/>
      <c r="O57" s="321"/>
      <c r="P57" s="321"/>
      <c r="Q57" s="321"/>
      <c r="R57" s="320"/>
      <c r="S57" s="440"/>
    </row>
    <row r="58" spans="1:19" ht="12.95" customHeight="1" x14ac:dyDescent="0.2">
      <c r="A58" s="440"/>
      <c r="B58" s="628"/>
      <c r="C58" s="320"/>
      <c r="D58" s="614"/>
      <c r="E58" s="623"/>
      <c r="F58" s="624"/>
      <c r="G58" s="624"/>
      <c r="H58" s="628"/>
      <c r="I58" s="320"/>
      <c r="J58" s="320"/>
      <c r="K58" s="616" t="s">
        <v>94</v>
      </c>
      <c r="L58" s="616"/>
      <c r="M58" s="320"/>
      <c r="N58" s="320"/>
      <c r="O58" s="320"/>
      <c r="P58" s="320"/>
      <c r="Q58" s="320"/>
      <c r="R58" s="320"/>
      <c r="S58" s="440"/>
    </row>
    <row r="59" spans="1:19" ht="12.95" customHeight="1" x14ac:dyDescent="0.2">
      <c r="A59" s="440"/>
      <c r="B59" s="628"/>
      <c r="C59" s="320"/>
      <c r="D59" s="614"/>
      <c r="E59" s="623"/>
      <c r="F59" s="624"/>
      <c r="G59" s="624"/>
      <c r="H59" s="628"/>
      <c r="I59" s="320"/>
      <c r="J59" s="320"/>
      <c r="K59" s="328" t="s">
        <v>93</v>
      </c>
      <c r="L59" s="328"/>
      <c r="M59" s="320"/>
      <c r="N59" s="320"/>
      <c r="O59" s="320"/>
      <c r="P59" s="320"/>
      <c r="Q59" s="320"/>
      <c r="R59" s="320"/>
      <c r="S59" s="440"/>
    </row>
    <row r="60" spans="1:19" ht="12.95" customHeight="1" x14ac:dyDescent="0.2">
      <c r="A60" s="440"/>
      <c r="B60" s="609" t="s">
        <v>49</v>
      </c>
      <c r="C60" s="494"/>
      <c r="D60" s="1618" t="s">
        <v>187</v>
      </c>
      <c r="E60" s="1618"/>
      <c r="F60" s="1618"/>
      <c r="G60" s="322"/>
      <c r="H60" s="322"/>
      <c r="I60" s="610"/>
      <c r="J60" s="610"/>
      <c r="K60" s="1131">
        <f ca="1">SUM(K63:K80,K89,K84:K85)</f>
        <v>6310.5798366400004</v>
      </c>
      <c r="L60" s="628"/>
      <c r="M60" s="610"/>
      <c r="N60" s="322"/>
      <c r="O60" s="322"/>
      <c r="P60" s="322"/>
      <c r="Q60" s="322"/>
      <c r="R60" s="322"/>
      <c r="S60" s="440"/>
    </row>
    <row r="61" spans="1:19" ht="12.95" customHeight="1" x14ac:dyDescent="0.2">
      <c r="A61" s="440"/>
      <c r="B61" s="320"/>
      <c r="C61" s="320" t="s">
        <v>81</v>
      </c>
      <c r="D61" s="1621" t="s">
        <v>168</v>
      </c>
      <c r="E61" s="1621"/>
      <c r="F61" s="1621"/>
      <c r="G61" s="623" t="s">
        <v>453</v>
      </c>
      <c r="H61" s="610" t="s">
        <v>321</v>
      </c>
      <c r="I61" s="446" t="s">
        <v>319</v>
      </c>
      <c r="J61" s="446" t="s">
        <v>208</v>
      </c>
      <c r="K61" s="1056"/>
      <c r="L61" s="610"/>
      <c r="M61" s="610"/>
      <c r="N61" s="610"/>
      <c r="O61" s="610"/>
      <c r="P61" s="610"/>
      <c r="Q61" s="610"/>
      <c r="R61" s="610"/>
      <c r="S61" s="440"/>
    </row>
    <row r="62" spans="1:19" ht="12.75" customHeight="1" x14ac:dyDescent="0.2">
      <c r="A62" s="440"/>
      <c r="B62" s="320"/>
      <c r="C62" s="320"/>
      <c r="D62" s="418" t="s">
        <v>352</v>
      </c>
      <c r="E62" s="610"/>
      <c r="F62" s="610"/>
      <c r="G62" s="328" t="s">
        <v>122</v>
      </c>
      <c r="H62" s="446" t="s">
        <v>121</v>
      </c>
      <c r="I62" s="446" t="s">
        <v>320</v>
      </c>
      <c r="J62" s="446" t="s">
        <v>209</v>
      </c>
      <c r="K62" s="1056"/>
      <c r="L62" s="610"/>
      <c r="M62" s="610"/>
      <c r="N62" s="610"/>
      <c r="O62" s="610"/>
      <c r="P62" s="610"/>
      <c r="Q62" s="610"/>
      <c r="R62" s="610"/>
      <c r="S62" s="440"/>
    </row>
    <row r="63" spans="1:19" ht="12.75" customHeight="1" x14ac:dyDescent="0.2">
      <c r="A63" s="440"/>
      <c r="B63" s="320"/>
      <c r="C63" s="320"/>
      <c r="D63" s="610"/>
      <c r="E63" s="617" t="str">
        <f>'2. Energie KW.'!E15</f>
        <v>Heizung</v>
      </c>
      <c r="F63" s="1142" t="str">
        <f ca="1">VLOOKUP($E63,'2. Energie KW.'!$E$139:$J$156,2,FALSE)</f>
        <v>Wärmepumpenstrom</v>
      </c>
      <c r="G63" s="618">
        <f ca="1">IFERROR(IF(OR(F63="",F63="keine"),0,LOOKUP(MATCH(F63,'1. Projektangaben'!$C$36:$C$43,0),'1. Projektangaben'!$B$36:$B$43,'1. Projektangaben'!$D$36:$D$43)),0)</f>
        <v>0.12156</v>
      </c>
      <c r="H63" s="1142">
        <f ca="1">VLOOKUP($E63,'2. Energie KW.'!$E$139:$J$156,6,FALSE)</f>
        <v>5.64</v>
      </c>
      <c r="I63" s="619">
        <f ca="1">G63*H63</f>
        <v>0.68559839999999994</v>
      </c>
      <c r="J63" s="619">
        <f t="shared" ref="J63:J80" ca="1" si="5">IF(OR(F63="",F63="keine"),0,$I$8)</f>
        <v>1410.2</v>
      </c>
      <c r="K63" s="620">
        <f ca="1">J63*I63</f>
        <v>966.83086367999999</v>
      </c>
      <c r="L63" s="325"/>
      <c r="M63" s="610"/>
      <c r="N63" s="610"/>
      <c r="O63" s="610"/>
      <c r="P63" s="610"/>
      <c r="Q63" s="610"/>
      <c r="R63" s="610"/>
      <c r="S63" s="440"/>
    </row>
    <row r="64" spans="1:19" ht="12.75" customHeight="1" x14ac:dyDescent="0.2">
      <c r="A64" s="440"/>
      <c r="B64" s="320"/>
      <c r="C64" s="320"/>
      <c r="D64" s="610"/>
      <c r="E64" s="617" t="str">
        <f>'2. Energie KW.'!E16</f>
        <v>Heizung 2</v>
      </c>
      <c r="F64" s="1142">
        <f ca="1">VLOOKUP($E64,'2. Energie KW.'!$E$139:$J$156,2,FALSE)</f>
        <v>0</v>
      </c>
      <c r="G64" s="618">
        <f ca="1">IFERROR(IF(OR(F64="",F64="keine"),0,LOOKUP(MATCH(F64,'1. Projektangaben'!$C$36:$C$43,0),'1. Projektangaben'!$B$36:$B$43,'1. Projektangaben'!$D$36:$D$43)),0)</f>
        <v>0</v>
      </c>
      <c r="H64" s="1142">
        <f ca="1">VLOOKUP($E64,'2. Energie KW.'!$E$139:$J$156,6,FALSE)</f>
        <v>0</v>
      </c>
      <c r="I64" s="619">
        <f t="shared" ref="I64:I80" ca="1" si="6">G64*H64</f>
        <v>0</v>
      </c>
      <c r="J64" s="619">
        <f t="shared" ca="1" si="5"/>
        <v>1410.2</v>
      </c>
      <c r="K64" s="620">
        <f ca="1">J64*I64</f>
        <v>0</v>
      </c>
      <c r="L64" s="325"/>
      <c r="M64" s="610"/>
      <c r="N64" s="610"/>
      <c r="O64" s="610"/>
      <c r="P64" s="610"/>
      <c r="Q64" s="610"/>
      <c r="R64" s="610"/>
      <c r="S64" s="440"/>
    </row>
    <row r="65" spans="1:19" ht="12.75" customHeight="1" x14ac:dyDescent="0.2">
      <c r="A65" s="440"/>
      <c r="B65" s="320"/>
      <c r="C65" s="320"/>
      <c r="D65" s="610"/>
      <c r="E65" s="617" t="str">
        <f>'2. Energie KW.'!E17</f>
        <v>Warmwasser</v>
      </c>
      <c r="F65" s="1142" t="str">
        <f ca="1">VLOOKUP($E65,'2. Energie KW.'!$E$139:$J$156,2,FALSE)</f>
        <v>Wärmepumpenstrom</v>
      </c>
      <c r="G65" s="618">
        <f ca="1">IFERROR(IF(OR(F65="",F65="keine"),0,LOOKUP(MATCH(F65,'1. Projektangaben'!$C$36:$C$43,0),'1. Projektangaben'!$B$36:$B$43,'1. Projektangaben'!$D$36:$D$43)),0)</f>
        <v>0.12156</v>
      </c>
      <c r="H65" s="1142">
        <f ca="1">VLOOKUP($E65,'2. Energie KW.'!$E$139:$J$156,6,FALSE)</f>
        <v>6.1</v>
      </c>
      <c r="I65" s="619">
        <f t="shared" ca="1" si="6"/>
        <v>0.74151599999999995</v>
      </c>
      <c r="J65" s="619">
        <f t="shared" ca="1" si="5"/>
        <v>1410.2</v>
      </c>
      <c r="K65" s="620">
        <f t="shared" ref="K65:K80" ca="1" si="7">J65*I65</f>
        <v>1045.6858631999999</v>
      </c>
      <c r="L65" s="325"/>
      <c r="M65" s="610"/>
      <c r="N65" s="610"/>
      <c r="O65" s="610"/>
      <c r="P65" s="610"/>
      <c r="Q65" s="610"/>
      <c r="R65" s="610"/>
      <c r="S65" s="440"/>
    </row>
    <row r="66" spans="1:19" ht="12.75" customHeight="1" x14ac:dyDescent="0.2">
      <c r="A66" s="440"/>
      <c r="B66" s="320"/>
      <c r="C66" s="320"/>
      <c r="D66" s="610"/>
      <c r="E66" s="617" t="str">
        <f>'2. Energie KW.'!E18</f>
        <v>Warmwasser 2</v>
      </c>
      <c r="F66" s="1142">
        <f ca="1">VLOOKUP($E66,'2. Energie KW.'!$E$139:$J$156,2,FALSE)</f>
        <v>0</v>
      </c>
      <c r="G66" s="618">
        <f ca="1">IFERROR(IF(OR(F66="",F66="keine"),0,LOOKUP(MATCH(F66,'1. Projektangaben'!$C$36:$C$43,0),'1. Projektangaben'!$B$36:$B$43,'1. Projektangaben'!$D$36:$D$43)),0)</f>
        <v>0</v>
      </c>
      <c r="H66" s="1142">
        <f ca="1">VLOOKUP($E66,'2. Energie KW.'!$E$139:$J$156,6,FALSE)</f>
        <v>0</v>
      </c>
      <c r="I66" s="619">
        <f t="shared" ca="1" si="6"/>
        <v>0</v>
      </c>
      <c r="J66" s="619">
        <f t="shared" ca="1" si="5"/>
        <v>1410.2</v>
      </c>
      <c r="K66" s="620">
        <f t="shared" ca="1" si="7"/>
        <v>0</v>
      </c>
      <c r="L66" s="325"/>
      <c r="M66" s="610"/>
      <c r="N66" s="610"/>
      <c r="O66" s="610"/>
      <c r="P66" s="610"/>
      <c r="Q66" s="610"/>
      <c r="R66" s="610"/>
      <c r="S66" s="440"/>
    </row>
    <row r="67" spans="1:19" ht="12.75" customHeight="1" x14ac:dyDescent="0.2">
      <c r="A67" s="440"/>
      <c r="B67" s="320"/>
      <c r="C67" s="320"/>
      <c r="D67" s="610"/>
      <c r="E67" s="617" t="str">
        <f>'2. Energie KW.'!E19</f>
        <v>Klimatisierung</v>
      </c>
      <c r="F67" s="1142">
        <f ca="1">VLOOKUP($E67,'2. Energie KW.'!$E$139:$J$156,2,FALSE)</f>
        <v>0</v>
      </c>
      <c r="G67" s="618">
        <f ca="1">IFERROR(IF(OR(F67="",F67="keine"),0,LOOKUP(MATCH(F67,'1. Projektangaben'!$C$36:$C$43,0),'1. Projektangaben'!$B$36:$B$43,'1. Projektangaben'!$D$36:$D$43)),0)</f>
        <v>0</v>
      </c>
      <c r="H67" s="1142">
        <f ca="1">VLOOKUP($E67,'2. Energie KW.'!$E$139:$J$156,6,FALSE)</f>
        <v>0</v>
      </c>
      <c r="I67" s="619">
        <f t="shared" ca="1" si="6"/>
        <v>0</v>
      </c>
      <c r="J67" s="619">
        <f t="shared" ca="1" si="5"/>
        <v>1410.2</v>
      </c>
      <c r="K67" s="620">
        <f t="shared" ca="1" si="7"/>
        <v>0</v>
      </c>
      <c r="L67" s="325"/>
      <c r="M67" s="610"/>
      <c r="N67" s="610"/>
      <c r="O67" s="610"/>
      <c r="P67" s="610"/>
      <c r="Q67" s="610"/>
      <c r="R67" s="610"/>
      <c r="S67" s="440"/>
    </row>
    <row r="68" spans="1:19" ht="12.75" customHeight="1" x14ac:dyDescent="0.2">
      <c r="A68" s="440"/>
      <c r="B68" s="320"/>
      <c r="C68" s="320"/>
      <c r="D68" s="610"/>
      <c r="E68" s="617" t="str">
        <f>'2. Energie KW.'!E20</f>
        <v>Kühlung</v>
      </c>
      <c r="F68" s="1142">
        <f ca="1">VLOOKUP($E68,'2. Energie KW.'!$E$139:$J$156,2,FALSE)</f>
        <v>0</v>
      </c>
      <c r="G68" s="618">
        <f ca="1">IFERROR(IF(OR(F68="",F68="keine"),0,LOOKUP(MATCH(F68,'1. Projektangaben'!$C$36:$C$43,0),'1. Projektangaben'!$B$36:$B$43,'1. Projektangaben'!$D$36:$D$43)),0)</f>
        <v>0</v>
      </c>
      <c r="H68" s="1142">
        <f ca="1">VLOOKUP($E68,'2. Energie KW.'!$E$139:$J$156,6,FALSE)</f>
        <v>0</v>
      </c>
      <c r="I68" s="619">
        <f t="shared" ca="1" si="6"/>
        <v>0</v>
      </c>
      <c r="J68" s="619">
        <f t="shared" ca="1" si="5"/>
        <v>1410.2</v>
      </c>
      <c r="K68" s="620">
        <f t="shared" ca="1" si="7"/>
        <v>0</v>
      </c>
      <c r="L68" s="325"/>
      <c r="M68" s="610"/>
      <c r="N68" s="610"/>
      <c r="O68" s="610"/>
      <c r="P68" s="610"/>
      <c r="Q68" s="610"/>
      <c r="R68" s="610"/>
      <c r="S68" s="440"/>
    </row>
    <row r="69" spans="1:19" ht="12.75" customHeight="1" x14ac:dyDescent="0.2">
      <c r="A69" s="440"/>
      <c r="B69" s="320"/>
      <c r="C69" s="320"/>
      <c r="D69" s="610"/>
      <c r="E69" s="617" t="str">
        <f>'2. Energie KW.'!E21</f>
        <v>Hilfstrom Heizung</v>
      </c>
      <c r="F69" s="1142" t="str">
        <f>VLOOKUP($E69,'2. Energie KW.'!$E$139:$J$156,2,FALSE)</f>
        <v>Strom</v>
      </c>
      <c r="G69" s="618">
        <f>IFERROR(IF(OR(F69="",F69="keine"),0,LOOKUP(MATCH(F69,'1. Projektangaben'!$C$36:$C$43,0),'1. Projektangaben'!$B$36:$B$43,'1. Projektangaben'!$D$36:$D$43)),0)</f>
        <v>0.15551999999999999</v>
      </c>
      <c r="H69" s="1142">
        <f ca="1">VLOOKUP($E69,'2. Energie KW.'!$E$139:$J$156,6,FALSE)</f>
        <v>0.74</v>
      </c>
      <c r="I69" s="619">
        <f t="shared" ca="1" si="6"/>
        <v>0.11508479999999999</v>
      </c>
      <c r="J69" s="619">
        <f t="shared" si="5"/>
        <v>1410.2</v>
      </c>
      <c r="K69" s="620">
        <f t="shared" ca="1" si="7"/>
        <v>162.29258496</v>
      </c>
      <c r="L69" s="325"/>
      <c r="M69" s="610"/>
      <c r="N69" s="610"/>
      <c r="O69" s="610"/>
      <c r="P69" s="610"/>
      <c r="Q69" s="610"/>
      <c r="R69" s="610"/>
      <c r="S69" s="440"/>
    </row>
    <row r="70" spans="1:19" ht="12.75" customHeight="1" x14ac:dyDescent="0.2">
      <c r="A70" s="440"/>
      <c r="B70" s="320"/>
      <c r="C70" s="320"/>
      <c r="D70" s="610"/>
      <c r="E70" s="617" t="str">
        <f>'2. Energie KW.'!E22</f>
        <v>Hilfsstrom Warmwasser</v>
      </c>
      <c r="F70" s="1142" t="str">
        <f>VLOOKUP($E70,'2. Energie KW.'!$E$139:$J$156,2,FALSE)</f>
        <v>Strom</v>
      </c>
      <c r="G70" s="618">
        <f>IFERROR(IF(OR(F70="",F70="keine"),0,LOOKUP(MATCH(F70,'1. Projektangaben'!$C$36:$C$43,0),'1. Projektangaben'!$B$36:$B$43,'1. Projektangaben'!$D$36:$D$43)),0)</f>
        <v>0.15551999999999999</v>
      </c>
      <c r="H70" s="1142">
        <f ca="1">VLOOKUP($E70,'2. Energie KW.'!$E$139:$J$156,6,FALSE)</f>
        <v>0.5</v>
      </c>
      <c r="I70" s="619">
        <f t="shared" ca="1" si="6"/>
        <v>7.7759999999999996E-2</v>
      </c>
      <c r="J70" s="619">
        <f t="shared" si="5"/>
        <v>1410.2</v>
      </c>
      <c r="K70" s="620">
        <f t="shared" ca="1" si="7"/>
        <v>109.657152</v>
      </c>
      <c r="L70" s="325"/>
      <c r="M70" s="610"/>
      <c r="N70" s="610"/>
      <c r="O70" s="610"/>
      <c r="P70" s="610"/>
      <c r="Q70" s="610"/>
      <c r="R70" s="610"/>
      <c r="S70" s="440"/>
    </row>
    <row r="71" spans="1:19" ht="12.75" customHeight="1" x14ac:dyDescent="0.2">
      <c r="A71" s="440"/>
      <c r="B71" s="320"/>
      <c r="C71" s="320"/>
      <c r="D71" s="610"/>
      <c r="E71" s="617" t="str">
        <f>'2. Energie KW.'!E23</f>
        <v>Hilfsstrom Solaranlage</v>
      </c>
      <c r="F71" s="1142" t="str">
        <f>VLOOKUP($E71,'2. Energie KW.'!$E$139:$J$156,2,FALSE)</f>
        <v>Strom</v>
      </c>
      <c r="G71" s="618">
        <f>IFERROR(IF(OR(F71="",F71="keine"),0,LOOKUP(MATCH(F71,'1. Projektangaben'!$C$36:$C$43,0),'1. Projektangaben'!$B$36:$B$43,'1. Projektangaben'!$D$36:$D$43)),0)</f>
        <v>0.15551999999999999</v>
      </c>
      <c r="H71" s="1142">
        <f ca="1">VLOOKUP($E71,'2. Energie KW.'!$E$139:$J$156,6,FALSE)</f>
        <v>0</v>
      </c>
      <c r="I71" s="619">
        <f t="shared" ca="1" si="6"/>
        <v>0</v>
      </c>
      <c r="J71" s="619">
        <f t="shared" si="5"/>
        <v>1410.2</v>
      </c>
      <c r="K71" s="620">
        <f t="shared" ca="1" si="7"/>
        <v>0</v>
      </c>
      <c r="L71" s="325"/>
      <c r="M71" s="610"/>
      <c r="N71" s="610"/>
      <c r="O71" s="610"/>
      <c r="P71" s="610"/>
      <c r="Q71" s="610"/>
      <c r="R71" s="610"/>
      <c r="S71" s="440"/>
    </row>
    <row r="72" spans="1:19" ht="12.75" customHeight="1" x14ac:dyDescent="0.2">
      <c r="A72" s="440"/>
      <c r="B72" s="320"/>
      <c r="C72" s="320"/>
      <c r="D72" s="610"/>
      <c r="E72" s="617" t="str">
        <f>'2. Energie KW.'!E24</f>
        <v>Hilfsstrom Klimatisierung</v>
      </c>
      <c r="F72" s="1142" t="str">
        <f>VLOOKUP($E72,'2. Energie KW.'!$E$139:$J$156,2,FALSE)</f>
        <v>Strom</v>
      </c>
      <c r="G72" s="618">
        <f>IFERROR(IF(OR(F72="",F72="keine"),0,LOOKUP(MATCH(F72,'1. Projektangaben'!$C$36:$C$43,0),'1. Projektangaben'!$B$36:$B$43,'1. Projektangaben'!$D$36:$D$43)),0)</f>
        <v>0.15551999999999999</v>
      </c>
      <c r="H72" s="1142">
        <f ca="1">VLOOKUP($E72,'2. Energie KW.'!$E$139:$J$156,6,FALSE)</f>
        <v>0</v>
      </c>
      <c r="I72" s="619">
        <f t="shared" ca="1" si="6"/>
        <v>0</v>
      </c>
      <c r="J72" s="619">
        <f t="shared" si="5"/>
        <v>1410.2</v>
      </c>
      <c r="K72" s="620">
        <f t="shared" ca="1" si="7"/>
        <v>0</v>
      </c>
      <c r="L72" s="325"/>
      <c r="M72" s="610"/>
      <c r="N72" s="610"/>
      <c r="O72" s="610"/>
      <c r="P72" s="610"/>
      <c r="Q72" s="610"/>
      <c r="R72" s="610"/>
      <c r="S72" s="440"/>
    </row>
    <row r="73" spans="1:19" ht="12.75" customHeight="1" x14ac:dyDescent="0.2">
      <c r="A73" s="440"/>
      <c r="B73" s="320"/>
      <c r="C73" s="320"/>
      <c r="D73" s="610"/>
      <c r="E73" s="617" t="str">
        <f>'2. Energie KW.'!E25</f>
        <v>Hilfsstrom Lüftung</v>
      </c>
      <c r="F73" s="1142" t="str">
        <f>VLOOKUP($E73,'2. Energie KW.'!$E$139:$J$156,2,FALSE)</f>
        <v>Strom</v>
      </c>
      <c r="G73" s="618">
        <f>IFERROR(IF(OR(F73="",F73="keine"),0,LOOKUP(MATCH(F73,'1. Projektangaben'!$C$36:$C$43,0),'1. Projektangaben'!$B$36:$B$43,'1. Projektangaben'!$D$36:$D$43)),0)</f>
        <v>0.15551999999999999</v>
      </c>
      <c r="H73" s="1142">
        <f ca="1">VLOOKUP($E73,'2. Energie KW.'!$E$139:$J$156,6,FALSE)</f>
        <v>3.2</v>
      </c>
      <c r="I73" s="619">
        <f t="shared" ca="1" si="6"/>
        <v>0.497664</v>
      </c>
      <c r="J73" s="619">
        <f t="shared" si="5"/>
        <v>1410.2</v>
      </c>
      <c r="K73" s="620">
        <f t="shared" ca="1" si="7"/>
        <v>701.8057728</v>
      </c>
      <c r="L73" s="325"/>
      <c r="M73" s="610"/>
      <c r="N73" s="610"/>
      <c r="O73" s="610"/>
      <c r="P73" s="610"/>
      <c r="Q73" s="610"/>
      <c r="R73" s="610"/>
      <c r="S73" s="440"/>
    </row>
    <row r="74" spans="1:19" ht="12.75" customHeight="1" x14ac:dyDescent="0.2">
      <c r="A74" s="440"/>
      <c r="B74" s="320"/>
      <c r="C74" s="320"/>
      <c r="D74" s="610"/>
      <c r="E74" s="617" t="str">
        <f>'2. Energie KW.'!E26</f>
        <v>Hilfsstrom Kühlung</v>
      </c>
      <c r="F74" s="1142" t="str">
        <f>VLOOKUP($E74,'2. Energie KW.'!$E$139:$J$156,2,FALSE)</f>
        <v>Strom</v>
      </c>
      <c r="G74" s="618">
        <f>IFERROR(IF(OR(F74="",F74="keine"),0,LOOKUP(MATCH(F74,'1. Projektangaben'!$C$36:$C$43,0),'1. Projektangaben'!$B$36:$B$43,'1. Projektangaben'!$D$36:$D$43)),0)</f>
        <v>0.15551999999999999</v>
      </c>
      <c r="H74" s="1142">
        <f ca="1">VLOOKUP($E74,'2. Energie KW.'!$E$139:$J$156,6,FALSE)</f>
        <v>0</v>
      </c>
      <c r="I74" s="619">
        <f t="shared" ca="1" si="6"/>
        <v>0</v>
      </c>
      <c r="J74" s="619">
        <f t="shared" si="5"/>
        <v>1410.2</v>
      </c>
      <c r="K74" s="620">
        <f t="shared" ca="1" si="7"/>
        <v>0</v>
      </c>
      <c r="L74" s="325"/>
      <c r="M74" s="610"/>
      <c r="N74" s="610"/>
      <c r="O74" s="610"/>
      <c r="P74" s="610"/>
      <c r="Q74" s="610"/>
      <c r="R74" s="610"/>
      <c r="S74" s="440"/>
    </row>
    <row r="75" spans="1:19" ht="12.75" customHeight="1" x14ac:dyDescent="0.2">
      <c r="A75" s="440"/>
      <c r="B75" s="320"/>
      <c r="C75" s="320"/>
      <c r="D75" s="610"/>
      <c r="E75" s="617" t="str">
        <f>'2. Energie KW.'!E27</f>
        <v>Beleuchtung</v>
      </c>
      <c r="F75" s="1142" t="str">
        <f>VLOOKUP($E75,'2. Energie KW.'!$E$139:$J$156,2,FALSE)</f>
        <v>Strom</v>
      </c>
      <c r="G75" s="618">
        <f>IFERROR(IF(OR(F75="",F75="keine"),0,LOOKUP(MATCH(F75,'1. Projektangaben'!$C$36:$C$43,0),'1. Projektangaben'!$B$36:$B$43,'1. Projektangaben'!$D$36:$D$43)),0)</f>
        <v>0.15551999999999999</v>
      </c>
      <c r="H75" s="1142">
        <f ca="1">VLOOKUP($E75,'2. Energie KW.'!$E$139:$J$156,6,FALSE)</f>
        <v>0</v>
      </c>
      <c r="I75" s="619">
        <f t="shared" ca="1" si="6"/>
        <v>0</v>
      </c>
      <c r="J75" s="619">
        <f t="shared" si="5"/>
        <v>1410.2</v>
      </c>
      <c r="K75" s="620">
        <f t="shared" ca="1" si="7"/>
        <v>0</v>
      </c>
      <c r="L75" s="325"/>
      <c r="M75" s="610"/>
      <c r="N75" s="610"/>
      <c r="O75" s="610"/>
      <c r="P75" s="610"/>
      <c r="Q75" s="610"/>
      <c r="R75" s="610"/>
      <c r="S75" s="440"/>
    </row>
    <row r="76" spans="1:19" ht="12.75" customHeight="1" x14ac:dyDescent="0.2">
      <c r="A76" s="440"/>
      <c r="B76" s="320"/>
      <c r="C76" s="320"/>
      <c r="D76" s="610"/>
      <c r="E76" s="617" t="str">
        <f>'2. Energie KW.'!E28</f>
        <v>EDV</v>
      </c>
      <c r="F76" s="1142" t="str">
        <f>VLOOKUP($E76,'2. Energie KW.'!$E$139:$J$156,2,FALSE)</f>
        <v>Strom</v>
      </c>
      <c r="G76" s="618">
        <f>IFERROR(IF(OR(F76="",F76="keine"),0,LOOKUP(MATCH(F76,'1. Projektangaben'!$C$36:$C$43,0),'1. Projektangaben'!$B$36:$B$43,'1. Projektangaben'!$D$36:$D$43)),0)</f>
        <v>0.15551999999999999</v>
      </c>
      <c r="H76" s="1142">
        <f ca="1">VLOOKUP($E76,'2. Energie KW.'!$E$139:$J$156,6,FALSE)</f>
        <v>0</v>
      </c>
      <c r="I76" s="619">
        <f t="shared" ca="1" si="6"/>
        <v>0</v>
      </c>
      <c r="J76" s="619">
        <f t="shared" si="5"/>
        <v>1410.2</v>
      </c>
      <c r="K76" s="620">
        <f t="shared" ca="1" si="7"/>
        <v>0</v>
      </c>
      <c r="L76" s="325"/>
      <c r="M76" s="610"/>
      <c r="N76" s="610"/>
      <c r="O76" s="610"/>
      <c r="P76" s="610"/>
      <c r="Q76" s="610"/>
      <c r="R76" s="610"/>
      <c r="S76" s="440"/>
    </row>
    <row r="77" spans="1:19" ht="12.75" customHeight="1" x14ac:dyDescent="0.2">
      <c r="A77" s="440"/>
      <c r="B77" s="320"/>
      <c r="C77" s="320"/>
      <c r="D77" s="610"/>
      <c r="E77" s="617" t="str">
        <f>'2. Energie KW.'!E29</f>
        <v>Haushaltsstrom</v>
      </c>
      <c r="F77" s="1142" t="str">
        <f>VLOOKUP($E77,'2. Energie KW.'!$E$139:$J$156,2,FALSE)</f>
        <v>Strom</v>
      </c>
      <c r="G77" s="618">
        <f>IFERROR(IF(OR(F77="",F77="keine"),0,LOOKUP(MATCH(F77,'1. Projektangaben'!$C$36:$C$43,0),'1. Projektangaben'!$B$36:$B$43,'1. Projektangaben'!$D$36:$D$43)),0)</f>
        <v>0.15551999999999999</v>
      </c>
      <c r="H77" s="1142">
        <f ca="1">VLOOKUP($E77,'2. Energie KW.'!$E$139:$J$156,6,FALSE)</f>
        <v>25</v>
      </c>
      <c r="I77" s="619">
        <f t="shared" ca="1" si="6"/>
        <v>3.8879999999999999</v>
      </c>
      <c r="J77" s="619">
        <f t="shared" si="5"/>
        <v>1410.2</v>
      </c>
      <c r="K77" s="620">
        <f t="shared" ca="1" si="7"/>
        <v>5482.8576000000003</v>
      </c>
      <c r="L77" s="325"/>
      <c r="M77" s="610"/>
      <c r="N77" s="610"/>
      <c r="O77" s="610"/>
      <c r="P77" s="610"/>
      <c r="Q77" s="610"/>
      <c r="R77" s="610"/>
      <c r="S77" s="440"/>
    </row>
    <row r="78" spans="1:19" ht="12.75" customHeight="1" x14ac:dyDescent="0.2">
      <c r="A78" s="440"/>
      <c r="B78" s="320"/>
      <c r="C78" s="320"/>
      <c r="D78" s="610"/>
      <c r="E78" s="617" t="str">
        <f>'2. Energie KW.'!E30</f>
        <v>Befeuchten</v>
      </c>
      <c r="F78" s="1142">
        <f ca="1">VLOOKUP($E78,'2. Energie KW.'!$E$139:$J$156,2,FALSE)</f>
        <v>0</v>
      </c>
      <c r="G78" s="618">
        <f ca="1">IFERROR(IF(OR(F78="",F78="keine"),0,LOOKUP(MATCH(F78,'1. Projektangaben'!$C$36:$C$43,0),'1. Projektangaben'!$B$36:$B$43,'1. Projektangaben'!$D$36:$D$43)),0)</f>
        <v>0</v>
      </c>
      <c r="H78" s="1142">
        <f ca="1">VLOOKUP($E78,'2. Energie KW.'!$E$139:$J$156,6,FALSE)</f>
        <v>0</v>
      </c>
      <c r="I78" s="619">
        <f t="shared" ca="1" si="6"/>
        <v>0</v>
      </c>
      <c r="J78" s="619">
        <f t="shared" ca="1" si="5"/>
        <v>1410.2</v>
      </c>
      <c r="K78" s="620">
        <f t="shared" ca="1" si="7"/>
        <v>0</v>
      </c>
      <c r="L78" s="325"/>
      <c r="M78" s="610"/>
      <c r="N78" s="610"/>
      <c r="O78" s="610"/>
      <c r="P78" s="610"/>
      <c r="Q78" s="610"/>
      <c r="R78" s="610"/>
      <c r="S78" s="440"/>
    </row>
    <row r="79" spans="1:19" ht="12.75" customHeight="1" x14ac:dyDescent="0.2">
      <c r="A79" s="440"/>
      <c r="B79" s="320"/>
      <c r="C79" s="320"/>
      <c r="D79" s="610"/>
      <c r="E79" s="617" t="str">
        <f>'2. Energie KW.'!E31</f>
        <v>Entfeuchten</v>
      </c>
      <c r="F79" s="1142">
        <f ca="1">VLOOKUP($E79,'2. Energie KW.'!$E$139:$J$156,2,FALSE)</f>
        <v>0</v>
      </c>
      <c r="G79" s="618">
        <f ca="1">IFERROR(IF(OR(F79="",F79="keine"),0,LOOKUP(MATCH(F79,'1. Projektangaben'!$C$36:$C$43,0),'1. Projektangaben'!$B$36:$B$43,'1. Projektangaben'!$D$36:$D$43)),0)</f>
        <v>0</v>
      </c>
      <c r="H79" s="1142">
        <f ca="1">VLOOKUP($E79,'2. Energie KW.'!$E$139:$J$156,6,FALSE)</f>
        <v>0</v>
      </c>
      <c r="I79" s="619">
        <f t="shared" ca="1" si="6"/>
        <v>0</v>
      </c>
      <c r="J79" s="619">
        <f t="shared" ca="1" si="5"/>
        <v>1410.2</v>
      </c>
      <c r="K79" s="620">
        <f t="shared" ca="1" si="7"/>
        <v>0</v>
      </c>
      <c r="L79" s="325"/>
      <c r="M79" s="610"/>
      <c r="N79" s="610"/>
      <c r="O79" s="610"/>
      <c r="P79" s="610"/>
      <c r="Q79" s="610"/>
      <c r="R79" s="610"/>
      <c r="S79" s="440"/>
    </row>
    <row r="80" spans="1:19" ht="12.75" customHeight="1" x14ac:dyDescent="0.2">
      <c r="A80" s="440"/>
      <c r="B80" s="320"/>
      <c r="C80" s="320"/>
      <c r="D80" s="610"/>
      <c r="E80" s="617" t="str">
        <f>'2. Energie KW.'!E32</f>
        <v>Sonstiges</v>
      </c>
      <c r="F80" s="1142">
        <f ca="1">VLOOKUP($E80,'2. Energie KW.'!$E$139:$J$156,2,FALSE)</f>
        <v>0</v>
      </c>
      <c r="G80" s="618">
        <f ca="1">IFERROR(IF(OR(F80="",F80="keine"),0,LOOKUP(MATCH(F80,'1. Projektangaben'!$C$36:$C$43,0),'1. Projektangaben'!$B$36:$B$43,'1. Projektangaben'!$D$36:$D$43)),0)</f>
        <v>0</v>
      </c>
      <c r="H80" s="1142">
        <f ca="1">VLOOKUP($E80,'2. Energie KW.'!$E$139:$J$156,6,FALSE)</f>
        <v>0</v>
      </c>
      <c r="I80" s="619">
        <f t="shared" ca="1" si="6"/>
        <v>0</v>
      </c>
      <c r="J80" s="619">
        <f t="shared" ca="1" si="5"/>
        <v>1410.2</v>
      </c>
      <c r="K80" s="620">
        <f t="shared" ca="1" si="7"/>
        <v>0</v>
      </c>
      <c r="L80" s="325"/>
      <c r="M80" s="610"/>
      <c r="N80" s="610"/>
      <c r="O80" s="610"/>
      <c r="P80" s="610"/>
      <c r="Q80" s="610"/>
      <c r="R80" s="610"/>
      <c r="S80" s="440"/>
    </row>
    <row r="81" spans="1:19" ht="12.75" customHeight="1" x14ac:dyDescent="0.2">
      <c r="A81" s="440"/>
      <c r="B81" s="320"/>
      <c r="C81" s="320"/>
      <c r="D81" s="610"/>
      <c r="E81" s="610"/>
      <c r="F81" s="446"/>
      <c r="G81" s="610"/>
      <c r="H81" s="610"/>
      <c r="I81" s="610"/>
      <c r="J81" s="610"/>
      <c r="K81" s="1056"/>
      <c r="L81" s="643"/>
      <c r="M81" s="610"/>
      <c r="N81" s="610"/>
      <c r="O81" s="610"/>
      <c r="P81" s="610"/>
      <c r="Q81" s="610"/>
      <c r="R81" s="610"/>
      <c r="S81" s="440"/>
    </row>
    <row r="82" spans="1:19" ht="12.75" customHeight="1" x14ac:dyDescent="0.2">
      <c r="A82" s="440"/>
      <c r="B82" s="320"/>
      <c r="C82" s="320"/>
      <c r="D82" s="754"/>
      <c r="E82" s="754"/>
      <c r="F82" s="446"/>
      <c r="G82" s="754"/>
      <c r="H82" s="754"/>
      <c r="I82" s="754"/>
      <c r="J82" s="754"/>
      <c r="K82" s="1053" t="s">
        <v>94</v>
      </c>
      <c r="L82" s="643"/>
      <c r="M82" s="610"/>
      <c r="N82" s="610"/>
      <c r="O82" s="610"/>
      <c r="P82" s="610"/>
      <c r="Q82" s="610"/>
      <c r="R82" s="610"/>
      <c r="S82" s="440"/>
    </row>
    <row r="83" spans="1:19" ht="12.75" customHeight="1" x14ac:dyDescent="0.2">
      <c r="A83" s="440"/>
      <c r="B83" s="320"/>
      <c r="C83" s="320"/>
      <c r="D83" s="418" t="s">
        <v>548</v>
      </c>
      <c r="E83" s="748"/>
      <c r="F83" s="446"/>
      <c r="G83" s="328" t="s">
        <v>122</v>
      </c>
      <c r="H83" s="446" t="s">
        <v>123</v>
      </c>
      <c r="I83" s="751"/>
      <c r="J83" s="751"/>
      <c r="K83" s="328" t="s">
        <v>93</v>
      </c>
      <c r="L83" s="643"/>
      <c r="M83" s="610"/>
      <c r="N83" s="610"/>
      <c r="O83" s="610"/>
      <c r="P83" s="610"/>
      <c r="Q83" s="610"/>
      <c r="R83" s="610"/>
      <c r="S83" s="440"/>
    </row>
    <row r="84" spans="1:19" ht="12.75" customHeight="1" x14ac:dyDescent="0.2">
      <c r="A84" s="440"/>
      <c r="B84" s="320"/>
      <c r="C84" s="320"/>
      <c r="D84" s="754"/>
      <c r="E84" s="621" t="s">
        <v>549</v>
      </c>
      <c r="F84" s="576" t="s">
        <v>82</v>
      </c>
      <c r="G84" s="618">
        <f>IFERROR(IF(OR(F84="",F84="keine"),0,LOOKUP(MATCH(F84,'1. Projektangaben'!$C$36:$C$43,0),'1. Projektangaben'!$B$36:$B$43,'1. Projektangaben'!$D$36:$D$43)),0)</f>
        <v>0.15551999999999999</v>
      </c>
      <c r="H84" s="619">
        <f>'2. Energie KW.'!J161</f>
        <v>10000</v>
      </c>
      <c r="I84" s="751"/>
      <c r="J84" s="622"/>
      <c r="K84" s="620">
        <f>G84*H84*-1</f>
        <v>-1555.1999999999998</v>
      </c>
      <c r="L84" s="643"/>
      <c r="M84" s="610"/>
      <c r="N84" s="610"/>
      <c r="O84" s="610"/>
      <c r="P84" s="610"/>
      <c r="Q84" s="610"/>
      <c r="R84" s="610"/>
      <c r="S84" s="440"/>
    </row>
    <row r="85" spans="1:19" ht="12.75" customHeight="1" x14ac:dyDescent="0.2">
      <c r="A85" s="440"/>
      <c r="B85" s="320"/>
      <c r="C85" s="320"/>
      <c r="D85" s="754"/>
      <c r="E85" s="621" t="str">
        <f>'2. Energie KW.'!E36</f>
        <v>Stromeinspeisung PV</v>
      </c>
      <c r="F85" s="1623" t="s">
        <v>534</v>
      </c>
      <c r="G85" s="1624"/>
      <c r="H85" s="619">
        <f>'2. Energie KW.'!J160-H84</f>
        <v>12067</v>
      </c>
      <c r="I85" s="751"/>
      <c r="J85" s="622"/>
      <c r="K85" s="620">
        <f ca="1">'PV-Einspeisung'!AA272*-1</f>
        <v>-603.35</v>
      </c>
      <c r="L85" s="325"/>
      <c r="M85" s="628"/>
      <c r="N85" s="628"/>
      <c r="O85" s="628"/>
      <c r="P85" s="628"/>
      <c r="Q85" s="628"/>
      <c r="R85" s="628"/>
      <c r="S85" s="440"/>
    </row>
    <row r="86" spans="1:19" ht="12.75" customHeight="1" x14ac:dyDescent="0.2">
      <c r="A86" s="440"/>
      <c r="B86" s="320"/>
      <c r="C86" s="320"/>
      <c r="D86" s="610"/>
      <c r="E86" s="610"/>
      <c r="F86" s="621"/>
      <c r="G86" s="446"/>
      <c r="H86" s="610"/>
      <c r="I86" s="324"/>
      <c r="J86" s="324"/>
      <c r="K86" s="1056"/>
      <c r="L86" s="610"/>
      <c r="M86" s="610"/>
      <c r="N86" s="610"/>
      <c r="O86" s="610"/>
      <c r="P86" s="610"/>
      <c r="Q86" s="610"/>
      <c r="R86" s="628"/>
      <c r="S86" s="440"/>
    </row>
    <row r="87" spans="1:19" ht="12.95" customHeight="1" x14ac:dyDescent="0.2">
      <c r="A87" s="440"/>
      <c r="B87" s="320"/>
      <c r="C87" s="547"/>
      <c r="D87" s="557"/>
      <c r="E87" s="557"/>
      <c r="F87" s="557"/>
      <c r="G87" s="557"/>
      <c r="H87" s="605"/>
      <c r="I87" s="610"/>
      <c r="J87" s="610"/>
      <c r="K87" s="1054" t="s">
        <v>94</v>
      </c>
      <c r="L87" s="438"/>
      <c r="M87" s="628"/>
      <c r="N87" s="628"/>
      <c r="O87" s="628"/>
      <c r="P87" s="628"/>
      <c r="Q87" s="628"/>
      <c r="R87" s="628"/>
      <c r="S87" s="440"/>
    </row>
    <row r="88" spans="1:19" ht="12.95" customHeight="1" x14ac:dyDescent="0.2">
      <c r="A88" s="440"/>
      <c r="B88" s="320"/>
      <c r="C88" s="320"/>
      <c r="D88" s="438"/>
      <c r="E88" s="438"/>
      <c r="F88" s="438"/>
      <c r="G88" s="438"/>
      <c r="H88" s="610"/>
      <c r="I88" s="610"/>
      <c r="J88" s="610"/>
      <c r="K88" s="319" t="s">
        <v>93</v>
      </c>
      <c r="L88" s="319"/>
      <c r="M88" s="610"/>
      <c r="N88" s="610"/>
      <c r="O88" s="610"/>
      <c r="P88" s="610"/>
      <c r="Q88" s="610"/>
      <c r="R88" s="610"/>
      <c r="S88" s="440"/>
    </row>
    <row r="89" spans="1:19" ht="12.95" customHeight="1" x14ac:dyDescent="0.2">
      <c r="A89" s="440"/>
      <c r="B89" s="320"/>
      <c r="C89" s="320" t="s">
        <v>86</v>
      </c>
      <c r="D89" s="1621" t="s">
        <v>83</v>
      </c>
      <c r="E89" s="1615"/>
      <c r="F89" s="1616"/>
      <c r="G89" s="1616"/>
      <c r="H89" s="438"/>
      <c r="I89" s="628"/>
      <c r="J89" s="628"/>
      <c r="K89" s="306"/>
      <c r="L89" s="438"/>
      <c r="M89" s="628"/>
      <c r="N89" s="628"/>
      <c r="O89" s="628"/>
      <c r="P89" s="628"/>
      <c r="Q89" s="628"/>
      <c r="R89" s="628"/>
      <c r="S89" s="440"/>
    </row>
    <row r="90" spans="1:19" ht="12.95" customHeight="1" x14ac:dyDescent="0.2">
      <c r="A90" s="440"/>
      <c r="B90" s="321"/>
      <c r="C90" s="321"/>
      <c r="D90" s="612"/>
      <c r="E90" s="625"/>
      <c r="F90" s="626"/>
      <c r="G90" s="626"/>
      <c r="H90" s="613"/>
      <c r="I90" s="324"/>
      <c r="J90" s="324"/>
      <c r="K90" s="613"/>
      <c r="L90" s="613"/>
      <c r="M90" s="324"/>
      <c r="N90" s="324"/>
      <c r="O90" s="324"/>
      <c r="P90" s="324"/>
      <c r="Q90" s="324"/>
      <c r="R90" s="628"/>
      <c r="S90" s="440"/>
    </row>
    <row r="91" spans="1:19" ht="12.95" customHeight="1" x14ac:dyDescent="0.2">
      <c r="A91" s="440"/>
      <c r="B91" s="320"/>
      <c r="C91" s="320"/>
      <c r="D91" s="614"/>
      <c r="E91" s="623"/>
      <c r="F91" s="624"/>
      <c r="G91" s="624"/>
      <c r="H91" s="438"/>
      <c r="I91" s="628"/>
      <c r="J91" s="628"/>
      <c r="K91" s="1053" t="s">
        <v>94</v>
      </c>
      <c r="L91" s="438"/>
      <c r="M91" s="628"/>
      <c r="N91" s="628"/>
      <c r="O91" s="628"/>
      <c r="P91" s="628"/>
      <c r="Q91" s="628"/>
      <c r="R91" s="628"/>
      <c r="S91" s="440"/>
    </row>
    <row r="92" spans="1:19" ht="12.95" customHeight="1" x14ac:dyDescent="0.2">
      <c r="A92" s="440"/>
      <c r="B92" s="320"/>
      <c r="C92" s="320"/>
      <c r="D92" s="320"/>
      <c r="E92" s="628"/>
      <c r="F92" s="629"/>
      <c r="G92" s="438"/>
      <c r="H92" s="438"/>
      <c r="I92" s="610"/>
      <c r="J92" s="610"/>
      <c r="K92" s="319" t="s">
        <v>93</v>
      </c>
      <c r="L92" s="319"/>
      <c r="M92" s="628"/>
      <c r="N92" s="628"/>
      <c r="O92" s="628"/>
      <c r="P92" s="628"/>
      <c r="Q92" s="628"/>
      <c r="R92" s="628"/>
      <c r="S92" s="440"/>
    </row>
    <row r="93" spans="1:19" ht="12.95" customHeight="1" x14ac:dyDescent="0.2">
      <c r="A93" s="440"/>
      <c r="B93" s="609" t="s">
        <v>24</v>
      </c>
      <c r="C93" s="494"/>
      <c r="D93" s="1614" t="s">
        <v>84</v>
      </c>
      <c r="E93" s="1616"/>
      <c r="F93" s="1616"/>
      <c r="G93" s="1617"/>
      <c r="H93" s="438"/>
      <c r="I93" s="610"/>
      <c r="J93" s="610"/>
      <c r="K93" s="1131">
        <f>K95+K96+K94</f>
        <v>0</v>
      </c>
      <c r="L93" s="628"/>
      <c r="M93" s="628"/>
      <c r="N93" s="628"/>
      <c r="O93" s="628"/>
      <c r="P93" s="628"/>
      <c r="Q93" s="628"/>
      <c r="R93" s="628"/>
      <c r="S93" s="440"/>
    </row>
    <row r="94" spans="1:19" ht="12.95" customHeight="1" x14ac:dyDescent="0.2">
      <c r="A94" s="440"/>
      <c r="B94" s="609"/>
      <c r="C94" s="320" t="s">
        <v>407</v>
      </c>
      <c r="D94" s="1621" t="s">
        <v>408</v>
      </c>
      <c r="E94" s="1622"/>
      <c r="F94" s="1617"/>
      <c r="G94" s="1617"/>
      <c r="H94" s="322"/>
      <c r="I94" s="610"/>
      <c r="J94" s="610"/>
      <c r="K94" s="1132"/>
      <c r="L94" s="628"/>
      <c r="M94" s="628"/>
      <c r="N94" s="628"/>
      <c r="O94" s="628"/>
      <c r="P94" s="628"/>
      <c r="Q94" s="628"/>
      <c r="R94" s="628"/>
      <c r="S94" s="440"/>
    </row>
    <row r="95" spans="1:19" ht="12.95" customHeight="1" x14ac:dyDescent="0.2">
      <c r="A95" s="440"/>
      <c r="B95" s="320"/>
      <c r="C95" s="320" t="s">
        <v>85</v>
      </c>
      <c r="D95" s="1621" t="s">
        <v>87</v>
      </c>
      <c r="E95" s="1622"/>
      <c r="F95" s="1617"/>
      <c r="G95" s="1617"/>
      <c r="H95" s="322"/>
      <c r="I95" s="610"/>
      <c r="J95" s="610"/>
      <c r="K95" s="1132"/>
      <c r="L95" s="438"/>
      <c r="M95" s="322"/>
      <c r="N95" s="322"/>
      <c r="O95" s="322"/>
      <c r="P95" s="322"/>
      <c r="Q95" s="322"/>
      <c r="R95" s="322"/>
      <c r="S95" s="440"/>
    </row>
    <row r="96" spans="1:19" ht="12.95" customHeight="1" x14ac:dyDescent="0.2">
      <c r="A96" s="440"/>
      <c r="B96" s="320"/>
      <c r="C96" s="320" t="s">
        <v>88</v>
      </c>
      <c r="D96" s="1621" t="s">
        <v>89</v>
      </c>
      <c r="E96" s="1615"/>
      <c r="F96" s="1616"/>
      <c r="G96" s="1616"/>
      <c r="H96" s="438"/>
      <c r="I96" s="628"/>
      <c r="J96" s="628"/>
      <c r="K96" s="1132"/>
      <c r="L96" s="438"/>
      <c r="M96" s="325"/>
      <c r="N96" s="325"/>
      <c r="O96" s="325"/>
      <c r="P96" s="325"/>
      <c r="Q96" s="325"/>
      <c r="R96" s="325"/>
      <c r="S96" s="440"/>
    </row>
    <row r="97" spans="1:19" ht="12.95" customHeight="1" x14ac:dyDescent="0.2">
      <c r="A97" s="440"/>
      <c r="B97" s="320"/>
      <c r="C97" s="320"/>
      <c r="D97" s="612"/>
      <c r="E97" s="625"/>
      <c r="F97" s="626"/>
      <c r="G97" s="626"/>
      <c r="H97" s="613"/>
      <c r="I97" s="324"/>
      <c r="J97" s="324"/>
      <c r="K97" s="613"/>
      <c r="L97" s="613"/>
      <c r="M97" s="326"/>
      <c r="N97" s="326"/>
      <c r="O97" s="326"/>
      <c r="P97" s="326"/>
      <c r="Q97" s="326"/>
      <c r="R97" s="325"/>
      <c r="S97" s="440"/>
    </row>
    <row r="98" spans="1:19" ht="12.95" customHeight="1" x14ac:dyDescent="0.2">
      <c r="A98" s="440"/>
      <c r="B98" s="605"/>
      <c r="C98" s="605"/>
      <c r="D98" s="628"/>
      <c r="E98" s="628"/>
      <c r="F98" s="628"/>
      <c r="G98" s="628"/>
      <c r="H98" s="322"/>
      <c r="I98" s="610"/>
      <c r="J98" s="610"/>
      <c r="K98" s="1053" t="s">
        <v>94</v>
      </c>
      <c r="L98" s="438"/>
      <c r="M98" s="322"/>
      <c r="N98" s="322"/>
      <c r="O98" s="322"/>
      <c r="P98" s="322"/>
      <c r="Q98" s="322"/>
      <c r="R98" s="322"/>
      <c r="S98" s="440"/>
    </row>
    <row r="99" spans="1:19" ht="12.95" customHeight="1" x14ac:dyDescent="0.2">
      <c r="A99" s="440"/>
      <c r="B99" s="609" t="s">
        <v>14</v>
      </c>
      <c r="C99" s="449"/>
      <c r="D99" s="1618" t="s">
        <v>90</v>
      </c>
      <c r="E99" s="1619"/>
      <c r="F99" s="1620"/>
      <c r="G99" s="628"/>
      <c r="H99" s="322"/>
      <c r="I99" s="610"/>
      <c r="J99" s="610"/>
      <c r="K99" s="319" t="s">
        <v>93</v>
      </c>
      <c r="L99" s="319"/>
      <c r="M99" s="322"/>
      <c r="N99" s="322"/>
      <c r="O99" s="322"/>
      <c r="P99" s="322"/>
      <c r="Q99" s="322"/>
      <c r="R99" s="322"/>
      <c r="S99" s="440"/>
    </row>
    <row r="100" spans="1:19" ht="12.95" customHeight="1" x14ac:dyDescent="0.2">
      <c r="A100" s="440"/>
      <c r="B100" s="320"/>
      <c r="C100" s="320"/>
      <c r="D100" s="610"/>
      <c r="E100" s="610"/>
      <c r="F100" s="1612"/>
      <c r="G100" s="1613"/>
      <c r="H100" s="1613"/>
      <c r="I100" s="426"/>
      <c r="J100" s="409"/>
      <c r="K100" s="306"/>
      <c r="L100" s="613"/>
      <c r="M100" s="326"/>
      <c r="N100" s="326"/>
      <c r="O100" s="326"/>
      <c r="P100" s="326"/>
      <c r="Q100" s="326"/>
      <c r="R100" s="325"/>
      <c r="S100" s="440"/>
    </row>
    <row r="101" spans="1:19" ht="12.95" customHeight="1" x14ac:dyDescent="0.2">
      <c r="A101" s="440"/>
      <c r="B101" s="547"/>
      <c r="C101" s="547"/>
      <c r="D101" s="630"/>
      <c r="E101" s="631"/>
      <c r="F101" s="632"/>
      <c r="G101" s="632"/>
      <c r="H101" s="438"/>
      <c r="I101" s="628"/>
      <c r="J101" s="628"/>
      <c r="K101" s="1053" t="s">
        <v>94</v>
      </c>
      <c r="L101" s="438"/>
      <c r="M101" s="325"/>
      <c r="N101" s="325"/>
      <c r="O101" s="325"/>
      <c r="P101" s="325"/>
      <c r="Q101" s="325"/>
      <c r="R101" s="325"/>
      <c r="S101" s="440"/>
    </row>
    <row r="102" spans="1:19" ht="12.95" customHeight="1" x14ac:dyDescent="0.2">
      <c r="A102" s="440"/>
      <c r="B102" s="628"/>
      <c r="C102" s="628"/>
      <c r="D102" s="628"/>
      <c r="E102" s="628"/>
      <c r="F102" s="628"/>
      <c r="G102" s="610"/>
      <c r="H102" s="322"/>
      <c r="I102" s="610"/>
      <c r="J102" s="610"/>
      <c r="K102" s="319" t="s">
        <v>93</v>
      </c>
      <c r="L102" s="319"/>
      <c r="M102" s="322"/>
      <c r="N102" s="322"/>
      <c r="O102" s="322"/>
      <c r="P102" s="322"/>
      <c r="Q102" s="322"/>
      <c r="R102" s="322"/>
      <c r="S102" s="440"/>
    </row>
    <row r="103" spans="1:19" ht="12.95" customHeight="1" x14ac:dyDescent="0.2">
      <c r="A103" s="440"/>
      <c r="B103" s="609" t="s">
        <v>8</v>
      </c>
      <c r="C103" s="494"/>
      <c r="D103" s="1614" t="s">
        <v>91</v>
      </c>
      <c r="E103" s="1615"/>
      <c r="F103" s="1616"/>
      <c r="G103" s="1617"/>
      <c r="H103" s="322"/>
      <c r="I103" s="610"/>
      <c r="J103" s="610"/>
      <c r="K103" s="1131">
        <f>K104+K105+K106</f>
        <v>0</v>
      </c>
      <c r="L103" s="628"/>
      <c r="M103" s="322"/>
      <c r="N103" s="322"/>
      <c r="O103" s="322"/>
      <c r="P103" s="322"/>
      <c r="Q103" s="322"/>
      <c r="R103" s="322"/>
      <c r="S103" s="440"/>
    </row>
    <row r="104" spans="1:19" ht="12.95" customHeight="1" x14ac:dyDescent="0.2">
      <c r="A104" s="440"/>
      <c r="B104" s="320"/>
      <c r="C104" s="320"/>
      <c r="D104" s="320"/>
      <c r="E104" s="610"/>
      <c r="F104" s="1612"/>
      <c r="G104" s="1613"/>
      <c r="H104" s="1613"/>
      <c r="I104" s="610"/>
      <c r="J104" s="610"/>
      <c r="K104" s="1132"/>
      <c r="L104" s="438"/>
      <c r="M104" s="325"/>
      <c r="N104" s="325"/>
      <c r="O104" s="325"/>
      <c r="P104" s="325"/>
      <c r="Q104" s="325"/>
      <c r="R104" s="325"/>
      <c r="S104" s="440"/>
    </row>
    <row r="105" spans="1:19" ht="12.95" customHeight="1" x14ac:dyDescent="0.2">
      <c r="A105" s="440"/>
      <c r="B105" s="320"/>
      <c r="C105" s="320"/>
      <c r="D105" s="320"/>
      <c r="E105" s="610"/>
      <c r="F105" s="1612"/>
      <c r="G105" s="1613"/>
      <c r="H105" s="1613"/>
      <c r="I105" s="610"/>
      <c r="J105" s="610"/>
      <c r="K105" s="1132"/>
      <c r="L105" s="438"/>
      <c r="M105" s="325"/>
      <c r="N105" s="325"/>
      <c r="O105" s="325"/>
      <c r="P105" s="325"/>
      <c r="Q105" s="325"/>
      <c r="R105" s="325"/>
      <c r="S105" s="440"/>
    </row>
    <row r="106" spans="1:19" ht="12.95" customHeight="1" x14ac:dyDescent="0.2">
      <c r="A106" s="440"/>
      <c r="B106" s="320"/>
      <c r="C106" s="320"/>
      <c r="D106" s="320"/>
      <c r="E106" s="610"/>
      <c r="F106" s="1612"/>
      <c r="G106" s="1613"/>
      <c r="H106" s="1613"/>
      <c r="I106" s="628"/>
      <c r="J106" s="628"/>
      <c r="K106" s="1132"/>
      <c r="L106" s="438"/>
      <c r="M106" s="325"/>
      <c r="N106" s="325"/>
      <c r="O106" s="325"/>
      <c r="P106" s="325"/>
      <c r="Q106" s="325"/>
      <c r="R106" s="325"/>
      <c r="S106" s="440"/>
    </row>
    <row r="107" spans="1:19" ht="12.95" customHeight="1" x14ac:dyDescent="0.2">
      <c r="A107" s="440"/>
      <c r="B107" s="423"/>
      <c r="C107" s="423"/>
      <c r="D107" s="423"/>
      <c r="E107" s="423"/>
      <c r="F107" s="423"/>
      <c r="G107" s="633"/>
      <c r="H107" s="633"/>
      <c r="I107" s="324"/>
      <c r="J107" s="324"/>
      <c r="K107" s="613"/>
      <c r="L107" s="613"/>
      <c r="M107" s="326"/>
      <c r="N107" s="326"/>
      <c r="O107" s="326"/>
      <c r="P107" s="326"/>
      <c r="Q107" s="326"/>
      <c r="R107" s="325"/>
      <c r="S107" s="440"/>
    </row>
    <row r="108" spans="1:19" x14ac:dyDescent="0.2">
      <c r="A108" s="440"/>
      <c r="B108" s="610"/>
      <c r="C108" s="610"/>
      <c r="D108" s="610"/>
      <c r="E108" s="610"/>
      <c r="F108" s="610"/>
      <c r="G108" s="610"/>
      <c r="H108" s="610"/>
      <c r="I108" s="610"/>
      <c r="J108" s="610"/>
      <c r="K108" s="1053" t="s">
        <v>94</v>
      </c>
      <c r="L108" s="610"/>
      <c r="M108" s="610"/>
      <c r="N108" s="610"/>
      <c r="O108" s="610"/>
      <c r="P108" s="610"/>
      <c r="Q108" s="610"/>
      <c r="R108" s="610"/>
      <c r="S108" s="440"/>
    </row>
    <row r="109" spans="1:19" x14ac:dyDescent="0.2">
      <c r="A109" s="440"/>
      <c r="B109" s="610"/>
      <c r="C109" s="610"/>
      <c r="D109" s="610"/>
      <c r="E109" s="610"/>
      <c r="F109" s="610"/>
      <c r="G109" s="610"/>
      <c r="H109" s="610"/>
      <c r="I109" s="610"/>
      <c r="J109" s="610"/>
      <c r="K109" s="319" t="s">
        <v>93</v>
      </c>
      <c r="L109" s="610"/>
      <c r="M109" s="610"/>
      <c r="N109" s="610"/>
      <c r="O109" s="610"/>
      <c r="P109" s="610"/>
      <c r="Q109" s="610"/>
      <c r="R109" s="610"/>
      <c r="S109" s="440"/>
    </row>
    <row r="110" spans="1:19" ht="15" x14ac:dyDescent="0.2">
      <c r="A110" s="440"/>
      <c r="B110" s="609" t="s">
        <v>409</v>
      </c>
      <c r="C110" s="494"/>
      <c r="D110" s="1618" t="s">
        <v>406</v>
      </c>
      <c r="E110" s="1619"/>
      <c r="F110" s="1620"/>
      <c r="G110" s="610"/>
      <c r="H110" s="610"/>
      <c r="I110" s="610"/>
      <c r="J110" s="610"/>
      <c r="K110" s="1131">
        <f>K112+K113+K114</f>
        <v>0</v>
      </c>
      <c r="L110" s="610"/>
      <c r="M110" s="610"/>
      <c r="N110" s="610"/>
      <c r="O110" s="610"/>
      <c r="P110" s="610"/>
      <c r="Q110" s="610"/>
      <c r="R110" s="610"/>
      <c r="S110" s="440"/>
    </row>
    <row r="111" spans="1:19" ht="15" x14ac:dyDescent="0.2">
      <c r="A111" s="440"/>
      <c r="B111" s="609"/>
      <c r="C111" s="494"/>
      <c r="D111" s="609"/>
      <c r="E111" s="628"/>
      <c r="F111" s="629"/>
      <c r="G111" s="610"/>
      <c r="H111" s="610"/>
      <c r="I111" s="610"/>
      <c r="J111" s="610"/>
      <c r="K111" s="1056"/>
      <c r="L111" s="610"/>
      <c r="M111" s="610"/>
      <c r="N111" s="610"/>
      <c r="O111" s="610"/>
      <c r="P111" s="610"/>
      <c r="Q111" s="610"/>
      <c r="R111" s="610"/>
      <c r="S111" s="440"/>
    </row>
    <row r="112" spans="1:19" ht="15" x14ac:dyDescent="0.2">
      <c r="A112" s="440"/>
      <c r="B112" s="610"/>
      <c r="C112" s="610"/>
      <c r="D112" s="610"/>
      <c r="E112" s="610"/>
      <c r="F112" s="1612"/>
      <c r="G112" s="1613"/>
      <c r="H112" s="1613"/>
      <c r="I112" s="610"/>
      <c r="J112" s="610"/>
      <c r="K112" s="1132"/>
      <c r="L112" s="610"/>
      <c r="M112" s="610"/>
      <c r="N112" s="610"/>
      <c r="O112" s="610"/>
      <c r="P112" s="610"/>
      <c r="Q112" s="610"/>
      <c r="R112" s="610"/>
      <c r="S112" s="440"/>
    </row>
    <row r="113" spans="1:19" ht="15" x14ac:dyDescent="0.2">
      <c r="A113" s="440"/>
      <c r="B113" s="610"/>
      <c r="C113" s="610"/>
      <c r="D113" s="610"/>
      <c r="E113" s="610"/>
      <c r="F113" s="1612"/>
      <c r="G113" s="1613"/>
      <c r="H113" s="1613"/>
      <c r="I113" s="610"/>
      <c r="J113" s="610"/>
      <c r="K113" s="1132"/>
      <c r="L113" s="610"/>
      <c r="M113" s="610"/>
      <c r="N113" s="610"/>
      <c r="O113" s="610"/>
      <c r="P113" s="610"/>
      <c r="Q113" s="610"/>
      <c r="R113" s="610"/>
      <c r="S113" s="440"/>
    </row>
    <row r="114" spans="1:19" ht="15" x14ac:dyDescent="0.2">
      <c r="A114" s="440"/>
      <c r="B114" s="610"/>
      <c r="C114" s="610"/>
      <c r="D114" s="610"/>
      <c r="E114" s="610"/>
      <c r="F114" s="1612"/>
      <c r="G114" s="1613"/>
      <c r="H114" s="1613"/>
      <c r="I114" s="610"/>
      <c r="J114" s="610"/>
      <c r="K114" s="1132"/>
      <c r="L114" s="610"/>
      <c r="M114" s="610"/>
      <c r="N114" s="610"/>
      <c r="O114" s="610"/>
      <c r="P114" s="610"/>
      <c r="Q114" s="610"/>
      <c r="R114" s="610"/>
      <c r="S114" s="440"/>
    </row>
    <row r="115" spans="1:19" x14ac:dyDescent="0.2">
      <c r="A115" s="440"/>
      <c r="B115" s="324"/>
      <c r="C115" s="324"/>
      <c r="D115" s="324"/>
      <c r="E115" s="324"/>
      <c r="F115" s="324"/>
      <c r="G115" s="324"/>
      <c r="H115" s="324"/>
      <c r="I115" s="324"/>
      <c r="J115" s="324"/>
      <c r="K115" s="324"/>
      <c r="L115" s="324"/>
      <c r="M115" s="324"/>
      <c r="N115" s="324"/>
      <c r="O115" s="324"/>
      <c r="P115" s="324"/>
      <c r="Q115" s="324"/>
      <c r="R115" s="628"/>
      <c r="S115" s="440"/>
    </row>
    <row r="116" spans="1:19" x14ac:dyDescent="0.2">
      <c r="A116" s="440"/>
      <c r="B116" s="440"/>
      <c r="C116" s="440"/>
      <c r="D116" s="329"/>
      <c r="E116" s="329"/>
      <c r="F116" s="329"/>
      <c r="G116" s="329"/>
      <c r="H116" s="329"/>
      <c r="I116" s="329"/>
      <c r="J116" s="329"/>
      <c r="K116" s="329"/>
      <c r="L116" s="329"/>
      <c r="M116" s="329"/>
      <c r="N116" s="329"/>
      <c r="O116" s="329"/>
      <c r="P116" s="329"/>
      <c r="Q116" s="329"/>
      <c r="R116" s="440"/>
      <c r="S116" s="440"/>
    </row>
    <row r="117" spans="1:19" x14ac:dyDescent="0.2">
      <c r="A117" s="440"/>
      <c r="S117" s="440"/>
    </row>
    <row r="118" spans="1:19" x14ac:dyDescent="0.2">
      <c r="A118" s="440"/>
      <c r="S118" s="440"/>
    </row>
    <row r="119" spans="1:19" x14ac:dyDescent="0.2">
      <c r="A119" s="440"/>
      <c r="S119" s="440"/>
    </row>
    <row r="120" spans="1:19" x14ac:dyDescent="0.2">
      <c r="A120" s="440"/>
      <c r="S120" s="440"/>
    </row>
    <row r="121" spans="1:19" x14ac:dyDescent="0.2">
      <c r="A121" s="440"/>
      <c r="S121" s="440"/>
    </row>
    <row r="122" spans="1:19" x14ac:dyDescent="0.2">
      <c r="A122" s="440"/>
      <c r="S122" s="440"/>
    </row>
    <row r="123" spans="1:19" x14ac:dyDescent="0.2">
      <c r="A123" s="440"/>
      <c r="S123" s="440"/>
    </row>
    <row r="124" spans="1:19" x14ac:dyDescent="0.2">
      <c r="A124" s="440"/>
      <c r="S124" s="440"/>
    </row>
    <row r="125" spans="1:19" x14ac:dyDescent="0.2">
      <c r="A125" s="440"/>
      <c r="S125" s="440"/>
    </row>
    <row r="126" spans="1:19" x14ac:dyDescent="0.2">
      <c r="A126" s="440"/>
      <c r="S126" s="440"/>
    </row>
    <row r="127" spans="1:19" x14ac:dyDescent="0.2">
      <c r="A127" s="440"/>
      <c r="S127" s="440"/>
    </row>
    <row r="128" spans="1:19" x14ac:dyDescent="0.2">
      <c r="A128" s="440"/>
      <c r="S128" s="440"/>
    </row>
    <row r="129" spans="1:19" x14ac:dyDescent="0.2">
      <c r="A129" s="440"/>
      <c r="S129" s="440"/>
    </row>
    <row r="130" spans="1:19" x14ac:dyDescent="0.2">
      <c r="A130" s="440"/>
      <c r="S130" s="440"/>
    </row>
    <row r="131" spans="1:19" x14ac:dyDescent="0.2">
      <c r="A131" s="440"/>
      <c r="S131" s="440"/>
    </row>
    <row r="132" spans="1:19" x14ac:dyDescent="0.2">
      <c r="A132" s="440"/>
      <c r="S132" s="440"/>
    </row>
    <row r="133" spans="1:19" x14ac:dyDescent="0.2">
      <c r="A133" s="440"/>
      <c r="S133" s="440"/>
    </row>
    <row r="134" spans="1:19" x14ac:dyDescent="0.2">
      <c r="A134" s="440"/>
      <c r="S134" s="440"/>
    </row>
    <row r="135" spans="1:19" x14ac:dyDescent="0.2">
      <c r="A135" s="440"/>
      <c r="S135" s="440"/>
    </row>
    <row r="136" spans="1:19" x14ac:dyDescent="0.2">
      <c r="A136" s="440"/>
      <c r="S136" s="440"/>
    </row>
    <row r="137" spans="1:19" x14ac:dyDescent="0.2">
      <c r="A137" s="440"/>
      <c r="S137" s="440"/>
    </row>
    <row r="138" spans="1:19" x14ac:dyDescent="0.2">
      <c r="A138" s="440"/>
      <c r="S138" s="440"/>
    </row>
    <row r="139" spans="1:19" x14ac:dyDescent="0.2">
      <c r="A139" s="440"/>
      <c r="S139" s="440"/>
    </row>
    <row r="140" spans="1:19" x14ac:dyDescent="0.2">
      <c r="A140" s="440"/>
      <c r="S140" s="440"/>
    </row>
    <row r="141" spans="1:19" x14ac:dyDescent="0.2">
      <c r="A141" s="440"/>
      <c r="S141" s="440"/>
    </row>
    <row r="142" spans="1:19" x14ac:dyDescent="0.2">
      <c r="A142" s="440"/>
      <c r="S142" s="440"/>
    </row>
    <row r="143" spans="1:19" x14ac:dyDescent="0.2">
      <c r="A143" s="440"/>
      <c r="S143" s="440"/>
    </row>
    <row r="144" spans="1:19" x14ac:dyDescent="0.2">
      <c r="A144" s="440"/>
      <c r="S144" s="440"/>
    </row>
    <row r="145" spans="1:19" x14ac:dyDescent="0.2">
      <c r="A145" s="440"/>
      <c r="S145" s="440"/>
    </row>
    <row r="146" spans="1:19" x14ac:dyDescent="0.2">
      <c r="A146" s="440"/>
      <c r="S146" s="440"/>
    </row>
    <row r="147" spans="1:19" x14ac:dyDescent="0.2">
      <c r="A147" s="440"/>
      <c r="S147" s="440"/>
    </row>
    <row r="148" spans="1:19" x14ac:dyDescent="0.2">
      <c r="A148" s="440"/>
      <c r="S148" s="440"/>
    </row>
    <row r="149" spans="1:19" x14ac:dyDescent="0.2">
      <c r="A149" s="440"/>
      <c r="S149" s="440"/>
    </row>
    <row r="150" spans="1:19" x14ac:dyDescent="0.2">
      <c r="A150" s="440"/>
      <c r="S150" s="440"/>
    </row>
    <row r="151" spans="1:19" x14ac:dyDescent="0.2">
      <c r="A151" s="440"/>
      <c r="S151" s="440"/>
    </row>
    <row r="152" spans="1:19" x14ac:dyDescent="0.2">
      <c r="A152" s="440"/>
      <c r="S152" s="440"/>
    </row>
    <row r="153" spans="1:19" x14ac:dyDescent="0.2">
      <c r="A153" s="440"/>
      <c r="S153" s="440"/>
    </row>
    <row r="154" spans="1:19" x14ac:dyDescent="0.2">
      <c r="A154" s="440"/>
      <c r="S154" s="440"/>
    </row>
    <row r="155" spans="1:19" x14ac:dyDescent="0.2">
      <c r="A155" s="440"/>
      <c r="S155" s="440"/>
    </row>
    <row r="156" spans="1:19" x14ac:dyDescent="0.2">
      <c r="A156" s="440"/>
      <c r="S156" s="440"/>
    </row>
    <row r="157" spans="1:19" ht="11.25" customHeight="1" x14ac:dyDescent="0.2">
      <c r="A157" s="440"/>
      <c r="S157" s="440"/>
    </row>
    <row r="158" spans="1:19" x14ac:dyDescent="0.2">
      <c r="A158" s="440"/>
      <c r="S158" s="440"/>
    </row>
    <row r="159" spans="1:19" x14ac:dyDescent="0.2">
      <c r="A159" s="440"/>
      <c r="S159" s="440"/>
    </row>
    <row r="160" spans="1:19" x14ac:dyDescent="0.2">
      <c r="A160" s="440"/>
      <c r="S160" s="440"/>
    </row>
    <row r="161" spans="1:19" x14ac:dyDescent="0.2">
      <c r="A161" s="440"/>
      <c r="S161" s="440"/>
    </row>
    <row r="162" spans="1:19" x14ac:dyDescent="0.2">
      <c r="A162" s="440"/>
      <c r="S162" s="440"/>
    </row>
    <row r="163" spans="1:19" x14ac:dyDescent="0.2">
      <c r="A163" s="440"/>
      <c r="S163" s="440"/>
    </row>
    <row r="164" spans="1:19" x14ac:dyDescent="0.2">
      <c r="A164" s="440"/>
      <c r="S164" s="440"/>
    </row>
    <row r="165" spans="1:19" x14ac:dyDescent="0.2">
      <c r="A165" s="440"/>
      <c r="S165" s="440"/>
    </row>
    <row r="166" spans="1:19" x14ac:dyDescent="0.2">
      <c r="A166" s="440"/>
      <c r="S166" s="440"/>
    </row>
    <row r="167" spans="1:19" x14ac:dyDescent="0.2">
      <c r="A167" s="440"/>
      <c r="S167" s="440"/>
    </row>
    <row r="168" spans="1:19" x14ac:dyDescent="0.2">
      <c r="A168" s="440"/>
      <c r="S168" s="440"/>
    </row>
    <row r="169" spans="1:19" x14ac:dyDescent="0.2">
      <c r="A169" s="440"/>
      <c r="S169" s="440"/>
    </row>
    <row r="170" spans="1:19" x14ac:dyDescent="0.2">
      <c r="A170" s="440"/>
      <c r="S170" s="440"/>
    </row>
    <row r="171" spans="1:19" x14ac:dyDescent="0.2">
      <c r="A171" s="440"/>
      <c r="S171" s="440"/>
    </row>
    <row r="172" spans="1:19" x14ac:dyDescent="0.2">
      <c r="A172" s="440"/>
      <c r="S172" s="440"/>
    </row>
    <row r="173" spans="1:19" x14ac:dyDescent="0.2">
      <c r="A173" s="440"/>
      <c r="S173" s="440"/>
    </row>
    <row r="174" spans="1:19" x14ac:dyDescent="0.2">
      <c r="A174" s="440"/>
      <c r="S174" s="440"/>
    </row>
    <row r="175" spans="1:19" x14ac:dyDescent="0.2">
      <c r="A175" s="440"/>
      <c r="S175" s="440"/>
    </row>
    <row r="176" spans="1:19" x14ac:dyDescent="0.2">
      <c r="A176" s="440"/>
      <c r="S176" s="440"/>
    </row>
    <row r="177" spans="1:19" x14ac:dyDescent="0.2">
      <c r="A177" s="440"/>
      <c r="S177" s="440"/>
    </row>
    <row r="178" spans="1:19" x14ac:dyDescent="0.2">
      <c r="A178" s="440"/>
      <c r="S178" s="440"/>
    </row>
    <row r="179" spans="1:19" x14ac:dyDescent="0.2">
      <c r="A179" s="440"/>
      <c r="S179" s="440"/>
    </row>
    <row r="180" spans="1:19" x14ac:dyDescent="0.2">
      <c r="A180" s="440"/>
      <c r="S180" s="440"/>
    </row>
    <row r="181" spans="1:19" x14ac:dyDescent="0.2">
      <c r="A181" s="440"/>
      <c r="S181" s="440"/>
    </row>
    <row r="182" spans="1:19" x14ac:dyDescent="0.2">
      <c r="A182" s="440"/>
      <c r="S182" s="440"/>
    </row>
    <row r="183" spans="1:19" x14ac:dyDescent="0.2">
      <c r="A183" s="440"/>
      <c r="S183" s="440"/>
    </row>
    <row r="184" spans="1:19" x14ac:dyDescent="0.2">
      <c r="A184" s="440"/>
      <c r="S184" s="440"/>
    </row>
    <row r="185" spans="1:19" x14ac:dyDescent="0.2">
      <c r="A185" s="440"/>
      <c r="S185" s="440"/>
    </row>
    <row r="186" spans="1:19" x14ac:dyDescent="0.2">
      <c r="A186" s="440"/>
      <c r="S186" s="440"/>
    </row>
    <row r="187" spans="1:19" x14ac:dyDescent="0.2">
      <c r="A187" s="440"/>
      <c r="S187" s="440"/>
    </row>
    <row r="188" spans="1:19" x14ac:dyDescent="0.2">
      <c r="A188" s="440"/>
      <c r="S188" s="440"/>
    </row>
    <row r="189" spans="1:19" x14ac:dyDescent="0.2">
      <c r="A189" s="440"/>
      <c r="S189" s="440"/>
    </row>
    <row r="190" spans="1:19" x14ac:dyDescent="0.2">
      <c r="A190" s="440"/>
      <c r="S190" s="440"/>
    </row>
    <row r="191" spans="1:19" x14ac:dyDescent="0.2">
      <c r="A191" s="440"/>
      <c r="S191" s="440"/>
    </row>
    <row r="192" spans="1:19" x14ac:dyDescent="0.2">
      <c r="A192" s="440"/>
      <c r="S192" s="440"/>
    </row>
    <row r="193" spans="1:19" x14ac:dyDescent="0.2">
      <c r="A193" s="440"/>
      <c r="S193" s="440"/>
    </row>
    <row r="194" spans="1:19" x14ac:dyDescent="0.2">
      <c r="A194" s="440"/>
      <c r="S194" s="440"/>
    </row>
    <row r="195" spans="1:19" x14ac:dyDescent="0.2">
      <c r="A195" s="440"/>
      <c r="S195" s="440"/>
    </row>
    <row r="196" spans="1:19" x14ac:dyDescent="0.2">
      <c r="A196" s="440"/>
      <c r="S196" s="440"/>
    </row>
    <row r="197" spans="1:19" x14ac:dyDescent="0.2">
      <c r="A197" s="440"/>
      <c r="S197" s="440"/>
    </row>
    <row r="198" spans="1:19" x14ac:dyDescent="0.2">
      <c r="A198" s="440"/>
      <c r="S198" s="440"/>
    </row>
    <row r="199" spans="1:19" x14ac:dyDescent="0.2">
      <c r="A199" s="440"/>
      <c r="S199" s="440"/>
    </row>
    <row r="200" spans="1:19" x14ac:dyDescent="0.2">
      <c r="A200" s="440"/>
      <c r="S200" s="440"/>
    </row>
    <row r="201" spans="1:19" x14ac:dyDescent="0.2">
      <c r="A201" s="440"/>
      <c r="S201" s="440"/>
    </row>
    <row r="202" spans="1:19" x14ac:dyDescent="0.2">
      <c r="A202" s="440"/>
      <c r="S202" s="440"/>
    </row>
    <row r="203" spans="1:19" x14ac:dyDescent="0.2">
      <c r="A203" s="440"/>
      <c r="S203" s="440"/>
    </row>
    <row r="204" spans="1:19" x14ac:dyDescent="0.2">
      <c r="A204" s="440"/>
      <c r="S204" s="440"/>
    </row>
    <row r="205" spans="1:19" x14ac:dyDescent="0.2">
      <c r="A205" s="440"/>
      <c r="S205" s="440"/>
    </row>
    <row r="206" spans="1:19" x14ac:dyDescent="0.2">
      <c r="A206" s="440"/>
      <c r="S206" s="440"/>
    </row>
    <row r="207" spans="1:19" x14ac:dyDescent="0.2">
      <c r="A207" s="440"/>
      <c r="S207" s="440"/>
    </row>
    <row r="208" spans="1:19" x14ac:dyDescent="0.2">
      <c r="A208" s="440"/>
      <c r="S208" s="440"/>
    </row>
    <row r="209" spans="1:19" x14ac:dyDescent="0.2">
      <c r="A209" s="440"/>
      <c r="S209" s="440"/>
    </row>
    <row r="210" spans="1:19" x14ac:dyDescent="0.2">
      <c r="A210" s="440"/>
      <c r="S210" s="440"/>
    </row>
    <row r="211" spans="1:19" x14ac:dyDescent="0.2">
      <c r="A211" s="440"/>
      <c r="S211" s="440"/>
    </row>
    <row r="212" spans="1:19" x14ac:dyDescent="0.2">
      <c r="A212" s="440"/>
      <c r="S212" s="440"/>
    </row>
    <row r="213" spans="1:19" x14ac:dyDescent="0.2">
      <c r="A213" s="440"/>
      <c r="S213" s="440"/>
    </row>
    <row r="214" spans="1:19" x14ac:dyDescent="0.2">
      <c r="A214" s="440"/>
      <c r="S214" s="440"/>
    </row>
    <row r="215" spans="1:19" x14ac:dyDescent="0.2">
      <c r="A215" s="440"/>
      <c r="S215" s="440"/>
    </row>
    <row r="216" spans="1:19" x14ac:dyDescent="0.2">
      <c r="A216" s="440"/>
      <c r="S216" s="440"/>
    </row>
    <row r="217" spans="1:19" x14ac:dyDescent="0.2">
      <c r="A217" s="440"/>
      <c r="S217" s="440"/>
    </row>
    <row r="218" spans="1:19" x14ac:dyDescent="0.2">
      <c r="A218" s="440"/>
      <c r="S218" s="440"/>
    </row>
    <row r="219" spans="1:19" x14ac:dyDescent="0.2">
      <c r="A219" s="440"/>
      <c r="S219" s="440"/>
    </row>
    <row r="220" spans="1:19" x14ac:dyDescent="0.2">
      <c r="A220" s="440"/>
      <c r="S220" s="440"/>
    </row>
    <row r="221" spans="1:19" x14ac:dyDescent="0.2">
      <c r="A221" s="440"/>
      <c r="S221" s="440"/>
    </row>
    <row r="222" spans="1:19" x14ac:dyDescent="0.2">
      <c r="A222" s="440"/>
      <c r="S222" s="440"/>
    </row>
    <row r="223" spans="1:19" x14ac:dyDescent="0.2">
      <c r="A223" s="440"/>
      <c r="S223" s="440"/>
    </row>
    <row r="224" spans="1:19" x14ac:dyDescent="0.2">
      <c r="A224" s="440"/>
      <c r="S224" s="440"/>
    </row>
    <row r="225" spans="1:19" x14ac:dyDescent="0.2">
      <c r="A225" s="440"/>
      <c r="S225" s="440"/>
    </row>
    <row r="226" spans="1:19" x14ac:dyDescent="0.2">
      <c r="A226" s="440"/>
      <c r="S226" s="440"/>
    </row>
    <row r="227" spans="1:19" x14ac:dyDescent="0.2">
      <c r="A227" s="440"/>
      <c r="S227" s="440"/>
    </row>
    <row r="228" spans="1:19" x14ac:dyDescent="0.2">
      <c r="A228" s="440"/>
      <c r="S228" s="440"/>
    </row>
    <row r="229" spans="1:19" x14ac:dyDescent="0.2">
      <c r="A229" s="440"/>
      <c r="S229" s="440"/>
    </row>
    <row r="230" spans="1:19" x14ac:dyDescent="0.2">
      <c r="A230" s="440"/>
      <c r="S230" s="440"/>
    </row>
    <row r="231" spans="1:19" x14ac:dyDescent="0.2">
      <c r="A231" s="440"/>
      <c r="S231" s="440"/>
    </row>
    <row r="232" spans="1:19" x14ac:dyDescent="0.2">
      <c r="A232" s="440"/>
      <c r="S232" s="440"/>
    </row>
    <row r="233" spans="1:19" x14ac:dyDescent="0.2">
      <c r="A233" s="440"/>
      <c r="S233" s="440"/>
    </row>
    <row r="234" spans="1:19" x14ac:dyDescent="0.2">
      <c r="A234" s="440"/>
      <c r="S234" s="440"/>
    </row>
    <row r="235" spans="1:19" x14ac:dyDescent="0.2">
      <c r="A235" s="440"/>
      <c r="S235" s="440"/>
    </row>
    <row r="236" spans="1:19" x14ac:dyDescent="0.2">
      <c r="A236" s="440"/>
      <c r="S236" s="440"/>
    </row>
    <row r="237" spans="1:19" x14ac:dyDescent="0.2">
      <c r="A237" s="440"/>
      <c r="S237" s="440"/>
    </row>
    <row r="238" spans="1:19" x14ac:dyDescent="0.2">
      <c r="A238" s="440"/>
      <c r="S238" s="440"/>
    </row>
    <row r="239" spans="1:19" x14ac:dyDescent="0.2">
      <c r="A239" s="440"/>
      <c r="S239" s="440"/>
    </row>
    <row r="240" spans="1:19" x14ac:dyDescent="0.2">
      <c r="A240" s="440"/>
      <c r="S240" s="440"/>
    </row>
    <row r="241" spans="1:19" x14ac:dyDescent="0.2">
      <c r="A241" s="440"/>
      <c r="S241" s="440"/>
    </row>
    <row r="242" spans="1:19" x14ac:dyDescent="0.2">
      <c r="A242" s="440"/>
      <c r="S242" s="440"/>
    </row>
    <row r="243" spans="1:19" x14ac:dyDescent="0.2">
      <c r="A243" s="440"/>
      <c r="S243" s="440"/>
    </row>
    <row r="244" spans="1:19" x14ac:dyDescent="0.2">
      <c r="A244" s="440"/>
      <c r="S244" s="440"/>
    </row>
    <row r="245" spans="1:19" x14ac:dyDescent="0.2">
      <c r="A245" s="440"/>
      <c r="S245" s="440"/>
    </row>
    <row r="246" spans="1:19" x14ac:dyDescent="0.2">
      <c r="A246" s="440"/>
      <c r="S246" s="440"/>
    </row>
    <row r="247" spans="1:19" x14ac:dyDescent="0.2">
      <c r="A247" s="440"/>
      <c r="S247" s="440"/>
    </row>
    <row r="248" spans="1:19" x14ac:dyDescent="0.2">
      <c r="A248" s="440"/>
      <c r="S248" s="440"/>
    </row>
    <row r="249" spans="1:19" x14ac:dyDescent="0.2">
      <c r="A249" s="440"/>
      <c r="S249" s="440"/>
    </row>
    <row r="250" spans="1:19" x14ac:dyDescent="0.2">
      <c r="A250" s="440"/>
      <c r="S250" s="440"/>
    </row>
    <row r="251" spans="1:19" x14ac:dyDescent="0.2">
      <c r="A251" s="440"/>
      <c r="S251" s="440"/>
    </row>
    <row r="252" spans="1:19" x14ac:dyDescent="0.2">
      <c r="A252" s="440"/>
      <c r="S252" s="440"/>
    </row>
    <row r="253" spans="1:19" x14ac:dyDescent="0.2">
      <c r="A253" s="440"/>
      <c r="S253" s="440"/>
    </row>
    <row r="254" spans="1:19" x14ac:dyDescent="0.2">
      <c r="A254" s="440"/>
      <c r="S254" s="440"/>
    </row>
    <row r="255" spans="1:19" x14ac:dyDescent="0.2">
      <c r="A255" s="440"/>
      <c r="S255" s="440"/>
    </row>
    <row r="256" spans="1:19" x14ac:dyDescent="0.2">
      <c r="A256" s="440"/>
      <c r="S256" s="440"/>
    </row>
    <row r="257" spans="1:19" x14ac:dyDescent="0.2">
      <c r="A257" s="440"/>
      <c r="S257" s="440"/>
    </row>
    <row r="258" spans="1:19" x14ac:dyDescent="0.2">
      <c r="A258" s="440"/>
      <c r="S258" s="440"/>
    </row>
    <row r="259" spans="1:19" x14ac:dyDescent="0.2">
      <c r="A259" s="440"/>
      <c r="S259" s="440"/>
    </row>
    <row r="260" spans="1:19" x14ac:dyDescent="0.2">
      <c r="A260" s="440"/>
      <c r="S260" s="440"/>
    </row>
    <row r="261" spans="1:19" x14ac:dyDescent="0.2">
      <c r="A261" s="440"/>
      <c r="S261" s="440"/>
    </row>
    <row r="350" spans="3:3" x14ac:dyDescent="0.2">
      <c r="C350" s="634" t="s">
        <v>248</v>
      </c>
    </row>
    <row r="351" spans="3:3" x14ac:dyDescent="0.2">
      <c r="C351" s="634">
        <v>0</v>
      </c>
    </row>
    <row r="352" spans="3:3" x14ac:dyDescent="0.2">
      <c r="C352" s="634">
        <v>1</v>
      </c>
    </row>
    <row r="353" spans="3:3" x14ac:dyDescent="0.2">
      <c r="C353" s="634">
        <v>2</v>
      </c>
    </row>
    <row r="354" spans="3:3" x14ac:dyDescent="0.2">
      <c r="C354" s="634">
        <v>3</v>
      </c>
    </row>
    <row r="355" spans="3:3" x14ac:dyDescent="0.2">
      <c r="C355" s="634">
        <v>4</v>
      </c>
    </row>
    <row r="356" spans="3:3" x14ac:dyDescent="0.2">
      <c r="C356" s="634">
        <v>5</v>
      </c>
    </row>
    <row r="357" spans="3:3" x14ac:dyDescent="0.2">
      <c r="C357" s="634">
        <v>6</v>
      </c>
    </row>
    <row r="358" spans="3:3" x14ac:dyDescent="0.2">
      <c r="C358" s="634">
        <v>7</v>
      </c>
    </row>
    <row r="359" spans="3:3" x14ac:dyDescent="0.2">
      <c r="C359" s="634">
        <v>8</v>
      </c>
    </row>
    <row r="360" spans="3:3" x14ac:dyDescent="0.2">
      <c r="C360" s="634">
        <v>9</v>
      </c>
    </row>
    <row r="361" spans="3:3" x14ac:dyDescent="0.2">
      <c r="C361" s="634">
        <v>10</v>
      </c>
    </row>
    <row r="362" spans="3:3" x14ac:dyDescent="0.2">
      <c r="C362" s="634">
        <v>11</v>
      </c>
    </row>
    <row r="363" spans="3:3" x14ac:dyDescent="0.2">
      <c r="C363" s="634">
        <v>12</v>
      </c>
    </row>
    <row r="364" spans="3:3" x14ac:dyDescent="0.2">
      <c r="C364" s="634">
        <v>13</v>
      </c>
    </row>
    <row r="365" spans="3:3" x14ac:dyDescent="0.2">
      <c r="C365" s="634">
        <v>14</v>
      </c>
    </row>
    <row r="366" spans="3:3" x14ac:dyDescent="0.2">
      <c r="C366" s="634">
        <v>15</v>
      </c>
    </row>
    <row r="367" spans="3:3" x14ac:dyDescent="0.2">
      <c r="C367" s="634">
        <v>16</v>
      </c>
    </row>
    <row r="368" spans="3:3" x14ac:dyDescent="0.2">
      <c r="C368" s="634">
        <v>17</v>
      </c>
    </row>
    <row r="369" spans="3:3" x14ac:dyDescent="0.2">
      <c r="C369" s="634">
        <v>18</v>
      </c>
    </row>
    <row r="370" spans="3:3" x14ac:dyDescent="0.2">
      <c r="C370" s="634">
        <v>19</v>
      </c>
    </row>
    <row r="371" spans="3:3" x14ac:dyDescent="0.2">
      <c r="C371" s="634">
        <v>20</v>
      </c>
    </row>
    <row r="372" spans="3:3" x14ac:dyDescent="0.2">
      <c r="C372" s="634">
        <v>21</v>
      </c>
    </row>
    <row r="373" spans="3:3" x14ac:dyDescent="0.2">
      <c r="C373" s="634">
        <v>22</v>
      </c>
    </row>
    <row r="374" spans="3:3" x14ac:dyDescent="0.2">
      <c r="C374" s="634">
        <v>23</v>
      </c>
    </row>
    <row r="375" spans="3:3" x14ac:dyDescent="0.2">
      <c r="C375" s="634">
        <v>24</v>
      </c>
    </row>
    <row r="376" spans="3:3" x14ac:dyDescent="0.2">
      <c r="C376" s="634">
        <v>25</v>
      </c>
    </row>
    <row r="377" spans="3:3" x14ac:dyDescent="0.2">
      <c r="C377" s="634">
        <v>26</v>
      </c>
    </row>
    <row r="378" spans="3:3" x14ac:dyDescent="0.2">
      <c r="C378" s="634">
        <v>27</v>
      </c>
    </row>
    <row r="379" spans="3:3" x14ac:dyDescent="0.2">
      <c r="C379" s="634">
        <v>28</v>
      </c>
    </row>
    <row r="380" spans="3:3" x14ac:dyDescent="0.2">
      <c r="C380" s="634">
        <v>29</v>
      </c>
    </row>
    <row r="381" spans="3:3" x14ac:dyDescent="0.2">
      <c r="C381" s="634">
        <v>30</v>
      </c>
    </row>
    <row r="382" spans="3:3" x14ac:dyDescent="0.2">
      <c r="C382" s="634">
        <v>31</v>
      </c>
    </row>
    <row r="383" spans="3:3" x14ac:dyDescent="0.2">
      <c r="C383" s="634">
        <v>32</v>
      </c>
    </row>
    <row r="384" spans="3:3" x14ac:dyDescent="0.2">
      <c r="C384" s="634">
        <v>33</v>
      </c>
    </row>
    <row r="385" spans="3:3" x14ac:dyDescent="0.2">
      <c r="C385" s="634">
        <v>34</v>
      </c>
    </row>
    <row r="386" spans="3:3" x14ac:dyDescent="0.2">
      <c r="C386" s="634">
        <v>35</v>
      </c>
    </row>
    <row r="387" spans="3:3" x14ac:dyDescent="0.2">
      <c r="C387" s="634">
        <v>36</v>
      </c>
    </row>
    <row r="388" spans="3:3" x14ac:dyDescent="0.2">
      <c r="C388" s="634">
        <v>37</v>
      </c>
    </row>
    <row r="389" spans="3:3" x14ac:dyDescent="0.2">
      <c r="C389" s="634">
        <v>38</v>
      </c>
    </row>
    <row r="390" spans="3:3" x14ac:dyDescent="0.2">
      <c r="C390" s="634">
        <v>39</v>
      </c>
    </row>
    <row r="391" spans="3:3" x14ac:dyDescent="0.2">
      <c r="C391" s="634">
        <v>40</v>
      </c>
    </row>
    <row r="392" spans="3:3" x14ac:dyDescent="0.2">
      <c r="C392" s="634">
        <v>41</v>
      </c>
    </row>
    <row r="393" spans="3:3" x14ac:dyDescent="0.2">
      <c r="C393" s="634">
        <v>42</v>
      </c>
    </row>
    <row r="394" spans="3:3" x14ac:dyDescent="0.2">
      <c r="C394" s="634">
        <v>43</v>
      </c>
    </row>
    <row r="395" spans="3:3" x14ac:dyDescent="0.2">
      <c r="C395" s="634">
        <v>44</v>
      </c>
    </row>
    <row r="396" spans="3:3" x14ac:dyDescent="0.2">
      <c r="C396" s="634">
        <v>45</v>
      </c>
    </row>
    <row r="397" spans="3:3" x14ac:dyDescent="0.2">
      <c r="C397" s="634">
        <v>46</v>
      </c>
    </row>
    <row r="398" spans="3:3" x14ac:dyDescent="0.2">
      <c r="C398" s="634">
        <v>47</v>
      </c>
    </row>
    <row r="399" spans="3:3" x14ac:dyDescent="0.2">
      <c r="C399" s="634">
        <v>48</v>
      </c>
    </row>
    <row r="400" spans="3:3" x14ac:dyDescent="0.2">
      <c r="C400" s="634">
        <v>49</v>
      </c>
    </row>
    <row r="401" spans="3:3" x14ac:dyDescent="0.2">
      <c r="C401" s="634">
        <v>50</v>
      </c>
    </row>
  </sheetData>
  <sheetProtection sheet="1" objects="1" scenarios="1" selectLockedCells="1"/>
  <dataConsolidate/>
  <mergeCells count="23">
    <mergeCell ref="F113:H113"/>
    <mergeCell ref="F114:H114"/>
    <mergeCell ref="D103:G103"/>
    <mergeCell ref="F104:H104"/>
    <mergeCell ref="F105:H105"/>
    <mergeCell ref="F106:H106"/>
    <mergeCell ref="D110:F110"/>
    <mergeCell ref="F112:H112"/>
    <mergeCell ref="B1:R1"/>
    <mergeCell ref="D46:F46"/>
    <mergeCell ref="F100:H100"/>
    <mergeCell ref="D47:G47"/>
    <mergeCell ref="D48:G48"/>
    <mergeCell ref="D56:G56"/>
    <mergeCell ref="D60:F60"/>
    <mergeCell ref="D61:F61"/>
    <mergeCell ref="D89:G89"/>
    <mergeCell ref="D93:G93"/>
    <mergeCell ref="D94:G94"/>
    <mergeCell ref="D95:G95"/>
    <mergeCell ref="D96:G96"/>
    <mergeCell ref="D99:F99"/>
    <mergeCell ref="F85:G85"/>
  </mergeCells>
  <dataValidations count="5">
    <dataValidation type="custom" allowBlank="1" showInputMessage="1" showErrorMessage="1" errorTitle="Zu hoher Anteil" error="Anteil für Zinsbegünstigtern Kredit übersteigt Fremdkapitaleinsatz!!!" sqref="G19">
      <formula1>H19&lt;=1</formula1>
    </dataValidation>
    <dataValidation type="whole" operator="lessThanOrEqual" allowBlank="1" showInputMessage="1" showErrorMessage="1" errorTitle="Bereichsfehler" error="Zeitraum kann nicht größer als 50 Jahre sein!" sqref="J15">
      <formula1>50</formula1>
    </dataValidation>
    <dataValidation type="custom" allowBlank="1" showInputMessage="1" showErrorMessage="1" errorTitle="Fehler in der Eingabe" error="Nachfolgender Wert muss größer als vorheriger sein!!!" sqref="F41 F35:F38">
      <formula1>F35&gt;F34</formula1>
    </dataValidation>
    <dataValidation type="custom" allowBlank="1" showInputMessage="1" showErrorMessage="1" errorTitle="Fehler in der Eingabe" error="Nachfolgender Wert muss größer als vorheriger sein!!!" sqref="F40">
      <formula1>F40&gt;F37</formula1>
    </dataValidation>
    <dataValidation type="custom" allowBlank="1" showInputMessage="1" showErrorMessage="1" errorTitle="Fehler in der Eingabe" error="Nachfolgender Wert muss größer als vorheriger sein!!!" sqref="F39">
      <formula1>F39&gt;F37</formula1>
    </dataValidation>
  </dataValidations>
  <pageMargins left="0.7" right="0.7" top="0.78740157499999996" bottom="0.78740157499999996"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33D44F54-5A66-496C-A0D8-A7D58C0CDEA2}">
            <xm:f>OR('1. Projektangaben'!$P$60="x",'1. Projektangaben'!$P$60="X")</xm:f>
            <x14:dxf>
              <font>
                <color theme="0" tint="-0.14996795556505021"/>
              </font>
              <fill>
                <patternFill>
                  <bgColor theme="0" tint="-0.14996795556505021"/>
                </patternFill>
              </fill>
              <border>
                <left/>
                <right/>
                <top/>
                <bottom/>
                <vertical/>
                <horizontal/>
              </border>
            </x14:dxf>
          </x14:cfRule>
          <xm:sqref>B11:R15 B21:R21 B19:E20 G19:R20 B18:R18 B17:F17 B16:H16 J16:R17 B29:R42 B22:C28 E22:R28</xm:sqref>
        </x14:conditionalFormatting>
        <x14:conditionalFormatting xmlns:xm="http://schemas.microsoft.com/office/excel/2006/main">
          <x14:cfRule type="expression" priority="7" id="{99D80B96-AEA5-4C1D-A17E-8BECF660A49B}">
            <xm:f>OR('1. Projektangaben'!$P$60="",'1. Projektangaben'!$P$60="0")</xm:f>
            <x14:dxf>
              <font>
                <color theme="0" tint="-0.14996795556505021"/>
              </font>
            </x14:dxf>
          </x14:cfRule>
          <x14:cfRule type="expression" priority="8" id="{48EACA00-F816-4881-A3BA-9C01901AE5EF}">
            <xm:f>OR('1. Projektangaben'!$P$60="x",'1. Projektangaben'!$P$60="X")</xm:f>
            <x14:dxf>
              <font>
                <color rgb="FFDA0000"/>
              </font>
            </x14:dxf>
          </x14:cfRule>
          <xm:sqref>D21:K21</xm:sqref>
        </x14:conditionalFormatting>
        <x14:conditionalFormatting xmlns:xm="http://schemas.microsoft.com/office/excel/2006/main">
          <x14:cfRule type="expression" priority="6" id="{CD84B5EF-F483-4D91-98F2-5D64718126A0}">
            <xm:f>OR('1. Projektangaben'!$P$60="x",'1. Projektangaben'!$P$60="X")</xm:f>
            <x14:dxf>
              <font>
                <color theme="0" tint="-0.14996795556505021"/>
              </font>
              <fill>
                <patternFill>
                  <bgColor theme="0" tint="-0.14996795556505021"/>
                </patternFill>
              </fill>
              <border>
                <left/>
                <right/>
                <top/>
                <bottom/>
                <vertical/>
                <horizontal/>
              </border>
            </x14:dxf>
          </x14:cfRule>
          <xm:sqref>F19:F20</xm:sqref>
        </x14:conditionalFormatting>
        <x14:conditionalFormatting xmlns:xm="http://schemas.microsoft.com/office/excel/2006/main">
          <x14:cfRule type="expression" priority="4" id="{D66C4C06-C5F4-41E4-9F4A-283B4E443F30}">
            <xm:f>OR('1. Projektangaben'!$P$60="x",'1. Projektangaben'!$P$60="X")</xm:f>
            <x14:dxf>
              <font>
                <color theme="0" tint="-0.14996795556505021"/>
              </font>
              <fill>
                <patternFill>
                  <bgColor theme="0" tint="-0.14996795556505021"/>
                </patternFill>
              </fill>
              <border>
                <left/>
                <right/>
                <top/>
                <bottom/>
                <vertical/>
                <horizontal/>
              </border>
            </x14:dxf>
          </x14:cfRule>
          <xm:sqref>G17:H17</xm:sqref>
        </x14:conditionalFormatting>
        <x14:conditionalFormatting xmlns:xm="http://schemas.microsoft.com/office/excel/2006/main">
          <x14:cfRule type="expression" priority="3" id="{D54BFD02-9AE3-42D0-A7B6-0902A82BA0D8}">
            <xm:f>OR('1. Projektangaben'!$P$60="x",'1. Projektangaben'!$P$60="X")</xm:f>
            <x14:dxf>
              <font>
                <color theme="0" tint="-0.14996795556505021"/>
              </font>
              <fill>
                <patternFill>
                  <bgColor theme="0" tint="-0.14996795556505021"/>
                </patternFill>
              </fill>
              <border>
                <left/>
                <right/>
                <top/>
                <bottom/>
                <vertical/>
                <horizontal/>
              </border>
            </x14:dxf>
          </x14:cfRule>
          <xm:sqref>I16</xm:sqref>
        </x14:conditionalFormatting>
        <x14:conditionalFormatting xmlns:xm="http://schemas.microsoft.com/office/excel/2006/main">
          <x14:cfRule type="expression" priority="2" id="{E9878D86-2632-4FCB-A56F-464D4ED47EAA}">
            <xm:f>OR('1. Projektangaben'!$P$60="x",'1. Projektangaben'!$P$60="X")</xm:f>
            <x14:dxf>
              <font>
                <color theme="0" tint="-0.14996795556505021"/>
              </font>
              <fill>
                <patternFill>
                  <bgColor theme="0" tint="-0.14996795556505021"/>
                </patternFill>
              </fill>
              <border>
                <left/>
                <right/>
                <top/>
                <bottom/>
                <vertical/>
                <horizontal/>
              </border>
            </x14:dxf>
          </x14:cfRule>
          <xm:sqref>D22:D28</xm:sqref>
        </x14:conditionalFormatting>
        <x14:conditionalFormatting xmlns:xm="http://schemas.microsoft.com/office/excel/2006/main">
          <x14:cfRule type="expression" priority="1" id="{55BBA70C-B403-4F81-8817-F8593DECC5D9}">
            <xm:f>OR('1. Projektangaben'!$P$60="x",'1. Projektangaben'!$P$60="X")</xm:f>
            <x14:dxf>
              <font>
                <color theme="0" tint="-0.14996795556505021"/>
              </font>
              <fill>
                <patternFill>
                  <bgColor theme="0" tint="-0.14996795556505021"/>
                </patternFill>
              </fill>
              <border>
                <left/>
                <right/>
                <top/>
                <bottom/>
                <vertical/>
                <horizontal/>
              </border>
            </x14:dxf>
          </x14:cfRule>
          <xm:sqref>I17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theme="1"/>
  </sheetPr>
  <dimension ref="A1:I45"/>
  <sheetViews>
    <sheetView showGridLines="0" topLeftCell="A10" zoomScale="85" zoomScaleNormal="85" workbookViewId="0">
      <selection activeCell="D24" sqref="D24"/>
    </sheetView>
  </sheetViews>
  <sheetFormatPr baseColWidth="10" defaultRowHeight="11.25" x14ac:dyDescent="0.2"/>
  <cols>
    <col min="1" max="1" width="3.28515625" style="742" customWidth="1"/>
    <col min="2" max="2" width="4.5703125" style="742" customWidth="1"/>
    <col min="3" max="3" width="39.28515625" style="742" customWidth="1"/>
    <col min="4" max="4" width="35.28515625" style="742" customWidth="1"/>
    <col min="5" max="7" width="14.5703125" style="742" customWidth="1"/>
    <col min="8" max="8" width="28.5703125" style="742" customWidth="1"/>
    <col min="9" max="9" width="26.42578125" style="742" customWidth="1"/>
    <col min="10" max="10" width="17.28515625" style="742" customWidth="1"/>
    <col min="11" max="12" width="17.28515625" style="742" bestFit="1" customWidth="1"/>
    <col min="13" max="13" width="28.5703125" style="742" bestFit="1" customWidth="1"/>
    <col min="14" max="16" width="26.42578125" style="742" bestFit="1" customWidth="1"/>
    <col min="17" max="18" width="17.28515625" style="742" bestFit="1" customWidth="1"/>
    <col min="19" max="19" width="31.85546875" style="742" bestFit="1" customWidth="1"/>
    <col min="20" max="24" width="21.140625" style="742" bestFit="1" customWidth="1"/>
    <col min="25" max="25" width="38.42578125" style="742" bestFit="1" customWidth="1"/>
    <col min="26" max="28" width="14.5703125" style="742" bestFit="1" customWidth="1"/>
    <col min="29" max="29" width="28.5703125" style="742" bestFit="1" customWidth="1"/>
    <col min="30" max="32" width="26.42578125" style="742" bestFit="1" customWidth="1"/>
    <col min="33" max="35" width="17.28515625" style="742" bestFit="1" customWidth="1"/>
    <col min="36" max="40" width="21.140625" style="742" bestFit="1" customWidth="1"/>
    <col min="41" max="44" width="22.42578125" style="742" bestFit="1" customWidth="1"/>
    <col min="45" max="45" width="48.42578125" style="742" bestFit="1" customWidth="1"/>
    <col min="46" max="48" width="26.42578125" style="742" bestFit="1" customWidth="1"/>
    <col min="49" max="56" width="22.42578125" style="742" bestFit="1" customWidth="1"/>
    <col min="57" max="57" width="26.85546875" style="742" bestFit="1" customWidth="1"/>
    <col min="58" max="58" width="14.5703125" style="742" bestFit="1" customWidth="1"/>
    <col min="59" max="16384" width="11.42578125" style="742"/>
  </cols>
  <sheetData>
    <row r="1" spans="1:9" ht="23.25" x14ac:dyDescent="0.2">
      <c r="A1" s="741"/>
      <c r="B1" s="747" t="s">
        <v>529</v>
      </c>
      <c r="C1" s="735"/>
      <c r="D1" s="735"/>
      <c r="E1" s="735"/>
      <c r="F1" s="735"/>
      <c r="G1" s="735"/>
      <c r="H1" s="735"/>
      <c r="I1" s="735"/>
    </row>
    <row r="2" spans="1:9" x14ac:dyDescent="0.2">
      <c r="A2" s="301"/>
      <c r="B2" s="304"/>
      <c r="C2" s="304"/>
      <c r="D2" s="304"/>
      <c r="E2" s="304"/>
      <c r="F2" s="304"/>
      <c r="G2" s="304"/>
      <c r="H2" s="304"/>
      <c r="I2" s="304"/>
    </row>
    <row r="3" spans="1:9" x14ac:dyDescent="0.2">
      <c r="A3" s="301"/>
      <c r="B3" s="817" t="str">
        <f>C7</f>
        <v>Heizöl</v>
      </c>
      <c r="C3" s="817" t="str">
        <f>C8</f>
        <v>Erdgas</v>
      </c>
      <c r="D3" s="849" t="str">
        <f>C9</f>
        <v>Kohle</v>
      </c>
      <c r="E3" s="849" t="str">
        <f>C10</f>
        <v>Fernwärme ne.</v>
      </c>
      <c r="F3" s="849" t="str">
        <f>C11</f>
        <v>Fernwärme e.</v>
      </c>
      <c r="G3" s="849" t="str">
        <f>C12</f>
        <v>Biomasse</v>
      </c>
      <c r="H3" s="849" t="str">
        <f>C13</f>
        <v>Strom</v>
      </c>
      <c r="I3" s="849" t="str">
        <f>C14</f>
        <v>Wärmepumpenstrom</v>
      </c>
    </row>
    <row r="4" spans="1:9" x14ac:dyDescent="0.2">
      <c r="A4" s="301"/>
      <c r="B4" s="736"/>
      <c r="C4" s="736"/>
      <c r="D4" s="436"/>
      <c r="E4" s="436"/>
      <c r="F4" s="436"/>
      <c r="G4" s="436"/>
      <c r="H4" s="436"/>
      <c r="I4" s="436"/>
    </row>
    <row r="5" spans="1:9" x14ac:dyDescent="0.2">
      <c r="A5" s="301"/>
      <c r="B5" s="743"/>
      <c r="C5" s="304"/>
      <c r="D5" s="436"/>
      <c r="E5" s="436"/>
      <c r="F5" s="436"/>
      <c r="G5" s="436"/>
      <c r="H5" s="436"/>
      <c r="I5" s="436"/>
    </row>
    <row r="6" spans="1:9" x14ac:dyDescent="0.2">
      <c r="A6" s="301"/>
      <c r="B6" s="737">
        <v>1</v>
      </c>
      <c r="C6" s="737"/>
      <c r="D6" s="1395">
        <v>1</v>
      </c>
      <c r="E6" s="738" t="s">
        <v>519</v>
      </c>
      <c r="F6" s="436"/>
      <c r="G6" s="436"/>
      <c r="H6" s="436"/>
      <c r="I6" s="436"/>
    </row>
    <row r="7" spans="1:9" x14ac:dyDescent="0.2">
      <c r="A7" s="301"/>
      <c r="B7" s="737">
        <v>2</v>
      </c>
      <c r="C7" s="737" t="str">
        <f>'1. Projektangaben'!C36</f>
        <v>Heizöl</v>
      </c>
      <c r="D7" s="1395">
        <v>2</v>
      </c>
      <c r="E7" s="739"/>
      <c r="F7" s="436"/>
      <c r="G7" s="436"/>
      <c r="H7" s="436"/>
      <c r="I7" s="436"/>
    </row>
    <row r="8" spans="1:9" x14ac:dyDescent="0.2">
      <c r="A8" s="301"/>
      <c r="B8" s="737">
        <v>3</v>
      </c>
      <c r="C8" s="737" t="str">
        <f>'1. Projektangaben'!C37</f>
        <v>Erdgas</v>
      </c>
      <c r="D8" s="1395">
        <v>3</v>
      </c>
      <c r="E8" s="436"/>
      <c r="F8" s="436"/>
      <c r="G8" s="436"/>
      <c r="H8" s="436"/>
      <c r="I8" s="436"/>
    </row>
    <row r="9" spans="1:9" x14ac:dyDescent="0.2">
      <c r="A9" s="301"/>
      <c r="B9" s="737">
        <v>4</v>
      </c>
      <c r="C9" s="737" t="str">
        <f>'1. Projektangaben'!C38</f>
        <v>Kohle</v>
      </c>
      <c r="D9" s="1395">
        <v>4</v>
      </c>
      <c r="E9" s="436"/>
      <c r="F9" s="436"/>
      <c r="G9" s="436"/>
      <c r="H9" s="436"/>
      <c r="I9" s="436"/>
    </row>
    <row r="10" spans="1:9" x14ac:dyDescent="0.2">
      <c r="A10" s="301"/>
      <c r="B10" s="737">
        <v>5</v>
      </c>
      <c r="C10" s="737" t="str">
        <f>'1. Projektangaben'!C39</f>
        <v>Fernwärme ne.</v>
      </c>
      <c r="D10" s="1395">
        <v>5</v>
      </c>
      <c r="E10" s="436"/>
      <c r="F10" s="436"/>
      <c r="G10" s="436"/>
      <c r="H10" s="436"/>
      <c r="I10" s="436"/>
    </row>
    <row r="11" spans="1:9" x14ac:dyDescent="0.2">
      <c r="A11" s="301"/>
      <c r="B11" s="737">
        <v>6</v>
      </c>
      <c r="C11" s="737" t="str">
        <f>'1. Projektangaben'!C40</f>
        <v>Fernwärme e.</v>
      </c>
      <c r="D11" s="1395">
        <v>6</v>
      </c>
      <c r="E11" s="436"/>
      <c r="F11" s="436"/>
      <c r="G11" s="436"/>
      <c r="H11" s="436"/>
      <c r="I11" s="436"/>
    </row>
    <row r="12" spans="1:9" x14ac:dyDescent="0.2">
      <c r="A12" s="301"/>
      <c r="B12" s="737">
        <v>7</v>
      </c>
      <c r="C12" s="737" t="str">
        <f>'1. Projektangaben'!C41</f>
        <v>Biomasse</v>
      </c>
      <c r="D12" s="1395">
        <v>7</v>
      </c>
      <c r="E12" s="436"/>
      <c r="F12" s="436"/>
      <c r="G12" s="436"/>
      <c r="H12" s="436"/>
      <c r="I12" s="436"/>
    </row>
    <row r="13" spans="1:9" x14ac:dyDescent="0.2">
      <c r="A13" s="301"/>
      <c r="B13" s="737">
        <v>8</v>
      </c>
      <c r="C13" s="737" t="str">
        <f>'1. Projektangaben'!C42</f>
        <v>Strom</v>
      </c>
      <c r="D13" s="1395">
        <v>8</v>
      </c>
      <c r="E13" s="436"/>
      <c r="F13" s="436"/>
      <c r="G13" s="436"/>
      <c r="H13" s="436"/>
      <c r="I13" s="436"/>
    </row>
    <row r="14" spans="1:9" x14ac:dyDescent="0.2">
      <c r="A14" s="301"/>
      <c r="B14" s="737">
        <v>9</v>
      </c>
      <c r="C14" s="737" t="str">
        <f>'1. Projektangaben'!C43</f>
        <v>Wärmepumpenstrom</v>
      </c>
      <c r="D14" s="1395">
        <v>9</v>
      </c>
      <c r="E14" s="436"/>
      <c r="F14" s="436"/>
      <c r="G14" s="436"/>
      <c r="H14" s="436"/>
      <c r="I14" s="436"/>
    </row>
    <row r="15" spans="1:9" x14ac:dyDescent="0.2">
      <c r="A15" s="301"/>
      <c r="B15" s="743"/>
      <c r="C15" s="304"/>
      <c r="D15" s="436"/>
      <c r="E15" s="436"/>
      <c r="F15" s="436"/>
      <c r="G15" s="436"/>
      <c r="H15" s="436"/>
      <c r="I15" s="436"/>
    </row>
    <row r="16" spans="1:9" x14ac:dyDescent="0.2">
      <c r="A16" s="301"/>
      <c r="B16" s="436"/>
      <c r="C16" s="436"/>
      <c r="D16" s="436"/>
      <c r="E16" s="740">
        <v>1</v>
      </c>
      <c r="F16" s="740" t="s">
        <v>517</v>
      </c>
      <c r="G16" s="740" t="s">
        <v>163</v>
      </c>
      <c r="H16" s="436"/>
      <c r="I16" s="436"/>
    </row>
    <row r="17" spans="1:9" x14ac:dyDescent="0.2">
      <c r="A17" s="301"/>
      <c r="B17" s="436"/>
      <c r="C17" s="436"/>
      <c r="D17" s="436"/>
      <c r="E17" s="740">
        <v>2</v>
      </c>
      <c r="F17" s="740" t="s">
        <v>518</v>
      </c>
      <c r="G17" s="740" t="s">
        <v>796</v>
      </c>
      <c r="H17" s="436"/>
      <c r="I17" s="436"/>
    </row>
    <row r="18" spans="1:9" x14ac:dyDescent="0.2">
      <c r="A18" s="301"/>
      <c r="B18" s="436"/>
      <c r="C18" s="436"/>
      <c r="D18" s="436"/>
      <c r="E18" s="740">
        <v>3</v>
      </c>
      <c r="F18" s="740" t="s">
        <v>515</v>
      </c>
      <c r="G18" s="740" t="s">
        <v>797</v>
      </c>
      <c r="H18" s="436"/>
      <c r="I18" s="436"/>
    </row>
    <row r="19" spans="1:9" x14ac:dyDescent="0.2">
      <c r="A19" s="301"/>
      <c r="B19" s="436"/>
      <c r="C19" s="436"/>
      <c r="D19" s="436"/>
      <c r="E19" s="436"/>
      <c r="F19" s="436"/>
      <c r="G19" s="436"/>
      <c r="H19" s="436"/>
      <c r="I19" s="436"/>
    </row>
    <row r="20" spans="1:9" x14ac:dyDescent="0.2">
      <c r="A20" s="301"/>
      <c r="B20" s="436"/>
      <c r="C20" s="436"/>
      <c r="D20" s="436"/>
      <c r="E20" s="436" t="s">
        <v>807</v>
      </c>
      <c r="F20" s="436"/>
      <c r="G20" s="436"/>
      <c r="H20" s="436"/>
      <c r="I20" s="436"/>
    </row>
    <row r="21" spans="1:9" x14ac:dyDescent="0.2">
      <c r="A21" s="301"/>
      <c r="B21" s="436"/>
      <c r="C21" s="744" t="s">
        <v>442</v>
      </c>
      <c r="D21" s="436"/>
      <c r="E21" s="810">
        <v>0</v>
      </c>
      <c r="F21" s="810" t="str">
        <f>BERECHNUNG!L6</f>
        <v>BTV</v>
      </c>
      <c r="G21" s="436"/>
      <c r="H21" s="436"/>
      <c r="I21" s="436"/>
    </row>
    <row r="22" spans="1:9" x14ac:dyDescent="0.2">
      <c r="A22" s="301"/>
      <c r="B22" s="436"/>
      <c r="C22" s="744" t="s">
        <v>443</v>
      </c>
      <c r="D22" s="436"/>
      <c r="E22" s="810">
        <v>1</v>
      </c>
      <c r="F22" s="810" t="str">
        <f>BERECHNUNG!L7</f>
        <v>PH</v>
      </c>
      <c r="G22" s="436"/>
      <c r="H22" s="436"/>
      <c r="I22" s="436"/>
    </row>
    <row r="23" spans="1:9" x14ac:dyDescent="0.2">
      <c r="A23" s="301"/>
      <c r="B23" s="436"/>
      <c r="C23" s="744" t="s">
        <v>445</v>
      </c>
      <c r="D23" s="436"/>
      <c r="E23" s="810">
        <v>2</v>
      </c>
      <c r="F23" s="810" t="str">
        <f>BERECHNUNG!L8</f>
        <v>PHSol</v>
      </c>
      <c r="G23" s="436"/>
      <c r="H23" s="436"/>
      <c r="I23" s="436"/>
    </row>
    <row r="24" spans="1:9" x14ac:dyDescent="0.2">
      <c r="A24" s="301"/>
      <c r="B24" s="436"/>
      <c r="C24" s="744" t="s">
        <v>446</v>
      </c>
      <c r="D24" s="436"/>
      <c r="E24" s="810">
        <v>3</v>
      </c>
      <c r="F24" s="810" t="str">
        <f>BERECHNUNG!L9</f>
        <v>PHWRGSo</v>
      </c>
      <c r="G24" s="436"/>
      <c r="H24" s="436"/>
      <c r="I24" s="436"/>
    </row>
    <row r="25" spans="1:9" x14ac:dyDescent="0.2">
      <c r="A25" s="301"/>
      <c r="B25" s="436"/>
      <c r="C25" s="744" t="s">
        <v>447</v>
      </c>
      <c r="D25" s="436"/>
      <c r="E25" s="810">
        <v>4</v>
      </c>
      <c r="F25" s="810" t="str">
        <f>BERECHNUNG!L10</f>
        <v>PHWRGSoPV</v>
      </c>
      <c r="G25" s="436"/>
      <c r="H25" s="436"/>
      <c r="I25" s="436"/>
    </row>
    <row r="26" spans="1:9" x14ac:dyDescent="0.2">
      <c r="A26" s="301"/>
      <c r="B26" s="436"/>
      <c r="C26" s="744" t="s">
        <v>448</v>
      </c>
      <c r="D26" s="436"/>
      <c r="E26" s="436"/>
      <c r="F26" s="436"/>
      <c r="G26" s="436"/>
      <c r="H26" s="436"/>
      <c r="I26" s="436"/>
    </row>
    <row r="27" spans="1:9" x14ac:dyDescent="0.2">
      <c r="A27" s="301"/>
      <c r="B27" s="436"/>
      <c r="C27" s="744" t="s">
        <v>449</v>
      </c>
      <c r="D27" s="436"/>
      <c r="E27" s="436"/>
      <c r="F27" s="436"/>
      <c r="G27" s="436"/>
      <c r="H27" s="436"/>
      <c r="I27" s="436"/>
    </row>
    <row r="28" spans="1:9" x14ac:dyDescent="0.2">
      <c r="A28" s="301"/>
      <c r="B28" s="436"/>
      <c r="C28" s="744" t="s">
        <v>450</v>
      </c>
      <c r="D28" s="436"/>
      <c r="E28" s="816" t="str">
        <f>CONCATENATE("(econ calc V3) Betrachtungszeitraum ",'E.2 Wirtschaftlichkeit'!F14," a / Kalkulationsszinssatz ",'E.2 Wirtschaftlichkeit'!F15*100,"% / Eigenkapitalzinssatz ", 'E.2 Wirtschaftlichkeit'!F16*100,"% / Inflation ",'E.2 Wirtschaftlichkeit'!F17*100,"%")</f>
        <v>(econ calc V3) Betrachtungszeitraum 35 a / Kalkulationsszinssatz 2% / Eigenkapitalzinssatz 2% / Inflation 1,6%</v>
      </c>
      <c r="F28" s="436"/>
      <c r="G28" s="436"/>
      <c r="H28" s="436"/>
      <c r="I28" s="436"/>
    </row>
    <row r="29" spans="1:9" x14ac:dyDescent="0.2">
      <c r="A29" s="301"/>
      <c r="B29" s="436"/>
      <c r="C29" s="744" t="s">
        <v>444</v>
      </c>
      <c r="D29" s="436"/>
      <c r="E29" s="436"/>
      <c r="F29" s="436"/>
      <c r="G29" s="436"/>
      <c r="H29" s="436"/>
      <c r="I29" s="436"/>
    </row>
    <row r="30" spans="1:9" x14ac:dyDescent="0.2">
      <c r="A30" s="301"/>
      <c r="B30" s="436"/>
      <c r="C30" s="436"/>
      <c r="D30" s="436"/>
      <c r="E30" s="871" t="str">
        <f>CONCATENATE("Zahlungsströme Variante ",'E.2 Wirtschaftlichkeit'!C58)</f>
        <v>Zahlungsströme Variante PHWRGSoPV</v>
      </c>
      <c r="F30" s="436"/>
      <c r="G30" s="436"/>
      <c r="H30" s="436"/>
      <c r="I30" s="436"/>
    </row>
    <row r="31" spans="1:9" x14ac:dyDescent="0.2">
      <c r="A31" s="301"/>
      <c r="B31" s="436"/>
      <c r="C31" s="436"/>
      <c r="D31" s="436"/>
      <c r="E31" s="436"/>
      <c r="F31" s="436"/>
      <c r="G31" s="436"/>
      <c r="H31" s="436"/>
      <c r="I31" s="436"/>
    </row>
    <row r="32" spans="1:9" x14ac:dyDescent="0.2">
      <c r="A32" s="301"/>
      <c r="B32" s="436"/>
      <c r="C32" s="436"/>
      <c r="D32" s="436"/>
      <c r="E32" s="436"/>
      <c r="F32" s="436"/>
      <c r="G32" s="436"/>
      <c r="H32" s="436"/>
      <c r="I32" s="436"/>
    </row>
    <row r="33" spans="1:9" x14ac:dyDescent="0.2">
      <c r="A33" s="301"/>
      <c r="B33" s="436"/>
      <c r="C33" s="436"/>
      <c r="D33" s="436"/>
      <c r="E33" s="817" t="s">
        <v>570</v>
      </c>
      <c r="F33" s="436"/>
      <c r="G33" s="436"/>
      <c r="H33" s="436"/>
      <c r="I33" s="436"/>
    </row>
    <row r="34" spans="1:9" x14ac:dyDescent="0.2">
      <c r="A34" s="301"/>
      <c r="B34" s="436"/>
      <c r="C34" s="436"/>
      <c r="D34" s="436"/>
      <c r="E34" s="817" t="s">
        <v>571</v>
      </c>
      <c r="F34" s="436"/>
      <c r="G34" s="436"/>
      <c r="H34" s="436"/>
      <c r="I34" s="436"/>
    </row>
    <row r="35" spans="1:9" x14ac:dyDescent="0.2">
      <c r="A35" s="301"/>
      <c r="B35" s="436"/>
      <c r="C35" s="436"/>
      <c r="D35" s="436"/>
      <c r="E35" s="436"/>
      <c r="F35" s="436"/>
      <c r="G35" s="436"/>
      <c r="H35" s="436"/>
      <c r="I35" s="436"/>
    </row>
    <row r="36" spans="1:9" ht="15" customHeight="1" x14ac:dyDescent="0.2">
      <c r="A36" s="301"/>
      <c r="B36" s="745">
        <v>1</v>
      </c>
      <c r="C36" s="745" t="s">
        <v>457</v>
      </c>
      <c r="D36" s="436"/>
      <c r="E36" s="436"/>
      <c r="F36" s="436"/>
      <c r="G36" s="436"/>
      <c r="H36" s="436"/>
      <c r="I36" s="436"/>
    </row>
    <row r="37" spans="1:9" ht="15" customHeight="1" x14ac:dyDescent="0.2">
      <c r="A37" s="301"/>
      <c r="B37" s="745">
        <v>2</v>
      </c>
      <c r="C37" s="745" t="s">
        <v>458</v>
      </c>
      <c r="D37" s="436"/>
      <c r="E37" s="436"/>
      <c r="F37" s="436"/>
      <c r="G37" s="436"/>
      <c r="H37" s="436"/>
      <c r="I37" s="436"/>
    </row>
    <row r="38" spans="1:9" ht="14.25" x14ac:dyDescent="0.2">
      <c r="A38" s="301"/>
      <c r="B38" s="745">
        <v>3</v>
      </c>
      <c r="C38" s="745" t="s">
        <v>459</v>
      </c>
      <c r="D38" s="436"/>
      <c r="E38" s="1032" t="str">
        <f>IF(OR('1. Projektangaben'!P60="x",'1. Projektangaben'!P60="X"),"- Annuitätenzuschüsse","")</f>
        <v/>
      </c>
      <c r="F38" s="1032"/>
      <c r="G38" s="436"/>
      <c r="H38" s="436"/>
      <c r="I38" s="436"/>
    </row>
    <row r="39" spans="1:9" x14ac:dyDescent="0.2">
      <c r="A39" s="301"/>
      <c r="B39" s="745">
        <v>4</v>
      </c>
      <c r="C39" s="745" t="s">
        <v>783</v>
      </c>
      <c r="D39" s="436"/>
      <c r="E39" s="436"/>
      <c r="F39" s="436"/>
      <c r="G39" s="436"/>
      <c r="H39" s="436"/>
      <c r="I39" s="436"/>
    </row>
    <row r="40" spans="1:9" x14ac:dyDescent="0.2">
      <c r="A40" s="301"/>
      <c r="B40" s="436"/>
      <c r="C40" s="436"/>
      <c r="D40" s="436"/>
      <c r="E40" s="436"/>
      <c r="F40" s="436"/>
      <c r="G40" s="436"/>
      <c r="H40" s="436"/>
      <c r="I40" s="436"/>
    </row>
    <row r="41" spans="1:9" x14ac:dyDescent="0.2">
      <c r="A41" s="301"/>
      <c r="B41" s="436"/>
      <c r="C41" s="746" t="s">
        <v>454</v>
      </c>
      <c r="D41" s="436"/>
      <c r="E41" s="1262" t="s">
        <v>827</v>
      </c>
      <c r="F41" s="436"/>
      <c r="G41" s="436"/>
      <c r="H41" s="436"/>
      <c r="I41" s="436"/>
    </row>
    <row r="42" spans="1:9" x14ac:dyDescent="0.2">
      <c r="A42" s="301"/>
      <c r="B42" s="436"/>
      <c r="C42" s="746" t="s">
        <v>455</v>
      </c>
      <c r="D42" s="436"/>
      <c r="E42" s="436"/>
      <c r="F42" s="436"/>
      <c r="G42" s="436"/>
      <c r="H42" s="436"/>
      <c r="I42" s="436"/>
    </row>
    <row r="43" spans="1:9" x14ac:dyDescent="0.2">
      <c r="A43" s="301"/>
      <c r="B43" s="436"/>
      <c r="C43" s="436"/>
      <c r="D43" s="436"/>
      <c r="E43" s="1451" t="s">
        <v>850</v>
      </c>
      <c r="F43" s="436"/>
      <c r="G43" s="436"/>
      <c r="H43" s="436"/>
      <c r="I43" s="436"/>
    </row>
    <row r="44" spans="1:9" x14ac:dyDescent="0.2">
      <c r="A44" s="301"/>
      <c r="B44" s="436"/>
      <c r="C44" s="436"/>
      <c r="D44" s="436"/>
      <c r="E44" s="1451" t="s">
        <v>851</v>
      </c>
      <c r="F44" s="436"/>
      <c r="G44" s="436"/>
      <c r="H44" s="436"/>
      <c r="I44" s="436"/>
    </row>
    <row r="45" spans="1:9" x14ac:dyDescent="0.2">
      <c r="A45" s="301"/>
      <c r="B45" s="436"/>
      <c r="C45" s="436"/>
      <c r="D45" s="436"/>
      <c r="E45" s="436"/>
      <c r="F45" s="436"/>
      <c r="G45" s="436"/>
      <c r="H45" s="436"/>
      <c r="I45" s="436"/>
    </row>
  </sheetData>
  <sheetProtection selectLockedCells="1"/>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theme="1"/>
  </sheetPr>
  <dimension ref="A1:DL1035"/>
  <sheetViews>
    <sheetView zoomScale="10" zoomScaleNormal="10" workbookViewId="0">
      <pane ySplit="1" topLeftCell="A2" activePane="bottomLeft" state="frozen"/>
      <selection activeCell="AA18" sqref="AA18"/>
      <selection pane="bottomLeft" activeCell="AT1004" sqref="AT1004"/>
    </sheetView>
  </sheetViews>
  <sheetFormatPr baseColWidth="10" defaultRowHeight="11.25" x14ac:dyDescent="0.25"/>
  <cols>
    <col min="1" max="1" width="33" style="300" customWidth="1"/>
    <col min="2" max="2" width="32.140625" style="300" customWidth="1"/>
    <col min="3" max="3" width="17.140625" style="300" customWidth="1"/>
    <col min="4" max="4" width="15.42578125" style="300" customWidth="1"/>
    <col min="5" max="5" width="37.42578125" style="300" customWidth="1"/>
    <col min="6" max="6" width="17.42578125" style="300" customWidth="1"/>
    <col min="7" max="7" width="21.140625" style="300" customWidth="1"/>
    <col min="8" max="8" width="13.42578125" style="300" customWidth="1"/>
    <col min="9" max="9" width="21.7109375" style="300" customWidth="1"/>
    <col min="10" max="10" width="21.85546875" style="300" customWidth="1"/>
    <col min="11" max="11" width="16.7109375" style="300" customWidth="1"/>
    <col min="12" max="12" width="21.85546875" style="300" customWidth="1"/>
    <col min="13" max="13" width="21.140625" style="300" customWidth="1"/>
    <col min="14" max="14" width="20.42578125" style="300" customWidth="1"/>
    <col min="15" max="15" width="17.140625" style="300" customWidth="1"/>
    <col min="16" max="16" width="14.7109375" style="300" customWidth="1"/>
    <col min="17" max="17" width="15.85546875" style="300" customWidth="1"/>
    <col min="18" max="18" width="15.28515625" style="300" customWidth="1"/>
    <col min="19" max="19" width="21.28515625" style="300" customWidth="1"/>
    <col min="20" max="20" width="17.5703125" style="300" customWidth="1"/>
    <col min="21" max="21" width="25" style="300" customWidth="1"/>
    <col min="22" max="22" width="15.5703125" style="300" customWidth="1"/>
    <col min="23" max="23" width="23.5703125" style="300" customWidth="1"/>
    <col min="24" max="24" width="20.7109375" style="300" customWidth="1"/>
    <col min="25" max="25" width="23.7109375" style="300" customWidth="1"/>
    <col min="26" max="26" width="14" style="300" customWidth="1"/>
    <col min="27" max="27" width="27.42578125" style="300" customWidth="1"/>
    <col min="28" max="28" width="22.5703125" style="300" customWidth="1"/>
    <col min="29" max="29" width="20" style="300" customWidth="1"/>
    <col min="30" max="30" width="13.28515625" style="300" customWidth="1"/>
    <col min="31" max="31" width="13.42578125" style="300" customWidth="1"/>
    <col min="32" max="32" width="11.42578125" style="300"/>
    <col min="33" max="33" width="20" style="300" customWidth="1"/>
    <col min="34" max="34" width="14.7109375" style="300" customWidth="1"/>
    <col min="35" max="35" width="30.42578125" style="300" customWidth="1"/>
    <col min="36" max="36" width="17.7109375" style="300" customWidth="1"/>
    <col min="37" max="37" width="11.42578125" style="300"/>
    <col min="38" max="38" width="29.7109375" style="300" customWidth="1"/>
    <col min="39" max="39" width="23.5703125" style="300" customWidth="1"/>
    <col min="40" max="40" width="10.140625" style="300" customWidth="1"/>
    <col min="41" max="62" width="23.5703125" style="300" customWidth="1"/>
    <col min="63" max="63" width="26.7109375" style="300" customWidth="1"/>
    <col min="64" max="64" width="17.42578125" style="300" customWidth="1"/>
    <col min="65" max="68" width="11.42578125" style="300"/>
    <col min="69" max="69" width="28.7109375" style="300" customWidth="1"/>
    <col min="70" max="70" width="11.42578125" style="300" customWidth="1"/>
    <col min="71" max="72" width="11.42578125" style="300"/>
    <col min="73" max="73" width="12.140625" style="300" customWidth="1"/>
    <col min="74" max="79" width="11.42578125" style="300"/>
    <col min="80" max="80" width="15.5703125" style="300" customWidth="1"/>
    <col min="81" max="81" width="16.85546875" style="300" customWidth="1"/>
    <col min="82" max="82" width="14.85546875" style="300" customWidth="1"/>
    <col min="83" max="116" width="11.42578125" style="300"/>
    <col min="117" max="118" width="11.42578125" style="300" customWidth="1"/>
    <col min="119" max="119" width="22.5703125" style="300" customWidth="1"/>
    <col min="120" max="120" width="21.28515625" style="300" customWidth="1"/>
    <col min="121" max="121" width="23.140625" style="300" customWidth="1"/>
    <col min="122" max="122" width="24.7109375" style="300" customWidth="1"/>
    <col min="123" max="123" width="26.42578125" style="300" customWidth="1"/>
    <col min="124" max="124" width="26" style="300" customWidth="1"/>
    <col min="125" max="125" width="18.7109375" style="300" customWidth="1"/>
    <col min="126" max="126" width="28" style="300" customWidth="1"/>
    <col min="127" max="127" width="25.28515625" style="300" customWidth="1"/>
    <col min="128" max="128" width="24.42578125" style="300" customWidth="1"/>
    <col min="129" max="129" width="21.85546875" style="300" customWidth="1"/>
    <col min="130" max="130" width="21.42578125" style="300" customWidth="1"/>
    <col min="131" max="131" width="23" style="300" customWidth="1"/>
    <col min="132" max="132" width="22.140625" style="300" customWidth="1"/>
    <col min="133" max="133" width="26.140625" style="300" customWidth="1"/>
    <col min="134" max="137" width="11.42578125" style="300" customWidth="1"/>
    <col min="138" max="155" width="11.42578125" style="300"/>
    <col min="156" max="156" width="28.42578125" style="300" customWidth="1"/>
    <col min="157" max="158" width="35.140625" style="300" customWidth="1"/>
    <col min="159" max="159" width="35.7109375" style="300" customWidth="1"/>
    <col min="160" max="160" width="19" style="300" bestFit="1" customWidth="1"/>
    <col min="161" max="161" width="19.42578125" style="300" bestFit="1" customWidth="1"/>
    <col min="162" max="162" width="14.140625" style="300" bestFit="1" customWidth="1"/>
    <col min="163" max="163" width="20" style="300" customWidth="1"/>
    <col min="164" max="164" width="20.140625" style="300" bestFit="1" customWidth="1"/>
    <col min="165" max="165" width="21.7109375" style="300" bestFit="1" customWidth="1"/>
    <col min="166" max="166" width="13.7109375" style="300" customWidth="1"/>
    <col min="167" max="174" width="11.42578125" style="300"/>
    <col min="175" max="175" width="17" style="300" customWidth="1"/>
    <col min="176" max="176" width="23.5703125" style="300" customWidth="1"/>
    <col min="177" max="177" width="26.7109375" style="300" customWidth="1"/>
    <col min="178" max="181" width="11.42578125" style="300"/>
    <col min="182" max="182" width="9.7109375" style="300" customWidth="1"/>
    <col min="183" max="183" width="7.85546875" style="300" customWidth="1"/>
    <col min="184" max="184" width="9.28515625" style="300" customWidth="1"/>
    <col min="185" max="185" width="9.140625" style="300" customWidth="1"/>
    <col min="186" max="186" width="16.85546875" style="300" customWidth="1"/>
    <col min="187" max="187" width="12.42578125" style="300" customWidth="1"/>
    <col min="188" max="188" width="12.7109375" style="300" customWidth="1"/>
    <col min="189" max="189" width="9.5703125" style="300" customWidth="1"/>
    <col min="190" max="190" width="10.85546875" style="300" customWidth="1"/>
    <col min="191" max="191" width="10" style="300" customWidth="1"/>
    <col min="192" max="192" width="15" style="300" customWidth="1"/>
    <col min="193" max="193" width="14.140625" style="300" bestFit="1" customWidth="1"/>
    <col min="194" max="16384" width="11.42578125" style="300"/>
  </cols>
  <sheetData>
    <row r="1" spans="1:15" x14ac:dyDescent="0.25">
      <c r="B1" s="803"/>
    </row>
    <row r="2" spans="1:15" x14ac:dyDescent="0.25">
      <c r="B2" s="803"/>
    </row>
    <row r="3" spans="1:15" x14ac:dyDescent="0.25">
      <c r="B3" s="803"/>
    </row>
    <row r="4" spans="1:15" ht="12" thickBot="1" x14ac:dyDescent="0.3">
      <c r="B4" s="803"/>
    </row>
    <row r="5" spans="1:15" ht="12" thickBot="1" x14ac:dyDescent="0.3">
      <c r="B5" s="803"/>
      <c r="K5" s="811" t="s">
        <v>566</v>
      </c>
      <c r="L5" s="811" t="s">
        <v>567</v>
      </c>
      <c r="M5" s="811" t="s">
        <v>568</v>
      </c>
      <c r="N5" s="812" t="s">
        <v>569</v>
      </c>
      <c r="O5" s="812" t="s">
        <v>364</v>
      </c>
    </row>
    <row r="6" spans="1:15" x14ac:dyDescent="0.25">
      <c r="B6" s="803"/>
      <c r="K6" s="813" t="str">
        <f>IF(AND('1. Projektangaben'!E23="",'1. Projektangaben'!C23=""),"Variante",IF('1. Projektangaben'!E23&lt;&gt;"",'1. Projektangaben'!E23,IF('1. Projektangaben'!C23&lt;&gt;"",CONCATENATE(LEFT('1. Projektangaben'!C23,8),"."),"")))</f>
        <v>BTV</v>
      </c>
      <c r="L6" s="813" t="str">
        <f>IF(C9=1,C8,IF(D9=1,D8,IF(E9=1,E8,IF(F9=1,F8,G8))))</f>
        <v>BTV</v>
      </c>
      <c r="M6" s="813" t="str">
        <f>'E.2 Wirtschaftlichkeit'!M23</f>
        <v>BTV</v>
      </c>
      <c r="N6" s="813" t="str">
        <f>M6</f>
        <v>BTV</v>
      </c>
      <c r="O6" s="845">
        <f>C37</f>
        <v>0</v>
      </c>
    </row>
    <row r="7" spans="1:15" ht="12" thickBot="1" x14ac:dyDescent="0.3">
      <c r="K7" s="813" t="str">
        <f>IF(AND('1. Projektangaben'!E24="",'1. Projektangaben'!C24=""),"Variante",IF('1. Projektangaben'!E24&lt;&gt;"",'1. Projektangaben'!E24,IF('1. Projektangaben'!C24&lt;&gt;"",CONCATENATE(LEFT('1. Projektangaben'!C24,8),"."),"")))</f>
        <v>PH</v>
      </c>
      <c r="L7" s="813" t="str">
        <f>IF(C9=1,D8,C8)</f>
        <v>PH</v>
      </c>
      <c r="M7" s="813" t="str">
        <f>'E.2 Wirtschaftlichkeit'!N23</f>
        <v>PH</v>
      </c>
      <c r="N7" s="813" t="str">
        <f>IF(AND($M$7=0,$M$8=0,$M$9=0,$M$10=0),L7,IF(M7=0,"Varainte",M7))</f>
        <v>PH</v>
      </c>
      <c r="O7" s="845">
        <f>D37</f>
        <v>0</v>
      </c>
    </row>
    <row r="8" spans="1:15" ht="12.95" customHeight="1" x14ac:dyDescent="0.25">
      <c r="A8" s="1645" t="s">
        <v>295</v>
      </c>
      <c r="B8" s="3"/>
      <c r="C8" s="181" t="str">
        <f>K6</f>
        <v>BTV</v>
      </c>
      <c r="D8" s="181" t="str">
        <f>K7</f>
        <v>PH</v>
      </c>
      <c r="E8" s="181" t="str">
        <f>K8</f>
        <v>PHSol</v>
      </c>
      <c r="F8" s="181" t="str">
        <f>K9</f>
        <v>PHWRGSo</v>
      </c>
      <c r="G8" s="181" t="str">
        <f>K10</f>
        <v>PHWRGSoPV</v>
      </c>
      <c r="H8" s="112"/>
      <c r="K8" s="813" t="str">
        <f>IF(AND('1. Projektangaben'!E25="",'1. Projektangaben'!C25=""),"Variante",IF('1. Projektangaben'!E25&lt;&gt;"",'1. Projektangaben'!E25,IF('1. Projektangaben'!C25&lt;&gt;"",CONCATENATE(LEFT('1. Projektangaben'!C25,8),"."),"")))</f>
        <v>PHSol</v>
      </c>
      <c r="L8" s="813" t="str">
        <f>IF(OR(C9=1,D9=1),E8,D8)</f>
        <v>PHSol</v>
      </c>
      <c r="M8" s="813" t="str">
        <f>'E.2 Wirtschaftlichkeit'!O23</f>
        <v>PHSol</v>
      </c>
      <c r="N8" s="813" t="str">
        <f>IF(AND($M$7=0,$M$8=0,$M$9=0,$M$10=0),L8,IF(M8=0,"Varainte",M8))</f>
        <v>PHSol</v>
      </c>
      <c r="O8" s="845">
        <f>E37</f>
        <v>0</v>
      </c>
    </row>
    <row r="9" spans="1:15" ht="12.95" customHeight="1" x14ac:dyDescent="0.25">
      <c r="A9" s="1646"/>
      <c r="B9" s="60" t="s">
        <v>110</v>
      </c>
      <c r="C9" s="116">
        <f>IF(OR('1. Projektangaben'!F23="x",'1. Projektangaben'!F23="X",AND('1. Projektangaben'!F23="",'1. Projektangaben'!F24="",'1. Projektangaben'!F25="",'1. Projektangaben'!F26="",'1. Projektangaben'!F27="")),1,0)</f>
        <v>1</v>
      </c>
      <c r="D9" s="116">
        <f>IF(OR('1. Projektangaben'!F24="x",'1. Projektangaben'!F24="X"),1,0)</f>
        <v>0</v>
      </c>
      <c r="E9" s="116">
        <f>IF(OR('1. Projektangaben'!F25="x",'1. Projektangaben'!F25="X"),1,0)</f>
        <v>0</v>
      </c>
      <c r="F9" s="116">
        <f>IF(OR('1. Projektangaben'!F26="x",'1. Projektangaben'!F26="X"),1,0)</f>
        <v>0</v>
      </c>
      <c r="G9" s="116">
        <f>IF(OR('1. Projektangaben'!F27="x",'1. Projektangaben'!F27="X"),1,0)</f>
        <v>0</v>
      </c>
      <c r="K9" s="813" t="str">
        <f>IF(AND('1. Projektangaben'!E26="",'1. Projektangaben'!C26=""),"Variante",IF('1. Projektangaben'!E26&lt;&gt;"",'1. Projektangaben'!E26,IF('1. Projektangaben'!C26&lt;&gt;"",CONCATENATE(LEFT('1. Projektangaben'!C26,8),"."),"")))</f>
        <v>PHWRGSo</v>
      </c>
      <c r="L9" s="813" t="str">
        <f>IF(OR(F9=1,G9=1),E8,F8)</f>
        <v>PHWRGSo</v>
      </c>
      <c r="M9" s="813" t="str">
        <f>'E.2 Wirtschaftlichkeit'!P23</f>
        <v>PHWRGSo</v>
      </c>
      <c r="N9" s="813" t="str">
        <f>IF(AND($M$7=0,$M$8=0,$M$9=0,$M$10=0),L9,IF(M9=0,"Varainte",M9))</f>
        <v>PHWRGSo</v>
      </c>
      <c r="O9" s="845">
        <f>F37</f>
        <v>0</v>
      </c>
    </row>
    <row r="10" spans="1:15" ht="12.95" customHeight="1" thickBot="1" x14ac:dyDescent="0.3">
      <c r="A10" s="1646"/>
      <c r="K10" s="814" t="str">
        <f>IF(AND('1. Projektangaben'!E27="",'1. Projektangaben'!C27=""),"Variante",IF('1. Projektangaben'!E27&lt;&gt;"",'1. Projektangaben'!E27,IF('1. Projektangaben'!C27&lt;&gt;"",CONCATENATE(LEFT('1. Projektangaben'!C27,8),"."),"")))</f>
        <v>PHWRGSoPV</v>
      </c>
      <c r="L10" s="814" t="str">
        <f>IF(G9=1,F8,G8)</f>
        <v>PHWRGSoPV</v>
      </c>
      <c r="M10" s="814" t="str">
        <f>'E.2 Wirtschaftlichkeit'!Q23</f>
        <v>PHWRGSoPV</v>
      </c>
      <c r="N10" s="814" t="str">
        <f>IF(AND($M$7=0,$M$8=0,$M$9=0,$M$10=0),L10,IF(M10=0,"Varainte",M10))</f>
        <v>PHWRGSoPV</v>
      </c>
      <c r="O10" s="846">
        <f>G37</f>
        <v>0</v>
      </c>
    </row>
    <row r="11" spans="1:15" ht="12.95" customHeight="1" thickBot="1" x14ac:dyDescent="0.3">
      <c r="A11" s="1646"/>
      <c r="B11" s="3"/>
      <c r="C11" s="181" t="str">
        <f>IF('1. Projektangaben'!E23="",1,'1. Projektangaben'!E23)</f>
        <v>BTV</v>
      </c>
      <c r="D11" s="181" t="str">
        <f>IF('1. Projektangaben'!E24="",2,'1. Projektangaben'!E24)</f>
        <v>PH</v>
      </c>
      <c r="E11" s="181" t="str">
        <f>IF('1. Projektangaben'!E25="",3,'1. Projektangaben'!E25)</f>
        <v>PHSol</v>
      </c>
      <c r="F11" s="181" t="str">
        <f>IF('1. Projektangaben'!E26="",4,'1. Projektangaben'!E26)</f>
        <v>PHWRGSo</v>
      </c>
      <c r="G11" s="181" t="str">
        <f>IF('1. Projektangaben'!E27="",5,'1. Projektangaben'!E27)</f>
        <v>PHWRGSoPV</v>
      </c>
      <c r="H11" s="647" t="s">
        <v>473</v>
      </c>
    </row>
    <row r="12" spans="1:15" ht="12.95" customHeight="1" thickBot="1" x14ac:dyDescent="0.3">
      <c r="A12" s="1646"/>
      <c r="B12" s="162" t="s">
        <v>299</v>
      </c>
      <c r="C12" s="139">
        <f>SUM(K309:K330)</f>
        <v>13224.18885744</v>
      </c>
      <c r="D12" s="137">
        <f ca="1">SUM(K483:K504)</f>
        <v>11460.111577200001</v>
      </c>
      <c r="E12" s="137">
        <f ca="1">SUM(K659:K680)</f>
        <v>8364.2718772799999</v>
      </c>
      <c r="F12" s="137">
        <f ca="1">SUM(K833:K854)</f>
        <v>8469.1298366400006</v>
      </c>
      <c r="G12" s="138">
        <f ca="1">SUM(K1006:K1027)</f>
        <v>8469.1298366400006</v>
      </c>
      <c r="K12" s="1022" t="s">
        <v>703</v>
      </c>
      <c r="L12" s="1023"/>
      <c r="M12" s="1023"/>
      <c r="N12" s="1023"/>
      <c r="O12" s="1024"/>
    </row>
    <row r="13" spans="1:15" ht="12.95" customHeight="1" x14ac:dyDescent="0.25">
      <c r="A13" s="1646"/>
      <c r="B13" s="110" t="s">
        <v>283</v>
      </c>
      <c r="C13" s="116" t="s">
        <v>286</v>
      </c>
      <c r="D13" s="116" t="s">
        <v>286</v>
      </c>
      <c r="E13" s="116" t="s">
        <v>286</v>
      </c>
      <c r="F13" s="116" t="s">
        <v>286</v>
      </c>
      <c r="G13" s="116" t="s">
        <v>286</v>
      </c>
      <c r="I13" s="1015" t="s">
        <v>701</v>
      </c>
      <c r="K13" s="1025" t="str">
        <f>Annuitätenzuschuss!X8</f>
        <v xml:space="preserve">Variante: BTV-WDVS-WP-Abl-ohne Sol_PV </v>
      </c>
      <c r="L13" s="113" t="str">
        <f>Annuitätenzuschuss!Y8</f>
        <v xml:space="preserve">Variante: PH-WDVS-WP-Abl-ohne Sol_PV </v>
      </c>
      <c r="M13" s="113" t="str">
        <f>Annuitätenzuschuss!Z8</f>
        <v xml:space="preserve">Variante: PH-WDVS-WP-Abl-mittl.Sol-ohne PV </v>
      </c>
      <c r="N13" s="113" t="str">
        <f>Annuitätenzuschuss!AA8</f>
        <v xml:space="preserve">Variante: PH-WDVS-WP-WRG-mittl.Sol-ohne PV </v>
      </c>
      <c r="O13" s="1026" t="str">
        <f>Annuitätenzuschuss!AB8</f>
        <v xml:space="preserve">Variante: PH-WDVS-WP-WRG-mittl.Sol-mit PV </v>
      </c>
    </row>
    <row r="14" spans="1:15" ht="12.95" customHeight="1" thickBot="1" x14ac:dyDescent="0.3">
      <c r="A14" s="1646"/>
      <c r="B14" s="122" t="s">
        <v>192</v>
      </c>
      <c r="C14" s="163">
        <f>IF($I$14=TRUE,K14,NPV($D$157,AK204:AK253)*-1)</f>
        <v>3649462.4014117629</v>
      </c>
      <c r="D14" s="163">
        <f ca="1">IF($I$14=TRUE,L14,NPV($D$157,AK378:AK427)*-1)</f>
        <v>3643185.4023934924</v>
      </c>
      <c r="E14" s="163">
        <f ca="1">IF($I$14=TRUE,M14,NPV($D$157,AK554:AK603)*-1)</f>
        <v>3678751.3990175691</v>
      </c>
      <c r="F14" s="163">
        <f ca="1">IF($I$14=TRUE,N14,NPV($D$157,AK728:AK777)*-1)</f>
        <v>3753760.1907152468</v>
      </c>
      <c r="G14" s="163">
        <f ca="1">IF($I$14=TRUE,O14,NPV($D$157,AK901:AK950)*-1)</f>
        <v>3790937.5801008861</v>
      </c>
      <c r="H14" s="109"/>
      <c r="I14" s="1016" t="b">
        <f>IF(OR('1. Projektangaben'!P60="X",'1. Projektangaben'!P60="x"),TRUE,FALSE)</f>
        <v>0</v>
      </c>
      <c r="K14" s="1029">
        <f>Annuitätenzuschuss!X9*-1</f>
        <v>4143249.2688095234</v>
      </c>
      <c r="L14" s="1027">
        <f ca="1">Annuitätenzuschuss!Y9*-1</f>
        <v>4159896.023792766</v>
      </c>
      <c r="M14" s="1027">
        <f ca="1">Annuitätenzuschuss!Z9*-1</f>
        <v>2466968.7329369914</v>
      </c>
      <c r="N14" s="1027">
        <f ca="1">Annuitätenzuschuss!AA9*-1</f>
        <v>2455843.80646569</v>
      </c>
      <c r="O14" s="1028">
        <f ca="1">Annuitätenzuschuss!AB9*-1</f>
        <v>2456706.0133670983</v>
      </c>
    </row>
    <row r="15" spans="1:15" ht="12.95" customHeight="1" x14ac:dyDescent="0.25">
      <c r="A15" s="1646"/>
      <c r="B15" s="122" t="s">
        <v>280</v>
      </c>
      <c r="C15" s="163">
        <f>SUM(P199:T336)</f>
        <v>162563.98574370297</v>
      </c>
      <c r="D15" s="163">
        <f ca="1">SUM(P373:T510)</f>
        <v>160483.18952455575</v>
      </c>
      <c r="E15" s="163">
        <f ca="1">SUM(P549:T686)</f>
        <v>190104.15357788268</v>
      </c>
      <c r="F15" s="163">
        <f ca="1">SUM(P723:T860)</f>
        <v>194060.34107996113</v>
      </c>
      <c r="G15" s="163">
        <f ca="1">SUM(P896:T1033)</f>
        <v>219625.87420927419</v>
      </c>
      <c r="H15" s="109"/>
    </row>
    <row r="16" spans="1:15" ht="12.95" customHeight="1" x14ac:dyDescent="0.25">
      <c r="A16" s="1646"/>
      <c r="B16" s="122" t="s">
        <v>284</v>
      </c>
      <c r="C16" s="163">
        <f>SUM(U199:U336)*-1</f>
        <v>-843133.80791602586</v>
      </c>
      <c r="D16" s="163">
        <f ca="1">SUM(U373:U510)*-1</f>
        <v>-846827.36363887391</v>
      </c>
      <c r="E16" s="163">
        <f ca="1">SUM(U549:U686)*-1</f>
        <v>-863677.35351344733</v>
      </c>
      <c r="F16" s="163">
        <f ca="1">SUM(U723:U860)*-1</f>
        <v>-879404.63356217626</v>
      </c>
      <c r="G16" s="163">
        <f ca="1">SUM(U896:U1033)*-1</f>
        <v>-897901.31938302296</v>
      </c>
      <c r="H16" s="109"/>
    </row>
    <row r="17" spans="1:20" ht="12.95" customHeight="1" x14ac:dyDescent="0.25">
      <c r="A17" s="1646"/>
      <c r="B17" s="110" t="s">
        <v>332</v>
      </c>
      <c r="C17" s="163">
        <f>SUM(V199:V336)</f>
        <v>0</v>
      </c>
      <c r="D17" s="163">
        <f ca="1">SUM(V373:V510)</f>
        <v>0</v>
      </c>
      <c r="E17" s="163">
        <f ca="1">SUM(V549:V686)</f>
        <v>0</v>
      </c>
      <c r="F17" s="163">
        <f ca="1">SUM(V723:V860)</f>
        <v>0</v>
      </c>
      <c r="G17" s="163">
        <f ca="1">SUM(V896:V1033)</f>
        <v>0</v>
      </c>
      <c r="H17" s="109"/>
    </row>
    <row r="18" spans="1:20" ht="12.95" customHeight="1" x14ac:dyDescent="0.25">
      <c r="A18" s="1646"/>
      <c r="B18" s="122" t="s">
        <v>281</v>
      </c>
      <c r="C18" s="163">
        <f ca="1">SUM(W199:W336)+'PV-Einspeisung'!AA4</f>
        <v>204368.53935014899</v>
      </c>
      <c r="D18" s="163">
        <f ca="1">SUM(W373:W510)+'PV-Einspeisung'!AA5</f>
        <v>204368.53935014899</v>
      </c>
      <c r="E18" s="163">
        <f ca="1">SUM(W549:W686)+'PV-Einspeisung'!AA6</f>
        <v>214294.1760945961</v>
      </c>
      <c r="F18" s="163">
        <f ca="1">SUM(W723:W860)+'PV-Einspeisung'!AA7</f>
        <v>240601.93173764535</v>
      </c>
      <c r="G18" s="163">
        <f ca="1">SUM(W896:W1033)+'PV-Einspeisung'!AA8</f>
        <v>254382.18469352828</v>
      </c>
      <c r="H18" s="109"/>
    </row>
    <row r="19" spans="1:20" ht="12.95" customHeight="1" x14ac:dyDescent="0.25">
      <c r="A19" s="1646"/>
      <c r="B19" s="122" t="s">
        <v>282</v>
      </c>
      <c r="C19" s="163">
        <f>SUM(X199:X336)</f>
        <v>544398.5625023779</v>
      </c>
      <c r="D19" s="163">
        <f ca="1">SUM(X373:X510)</f>
        <v>466141.08349033294</v>
      </c>
      <c r="E19" s="163">
        <f ca="1">SUM(X549:X686)</f>
        <v>328612.06792090967</v>
      </c>
      <c r="F19" s="163">
        <f ca="1">SUM(X723:X860)</f>
        <v>330523.55920145707</v>
      </c>
      <c r="G19" s="163">
        <f ca="1">SUM(X896:X1033)</f>
        <v>330523.55920145707</v>
      </c>
      <c r="H19" s="109"/>
    </row>
    <row r="20" spans="1:20" ht="12.95" customHeight="1" x14ac:dyDescent="0.25">
      <c r="A20" s="1646"/>
      <c r="B20" s="110" t="s">
        <v>364</v>
      </c>
      <c r="C20" s="163"/>
      <c r="D20" s="163"/>
      <c r="E20" s="163"/>
      <c r="F20" s="163"/>
      <c r="G20" s="163"/>
      <c r="H20" s="109"/>
      <c r="I20" s="112"/>
      <c r="J20" s="112"/>
      <c r="K20" s="112"/>
      <c r="L20" s="112"/>
      <c r="M20" s="112"/>
      <c r="N20" s="112"/>
      <c r="O20" s="112"/>
      <c r="P20" s="112"/>
      <c r="Q20" s="112"/>
      <c r="R20" s="112"/>
      <c r="S20" s="112"/>
      <c r="T20" s="112"/>
    </row>
    <row r="21" spans="1:20" ht="12.95" customHeight="1" x14ac:dyDescent="0.25">
      <c r="A21" s="1646"/>
      <c r="B21" s="110" t="s">
        <v>413</v>
      </c>
      <c r="C21" s="163">
        <f>IF(-$Q$108*$G$152*$I$158&lt;=0,-$Q$108*$G$152*$I$158,0)*-1</f>
        <v>0</v>
      </c>
      <c r="D21" s="163">
        <f ca="1">IF(-$U$108*$G$152*$I$158&lt;=0,-$U$108*$G$152*$I$158,0)*-1</f>
        <v>0</v>
      </c>
      <c r="E21" s="163">
        <f ca="1">IF(-$Y$108*$G$152*$I$158&lt;=0,-$Y$108*$G$152*$I$158,0)*-1</f>
        <v>0</v>
      </c>
      <c r="F21" s="163">
        <f ca="1">IF(-$AC$108*$G$152*$I$158&lt;=0,-$AC$108*$G$152*$I$158,0)*-1</f>
        <v>0</v>
      </c>
      <c r="G21" s="163">
        <f ca="1">IF(-$AG$108*$G$152*$I$158&lt;=0,-$AG$108*$G$152*$I$158,0)*-1</f>
        <v>0</v>
      </c>
      <c r="H21" s="109"/>
      <c r="I21" s="112"/>
    </row>
    <row r="22" spans="1:20" ht="12.95" customHeight="1" x14ac:dyDescent="0.25">
      <c r="A22" s="1646"/>
      <c r="B22" s="804" t="s">
        <v>405</v>
      </c>
      <c r="C22" s="331" t="s">
        <v>410</v>
      </c>
      <c r="D22" s="331" t="s">
        <v>410</v>
      </c>
      <c r="E22" s="331" t="s">
        <v>410</v>
      </c>
      <c r="F22" s="331" t="s">
        <v>410</v>
      </c>
      <c r="G22" s="331" t="s">
        <v>410</v>
      </c>
      <c r="H22" s="112"/>
      <c r="I22" s="112"/>
    </row>
    <row r="23" spans="1:20" ht="12.95" customHeight="1" x14ac:dyDescent="0.25">
      <c r="A23" s="1646"/>
      <c r="B23" s="804" t="s">
        <v>405</v>
      </c>
      <c r="C23" s="331" t="s">
        <v>410</v>
      </c>
      <c r="D23" s="331" t="s">
        <v>410</v>
      </c>
      <c r="E23" s="331" t="s">
        <v>410</v>
      </c>
      <c r="F23" s="331" t="s">
        <v>410</v>
      </c>
      <c r="G23" s="331" t="s">
        <v>410</v>
      </c>
      <c r="H23" s="109"/>
    </row>
    <row r="24" spans="1:20" ht="12.95" customHeight="1" x14ac:dyDescent="0.25">
      <c r="A24" s="1646"/>
      <c r="B24" s="804" t="s">
        <v>405</v>
      </c>
      <c r="C24" s="331" t="s">
        <v>410</v>
      </c>
      <c r="D24" s="331" t="s">
        <v>410</v>
      </c>
      <c r="E24" s="331" t="s">
        <v>410</v>
      </c>
      <c r="F24" s="331" t="s">
        <v>410</v>
      </c>
      <c r="G24" s="331" t="s">
        <v>410</v>
      </c>
      <c r="H24" s="109"/>
    </row>
    <row r="25" spans="1:20" ht="12.95" customHeight="1" x14ac:dyDescent="0.25">
      <c r="A25" s="1646"/>
      <c r="B25" s="804" t="s">
        <v>405</v>
      </c>
      <c r="C25" s="331" t="s">
        <v>410</v>
      </c>
      <c r="D25" s="331" t="s">
        <v>410</v>
      </c>
      <c r="E25" s="331" t="s">
        <v>410</v>
      </c>
      <c r="F25" s="331" t="s">
        <v>410</v>
      </c>
      <c r="G25" s="331" t="s">
        <v>410</v>
      </c>
      <c r="H25" s="109"/>
    </row>
    <row r="26" spans="1:20" ht="12.95" customHeight="1" x14ac:dyDescent="0.25">
      <c r="A26" s="1646"/>
      <c r="B26" s="805" t="s">
        <v>561</v>
      </c>
      <c r="C26" s="806">
        <f>'PV-Einspeisung'!AB4</f>
        <v>0</v>
      </c>
      <c r="D26" s="806">
        <f ca="1">'PV-Einspeisung'!AB5</f>
        <v>0</v>
      </c>
      <c r="E26" s="806">
        <f ca="1">'PV-Einspeisung'!AB6</f>
        <v>0</v>
      </c>
      <c r="F26" s="806">
        <f ca="1">'PV-Einspeisung'!AB7</f>
        <v>0</v>
      </c>
      <c r="G26" s="806">
        <f>'PV-Einspeisung'!AB8</f>
        <v>-58061.253662397947</v>
      </c>
      <c r="H26" s="109"/>
    </row>
    <row r="27" spans="1:20" ht="12.95" customHeight="1" x14ac:dyDescent="0.25">
      <c r="A27" s="1646"/>
      <c r="B27" s="805" t="s">
        <v>544</v>
      </c>
      <c r="C27" s="806">
        <f ca="1">'PV-Einspeisung'!Z4</f>
        <v>0</v>
      </c>
      <c r="D27" s="806">
        <f ca="1">'PV-Einspeisung'!Z5</f>
        <v>0</v>
      </c>
      <c r="E27" s="806">
        <f ca="1">'PV-Einspeisung'!Z6</f>
        <v>0</v>
      </c>
      <c r="F27" s="806">
        <f ca="1">'PV-Einspeisung'!Z7</f>
        <v>0</v>
      </c>
      <c r="G27" s="806">
        <f ca="1">'PV-Einspeisung'!Z8</f>
        <v>-12154.257261502009</v>
      </c>
      <c r="H27" s="109"/>
    </row>
    <row r="28" spans="1:20" ht="12.95" customHeight="1" thickBot="1" x14ac:dyDescent="0.3">
      <c r="A28" s="1646"/>
      <c r="B28" s="115" t="s">
        <v>438</v>
      </c>
      <c r="C28" s="300" t="str">
        <f>IF(C9=1,C8,IF(D9=1,D8,IF(E9=1,E8,IF(F9=1,F8,G8))))</f>
        <v>BTV</v>
      </c>
      <c r="D28" s="300" t="str">
        <f>N7</f>
        <v>PH</v>
      </c>
      <c r="E28" s="300" t="str">
        <f>N8</f>
        <v>PHSol</v>
      </c>
      <c r="F28" s="300" t="str">
        <f>N9</f>
        <v>PHWRGSo</v>
      </c>
      <c r="G28" s="300" t="str">
        <f>N10</f>
        <v>PHWRGSoPV</v>
      </c>
    </row>
    <row r="29" spans="1:20" ht="12.95" customHeight="1" thickBot="1" x14ac:dyDescent="0.3">
      <c r="A29" s="1646"/>
      <c r="B29" s="815" t="s">
        <v>299</v>
      </c>
      <c r="C29" s="141">
        <f>IF(C$28=$C$8,$C12,IF(C$28=$D$8,$D12,IF(C$28=$E$8,$E12,IF(C$28=$F$8,$F12,$G12))))</f>
        <v>13224.18885744</v>
      </c>
      <c r="D29" s="142">
        <f ca="1">IF(D$28=$C$8,$C12,IF(D$28=$D$8,$D12,IF(D$28=$E$8,$E12,IF(D$28=$F$8,$F12,$G12))))</f>
        <v>11460.111577200001</v>
      </c>
      <c r="E29" s="142">
        <f ca="1">IF(E$28=$C$8,$C12,IF(E$28=$D$8,$D12,IF(E$28=$E$8,$E12,IF(E$28=$F$8,$F12,$G12))))</f>
        <v>8364.2718772799999</v>
      </c>
      <c r="F29" s="142">
        <f ca="1">IF(F$28=$C$8,$C12,IF(F$28=$D$8,$D12,IF(F$28=$E$8,$E12,IF(F$28=$F$8,$F12,$G12))))</f>
        <v>8469.1298366400006</v>
      </c>
      <c r="G29" s="143">
        <f ca="1">IF(G$28=$C$8,$C12,IF(G$28=$D$8,$D12,IF(G$28=$E$8,$E12,IF(G$28=$F$8,$F12,$G12))))</f>
        <v>8469.1298366400006</v>
      </c>
      <c r="H29" s="647" t="s">
        <v>516</v>
      </c>
    </row>
    <row r="30" spans="1:20" ht="12.95" customHeight="1" x14ac:dyDescent="0.25">
      <c r="A30" s="1646"/>
      <c r="B30" s="110" t="s">
        <v>283</v>
      </c>
      <c r="C30" s="116" t="s">
        <v>286</v>
      </c>
      <c r="D30" s="116" t="s">
        <v>286</v>
      </c>
      <c r="E30" s="116" t="s">
        <v>286</v>
      </c>
      <c r="F30" s="116" t="s">
        <v>286</v>
      </c>
      <c r="G30" s="116" t="s">
        <v>286</v>
      </c>
      <c r="H30" s="106" t="s">
        <v>546</v>
      </c>
    </row>
    <row r="31" spans="1:20" ht="12.95" customHeight="1" x14ac:dyDescent="0.25">
      <c r="A31" s="1646"/>
      <c r="B31" s="110" t="s">
        <v>192</v>
      </c>
      <c r="C31" s="140">
        <f>IF($H31=FALSE,0,IF(C$28=$C$8,$C14,IF(C$28=$D$8,$D14,IF(C$28=$E$8,$E14,IF(C$28=$F$8,$F14,IF(C$28=$G$8,$G14,0))))))</f>
        <v>3649462.4014117629</v>
      </c>
      <c r="D31" s="140">
        <f t="shared" ref="D31:F31" ca="1" si="0">IF($H31=FALSE,0,IF(D$28=$C$8,$C14,IF(D$28=$D$8,$D14,IF(D$28=$E$8,$E14,IF(D$28=$F$8,$F14,IF(D$28=$G$8,$G14,0))))))</f>
        <v>3643185.4023934924</v>
      </c>
      <c r="E31" s="140">
        <f t="shared" ca="1" si="0"/>
        <v>3678751.3990175691</v>
      </c>
      <c r="F31" s="140">
        <f t="shared" ca="1" si="0"/>
        <v>3753760.1907152468</v>
      </c>
      <c r="G31" s="140">
        <f ca="1">IF($H31=FALSE,0,IF(G$28=$C$8,$C14,IF(G$28=$D$8,$D14,IF(G$28=$E$8,$E14,IF(G$28=$F$8,$F14,IF(G$28=$G$8,$G14,0))))))</f>
        <v>3790937.5801008861</v>
      </c>
      <c r="H31" s="331" t="b">
        <v>1</v>
      </c>
      <c r="J31" s="109"/>
      <c r="K31" s="109"/>
      <c r="L31" s="109"/>
      <c r="M31" s="109"/>
    </row>
    <row r="32" spans="1:20" ht="12.95" customHeight="1" x14ac:dyDescent="0.25">
      <c r="A32" s="1646"/>
      <c r="B32" s="110" t="s">
        <v>280</v>
      </c>
      <c r="C32" s="140">
        <f t="shared" ref="C32:G32" si="1">IF($H32=FALSE,0,IF(C$28=$C$8,$C15,IF(C$28=$D$8,$D15,IF(C$28=$E$8,$E15,IF(C$28=$F$8,$F15,IF(C$28=$G$8,$G15,0))))))</f>
        <v>162563.98574370297</v>
      </c>
      <c r="D32" s="140">
        <f t="shared" ca="1" si="1"/>
        <v>160483.18952455575</v>
      </c>
      <c r="E32" s="140">
        <f t="shared" ca="1" si="1"/>
        <v>190104.15357788268</v>
      </c>
      <c r="F32" s="140">
        <f t="shared" ca="1" si="1"/>
        <v>194060.34107996113</v>
      </c>
      <c r="G32" s="140">
        <f t="shared" ca="1" si="1"/>
        <v>219625.87420927419</v>
      </c>
      <c r="H32" s="331" t="b">
        <v>1</v>
      </c>
      <c r="J32" s="109"/>
      <c r="K32" s="109"/>
      <c r="L32" s="109"/>
      <c r="M32" s="109"/>
    </row>
    <row r="33" spans="1:17" ht="12.95" customHeight="1" x14ac:dyDescent="0.25">
      <c r="A33" s="1646"/>
      <c r="B33" s="110" t="s">
        <v>284</v>
      </c>
      <c r="C33" s="140">
        <f t="shared" ref="C33:G33" si="2">IF($H33=FALSE,0,IF(C$28=$C$8,$C16,IF(C$28=$D$8,$D16,IF(C$28=$E$8,$E16,IF(C$28=$F$8,$F16,IF(C$28=$G$8,$G16,0))))))</f>
        <v>-843133.80791602586</v>
      </c>
      <c r="D33" s="140">
        <f t="shared" ca="1" si="2"/>
        <v>-846827.36363887391</v>
      </c>
      <c r="E33" s="140">
        <f t="shared" ca="1" si="2"/>
        <v>-863677.35351344733</v>
      </c>
      <c r="F33" s="140">
        <f t="shared" ca="1" si="2"/>
        <v>-879404.63356217626</v>
      </c>
      <c r="G33" s="140">
        <f t="shared" ca="1" si="2"/>
        <v>-897901.31938302296</v>
      </c>
      <c r="H33" s="331" t="b">
        <v>1</v>
      </c>
      <c r="J33" s="109"/>
      <c r="K33" s="109"/>
      <c r="L33" s="109"/>
      <c r="M33" s="109"/>
    </row>
    <row r="34" spans="1:17" ht="12.95" customHeight="1" x14ac:dyDescent="0.25">
      <c r="A34" s="1646"/>
      <c r="B34" s="110" t="s">
        <v>332</v>
      </c>
      <c r="C34" s="140">
        <f t="shared" ref="C34:G34" si="3">IF($H34=FALSE,0,IF(C$28=$C$8,$C17,IF(C$28=$D$8,$D17,IF(C$28=$E$8,$E17,IF(C$28=$F$8,$F17,IF(C$28=$G$8,$G17,0))))))</f>
        <v>0</v>
      </c>
      <c r="D34" s="140">
        <f t="shared" ca="1" si="3"/>
        <v>0</v>
      </c>
      <c r="E34" s="140">
        <f t="shared" ca="1" si="3"/>
        <v>0</v>
      </c>
      <c r="F34" s="140">
        <f t="shared" ca="1" si="3"/>
        <v>0</v>
      </c>
      <c r="G34" s="140">
        <f t="shared" ca="1" si="3"/>
        <v>0</v>
      </c>
      <c r="H34" s="331" t="b">
        <v>1</v>
      </c>
      <c r="J34" s="109"/>
      <c r="K34" s="109"/>
      <c r="L34" s="109"/>
      <c r="M34" s="109"/>
    </row>
    <row r="35" spans="1:17" ht="12.95" customHeight="1" x14ac:dyDescent="0.25">
      <c r="A35" s="1646"/>
      <c r="B35" s="110" t="s">
        <v>281</v>
      </c>
      <c r="C35" s="140">
        <f t="shared" ref="C35:G35" ca="1" si="4">IF($H35=FALSE,0,IF(C$28=$C$8,$C18,IF(C$28=$D$8,$D18,IF(C$28=$E$8,$E18,IF(C$28=$F$8,$F18,IF(C$28=$G$8,$G18,0))))))</f>
        <v>204368.53935014899</v>
      </c>
      <c r="D35" s="140">
        <f t="shared" ca="1" si="4"/>
        <v>204368.53935014899</v>
      </c>
      <c r="E35" s="140">
        <f ca="1">IF($H35=FALSE,0,IF(E$28=$C$8,$C18,IF(E$28=$D$8,$D18,IF(E$28=$E$8,$E18,IF(E$28=$F$8,$F18,IF(E$28=$G$8,$G18,0))))))</f>
        <v>214294.1760945961</v>
      </c>
      <c r="F35" s="140">
        <f t="shared" ca="1" si="4"/>
        <v>240601.93173764535</v>
      </c>
      <c r="G35" s="140">
        <f t="shared" ca="1" si="4"/>
        <v>254382.18469352828</v>
      </c>
      <c r="H35" s="331" t="b">
        <v>1</v>
      </c>
      <c r="J35" s="109"/>
      <c r="K35" s="109"/>
      <c r="L35" s="109"/>
      <c r="M35" s="109"/>
    </row>
    <row r="36" spans="1:17" ht="12.95" customHeight="1" x14ac:dyDescent="0.25">
      <c r="A36" s="1646"/>
      <c r="B36" s="110" t="s">
        <v>282</v>
      </c>
      <c r="C36" s="140">
        <f t="shared" ref="C36:G36" si="5">IF($H36=FALSE,0,IF(C$28=$C$8,$C19,IF(C$28=$D$8,$D19,IF(C$28=$E$8,$E19,IF(C$28=$F$8,$F19,IF(C$28=$G$8,$G19,0))))))</f>
        <v>544398.5625023779</v>
      </c>
      <c r="D36" s="140">
        <f t="shared" ca="1" si="5"/>
        <v>466141.08349033294</v>
      </c>
      <c r="E36" s="140">
        <f t="shared" ca="1" si="5"/>
        <v>328612.06792090967</v>
      </c>
      <c r="F36" s="140">
        <f t="shared" ca="1" si="5"/>
        <v>330523.55920145707</v>
      </c>
      <c r="G36" s="140">
        <f t="shared" ca="1" si="5"/>
        <v>330523.55920145707</v>
      </c>
      <c r="H36" s="331" t="b">
        <v>1</v>
      </c>
      <c r="I36" s="1437" t="s">
        <v>399</v>
      </c>
      <c r="J36" s="109"/>
      <c r="K36" s="109"/>
      <c r="L36" s="109"/>
      <c r="M36" s="109"/>
    </row>
    <row r="37" spans="1:17" ht="12.95" customHeight="1" x14ac:dyDescent="0.25">
      <c r="A37" s="1646"/>
      <c r="B37" s="110" t="s">
        <v>364</v>
      </c>
      <c r="C37" s="62">
        <f>IF($I$32=TRUE,IF($H$32=FALSE,0,-'E.1 Kosten'!I83),0)</f>
        <v>0</v>
      </c>
      <c r="D37" s="62">
        <f>IF($I$32=TRUE,IF($H$32=FALSE,0,-'E.1 Kosten'!J83),0)</f>
        <v>0</v>
      </c>
      <c r="E37" s="62">
        <f>IF($I$32=TRUE,IF($H$32=FALSE,0,-'E.1 Kosten'!K83),0)</f>
        <v>0</v>
      </c>
      <c r="F37" s="62">
        <f>IF($I$32=TRUE,IF($H$32=FALSE,0,-'E.1 Kosten'!L83),0)</f>
        <v>0</v>
      </c>
      <c r="G37" s="62">
        <f>IF($I$32=TRUE,IF($H$32=FALSE,0,-'E.1 Kosten'!M83),0)</f>
        <v>0</v>
      </c>
      <c r="H37" s="331" t="b">
        <v>1</v>
      </c>
      <c r="I37" s="1438" t="b">
        <f>'1. Projektangaben'!U15</f>
        <v>0</v>
      </c>
      <c r="J37" s="109"/>
      <c r="K37" s="109"/>
      <c r="L37" s="109"/>
      <c r="M37" s="109"/>
    </row>
    <row r="38" spans="1:17" ht="12.95" customHeight="1" x14ac:dyDescent="0.25">
      <c r="A38" s="1646"/>
      <c r="B38" s="110" t="s">
        <v>413</v>
      </c>
      <c r="C38" s="140">
        <f t="shared" ref="C38:G38" si="6">IF($H38=FALSE,0,IF(C$28=$C$8,$C21,IF(C$28=$D$8,$D21,IF(C$28=$E$8,$E21,IF(C$28=$F$8,$F21,IF(C$28=$G$8,$G21,0))))))</f>
        <v>0</v>
      </c>
      <c r="D38" s="140">
        <f t="shared" ca="1" si="6"/>
        <v>0</v>
      </c>
      <c r="E38" s="140">
        <f t="shared" ca="1" si="6"/>
        <v>0</v>
      </c>
      <c r="F38" s="140">
        <f t="shared" ca="1" si="6"/>
        <v>0</v>
      </c>
      <c r="G38" s="140">
        <f t="shared" ca="1" si="6"/>
        <v>0</v>
      </c>
      <c r="H38" s="331" t="b">
        <v>1</v>
      </c>
      <c r="J38" s="109"/>
      <c r="K38" s="109"/>
      <c r="L38" s="109"/>
      <c r="M38" s="109"/>
    </row>
    <row r="39" spans="1:17" ht="12.95" customHeight="1" x14ac:dyDescent="0.25">
      <c r="A39" s="1646"/>
      <c r="B39" s="804" t="s">
        <v>405</v>
      </c>
      <c r="C39" s="331" t="s">
        <v>410</v>
      </c>
      <c r="D39" s="331" t="s">
        <v>410</v>
      </c>
      <c r="E39" s="331" t="s">
        <v>410</v>
      </c>
      <c r="F39" s="331" t="s">
        <v>410</v>
      </c>
      <c r="G39" s="331" t="s">
        <v>410</v>
      </c>
      <c r="H39" s="331" t="b">
        <v>1</v>
      </c>
    </row>
    <row r="40" spans="1:17" ht="12.95" customHeight="1" x14ac:dyDescent="0.25">
      <c r="A40" s="1646"/>
      <c r="B40" s="804" t="s">
        <v>405</v>
      </c>
      <c r="C40" s="331" t="s">
        <v>410</v>
      </c>
      <c r="D40" s="331" t="s">
        <v>410</v>
      </c>
      <c r="E40" s="331" t="s">
        <v>410</v>
      </c>
      <c r="F40" s="331" t="s">
        <v>410</v>
      </c>
      <c r="G40" s="331" t="s">
        <v>410</v>
      </c>
      <c r="H40" s="331" t="b">
        <v>1</v>
      </c>
    </row>
    <row r="41" spans="1:17" ht="12.95" customHeight="1" x14ac:dyDescent="0.25">
      <c r="A41" s="1646"/>
      <c r="B41" s="804" t="s">
        <v>405</v>
      </c>
      <c r="C41" s="331" t="s">
        <v>410</v>
      </c>
      <c r="D41" s="331" t="s">
        <v>410</v>
      </c>
      <c r="E41" s="331" t="s">
        <v>410</v>
      </c>
      <c r="F41" s="331" t="s">
        <v>410</v>
      </c>
      <c r="G41" s="331" t="s">
        <v>410</v>
      </c>
      <c r="H41" s="331" t="b">
        <v>1</v>
      </c>
    </row>
    <row r="42" spans="1:17" ht="12.75" customHeight="1" x14ac:dyDescent="0.25">
      <c r="A42" s="1646"/>
      <c r="B42" s="804" t="s">
        <v>405</v>
      </c>
      <c r="C42" s="331" t="s">
        <v>410</v>
      </c>
      <c r="D42" s="331" t="s">
        <v>410</v>
      </c>
      <c r="E42" s="331" t="s">
        <v>410</v>
      </c>
      <c r="F42" s="331" t="s">
        <v>410</v>
      </c>
      <c r="G42" s="331" t="s">
        <v>410</v>
      </c>
      <c r="H42" s="331" t="b">
        <v>1</v>
      </c>
    </row>
    <row r="43" spans="1:17" ht="12.75" customHeight="1" x14ac:dyDescent="0.25">
      <c r="A43" s="1646"/>
      <c r="B43" s="805" t="s">
        <v>561</v>
      </c>
      <c r="C43" s="140">
        <f t="shared" ref="C43:C44" si="7">IF(H$31=FALSE,0,IF(C$28=$C$8,$C26,IF(C$28=$D$8,$D26,IF(C$28=$E$8,$E26,IF(C$28=$F$8,$F26,IF(C$28=$G$8,$G26))))))</f>
        <v>0</v>
      </c>
      <c r="D43" s="140">
        <f t="shared" ref="D43:E44" ca="1" si="8">IF($H43=FALSE,0,IF(D$28=$C$8,$C26,IF(D$28=$D$8,$D26,IF(D$28=$E$8,$E26,IF(D$28=$F$8,$F26,IF(D$28=$G$8,$G26))))))</f>
        <v>0</v>
      </c>
      <c r="E43" s="140">
        <f t="shared" ca="1" si="8"/>
        <v>0</v>
      </c>
      <c r="F43" s="140">
        <f t="shared" ref="F43:G44" ca="1" si="9">IF($H43=FALSE,0,IF(F$28=$C$8,$C26,IF(F$28=$D$8,$D26,IF(F$28=$E$8,$E26,IF(F$28=$F$8,$F26,IF(F$28=$G$8,$G26,0))))))</f>
        <v>0</v>
      </c>
      <c r="G43" s="140">
        <f t="shared" si="9"/>
        <v>-58061.253662397947</v>
      </c>
      <c r="H43" s="331" t="b">
        <v>1</v>
      </c>
      <c r="P43" s="803"/>
    </row>
    <row r="44" spans="1:17" ht="12.75" customHeight="1" x14ac:dyDescent="0.25">
      <c r="A44" s="1646"/>
      <c r="B44" s="805" t="s">
        <v>544</v>
      </c>
      <c r="C44" s="140">
        <f t="shared" ca="1" si="7"/>
        <v>0</v>
      </c>
      <c r="D44" s="140">
        <f t="shared" ca="1" si="8"/>
        <v>0</v>
      </c>
      <c r="E44" s="140">
        <f t="shared" ca="1" si="8"/>
        <v>0</v>
      </c>
      <c r="F44" s="140">
        <f t="shared" ca="1" si="9"/>
        <v>0</v>
      </c>
      <c r="G44" s="140">
        <f t="shared" ca="1" si="9"/>
        <v>-12154.257261502009</v>
      </c>
      <c r="H44" s="331" t="b">
        <v>1</v>
      </c>
    </row>
    <row r="45" spans="1:17" ht="12.75" customHeight="1" x14ac:dyDescent="0.25">
      <c r="A45" s="1646"/>
      <c r="B45" s="3"/>
      <c r="C45" s="3" t="str">
        <f>C28</f>
        <v>BTV</v>
      </c>
      <c r="D45" s="3" t="str">
        <f>D28</f>
        <v>PH</v>
      </c>
      <c r="E45" s="3" t="str">
        <f>E28</f>
        <v>PHSol</v>
      </c>
      <c r="F45" s="3" t="str">
        <f>F28</f>
        <v>PHWRGSo</v>
      </c>
      <c r="G45" s="3" t="str">
        <f>G28</f>
        <v>PHWRGSoPV</v>
      </c>
    </row>
    <row r="46" spans="1:17" ht="12.75" customHeight="1" thickBot="1" x14ac:dyDescent="0.3">
      <c r="A46" s="1646"/>
      <c r="B46" s="110" t="s">
        <v>283</v>
      </c>
      <c r="C46" s="10" t="s">
        <v>279</v>
      </c>
      <c r="D46" s="10" t="s">
        <v>279</v>
      </c>
      <c r="E46" s="10" t="s">
        <v>279</v>
      </c>
      <c r="F46" s="10" t="s">
        <v>279</v>
      </c>
      <c r="G46" s="10" t="s">
        <v>279</v>
      </c>
      <c r="Q46" s="109"/>
    </row>
    <row r="47" spans="1:17" ht="12.75" customHeight="1" thickBot="1" x14ac:dyDescent="0.3">
      <c r="A47" s="1646"/>
      <c r="B47" s="815" t="s">
        <v>299</v>
      </c>
      <c r="C47" s="141">
        <f>C29</f>
        <v>13224.18885744</v>
      </c>
      <c r="D47" s="142">
        <f ca="1">D29</f>
        <v>11460.111577200001</v>
      </c>
      <c r="E47" s="142">
        <f ca="1">E29</f>
        <v>8364.2718772799999</v>
      </c>
      <c r="F47" s="142">
        <f ca="1">F29</f>
        <v>8469.1298366400006</v>
      </c>
      <c r="G47" s="143">
        <f ca="1">G29</f>
        <v>8469.1298366400006</v>
      </c>
    </row>
    <row r="48" spans="1:17" ht="12.75" customHeight="1" x14ac:dyDescent="0.25">
      <c r="A48" s="1646"/>
      <c r="B48" s="110" t="s">
        <v>192</v>
      </c>
      <c r="C48" s="646">
        <f t="shared" ref="C48:G55" si="10">C31*$J$154</f>
        <v>145986.55841505082</v>
      </c>
      <c r="D48" s="140">
        <f t="shared" ca="1" si="10"/>
        <v>145735.46458723184</v>
      </c>
      <c r="E48" s="646">
        <f t="shared" ca="1" si="10"/>
        <v>147158.18302426569</v>
      </c>
      <c r="F48" s="140">
        <f t="shared" ca="1" si="10"/>
        <v>150158.70040090158</v>
      </c>
      <c r="G48" s="140">
        <f t="shared" ca="1" si="10"/>
        <v>151645.87810827189</v>
      </c>
    </row>
    <row r="49" spans="1:79" ht="12.75" customHeight="1" x14ac:dyDescent="0.25">
      <c r="A49" s="1646"/>
      <c r="B49" s="110" t="s">
        <v>280</v>
      </c>
      <c r="C49" s="62">
        <f t="shared" si="10"/>
        <v>6502.9185646017359</v>
      </c>
      <c r="D49" s="62">
        <f t="shared" ca="1" si="10"/>
        <v>6419.6821189600869</v>
      </c>
      <c r="E49" s="62">
        <f t="shared" ca="1" si="10"/>
        <v>7604.5861194529616</v>
      </c>
      <c r="F49" s="62">
        <f t="shared" ca="1" si="10"/>
        <v>7762.8423595089353</v>
      </c>
      <c r="G49" s="62">
        <f t="shared" ca="1" si="10"/>
        <v>8785.5201638207709</v>
      </c>
    </row>
    <row r="50" spans="1:79" ht="12.75" customHeight="1" x14ac:dyDescent="0.25">
      <c r="A50" s="1646"/>
      <c r="B50" s="110" t="s">
        <v>284</v>
      </c>
      <c r="C50" s="62">
        <f t="shared" si="10"/>
        <v>-33727.214960050645</v>
      </c>
      <c r="D50" s="62">
        <f t="shared" ca="1" si="10"/>
        <v>-33874.965348733705</v>
      </c>
      <c r="E50" s="62">
        <f t="shared" ca="1" si="10"/>
        <v>-34549.002168558414</v>
      </c>
      <c r="F50" s="62">
        <f t="shared" ca="1" si="10"/>
        <v>-35178.128115069179</v>
      </c>
      <c r="G50" s="62">
        <f t="shared" ca="1" si="10"/>
        <v>-35918.036410610272</v>
      </c>
      <c r="H50" s="644" t="s">
        <v>471</v>
      </c>
      <c r="U50" s="644" t="s">
        <v>472</v>
      </c>
      <c r="W50" s="331" t="s">
        <v>546</v>
      </c>
      <c r="AJ50" s="818" t="s">
        <v>572</v>
      </c>
      <c r="AK50" s="1" t="s">
        <v>573</v>
      </c>
    </row>
    <row r="51" spans="1:79" ht="12.75" customHeight="1" x14ac:dyDescent="0.25">
      <c r="A51" s="1646"/>
      <c r="B51" s="110" t="s">
        <v>332</v>
      </c>
      <c r="C51" s="62">
        <f t="shared" si="10"/>
        <v>0</v>
      </c>
      <c r="D51" s="62">
        <f t="shared" ca="1" si="10"/>
        <v>0</v>
      </c>
      <c r="E51" s="62">
        <f t="shared" ca="1" si="10"/>
        <v>0</v>
      </c>
      <c r="F51" s="62">
        <f t="shared" ca="1" si="10"/>
        <v>0</v>
      </c>
      <c r="G51" s="62">
        <f t="shared" ca="1" si="10"/>
        <v>0</v>
      </c>
      <c r="W51" s="331" t="b">
        <v>1</v>
      </c>
      <c r="X51" s="331" t="b">
        <v>1</v>
      </c>
      <c r="Y51" s="331" t="b">
        <v>1</v>
      </c>
      <c r="Z51" s="331" t="b">
        <v>1</v>
      </c>
      <c r="AA51" s="331" t="b">
        <v>1</v>
      </c>
      <c r="AB51" s="331" t="b">
        <v>1</v>
      </c>
      <c r="AC51" s="331" t="b">
        <v>1</v>
      </c>
      <c r="AE51" s="112"/>
      <c r="AJ51" s="1" t="str">
        <f>'E.2 Wirtschaftlichkeit'!$C$23</f>
        <v>Kapitalwertvergleich</v>
      </c>
      <c r="AK51" s="1" t="b">
        <f>IF(AJ51="Kapitalwertvergleich",TRUE,FALSE)</f>
        <v>1</v>
      </c>
    </row>
    <row r="52" spans="1:79" ht="12.75" customHeight="1" x14ac:dyDescent="0.25">
      <c r="A52" s="1646"/>
      <c r="B52" s="110" t="s">
        <v>281</v>
      </c>
      <c r="C52" s="62">
        <f t="shared" ca="1" si="10"/>
        <v>8175.1930630927191</v>
      </c>
      <c r="D52" s="62">
        <f t="shared" ca="1" si="10"/>
        <v>8175.1930630927191</v>
      </c>
      <c r="E52" s="62">
        <f t="shared" ca="1" si="10"/>
        <v>8572.2404604954882</v>
      </c>
      <c r="F52" s="62">
        <f t="shared" ca="1" si="10"/>
        <v>9624.6088050678827</v>
      </c>
      <c r="G52" s="62">
        <f t="shared" ca="1" si="10"/>
        <v>10175.849366510565</v>
      </c>
      <c r="H52" s="107" t="s">
        <v>570</v>
      </c>
      <c r="I52" s="100" t="s">
        <v>575</v>
      </c>
      <c r="J52" s="1636" t="s">
        <v>293</v>
      </c>
      <c r="K52" s="1637"/>
      <c r="L52" s="1637"/>
      <c r="M52" s="1637"/>
      <c r="N52" s="1637"/>
      <c r="O52" s="1638"/>
      <c r="P52" s="102"/>
      <c r="Q52" s="1648" t="s">
        <v>562</v>
      </c>
      <c r="R52" s="1649"/>
      <c r="S52" s="1649"/>
      <c r="T52" s="1650"/>
      <c r="U52" s="100" t="s">
        <v>571</v>
      </c>
      <c r="V52" s="100" t="s">
        <v>574</v>
      </c>
      <c r="W52" s="1636" t="s">
        <v>245</v>
      </c>
      <c r="X52" s="1637"/>
      <c r="Y52" s="1637"/>
      <c r="Z52" s="1637"/>
      <c r="AA52" s="1638"/>
      <c r="AB52" s="102"/>
      <c r="AC52" s="102"/>
      <c r="AD52" s="1663" t="s">
        <v>294</v>
      </c>
      <c r="AE52" s="1664"/>
      <c r="AF52" s="1664"/>
      <c r="AG52" s="1664"/>
      <c r="AJ52" s="300" t="s">
        <v>565</v>
      </c>
    </row>
    <row r="53" spans="1:79" ht="12.75" customHeight="1" x14ac:dyDescent="0.25">
      <c r="A53" s="1646"/>
      <c r="B53" s="110" t="s">
        <v>282</v>
      </c>
      <c r="C53" s="62">
        <f t="shared" si="10"/>
        <v>21777.145180363805</v>
      </c>
      <c r="D53" s="62">
        <f t="shared" ca="1" si="10"/>
        <v>18646.673134183242</v>
      </c>
      <c r="E53" s="62">
        <f t="shared" ca="1" si="10"/>
        <v>13145.208683577233</v>
      </c>
      <c r="F53" s="62">
        <f t="shared" ca="1" si="10"/>
        <v>13221.672557647986</v>
      </c>
      <c r="G53" s="62">
        <f t="shared" ca="1" si="10"/>
        <v>13221.672557647986</v>
      </c>
      <c r="H53" s="107"/>
      <c r="I53" s="100"/>
      <c r="J53" s="101" t="str">
        <f>IF(H31=TRUE,"Finanzierungskosten","")</f>
        <v>Finanzierungskosten</v>
      </c>
      <c r="K53" s="101" t="str">
        <f>IF(H32=TRUE,"Ersatzinvestition","")</f>
        <v>Ersatzinvestition</v>
      </c>
      <c r="L53" s="101" t="str">
        <f>IF(H34=TRUE,"Instandsetzungskosten","")</f>
        <v>Instandsetzungskosten</v>
      </c>
      <c r="M53" s="101" t="str">
        <f>IF(H35=TRUE,"Betriebsgebundenen Zahlungen","")</f>
        <v>Betriebsgebundenen Zahlungen</v>
      </c>
      <c r="N53" s="101" t="str">
        <f>IF(H36=TRUE,"Verbrauchsgebundene Zahlungen","")</f>
        <v>Verbrauchsgebundene Zahlungen</v>
      </c>
      <c r="O53" s="101" t="str">
        <f>IF(H37=TRUE,"Verkaufserlösschmälerung","")</f>
        <v>Verkaufserlösschmälerung</v>
      </c>
      <c r="P53" s="102" t="str">
        <f>IF(H38=TRUE,"CO2-Folgekosten","")</f>
        <v>CO2-Folgekosten</v>
      </c>
      <c r="Q53" s="102" t="str">
        <f>IF(H33=TRUE,"Kapitalwert (gesamt)","")</f>
        <v>Kapitalwert (gesamt)</v>
      </c>
      <c r="R53" s="100" t="str">
        <f>IF(H33=TRUE,"Restwert","")</f>
        <v>Restwert</v>
      </c>
      <c r="S53" s="793" t="s">
        <v>542</v>
      </c>
      <c r="T53" s="793" t="s">
        <v>544</v>
      </c>
      <c r="U53" s="100"/>
      <c r="V53" s="100"/>
      <c r="W53" s="101" t="str">
        <f>IF(W51=TRUE,"Finanzierungskosten","")</f>
        <v>Finanzierungskosten</v>
      </c>
      <c r="X53" s="101" t="str">
        <f>IF(X51=TRUE,"Ersatzinvestition","")</f>
        <v>Ersatzinvestition</v>
      </c>
      <c r="Y53" s="101" t="str">
        <f>IF(Y51=TRUE,"Instandsetzungskosten","")</f>
        <v>Instandsetzungskosten</v>
      </c>
      <c r="Z53" s="101" t="str">
        <f>IF(X51=TRUE,"Betriebsgebundenen Zahlungen","")</f>
        <v>Betriebsgebundenen Zahlungen</v>
      </c>
      <c r="AA53" s="101" t="str">
        <f>IF(AA51=TRUE,"Verbrauchsgebundene Zahlungen","")</f>
        <v>Verbrauchsgebundene Zahlungen</v>
      </c>
      <c r="AB53" s="102" t="str">
        <f>IF(AB51=TRUE,"Verkaufserlösschmälerung","")</f>
        <v>Verkaufserlösschmälerung</v>
      </c>
      <c r="AC53" s="102" t="str">
        <f>IF(AC51=TRUE,"CO2-Folgekosten","")</f>
        <v>CO2-Folgekosten</v>
      </c>
      <c r="AD53" s="102" t="s">
        <v>563</v>
      </c>
      <c r="AE53" s="101" t="str">
        <f>IF(H33=TRUE,"Restwert","")</f>
        <v>Restwert</v>
      </c>
      <c r="AF53" s="793" t="s">
        <v>542</v>
      </c>
      <c r="AG53" s="793" t="s">
        <v>544</v>
      </c>
      <c r="AI53" s="300" t="s">
        <v>564</v>
      </c>
      <c r="AJ53" s="758" t="b">
        <f>AK51</f>
        <v>1</v>
      </c>
    </row>
    <row r="54" spans="1:79" ht="12.75" customHeight="1" x14ac:dyDescent="0.25">
      <c r="A54" s="1646"/>
      <c r="B54" s="110" t="s">
        <v>364</v>
      </c>
      <c r="C54" s="645">
        <f t="shared" si="10"/>
        <v>0</v>
      </c>
      <c r="D54" s="62">
        <f t="shared" si="10"/>
        <v>0</v>
      </c>
      <c r="E54" s="62">
        <f t="shared" si="10"/>
        <v>0</v>
      </c>
      <c r="F54" s="62">
        <f t="shared" si="10"/>
        <v>0</v>
      </c>
      <c r="G54" s="62">
        <f t="shared" si="10"/>
        <v>0</v>
      </c>
      <c r="H54" s="114" t="str">
        <f>C28</f>
        <v>BTV</v>
      </c>
      <c r="I54" s="101" t="str">
        <f>IF(H54="","",$J$52)</f>
        <v>Kapitalwert</v>
      </c>
      <c r="J54" s="109">
        <f>IF(AND(H31=TRUE,H54&lt;&gt;""),C31,"")</f>
        <v>3649462.4014117629</v>
      </c>
      <c r="K54" s="109">
        <f>IF(AND(H32=TRUE,H54&lt;&gt;""),C32,"")</f>
        <v>162563.98574370297</v>
      </c>
      <c r="L54" s="109">
        <f>IF(AND(H34=TRUE,H54&lt;&gt;""),C34,"")</f>
        <v>0</v>
      </c>
      <c r="M54" s="109">
        <f ca="1">IF(AND(H35=TRUE,H54&lt;&gt;""),C35,"")</f>
        <v>204368.53935014899</v>
      </c>
      <c r="N54" s="109">
        <f>IF(AND(H36=TRUE,H54&lt;&gt;""),C36,"")</f>
        <v>544398.5625023779</v>
      </c>
      <c r="O54" s="109">
        <f>IF(AND(H37=TRUE,H54&lt;&gt;""),C37,"")</f>
        <v>0</v>
      </c>
      <c r="P54" s="299">
        <f>IF(AND(H38=TRUE,H54&lt;&gt;""),C38,"")</f>
        <v>0</v>
      </c>
      <c r="Q54" s="102"/>
      <c r="R54" s="808"/>
      <c r="S54" s="793"/>
      <c r="T54" s="793"/>
      <c r="U54" s="100" t="str">
        <f>C28</f>
        <v>BTV</v>
      </c>
      <c r="V54" s="101" t="str">
        <f>IF(U54="","","Annuität")</f>
        <v>Annuität</v>
      </c>
      <c r="W54" s="103">
        <f t="shared" ref="W54:AG55" si="11">J54*$J$154</f>
        <v>145986.55841505082</v>
      </c>
      <c r="X54" s="103">
        <f t="shared" si="11"/>
        <v>6502.9185646017359</v>
      </c>
      <c r="Y54" s="103">
        <f t="shared" si="11"/>
        <v>0</v>
      </c>
      <c r="Z54" s="103">
        <f t="shared" ca="1" si="11"/>
        <v>8175.1930630927191</v>
      </c>
      <c r="AA54" s="103">
        <f t="shared" si="11"/>
        <v>21777.145180363805</v>
      </c>
      <c r="AB54" s="103">
        <f t="shared" si="11"/>
        <v>0</v>
      </c>
      <c r="AC54" s="103">
        <f t="shared" si="11"/>
        <v>0</v>
      </c>
      <c r="AD54" s="103">
        <f t="shared" si="11"/>
        <v>0</v>
      </c>
      <c r="AE54" s="103">
        <f t="shared" si="11"/>
        <v>0</v>
      </c>
      <c r="AF54" s="103">
        <f t="shared" si="11"/>
        <v>0</v>
      </c>
      <c r="AG54" s="103">
        <f t="shared" si="11"/>
        <v>0</v>
      </c>
      <c r="AI54" s="100" t="str">
        <f t="shared" ref="AI54:AI70" si="12">IF($AJ$53=TRUE,IF(H52="","",H52),IF(U52="","",U52))</f>
        <v>Kapitalwertvergleich</v>
      </c>
      <c r="AJ54" s="100" t="str">
        <f t="shared" ref="AJ54:AJ70" si="13">IF($AJ$53=TRUE,IF(I52="","",I52),IF(V52="","",V52))</f>
        <v>Kapitalwert [€]</v>
      </c>
      <c r="AK54" s="1636" t="s">
        <v>245</v>
      </c>
      <c r="AL54" s="1637"/>
      <c r="AM54" s="1637"/>
      <c r="AN54" s="1637"/>
      <c r="AO54" s="1637"/>
      <c r="AP54" s="1637"/>
      <c r="AQ54" s="1637"/>
      <c r="AR54" s="1637"/>
      <c r="AS54" s="1637"/>
      <c r="AT54" s="1637"/>
      <c r="AU54" s="1637"/>
      <c r="AV54" s="1637"/>
      <c r="AW54" s="1637"/>
      <c r="AX54" s="1637"/>
      <c r="AY54" s="1637"/>
      <c r="AZ54" s="1637"/>
      <c r="BA54" s="1637"/>
      <c r="BB54" s="1637"/>
      <c r="BC54" s="1637"/>
      <c r="BD54" s="1637"/>
      <c r="BE54" s="1637"/>
      <c r="BF54" s="1637"/>
      <c r="BG54" s="1637"/>
      <c r="BH54" s="1637"/>
      <c r="BI54" s="1637"/>
      <c r="BJ54" s="1637"/>
      <c r="BK54" s="1637"/>
      <c r="BL54" s="1638"/>
      <c r="BM54" s="102"/>
      <c r="BN54" s="102"/>
      <c r="BO54" s="1663" t="s">
        <v>294</v>
      </c>
      <c r="BP54" s="1664"/>
      <c r="BQ54" s="1664"/>
      <c r="BR54" s="1664"/>
    </row>
    <row r="55" spans="1:79" ht="12.75" customHeight="1" x14ac:dyDescent="0.2">
      <c r="A55" s="1646"/>
      <c r="B55" s="110" t="s">
        <v>413</v>
      </c>
      <c r="C55" s="62">
        <f t="shared" si="10"/>
        <v>0</v>
      </c>
      <c r="D55" s="62">
        <f t="shared" ca="1" si="10"/>
        <v>0</v>
      </c>
      <c r="E55" s="62">
        <f t="shared" ca="1" si="10"/>
        <v>0</v>
      </c>
      <c r="F55" s="62">
        <f t="shared" ca="1" si="10"/>
        <v>0</v>
      </c>
      <c r="G55" s="62">
        <f t="shared" ca="1" si="10"/>
        <v>0</v>
      </c>
      <c r="H55" s="107"/>
      <c r="I55" s="101" t="str">
        <f>IF(H54="","",$Q$52)</f>
        <v>Teilergebnisse</v>
      </c>
      <c r="J55" s="104"/>
      <c r="K55" s="104"/>
      <c r="L55" s="104"/>
      <c r="M55" s="104"/>
      <c r="N55" s="104"/>
      <c r="O55" s="104"/>
      <c r="P55" s="102"/>
      <c r="Q55" s="103">
        <f ca="1">IF($H$33=TRUE,IF($H$54="","",SUMIF($H$31:$H$38,"WAHR",C31:C38)+C43+C44),"")</f>
        <v>3717659.681091967</v>
      </c>
      <c r="R55" s="109">
        <f>IF(AND(H33=TRUE,H54&lt;&gt;""),-C33,"")</f>
        <v>843133.80791602586</v>
      </c>
      <c r="S55" s="793">
        <f>IF(AND(H43=TRUE,$H$54&lt;&gt;""),-C43,"")</f>
        <v>0</v>
      </c>
      <c r="T55" s="793">
        <f ca="1">IF(AND(H44=TRUE,$H$54&lt;&gt;""),-C44,"")</f>
        <v>0</v>
      </c>
      <c r="U55" s="100"/>
      <c r="V55" s="101" t="str">
        <f>I55</f>
        <v>Teilergebnisse</v>
      </c>
      <c r="W55" s="103">
        <f t="shared" si="11"/>
        <v>0</v>
      </c>
      <c r="X55" s="103">
        <f t="shared" si="11"/>
        <v>0</v>
      </c>
      <c r="Y55" s="103">
        <f t="shared" si="11"/>
        <v>0</v>
      </c>
      <c r="Z55" s="103">
        <f t="shared" si="11"/>
        <v>0</v>
      </c>
      <c r="AA55" s="103">
        <f t="shared" si="11"/>
        <v>0</v>
      </c>
      <c r="AB55" s="103">
        <f t="shared" si="11"/>
        <v>0</v>
      </c>
      <c r="AC55" s="103">
        <f t="shared" si="11"/>
        <v>0</v>
      </c>
      <c r="AD55" s="103">
        <f t="shared" ca="1" si="11"/>
        <v>148714.60026305844</v>
      </c>
      <c r="AE55" s="103">
        <f t="shared" si="11"/>
        <v>33727.214960050645</v>
      </c>
      <c r="AF55" s="103">
        <f t="shared" si="11"/>
        <v>0</v>
      </c>
      <c r="AG55" s="103">
        <f t="shared" ca="1" si="11"/>
        <v>0</v>
      </c>
      <c r="AI55" s="100" t="str">
        <f t="shared" si="12"/>
        <v/>
      </c>
      <c r="AJ55" s="100" t="str">
        <f t="shared" si="13"/>
        <v/>
      </c>
      <c r="AK55" s="100" t="str">
        <f t="shared" ref="AK55:AK70" si="14">IF($AJ$53=TRUE,IF(J53="","",J53),IF(W53="","",W53))</f>
        <v>Finanzierungskosten</v>
      </c>
      <c r="AL55" s="100" t="str">
        <f t="shared" ref="AL55:AL70" si="15">IF($AJ$53=TRUE,IF(K53="","",K53),IF(X53="","",X53))</f>
        <v>Ersatzinvestition</v>
      </c>
      <c r="AM55" s="100" t="str">
        <f t="shared" ref="AM55:AM70" si="16">IF($AJ$53=TRUE,IF(L53="","",L53),IF(Y53="","",Y53))</f>
        <v>Instandsetzungskosten</v>
      </c>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t="str">
        <f t="shared" ref="BK55:BK70" si="17">IF($AJ$53=TRUE,IF(M53="","",M53),IF(Z53="","",Z53))</f>
        <v>Betriebsgebundenen Zahlungen</v>
      </c>
      <c r="BL55" s="100" t="str">
        <f t="shared" ref="BL55:BL70" si="18">IF($AJ$53=TRUE,IF(N53="","",N53),IF(AA53="","",AA53))</f>
        <v>Verbrauchsgebundene Zahlungen</v>
      </c>
      <c r="BM55" s="100" t="str">
        <f t="shared" ref="BM55:BM70" si="19">IF($AJ$53=TRUE,IF(O53="","",O53),IF(AB53="","",AB53))</f>
        <v>Verkaufserlösschmälerung</v>
      </c>
      <c r="BN55" s="100" t="str">
        <f t="shared" ref="BN55:BN70" si="20">IF($AJ$53=TRUE,IF(P53="","",P53),IF(AC53="","",AC53))</f>
        <v>CO2-Folgekosten</v>
      </c>
      <c r="BO55" s="100" t="str">
        <f t="shared" ref="BO55:BO70" si="21">IF($AJ$53=TRUE,IF(Q53="","",Q53),IF(AD53="","",AD53))</f>
        <v>Kapitalwert (gesamt)</v>
      </c>
      <c r="BP55" s="100" t="str">
        <f t="shared" ref="BP55:BP70" si="22">IF($AJ$53=TRUE,IF(R53="","",R53),IF(AE53="","",AE53))</f>
        <v>Restwert</v>
      </c>
      <c r="BQ55" s="100" t="str">
        <f t="shared" ref="BQ55:BQ70" si="23">IF($AJ$53=TRUE,IF(S53="","",S53),IF(AF53="","",AF53))</f>
        <v>PV-Eigennutzung</v>
      </c>
      <c r="BR55" s="100" t="str">
        <f t="shared" ref="BR55:BR70" si="24">IF($AJ$53=TRUE,IF(T53="","",T53),IF(AG53="","",AG53))</f>
        <v>PV-Einspeisung</v>
      </c>
    </row>
    <row r="56" spans="1:79" ht="12.95" customHeight="1" x14ac:dyDescent="0.2">
      <c r="A56" s="1646"/>
      <c r="B56" s="804" t="s">
        <v>405</v>
      </c>
      <c r="C56" s="331" t="s">
        <v>410</v>
      </c>
      <c r="D56" s="331" t="s">
        <v>410</v>
      </c>
      <c r="E56" s="331" t="s">
        <v>410</v>
      </c>
      <c r="F56" s="331" t="s">
        <v>410</v>
      </c>
      <c r="G56" s="331" t="s">
        <v>410</v>
      </c>
      <c r="H56" s="107"/>
      <c r="I56" s="101"/>
      <c r="J56" s="104"/>
      <c r="K56" s="104"/>
      <c r="L56" s="104"/>
      <c r="M56" s="104"/>
      <c r="N56" s="104"/>
      <c r="O56" s="104"/>
      <c r="P56" s="102"/>
      <c r="Q56" s="103"/>
      <c r="R56" s="808"/>
      <c r="S56" s="793"/>
      <c r="T56" s="793"/>
      <c r="U56" s="100"/>
      <c r="V56" s="101"/>
      <c r="W56" s="103"/>
      <c r="X56" s="103"/>
      <c r="Y56" s="103"/>
      <c r="Z56" s="103"/>
      <c r="AA56" s="103"/>
      <c r="AB56" s="103"/>
      <c r="AC56" s="103"/>
      <c r="AD56" s="103"/>
      <c r="AE56" s="103"/>
      <c r="AF56" s="103"/>
      <c r="AG56" s="103"/>
      <c r="AI56" s="100" t="str">
        <f t="shared" si="12"/>
        <v>BTV</v>
      </c>
      <c r="AJ56" s="100" t="str">
        <f t="shared" si="13"/>
        <v>Kapitalwert</v>
      </c>
      <c r="AK56" s="100">
        <f t="shared" si="14"/>
        <v>3649462.4014117629</v>
      </c>
      <c r="AL56" s="100">
        <f t="shared" si="15"/>
        <v>162563.98574370297</v>
      </c>
      <c r="AM56" s="100">
        <f t="shared" si="16"/>
        <v>0</v>
      </c>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f t="shared" ca="1" si="17"/>
        <v>204368.53935014899</v>
      </c>
      <c r="BL56" s="100">
        <f t="shared" si="18"/>
        <v>544398.5625023779</v>
      </c>
      <c r="BM56" s="100">
        <f t="shared" si="19"/>
        <v>0</v>
      </c>
      <c r="BN56" s="100">
        <f t="shared" si="20"/>
        <v>0</v>
      </c>
      <c r="BO56" s="100" t="str">
        <f t="shared" si="21"/>
        <v/>
      </c>
      <c r="BP56" s="100" t="str">
        <f t="shared" si="22"/>
        <v/>
      </c>
      <c r="BQ56" s="100" t="str">
        <f t="shared" si="23"/>
        <v/>
      </c>
      <c r="BR56" s="100" t="str">
        <f t="shared" si="24"/>
        <v/>
      </c>
    </row>
    <row r="57" spans="1:79" ht="12.95" customHeight="1" x14ac:dyDescent="0.25">
      <c r="A57" s="1646"/>
      <c r="B57" s="804" t="s">
        <v>405</v>
      </c>
      <c r="C57" s="331" t="s">
        <v>410</v>
      </c>
      <c r="D57" s="331" t="s">
        <v>410</v>
      </c>
      <c r="E57" s="331" t="s">
        <v>410</v>
      </c>
      <c r="F57" s="331" t="s">
        <v>410</v>
      </c>
      <c r="G57" s="331" t="s">
        <v>410</v>
      </c>
      <c r="H57" s="107" t="str">
        <f>D28</f>
        <v>PH</v>
      </c>
      <c r="I57" s="101" t="str">
        <f>IF(H57="","",$J$52)</f>
        <v>Kapitalwert</v>
      </c>
      <c r="J57" s="109">
        <f ca="1">IF(AND(H31=TRUE,H57&lt;&gt;""),D31,"")</f>
        <v>3643185.4023934924</v>
      </c>
      <c r="K57" s="109">
        <f ca="1">IF(AND(H32=TRUE,H57&lt;&gt;""),D32,"")</f>
        <v>160483.18952455575</v>
      </c>
      <c r="L57" s="109">
        <f ca="1">IF(AND(H34=TRUE,H57&lt;&gt;""),D34,"")</f>
        <v>0</v>
      </c>
      <c r="M57" s="109">
        <f ca="1">IF(AND(H35=TRUE,H57&lt;&gt;""),D35,"")</f>
        <v>204368.53935014899</v>
      </c>
      <c r="N57" s="109">
        <f ca="1">IF(AND(H36=TRUE,H57&lt;&gt;""),D36,"")</f>
        <v>466141.08349033294</v>
      </c>
      <c r="O57" s="109">
        <f>IF(AND(H37=TRUE,H57&lt;&gt;""),D37,"")</f>
        <v>0</v>
      </c>
      <c r="P57" s="299">
        <f ca="1">IF(AND(H38=TRUE,H57&lt;&gt;""),D38,"")</f>
        <v>0</v>
      </c>
      <c r="Q57" s="103"/>
      <c r="R57" s="808"/>
      <c r="S57" s="793"/>
      <c r="T57" s="793"/>
      <c r="U57" s="100" t="str">
        <f>D28</f>
        <v>PH</v>
      </c>
      <c r="V57" s="101" t="str">
        <f>IF(U57="","","Annuität")</f>
        <v>Annuität</v>
      </c>
      <c r="W57" s="103">
        <f t="shared" ref="W57:AG58" ca="1" si="25">J57*$J$154</f>
        <v>145735.46458723184</v>
      </c>
      <c r="X57" s="103">
        <f t="shared" ca="1" si="25"/>
        <v>6419.6821189600869</v>
      </c>
      <c r="Y57" s="103">
        <f t="shared" ca="1" si="25"/>
        <v>0</v>
      </c>
      <c r="Z57" s="103">
        <f t="shared" ca="1" si="25"/>
        <v>8175.1930630927191</v>
      </c>
      <c r="AA57" s="103">
        <f t="shared" ca="1" si="25"/>
        <v>18646.673134183242</v>
      </c>
      <c r="AB57" s="103">
        <f t="shared" si="25"/>
        <v>0</v>
      </c>
      <c r="AC57" s="103">
        <f t="shared" ca="1" si="25"/>
        <v>0</v>
      </c>
      <c r="AD57" s="103">
        <f t="shared" si="25"/>
        <v>0</v>
      </c>
      <c r="AE57" s="103">
        <f t="shared" si="25"/>
        <v>0</v>
      </c>
      <c r="AF57" s="103">
        <f t="shared" si="25"/>
        <v>0</v>
      </c>
      <c r="AG57" s="103">
        <f t="shared" si="25"/>
        <v>0</v>
      </c>
      <c r="AI57" s="100" t="str">
        <f t="shared" si="12"/>
        <v/>
      </c>
      <c r="AJ57" s="100" t="str">
        <f t="shared" si="13"/>
        <v>Teilergebnisse</v>
      </c>
      <c r="AK57" s="100" t="str">
        <f t="shared" si="14"/>
        <v/>
      </c>
      <c r="AL57" s="100" t="str">
        <f t="shared" si="15"/>
        <v/>
      </c>
      <c r="AM57" s="100" t="str">
        <f t="shared" si="16"/>
        <v/>
      </c>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t="str">
        <f t="shared" si="17"/>
        <v/>
      </c>
      <c r="BL57" s="100" t="str">
        <f t="shared" si="18"/>
        <v/>
      </c>
      <c r="BM57" s="100" t="str">
        <f t="shared" si="19"/>
        <v/>
      </c>
      <c r="BN57" s="100" t="str">
        <f t="shared" si="20"/>
        <v/>
      </c>
      <c r="BO57" s="100">
        <f t="shared" ca="1" si="21"/>
        <v>3717659.681091967</v>
      </c>
      <c r="BP57" s="100">
        <f t="shared" si="22"/>
        <v>843133.80791602586</v>
      </c>
      <c r="BQ57" s="100">
        <f t="shared" si="23"/>
        <v>0</v>
      </c>
      <c r="BR57" s="100">
        <f t="shared" ca="1" si="24"/>
        <v>0</v>
      </c>
      <c r="BT57" s="1518" t="s">
        <v>192</v>
      </c>
      <c r="BU57" s="1541"/>
      <c r="BV57" s="1517"/>
      <c r="BW57" s="453">
        <f t="shared" ref="BW57:CA62" si="26">IF($AJ$53=TRUE,C31,C31*$J$154)</f>
        <v>3649462.4014117629</v>
      </c>
      <c r="BX57" s="453">
        <f t="shared" ca="1" si="26"/>
        <v>3643185.4023934924</v>
      </c>
      <c r="BY57" s="453">
        <f t="shared" ca="1" si="26"/>
        <v>3678751.3990175691</v>
      </c>
      <c r="BZ57" s="453">
        <f ca="1">IF($AJ$53=TRUE,F31,F31*$J$154)</f>
        <v>3753760.1907152468</v>
      </c>
      <c r="CA57" s="453">
        <f t="shared" ca="1" si="26"/>
        <v>3790937.5801008861</v>
      </c>
    </row>
    <row r="58" spans="1:79" ht="12.95" customHeight="1" x14ac:dyDescent="0.2">
      <c r="A58" s="1646"/>
      <c r="B58" s="804" t="s">
        <v>405</v>
      </c>
      <c r="C58" s="331" t="s">
        <v>410</v>
      </c>
      <c r="D58" s="331" t="s">
        <v>410</v>
      </c>
      <c r="E58" s="331" t="s">
        <v>410</v>
      </c>
      <c r="F58" s="331" t="s">
        <v>410</v>
      </c>
      <c r="G58" s="331" t="s">
        <v>410</v>
      </c>
      <c r="H58" s="107"/>
      <c r="I58" s="101" t="str">
        <f>IF(H57="","",$Q$52)</f>
        <v>Teilergebnisse</v>
      </c>
      <c r="J58" s="105"/>
      <c r="K58" s="105"/>
      <c r="L58" s="105"/>
      <c r="M58" s="105"/>
      <c r="N58" s="105"/>
      <c r="O58" s="105"/>
      <c r="P58" s="102"/>
      <c r="Q58" s="103">
        <f ca="1">IF($H$33=TRUE,IF($H$57="","",SUMIF($H$31:$H$38,"WAHR",D31:D38)+D43+D44),"")</f>
        <v>3627350.8511196566</v>
      </c>
      <c r="R58" s="109">
        <f ca="1">IF(AND(H33=TRUE,H57&lt;&gt;""),-D33,"")</f>
        <v>846827.36363887391</v>
      </c>
      <c r="S58" s="793">
        <f ca="1">IF(AND(H43=TRUE,$H$57&lt;&gt;""),-D43,"")</f>
        <v>0</v>
      </c>
      <c r="T58" s="793">
        <f ca="1">IF(AND(H44=TRUE,$H$57&lt;&gt;""),-D44,"")</f>
        <v>0</v>
      </c>
      <c r="U58" s="100"/>
      <c r="V58" s="101" t="str">
        <f>I58</f>
        <v>Teilergebnisse</v>
      </c>
      <c r="W58" s="103">
        <f t="shared" si="25"/>
        <v>0</v>
      </c>
      <c r="X58" s="103">
        <f t="shared" si="25"/>
        <v>0</v>
      </c>
      <c r="Y58" s="103">
        <f t="shared" si="25"/>
        <v>0</v>
      </c>
      <c r="Z58" s="103">
        <f t="shared" si="25"/>
        <v>0</v>
      </c>
      <c r="AA58" s="103">
        <f t="shared" si="25"/>
        <v>0</v>
      </c>
      <c r="AB58" s="103">
        <f t="shared" si="25"/>
        <v>0</v>
      </c>
      <c r="AC58" s="103">
        <f t="shared" si="25"/>
        <v>0</v>
      </c>
      <c r="AD58" s="103">
        <f t="shared" ca="1" si="25"/>
        <v>145102.04755473419</v>
      </c>
      <c r="AE58" s="103">
        <f t="shared" ca="1" si="25"/>
        <v>33874.965348733705</v>
      </c>
      <c r="AF58" s="103">
        <f t="shared" ca="1" si="25"/>
        <v>0</v>
      </c>
      <c r="AG58" s="103">
        <f t="shared" ca="1" si="25"/>
        <v>0</v>
      </c>
      <c r="AI58" s="100" t="str">
        <f t="shared" si="12"/>
        <v/>
      </c>
      <c r="AJ58" s="100" t="str">
        <f t="shared" si="13"/>
        <v/>
      </c>
      <c r="AK58" s="100" t="str">
        <f t="shared" si="14"/>
        <v/>
      </c>
      <c r="AL58" s="100" t="str">
        <f t="shared" si="15"/>
        <v/>
      </c>
      <c r="AM58" s="100" t="str">
        <f t="shared" si="16"/>
        <v/>
      </c>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t="str">
        <f t="shared" si="17"/>
        <v/>
      </c>
      <c r="BL58" s="100" t="str">
        <f t="shared" si="18"/>
        <v/>
      </c>
      <c r="BM58" s="100" t="str">
        <f t="shared" si="19"/>
        <v/>
      </c>
      <c r="BN58" s="100" t="str">
        <f t="shared" si="20"/>
        <v/>
      </c>
      <c r="BO58" s="100" t="str">
        <f t="shared" si="21"/>
        <v/>
      </c>
      <c r="BP58" s="100" t="str">
        <f t="shared" si="22"/>
        <v/>
      </c>
      <c r="BQ58" s="100" t="str">
        <f t="shared" si="23"/>
        <v/>
      </c>
      <c r="BR58" s="100" t="str">
        <f t="shared" si="24"/>
        <v/>
      </c>
      <c r="BT58" s="1532" t="s">
        <v>280</v>
      </c>
      <c r="BU58" s="1513"/>
      <c r="BV58" s="1634"/>
      <c r="BW58" s="453">
        <f t="shared" si="26"/>
        <v>162563.98574370297</v>
      </c>
      <c r="BX58" s="453">
        <f t="shared" ca="1" si="26"/>
        <v>160483.18952455575</v>
      </c>
      <c r="BY58" s="453">
        <f t="shared" ca="1" si="26"/>
        <v>190104.15357788268</v>
      </c>
      <c r="BZ58" s="453">
        <f t="shared" ca="1" si="26"/>
        <v>194060.34107996113</v>
      </c>
      <c r="CA58" s="453">
        <f t="shared" ca="1" si="26"/>
        <v>219625.87420927419</v>
      </c>
    </row>
    <row r="59" spans="1:79" ht="12.95" customHeight="1" x14ac:dyDescent="0.2">
      <c r="A59" s="1646"/>
      <c r="B59" s="804" t="s">
        <v>405</v>
      </c>
      <c r="C59" s="331" t="s">
        <v>410</v>
      </c>
      <c r="D59" s="331" t="s">
        <v>410</v>
      </c>
      <c r="E59" s="331" t="s">
        <v>410</v>
      </c>
      <c r="F59" s="331" t="s">
        <v>410</v>
      </c>
      <c r="G59" s="331" t="s">
        <v>410</v>
      </c>
      <c r="H59" s="107"/>
      <c r="I59" s="101"/>
      <c r="J59" s="105"/>
      <c r="K59" s="105"/>
      <c r="L59" s="105"/>
      <c r="M59" s="105"/>
      <c r="N59" s="105"/>
      <c r="O59" s="105"/>
      <c r="P59" s="102"/>
      <c r="Q59" s="103"/>
      <c r="R59" s="808"/>
      <c r="S59" s="793"/>
      <c r="T59" s="793"/>
      <c r="U59" s="100"/>
      <c r="V59" s="101"/>
      <c r="W59" s="103"/>
      <c r="X59" s="103"/>
      <c r="Y59" s="103"/>
      <c r="Z59" s="103"/>
      <c r="AA59" s="103"/>
      <c r="AB59" s="103"/>
      <c r="AC59" s="103"/>
      <c r="AD59" s="103"/>
      <c r="AE59" s="103"/>
      <c r="AF59" s="103"/>
      <c r="AG59" s="103"/>
      <c r="AI59" s="100" t="str">
        <f t="shared" si="12"/>
        <v>PH</v>
      </c>
      <c r="AJ59" s="100" t="str">
        <f t="shared" si="13"/>
        <v>Kapitalwert</v>
      </c>
      <c r="AK59" s="100">
        <f t="shared" ca="1" si="14"/>
        <v>3643185.4023934924</v>
      </c>
      <c r="AL59" s="100">
        <f t="shared" ca="1" si="15"/>
        <v>160483.18952455575</v>
      </c>
      <c r="AM59" s="100">
        <f t="shared" ca="1" si="16"/>
        <v>0</v>
      </c>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f t="shared" ca="1" si="17"/>
        <v>204368.53935014899</v>
      </c>
      <c r="BL59" s="100">
        <f t="shared" ca="1" si="18"/>
        <v>466141.08349033294</v>
      </c>
      <c r="BM59" s="100">
        <f t="shared" si="19"/>
        <v>0</v>
      </c>
      <c r="BN59" s="100">
        <f t="shared" ca="1" si="20"/>
        <v>0</v>
      </c>
      <c r="BO59" s="100" t="str">
        <f t="shared" si="21"/>
        <v/>
      </c>
      <c r="BP59" s="100" t="str">
        <f t="shared" si="22"/>
        <v/>
      </c>
      <c r="BQ59" s="100" t="str">
        <f t="shared" si="23"/>
        <v/>
      </c>
      <c r="BR59" s="100" t="str">
        <f t="shared" si="24"/>
        <v/>
      </c>
      <c r="BT59" s="1532" t="s">
        <v>284</v>
      </c>
      <c r="BU59" s="1513"/>
      <c r="BV59" s="1634"/>
      <c r="BW59" s="453">
        <f t="shared" si="26"/>
        <v>-843133.80791602586</v>
      </c>
      <c r="BX59" s="453">
        <f t="shared" ca="1" si="26"/>
        <v>-846827.36363887391</v>
      </c>
      <c r="BY59" s="453">
        <f t="shared" ca="1" si="26"/>
        <v>-863677.35351344733</v>
      </c>
      <c r="BZ59" s="453">
        <f t="shared" ca="1" si="26"/>
        <v>-879404.63356217626</v>
      </c>
      <c r="CA59" s="453">
        <f t="shared" ca="1" si="26"/>
        <v>-897901.31938302296</v>
      </c>
    </row>
    <row r="60" spans="1:79" ht="12.95" customHeight="1" x14ac:dyDescent="0.25">
      <c r="A60" s="1646"/>
      <c r="B60" s="805" t="s">
        <v>561</v>
      </c>
      <c r="C60" s="807">
        <f t="shared" ref="C60:G61" si="27">C43*$J$154</f>
        <v>0</v>
      </c>
      <c r="D60" s="807">
        <f t="shared" ca="1" si="27"/>
        <v>0</v>
      </c>
      <c r="E60" s="807">
        <f t="shared" ca="1" si="27"/>
        <v>0</v>
      </c>
      <c r="F60" s="807">
        <f t="shared" ca="1" si="27"/>
        <v>0</v>
      </c>
      <c r="G60" s="807">
        <f t="shared" si="27"/>
        <v>-2322.5784148804523</v>
      </c>
      <c r="H60" s="107" t="str">
        <f>E28</f>
        <v>PHSol</v>
      </c>
      <c r="I60" s="101" t="str">
        <f>IF(H60="","",$J$52)</f>
        <v>Kapitalwert</v>
      </c>
      <c r="J60" s="109">
        <f ca="1">IF(AND(H31=TRUE,H60&lt;&gt;""),E31,"")</f>
        <v>3678751.3990175691</v>
      </c>
      <c r="K60" s="109">
        <f ca="1">IF(AND(H32=TRUE,H60&lt;&gt;""),E32,"")</f>
        <v>190104.15357788268</v>
      </c>
      <c r="L60" s="109">
        <f ca="1">IF(AND(H34=TRUE,H60&lt;&gt;""),E34,"")</f>
        <v>0</v>
      </c>
      <c r="M60" s="109">
        <f ca="1">IF(AND(H35=TRUE,H60&lt;&gt;""),E35,"")</f>
        <v>214294.1760945961</v>
      </c>
      <c r="N60" s="109">
        <f ca="1">IF(AND(H36=TRUE,H60&lt;&gt;""),E36,"")</f>
        <v>328612.06792090967</v>
      </c>
      <c r="O60" s="109">
        <f>IF(AND(H37=TRUE,H60&lt;&gt;""),E37,"")</f>
        <v>0</v>
      </c>
      <c r="P60" s="299">
        <f ca="1">IF(AND(H38=TRUE,H60&lt;&gt;""),E38,"")</f>
        <v>0</v>
      </c>
      <c r="Q60" s="103"/>
      <c r="R60" s="808"/>
      <c r="S60" s="793"/>
      <c r="T60" s="793"/>
      <c r="U60" s="100" t="str">
        <f>E28</f>
        <v>PHSol</v>
      </c>
      <c r="V60" s="101" t="str">
        <f>IF(U60="","","Annuität")</f>
        <v>Annuität</v>
      </c>
      <c r="W60" s="103">
        <f t="shared" ref="W60:AG61" ca="1" si="28">J60*$J$154</f>
        <v>147158.18302426569</v>
      </c>
      <c r="X60" s="103">
        <f t="shared" ca="1" si="28"/>
        <v>7604.5861194529616</v>
      </c>
      <c r="Y60" s="103">
        <f t="shared" ca="1" si="28"/>
        <v>0</v>
      </c>
      <c r="Z60" s="103">
        <f t="shared" ca="1" si="28"/>
        <v>8572.2404604954882</v>
      </c>
      <c r="AA60" s="103">
        <f t="shared" ca="1" si="28"/>
        <v>13145.208683577233</v>
      </c>
      <c r="AB60" s="103">
        <f t="shared" si="28"/>
        <v>0</v>
      </c>
      <c r="AC60" s="103">
        <f t="shared" ca="1" si="28"/>
        <v>0</v>
      </c>
      <c r="AD60" s="103">
        <f t="shared" si="28"/>
        <v>0</v>
      </c>
      <c r="AE60" s="103">
        <f t="shared" si="28"/>
        <v>0</v>
      </c>
      <c r="AF60" s="103">
        <f t="shared" si="28"/>
        <v>0</v>
      </c>
      <c r="AG60" s="103">
        <f t="shared" si="28"/>
        <v>0</v>
      </c>
      <c r="AI60" s="100" t="str">
        <f t="shared" si="12"/>
        <v/>
      </c>
      <c r="AJ60" s="100" t="str">
        <f t="shared" si="13"/>
        <v>Teilergebnisse</v>
      </c>
      <c r="AK60" s="100" t="str">
        <f t="shared" si="14"/>
        <v/>
      </c>
      <c r="AL60" s="100" t="str">
        <f t="shared" si="15"/>
        <v/>
      </c>
      <c r="AM60" s="100" t="str">
        <f t="shared" si="16"/>
        <v/>
      </c>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t="str">
        <f t="shared" si="17"/>
        <v/>
      </c>
      <c r="BL60" s="100" t="str">
        <f t="shared" si="18"/>
        <v/>
      </c>
      <c r="BM60" s="100" t="str">
        <f t="shared" si="19"/>
        <v/>
      </c>
      <c r="BN60" s="100" t="str">
        <f t="shared" si="20"/>
        <v/>
      </c>
      <c r="BO60" s="100">
        <f t="shared" ca="1" si="21"/>
        <v>3627350.8511196566</v>
      </c>
      <c r="BP60" s="100">
        <f t="shared" ca="1" si="22"/>
        <v>846827.36363887391</v>
      </c>
      <c r="BQ60" s="100">
        <f t="shared" ca="1" si="23"/>
        <v>0</v>
      </c>
      <c r="BR60" s="100">
        <f t="shared" ca="1" si="24"/>
        <v>0</v>
      </c>
      <c r="BT60" s="1532" t="s">
        <v>332</v>
      </c>
      <c r="BU60" s="1513"/>
      <c r="BV60" s="1634"/>
      <c r="BW60" s="453">
        <f t="shared" si="26"/>
        <v>0</v>
      </c>
      <c r="BX60" s="453">
        <f t="shared" ca="1" si="26"/>
        <v>0</v>
      </c>
      <c r="BY60" s="453">
        <f t="shared" ca="1" si="26"/>
        <v>0</v>
      </c>
      <c r="BZ60" s="453">
        <f t="shared" ca="1" si="26"/>
        <v>0</v>
      </c>
      <c r="CA60" s="453">
        <f t="shared" ca="1" si="26"/>
        <v>0</v>
      </c>
    </row>
    <row r="61" spans="1:79" ht="12.95" customHeight="1" thickBot="1" x14ac:dyDescent="0.25">
      <c r="A61" s="1647"/>
      <c r="B61" s="805" t="s">
        <v>544</v>
      </c>
      <c r="C61" s="807">
        <f t="shared" ca="1" si="27"/>
        <v>0</v>
      </c>
      <c r="D61" s="807">
        <f t="shared" ca="1" si="27"/>
        <v>0</v>
      </c>
      <c r="E61" s="807">
        <f t="shared" ca="1" si="27"/>
        <v>0</v>
      </c>
      <c r="F61" s="807">
        <f t="shared" ca="1" si="27"/>
        <v>0</v>
      </c>
      <c r="G61" s="807">
        <f t="shared" ca="1" si="27"/>
        <v>-486.19714153279773</v>
      </c>
      <c r="H61" s="107"/>
      <c r="I61" s="101" t="str">
        <f>IF(H60="","",$Q$52)</f>
        <v>Teilergebnisse</v>
      </c>
      <c r="J61" s="105"/>
      <c r="K61" s="105"/>
      <c r="L61" s="105"/>
      <c r="M61" s="105"/>
      <c r="N61" s="105"/>
      <c r="O61" s="105"/>
      <c r="P61" s="102"/>
      <c r="Q61" s="103">
        <f ca="1">IF($H$33=TRUE,IF($H$60="","",SUMIF($H$31:$H$38,"WAHR",E31:E38)+E43+E44),"")</f>
        <v>3548084.4430975108</v>
      </c>
      <c r="R61" s="109">
        <f ca="1">IF(AND(H33=TRUE,H60&lt;&gt;""),-E33,"")</f>
        <v>863677.35351344733</v>
      </c>
      <c r="S61" s="793">
        <f ca="1">IF(AND(H43=TRUE,$H$60&lt;&gt;""),-E43,"")</f>
        <v>0</v>
      </c>
      <c r="T61" s="793">
        <f ca="1">IF(AND(H44=TRUE,$H$60&lt;&gt;""),-E44,"")</f>
        <v>0</v>
      </c>
      <c r="U61" s="100"/>
      <c r="V61" s="101" t="str">
        <f>I61</f>
        <v>Teilergebnisse</v>
      </c>
      <c r="W61" s="103">
        <f t="shared" si="28"/>
        <v>0</v>
      </c>
      <c r="X61" s="103">
        <f t="shared" si="28"/>
        <v>0</v>
      </c>
      <c r="Y61" s="103">
        <f t="shared" si="28"/>
        <v>0</v>
      </c>
      <c r="Z61" s="103">
        <f t="shared" si="28"/>
        <v>0</v>
      </c>
      <c r="AA61" s="103">
        <f t="shared" si="28"/>
        <v>0</v>
      </c>
      <c r="AB61" s="103">
        <f t="shared" si="28"/>
        <v>0</v>
      </c>
      <c r="AC61" s="103">
        <f t="shared" si="28"/>
        <v>0</v>
      </c>
      <c r="AD61" s="103">
        <f t="shared" ca="1" si="28"/>
        <v>141931.21611923297</v>
      </c>
      <c r="AE61" s="103">
        <f t="shared" ca="1" si="28"/>
        <v>34549.002168558414</v>
      </c>
      <c r="AF61" s="103">
        <f t="shared" ca="1" si="28"/>
        <v>0</v>
      </c>
      <c r="AG61" s="103">
        <f t="shared" ca="1" si="28"/>
        <v>0</v>
      </c>
      <c r="AI61" s="100" t="str">
        <f t="shared" si="12"/>
        <v/>
      </c>
      <c r="AJ61" s="100" t="str">
        <f t="shared" si="13"/>
        <v/>
      </c>
      <c r="AK61" s="100" t="str">
        <f t="shared" si="14"/>
        <v/>
      </c>
      <c r="AL61" s="100" t="str">
        <f t="shared" si="15"/>
        <v/>
      </c>
      <c r="AM61" s="100" t="str">
        <f t="shared" si="16"/>
        <v/>
      </c>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t="str">
        <f t="shared" si="17"/>
        <v/>
      </c>
      <c r="BL61" s="100" t="str">
        <f t="shared" si="18"/>
        <v/>
      </c>
      <c r="BM61" s="100" t="str">
        <f t="shared" si="19"/>
        <v/>
      </c>
      <c r="BN61" s="100" t="str">
        <f t="shared" si="20"/>
        <v/>
      </c>
      <c r="BO61" s="100" t="str">
        <f t="shared" si="21"/>
        <v/>
      </c>
      <c r="BP61" s="100" t="str">
        <f t="shared" si="22"/>
        <v/>
      </c>
      <c r="BQ61" s="100" t="str">
        <f t="shared" si="23"/>
        <v/>
      </c>
      <c r="BR61" s="100" t="str">
        <f t="shared" si="24"/>
        <v/>
      </c>
      <c r="BT61" s="1532" t="s">
        <v>281</v>
      </c>
      <c r="BU61" s="1513"/>
      <c r="BV61" s="1634"/>
      <c r="BW61" s="453">
        <f t="shared" ca="1" si="26"/>
        <v>204368.53935014899</v>
      </c>
      <c r="BX61" s="453">
        <f t="shared" ca="1" si="26"/>
        <v>204368.53935014899</v>
      </c>
      <c r="BY61" s="453">
        <f t="shared" ca="1" si="26"/>
        <v>214294.1760945961</v>
      </c>
      <c r="BZ61" s="453">
        <f t="shared" ca="1" si="26"/>
        <v>240601.93173764535</v>
      </c>
      <c r="CA61" s="453">
        <f t="shared" ca="1" si="26"/>
        <v>254382.18469352828</v>
      </c>
    </row>
    <row r="62" spans="1:79" ht="12.95" customHeight="1" x14ac:dyDescent="0.2">
      <c r="H62" s="107"/>
      <c r="I62" s="101"/>
      <c r="J62" s="105"/>
      <c r="K62" s="105"/>
      <c r="L62" s="105"/>
      <c r="M62" s="105"/>
      <c r="N62" s="105"/>
      <c r="O62" s="105"/>
      <c r="P62" s="102"/>
      <c r="Q62" s="103"/>
      <c r="R62" s="808"/>
      <c r="S62" s="793"/>
      <c r="T62" s="793"/>
      <c r="U62" s="100"/>
      <c r="V62" s="101"/>
      <c r="W62" s="103"/>
      <c r="X62" s="103"/>
      <c r="Y62" s="103"/>
      <c r="Z62" s="103"/>
      <c r="AA62" s="103"/>
      <c r="AB62" s="103"/>
      <c r="AC62" s="103"/>
      <c r="AD62" s="103"/>
      <c r="AE62" s="103"/>
      <c r="AF62" s="103"/>
      <c r="AG62" s="103"/>
      <c r="AI62" s="100" t="str">
        <f t="shared" si="12"/>
        <v>PHSol</v>
      </c>
      <c r="AJ62" s="100" t="str">
        <f t="shared" si="13"/>
        <v>Kapitalwert</v>
      </c>
      <c r="AK62" s="100">
        <f t="shared" ca="1" si="14"/>
        <v>3678751.3990175691</v>
      </c>
      <c r="AL62" s="100">
        <f t="shared" ca="1" si="15"/>
        <v>190104.15357788268</v>
      </c>
      <c r="AM62" s="100">
        <f t="shared" ca="1" si="16"/>
        <v>0</v>
      </c>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f t="shared" ca="1" si="17"/>
        <v>214294.1760945961</v>
      </c>
      <c r="BL62" s="100">
        <f t="shared" ca="1" si="18"/>
        <v>328612.06792090967</v>
      </c>
      <c r="BM62" s="100">
        <f t="shared" si="19"/>
        <v>0</v>
      </c>
      <c r="BN62" s="100">
        <f t="shared" ca="1" si="20"/>
        <v>0</v>
      </c>
      <c r="BO62" s="100" t="str">
        <f t="shared" si="21"/>
        <v/>
      </c>
      <c r="BP62" s="100" t="str">
        <f t="shared" si="22"/>
        <v/>
      </c>
      <c r="BQ62" s="100" t="str">
        <f t="shared" si="23"/>
        <v/>
      </c>
      <c r="BR62" s="100" t="str">
        <f t="shared" si="24"/>
        <v/>
      </c>
      <c r="BT62" s="1534" t="s">
        <v>282</v>
      </c>
      <c r="BU62" s="1535"/>
      <c r="BV62" s="1633"/>
      <c r="BW62" s="453">
        <f t="shared" si="26"/>
        <v>544398.5625023779</v>
      </c>
      <c r="BX62" s="453">
        <f t="shared" ca="1" si="26"/>
        <v>466141.08349033294</v>
      </c>
      <c r="BY62" s="453">
        <f t="shared" ca="1" si="26"/>
        <v>328612.06792090967</v>
      </c>
      <c r="BZ62" s="453">
        <f t="shared" ca="1" si="26"/>
        <v>330523.55920145707</v>
      </c>
      <c r="CA62" s="453">
        <f t="shared" ca="1" si="26"/>
        <v>330523.55920145707</v>
      </c>
    </row>
    <row r="63" spans="1:79" ht="12.95" customHeight="1" x14ac:dyDescent="0.25">
      <c r="H63" s="107" t="str">
        <f>F28</f>
        <v>PHWRGSo</v>
      </c>
      <c r="I63" s="101" t="str">
        <f>IF(H63="","",$J$52)</f>
        <v>Kapitalwert</v>
      </c>
      <c r="J63" s="109">
        <f ca="1">IF(AND(H31=TRUE,H63&lt;&gt;""),F31,"")</f>
        <v>3753760.1907152468</v>
      </c>
      <c r="K63" s="109">
        <f ca="1">IF(AND(H32=TRUE,H63&lt;&gt;""),F32,"")</f>
        <v>194060.34107996113</v>
      </c>
      <c r="L63" s="109">
        <f ca="1">IF(AND(H34=TRUE,H63&lt;&gt;""),F34,"")</f>
        <v>0</v>
      </c>
      <c r="M63" s="109">
        <f ca="1">IF(AND(H35=TRUE,H63&lt;&gt;""),F35,"")</f>
        <v>240601.93173764535</v>
      </c>
      <c r="N63" s="109">
        <f ca="1">IF(AND(H36=TRUE,H63&lt;&gt;""),F36,"")</f>
        <v>330523.55920145707</v>
      </c>
      <c r="O63" s="109">
        <f>IF(AND(H37=TRUE,H63&lt;&gt;""),F37,"")</f>
        <v>0</v>
      </c>
      <c r="P63" s="299">
        <f ca="1">IF(AND(H38=TRUE,H63&lt;&gt;""),F38,"")</f>
        <v>0</v>
      </c>
      <c r="Q63" s="103"/>
      <c r="R63" s="808"/>
      <c r="S63" s="793"/>
      <c r="T63" s="793"/>
      <c r="U63" s="100" t="str">
        <f>F28</f>
        <v>PHWRGSo</v>
      </c>
      <c r="V63" s="101" t="str">
        <f>IF(U63="","","Annuität")</f>
        <v>Annuität</v>
      </c>
      <c r="W63" s="809">
        <f t="shared" ref="W63:AG64" ca="1" si="29">J63*$J$154</f>
        <v>150158.70040090158</v>
      </c>
      <c r="X63" s="103">
        <f t="shared" ca="1" si="29"/>
        <v>7762.8423595089353</v>
      </c>
      <c r="Y63" s="103">
        <f t="shared" ca="1" si="29"/>
        <v>0</v>
      </c>
      <c r="Z63" s="103">
        <f t="shared" ca="1" si="29"/>
        <v>9624.6088050678827</v>
      </c>
      <c r="AA63" s="103">
        <f t="shared" ca="1" si="29"/>
        <v>13221.672557647986</v>
      </c>
      <c r="AB63" s="103">
        <f t="shared" si="29"/>
        <v>0</v>
      </c>
      <c r="AC63" s="103">
        <f t="shared" ca="1" si="29"/>
        <v>0</v>
      </c>
      <c r="AD63" s="103">
        <f t="shared" si="29"/>
        <v>0</v>
      </c>
      <c r="AE63" s="103">
        <f t="shared" si="29"/>
        <v>0</v>
      </c>
      <c r="AF63" s="103">
        <f t="shared" si="29"/>
        <v>0</v>
      </c>
      <c r="AG63" s="103">
        <f t="shared" si="29"/>
        <v>0</v>
      </c>
      <c r="AI63" s="100" t="str">
        <f t="shared" si="12"/>
        <v/>
      </c>
      <c r="AJ63" s="100" t="str">
        <f t="shared" si="13"/>
        <v>Teilergebnisse</v>
      </c>
      <c r="AK63" s="100" t="str">
        <f t="shared" si="14"/>
        <v/>
      </c>
      <c r="AL63" s="100" t="str">
        <f t="shared" si="15"/>
        <v/>
      </c>
      <c r="AM63" s="100" t="str">
        <f t="shared" si="16"/>
        <v/>
      </c>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t="str">
        <f t="shared" si="17"/>
        <v/>
      </c>
      <c r="BL63" s="100" t="str">
        <f t="shared" si="18"/>
        <v/>
      </c>
      <c r="BM63" s="100" t="str">
        <f t="shared" si="19"/>
        <v/>
      </c>
      <c r="BN63" s="100" t="str">
        <f t="shared" si="20"/>
        <v/>
      </c>
      <c r="BO63" s="100">
        <f t="shared" ca="1" si="21"/>
        <v>3548084.4430975108</v>
      </c>
      <c r="BP63" s="100">
        <f t="shared" ca="1" si="22"/>
        <v>863677.35351344733</v>
      </c>
      <c r="BQ63" s="100">
        <f t="shared" ca="1" si="23"/>
        <v>0</v>
      </c>
      <c r="BR63" s="100">
        <f t="shared" ca="1" si="24"/>
        <v>0</v>
      </c>
      <c r="BT63" s="1539"/>
      <c r="BU63" s="1539"/>
      <c r="BV63" s="1539"/>
      <c r="BW63" s="453">
        <f t="shared" ref="BW63:CA64" si="30">IF($AJ$53=TRUE,C43,C43*$J$154)</f>
        <v>0</v>
      </c>
      <c r="BX63" s="453">
        <f t="shared" ca="1" si="30"/>
        <v>0</v>
      </c>
      <c r="BY63" s="453">
        <f t="shared" ca="1" si="30"/>
        <v>0</v>
      </c>
      <c r="BZ63" s="453">
        <f t="shared" ca="1" si="30"/>
        <v>0</v>
      </c>
      <c r="CA63" s="453">
        <f t="shared" si="30"/>
        <v>-58061.253662397947</v>
      </c>
    </row>
    <row r="64" spans="1:79" ht="12.95" customHeight="1" x14ac:dyDescent="0.2">
      <c r="H64" s="107"/>
      <c r="I64" s="101" t="str">
        <f>IF(H63="","",$Q$52)</f>
        <v>Teilergebnisse</v>
      </c>
      <c r="J64" s="105"/>
      <c r="K64" s="105"/>
      <c r="L64" s="105"/>
      <c r="M64" s="105"/>
      <c r="N64" s="105"/>
      <c r="O64" s="105"/>
      <c r="P64" s="102"/>
      <c r="Q64" s="103">
        <f ca="1">IF($H$33=TRUE,IF($H$63="","",SUMIF($H$31:$H$38,"WAHR",F31:F38)+F43+F44),"")</f>
        <v>3639541.3891721345</v>
      </c>
      <c r="R64" s="109">
        <f ca="1">IF(AND(H33=TRUE,H63&lt;&gt;""),-F33,"")</f>
        <v>879404.63356217626</v>
      </c>
      <c r="S64" s="793">
        <f ca="1">IF(AND(H43=TRUE,$H$63&lt;&gt;""),-F43,"")</f>
        <v>0</v>
      </c>
      <c r="T64" s="793">
        <f ca="1">IF(AND(H44=TRUE,$H$63&lt;&gt;""),-F44,"")</f>
        <v>0</v>
      </c>
      <c r="U64" s="100"/>
      <c r="V64" s="101" t="str">
        <f>I64</f>
        <v>Teilergebnisse</v>
      </c>
      <c r="W64" s="103">
        <f t="shared" si="29"/>
        <v>0</v>
      </c>
      <c r="X64" s="103">
        <f t="shared" si="29"/>
        <v>0</v>
      </c>
      <c r="Y64" s="103">
        <f t="shared" si="29"/>
        <v>0</v>
      </c>
      <c r="Z64" s="103">
        <f t="shared" si="29"/>
        <v>0</v>
      </c>
      <c r="AA64" s="103">
        <f t="shared" si="29"/>
        <v>0</v>
      </c>
      <c r="AB64" s="103">
        <f t="shared" si="29"/>
        <v>0</v>
      </c>
      <c r="AC64" s="103">
        <f t="shared" si="29"/>
        <v>0</v>
      </c>
      <c r="AD64" s="103">
        <f t="shared" ca="1" si="29"/>
        <v>145589.69600805722</v>
      </c>
      <c r="AE64" s="103">
        <f t="shared" ca="1" si="29"/>
        <v>35178.128115069179</v>
      </c>
      <c r="AF64" s="103">
        <f t="shared" ca="1" si="29"/>
        <v>0</v>
      </c>
      <c r="AG64" s="103">
        <f t="shared" ca="1" si="29"/>
        <v>0</v>
      </c>
      <c r="AI64" s="100" t="str">
        <f t="shared" si="12"/>
        <v/>
      </c>
      <c r="AJ64" s="100" t="str">
        <f t="shared" si="13"/>
        <v/>
      </c>
      <c r="AK64" s="100" t="str">
        <f t="shared" si="14"/>
        <v/>
      </c>
      <c r="AL64" s="100" t="str">
        <f t="shared" si="15"/>
        <v/>
      </c>
      <c r="AM64" s="100" t="str">
        <f t="shared" si="16"/>
        <v/>
      </c>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t="str">
        <f t="shared" si="17"/>
        <v/>
      </c>
      <c r="BL64" s="100" t="str">
        <f t="shared" si="18"/>
        <v/>
      </c>
      <c r="BM64" s="100" t="str">
        <f t="shared" si="19"/>
        <v/>
      </c>
      <c r="BN64" s="100" t="str">
        <f t="shared" si="20"/>
        <v/>
      </c>
      <c r="BO64" s="100" t="str">
        <f t="shared" si="21"/>
        <v/>
      </c>
      <c r="BP64" s="100" t="str">
        <f t="shared" si="22"/>
        <v/>
      </c>
      <c r="BQ64" s="100" t="str">
        <f t="shared" si="23"/>
        <v/>
      </c>
      <c r="BR64" s="100" t="str">
        <f t="shared" si="24"/>
        <v/>
      </c>
      <c r="BT64" s="1539"/>
      <c r="BU64" s="1539"/>
      <c r="BV64" s="1539"/>
      <c r="BW64" s="453">
        <f t="shared" ca="1" si="30"/>
        <v>0</v>
      </c>
      <c r="BX64" s="453">
        <f t="shared" ca="1" si="30"/>
        <v>0</v>
      </c>
      <c r="BY64" s="453">
        <f t="shared" ca="1" si="30"/>
        <v>0</v>
      </c>
      <c r="BZ64" s="453">
        <f t="shared" ca="1" si="30"/>
        <v>0</v>
      </c>
      <c r="CA64" s="453">
        <f t="shared" ca="1" si="30"/>
        <v>-12154.257261502009</v>
      </c>
    </row>
    <row r="65" spans="1:79" ht="12.95" customHeight="1" x14ac:dyDescent="0.2">
      <c r="H65" s="107"/>
      <c r="I65" s="101"/>
      <c r="J65" s="105"/>
      <c r="K65" s="105"/>
      <c r="L65" s="105"/>
      <c r="M65" s="105"/>
      <c r="N65" s="105"/>
      <c r="O65" s="105"/>
      <c r="P65" s="102"/>
      <c r="Q65" s="103"/>
      <c r="R65" s="808"/>
      <c r="S65" s="793"/>
      <c r="T65" s="793"/>
      <c r="U65" s="100"/>
      <c r="V65" s="101"/>
      <c r="W65" s="103"/>
      <c r="X65" s="103"/>
      <c r="Y65" s="103"/>
      <c r="Z65" s="103"/>
      <c r="AA65" s="103"/>
      <c r="AB65" s="103"/>
      <c r="AC65" s="103"/>
      <c r="AD65" s="103"/>
      <c r="AE65" s="103"/>
      <c r="AF65" s="103"/>
      <c r="AG65" s="103"/>
      <c r="AI65" s="100" t="str">
        <f t="shared" si="12"/>
        <v>PHWRGSo</v>
      </c>
      <c r="AJ65" s="100" t="str">
        <f t="shared" si="13"/>
        <v>Kapitalwert</v>
      </c>
      <c r="AK65" s="100">
        <f t="shared" ca="1" si="14"/>
        <v>3753760.1907152468</v>
      </c>
      <c r="AL65" s="100">
        <f t="shared" ca="1" si="15"/>
        <v>194060.34107996113</v>
      </c>
      <c r="AM65" s="100">
        <f t="shared" ca="1" si="16"/>
        <v>0</v>
      </c>
      <c r="AN65" s="100"/>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f t="shared" ca="1" si="17"/>
        <v>240601.93173764535</v>
      </c>
      <c r="BL65" s="100">
        <f t="shared" ca="1" si="18"/>
        <v>330523.55920145707</v>
      </c>
      <c r="BM65" s="100">
        <f t="shared" si="19"/>
        <v>0</v>
      </c>
      <c r="BN65" s="100">
        <f t="shared" ca="1" si="20"/>
        <v>0</v>
      </c>
      <c r="BO65" s="100" t="str">
        <f t="shared" si="21"/>
        <v/>
      </c>
      <c r="BP65" s="100" t="str">
        <f t="shared" si="22"/>
        <v/>
      </c>
      <c r="BQ65" s="100" t="str">
        <f t="shared" si="23"/>
        <v/>
      </c>
      <c r="BR65" s="100" t="str">
        <f t="shared" si="24"/>
        <v/>
      </c>
      <c r="BT65" s="1530" t="s">
        <v>396</v>
      </c>
      <c r="BU65" s="1530"/>
      <c r="BV65" s="1530"/>
      <c r="BW65" s="453">
        <f t="shared" ref="BW65:CA66" si="31">IF($AJ$53=TRUE,C37,C37*$J$154)</f>
        <v>0</v>
      </c>
      <c r="BX65" s="453">
        <f t="shared" si="31"/>
        <v>0</v>
      </c>
      <c r="BY65" s="453">
        <f t="shared" si="31"/>
        <v>0</v>
      </c>
      <c r="BZ65" s="453">
        <f t="shared" si="31"/>
        <v>0</v>
      </c>
      <c r="CA65" s="453">
        <f t="shared" si="31"/>
        <v>0</v>
      </c>
    </row>
    <row r="66" spans="1:79" ht="12.95" customHeight="1" thickBot="1" x14ac:dyDescent="0.3">
      <c r="H66" s="107" t="str">
        <f>G28</f>
        <v>PHWRGSoPV</v>
      </c>
      <c r="I66" s="101" t="str">
        <f>IF(H66="","",$J$52)</f>
        <v>Kapitalwert</v>
      </c>
      <c r="J66" s="109">
        <f ca="1">IF(AND(H31=TRUE,H66&lt;&gt;""),G31,"")</f>
        <v>3790937.5801008861</v>
      </c>
      <c r="K66" s="109">
        <f ca="1">IF(AND(H32=TRUE,H66&lt;&gt;""),G32,"")</f>
        <v>219625.87420927419</v>
      </c>
      <c r="L66" s="109">
        <f ca="1">IF(AND(H34=TRUE,H66&lt;&gt;""),G34,"")</f>
        <v>0</v>
      </c>
      <c r="M66" s="109">
        <f ca="1">IF(AND(H35=TRUE,H66&lt;&gt;""),G35,"")</f>
        <v>254382.18469352828</v>
      </c>
      <c r="N66" s="109">
        <f ca="1">IF(AND(H36=TRUE,H66&lt;&gt;""),G36,"")</f>
        <v>330523.55920145707</v>
      </c>
      <c r="O66" s="109">
        <f>IF(AND(H37=TRUE,H66&lt;&gt;""),G37,"")</f>
        <v>0</v>
      </c>
      <c r="P66" s="299">
        <f ca="1">IF(AND(H38=TRUE,H66&lt;&gt;""),G38,"")</f>
        <v>0</v>
      </c>
      <c r="Q66" s="103"/>
      <c r="R66" s="808"/>
      <c r="S66" s="793"/>
      <c r="T66" s="793"/>
      <c r="U66" s="100" t="str">
        <f>G28</f>
        <v>PHWRGSoPV</v>
      </c>
      <c r="V66" s="101" t="str">
        <f>IF(U66="","","Annuität")</f>
        <v>Annuität</v>
      </c>
      <c r="W66" s="103">
        <f t="shared" ref="W66:AG67" ca="1" si="32">J66*$J$154</f>
        <v>151645.87810827189</v>
      </c>
      <c r="X66" s="103">
        <f t="shared" ca="1" si="32"/>
        <v>8785.5201638207709</v>
      </c>
      <c r="Y66" s="103">
        <f t="shared" ca="1" si="32"/>
        <v>0</v>
      </c>
      <c r="Z66" s="103">
        <f t="shared" ca="1" si="32"/>
        <v>10175.849366510565</v>
      </c>
      <c r="AA66" s="103">
        <f t="shared" ca="1" si="32"/>
        <v>13221.672557647986</v>
      </c>
      <c r="AB66" s="103">
        <f t="shared" si="32"/>
        <v>0</v>
      </c>
      <c r="AC66" s="103">
        <f t="shared" ca="1" si="32"/>
        <v>0</v>
      </c>
      <c r="AD66" s="103">
        <f t="shared" si="32"/>
        <v>0</v>
      </c>
      <c r="AE66" s="103">
        <f t="shared" si="32"/>
        <v>0</v>
      </c>
      <c r="AF66" s="103">
        <f t="shared" si="32"/>
        <v>0</v>
      </c>
      <c r="AG66" s="103">
        <f t="shared" si="32"/>
        <v>0</v>
      </c>
      <c r="AI66" s="100" t="str">
        <f t="shared" si="12"/>
        <v/>
      </c>
      <c r="AJ66" s="100" t="str">
        <f t="shared" si="13"/>
        <v>Teilergebnisse</v>
      </c>
      <c r="AK66" s="100" t="str">
        <f t="shared" si="14"/>
        <v/>
      </c>
      <c r="AL66" s="100" t="str">
        <f t="shared" si="15"/>
        <v/>
      </c>
      <c r="AM66" s="100" t="str">
        <f t="shared" si="16"/>
        <v/>
      </c>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t="str">
        <f t="shared" si="17"/>
        <v/>
      </c>
      <c r="BL66" s="100" t="str">
        <f t="shared" si="18"/>
        <v/>
      </c>
      <c r="BM66" s="100" t="str">
        <f t="shared" si="19"/>
        <v/>
      </c>
      <c r="BN66" s="100" t="str">
        <f t="shared" si="20"/>
        <v/>
      </c>
      <c r="BO66" s="100">
        <f t="shared" ca="1" si="21"/>
        <v>3639541.3891721345</v>
      </c>
      <c r="BP66" s="100">
        <f t="shared" ca="1" si="22"/>
        <v>879404.63356217626</v>
      </c>
      <c r="BQ66" s="100">
        <f t="shared" ca="1" si="23"/>
        <v>0</v>
      </c>
      <c r="BR66" s="100">
        <f t="shared" ca="1" si="24"/>
        <v>0</v>
      </c>
      <c r="BT66" s="1537" t="s">
        <v>414</v>
      </c>
      <c r="BU66" s="1537"/>
      <c r="BV66" s="1537"/>
      <c r="BW66" s="453">
        <f t="shared" si="31"/>
        <v>0</v>
      </c>
      <c r="BX66" s="453">
        <f t="shared" ca="1" si="31"/>
        <v>0</v>
      </c>
      <c r="BY66" s="453">
        <f t="shared" ca="1" si="31"/>
        <v>0</v>
      </c>
      <c r="BZ66" s="453">
        <f t="shared" ca="1" si="31"/>
        <v>0</v>
      </c>
      <c r="CA66" s="453">
        <f t="shared" ca="1" si="31"/>
        <v>0</v>
      </c>
    </row>
    <row r="67" spans="1:79" ht="12.95" customHeight="1" x14ac:dyDescent="0.2">
      <c r="H67" s="107"/>
      <c r="I67" s="101" t="str">
        <f>IF(H66="","",$Q$52)</f>
        <v>Teilergebnisse</v>
      </c>
      <c r="J67" s="105"/>
      <c r="K67" s="105"/>
      <c r="L67" s="105"/>
      <c r="M67" s="105"/>
      <c r="N67" s="105"/>
      <c r="O67" s="105"/>
      <c r="P67" s="102"/>
      <c r="Q67" s="103">
        <f ca="1">IF($H$33=TRUE,IF($H$66="","",SUMIF($H$31:$H$38,"WAHR",G31:G38)+G43+G44),"")</f>
        <v>3627352.3678982225</v>
      </c>
      <c r="R67" s="109">
        <f ca="1">IF(AND(H33=TRUE,H66&lt;&gt;""),-G33,"")</f>
        <v>897901.31938302296</v>
      </c>
      <c r="S67" s="793">
        <f>IF(AND(H43=TRUE,$H$66&lt;&gt;""),-G43,"")</f>
        <v>58061.253662397947</v>
      </c>
      <c r="T67" s="793">
        <f ca="1">IF(AND(H44=TRUE,$H$66&lt;&gt;""),-G44,"")</f>
        <v>12154.257261502009</v>
      </c>
      <c r="U67" s="100"/>
      <c r="V67" s="101" t="str">
        <f>I67</f>
        <v>Teilergebnisse</v>
      </c>
      <c r="W67" s="103">
        <f t="shared" si="32"/>
        <v>0</v>
      </c>
      <c r="X67" s="103">
        <f t="shared" si="32"/>
        <v>0</v>
      </c>
      <c r="Y67" s="103">
        <f t="shared" si="32"/>
        <v>0</v>
      </c>
      <c r="Z67" s="103">
        <f t="shared" si="32"/>
        <v>0</v>
      </c>
      <c r="AA67" s="103">
        <f t="shared" si="32"/>
        <v>0</v>
      </c>
      <c r="AB67" s="103">
        <f t="shared" si="32"/>
        <v>0</v>
      </c>
      <c r="AC67" s="103">
        <f t="shared" si="32"/>
        <v>0</v>
      </c>
      <c r="AD67" s="103">
        <f t="shared" ca="1" si="32"/>
        <v>145102.10822922768</v>
      </c>
      <c r="AE67" s="103">
        <f t="shared" ca="1" si="32"/>
        <v>35918.036410610272</v>
      </c>
      <c r="AF67" s="103">
        <f t="shared" si="32"/>
        <v>2322.5784148804523</v>
      </c>
      <c r="AG67" s="103">
        <f t="shared" ca="1" si="32"/>
        <v>486.19714153279773</v>
      </c>
      <c r="AI67" s="100" t="str">
        <f t="shared" si="12"/>
        <v/>
      </c>
      <c r="AJ67" s="100" t="str">
        <f t="shared" si="13"/>
        <v/>
      </c>
      <c r="AK67" s="100" t="str">
        <f t="shared" si="14"/>
        <v/>
      </c>
      <c r="AL67" s="100" t="str">
        <f t="shared" si="15"/>
        <v/>
      </c>
      <c r="AM67" s="100" t="str">
        <f t="shared" si="16"/>
        <v/>
      </c>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t="str">
        <f t="shared" si="17"/>
        <v/>
      </c>
      <c r="BL67" s="100" t="str">
        <f t="shared" si="18"/>
        <v/>
      </c>
      <c r="BM67" s="100" t="str">
        <f t="shared" si="19"/>
        <v/>
      </c>
      <c r="BN67" s="100" t="str">
        <f t="shared" si="20"/>
        <v/>
      </c>
      <c r="BO67" s="100" t="str">
        <f t="shared" si="21"/>
        <v/>
      </c>
      <c r="BP67" s="100" t="str">
        <f t="shared" si="22"/>
        <v/>
      </c>
      <c r="BQ67" s="100" t="str">
        <f t="shared" si="23"/>
        <v/>
      </c>
      <c r="BR67" s="100" t="str">
        <f t="shared" si="24"/>
        <v/>
      </c>
      <c r="BT67" s="455"/>
      <c r="BU67" s="455"/>
      <c r="BV67" s="820" t="s">
        <v>293</v>
      </c>
      <c r="BW67" s="821">
        <f ca="1">SUM(BW57:BW66)</f>
        <v>3717659.681091967</v>
      </c>
      <c r="BX67" s="821">
        <f t="shared" ref="BX67:CA67" ca="1" si="33">SUM(BX57:BX66)</f>
        <v>3627350.8511196566</v>
      </c>
      <c r="BY67" s="821">
        <f t="shared" ca="1" si="33"/>
        <v>3548084.4430975108</v>
      </c>
      <c r="BZ67" s="821">
        <f t="shared" ca="1" si="33"/>
        <v>3639541.3891721345</v>
      </c>
      <c r="CA67" s="821">
        <f t="shared" ca="1" si="33"/>
        <v>3627352.3678982225</v>
      </c>
    </row>
    <row r="68" spans="1:79" ht="12.95" customHeight="1" x14ac:dyDescent="0.2">
      <c r="H68" s="107"/>
      <c r="I68" s="101"/>
      <c r="J68" s="105"/>
      <c r="K68" s="105"/>
      <c r="L68" s="105"/>
      <c r="M68" s="105"/>
      <c r="N68" s="105"/>
      <c r="O68" s="105"/>
      <c r="P68" s="102"/>
      <c r="Q68" s="105"/>
      <c r="R68" s="808"/>
      <c r="S68" s="793"/>
      <c r="T68" s="793"/>
      <c r="U68" s="100"/>
      <c r="V68" s="101"/>
      <c r="W68" s="105"/>
      <c r="X68" s="105"/>
      <c r="Y68" s="105"/>
      <c r="Z68" s="105"/>
      <c r="AA68" s="105"/>
      <c r="AB68" s="102"/>
      <c r="AC68" s="102"/>
      <c r="AD68" s="105"/>
      <c r="AE68" s="102"/>
      <c r="AI68" s="100" t="str">
        <f t="shared" si="12"/>
        <v>PHWRGSoPV</v>
      </c>
      <c r="AJ68" s="100" t="str">
        <f t="shared" si="13"/>
        <v>Kapitalwert</v>
      </c>
      <c r="AK68" s="100">
        <f t="shared" ca="1" si="14"/>
        <v>3790937.5801008861</v>
      </c>
      <c r="AL68" s="100">
        <f t="shared" ca="1" si="15"/>
        <v>219625.87420927419</v>
      </c>
      <c r="AM68" s="100">
        <f t="shared" ca="1" si="16"/>
        <v>0</v>
      </c>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f t="shared" ca="1" si="17"/>
        <v>254382.18469352828</v>
      </c>
      <c r="BL68" s="100">
        <f t="shared" ca="1" si="18"/>
        <v>330523.55920145707</v>
      </c>
      <c r="BM68" s="100">
        <f t="shared" si="19"/>
        <v>0</v>
      </c>
      <c r="BN68" s="100">
        <f t="shared" ca="1" si="20"/>
        <v>0</v>
      </c>
      <c r="BO68" s="100" t="str">
        <f t="shared" si="21"/>
        <v/>
      </c>
      <c r="BP68" s="100" t="str">
        <f t="shared" si="22"/>
        <v/>
      </c>
      <c r="BQ68" s="100" t="str">
        <f t="shared" si="23"/>
        <v/>
      </c>
      <c r="BR68" s="100" t="str">
        <f t="shared" si="24"/>
        <v/>
      </c>
    </row>
    <row r="69" spans="1:79" ht="12.95" customHeight="1" thickBot="1" x14ac:dyDescent="0.3">
      <c r="P69" s="102"/>
      <c r="AI69" s="100" t="str">
        <f t="shared" si="12"/>
        <v/>
      </c>
      <c r="AJ69" s="100" t="str">
        <f t="shared" si="13"/>
        <v>Teilergebnisse</v>
      </c>
      <c r="AK69" s="100" t="str">
        <f t="shared" si="14"/>
        <v/>
      </c>
      <c r="AL69" s="100" t="str">
        <f t="shared" si="15"/>
        <v/>
      </c>
      <c r="AM69" s="100" t="str">
        <f t="shared" si="16"/>
        <v/>
      </c>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t="str">
        <f t="shared" si="17"/>
        <v/>
      </c>
      <c r="BL69" s="100" t="str">
        <f t="shared" si="18"/>
        <v/>
      </c>
      <c r="BM69" s="100" t="str">
        <f t="shared" si="19"/>
        <v/>
      </c>
      <c r="BN69" s="100" t="str">
        <f t="shared" si="20"/>
        <v/>
      </c>
      <c r="BO69" s="100">
        <f t="shared" ca="1" si="21"/>
        <v>3627352.3678982225</v>
      </c>
      <c r="BP69" s="100">
        <f t="shared" ca="1" si="22"/>
        <v>897901.31938302296</v>
      </c>
      <c r="BQ69" s="100">
        <f t="shared" si="23"/>
        <v>58061.253662397947</v>
      </c>
      <c r="BR69" s="100">
        <f t="shared" ca="1" si="24"/>
        <v>12154.257261502009</v>
      </c>
    </row>
    <row r="70" spans="1:79" ht="12.95" customHeight="1" thickBot="1" x14ac:dyDescent="0.3">
      <c r="E70" s="113"/>
      <c r="I70" s="149" t="s">
        <v>285</v>
      </c>
      <c r="J70" s="150">
        <f t="shared" ref="J70:O70" ca="1" si="34">SUM(J54:J66)</f>
        <v>18516096.973638959</v>
      </c>
      <c r="K70" s="150">
        <f t="shared" ca="1" si="34"/>
        <v>926837.54413537669</v>
      </c>
      <c r="L70" s="150">
        <f t="shared" ca="1" si="34"/>
        <v>0</v>
      </c>
      <c r="M70" s="150">
        <f t="shared" ca="1" si="34"/>
        <v>1118015.3712260677</v>
      </c>
      <c r="N70" s="150">
        <f t="shared" ca="1" si="34"/>
        <v>2000198.8323165346</v>
      </c>
      <c r="O70" s="150">
        <f t="shared" si="34"/>
        <v>0</v>
      </c>
      <c r="P70" s="150"/>
      <c r="Q70" s="151"/>
      <c r="R70" s="152">
        <f ca="1">SUM(R55:R67)</f>
        <v>4330944.4780135471</v>
      </c>
      <c r="AI70" s="100" t="str">
        <f t="shared" si="12"/>
        <v/>
      </c>
      <c r="AJ70" s="100" t="str">
        <f t="shared" si="13"/>
        <v/>
      </c>
      <c r="AK70" s="100" t="str">
        <f t="shared" si="14"/>
        <v/>
      </c>
      <c r="AL70" s="100" t="str">
        <f t="shared" si="15"/>
        <v/>
      </c>
      <c r="AM70" s="100" t="str">
        <f t="shared" si="16"/>
        <v/>
      </c>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t="str">
        <f t="shared" si="17"/>
        <v/>
      </c>
      <c r="BL70" s="100" t="str">
        <f t="shared" si="18"/>
        <v/>
      </c>
      <c r="BM70" s="100" t="str">
        <f t="shared" si="19"/>
        <v/>
      </c>
      <c r="BN70" s="100" t="str">
        <f t="shared" si="20"/>
        <v/>
      </c>
      <c r="BO70" s="100" t="str">
        <f t="shared" si="21"/>
        <v/>
      </c>
      <c r="BP70" s="100" t="str">
        <f t="shared" si="22"/>
        <v/>
      </c>
      <c r="BQ70" s="100" t="str">
        <f t="shared" si="23"/>
        <v/>
      </c>
      <c r="BR70" s="100" t="str">
        <f t="shared" si="24"/>
        <v/>
      </c>
    </row>
    <row r="71" spans="1:79" ht="42.75" customHeight="1" thickBot="1" x14ac:dyDescent="0.3">
      <c r="A71" s="1639" t="s">
        <v>437</v>
      </c>
      <c r="B71" s="1640"/>
      <c r="C71" s="1640"/>
      <c r="D71" s="1640"/>
      <c r="E71" s="1640"/>
      <c r="F71" s="1640"/>
      <c r="G71" s="1640"/>
      <c r="H71" s="1641"/>
    </row>
    <row r="72" spans="1:79" ht="12.95" customHeight="1" x14ac:dyDescent="0.25">
      <c r="A72" s="295" t="s">
        <v>163</v>
      </c>
      <c r="B72" s="286"/>
      <c r="C72" s="287">
        <f>'1. Projektangaben'!G23</f>
        <v>1410.2</v>
      </c>
      <c r="D72" s="286">
        <f>'1. Projektangaben'!G24</f>
        <v>1421.2</v>
      </c>
      <c r="E72" s="286">
        <f>'1. Projektangaben'!G25</f>
        <v>1421.2</v>
      </c>
      <c r="F72" s="286">
        <f>'1. Projektangaben'!G26</f>
        <v>1421.2</v>
      </c>
      <c r="G72" s="286">
        <f>'1. Projektangaben'!G27</f>
        <v>1421.2</v>
      </c>
      <c r="H72" s="288"/>
    </row>
    <row r="73" spans="1:79" ht="12.95" customHeight="1" x14ac:dyDescent="0.25">
      <c r="A73" s="289" t="s">
        <v>392</v>
      </c>
      <c r="B73" s="285"/>
      <c r="C73" s="296">
        <f>'2. Energie KW.'!J15</f>
        <v>23.23</v>
      </c>
      <c r="D73" s="297">
        <f>'2. Energie KW.'!J46</f>
        <v>13.7</v>
      </c>
      <c r="E73" s="297">
        <f>'2. Energie KW.'!J77</f>
        <v>7.28</v>
      </c>
      <c r="F73" s="297">
        <f>'2. Energie KW.'!J108</f>
        <v>5.64</v>
      </c>
      <c r="G73" s="297">
        <f ca="1">'2. Energie KW.'!J139</f>
        <v>5.64</v>
      </c>
      <c r="H73" s="290"/>
    </row>
    <row r="74" spans="1:79" ht="12.95" customHeight="1" x14ac:dyDescent="0.25">
      <c r="A74" s="289" t="s">
        <v>393</v>
      </c>
      <c r="B74" s="285"/>
      <c r="C74" s="285" t="str">
        <f>'2. Energie KW.'!F15</f>
        <v>Wärmepumpenstrom</v>
      </c>
      <c r="D74" s="284" t="str">
        <f ca="1">'2. Energie KW.'!F46</f>
        <v>Wärmepumpenstrom</v>
      </c>
      <c r="E74" s="284" t="str">
        <f ca="1">'2. Energie KW.'!F77</f>
        <v>Wärmepumpenstrom</v>
      </c>
      <c r="F74" s="284" t="str">
        <f ca="1">'2. Energie KW.'!F108</f>
        <v>Wärmepumpenstrom</v>
      </c>
      <c r="G74" s="284" t="str">
        <f ca="1">'2. Energie KW.'!F139</f>
        <v>Wärmepumpenstrom</v>
      </c>
      <c r="H74" s="290"/>
    </row>
    <row r="75" spans="1:79" ht="12.95" customHeight="1" thickBot="1" x14ac:dyDescent="0.3">
      <c r="A75" s="291" t="s">
        <v>394</v>
      </c>
      <c r="B75" s="292"/>
      <c r="C75" s="298">
        <f>'3.1 Fi&amp;Fo'!$G$63</f>
        <v>0.12156</v>
      </c>
      <c r="D75" s="298">
        <f ca="1">'3.2 Fi&amp;Fo'!$G$63</f>
        <v>0.12156</v>
      </c>
      <c r="E75" s="298">
        <f ca="1">'3.3 Fi&amp;Fo'!$G$63</f>
        <v>0.12156</v>
      </c>
      <c r="F75" s="298">
        <f ca="1">'3.4 Fi&amp;Fo'!$G$63</f>
        <v>0.12156</v>
      </c>
      <c r="G75" s="298">
        <f ca="1">'3.5 Fi&amp;Fo'!$G$63</f>
        <v>0.12156</v>
      </c>
      <c r="H75" s="294"/>
    </row>
    <row r="76" spans="1:79" ht="12.95" customHeight="1" thickBot="1" x14ac:dyDescent="0.3">
      <c r="A76" s="252"/>
      <c r="B76" s="253"/>
      <c r="C76" s="239" t="str">
        <f>BERECHNUNG!C8</f>
        <v>BTV</v>
      </c>
      <c r="D76" s="239" t="str">
        <f>BERECHNUNG!D8</f>
        <v>PH</v>
      </c>
      <c r="E76" s="239" t="str">
        <f>BERECHNUNG!E8</f>
        <v>PHSol</v>
      </c>
      <c r="F76" s="239" t="str">
        <f>BERECHNUNG!F8</f>
        <v>PHWRGSo</v>
      </c>
      <c r="G76" s="239" t="str">
        <f>BERECHNUNG!G8</f>
        <v>PHWRGSoPV</v>
      </c>
      <c r="H76" s="254"/>
    </row>
    <row r="77" spans="1:79" ht="12.95" customHeight="1" x14ac:dyDescent="0.25">
      <c r="A77" s="240" t="s">
        <v>386</v>
      </c>
      <c r="B77" s="241" t="s">
        <v>363</v>
      </c>
      <c r="C77" s="262">
        <f>SUM('3.1 I&amp;W'!$S$39,'3.1 I&amp;W'!$S$115,'3.1 I&amp;W'!$S$174)</f>
        <v>712336.29599999997</v>
      </c>
      <c r="D77" s="262">
        <f ca="1">SUM('3.2 I&amp;W'!$S$39,'3.2 I&amp;W'!$S$115,'3.2 I&amp;W'!$S$174)</f>
        <v>752523.20399999991</v>
      </c>
      <c r="E77" s="262">
        <f ca="1">SUM('3.3 I&amp;W'!$S$39,'3.3 I&amp;W'!$S$115,'3.3 I&amp;W'!$S$174)</f>
        <v>752523.20399999991</v>
      </c>
      <c r="F77" s="262">
        <f ca="1">SUM('3.4 I&amp;W'!$S$39,'3.4 I&amp;W'!$S$115,'3.4 I&amp;W'!$S$174)</f>
        <v>752523.20399999991</v>
      </c>
      <c r="G77" s="262">
        <f ca="1">SUM('3.5 I&amp;W'!$S$39,'3.5 I&amp;W'!$S$115,'3.5 I&amp;W'!$S$174)</f>
        <v>752523.20399999991</v>
      </c>
      <c r="H77" s="1642" t="s">
        <v>373</v>
      </c>
    </row>
    <row r="78" spans="1:79" ht="12.95" customHeight="1" x14ac:dyDescent="0.25">
      <c r="A78" s="242" t="s">
        <v>381</v>
      </c>
      <c r="B78" s="243" t="s">
        <v>363</v>
      </c>
      <c r="C78" s="263">
        <f>'3.1 I&amp;W'!$S$124</f>
        <v>244899.27599999998</v>
      </c>
      <c r="D78" s="263">
        <f ca="1">'3.2 I&amp;W'!$S$124</f>
        <v>219640.476</v>
      </c>
      <c r="E78" s="263">
        <f ca="1">'3.3 I&amp;W'!$S$124</f>
        <v>267453.27600000001</v>
      </c>
      <c r="F78" s="263">
        <f ca="1">'3.4 I&amp;W'!$S$124</f>
        <v>360792.87599999999</v>
      </c>
      <c r="G78" s="263">
        <f ca="1">'3.5 I&amp;W'!$S$124</f>
        <v>400238.076</v>
      </c>
      <c r="H78" s="1643"/>
    </row>
    <row r="79" spans="1:79" ht="12.95" customHeight="1" x14ac:dyDescent="0.25">
      <c r="A79" s="242" t="s">
        <v>380</v>
      </c>
      <c r="B79" s="243" t="s">
        <v>363</v>
      </c>
      <c r="C79" s="263">
        <f>'3.1 I&amp;W'!$S$220</f>
        <v>526746</v>
      </c>
      <c r="D79" s="263">
        <f ca="1">'3.2 I&amp;W'!$S$220</f>
        <v>526746</v>
      </c>
      <c r="E79" s="263">
        <f ca="1">'3.3 I&amp;W'!$S$220</f>
        <v>526746</v>
      </c>
      <c r="F79" s="263">
        <f ca="1">'3.4 I&amp;W'!$S$220</f>
        <v>526746</v>
      </c>
      <c r="G79" s="263">
        <f ca="1">'3.5 I&amp;W'!$S$220</f>
        <v>526746</v>
      </c>
      <c r="H79" s="1643"/>
    </row>
    <row r="80" spans="1:79" ht="12.95" customHeight="1" thickBot="1" x14ac:dyDescent="0.3">
      <c r="A80" s="242" t="s">
        <v>388</v>
      </c>
      <c r="B80" s="243" t="s">
        <v>363</v>
      </c>
      <c r="C80" s="264">
        <f>SUM('3.1 I&amp;W'!$S$26,'3.1 I&amp;W'!$S$31,'3.1 I&amp;W'!$S$204,'3.1 I&amp;W'!$S$215,'3.1 I&amp;W'!$S$231,'3.1 I&amp;W'!$S$243)</f>
        <v>2525419.8119999999</v>
      </c>
      <c r="D80" s="264">
        <f ca="1">SUM('3.2 I&amp;W'!$S$26,'3.2 I&amp;W'!$S$31,'3.2 I&amp;W'!$S$204,'3.2 I&amp;W'!$S$215,'3.2 I&amp;W'!$S$231,'3.2 I&amp;W'!$S$243)</f>
        <v>2525419.8119999999</v>
      </c>
      <c r="E80" s="264">
        <f ca="1">SUM('3.3 I&amp;W'!$S$26,'3.3 I&amp;W'!$S$31,'3.3 I&amp;W'!$S$204,'3.3 I&amp;W'!$S$215,'3.3 I&amp;W'!$S$231,'3.3 I&amp;W'!$S$243)</f>
        <v>2525419.8119999999</v>
      </c>
      <c r="F80" s="264">
        <f ca="1">SUM('3.4 I&amp;W'!$S$26,'3.4 I&amp;W'!$S$31,'3.4 I&amp;W'!$S$204,'3.4 I&amp;W'!$S$215,'3.4 I&amp;W'!$S$231,'3.4 I&amp;W'!$S$243)</f>
        <v>2531355.2159999995</v>
      </c>
      <c r="G80" s="264">
        <f ca="1">SUM('3.5 I&amp;W'!$S$26,'3.5 I&amp;W'!$S$31,'3.5 I&amp;W'!$S$204,'3.5 I&amp;W'!$S$215,'3.5 I&amp;W'!$S$231,'3.5 I&amp;W'!$S$243)</f>
        <v>2531355.2159999995</v>
      </c>
      <c r="H80" s="1643"/>
    </row>
    <row r="81" spans="1:78" ht="12.95" customHeight="1" thickBot="1" x14ac:dyDescent="0.3">
      <c r="A81" s="240" t="s">
        <v>369</v>
      </c>
      <c r="B81" s="241" t="s">
        <v>363</v>
      </c>
      <c r="C81" s="265">
        <f>SUM(C77:C80)</f>
        <v>4009401.3839999996</v>
      </c>
      <c r="D81" s="265">
        <f ca="1">SUM(D77:D80)</f>
        <v>4024329.4919999996</v>
      </c>
      <c r="E81" s="266">
        <f ca="1">SUM(E77:E80)</f>
        <v>4072142.2919999999</v>
      </c>
      <c r="F81" s="266">
        <f ca="1">SUM(F77:F80)</f>
        <v>4171417.2959999992</v>
      </c>
      <c r="G81" s="266">
        <f ca="1">SUM(G77:G80)</f>
        <v>4210862.4959999993</v>
      </c>
      <c r="H81" s="1644"/>
    </row>
    <row r="82" spans="1:78" ht="12.95" customHeight="1" x14ac:dyDescent="0.25">
      <c r="A82" s="252"/>
      <c r="B82" s="245"/>
      <c r="C82" s="246"/>
      <c r="D82" s="246"/>
      <c r="E82" s="247"/>
      <c r="F82" s="247"/>
      <c r="G82" s="247"/>
      <c r="H82" s="255"/>
      <c r="BZ82" s="300">
        <f>(IF(OR(AD107=0,AD107="keine"),0,'2. Energie KW.'!J160)+AE106)*-1</f>
        <v>-12067</v>
      </c>
    </row>
    <row r="83" spans="1:78" ht="12.95" customHeight="1" thickBot="1" x14ac:dyDescent="0.3">
      <c r="A83" s="252"/>
      <c r="B83" s="253"/>
      <c r="C83" s="248" t="str">
        <f>C76</f>
        <v>BTV</v>
      </c>
      <c r="D83" s="248" t="str">
        <f>D76</f>
        <v>PH</v>
      </c>
      <c r="E83" s="248" t="str">
        <f>E76</f>
        <v>PHSol</v>
      </c>
      <c r="F83" s="248" t="str">
        <f>F76</f>
        <v>PHWRGSo</v>
      </c>
      <c r="G83" s="248" t="str">
        <f>G76</f>
        <v>PHWRGSoPV</v>
      </c>
      <c r="H83" s="254"/>
      <c r="BP83" s="300">
        <f ca="1">(IF(OR(Z107=0,Z107="keine"),0,'2. Energie KW.'!J129)+AA106)*-1</f>
        <v>0</v>
      </c>
    </row>
    <row r="84" spans="1:78" ht="12.95" customHeight="1" thickBot="1" x14ac:dyDescent="0.3">
      <c r="A84" s="240" t="s">
        <v>389</v>
      </c>
      <c r="B84" s="249" t="s">
        <v>363</v>
      </c>
      <c r="C84" s="267">
        <f>'3.1 I&amp;W'!$S$254</f>
        <v>0</v>
      </c>
      <c r="D84" s="267">
        <f ca="1">'3.2 I&amp;W'!$S$254</f>
        <v>0</v>
      </c>
      <c r="E84" s="267">
        <f ca="1">'3.3 I&amp;W'!$S$254</f>
        <v>0</v>
      </c>
      <c r="F84" s="267">
        <f ca="1">'3.4 I&amp;W'!$S$254</f>
        <v>0</v>
      </c>
      <c r="G84" s="267">
        <f ca="1">'3.5 I&amp;W'!$S$254</f>
        <v>0</v>
      </c>
      <c r="H84" s="268" t="s">
        <v>384</v>
      </c>
    </row>
    <row r="85" spans="1:78" ht="12.95" customHeight="1" thickBot="1" x14ac:dyDescent="0.3">
      <c r="A85" s="256"/>
      <c r="B85" s="253"/>
      <c r="C85" s="250"/>
      <c r="D85" s="250"/>
      <c r="E85" s="253"/>
      <c r="F85" s="253"/>
      <c r="G85" s="253"/>
      <c r="H85" s="254"/>
      <c r="N85" s="153" t="s">
        <v>104</v>
      </c>
      <c r="O85" s="1456"/>
      <c r="P85" s="1456"/>
      <c r="Q85" s="1456"/>
      <c r="R85" s="153" t="s">
        <v>105</v>
      </c>
      <c r="S85" s="1456"/>
      <c r="T85" s="1456"/>
      <c r="U85" s="1456"/>
      <c r="V85" s="153" t="s">
        <v>106</v>
      </c>
      <c r="W85" s="1456"/>
      <c r="X85" s="1456"/>
      <c r="Y85" s="1456"/>
      <c r="Z85" s="153" t="s">
        <v>107</v>
      </c>
      <c r="AA85" s="1456"/>
      <c r="AB85" s="1456"/>
      <c r="AC85" s="1456"/>
      <c r="AD85" s="153" t="s">
        <v>108</v>
      </c>
      <c r="AE85" s="1456"/>
      <c r="AF85" s="1456"/>
      <c r="AG85" s="1456"/>
    </row>
    <row r="86" spans="1:78" ht="12.95" customHeight="1" thickBot="1" x14ac:dyDescent="0.3">
      <c r="A86" s="252"/>
      <c r="B86" s="253"/>
      <c r="C86" s="248" t="str">
        <f>C83</f>
        <v>BTV</v>
      </c>
      <c r="D86" s="248" t="str">
        <f>D83</f>
        <v>PH</v>
      </c>
      <c r="E86" s="248" t="str">
        <f>E83</f>
        <v>PHSol</v>
      </c>
      <c r="F86" s="248" t="str">
        <f>F83</f>
        <v>PHWRGSo</v>
      </c>
      <c r="G86" s="248" t="str">
        <f>G83</f>
        <v>PHWRGSoPV</v>
      </c>
      <c r="H86" s="254"/>
      <c r="N86" s="145" t="s">
        <v>296</v>
      </c>
      <c r="O86" s="146" t="s">
        <v>166</v>
      </c>
      <c r="P86" s="108" t="s">
        <v>333</v>
      </c>
      <c r="Q86" s="146" t="s">
        <v>120</v>
      </c>
      <c r="R86" s="146" t="s">
        <v>296</v>
      </c>
      <c r="S86" s="146" t="s">
        <v>166</v>
      </c>
      <c r="T86" s="108" t="s">
        <v>333</v>
      </c>
      <c r="U86" s="146" t="s">
        <v>120</v>
      </c>
      <c r="V86" s="146" t="s">
        <v>296</v>
      </c>
      <c r="W86" s="146" t="s">
        <v>166</v>
      </c>
      <c r="X86" s="108" t="s">
        <v>333</v>
      </c>
      <c r="Y86" s="146" t="s">
        <v>120</v>
      </c>
      <c r="Z86" s="146" t="s">
        <v>296</v>
      </c>
      <c r="AA86" s="146" t="s">
        <v>166</v>
      </c>
      <c r="AB86" s="108" t="s">
        <v>333</v>
      </c>
      <c r="AC86" s="146" t="s">
        <v>120</v>
      </c>
      <c r="AD86" s="146" t="s">
        <v>296</v>
      </c>
      <c r="AE86" s="146" t="s">
        <v>166</v>
      </c>
      <c r="AF86" s="108" t="s">
        <v>333</v>
      </c>
      <c r="AG86" s="146" t="s">
        <v>120</v>
      </c>
    </row>
    <row r="87" spans="1:78" ht="12.95" customHeight="1" x14ac:dyDescent="0.25">
      <c r="A87" s="240" t="s">
        <v>382</v>
      </c>
      <c r="B87" s="241" t="s">
        <v>363</v>
      </c>
      <c r="C87" s="334">
        <f ca="1">'3.1 Fi&amp;Fo'!$K$60+C90</f>
        <v>13224.18885744</v>
      </c>
      <c r="D87" s="334">
        <f ca="1">'3.2 Fi&amp;Fo'!$K$60+D90</f>
        <v>11460.111577200001</v>
      </c>
      <c r="E87" s="334">
        <f ca="1">'3.3 Fi&amp;Fo'!$K$60+E90</f>
        <v>8364.2718772799999</v>
      </c>
      <c r="F87" s="334">
        <f ca="1">'3.4 Fi&amp;Fo'!$K$60+F90</f>
        <v>8469.1298366400006</v>
      </c>
      <c r="G87" s="334">
        <f ca="1">'3.5 Fi&amp;Fo'!$K$60+G90</f>
        <v>6310.5798366400004</v>
      </c>
      <c r="H87" s="1642" t="s">
        <v>374</v>
      </c>
      <c r="L87" s="115" t="str">
        <f>'2. Energie KW.'!E15</f>
        <v>Heizung</v>
      </c>
      <c r="M87" s="2"/>
      <c r="N87" s="144" t="str">
        <f>'2. Energie KW.'!F15</f>
        <v>Wärmepumpenstrom</v>
      </c>
      <c r="O87" s="164">
        <f>IF(OR(N87=0,N87="keine"),0,'2. Energie KW.'!J15*$O$108)</f>
        <v>32758.946</v>
      </c>
      <c r="P87" s="123">
        <f>IF(OR(N87=0,N87="keine"),0,VLOOKUP(N87,'1. Projektangaben'!$C$36:$M$43,11,FALSE))</f>
        <v>0</v>
      </c>
      <c r="Q87" s="132">
        <f>P87*O87</f>
        <v>0</v>
      </c>
      <c r="R87" s="132" t="str">
        <f ca="1">'2. Energie KW.'!F46</f>
        <v>Wärmepumpenstrom</v>
      </c>
      <c r="S87" s="164">
        <f ca="1">IF(OR(R87=0,R87="keine"),0,'2. Energie KW.'!J46*$S$108)</f>
        <v>19470.439999999999</v>
      </c>
      <c r="T87" s="123">
        <f ca="1">IF(OR(R87=0,R87="keine"),0,VLOOKUP(R87,'1. Projektangaben'!$C$36:$M$43,11,FALSE))</f>
        <v>0</v>
      </c>
      <c r="U87" s="132">
        <f ca="1">T87*S87</f>
        <v>0</v>
      </c>
      <c r="V87" s="132" t="str">
        <f ca="1">'2. Energie KW.'!F77</f>
        <v>Wärmepumpenstrom</v>
      </c>
      <c r="W87" s="164">
        <f ca="1">IF(OR(V87=0,V87="keine"),0,'2. Energie KW.'!J77*$W$108)</f>
        <v>10346.336000000001</v>
      </c>
      <c r="X87" s="123">
        <f ca="1">IF(OR(V87=0,V87="keine"),0,VLOOKUP(V87,'1. Projektangaben'!$C$36:$M$43,11,FALSE))</f>
        <v>0</v>
      </c>
      <c r="Y87" s="132">
        <f ca="1">X87*W87</f>
        <v>0</v>
      </c>
      <c r="Z87" s="132" t="str">
        <f ca="1">'2. Energie KW.'!F108</f>
        <v>Wärmepumpenstrom</v>
      </c>
      <c r="AA87" s="164">
        <f ca="1">IF(OR(Z87=0,Z87="keine"),0,'2. Energie KW.'!J108*$AA$108)</f>
        <v>8015.5680000000002</v>
      </c>
      <c r="AB87" s="123">
        <f ca="1">IF(OR(Z87=0,Z87="keine"),0,VLOOKUP(Z87,'1. Projektangaben'!$C$36:$M$43,11,FALSE))</f>
        <v>0</v>
      </c>
      <c r="AC87" s="132">
        <f ca="1">AB87*AA87</f>
        <v>0</v>
      </c>
      <c r="AD87" s="132" t="str">
        <f ca="1">'2. Energie KW.'!F139</f>
        <v>Wärmepumpenstrom</v>
      </c>
      <c r="AE87" s="164">
        <f ca="1">IF(OR(AD87=0,AD87="keine"),0,'2. Energie KW.'!J139*$AE$108)</f>
        <v>8015.5680000000002</v>
      </c>
      <c r="AF87" s="123">
        <f ca="1">IF(OR(AD87=0,AD87="keine"),0,VLOOKUP(AD87,'1. Projektangaben'!$C$36:$M$43,11,FALSE))</f>
        <v>0</v>
      </c>
      <c r="AG87" s="132">
        <f ca="1">AF87*AE87</f>
        <v>0</v>
      </c>
    </row>
    <row r="88" spans="1:78" ht="12.95" customHeight="1" thickBot="1" x14ac:dyDescent="0.3">
      <c r="A88" s="242" t="s">
        <v>385</v>
      </c>
      <c r="B88" s="243" t="s">
        <v>363</v>
      </c>
      <c r="C88" s="263">
        <f ca="1">SUM(C17:C18)/-$I$167</f>
        <v>-6362.3</v>
      </c>
      <c r="D88" s="263">
        <f ca="1">SUM(D17:D18)/-$I$167</f>
        <v>-6362.3</v>
      </c>
      <c r="E88" s="263">
        <f ca="1">SUM(E17:E18)/-$I$167</f>
        <v>-6671.2999999999993</v>
      </c>
      <c r="F88" s="263">
        <f ca="1">SUM(F17:F18)/-$I$167</f>
        <v>-7490.3</v>
      </c>
      <c r="G88" s="263">
        <f ca="1">SUM(G17:G18)/-$I$167</f>
        <v>-7919.3</v>
      </c>
      <c r="H88" s="1643"/>
      <c r="L88" s="115" t="str">
        <f>'2. Energie KW.'!E16</f>
        <v>Heizung 2</v>
      </c>
      <c r="M88" s="2"/>
      <c r="N88" s="144">
        <f>'2. Energie KW.'!F16</f>
        <v>0</v>
      </c>
      <c r="O88" s="164">
        <f>IF(OR(N88=0,N88="keine"),0,'2. Energie KW.'!J16*$O$108)</f>
        <v>0</v>
      </c>
      <c r="P88" s="123">
        <f>IF(OR(N88=0,N88="keine"),0,VLOOKUP(N88,'1. Projektangaben'!$C$36:$M$43,11,FALSE))</f>
        <v>0</v>
      </c>
      <c r="Q88" s="132">
        <f>P88*O88</f>
        <v>0</v>
      </c>
      <c r="R88" s="132">
        <f ca="1">'2. Energie KW.'!F47</f>
        <v>0</v>
      </c>
      <c r="S88" s="164">
        <f ca="1">IF(OR(R88=0,R88="keine"),0,'2. Energie KW.'!J47*$S$108)</f>
        <v>0</v>
      </c>
      <c r="T88" s="123">
        <f ca="1">IF(OR(R88=0,R88="keine"),0,VLOOKUP(R88,'1. Projektangaben'!$C$36:$M$43,11,FALSE))</f>
        <v>0</v>
      </c>
      <c r="U88" s="132">
        <f ca="1">T88*S88</f>
        <v>0</v>
      </c>
      <c r="V88" s="132">
        <f ca="1">'2. Energie KW.'!F78</f>
        <v>0</v>
      </c>
      <c r="W88" s="164">
        <f ca="1">IF(OR(V88=0,V88="keine"),0,'2. Energie KW.'!J78*$W$108)</f>
        <v>0</v>
      </c>
      <c r="X88" s="123">
        <f ca="1">IF(OR(V88=0,V88="keine"),0,VLOOKUP(V88,'1. Projektangaben'!$C$36:$M$43,11,FALSE))</f>
        <v>0</v>
      </c>
      <c r="Y88" s="132">
        <f ca="1">X88*W88</f>
        <v>0</v>
      </c>
      <c r="Z88" s="132">
        <f ca="1">'2. Energie KW.'!F109</f>
        <v>0</v>
      </c>
      <c r="AA88" s="164">
        <f ca="1">IF(OR(Z88=0,Z88="keine"),0,'2. Energie KW.'!J109*$AA$108)</f>
        <v>0</v>
      </c>
      <c r="AB88" s="123">
        <f ca="1">IF(OR(Z88=0,Z88="keine"),0,VLOOKUP(Z88,'1. Projektangaben'!$C$36:$M$43,11,FALSE))</f>
        <v>0</v>
      </c>
      <c r="AC88" s="132">
        <f ca="1">AB88*AA88</f>
        <v>0</v>
      </c>
      <c r="AD88" s="132">
        <f ca="1">'2. Energie KW.'!F140</f>
        <v>0</v>
      </c>
      <c r="AE88" s="164">
        <f ca="1">IF(OR(AD88=0,AD88="keine"),0,'2. Energie KW.'!J140*$AE$108)</f>
        <v>0</v>
      </c>
      <c r="AF88" s="123">
        <f ca="1">IF(OR(AD88=0,AD88="keine"),0,VLOOKUP(AD88,'1. Projektangaben'!$C$36:$M$43,11,FALSE))</f>
        <v>0</v>
      </c>
      <c r="AG88" s="132">
        <f ca="1">AF88*AE88</f>
        <v>0</v>
      </c>
    </row>
    <row r="89" spans="1:78" ht="12.95" customHeight="1" thickBot="1" x14ac:dyDescent="0.3">
      <c r="A89" s="240" t="s">
        <v>369</v>
      </c>
      <c r="B89" s="251" t="s">
        <v>363</v>
      </c>
      <c r="C89" s="760">
        <f ca="1">SUM(C87:C88)</f>
        <v>6861.8888574399998</v>
      </c>
      <c r="D89" s="244">
        <f ca="1">SUM(D87:D88)</f>
        <v>5097.811577200001</v>
      </c>
      <c r="E89" s="244">
        <f ca="1">SUM(E87:E88)</f>
        <v>1692.9718772800006</v>
      </c>
      <c r="F89" s="244">
        <f ca="1">SUM(F87:F88)</f>
        <v>978.82983664000039</v>
      </c>
      <c r="G89" s="244">
        <f ca="1">SUM(G87:G88)</f>
        <v>-1608.7201633599998</v>
      </c>
      <c r="H89" s="1644"/>
      <c r="L89" s="115" t="str">
        <f>'2. Energie KW.'!E17</f>
        <v>Warmwasser</v>
      </c>
      <c r="M89" s="2"/>
      <c r="N89" s="144" t="str">
        <f>'2. Energie KW.'!F17</f>
        <v>Wärmepumpenstrom</v>
      </c>
      <c r="O89" s="164">
        <f>IF(OR(N89=0,N89="keine"),0,'2. Energie KW.'!J17*$O$108)</f>
        <v>25764.353999999999</v>
      </c>
      <c r="P89" s="123">
        <f>IF(OR(N89=0,N89="keine"),0,VLOOKUP(N89,'1. Projektangaben'!$C$36:$M$43,11,FALSE))</f>
        <v>0</v>
      </c>
      <c r="Q89" s="132">
        <f>P89*O89</f>
        <v>0</v>
      </c>
      <c r="R89" s="132" t="str">
        <f ca="1">'2. Energie KW.'!F48</f>
        <v>Wärmepumpenstrom</v>
      </c>
      <c r="S89" s="164">
        <f ca="1">IF(OR(R89=0,R89="keine"),0,'2. Energie KW.'!J48*$S$108)</f>
        <v>25084.18</v>
      </c>
      <c r="T89" s="123">
        <f ca="1">IF(OR(R89=0,R89="keine"),0,VLOOKUP(R89,'1. Projektangaben'!$C$36:$M$43,11,FALSE))</f>
        <v>0</v>
      </c>
      <c r="U89" s="132">
        <f ca="1">T89*S89</f>
        <v>0</v>
      </c>
      <c r="V89" s="132" t="str">
        <f ca="1">'2. Energie KW.'!F79</f>
        <v>Wärmepumpenstrom</v>
      </c>
      <c r="W89" s="164">
        <f ca="1">IF(OR(V89=0,V89="keine"),0,'2. Energie KW.'!J79*$W$108)</f>
        <v>8669.32</v>
      </c>
      <c r="X89" s="123">
        <f ca="1">IF(OR(V89=0,V89="keine"),0,VLOOKUP(V89,'1. Projektangaben'!$C$36:$M$43,11,FALSE))</f>
        <v>0</v>
      </c>
      <c r="Y89" s="132">
        <f ca="1">X89*W89</f>
        <v>0</v>
      </c>
      <c r="Z89" s="132" t="str">
        <f ca="1">'2. Energie KW.'!F110</f>
        <v>Wärmepumpenstrom</v>
      </c>
      <c r="AA89" s="164">
        <f ca="1">IF(OR(Z89=0,Z89="keine"),0,'2. Energie KW.'!J110*$AA$108)</f>
        <v>8669.32</v>
      </c>
      <c r="AB89" s="123">
        <f ca="1">IF(OR(Z89=0,Z89="keine"),0,VLOOKUP(Z89,'1. Projektangaben'!$C$36:$M$43,11,FALSE))</f>
        <v>0</v>
      </c>
      <c r="AC89" s="132">
        <f ca="1">AB89*AA89</f>
        <v>0</v>
      </c>
      <c r="AD89" s="132" t="str">
        <f ca="1">'2. Energie KW.'!F141</f>
        <v>Wärmepumpenstrom</v>
      </c>
      <c r="AE89" s="164">
        <f ca="1">IF(OR(AD89=0,AD89="keine"),0,'2. Energie KW.'!J141*$AE$108)</f>
        <v>8669.32</v>
      </c>
      <c r="AF89" s="123">
        <f ca="1">IF(OR(AD89=0,AD89="keine"),0,VLOOKUP(AD89,'1. Projektangaben'!$C$36:$M$43,11,FALSE))</f>
        <v>0</v>
      </c>
      <c r="AG89" s="132">
        <f ca="1">AF89*AE89</f>
        <v>0</v>
      </c>
    </row>
    <row r="90" spans="1:78" ht="12.95" customHeight="1" x14ac:dyDescent="0.25">
      <c r="A90" s="252"/>
      <c r="B90" s="51" t="s">
        <v>416</v>
      </c>
      <c r="C90" s="163">
        <f>$O$132*$G$152</f>
        <v>0</v>
      </c>
      <c r="D90" s="163">
        <f ca="1">$Q$132*$G$152</f>
        <v>0</v>
      </c>
      <c r="E90" s="163">
        <f ca="1">$S$132*$G$152</f>
        <v>0</v>
      </c>
      <c r="F90" s="163">
        <f ca="1">$U$132*$G$152</f>
        <v>0</v>
      </c>
      <c r="G90" s="163">
        <f ca="1">$W$132*$G$152</f>
        <v>0</v>
      </c>
      <c r="H90" s="254"/>
      <c r="L90" s="115" t="str">
        <f>'2. Energie KW.'!E18</f>
        <v>Warmwasser 2</v>
      </c>
      <c r="M90" s="2"/>
      <c r="N90" s="144">
        <f>'2. Energie KW.'!F18</f>
        <v>0</v>
      </c>
      <c r="O90" s="164">
        <f>IF(OR(N90=0,N90="keine"),0,'2. Energie KW.'!J18*$O$108)</f>
        <v>0</v>
      </c>
      <c r="P90" s="123">
        <f>IF(OR(N90=0,N90="keine"),0,VLOOKUP(N90,'1. Projektangaben'!$C$36:$M$43,11,FALSE))</f>
        <v>0</v>
      </c>
      <c r="Q90" s="132">
        <f>P90*O90</f>
        <v>0</v>
      </c>
      <c r="R90" s="132">
        <f ca="1">'2. Energie KW.'!F49</f>
        <v>0</v>
      </c>
      <c r="S90" s="164">
        <f ca="1">IF(OR(R90=0,R90="keine"),0,'2. Energie KW.'!J49*$S$108)</f>
        <v>0</v>
      </c>
      <c r="T90" s="123">
        <f ca="1">IF(OR(R90=0,R90="keine"),0,VLOOKUP(R90,'1. Projektangaben'!$C$36:$M$43,11,FALSE))</f>
        <v>0</v>
      </c>
      <c r="U90" s="132">
        <f ca="1">T90*S90</f>
        <v>0</v>
      </c>
      <c r="V90" s="132">
        <f ca="1">'2. Energie KW.'!F80</f>
        <v>0</v>
      </c>
      <c r="W90" s="164">
        <f ca="1">IF(OR(V90=0,V90="keine"),0,'2. Energie KW.'!J80*$W$108)</f>
        <v>0</v>
      </c>
      <c r="X90" s="123">
        <f ca="1">IF(OR(V90=0,V90="keine"),0,VLOOKUP(V90,'1. Projektangaben'!$C$36:$M$43,11,FALSE))</f>
        <v>0</v>
      </c>
      <c r="Y90" s="132">
        <f ca="1">X90*W90</f>
        <v>0</v>
      </c>
      <c r="Z90" s="132">
        <f ca="1">'2. Energie KW.'!F111</f>
        <v>0</v>
      </c>
      <c r="AA90" s="164">
        <f ca="1">IF(OR(Z90=0,Z90="keine"),0,'2. Energie KW.'!J111*$AA$108)</f>
        <v>0</v>
      </c>
      <c r="AB90" s="123">
        <f ca="1">IF(OR(Z90=0,Z90="keine"),0,VLOOKUP(Z90,'1. Projektangaben'!$C$36:$M$43,11,FALSE))</f>
        <v>0</v>
      </c>
      <c r="AC90" s="132">
        <f ca="1">AB90*AA90</f>
        <v>0</v>
      </c>
      <c r="AD90" s="132">
        <f ca="1">'2. Energie KW.'!F142</f>
        <v>0</v>
      </c>
      <c r="AE90" s="164">
        <f ca="1">IF(OR(AD90=0,AD90="keine"),0,'2. Energie KW.'!J142*$AE$108)</f>
        <v>0</v>
      </c>
      <c r="AF90" s="123">
        <f ca="1">IF(OR(AD90=0,AD90="keine"),0,VLOOKUP(AD90,'1. Projektangaben'!$C$36:$M$43,11,FALSE))</f>
        <v>0</v>
      </c>
      <c r="AG90" s="132">
        <f ca="1">AF90*AE90</f>
        <v>0</v>
      </c>
    </row>
    <row r="91" spans="1:78" ht="12.95" customHeight="1" x14ac:dyDescent="0.25">
      <c r="A91" s="1654" t="s">
        <v>387</v>
      </c>
      <c r="B91" s="1655"/>
      <c r="C91" s="1655"/>
      <c r="D91" s="1655"/>
      <c r="E91" s="1655"/>
      <c r="F91" s="1655"/>
      <c r="G91" s="1655"/>
      <c r="H91" s="1656"/>
      <c r="L91" s="115" t="str">
        <f>'2. Energie KW.'!E19</f>
        <v>Klimatisierung</v>
      </c>
      <c r="M91" s="2"/>
      <c r="N91" s="144">
        <f>'2. Energie KW.'!F19</f>
        <v>0</v>
      </c>
      <c r="O91" s="164">
        <f>IF(OR(N91=0,N91="keine"),0,'2. Energie KW.'!J19*$O$108)</f>
        <v>0</v>
      </c>
      <c r="P91" s="123">
        <f>IF(OR(N91=0,N91="keine"),0,VLOOKUP(N91,'1. Projektangaben'!$C$36:$M$43,11,FALSE))</f>
        <v>0</v>
      </c>
      <c r="Q91" s="132">
        <f>P91*O91</f>
        <v>0</v>
      </c>
      <c r="R91" s="132">
        <f ca="1">'2. Energie KW.'!F50</f>
        <v>0</v>
      </c>
      <c r="S91" s="164">
        <f ca="1">IF(OR(R91=0,R91="keine"),0,'2. Energie KW.'!J50*$S$108)</f>
        <v>0</v>
      </c>
      <c r="T91" s="123">
        <f ca="1">IF(OR(R91=0,R91="keine"),0,VLOOKUP(R91,'1. Projektangaben'!$C$36:$M$43,11,FALSE))</f>
        <v>0</v>
      </c>
      <c r="U91" s="132">
        <f ca="1">T91*S91</f>
        <v>0</v>
      </c>
      <c r="V91" s="132">
        <f ca="1">'2. Energie KW.'!F81</f>
        <v>0</v>
      </c>
      <c r="W91" s="164">
        <f ca="1">IF(OR(V91=0,V91="keine"),0,'2. Energie KW.'!J81*$W$108)</f>
        <v>0</v>
      </c>
      <c r="X91" s="123">
        <f ca="1">IF(OR(V91=0,V91="keine"),0,VLOOKUP(V91,'1. Projektangaben'!$C$36:$M$43,11,FALSE))</f>
        <v>0</v>
      </c>
      <c r="Y91" s="132">
        <f ca="1">X91*W91</f>
        <v>0</v>
      </c>
      <c r="Z91" s="132">
        <f ca="1">'2. Energie KW.'!F112</f>
        <v>0</v>
      </c>
      <c r="AA91" s="164">
        <f ca="1">IF(OR(Z91=0,Z91="keine"),0,'2. Energie KW.'!J112*$AA$108)</f>
        <v>0</v>
      </c>
      <c r="AB91" s="123">
        <f ca="1">IF(OR(Z91=0,Z91="keine"),0,VLOOKUP(Z91,'1. Projektangaben'!$C$36:$M$43,11,FALSE))</f>
        <v>0</v>
      </c>
      <c r="AC91" s="132">
        <f ca="1">AB91*AA91</f>
        <v>0</v>
      </c>
      <c r="AD91" s="132">
        <f ca="1">'2. Energie KW.'!F143</f>
        <v>0</v>
      </c>
      <c r="AE91" s="164">
        <f ca="1">IF(OR(AD91=0,AD91="keine"),0,'2. Energie KW.'!J143*$AE$108)</f>
        <v>0</v>
      </c>
      <c r="AF91" s="123">
        <f ca="1">IF(OR(AD91=0,AD91="keine"),0,VLOOKUP(AD91,'1. Projektangaben'!$C$36:$M$43,11,FALSE))</f>
        <v>0</v>
      </c>
      <c r="AG91" s="132">
        <f ca="1">AF91*AE91</f>
        <v>0</v>
      </c>
    </row>
    <row r="92" spans="1:78" ht="12.95" customHeight="1" thickBot="1" x14ac:dyDescent="0.3">
      <c r="A92" s="257"/>
      <c r="B92" s="258"/>
      <c r="C92" s="219"/>
      <c r="D92" s="258"/>
      <c r="E92" s="258"/>
      <c r="F92" s="258"/>
      <c r="G92" s="258"/>
      <c r="H92" s="259"/>
      <c r="L92" s="115"/>
      <c r="M92" s="2"/>
      <c r="N92" s="144"/>
      <c r="O92" s="164"/>
      <c r="P92" s="761"/>
      <c r="Q92" s="132"/>
      <c r="R92" s="132"/>
      <c r="S92" s="164"/>
      <c r="T92" s="123"/>
      <c r="U92" s="132"/>
      <c r="V92" s="132"/>
      <c r="W92" s="164"/>
      <c r="X92" s="123"/>
      <c r="Y92" s="132"/>
      <c r="Z92" s="132"/>
      <c r="AA92" s="164"/>
      <c r="AB92" s="123">
        <f>IF(OR(Z92=0,Z92="keine"),0,VLOOKUP(Z92,'1. Projektangaben'!$C$36:$M$43,11,FALSE))</f>
        <v>0</v>
      </c>
      <c r="AC92" s="132"/>
      <c r="AD92" s="132"/>
      <c r="AE92" s="164"/>
      <c r="AF92" s="123">
        <f>IF(OR(AD92=0,AD92="keine"),0,VLOOKUP(AD92,'1. Projektangaben'!$C$36:$M$43,11,FALSE))</f>
        <v>0</v>
      </c>
      <c r="AG92" s="132"/>
    </row>
    <row r="93" spans="1:78" ht="12.95" customHeight="1" x14ac:dyDescent="0.25">
      <c r="A93" s="295" t="s">
        <v>163</v>
      </c>
      <c r="B93" s="286"/>
      <c r="C93" s="286">
        <f>IF(C$97=$C$76,$C72,IF(C$97=$D$76,$D72,IF(C$97=$E$76,$E72,IF(C$97=$F$76,$F72,$G72))))</f>
        <v>1410.2</v>
      </c>
      <c r="D93" s="286">
        <f t="shared" ref="C93:G96" si="35">IF(D$97=$C$76,$C72,IF(D$97=$D$76,$D72,IF(D$97=$E$76,$E72,IF(D$97=$F$76,$F72,$G72))))</f>
        <v>1421.2</v>
      </c>
      <c r="E93" s="286">
        <f t="shared" si="35"/>
        <v>1421.2</v>
      </c>
      <c r="F93" s="286">
        <f t="shared" si="35"/>
        <v>1421.2</v>
      </c>
      <c r="G93" s="286">
        <f t="shared" si="35"/>
        <v>1421.2</v>
      </c>
      <c r="H93" s="288"/>
      <c r="L93" s="115" t="str">
        <f>'2. Energie KW.'!E20</f>
        <v>Kühlung</v>
      </c>
      <c r="M93" s="2"/>
      <c r="N93" s="144">
        <f>'2. Energie KW.'!F20</f>
        <v>0</v>
      </c>
      <c r="O93" s="164">
        <f>IF(OR(N93=0,N93="keine"),0,'2. Energie KW.'!J20*$O$108)</f>
        <v>0</v>
      </c>
      <c r="P93" s="123">
        <f>IF(OR(N93=0,N93="keine"),0,VLOOKUP(N93,'1. Projektangaben'!$C$36:$M$43,11,FALSE))</f>
        <v>0</v>
      </c>
      <c r="Q93" s="132">
        <f t="shared" ref="Q93:Q107" si="36">P93*O93</f>
        <v>0</v>
      </c>
      <c r="R93" s="132">
        <f ca="1">'2. Energie KW.'!F51</f>
        <v>0</v>
      </c>
      <c r="S93" s="164">
        <f ca="1">IF(OR(R93=0,R93="keine"),0,'2. Energie KW.'!J51*$S$108)</f>
        <v>0</v>
      </c>
      <c r="T93" s="123">
        <f ca="1">IF(OR(R93=0,R93="keine"),0,VLOOKUP(R93,'1. Projektangaben'!$C$36:$M$43,11,FALSE))</f>
        <v>0</v>
      </c>
      <c r="U93" s="132">
        <f t="shared" ref="U93:U107" ca="1" si="37">T93*S93</f>
        <v>0</v>
      </c>
      <c r="V93" s="132">
        <f ca="1">'2. Energie KW.'!F82</f>
        <v>0</v>
      </c>
      <c r="W93" s="164">
        <f ca="1">IF(OR(V93=0,V93="keine"),0,'2. Energie KW.'!J82*$W$108)</f>
        <v>0</v>
      </c>
      <c r="X93" s="123">
        <f ca="1">IF(OR(V93=0,V93="keine"),0,VLOOKUP(V93,'1. Projektangaben'!$C$36:$M$43,11,FALSE))</f>
        <v>0</v>
      </c>
      <c r="Y93" s="132">
        <f t="shared" ref="Y93:Y107" ca="1" si="38">X93*W93</f>
        <v>0</v>
      </c>
      <c r="Z93" s="132">
        <f ca="1">'2. Energie KW.'!F113</f>
        <v>0</v>
      </c>
      <c r="AA93" s="164">
        <f ca="1">IF(OR(Z93=0,Z93="keine"),0,'2. Energie KW.'!J113*$AA$108)</f>
        <v>0</v>
      </c>
      <c r="AB93" s="123">
        <f ca="1">IF(OR(Z93=0,Z93="keine"),0,VLOOKUP(Z93,'1. Projektangaben'!$C$36:$M$43,11,FALSE))</f>
        <v>0</v>
      </c>
      <c r="AC93" s="132">
        <f t="shared" ref="AC93:AC107" ca="1" si="39">AB93*AA93</f>
        <v>0</v>
      </c>
      <c r="AD93" s="132">
        <f ca="1">'2. Energie KW.'!F144</f>
        <v>0</v>
      </c>
      <c r="AE93" s="164">
        <f ca="1">IF(OR(AD93=0,AD93="keine"),0,'2. Energie KW.'!J144*$AE$108)</f>
        <v>0</v>
      </c>
      <c r="AF93" s="123">
        <f ca="1">IF(OR(AD93=0,AD93="keine"),0,VLOOKUP(AD93,'1. Projektangaben'!$C$36:$M$43,11,FALSE))</f>
        <v>0</v>
      </c>
      <c r="AG93" s="132">
        <f t="shared" ref="AG93:AG107" ca="1" si="40">AF93*AE93</f>
        <v>0</v>
      </c>
    </row>
    <row r="94" spans="1:78" ht="12.95" customHeight="1" x14ac:dyDescent="0.25">
      <c r="A94" s="289" t="s">
        <v>392</v>
      </c>
      <c r="B94" s="284"/>
      <c r="C94" s="284">
        <f t="shared" si="35"/>
        <v>23.23</v>
      </c>
      <c r="D94" s="284">
        <f t="shared" si="35"/>
        <v>13.7</v>
      </c>
      <c r="E94" s="284">
        <f t="shared" si="35"/>
        <v>7.28</v>
      </c>
      <c r="F94" s="284">
        <f t="shared" si="35"/>
        <v>5.64</v>
      </c>
      <c r="G94" s="284">
        <f t="shared" ca="1" si="35"/>
        <v>5.64</v>
      </c>
      <c r="H94" s="290"/>
      <c r="L94" s="115" t="str">
        <f>'2. Energie KW.'!E21</f>
        <v>Hilfstrom Heizung</v>
      </c>
      <c r="M94" s="2"/>
      <c r="N94" s="144" t="str">
        <f>'2. Energie KW.'!F21</f>
        <v>Strom</v>
      </c>
      <c r="O94" s="164">
        <f>IF(OR(N94=0,N94="keine"),0,'2. Energie KW.'!J21*$O$108)</f>
        <v>1353.7919999999999</v>
      </c>
      <c r="P94" s="123">
        <f>IF(OR(N94=0,N94="keine"),0,VLOOKUP(N94,'1. Projektangaben'!$C$36:$M$43,11,FALSE))</f>
        <v>0</v>
      </c>
      <c r="Q94" s="132">
        <f t="shared" si="36"/>
        <v>0</v>
      </c>
      <c r="R94" s="132" t="str">
        <f>'2. Energie KW.'!F52</f>
        <v>Strom</v>
      </c>
      <c r="S94" s="164">
        <f>IF(OR(R94=0,R94="keine"),0,'2. Energie KW.'!J52*$S$108)</f>
        <v>1208.02</v>
      </c>
      <c r="T94" s="123">
        <f>IF(OR(R94=0,R94="keine"),0,VLOOKUP(R94,'1. Projektangaben'!$C$36:$M$43,11,FALSE))</f>
        <v>0</v>
      </c>
      <c r="U94" s="132">
        <f t="shared" si="37"/>
        <v>0</v>
      </c>
      <c r="V94" s="132" t="str">
        <f>'2. Energie KW.'!F83</f>
        <v>Strom</v>
      </c>
      <c r="W94" s="164">
        <f>IF(OR(V94=0,V94="keine"),0,'2. Energie KW.'!J83*$W$108)</f>
        <v>1108.5360000000001</v>
      </c>
      <c r="X94" s="123">
        <f>IF(OR(V94=0,V94="keine"),0,VLOOKUP(V94,'1. Projektangaben'!$C$36:$M$43,11,FALSE))</f>
        <v>0</v>
      </c>
      <c r="Y94" s="132">
        <f t="shared" si="38"/>
        <v>0</v>
      </c>
      <c r="Z94" s="132" t="str">
        <f>'2. Energie KW.'!F114</f>
        <v>Strom</v>
      </c>
      <c r="AA94" s="164">
        <f>IF(OR(Z94=0,Z94="keine"),0,'2. Energie KW.'!J114*$AA$108)</f>
        <v>1051.6880000000001</v>
      </c>
      <c r="AB94" s="123">
        <f>IF(OR(Z94=0,Z94="keine"),0,VLOOKUP(Z94,'1. Projektangaben'!$C$36:$M$43,11,FALSE))</f>
        <v>0</v>
      </c>
      <c r="AC94" s="132">
        <f t="shared" si="39"/>
        <v>0</v>
      </c>
      <c r="AD94" s="132" t="str">
        <f>'2. Energie KW.'!F145</f>
        <v>Strom</v>
      </c>
      <c r="AE94" s="164">
        <f ca="1">IF(OR(AD94=0,AD94="keine"),0,'2. Energie KW.'!J145*$AE$108)</f>
        <v>1051.6880000000001</v>
      </c>
      <c r="AF94" s="123">
        <f>IF(OR(AD94=0,AD94="keine"),0,VLOOKUP(AD94,'1. Projektangaben'!$C$36:$M$43,11,FALSE))</f>
        <v>0</v>
      </c>
      <c r="AG94" s="132">
        <f t="shared" ca="1" si="40"/>
        <v>0</v>
      </c>
    </row>
    <row r="95" spans="1:78" ht="12.95" customHeight="1" x14ac:dyDescent="0.25">
      <c r="A95" s="289" t="s">
        <v>393</v>
      </c>
      <c r="B95" s="284"/>
      <c r="C95" s="284" t="str">
        <f t="shared" si="35"/>
        <v>Wärmepumpenstrom</v>
      </c>
      <c r="D95" s="284" t="str">
        <f t="shared" ca="1" si="35"/>
        <v>Wärmepumpenstrom</v>
      </c>
      <c r="E95" s="284" t="str">
        <f t="shared" ca="1" si="35"/>
        <v>Wärmepumpenstrom</v>
      </c>
      <c r="F95" s="284" t="str">
        <f t="shared" ca="1" si="35"/>
        <v>Wärmepumpenstrom</v>
      </c>
      <c r="G95" s="284" t="str">
        <f t="shared" ca="1" si="35"/>
        <v>Wärmepumpenstrom</v>
      </c>
      <c r="H95" s="290"/>
      <c r="L95" s="115" t="str">
        <f>'2. Energie KW.'!E22</f>
        <v>Hilfsstrom Warmwasser</v>
      </c>
      <c r="M95" s="2"/>
      <c r="N95" s="144" t="str">
        <f>'2. Energie KW.'!F22</f>
        <v>Strom</v>
      </c>
      <c r="O95" s="164">
        <f>IF(OR(N95=0,N95="keine"),0,'2. Energie KW.'!J22*$O$108)</f>
        <v>705.1</v>
      </c>
      <c r="P95" s="123">
        <f>IF(OR(N95=0,N95="keine"),0,VLOOKUP(N95,'1. Projektangaben'!$C$36:$M$43,11,FALSE))</f>
        <v>0</v>
      </c>
      <c r="Q95" s="132">
        <f t="shared" si="36"/>
        <v>0</v>
      </c>
      <c r="R95" s="132" t="str">
        <f>'2. Energie KW.'!F53</f>
        <v>Strom</v>
      </c>
      <c r="S95" s="164">
        <f ca="1">IF(OR(R95=0,R95="keine"),0,'2. Energie KW.'!J53*$S$108)</f>
        <v>710.6</v>
      </c>
      <c r="T95" s="123">
        <f>IF(OR(R95=0,R95="keine"),0,VLOOKUP(R95,'1. Projektangaben'!$C$36:$M$43,11,FALSE))</f>
        <v>0</v>
      </c>
      <c r="U95" s="132">
        <f t="shared" ca="1" si="37"/>
        <v>0</v>
      </c>
      <c r="V95" s="132" t="str">
        <f>'2. Energie KW.'!F84</f>
        <v>Strom</v>
      </c>
      <c r="W95" s="164">
        <f>IF(OR(V95=0,V95="keine"),0,'2. Energie KW.'!J84*$W$108)</f>
        <v>710.6</v>
      </c>
      <c r="X95" s="123">
        <f>IF(OR(V95=0,V95="keine"),0,VLOOKUP(V95,'1. Projektangaben'!$C$36:$M$43,11,FALSE))</f>
        <v>0</v>
      </c>
      <c r="Y95" s="132">
        <f t="shared" si="38"/>
        <v>0</v>
      </c>
      <c r="Z95" s="132" t="str">
        <f>'2. Energie KW.'!F115</f>
        <v>Strom</v>
      </c>
      <c r="AA95" s="164">
        <f>IF(OR(Z95=0,Z95="keine"),0,'2. Energie KW.'!J115*$AA$108)</f>
        <v>710.6</v>
      </c>
      <c r="AB95" s="123">
        <f>IF(OR(Z95=0,Z95="keine"),0,VLOOKUP(Z95,'1. Projektangaben'!$C$36:$M$43,11,FALSE))</f>
        <v>0</v>
      </c>
      <c r="AC95" s="132">
        <f t="shared" si="39"/>
        <v>0</v>
      </c>
      <c r="AD95" s="132" t="str">
        <f>'2. Energie KW.'!F146</f>
        <v>Strom</v>
      </c>
      <c r="AE95" s="164">
        <f ca="1">IF(OR(AD95=0,AD95="keine"),0,'2. Energie KW.'!J146*$AE$108)</f>
        <v>710.6</v>
      </c>
      <c r="AF95" s="123">
        <f>IF(OR(AD95=0,AD95="keine"),0,VLOOKUP(AD95,'1. Projektangaben'!$C$36:$M$43,11,FALSE))</f>
        <v>0</v>
      </c>
      <c r="AG95" s="132">
        <f t="shared" ca="1" si="40"/>
        <v>0</v>
      </c>
    </row>
    <row r="96" spans="1:78" ht="12.95" customHeight="1" thickBot="1" x14ac:dyDescent="0.3">
      <c r="A96" s="291" t="s">
        <v>394</v>
      </c>
      <c r="B96" s="293"/>
      <c r="C96" s="293">
        <f t="shared" si="35"/>
        <v>0.12156</v>
      </c>
      <c r="D96" s="293">
        <f t="shared" ca="1" si="35"/>
        <v>0.12156</v>
      </c>
      <c r="E96" s="293">
        <f t="shared" ca="1" si="35"/>
        <v>0.12156</v>
      </c>
      <c r="F96" s="293">
        <f t="shared" ca="1" si="35"/>
        <v>0.12156</v>
      </c>
      <c r="G96" s="293">
        <f t="shared" ca="1" si="35"/>
        <v>0.12156</v>
      </c>
      <c r="H96" s="294"/>
      <c r="L96" s="115" t="str">
        <f>'2. Energie KW.'!E23</f>
        <v>Hilfsstrom Solaranlage</v>
      </c>
      <c r="M96" s="2"/>
      <c r="N96" s="144" t="str">
        <f>'2. Energie KW.'!F23</f>
        <v>Strom</v>
      </c>
      <c r="O96" s="164">
        <f>IF(OR(N96=0,N96="keine"),0,'2. Energie KW.'!J23*$O$108)</f>
        <v>0</v>
      </c>
      <c r="P96" s="123">
        <f>IF(OR(N96=0,N96="keine"),0,VLOOKUP(N96,'1. Projektangaben'!$C$36:$M$43,11,FALSE))</f>
        <v>0</v>
      </c>
      <c r="Q96" s="132">
        <f t="shared" si="36"/>
        <v>0</v>
      </c>
      <c r="R96" s="132" t="str">
        <f>'2. Energie KW.'!F54</f>
        <v>Strom</v>
      </c>
      <c r="S96" s="164">
        <f ca="1">IF(OR(R96=0,R96="keine"),0,'2. Energie KW.'!J54*$S$108)</f>
        <v>0</v>
      </c>
      <c r="T96" s="123">
        <f>IF(OR(R96=0,R96="keine"),0,VLOOKUP(R96,'1. Projektangaben'!$C$36:$M$43,11,FALSE))</f>
        <v>0</v>
      </c>
      <c r="U96" s="132">
        <f t="shared" ca="1" si="37"/>
        <v>0</v>
      </c>
      <c r="V96" s="132" t="str">
        <f>'2. Energie KW.'!F85</f>
        <v>Strom</v>
      </c>
      <c r="W96" s="164">
        <f ca="1">IF(OR(V96=0,V96="keine"),0,'2. Energie KW.'!J85*$W$108)</f>
        <v>0</v>
      </c>
      <c r="X96" s="123">
        <f>IF(OR(V96=0,V96="keine"),0,VLOOKUP(V96,'1. Projektangaben'!$C$36:$M$43,11,FALSE))</f>
        <v>0</v>
      </c>
      <c r="Y96" s="132">
        <f t="shared" ca="1" si="38"/>
        <v>0</v>
      </c>
      <c r="Z96" s="132" t="str">
        <f>'2. Energie KW.'!F116</f>
        <v>Strom</v>
      </c>
      <c r="AA96" s="164">
        <f ca="1">IF(OR(Z96=0,Z96="keine"),0,'2. Energie KW.'!J116*$AA$108)</f>
        <v>0</v>
      </c>
      <c r="AB96" s="123">
        <f>IF(OR(Z96=0,Z96="keine"),0,VLOOKUP(Z96,'1. Projektangaben'!$C$36:$M$43,11,FALSE))</f>
        <v>0</v>
      </c>
      <c r="AC96" s="132">
        <f t="shared" ca="1" si="39"/>
        <v>0</v>
      </c>
      <c r="AD96" s="132" t="str">
        <f>'2. Energie KW.'!F147</f>
        <v>Strom</v>
      </c>
      <c r="AE96" s="164">
        <f ca="1">IF(OR(AD96=0,AD96="keine"),0,'2. Energie KW.'!J147*$AE$108)</f>
        <v>0</v>
      </c>
      <c r="AF96" s="123">
        <f>IF(OR(AD96=0,AD96="keine"),0,VLOOKUP(AD96,'1. Projektangaben'!$C$36:$M$43,11,FALSE))</f>
        <v>0</v>
      </c>
      <c r="AG96" s="132">
        <f t="shared" ca="1" si="40"/>
        <v>0</v>
      </c>
    </row>
    <row r="97" spans="1:66" ht="12.95" customHeight="1" thickBot="1" x14ac:dyDescent="0.3">
      <c r="A97" s="257"/>
      <c r="B97" s="258"/>
      <c r="C97" s="220" t="str">
        <f>C28</f>
        <v>BTV</v>
      </c>
      <c r="D97" s="220" t="str">
        <f>D28</f>
        <v>PH</v>
      </c>
      <c r="E97" s="220" t="str">
        <f>E28</f>
        <v>PHSol</v>
      </c>
      <c r="F97" s="220" t="str">
        <f>F28</f>
        <v>PHWRGSo</v>
      </c>
      <c r="G97" s="220" t="str">
        <f>G28</f>
        <v>PHWRGSoPV</v>
      </c>
      <c r="H97" s="259"/>
      <c r="L97" s="115" t="str">
        <f>'2. Energie KW.'!E24</f>
        <v>Hilfsstrom Klimatisierung</v>
      </c>
      <c r="M97" s="2"/>
      <c r="N97" s="144" t="str">
        <f>'2. Energie KW.'!F24</f>
        <v>Strom</v>
      </c>
      <c r="O97" s="164">
        <f>IF(OR(N97=0,N97="keine"),0,'2. Energie KW.'!J24*$O$108)</f>
        <v>0</v>
      </c>
      <c r="P97" s="123">
        <f>IF(OR(N97=0,N97="keine"),0,VLOOKUP(N97,'1. Projektangaben'!$C$36:$M$43,11,FALSE))</f>
        <v>0</v>
      </c>
      <c r="Q97" s="132">
        <f t="shared" si="36"/>
        <v>0</v>
      </c>
      <c r="R97" s="132" t="str">
        <f>'2. Energie KW.'!F55</f>
        <v>Strom</v>
      </c>
      <c r="S97" s="164">
        <f ca="1">IF(OR(R97=0,R97="keine"),0,'2. Energie KW.'!J55*$S$108)</f>
        <v>0</v>
      </c>
      <c r="T97" s="123">
        <f>IF(OR(R97=0,R97="keine"),0,VLOOKUP(R97,'1. Projektangaben'!$C$36:$M$43,11,FALSE))</f>
        <v>0</v>
      </c>
      <c r="U97" s="132">
        <f t="shared" ca="1" si="37"/>
        <v>0</v>
      </c>
      <c r="V97" s="132" t="str">
        <f>'2. Energie KW.'!F86</f>
        <v>Strom</v>
      </c>
      <c r="W97" s="164">
        <f ca="1">IF(OR(V97=0,V97="keine"),0,'2. Energie KW.'!J86*$W$108)</f>
        <v>0</v>
      </c>
      <c r="X97" s="123">
        <f>IF(OR(V97=0,V97="keine"),0,VLOOKUP(V97,'1. Projektangaben'!$C$36:$M$43,11,FALSE))</f>
        <v>0</v>
      </c>
      <c r="Y97" s="132">
        <f t="shared" ca="1" si="38"/>
        <v>0</v>
      </c>
      <c r="Z97" s="132" t="str">
        <f>'2. Energie KW.'!F117</f>
        <v>Strom</v>
      </c>
      <c r="AA97" s="164">
        <f ca="1">IF(OR(Z97=0,Z97="keine"),0,'2. Energie KW.'!J117*$AA$108)</f>
        <v>0</v>
      </c>
      <c r="AB97" s="123">
        <f>IF(OR(Z97=0,Z97="keine"),0,VLOOKUP(Z97,'1. Projektangaben'!$C$36:$M$43,11,FALSE))</f>
        <v>0</v>
      </c>
      <c r="AC97" s="132">
        <f t="shared" ca="1" si="39"/>
        <v>0</v>
      </c>
      <c r="AD97" s="132" t="str">
        <f>'2. Energie KW.'!F148</f>
        <v>Strom</v>
      </c>
      <c r="AE97" s="164">
        <f ca="1">IF(OR(AD97=0,AD97="keine"),0,'2. Energie KW.'!J148*$AE$108)</f>
        <v>0</v>
      </c>
      <c r="AF97" s="123">
        <f>IF(OR(AD97=0,AD97="keine"),0,VLOOKUP(AD97,'1. Projektangaben'!$C$36:$M$43,11,FALSE))</f>
        <v>0</v>
      </c>
      <c r="AG97" s="132">
        <f t="shared" ca="1" si="40"/>
        <v>0</v>
      </c>
    </row>
    <row r="98" spans="1:66" ht="12.95" customHeight="1" x14ac:dyDescent="0.25">
      <c r="A98" s="221" t="s">
        <v>379</v>
      </c>
      <c r="B98" s="222" t="s">
        <v>363</v>
      </c>
      <c r="C98" s="270">
        <f>IF(C$97=$C$76,$C77,IF(C$97=$D$76,$D77,IF(C$97=$E$76,$E77,IF(C$97=$F$76,$F77,$G77))))</f>
        <v>712336.29599999997</v>
      </c>
      <c r="D98" s="270">
        <f ca="1">IF(D$97=$C$76,$C77,IF(D$97=$D$76,$D77,IF(D$97=$E$76,$E77,IF(D$97=$F$76,$F77,$G77))))</f>
        <v>752523.20399999991</v>
      </c>
      <c r="E98" s="270">
        <f ca="1">IF(E$97=$C$76,$C77,IF(E$97=$D$76,$D77,IF(E$97=$E$76,$E77,IF(E$97=$F$76,$F77,$G77))))</f>
        <v>752523.20399999991</v>
      </c>
      <c r="F98" s="270">
        <f ca="1">IF(F$97=$C$76,$C77,IF(F$97=$D$76,$D77,IF(F$97=$E$76,$E77,IF(F$97=$F$76,$F77,$G77))))</f>
        <v>752523.20399999991</v>
      </c>
      <c r="G98" s="270">
        <f ca="1">IF(G$97=$C$76,$C77,IF(G$97=$D$76,$D77,IF(G$97=$E$76,$E77,IF(G$97=$F$76,$F77,$G77))))</f>
        <v>752523.20399999991</v>
      </c>
      <c r="H98" s="1651" t="s">
        <v>373</v>
      </c>
      <c r="L98" s="115" t="str">
        <f>'2. Energie KW.'!E25</f>
        <v>Hilfsstrom Lüftung</v>
      </c>
      <c r="M98" s="2"/>
      <c r="N98" s="144" t="str">
        <f>'2. Energie KW.'!F25</f>
        <v>Strom</v>
      </c>
      <c r="O98" s="164">
        <f>IF(OR(N98=0,N98="keine"),0,'2. Energie KW.'!J25*$O$108)</f>
        <v>1974.28</v>
      </c>
      <c r="P98" s="123">
        <f>IF(OR(N98=0,N98="keine"),0,VLOOKUP(N98,'1. Projektangaben'!$C$36:$M$43,11,FALSE))</f>
        <v>0</v>
      </c>
      <c r="Q98" s="132">
        <f t="shared" si="36"/>
        <v>0</v>
      </c>
      <c r="R98" s="132" t="str">
        <f>'2. Energie KW.'!F56</f>
        <v>Strom</v>
      </c>
      <c r="S98" s="164">
        <f ca="1">IF(OR(R98=0,R98="keine"),0,'2. Energie KW.'!J56*$S$108)</f>
        <v>1989.6799999999998</v>
      </c>
      <c r="T98" s="123">
        <f>IF(OR(R98=0,R98="keine"),0,VLOOKUP(R98,'1. Projektangaben'!$C$36:$M$43,11,FALSE))</f>
        <v>0</v>
      </c>
      <c r="U98" s="132">
        <f t="shared" ca="1" si="37"/>
        <v>0</v>
      </c>
      <c r="V98" s="132" t="str">
        <f>'2. Energie KW.'!F87</f>
        <v>Strom</v>
      </c>
      <c r="W98" s="164">
        <f ca="1">IF(OR(V98=0,V98="keine"),0,'2. Energie KW.'!J87*$W$108)</f>
        <v>1989.6799999999998</v>
      </c>
      <c r="X98" s="123">
        <f>IF(OR(V98=0,V98="keine"),0,VLOOKUP(V98,'1. Projektangaben'!$C$36:$M$43,11,FALSE))</f>
        <v>0</v>
      </c>
      <c r="Y98" s="132">
        <f t="shared" ca="1" si="38"/>
        <v>0</v>
      </c>
      <c r="Z98" s="132" t="str">
        <f>'2. Energie KW.'!F118</f>
        <v>Strom</v>
      </c>
      <c r="AA98" s="164">
        <f>IF(OR(Z98=0,Z98="keine"),0,'2. Energie KW.'!J118*$AA$108)</f>
        <v>4547.84</v>
      </c>
      <c r="AB98" s="123">
        <f>IF(OR(Z98=0,Z98="keine"),0,VLOOKUP(Z98,'1. Projektangaben'!$C$36:$M$43,11,FALSE))</f>
        <v>0</v>
      </c>
      <c r="AC98" s="132">
        <f t="shared" si="39"/>
        <v>0</v>
      </c>
      <c r="AD98" s="132" t="str">
        <f>'2. Energie KW.'!F149</f>
        <v>Strom</v>
      </c>
      <c r="AE98" s="164">
        <f ca="1">IF(OR(AD98=0,AD98="keine"),0,'2. Energie KW.'!J149*$AE$108)</f>
        <v>4547.84</v>
      </c>
      <c r="AF98" s="123">
        <f>IF(OR(AD98=0,AD98="keine"),0,VLOOKUP(AD98,'1. Projektangaben'!$C$36:$M$43,11,FALSE))</f>
        <v>0</v>
      </c>
      <c r="AG98" s="132">
        <f t="shared" ca="1" si="40"/>
        <v>0</v>
      </c>
    </row>
    <row r="99" spans="1:66" ht="12.95" customHeight="1" x14ac:dyDescent="0.25">
      <c r="A99" s="223"/>
      <c r="B99" s="269" t="s">
        <v>377</v>
      </c>
      <c r="C99" s="271">
        <f>C98-$C$98</f>
        <v>0</v>
      </c>
      <c r="D99" s="271">
        <f ca="1">D98-$C$98</f>
        <v>40186.907999999938</v>
      </c>
      <c r="E99" s="271">
        <f ca="1">E98-$C$98</f>
        <v>40186.907999999938</v>
      </c>
      <c r="F99" s="271">
        <f ca="1">F98-$C$98</f>
        <v>40186.907999999938</v>
      </c>
      <c r="G99" s="271">
        <f ca="1">G98-$C$98</f>
        <v>40186.907999999938</v>
      </c>
      <c r="H99" s="1652"/>
      <c r="L99" s="115" t="str">
        <f>'2. Energie KW.'!E26</f>
        <v>Hilfsstrom Kühlung</v>
      </c>
      <c r="M99" s="2"/>
      <c r="N99" s="144" t="str">
        <f>'2. Energie KW.'!F26</f>
        <v>Strom</v>
      </c>
      <c r="O99" s="164">
        <f>IF(OR(N99=0,N99="keine"),0,'2. Energie KW.'!J26*$O$108)</f>
        <v>0</v>
      </c>
      <c r="P99" s="123">
        <f>IF(OR(N99=0,N99="keine"),0,VLOOKUP(N99,'1. Projektangaben'!$C$36:$M$43,11,FALSE))</f>
        <v>0</v>
      </c>
      <c r="Q99" s="132">
        <f t="shared" si="36"/>
        <v>0</v>
      </c>
      <c r="R99" s="132" t="str">
        <f>'2. Energie KW.'!F57</f>
        <v>Strom</v>
      </c>
      <c r="S99" s="164">
        <f ca="1">IF(OR(R99=0,R99="keine"),0,'2. Energie KW.'!J57*$S$108)</f>
        <v>0</v>
      </c>
      <c r="T99" s="123">
        <f>IF(OR(R99=0,R99="keine"),0,VLOOKUP(R99,'1. Projektangaben'!$C$36:$M$43,11,FALSE))</f>
        <v>0</v>
      </c>
      <c r="U99" s="132">
        <f t="shared" ca="1" si="37"/>
        <v>0</v>
      </c>
      <c r="V99" s="132" t="str">
        <f>'2. Energie KW.'!F88</f>
        <v>Strom</v>
      </c>
      <c r="W99" s="164">
        <f ca="1">IF(OR(V99=0,V99="keine"),0,'2. Energie KW.'!J88*$W$108)</f>
        <v>0</v>
      </c>
      <c r="X99" s="123">
        <f>IF(OR(V99=0,V99="keine"),0,VLOOKUP(V99,'1. Projektangaben'!$C$36:$M$43,11,FALSE))</f>
        <v>0</v>
      </c>
      <c r="Y99" s="132">
        <f t="shared" ca="1" si="38"/>
        <v>0</v>
      </c>
      <c r="Z99" s="132" t="str">
        <f>'2. Energie KW.'!F119</f>
        <v>Strom</v>
      </c>
      <c r="AA99" s="164">
        <f ca="1">IF(OR(Z99=0,Z99="keine"),0,'2. Energie KW.'!J119*$AA$108)</f>
        <v>0</v>
      </c>
      <c r="AB99" s="123">
        <f>IF(OR(Z99=0,Z99="keine"),0,VLOOKUP(Z99,'1. Projektangaben'!$C$36:$M$43,11,FALSE))</f>
        <v>0</v>
      </c>
      <c r="AC99" s="132">
        <f t="shared" ca="1" si="39"/>
        <v>0</v>
      </c>
      <c r="AD99" s="132" t="str">
        <f>'2. Energie KW.'!F150</f>
        <v>Strom</v>
      </c>
      <c r="AE99" s="164">
        <f ca="1">IF(OR(AD99=0,AD99="keine"),0,'2. Energie KW.'!J150*$AE$108)</f>
        <v>0</v>
      </c>
      <c r="AF99" s="123">
        <f>IF(OR(AD99=0,AD99="keine"),0,VLOOKUP(AD99,'1. Projektangaben'!$C$36:$M$43,11,FALSE))</f>
        <v>0</v>
      </c>
      <c r="AG99" s="132">
        <f t="shared" ca="1" si="40"/>
        <v>0</v>
      </c>
    </row>
    <row r="100" spans="1:66" ht="12.95" customHeight="1" x14ac:dyDescent="0.25">
      <c r="A100" s="225" t="s">
        <v>381</v>
      </c>
      <c r="B100" s="226" t="s">
        <v>363</v>
      </c>
      <c r="C100" s="271">
        <f>IF(C$97=$C$76,$C78,IF(C$97=$D$76,$D78,IF(C$97=$E$76,$E78,IF(C$97=$F$76,$F78,$G78))))</f>
        <v>244899.27599999998</v>
      </c>
      <c r="D100" s="271">
        <f ca="1">IF(D$97=$C$76,$C78,IF(D$97=$D$76,$D78,IF(D$97=$E$76,$E78,IF(D$97=$F$76,$F78,$G78))))</f>
        <v>219640.476</v>
      </c>
      <c r="E100" s="271">
        <f ca="1">IF(E$97=$C$76,$C78,IF(E$97=$D$76,$D78,IF(E$97=$E$76,$E78,IF(E$97=$F$76,$F78,$G78))))</f>
        <v>267453.27600000001</v>
      </c>
      <c r="F100" s="271">
        <f ca="1">IF(F$97=$C$76,$C78,IF(F$97=$D$76,$D78,IF(F$97=$E$76,$E78,IF(F$97=$F$76,$F78,$G78))))</f>
        <v>360792.87599999999</v>
      </c>
      <c r="G100" s="272">
        <f ca="1">IF(G$97=$C$76,$C78,IF(G$97=$D$76,$D78,IF(G$97=$E$76,$E78,IF(G$97=$F$76,$F78,$G78))))</f>
        <v>400238.076</v>
      </c>
      <c r="H100" s="1652"/>
      <c r="L100" s="115" t="str">
        <f>'2. Energie KW.'!E27</f>
        <v>Beleuchtung</v>
      </c>
      <c r="M100" s="2"/>
      <c r="N100" s="144" t="str">
        <f>'2. Energie KW.'!F27</f>
        <v>Strom</v>
      </c>
      <c r="O100" s="164">
        <f>IF(OR(N100=0,N100="keine"),0,'2. Energie KW.'!J27*$O$108)</f>
        <v>0</v>
      </c>
      <c r="P100" s="123">
        <f>IF(OR(N100=0,N100="keine"),0,VLOOKUP(N100,'1. Projektangaben'!$C$36:$M$43,11,FALSE))</f>
        <v>0</v>
      </c>
      <c r="Q100" s="132">
        <f t="shared" si="36"/>
        <v>0</v>
      </c>
      <c r="R100" s="132" t="str">
        <f>'2. Energie KW.'!F58</f>
        <v>Strom</v>
      </c>
      <c r="S100" s="164">
        <f ca="1">IF(OR(R100=0,R100="keine"),0,'2. Energie KW.'!J58*$S$108)</f>
        <v>0</v>
      </c>
      <c r="T100" s="123">
        <f>IF(OR(R100=0,R100="keine"),0,VLOOKUP(R100,'1. Projektangaben'!$C$36:$M$43,11,FALSE))</f>
        <v>0</v>
      </c>
      <c r="U100" s="132">
        <f t="shared" ca="1" si="37"/>
        <v>0</v>
      </c>
      <c r="V100" s="132" t="str">
        <f>'2. Energie KW.'!F89</f>
        <v>Strom</v>
      </c>
      <c r="W100" s="164">
        <f ca="1">IF(OR(V100=0,V100="keine"),0,'2. Energie KW.'!J89*$W$108)</f>
        <v>0</v>
      </c>
      <c r="X100" s="123">
        <f>IF(OR(V100=0,V100="keine"),0,VLOOKUP(V100,'1. Projektangaben'!$C$36:$M$43,11,FALSE))</f>
        <v>0</v>
      </c>
      <c r="Y100" s="132">
        <f t="shared" ca="1" si="38"/>
        <v>0</v>
      </c>
      <c r="Z100" s="132" t="str">
        <f>'2. Energie KW.'!F120</f>
        <v>Strom</v>
      </c>
      <c r="AA100" s="164">
        <f ca="1">IF(OR(Z100=0,Z100="keine"),0,'2. Energie KW.'!J120*$AA$108)</f>
        <v>0</v>
      </c>
      <c r="AB100" s="123">
        <f>IF(OR(Z100=0,Z100="keine"),0,VLOOKUP(Z100,'1. Projektangaben'!$C$36:$M$43,11,FALSE))</f>
        <v>0</v>
      </c>
      <c r="AC100" s="132">
        <f t="shared" ca="1" si="39"/>
        <v>0</v>
      </c>
      <c r="AD100" s="132" t="str">
        <f>'2. Energie KW.'!F151</f>
        <v>Strom</v>
      </c>
      <c r="AE100" s="164">
        <f ca="1">IF(OR(AD100=0,AD100="keine"),0,'2. Energie KW.'!J151*$AE$108)</f>
        <v>0</v>
      </c>
      <c r="AF100" s="123">
        <f>IF(OR(AD100=0,AD100="keine"),0,VLOOKUP(AD100,'1. Projektangaben'!$C$36:$M$43,11,FALSE))</f>
        <v>0</v>
      </c>
      <c r="AG100" s="132">
        <f t="shared" ca="1" si="40"/>
        <v>0</v>
      </c>
    </row>
    <row r="101" spans="1:66" ht="12.95" customHeight="1" x14ac:dyDescent="0.25">
      <c r="A101" s="223"/>
      <c r="B101" s="224" t="s">
        <v>377</v>
      </c>
      <c r="C101" s="271">
        <f>C100-$C$100</f>
        <v>0</v>
      </c>
      <c r="D101" s="271">
        <f ca="1">D100-$C$100</f>
        <v>-25258.799999999988</v>
      </c>
      <c r="E101" s="271">
        <f ca="1">E100-$C$100</f>
        <v>22554.000000000029</v>
      </c>
      <c r="F101" s="271">
        <f ca="1">F100-$C$100</f>
        <v>115893.6</v>
      </c>
      <c r="G101" s="271">
        <f ca="1">G100-$C$100</f>
        <v>155338.80000000002</v>
      </c>
      <c r="H101" s="1652"/>
      <c r="L101" s="115" t="str">
        <f>'2. Energie KW.'!E28</f>
        <v>EDV</v>
      </c>
      <c r="M101" s="2"/>
      <c r="N101" s="144" t="str">
        <f>'2. Energie KW.'!F28</f>
        <v>Strom</v>
      </c>
      <c r="O101" s="164">
        <f>IF(OR(N101=0,N101="keine"),0,'2. Energie KW.'!J28*$O$108)</f>
        <v>0</v>
      </c>
      <c r="P101" s="123">
        <f>IF(OR(N101=0,N101="keine"),0,VLOOKUP(N101,'1. Projektangaben'!$C$36:$M$43,11,FALSE))</f>
        <v>0</v>
      </c>
      <c r="Q101" s="132">
        <f t="shared" si="36"/>
        <v>0</v>
      </c>
      <c r="R101" s="132" t="str">
        <f>'2. Energie KW.'!F59</f>
        <v>Strom</v>
      </c>
      <c r="S101" s="164">
        <f ca="1">IF(OR(R101=0,R101="keine"),0,'2. Energie KW.'!J59*$S$108)</f>
        <v>0</v>
      </c>
      <c r="T101" s="123">
        <f>IF(OR(R101=0,R101="keine"),0,VLOOKUP(R101,'1. Projektangaben'!$C$36:$M$43,11,FALSE))</f>
        <v>0</v>
      </c>
      <c r="U101" s="132">
        <f t="shared" ca="1" si="37"/>
        <v>0</v>
      </c>
      <c r="V101" s="132" t="str">
        <f>'2. Energie KW.'!F90</f>
        <v>Strom</v>
      </c>
      <c r="W101" s="164">
        <f ca="1">IF(OR(V101=0,V101="keine"),0,'2. Energie KW.'!J90*$W$108)</f>
        <v>0</v>
      </c>
      <c r="X101" s="123">
        <f>IF(OR(V101=0,V101="keine"),0,VLOOKUP(V101,'1. Projektangaben'!$C$36:$M$43,11,FALSE))</f>
        <v>0</v>
      </c>
      <c r="Y101" s="132">
        <f t="shared" ca="1" si="38"/>
        <v>0</v>
      </c>
      <c r="Z101" s="132" t="str">
        <f>'2. Energie KW.'!F121</f>
        <v>Strom</v>
      </c>
      <c r="AA101" s="164">
        <f ca="1">IF(OR(Z101=0,Z101="keine"),0,'2. Energie KW.'!J121*$AA$108)</f>
        <v>0</v>
      </c>
      <c r="AB101" s="123">
        <f>IF(OR(Z101=0,Z101="keine"),0,VLOOKUP(Z101,'1. Projektangaben'!$C$36:$M$43,11,FALSE))</f>
        <v>0</v>
      </c>
      <c r="AC101" s="132">
        <f t="shared" ca="1" si="39"/>
        <v>0</v>
      </c>
      <c r="AD101" s="132" t="str">
        <f>'2. Energie KW.'!F152</f>
        <v>Strom</v>
      </c>
      <c r="AE101" s="164">
        <f ca="1">IF(OR(AD101=0,AD101="keine"),0,'2. Energie KW.'!J152*$AE$108)</f>
        <v>0</v>
      </c>
      <c r="AF101" s="123">
        <f>IF(OR(AD101=0,AD101="keine"),0,VLOOKUP(AD101,'1. Projektangaben'!$C$36:$M$43,11,FALSE))</f>
        <v>0</v>
      </c>
      <c r="AG101" s="132">
        <f t="shared" ca="1" si="40"/>
        <v>0</v>
      </c>
    </row>
    <row r="102" spans="1:66" ht="12.95" customHeight="1" x14ac:dyDescent="0.25">
      <c r="A102" s="225" t="s">
        <v>380</v>
      </c>
      <c r="B102" s="226" t="s">
        <v>363</v>
      </c>
      <c r="C102" s="227">
        <f>IF(C$97=$C$76,$C79,IF(C$97=$D$76,$D79,IF(C$97=$E$76,$E79,IF(C$97=$F$76,$F79,$G79))))</f>
        <v>526746</v>
      </c>
      <c r="D102" s="227">
        <f ca="1">IF(D$97=$C$76,$C79,IF(D$97=$D$76,$D79,IF(D$97=$E$76,$E79,IF(D$97=$F$76,$F79,$G79))))</f>
        <v>526746</v>
      </c>
      <c r="E102" s="227">
        <f ca="1">IF(E$97=$C$76,$C79,IF(E$97=$D$76,$D79,IF(E$97=$E$76,$E79,IF(E$97=$F$76,$F79,$G79))))</f>
        <v>526746</v>
      </c>
      <c r="F102" s="227">
        <f ca="1">IF(F$97=$C$76,$C79,IF(F$97=$D$76,$D79,IF(F$97=$E$76,$E79,IF(F$97=$F$76,$F79,$G79))))</f>
        <v>526746</v>
      </c>
      <c r="G102" s="227">
        <f ca="1">IF(G$97=$C$76,$C79,IF(G$97=$D$76,$D79,IF(G$97=$E$76,$E79,IF(G$97=$F$76,$F79,$G79))))</f>
        <v>526746</v>
      </c>
      <c r="H102" s="1652"/>
      <c r="L102" s="115" t="str">
        <f>'2. Energie KW.'!E29</f>
        <v>Haushaltsstrom</v>
      </c>
      <c r="M102" s="2"/>
      <c r="N102" s="144" t="str">
        <f>'2. Energie KW.'!F29</f>
        <v>Strom</v>
      </c>
      <c r="O102" s="164">
        <f>IF(OR(N102=0,N102="keine"),0,'2. Energie KW.'!J29*$O$108)</f>
        <v>35255</v>
      </c>
      <c r="P102" s="123">
        <f>IF(OR(N102=0,N102="keine"),0,VLOOKUP(N102,'1. Projektangaben'!$C$36:$M$43,11,FALSE))</f>
        <v>0</v>
      </c>
      <c r="Q102" s="132">
        <f t="shared" si="36"/>
        <v>0</v>
      </c>
      <c r="R102" s="132" t="str">
        <f>'2. Energie KW.'!F60</f>
        <v>Strom</v>
      </c>
      <c r="S102" s="164">
        <f ca="1">IF(OR(R102=0,R102="keine"),0,'2. Energie KW.'!J60*$S$108)</f>
        <v>35530</v>
      </c>
      <c r="T102" s="123">
        <f>IF(OR(R102=0,R102="keine"),0,VLOOKUP(R102,'1. Projektangaben'!$C$36:$M$43,11,FALSE))</f>
        <v>0</v>
      </c>
      <c r="U102" s="132">
        <f t="shared" ca="1" si="37"/>
        <v>0</v>
      </c>
      <c r="V102" s="132" t="str">
        <f>'2. Energie KW.'!F91</f>
        <v>Strom</v>
      </c>
      <c r="W102" s="164">
        <f ca="1">IF(OR(V102=0,V102="keine"),0,'2. Energie KW.'!J91*$W$108)</f>
        <v>35530</v>
      </c>
      <c r="X102" s="123">
        <f>IF(OR(V102=0,V102="keine"),0,VLOOKUP(V102,'1. Projektangaben'!$C$36:$M$43,11,FALSE))</f>
        <v>0</v>
      </c>
      <c r="Y102" s="132">
        <f t="shared" ca="1" si="38"/>
        <v>0</v>
      </c>
      <c r="Z102" s="132" t="str">
        <f>'2. Energie KW.'!F122</f>
        <v>Strom</v>
      </c>
      <c r="AA102" s="164">
        <f ca="1">IF(OR(Z102=0,Z102="keine"),0,'2. Energie KW.'!J122*$AA$108)</f>
        <v>35530</v>
      </c>
      <c r="AB102" s="123">
        <f>IF(OR(Z102=0,Z102="keine"),0,VLOOKUP(Z102,'1. Projektangaben'!$C$36:$M$43,11,FALSE))</f>
        <v>0</v>
      </c>
      <c r="AC102" s="132">
        <f t="shared" ca="1" si="39"/>
        <v>0</v>
      </c>
      <c r="AD102" s="132" t="str">
        <f>'2. Energie KW.'!F153</f>
        <v>Strom</v>
      </c>
      <c r="AE102" s="164">
        <f ca="1">IF(OR(AD102=0,AD102="keine"),0,'2. Energie KW.'!J153*$AE$108)</f>
        <v>35530</v>
      </c>
      <c r="AF102" s="123">
        <f>IF(OR(AD102=0,AD102="keine"),0,VLOOKUP(AD102,'1. Projektangaben'!$C$36:$M$43,11,FALSE))</f>
        <v>0</v>
      </c>
      <c r="AG102" s="132">
        <f t="shared" ca="1" si="40"/>
        <v>0</v>
      </c>
    </row>
    <row r="103" spans="1:66" ht="12.95" customHeight="1" x14ac:dyDescent="0.25">
      <c r="A103" s="223"/>
      <c r="B103" s="224" t="s">
        <v>377</v>
      </c>
      <c r="C103" s="271">
        <f>C102-$C$102</f>
        <v>0</v>
      </c>
      <c r="D103" s="271">
        <f ca="1">D102-$C$102</f>
        <v>0</v>
      </c>
      <c r="E103" s="271">
        <f ca="1">E102-$C$102</f>
        <v>0</v>
      </c>
      <c r="F103" s="271">
        <f ca="1">F102-$C$102</f>
        <v>0</v>
      </c>
      <c r="G103" s="271">
        <f ca="1">G102-$C$102</f>
        <v>0</v>
      </c>
      <c r="H103" s="1652"/>
      <c r="L103" s="115" t="str">
        <f>'2. Energie KW.'!E30</f>
        <v>Befeuchten</v>
      </c>
      <c r="M103" s="2"/>
      <c r="N103" s="144">
        <f>'2. Energie KW.'!F30</f>
        <v>0</v>
      </c>
      <c r="O103" s="164">
        <f>IF(OR(N103=0,N103="keine"),0,'2. Energie KW.'!J30*$O$108)</f>
        <v>0</v>
      </c>
      <c r="P103" s="123">
        <f>IF(OR(N103=0,N103="keine"),0,VLOOKUP(N103,'1. Projektangaben'!$C$36:$M$43,11,FALSE))</f>
        <v>0</v>
      </c>
      <c r="Q103" s="132">
        <f t="shared" si="36"/>
        <v>0</v>
      </c>
      <c r="R103" s="132">
        <f ca="1">'2. Energie KW.'!F61</f>
        <v>0</v>
      </c>
      <c r="S103" s="164">
        <f ca="1">IF(OR(R103=0,R103="keine"),0,'2. Energie KW.'!J61*$S$108)</f>
        <v>0</v>
      </c>
      <c r="T103" s="123">
        <f ca="1">IF(OR(R103=0,R103="keine"),0,VLOOKUP(R103,'1. Projektangaben'!$C$36:$M$43,11,FALSE))</f>
        <v>0</v>
      </c>
      <c r="U103" s="132">
        <f t="shared" ca="1" si="37"/>
        <v>0</v>
      </c>
      <c r="V103" s="132">
        <f ca="1">'2. Energie KW.'!F92</f>
        <v>0</v>
      </c>
      <c r="W103" s="164">
        <f ca="1">IF(OR(V103=0,V103="keine"),0,'2. Energie KW.'!J92*$W$108)</f>
        <v>0</v>
      </c>
      <c r="X103" s="123">
        <f ca="1">IF(OR(V103=0,V103="keine"),0,VLOOKUP(V103,'1. Projektangaben'!$C$36:$M$43,11,FALSE))</f>
        <v>0</v>
      </c>
      <c r="Y103" s="132">
        <f t="shared" ca="1" si="38"/>
        <v>0</v>
      </c>
      <c r="Z103" s="132">
        <f ca="1">'2. Energie KW.'!F123</f>
        <v>0</v>
      </c>
      <c r="AA103" s="164">
        <f ca="1">IF(OR(Z103=0,Z103="keine"),0,'2. Energie KW.'!J123*$AA$108)</f>
        <v>0</v>
      </c>
      <c r="AB103" s="123">
        <f ca="1">IF(OR(Z103=0,Z103="keine"),0,VLOOKUP(Z103,'1. Projektangaben'!$C$36:$M$43,11,FALSE))</f>
        <v>0</v>
      </c>
      <c r="AC103" s="132">
        <f t="shared" ca="1" si="39"/>
        <v>0</v>
      </c>
      <c r="AD103" s="132">
        <f ca="1">'2. Energie KW.'!F154</f>
        <v>0</v>
      </c>
      <c r="AE103" s="164">
        <f ca="1">IF(OR(AD103=0,AD103="keine"),0,'2. Energie KW.'!J154*$AE$108)</f>
        <v>0</v>
      </c>
      <c r="AF103" s="123">
        <f ca="1">IF(OR(AD103=0,AD103="keine"),0,VLOOKUP(AD103,'1. Projektangaben'!$C$36:$M$43,11,FALSE))</f>
        <v>0</v>
      </c>
      <c r="AG103" s="132">
        <f t="shared" ca="1" si="40"/>
        <v>0</v>
      </c>
    </row>
    <row r="104" spans="1:66" ht="12.95" customHeight="1" x14ac:dyDescent="0.25">
      <c r="A104" s="225" t="s">
        <v>383</v>
      </c>
      <c r="B104" s="226" t="s">
        <v>363</v>
      </c>
      <c r="C104" s="227">
        <f>IF(C$97=$C$76,$C80,IF(C$97=$D$76,$D80,IF(C$97=$E$76,$E80,IF(C$97=$F$76,$F80,$G80))))</f>
        <v>2525419.8119999999</v>
      </c>
      <c r="D104" s="227">
        <f ca="1">IF(D$97=$C$76,$C80,IF(D$97=$D$76,$D80,IF(D$97=$E$76,$E80,IF(D$97=$F$76,$F80,$G80))))</f>
        <v>2525419.8119999999</v>
      </c>
      <c r="E104" s="227">
        <f ca="1">IF(E$97=$C$76,$C80,IF(E$97=$D$76,$D80,IF(E$97=$E$76,$E80,IF(E$97=$F$76,$F80,$G80))))</f>
        <v>2525419.8119999999</v>
      </c>
      <c r="F104" s="227">
        <f ca="1">IF(F$97=$C$76,$C80,IF(F$97=$D$76,$D80,IF(F$97=$E$76,$E80,IF(F$97=$F$76,$F80,$G80))))</f>
        <v>2531355.2159999995</v>
      </c>
      <c r="G104" s="227">
        <f ca="1">IF(G$97=$C$76,$C80,IF(G$97=$D$76,$D80,IF(G$97=$E$76,$E80,IF(G$97=$F$76,$F80,$G80))))</f>
        <v>2531355.2159999995</v>
      </c>
      <c r="H104" s="1652"/>
      <c r="L104" s="115" t="str">
        <f>'2. Energie KW.'!E31</f>
        <v>Entfeuchten</v>
      </c>
      <c r="M104" s="2"/>
      <c r="N104" s="144">
        <f>'2. Energie KW.'!F31</f>
        <v>0</v>
      </c>
      <c r="O104" s="164">
        <f>IF(OR(N104=0,N104="keine"),0,'2. Energie KW.'!J31*$O$108)</f>
        <v>0</v>
      </c>
      <c r="P104" s="123">
        <f>IF(OR(N104=0,N104="keine"),0,VLOOKUP(N104,'1. Projektangaben'!$C$36:$M$43,11,FALSE))</f>
        <v>0</v>
      </c>
      <c r="Q104" s="132">
        <f t="shared" si="36"/>
        <v>0</v>
      </c>
      <c r="R104" s="132">
        <f ca="1">'2. Energie KW.'!F62</f>
        <v>0</v>
      </c>
      <c r="S104" s="164">
        <f ca="1">IF(OR(R104=0,R104="keine"),0,'2. Energie KW.'!J62*$S$108)</f>
        <v>0</v>
      </c>
      <c r="T104" s="123">
        <f ca="1">IF(OR(R104=0,R104="keine"),0,VLOOKUP(R104,'1. Projektangaben'!$C$36:$M$43,11,FALSE))</f>
        <v>0</v>
      </c>
      <c r="U104" s="132">
        <f t="shared" ca="1" si="37"/>
        <v>0</v>
      </c>
      <c r="V104" s="132">
        <f ca="1">'2. Energie KW.'!F93</f>
        <v>0</v>
      </c>
      <c r="W104" s="164">
        <f ca="1">IF(OR(V104=0,V104="keine"),0,'2. Energie KW.'!J93*$W$108)</f>
        <v>0</v>
      </c>
      <c r="X104" s="123">
        <f ca="1">IF(OR(V104=0,V104="keine"),0,VLOOKUP(V104,'1. Projektangaben'!$C$36:$M$43,11,FALSE))</f>
        <v>0</v>
      </c>
      <c r="Y104" s="132">
        <f t="shared" ca="1" si="38"/>
        <v>0</v>
      </c>
      <c r="Z104" s="132">
        <f ca="1">'2. Energie KW.'!F124</f>
        <v>0</v>
      </c>
      <c r="AA104" s="164">
        <f ca="1">IF(OR(Z104=0,Z104="keine"),0,'2. Energie KW.'!J124*$AA$108)</f>
        <v>0</v>
      </c>
      <c r="AB104" s="123">
        <f ca="1">IF(OR(Z104=0,Z104="keine"),0,VLOOKUP(Z104,'1. Projektangaben'!$C$36:$M$43,11,FALSE))</f>
        <v>0</v>
      </c>
      <c r="AC104" s="132">
        <f t="shared" ca="1" si="39"/>
        <v>0</v>
      </c>
      <c r="AD104" s="132">
        <f ca="1">'2. Energie KW.'!F155</f>
        <v>0</v>
      </c>
      <c r="AE104" s="164">
        <f ca="1">IF(OR(AD104=0,AD104="keine"),0,'2. Energie KW.'!J155*$AE$108)</f>
        <v>0</v>
      </c>
      <c r="AF104" s="123">
        <f ca="1">IF(OR(AD104=0,AD104="keine"),0,VLOOKUP(AD104,'1. Projektangaben'!$C$36:$M$43,11,FALSE))</f>
        <v>0</v>
      </c>
      <c r="AG104" s="132">
        <f t="shared" ca="1" si="40"/>
        <v>0</v>
      </c>
    </row>
    <row r="105" spans="1:66" ht="12.95" customHeight="1" thickBot="1" x14ac:dyDescent="0.3">
      <c r="A105" s="228"/>
      <c r="B105" s="224" t="s">
        <v>377</v>
      </c>
      <c r="C105" s="271">
        <f>C104-$C$104</f>
        <v>0</v>
      </c>
      <c r="D105" s="271">
        <f ca="1">D104-$C$104</f>
        <v>0</v>
      </c>
      <c r="E105" s="271">
        <f ca="1">E104-$C$104</f>
        <v>0</v>
      </c>
      <c r="F105" s="271">
        <f ca="1">F104-$C$104</f>
        <v>5935.4039999996312</v>
      </c>
      <c r="G105" s="271">
        <f ca="1">G104-$C$104</f>
        <v>5935.4039999996312</v>
      </c>
      <c r="H105" s="1652"/>
      <c r="L105" s="115" t="str">
        <f>'2. Energie KW.'!E32</f>
        <v>Sonstiges</v>
      </c>
      <c r="M105" s="2"/>
      <c r="N105" s="144">
        <f>'2. Energie KW.'!F32</f>
        <v>0</v>
      </c>
      <c r="O105" s="164">
        <f>IF(OR(N105=0,N105="keine"),0,'2. Energie KW.'!J32*$O$108)</f>
        <v>0</v>
      </c>
      <c r="P105" s="123">
        <f>IF(OR(N105=0,N105="keine"),0,VLOOKUP(N105,'1. Projektangaben'!$C$36:$M$43,11,FALSE))</f>
        <v>0</v>
      </c>
      <c r="Q105" s="132">
        <f t="shared" si="36"/>
        <v>0</v>
      </c>
      <c r="R105" s="132">
        <f ca="1">'2. Energie KW.'!F63</f>
        <v>0</v>
      </c>
      <c r="S105" s="164">
        <f ca="1">IF(OR(R105=0,R105="keine"),0,'2. Energie KW.'!J63*$S$108)</f>
        <v>0</v>
      </c>
      <c r="T105" s="123">
        <f ca="1">IF(OR(R105=0,R105="keine"),0,VLOOKUP(R105,'1. Projektangaben'!$C$36:$M$43,11,FALSE))</f>
        <v>0</v>
      </c>
      <c r="U105" s="132">
        <f t="shared" ca="1" si="37"/>
        <v>0</v>
      </c>
      <c r="V105" s="132">
        <f ca="1">'2. Energie KW.'!F94</f>
        <v>0</v>
      </c>
      <c r="W105" s="164">
        <f ca="1">IF(OR(V105=0,V105="keine"),0,'2. Energie KW.'!J94*$W$108)</f>
        <v>0</v>
      </c>
      <c r="X105" s="123">
        <f ca="1">IF(OR(V105=0,V105="keine"),0,VLOOKUP(V105,'1. Projektangaben'!$C$36:$M$43,11,FALSE))</f>
        <v>0</v>
      </c>
      <c r="Y105" s="132">
        <f t="shared" ca="1" si="38"/>
        <v>0</v>
      </c>
      <c r="Z105" s="132">
        <f ca="1">'2. Energie KW.'!F125</f>
        <v>0</v>
      </c>
      <c r="AA105" s="164">
        <f ca="1">IF(OR(Z105=0,Z105="keine"),0,'2. Energie KW.'!J125*$AA$108)</f>
        <v>0</v>
      </c>
      <c r="AB105" s="123">
        <f ca="1">IF(OR(Z105=0,Z105="keine"),0,VLOOKUP(Z105,'1. Projektangaben'!$C$36:$M$43,11,FALSE))</f>
        <v>0</v>
      </c>
      <c r="AC105" s="132">
        <f t="shared" ca="1" si="39"/>
        <v>0</v>
      </c>
      <c r="AD105" s="132">
        <f ca="1">'2. Energie KW.'!F156</f>
        <v>0</v>
      </c>
      <c r="AE105" s="164">
        <f ca="1">IF(OR(AD105=0,AD105="keine"),0,'2. Energie KW.'!J156*$AE$108)</f>
        <v>0</v>
      </c>
      <c r="AF105" s="123">
        <f ca="1">IF(OR(AD105=0,AD105="keine"),0,VLOOKUP(AD105,'1. Projektangaben'!$C$36:$M$43,11,FALSE))</f>
        <v>0</v>
      </c>
      <c r="AG105" s="132">
        <f t="shared" ca="1" si="40"/>
        <v>0</v>
      </c>
    </row>
    <row r="106" spans="1:66" ht="12.95" customHeight="1" thickBot="1" x14ac:dyDescent="0.3">
      <c r="A106" s="221" t="s">
        <v>369</v>
      </c>
      <c r="B106" s="222" t="s">
        <v>363</v>
      </c>
      <c r="C106" s="227">
        <f>IF(C$97=$C$76,$C81,IF(C$97=$D$76,$D81,IF(C$97=$E$76,$E81,IF(C$97=$F$76,$F81,$G81))))</f>
        <v>4009401.3839999996</v>
      </c>
      <c r="D106" s="227">
        <f ca="1">IF(D$97=$C$76,$C81,IF(D$97=$D$76,$D81,IF(D$97=$E$76,$E81,IF(D$97=$F$76,$F81,$G81))))</f>
        <v>4024329.4919999996</v>
      </c>
      <c r="E106" s="227">
        <f ca="1">IF(E$97=$C$76,$C81,IF(E$97=$D$76,$D81,IF(E$97=$E$76,$E81,IF(E$97=$F$76,$F81,$G81))))</f>
        <v>4072142.2919999999</v>
      </c>
      <c r="F106" s="227">
        <f ca="1">IF(F$97=$C$76,$C81,IF(F$97=$D$76,$D81,IF(F$97=$E$76,$E81,IF(F$97=$F$76,$F81,$G81))))</f>
        <v>4171417.2959999992</v>
      </c>
      <c r="G106" s="227">
        <f ca="1">IF(G$97=$C$76,$C81,IF(G$97=$D$76,$D81,IF(G$97=$E$76,$E81,IF(G$97=$F$76,$F81,$G81))))</f>
        <v>4210862.4959999993</v>
      </c>
      <c r="H106" s="1652"/>
      <c r="L106" s="788"/>
      <c r="M106" s="785" t="s">
        <v>542</v>
      </c>
      <c r="N106" s="786" t="s">
        <v>82</v>
      </c>
      <c r="O106" s="164">
        <f>IF(OR(N106=0,N106="keine"),0,'2. Energie KW.'!J37)*-1</f>
        <v>0</v>
      </c>
      <c r="P106" s="123">
        <f>IF(OR(N106=0,N106="keine"),0,VLOOKUP(N106,'1. Projektangaben'!$C$36:$M$43,11,FALSE))</f>
        <v>0</v>
      </c>
      <c r="Q106" s="132">
        <f t="shared" si="36"/>
        <v>0</v>
      </c>
      <c r="R106" s="787" t="s">
        <v>82</v>
      </c>
      <c r="S106" s="164">
        <f ca="1">IF(OR(R106=0,R106="keine"),0,'2. Energie KW.'!J68)*-1</f>
        <v>0</v>
      </c>
      <c r="T106" s="123">
        <f>IF(OR(R106=0,R106="keine"),0,VLOOKUP(R106,'1. Projektangaben'!$C$36:$M$43,11,FALSE))</f>
        <v>0</v>
      </c>
      <c r="U106" s="132">
        <f t="shared" ca="1" si="37"/>
        <v>0</v>
      </c>
      <c r="V106" s="787" t="s">
        <v>82</v>
      </c>
      <c r="W106" s="164">
        <f ca="1">IF(OR(V106=0,V106="keine"),0,'2. Energie KW.'!J99)*-1</f>
        <v>0</v>
      </c>
      <c r="X106" s="123">
        <f>IF(OR(V106=0,V106="keine"),0,VLOOKUP(V106,'1. Projektangaben'!$C$36:$M$43,11,FALSE))</f>
        <v>0</v>
      </c>
      <c r="Y106" s="132">
        <f t="shared" ca="1" si="38"/>
        <v>0</v>
      </c>
      <c r="Z106" s="787" t="s">
        <v>82</v>
      </c>
      <c r="AA106" s="164">
        <f ca="1">IF(OR(Z106=0,Z106="keine"),0,'2. Energie KW.'!J130)*-1</f>
        <v>0</v>
      </c>
      <c r="AB106" s="123">
        <f>IF(OR(Z106=0,Z106="keine"),0,VLOOKUP(Z106,'1. Projektangaben'!$C$36:$M$43,11,FALSE))</f>
        <v>0</v>
      </c>
      <c r="AC106" s="132">
        <f t="shared" ca="1" si="39"/>
        <v>0</v>
      </c>
      <c r="AD106" s="787" t="s">
        <v>82</v>
      </c>
      <c r="AE106" s="164">
        <f>IF(OR(AD106=0,AD106="keine"),0,'2. Energie KW.'!J161)*-1</f>
        <v>-10000</v>
      </c>
      <c r="AF106" s="123">
        <f>IF(OR(AD106=0,AD106="keine"),0,VLOOKUP(AD106,'1. Projektangaben'!$C$36:$M$43,11,FALSE))</f>
        <v>0</v>
      </c>
      <c r="AG106" s="132">
        <f t="shared" si="40"/>
        <v>0</v>
      </c>
    </row>
    <row r="107" spans="1:66" ht="12.95" customHeight="1" thickBot="1" x14ac:dyDescent="0.3">
      <c r="A107" s="230"/>
      <c r="B107" s="224" t="s">
        <v>377</v>
      </c>
      <c r="C107" s="271">
        <f>C106-$C$106</f>
        <v>0</v>
      </c>
      <c r="D107" s="271">
        <f ca="1">D106-$C$106</f>
        <v>14928.108000000007</v>
      </c>
      <c r="E107" s="271">
        <f ca="1">E106-$C$106</f>
        <v>62740.908000000287</v>
      </c>
      <c r="F107" s="271">
        <f ca="1">F106-$C$106</f>
        <v>162015.91199999955</v>
      </c>
      <c r="G107" s="271">
        <f ca="1">G106-$C$106</f>
        <v>201461.11199999973</v>
      </c>
      <c r="H107" s="1652"/>
      <c r="L107" s="115" t="str">
        <f>'2. Energie KW.'!E36</f>
        <v>Stromeinspeisung PV</v>
      </c>
      <c r="M107" s="785" t="s">
        <v>558</v>
      </c>
      <c r="N107" s="786" t="s">
        <v>82</v>
      </c>
      <c r="O107" s="164"/>
      <c r="P107" s="123">
        <f>IF(OR(N107=0,N107="keine"),0,VLOOKUP(N107,'1. Projektangaben'!$C$36:$M$43,11,FALSE))</f>
        <v>0</v>
      </c>
      <c r="Q107" s="132">
        <f t="shared" si="36"/>
        <v>0</v>
      </c>
      <c r="R107" s="787" t="s">
        <v>82</v>
      </c>
      <c r="S107" s="164"/>
      <c r="T107" s="123">
        <f>IF(OR(R107=0,R107="keine"),0,VLOOKUP(R107,'1. Projektangaben'!$C$36:$M$43,11,FALSE))</f>
        <v>0</v>
      </c>
      <c r="U107" s="132">
        <f t="shared" si="37"/>
        <v>0</v>
      </c>
      <c r="V107" s="787" t="s">
        <v>82</v>
      </c>
      <c r="W107" s="164"/>
      <c r="X107" s="123">
        <f>IF(OR(V107=0,V107="keine"),0,VLOOKUP(V107,'1. Projektangaben'!$C$36:$M$43,11,FALSE))</f>
        <v>0</v>
      </c>
      <c r="Y107" s="132">
        <f t="shared" si="38"/>
        <v>0</v>
      </c>
      <c r="Z107" s="787" t="s">
        <v>82</v>
      </c>
      <c r="AA107" s="164"/>
      <c r="AB107" s="123">
        <f>IF(OR(Z107=0,Z107="keine"),0,VLOOKUP(Z107,'1. Projektangaben'!$C$36:$M$43,11,FALSE))</f>
        <v>0</v>
      </c>
      <c r="AC107" s="132">
        <f t="shared" si="39"/>
        <v>0</v>
      </c>
      <c r="AD107" s="787" t="s">
        <v>82</v>
      </c>
      <c r="AE107" s="164"/>
      <c r="AF107" s="123">
        <f>IF(OR(AD107=0,AD107="keine"),0,VLOOKUP(AD107,'1. Projektangaben'!$C$36:$M$43,11,FALSE))</f>
        <v>0</v>
      </c>
      <c r="AG107" s="132">
        <f t="shared" si="40"/>
        <v>0</v>
      </c>
    </row>
    <row r="108" spans="1:66" ht="12.95" customHeight="1" thickBot="1" x14ac:dyDescent="0.3">
      <c r="A108" s="228"/>
      <c r="B108" s="231" t="s">
        <v>378</v>
      </c>
      <c r="C108" s="273">
        <f>IF($C$93=0,0,C107/$C$93)</f>
        <v>0</v>
      </c>
      <c r="D108" s="273">
        <f ca="1">IF($C$93=0,0,D107/$C$93)</f>
        <v>10.585809105091482</v>
      </c>
      <c r="E108" s="273">
        <f ca="1">IF($C$93=0,0,E107/$C$93)</f>
        <v>44.490787122394188</v>
      </c>
      <c r="F108" s="273">
        <f ca="1">IF($C$93=0,0,F107/$C$93)</f>
        <v>114.88860587150727</v>
      </c>
      <c r="G108" s="273">
        <f ca="1">IF($C$93=0,0,G107/$C$93)</f>
        <v>142.85995745284336</v>
      </c>
      <c r="H108" s="1653"/>
      <c r="N108" s="115" t="s">
        <v>357</v>
      </c>
      <c r="O108" s="300">
        <f>'1. Projektangaben'!G23</f>
        <v>1410.2</v>
      </c>
      <c r="P108" s="115" t="s">
        <v>547</v>
      </c>
      <c r="Q108" s="300">
        <f>SUM(Q87:Q107)</f>
        <v>0</v>
      </c>
      <c r="S108" s="300">
        <f>'1. Projektangaben'!G24</f>
        <v>1421.2</v>
      </c>
      <c r="T108" s="115" t="s">
        <v>547</v>
      </c>
      <c r="U108" s="300">
        <f ca="1">SUM(U87:U107)</f>
        <v>0</v>
      </c>
      <c r="W108" s="300">
        <f>'1. Projektangaben'!G25</f>
        <v>1421.2</v>
      </c>
      <c r="X108" s="115" t="s">
        <v>547</v>
      </c>
      <c r="Y108" s="300">
        <f ca="1">SUM(Y87:Y107)</f>
        <v>0</v>
      </c>
      <c r="AA108" s="1439">
        <f>'1. Projektangaben'!G26</f>
        <v>1421.2</v>
      </c>
      <c r="AB108" s="115" t="s">
        <v>547</v>
      </c>
      <c r="AC108" s="300">
        <f ca="1">SUM(AC87:AC107)</f>
        <v>0</v>
      </c>
      <c r="AE108" s="300">
        <f>'1. Projektangaben'!G27</f>
        <v>1421.2</v>
      </c>
      <c r="AF108" s="115" t="s">
        <v>547</v>
      </c>
      <c r="AG108" s="300">
        <f ca="1">SUM(AG87:AG107)</f>
        <v>0</v>
      </c>
    </row>
    <row r="109" spans="1:66" ht="12.95" customHeight="1" thickBot="1" x14ac:dyDescent="0.3">
      <c r="A109" s="257"/>
      <c r="B109" s="232"/>
      <c r="C109" s="275"/>
      <c r="D109" s="275"/>
      <c r="E109" s="233"/>
      <c r="F109" s="233"/>
      <c r="G109" s="233"/>
      <c r="H109" s="260"/>
      <c r="K109" s="331" t="s">
        <v>545</v>
      </c>
      <c r="M109" s="115"/>
      <c r="N109" s="153" t="str">
        <f>$C$28</f>
        <v>BTV</v>
      </c>
      <c r="O109" s="1456"/>
      <c r="P109" s="153" t="str">
        <f>$D$28</f>
        <v>PH</v>
      </c>
      <c r="Q109" s="1456"/>
      <c r="R109" s="153" t="str">
        <f>$E$28</f>
        <v>PHSol</v>
      </c>
      <c r="S109" s="1456"/>
      <c r="T109" s="153" t="str">
        <f>$F$28</f>
        <v>PHWRGSo</v>
      </c>
      <c r="U109" s="1456"/>
      <c r="V109" s="153" t="str">
        <f>$G$28</f>
        <v>PHWRGSoPV</v>
      </c>
      <c r="W109" s="1456"/>
    </row>
    <row r="110" spans="1:66" ht="12.95" customHeight="1" thickBot="1" x14ac:dyDescent="0.3">
      <c r="A110" s="257"/>
      <c r="B110" s="232"/>
      <c r="C110" s="233"/>
      <c r="D110" s="233"/>
      <c r="E110" s="233"/>
      <c r="F110" s="233"/>
      <c r="G110" s="233"/>
      <c r="H110" s="260"/>
      <c r="K110" s="789" t="s">
        <v>301</v>
      </c>
      <c r="N110" s="147" t="s">
        <v>166</v>
      </c>
      <c r="O110" s="148" t="s">
        <v>120</v>
      </c>
      <c r="P110" s="147" t="s">
        <v>166</v>
      </c>
      <c r="Q110" s="148" t="s">
        <v>120</v>
      </c>
      <c r="R110" s="147" t="s">
        <v>166</v>
      </c>
      <c r="S110" s="148" t="s">
        <v>120</v>
      </c>
      <c r="T110" s="147" t="s">
        <v>166</v>
      </c>
      <c r="U110" s="148" t="s">
        <v>120</v>
      </c>
      <c r="V110" s="147" t="s">
        <v>166</v>
      </c>
      <c r="W110" s="148" t="s">
        <v>120</v>
      </c>
    </row>
    <row r="111" spans="1:66" ht="12.95" customHeight="1" thickBot="1" x14ac:dyDescent="0.3">
      <c r="A111" s="257"/>
      <c r="B111" s="258"/>
      <c r="C111" s="234" t="str">
        <f>C97</f>
        <v>BTV</v>
      </c>
      <c r="D111" s="234" t="str">
        <f>D97</f>
        <v>PH</v>
      </c>
      <c r="E111" s="234" t="str">
        <f>E97</f>
        <v>PHSol</v>
      </c>
      <c r="F111" s="234" t="str">
        <f>F97</f>
        <v>PHWRGSo</v>
      </c>
      <c r="G111" s="234" t="str">
        <f>G97</f>
        <v>PHWRGSoPV</v>
      </c>
      <c r="H111" s="259"/>
      <c r="K111" s="790" t="b">
        <v>1</v>
      </c>
      <c r="M111" s="115" t="str">
        <f t="shared" ref="M111:M128" si="41">L87</f>
        <v>Heizung</v>
      </c>
      <c r="N111" s="117">
        <f>IF($N$109=$C$8,O87,IF($N$109=$D$8,S87,IF($N$109=$E$8,W87,IF($N$109=$F$8,AA87,AE87))))</f>
        <v>32758.946</v>
      </c>
      <c r="O111" s="1">
        <f>IF(N$109=$C$8,Q87,IF(N$109=$D$8,U87,IF(N$109=$E$8,Y87,IF(N$109=$F$8,AC87,AG87))))</f>
        <v>0</v>
      </c>
      <c r="P111" s="117">
        <f ca="1">IF($P$109=$C$8,O87,IF($P$109=$D$8,S87,IF($P$109=$E$8,W87,IF($P$109=$F$8,AA87,AE87))))</f>
        <v>19470.439999999999</v>
      </c>
      <c r="Q111" s="1">
        <f ca="1">IF($P$109=$C$8,Q87,IF($P$109=$D$8,U87,IF($P$109=$E$8,Y87,IF($P$109=$F$8,AC87,AG87))))</f>
        <v>0</v>
      </c>
      <c r="R111" s="117">
        <f ca="1">IF($R$109=$C$8,O87,IF($R$109=$D$8,S87,IF($R$109=$E$8,W87,IF($R$109=$F$8,AA87,AE87))))</f>
        <v>10346.336000000001</v>
      </c>
      <c r="S111" s="1">
        <f ca="1">IF($R$109=$C$8,Q87,IF($R$109=$D$8,U87,IF($R$109=$E$8,Y87,IF($R$109=$F$8,AC87,AG87))))</f>
        <v>0</v>
      </c>
      <c r="T111" s="117">
        <f ca="1">IF($T$109=$C$8,O87,IF($T$109=$D$8,S87,IF($T$109=$E$8,W87,IF($T$109=$F$8,AA87,AE87))))</f>
        <v>8015.5680000000002</v>
      </c>
      <c r="U111" s="1">
        <f ca="1">IF($T$109=$C$8,Q87,IF($T$109=$D$8,U87,IF($T$109=$E$8,Y87,IF($T$109=$F$8,AC87,AG87))))</f>
        <v>0</v>
      </c>
      <c r="V111" s="117">
        <f ca="1">IF($V$109=$C$8,O87,IF($V$109=$D$8,S87,IF($V$109=$E$8,W87,IF($V$109=$F$8,AA87,AE87))))</f>
        <v>8015.5680000000002</v>
      </c>
      <c r="W111" s="1">
        <f ca="1">IF($V$109=$C$8,Q87,IF($V$109=$D$8,U87,IF($V$109=$E$8,Y87,IF($V$109=$F$8,AC87,AG87))))</f>
        <v>0</v>
      </c>
      <c r="AQ111" s="860"/>
      <c r="AR111" s="860"/>
      <c r="AS111" s="860"/>
      <c r="AT111" s="860"/>
      <c r="AU111" s="860"/>
      <c r="AV111" s="860"/>
      <c r="AW111" s="860"/>
      <c r="AX111" s="860"/>
      <c r="AY111" s="860"/>
      <c r="AZ111" s="860"/>
      <c r="BA111" s="860"/>
      <c r="BB111" s="860"/>
      <c r="BC111" s="860"/>
      <c r="BD111" s="860"/>
      <c r="BE111" s="860"/>
      <c r="BF111" s="860"/>
      <c r="BG111" s="860"/>
      <c r="BH111" s="860"/>
      <c r="BI111" s="860"/>
      <c r="BJ111" s="860"/>
      <c r="BK111" s="860"/>
      <c r="BL111" s="860"/>
      <c r="BM111" s="860"/>
      <c r="BN111" s="860"/>
    </row>
    <row r="112" spans="1:66" ht="12.95" customHeight="1" thickBot="1" x14ac:dyDescent="0.3">
      <c r="A112" s="221" t="s">
        <v>365</v>
      </c>
      <c r="B112" s="235" t="s">
        <v>363</v>
      </c>
      <c r="C112" s="276">
        <f>IF(C$97=$C$76,$C84,IF(C$97=$D$76,$D84,IF(C$97=$E$76,$E84,IF(C$97=$F$76,$F84,$G84))))</f>
        <v>0</v>
      </c>
      <c r="D112" s="236">
        <f ca="1">IF(D$97=$C$76,$C84,IF(D$97=$D$76,$D84,IF(D$97=$E$76,$E84,IF(D$97=$F$76,$F84,$G84))))</f>
        <v>0</v>
      </c>
      <c r="E112" s="236">
        <f ca="1">IF(E$97=$C$76,$C84,IF(E$97=$D$76,$D84,IF(E$97=$E$76,$E84,IF(E$97=$F$76,$F84,$G84))))</f>
        <v>0</v>
      </c>
      <c r="F112" s="236">
        <f ca="1">IF(F$97=$C$76,$C84,IF(F$97=$D$76,$D84,IF(F$97=$E$76,$E84,IF(F$97=$F$76,$F84,$G84))))</f>
        <v>0</v>
      </c>
      <c r="G112" s="277">
        <f ca="1">IF(G$97=$C$76,$C84,IF(G$97=$D$76,$D84,IF(G$97=$E$76,$E84,IF(G$97=$F$76,$F84,$G84))))</f>
        <v>0</v>
      </c>
      <c r="H112" s="1657" t="s">
        <v>384</v>
      </c>
      <c r="K112" s="790" t="b">
        <v>1</v>
      </c>
      <c r="M112" s="115" t="str">
        <f t="shared" si="41"/>
        <v>Heizung 2</v>
      </c>
      <c r="N112" s="117">
        <f>IF($N$109=$C$8,O88,IF($N$109=$D$8,S88,IF($N$109=$E$8,W88,IF($N$109=$F$8,AA88,AE88))))</f>
        <v>0</v>
      </c>
      <c r="O112" s="1">
        <f>IF(N$109=$C$8,Q88,IF(N$109=$D$8,U88,IF(N$109=$E$8,Y88,IF(N$109=$F$8,AC88,AG88))))</f>
        <v>0</v>
      </c>
      <c r="P112" s="117">
        <f ca="1">IF($P$109=$C$8,O88,IF($P$109=$D$8,S88,IF($P$109=$E$8,W88,IF($P$109=$F$8,AA88,AE88))))</f>
        <v>0</v>
      </c>
      <c r="Q112" s="1">
        <f ca="1">IF($P$109=$C$8,Q88,IF($P$109=$D$8,U88,IF($P$109=$E$8,Y88,IF($P$109=$F$8,AC88,AG88))))</f>
        <v>0</v>
      </c>
      <c r="R112" s="117">
        <f ca="1">IF($R$109=$C$8,O88,IF($R$109=$D$8,S88,IF($R$109=$E$8,W88,IF($R$109=$F$8,AA88,AE88))))</f>
        <v>0</v>
      </c>
      <c r="S112" s="1">
        <f ca="1">IF($R$109=$C$8,Q88,IF($R$109=$D$8,U88,IF($R$109=$E$8,Y88,IF($R$109=$F$8,AC88,AG88))))</f>
        <v>0</v>
      </c>
      <c r="T112" s="117">
        <f ca="1">IF($T$109=$C$8,O88,IF($T$109=$D$8,S88,IF($T$109=$E$8,W88,IF($T$109=$F$8,AA88,AE88))))</f>
        <v>0</v>
      </c>
      <c r="U112" s="1">
        <f ca="1">IF($T$109=$C$8,Q88,IF($T$109=$D$8,U88,IF($T$109=$E$8,Y88,IF($T$109=$F$8,AC88,AG88))))</f>
        <v>0</v>
      </c>
      <c r="V112" s="117">
        <f ca="1">IF($V$109=$C$8,O88,IF($V$109=$D$8,S88,IF($V$109=$E$8,W88,IF($V$109=$F$8,AA88,AE88))))</f>
        <v>0</v>
      </c>
      <c r="W112" s="1">
        <f ca="1">IF($V$109=$C$8,Q88,IF($V$109=$D$8,U88,IF($V$109=$E$8,Y88,IF($V$109=$F$8,AC88,AG88))))</f>
        <v>0</v>
      </c>
      <c r="AQ112" s="861" t="s">
        <v>585</v>
      </c>
      <c r="AR112" s="860"/>
      <c r="AS112" s="860"/>
      <c r="AT112" s="860"/>
      <c r="AU112" s="860" t="s">
        <v>586</v>
      </c>
      <c r="AV112" s="865" t="str">
        <f>'E.2 Wirtschaftlichkeit'!C58</f>
        <v>PHWRGSoPV</v>
      </c>
      <c r="AW112" s="860"/>
      <c r="AX112" s="860"/>
      <c r="AY112" s="860"/>
      <c r="AZ112" s="860"/>
      <c r="BA112" s="860"/>
      <c r="BB112" s="860"/>
      <c r="BC112" s="860"/>
      <c r="BD112" s="860"/>
      <c r="BE112" s="860"/>
      <c r="BF112" s="860"/>
      <c r="BG112" s="860"/>
      <c r="BH112" s="860"/>
      <c r="BI112" s="860"/>
      <c r="BJ112" s="860"/>
      <c r="BK112" s="860"/>
      <c r="BL112" s="860"/>
      <c r="BM112" s="860"/>
      <c r="BN112" s="860"/>
    </row>
    <row r="113" spans="1:66" ht="12.95" customHeight="1" thickBot="1" x14ac:dyDescent="0.3">
      <c r="A113" s="230"/>
      <c r="B113" s="280" t="s">
        <v>377</v>
      </c>
      <c r="C113" s="281">
        <f>C112-$C$112</f>
        <v>0</v>
      </c>
      <c r="D113" s="282">
        <f ca="1">D112-$C$112</f>
        <v>0</v>
      </c>
      <c r="E113" s="282">
        <f ca="1">E112-$C$112</f>
        <v>0</v>
      </c>
      <c r="F113" s="282">
        <f ca="1">F112-$C$112</f>
        <v>0</v>
      </c>
      <c r="G113" s="283">
        <f ca="1">G112-$C$112</f>
        <v>0</v>
      </c>
      <c r="H113" s="1658"/>
      <c r="K113" s="790" t="b">
        <v>1</v>
      </c>
      <c r="M113" s="115" t="str">
        <f t="shared" si="41"/>
        <v>Warmwasser</v>
      </c>
      <c r="N113" s="117">
        <f>IF($N$109=$C$8,O89,IF($N$109=$D$8,S89,IF($N$109=$E$8,W89,IF($N$109=$F$8,AA89,AE89))))</f>
        <v>25764.353999999999</v>
      </c>
      <c r="O113" s="1">
        <f>IF(N$109=$C$8,Q89,IF(N$109=$D$8,U89,IF(N$109=$E$8,Y89,IF(N$109=$F$8,AC89,AG89))))</f>
        <v>0</v>
      </c>
      <c r="P113" s="117">
        <f ca="1">IF($P$109=$C$8,O89,IF($P$109=$D$8,S89,IF($P$109=$E$8,W89,IF($P$109=$F$8,AA89,AE89))))</f>
        <v>25084.18</v>
      </c>
      <c r="Q113" s="1">
        <f ca="1">IF($P$109=$C$8,Q89,IF($P$109=$D$8,U89,IF($P$109=$E$8,Y89,IF($P$109=$F$8,AC89,AG89))))</f>
        <v>0</v>
      </c>
      <c r="R113" s="117">
        <f ca="1">IF($R$109=$C$8,O89,IF($R$109=$D$8,S89,IF($R$109=$E$8,W89,IF($R$109=$F$8,AA89,AE89))))</f>
        <v>8669.32</v>
      </c>
      <c r="S113" s="1">
        <f ca="1">IF($R$109=$C$8,Q89,IF($R$109=$D$8,U89,IF($R$109=$E$8,Y89,IF($R$109=$F$8,AC89,AG89))))</f>
        <v>0</v>
      </c>
      <c r="T113" s="117">
        <f ca="1">IF($T$109=$C$8,O89,IF($T$109=$D$8,S89,IF($T$109=$E$8,W89,IF($T$109=$F$8,AA89,AE89))))</f>
        <v>8669.32</v>
      </c>
      <c r="U113" s="1">
        <f ca="1">IF($T$109=$C$8,Q89,IF($T$109=$D$8,U89,IF($T$109=$E$8,Y89,IF($T$109=$F$8,AC89,AG89))))</f>
        <v>0</v>
      </c>
      <c r="V113" s="117">
        <f ca="1">IF($V$109=$C$8,O89,IF($V$109=$D$8,S89,IF($V$109=$E$8,W89,IF($V$109=$F$8,AA89,AE89))))</f>
        <v>8669.32</v>
      </c>
      <c r="W113" s="1">
        <f ca="1">IF($V$109=$C$8,Q89,IF($V$109=$D$8,U89,IF($V$109=$E$8,Y89,IF($V$109=$F$8,AC89,AG89))))</f>
        <v>0</v>
      </c>
      <c r="AQ113" s="258"/>
      <c r="AR113" s="258"/>
      <c r="AS113" s="258"/>
      <c r="AT113" s="258"/>
      <c r="AU113" s="258"/>
      <c r="AV113" s="258"/>
      <c r="AW113" s="258"/>
      <c r="AX113" s="258"/>
      <c r="AY113" s="258"/>
      <c r="AZ113" s="258"/>
      <c r="BA113" s="258"/>
      <c r="BB113" s="258"/>
      <c r="BC113" s="258"/>
      <c r="BD113" s="258"/>
      <c r="BE113" s="258"/>
      <c r="BF113" s="258"/>
      <c r="BG113" s="258"/>
      <c r="BH113" s="258"/>
      <c r="BI113" s="258"/>
      <c r="BJ113" s="258"/>
      <c r="BK113" s="258"/>
      <c r="BL113" s="258"/>
      <c r="BM113" s="258"/>
      <c r="BN113" s="258"/>
    </row>
    <row r="114" spans="1:66" ht="12.95" customHeight="1" thickBot="1" x14ac:dyDescent="0.3">
      <c r="A114" s="278"/>
      <c r="B114" s="279" t="s">
        <v>378</v>
      </c>
      <c r="C114" s="273">
        <f>IF($C$93=0,0,C113/$C$93)</f>
        <v>0</v>
      </c>
      <c r="D114" s="273">
        <f ca="1">IF($C$93=0,0,D113/$C$93)</f>
        <v>0</v>
      </c>
      <c r="E114" s="273">
        <f ca="1">IF($C$93=0,0,E113/$C$93)</f>
        <v>0</v>
      </c>
      <c r="F114" s="273">
        <f ca="1">IF($C$93=0,0,F113/$C$93)</f>
        <v>0</v>
      </c>
      <c r="G114" s="273">
        <f ca="1">IF($C$93=0,0,G113/$C$93)</f>
        <v>0</v>
      </c>
      <c r="H114" s="259"/>
      <c r="K114" s="790" t="b">
        <v>1</v>
      </c>
      <c r="M114" s="115" t="str">
        <f t="shared" si="41"/>
        <v>Warmwasser 2</v>
      </c>
      <c r="N114" s="117">
        <f>IF($N$109=$C$8,O90,IF($N$109=$D$8,S90,IF($N$109=$E$8,W90,IF($N$109=$F$8,AA90,AE90))))</f>
        <v>0</v>
      </c>
      <c r="O114" s="1">
        <f>IF(N$109=$C$8,Q90,IF(N$109=$D$8,U90,IF(N$109=$E$8,Y90,IF(N$109=$F$8,AC90,AG90))))</f>
        <v>0</v>
      </c>
      <c r="P114" s="117">
        <f ca="1">IF($P$109=$C$8,O90,IF($P$109=$D$8,S90,IF($P$109=$E$8,W90,IF($P$109=$F$8,AA90,AE90))))</f>
        <v>0</v>
      </c>
      <c r="Q114" s="1">
        <f ca="1">IF($P$109=$C$8,Q90,IF($P$109=$D$8,U90,IF($P$109=$E$8,Y90,IF($P$109=$F$8,AC90,AG90))))</f>
        <v>0</v>
      </c>
      <c r="R114" s="117">
        <f ca="1">IF($R$109=$C$8,O90,IF($R$109=$D$8,S90,IF($R$109=$E$8,W90,IF($R$109=$F$8,AA90,AE90))))</f>
        <v>0</v>
      </c>
      <c r="S114" s="1">
        <f ca="1">IF($R$109=$C$8,Q90,IF($R$109=$D$8,U90,IF($R$109=$E$8,Y90,IF($R$109=$F$8,AC90,AG90))))</f>
        <v>0</v>
      </c>
      <c r="T114" s="117">
        <f ca="1">IF($T$109=$C$8,O90,IF($T$109=$D$8,S90,IF($T$109=$E$8,W90,IF($T$109=$F$8,AA90,AE90))))</f>
        <v>0</v>
      </c>
      <c r="U114" s="1">
        <f ca="1">IF($T$109=$C$8,Q90,IF($T$109=$D$8,U90,IF($T$109=$E$8,Y90,IF($T$109=$F$8,AC90,AG90))))</f>
        <v>0</v>
      </c>
      <c r="V114" s="117">
        <f ca="1">IF($V$109=$C$8,O90,IF($V$109=$D$8,S90,IF($V$109=$E$8,W90,IF($V$109=$F$8,AA90,AE90))))</f>
        <v>0</v>
      </c>
      <c r="W114" s="1">
        <f ca="1">IF($V$109=$C$8,Q90,IF($V$109=$D$8,U90,IF($V$109=$E$8,Y90,IF($V$109=$F$8,AC90,AG90))))</f>
        <v>0</v>
      </c>
      <c r="AQ114" s="862"/>
      <c r="AR114" s="862"/>
      <c r="AS114" s="862"/>
      <c r="AT114" s="862"/>
      <c r="AU114" s="862"/>
      <c r="AV114" s="862"/>
      <c r="AW114" s="862"/>
      <c r="AX114" s="862"/>
      <c r="AY114" s="862"/>
      <c r="AZ114" s="862"/>
      <c r="BA114" s="862"/>
      <c r="BB114" s="862"/>
      <c r="BC114" s="862"/>
      <c r="BD114" s="862"/>
      <c r="BE114" s="862"/>
      <c r="BF114" s="862"/>
      <c r="BG114" s="862"/>
      <c r="BH114" s="862"/>
      <c r="BI114" s="862"/>
      <c r="BJ114" s="862"/>
      <c r="BK114" s="862"/>
      <c r="BL114" s="862"/>
      <c r="BM114" s="862"/>
      <c r="BN114" s="862"/>
    </row>
    <row r="115" spans="1:66" ht="12.95" customHeight="1" x14ac:dyDescent="0.25">
      <c r="A115" s="261"/>
      <c r="B115" s="258"/>
      <c r="C115" s="258"/>
      <c r="D115" s="274"/>
      <c r="E115" s="258"/>
      <c r="F115" s="258"/>
      <c r="G115" s="258"/>
      <c r="H115" s="259"/>
      <c r="K115" s="790" t="b">
        <v>1</v>
      </c>
      <c r="M115" s="115" t="str">
        <f t="shared" si="41"/>
        <v>Klimatisierung</v>
      </c>
      <c r="N115" s="117">
        <f>IF($N$109=$C$8,O91,IF($N$109=$D$8,S91,IF($N$109=$E$8,W91,IF($N$109=$F$8,AA91,AE91))))</f>
        <v>0</v>
      </c>
      <c r="O115" s="1">
        <f>IF(N$109=$C$8,Q91,IF(N$109=$D$8,U91,IF(N$109=$E$8,Y91,IF(N$109=$F$8,AC91,AG91))))</f>
        <v>0</v>
      </c>
      <c r="P115" s="117">
        <f ca="1">IF($P$109=$C$8,O91,IF($P$109=$D$8,S91,IF($P$109=$E$8,W91,IF($P$109=$F$8,AA91,AE91))))</f>
        <v>0</v>
      </c>
      <c r="Q115" s="1">
        <f ca="1">IF($P$109=$C$8,Q91,IF($P$109=$D$8,U91,IF($P$109=$E$8,Y91,IF($P$109=$F$8,AC91,AG91))))</f>
        <v>0</v>
      </c>
      <c r="R115" s="117">
        <f ca="1">IF($R$109=$C$8,O91,IF($R$109=$D$8,S91,IF($R$109=$E$8,W91,IF($R$109=$F$8,AA91,AE91))))</f>
        <v>0</v>
      </c>
      <c r="S115" s="1">
        <f ca="1">IF($R$109=$C$8,Q91,IF($R$109=$D$8,U91,IF($R$109=$E$8,Y91,IF($R$109=$F$8,AC91,AG91))))</f>
        <v>0</v>
      </c>
      <c r="T115" s="117">
        <f ca="1">IF($T$109=$C$8,O91,IF($T$109=$D$8,S91,IF($T$109=$E$8,W91,IF($T$109=$F$8,AA91,AE91))))</f>
        <v>0</v>
      </c>
      <c r="U115" s="1">
        <f ca="1">IF($T$109=$C$8,Q91,IF($T$109=$D$8,U91,IF($T$109=$E$8,Y91,IF($T$109=$F$8,AC91,AG91))))</f>
        <v>0</v>
      </c>
      <c r="V115" s="117">
        <f ca="1">IF($V$109=$C$8,O91,IF($V$109=$D$8,S91,IF($V$109=$E$8,W91,IF($V$109=$F$8,AA91,AE91))))</f>
        <v>0</v>
      </c>
      <c r="W115" s="1">
        <f ca="1">IF($V$109=$C$8,Q91,IF($V$109=$D$8,U91,IF($V$109=$E$8,Y91,IF($V$109=$F$8,AC91,AG91))))</f>
        <v>0</v>
      </c>
      <c r="AQ115" s="863"/>
      <c r="AR115" s="863"/>
      <c r="AS115" s="863"/>
      <c r="AT115" s="863"/>
      <c r="AU115" s="863"/>
      <c r="AV115" s="863"/>
      <c r="AW115" s="863"/>
      <c r="AX115" s="863"/>
      <c r="AY115" s="863"/>
      <c r="AZ115" s="863"/>
      <c r="BA115" s="863"/>
      <c r="BB115" s="863"/>
      <c r="BC115" s="863"/>
      <c r="BD115" s="863"/>
      <c r="BE115" s="863"/>
      <c r="BF115" s="863"/>
      <c r="BG115" s="863"/>
      <c r="BH115" s="863"/>
      <c r="BI115" s="863"/>
      <c r="BJ115" s="863"/>
      <c r="BK115" s="863"/>
      <c r="BL115" s="863"/>
      <c r="BM115" s="863"/>
      <c r="BN115" s="863"/>
    </row>
    <row r="116" spans="1:66" ht="12.95" customHeight="1" x14ac:dyDescent="0.25">
      <c r="A116" s="261"/>
      <c r="B116" s="258"/>
      <c r="C116" s="258"/>
      <c r="D116" s="274"/>
      <c r="E116" s="258"/>
      <c r="F116" s="258"/>
      <c r="G116" s="258"/>
      <c r="H116" s="259"/>
      <c r="K116" s="790" t="b">
        <v>1</v>
      </c>
      <c r="M116" s="115"/>
      <c r="N116" s="117"/>
      <c r="O116" s="1"/>
      <c r="P116" s="117"/>
      <c r="Q116" s="1"/>
      <c r="R116" s="117"/>
      <c r="S116" s="1"/>
      <c r="T116" s="117"/>
      <c r="U116" s="1"/>
      <c r="V116" s="117"/>
      <c r="W116" s="1"/>
      <c r="AQ116" s="258"/>
      <c r="AR116" s="873" t="b">
        <f>'E.2 Wirtschaftlichkeit'!X63</f>
        <v>0</v>
      </c>
      <c r="AS116" s="873" t="b">
        <f>'E.2 Wirtschaftlichkeit'!Y63</f>
        <v>0</v>
      </c>
      <c r="AT116" s="873" t="b">
        <f>'E.2 Wirtschaftlichkeit'!Z63</f>
        <v>0</v>
      </c>
      <c r="AU116" s="873" t="b">
        <f>'E.2 Wirtschaftlichkeit'!AA63</f>
        <v>0</v>
      </c>
      <c r="AV116" s="873" t="b">
        <f>'E.2 Wirtschaftlichkeit'!AB63</f>
        <v>0</v>
      </c>
      <c r="AW116" s="873" t="b">
        <f>'E.2 Wirtschaftlichkeit'!AC63</f>
        <v>0</v>
      </c>
      <c r="AX116" s="873" t="b">
        <f>'E.2 Wirtschaftlichkeit'!AD63</f>
        <v>1</v>
      </c>
      <c r="AY116" s="873" t="b">
        <f>'E.2 Wirtschaftlichkeit'!AE63</f>
        <v>0</v>
      </c>
      <c r="AZ116" s="873" t="b">
        <f>'E.2 Wirtschaftlichkeit'!AF63</f>
        <v>0</v>
      </c>
      <c r="BA116" s="873" t="b">
        <f>'E.2 Wirtschaftlichkeit'!AG63</f>
        <v>0</v>
      </c>
      <c r="BB116" s="864"/>
      <c r="BC116" s="864"/>
      <c r="BD116" s="864"/>
      <c r="BE116" s="864"/>
      <c r="BF116" s="864"/>
      <c r="BG116" s="864"/>
      <c r="BH116" s="864"/>
      <c r="BI116" s="864"/>
      <c r="BJ116" s="864"/>
      <c r="BK116" s="864"/>
      <c r="BL116" s="864"/>
      <c r="BM116" s="864"/>
      <c r="BN116" s="864"/>
    </row>
    <row r="117" spans="1:66" ht="15" customHeight="1" thickBot="1" x14ac:dyDescent="0.3">
      <c r="A117" s="257"/>
      <c r="B117" s="258"/>
      <c r="C117" s="234" t="str">
        <f>C111</f>
        <v>BTV</v>
      </c>
      <c r="D117" s="234" t="str">
        <f>D111</f>
        <v>PH</v>
      </c>
      <c r="E117" s="234" t="str">
        <f>E111</f>
        <v>PHSol</v>
      </c>
      <c r="F117" s="234" t="str">
        <f>F111</f>
        <v>PHWRGSo</v>
      </c>
      <c r="G117" s="234" t="str">
        <f>G111</f>
        <v>PHWRGSoPV</v>
      </c>
      <c r="H117" s="259"/>
      <c r="K117" s="790" t="b">
        <v>1</v>
      </c>
      <c r="M117" s="115" t="str">
        <f t="shared" si="41"/>
        <v>Kühlung</v>
      </c>
      <c r="N117" s="117">
        <f t="shared" ref="N117:N131" si="42">IF($N$109=$C$8,O93,IF($N$109=$D$8,S93,IF($N$109=$E$8,W93,IF($N$109=$F$8,AA93,AE93))))</f>
        <v>0</v>
      </c>
      <c r="O117" s="1">
        <f t="shared" ref="O117:O131" si="43">IF(N$109=$C$8,Q93,IF(N$109=$D$8,U93,IF(N$109=$E$8,Y93,IF(N$109=$F$8,AC93,AG93))))</f>
        <v>0</v>
      </c>
      <c r="P117" s="117">
        <f t="shared" ref="P117:P131" ca="1" si="44">IF($P$109=$C$8,O93,IF($P$109=$D$8,S93,IF($P$109=$E$8,W93,IF($P$109=$F$8,AA93,AE93))))</f>
        <v>0</v>
      </c>
      <c r="Q117" s="1">
        <f t="shared" ref="Q117:Q131" ca="1" si="45">IF($P$109=$C$8,Q93,IF($P$109=$D$8,U93,IF($P$109=$E$8,Y93,IF($P$109=$F$8,AC93,AG93))))</f>
        <v>0</v>
      </c>
      <c r="R117" s="117">
        <f t="shared" ref="R117:R131" ca="1" si="46">IF($R$109=$C$8,O93,IF($R$109=$D$8,S93,IF($R$109=$E$8,W93,IF($R$109=$F$8,AA93,AE93))))</f>
        <v>0</v>
      </c>
      <c r="S117" s="1">
        <f t="shared" ref="S117:S131" ca="1" si="47">IF($R$109=$C$8,Q93,IF($R$109=$D$8,U93,IF($R$109=$E$8,Y93,IF($R$109=$F$8,AC93,AG93))))</f>
        <v>0</v>
      </c>
      <c r="T117" s="117">
        <f t="shared" ref="T117:T131" ca="1" si="48">IF($T$109=$C$8,O93,IF($T$109=$D$8,S93,IF($T$109=$E$8,W93,IF($T$109=$F$8,AA93,AE93))))</f>
        <v>0</v>
      </c>
      <c r="U117" s="1">
        <f t="shared" ref="U117:U131" ca="1" si="49">IF($T$109=$C$8,Q93,IF($T$109=$D$8,U93,IF($T$109=$E$8,Y93,IF($T$109=$F$8,AC93,AG93))))</f>
        <v>0</v>
      </c>
      <c r="V117" s="117">
        <f t="shared" ref="V117:V131" ca="1" si="50">IF($V$109=$C$8,O93,IF($V$109=$D$8,S93,IF($V$109=$E$8,W93,IF($V$109=$F$8,AA93,AE93))))</f>
        <v>0</v>
      </c>
      <c r="W117" s="1">
        <f t="shared" ref="W117:W131" ca="1" si="51">IF($V$109=$C$8,Q93,IF($V$109=$D$8,U93,IF($V$109=$E$8,Y93,IF($V$109=$F$8,AC93,AG93))))</f>
        <v>0</v>
      </c>
      <c r="AQ117" s="829" t="str">
        <f>IF(OR($AV$112=0,$AV$112=""),"",IF($AV$112=$N$6,AN198,IF($AV$112=$N$7,AN372,IF($AV$112=$N$8,AN548,IF($AV$112=$N$9,AN722,IF($AV$112=$N$10,AN895,""))))))</f>
        <v>Betrachtungszeitraum</v>
      </c>
      <c r="AR117" s="829">
        <f>IF(OR($AV$112=0,$AV$112=""),"",IF($AV$112=$N$6,AO198,IF($AV$112=$N$7,AO372,IF($AV$112=$N$8,AO548,IF($AV$112=$N$9,AO722,IF($AV$112=$N$10,AO895,""))))))</f>
        <v>35</v>
      </c>
      <c r="AS117" s="829"/>
      <c r="AT117" s="829"/>
      <c r="AU117" s="829"/>
      <c r="AV117" s="829"/>
      <c r="AW117" s="829"/>
      <c r="AX117" s="829"/>
      <c r="AY117" s="829"/>
      <c r="AZ117" s="829"/>
      <c r="BA117" s="829"/>
      <c r="BB117" s="829"/>
      <c r="BC117" s="829"/>
      <c r="BD117" s="829"/>
      <c r="BE117" s="829"/>
      <c r="BF117" s="829"/>
      <c r="BG117" s="829"/>
      <c r="BH117" s="829"/>
      <c r="BI117" s="829"/>
      <c r="BJ117" s="829"/>
      <c r="BK117" s="829"/>
      <c r="BL117" s="829"/>
      <c r="BM117" s="829"/>
      <c r="BN117" s="829"/>
    </row>
    <row r="118" spans="1:66" ht="15" customHeight="1" x14ac:dyDescent="0.25">
      <c r="A118" s="221" t="s">
        <v>382</v>
      </c>
      <c r="B118" s="222" t="s">
        <v>363</v>
      </c>
      <c r="C118" s="270">
        <f ca="1">IF(C$97=$C$76,$C87,IF(C$97=$D$76,$D87,IF(C$97=$E$76,$E87,IF(C$97=$F$76,$F87,$G87))))</f>
        <v>13224.18885744</v>
      </c>
      <c r="D118" s="270">
        <f ca="1">IF(D$97=$C$76,$C87,IF(D$97=$D$76,$D87,IF(D$97=$E$76,$E87,IF(D$97=$F$76,$F87,$G87))))</f>
        <v>11460.111577200001</v>
      </c>
      <c r="E118" s="270">
        <f ca="1">IF(E$97=$C$76,$C87,IF(E$97=$D$76,$D87,IF(E$97=$E$76,$E87,IF(E$97=$F$76,$F87,$G87))))</f>
        <v>8364.2718772799999</v>
      </c>
      <c r="F118" s="270">
        <f ca="1">IF(F$97=$C$76,$C87,IF(F$97=$D$76,$D87,IF(F$97=$E$76,$E87,IF(F$97=$F$76,$F87,$G87))))</f>
        <v>8469.1298366400006</v>
      </c>
      <c r="G118" s="270">
        <f ca="1">IF(G$97=$C$76,$C87,IF(G$97=$D$76,$D87,IF(G$97=$E$76,$E87,IF(G$97=$F$76,$F87,$G87))))</f>
        <v>6310.5798366400004</v>
      </c>
      <c r="H118" s="1651" t="s">
        <v>374</v>
      </c>
      <c r="K118" s="790" t="b">
        <v>1</v>
      </c>
      <c r="M118" s="115" t="str">
        <f t="shared" si="41"/>
        <v>Hilfstrom Heizung</v>
      </c>
      <c r="N118" s="117">
        <f t="shared" si="42"/>
        <v>1353.7919999999999</v>
      </c>
      <c r="O118" s="1">
        <f t="shared" si="43"/>
        <v>0</v>
      </c>
      <c r="P118" s="117">
        <f t="shared" si="44"/>
        <v>1208.02</v>
      </c>
      <c r="Q118" s="1">
        <f t="shared" si="45"/>
        <v>0</v>
      </c>
      <c r="R118" s="117">
        <f t="shared" si="46"/>
        <v>1108.5360000000001</v>
      </c>
      <c r="S118" s="1">
        <f t="shared" si="47"/>
        <v>0</v>
      </c>
      <c r="T118" s="117">
        <f t="shared" si="48"/>
        <v>1051.6880000000001</v>
      </c>
      <c r="U118" s="1">
        <f t="shared" si="49"/>
        <v>0</v>
      </c>
      <c r="V118" s="117">
        <f t="shared" ca="1" si="50"/>
        <v>1051.6880000000001</v>
      </c>
      <c r="W118" s="1">
        <f t="shared" ca="1" si="51"/>
        <v>0</v>
      </c>
      <c r="AQ118" s="829"/>
      <c r="AR118" s="829"/>
      <c r="AS118" s="829"/>
      <c r="AT118" s="829"/>
      <c r="AU118" s="829"/>
      <c r="AV118" s="829"/>
      <c r="AW118" s="829"/>
      <c r="AX118" s="829"/>
      <c r="AY118" s="829"/>
      <c r="AZ118" s="829"/>
      <c r="BA118" s="829"/>
      <c r="BB118" s="829"/>
      <c r="BC118" s="829"/>
      <c r="BD118" s="829"/>
      <c r="BE118" s="829"/>
      <c r="BF118" s="829"/>
      <c r="BG118" s="829"/>
      <c r="BH118" s="829"/>
      <c r="BI118" s="829"/>
      <c r="BJ118" s="829"/>
      <c r="BK118" s="829"/>
      <c r="BL118" s="829"/>
      <c r="BM118" s="829"/>
      <c r="BN118" s="829"/>
    </row>
    <row r="119" spans="1:66" ht="15" customHeight="1" x14ac:dyDescent="0.25">
      <c r="A119" s="223"/>
      <c r="B119" s="224" t="s">
        <v>377</v>
      </c>
      <c r="C119" s="271">
        <f ca="1">C118-$C$118</f>
        <v>0</v>
      </c>
      <c r="D119" s="271">
        <f ca="1">D118-$C$118</f>
        <v>-1764.0772802399988</v>
      </c>
      <c r="E119" s="271">
        <f ca="1">E118-$C$118</f>
        <v>-4859.9169801600001</v>
      </c>
      <c r="F119" s="271">
        <f ca="1">F118-$C$118</f>
        <v>-4755.0590207999994</v>
      </c>
      <c r="G119" s="271">
        <f ca="1">G118-$C$118</f>
        <v>-6913.6090207999996</v>
      </c>
      <c r="H119" s="1652"/>
      <c r="K119" s="790" t="b">
        <v>1</v>
      </c>
      <c r="M119" s="115" t="str">
        <f t="shared" si="41"/>
        <v>Hilfsstrom Warmwasser</v>
      </c>
      <c r="N119" s="117">
        <f t="shared" si="42"/>
        <v>705.1</v>
      </c>
      <c r="O119" s="1">
        <f t="shared" si="43"/>
        <v>0</v>
      </c>
      <c r="P119" s="117">
        <f t="shared" ca="1" si="44"/>
        <v>710.6</v>
      </c>
      <c r="Q119" s="1">
        <f t="shared" ca="1" si="45"/>
        <v>0</v>
      </c>
      <c r="R119" s="117">
        <f t="shared" si="46"/>
        <v>710.6</v>
      </c>
      <c r="S119" s="1">
        <f t="shared" si="47"/>
        <v>0</v>
      </c>
      <c r="T119" s="117">
        <f t="shared" si="48"/>
        <v>710.6</v>
      </c>
      <c r="U119" s="1">
        <f t="shared" si="49"/>
        <v>0</v>
      </c>
      <c r="V119" s="117">
        <f t="shared" ca="1" si="50"/>
        <v>710.6</v>
      </c>
      <c r="W119" s="1">
        <f t="shared" ca="1" si="51"/>
        <v>0</v>
      </c>
      <c r="AP119" s="214">
        <f ca="1">NPV(D157,AP136:AP172)</f>
        <v>-9446.6937911822897</v>
      </c>
      <c r="AQ119" s="829"/>
      <c r="AR119" s="829"/>
      <c r="AS119" s="829"/>
      <c r="AT119" s="829"/>
      <c r="AU119" s="829"/>
      <c r="AV119" s="829"/>
      <c r="AW119" s="829"/>
      <c r="AX119" s="829"/>
      <c r="AY119" s="829"/>
      <c r="AZ119" s="829"/>
      <c r="BA119" s="829"/>
      <c r="BB119" s="829" t="str">
        <f>IF(OR($AV$112=0,$AV$112=""),"",IF($AV$112=$N$6,AY200,IF($AV$112=$N$7,AY374,IF($AV$112=$N$8,AY550,IF($AV$112=$N$9,AY724,IF($AV$112=$N$10,AY897,""))))))</f>
        <v>Verbrauchsgebundene Zahlungen</v>
      </c>
      <c r="BC119" s="829"/>
      <c r="BD119" s="829"/>
      <c r="BE119" s="829"/>
      <c r="BF119" s="829"/>
      <c r="BG119" s="829"/>
      <c r="BH119" s="829"/>
      <c r="BI119" s="829"/>
      <c r="BJ119" s="829">
        <f t="shared" ref="BJ119:BJ150" si="52">IF(OR($AV$112=0,$AV$112=""),"",IF($AV$112=$N$6,BG200,IF($AV$112=$N$7,BG374,IF($AV$112=$N$8,BG550,IF($AV$112=$N$9,BG724,IF($AV$112=$N$10,BG897,""))))))</f>
        <v>0</v>
      </c>
      <c r="BK119" s="829" t="str">
        <f t="shared" ref="BK119:BK150" si="53">IF(OR($AV$112=0,$AV$112=""),"",IF($AV$112=$N$6,BH200,IF($AV$112=$N$7,BH374,IF($AV$112=$N$8,BH550,IF($AV$112=$N$9,BH724,IF($AV$112=$N$10,BH897,""))))))</f>
        <v>Betriebsgebundene Zahlungen</v>
      </c>
      <c r="BL119" s="829"/>
      <c r="BM119" s="829"/>
      <c r="BN119" s="829"/>
    </row>
    <row r="120" spans="1:66" ht="15" customHeight="1" x14ac:dyDescent="0.25">
      <c r="A120" s="225" t="s">
        <v>385</v>
      </c>
      <c r="B120" s="226" t="s">
        <v>363</v>
      </c>
      <c r="C120" s="229">
        <f ca="1">IF(C$97=$C$76,$C88,IF(C$97=$D$76,$D88,IF(C$97=$E$76,$E88,IF(C$97=$F$76,$F88,$G88))))</f>
        <v>-6362.3</v>
      </c>
      <c r="D120" s="229">
        <f ca="1">IF(D$97=$C$76,$C88,IF(D$97=$D$76,$D88,IF(D$97=$E$76,$E88,IF(D$97=$F$76,$F88,$G88))))</f>
        <v>-6362.3</v>
      </c>
      <c r="E120" s="229">
        <f ca="1">IF(E$97=$C$76,$C88,IF(E$97=$D$76,$D88,IF(E$97=$E$76,$E88,IF(E$97=$F$76,$F88,$G88))))</f>
        <v>-6671.2999999999993</v>
      </c>
      <c r="F120" s="229">
        <f ca="1">IF(F$97=$C$76,$C88,IF(F$97=$D$76,$D88,IF(F$97=$E$76,$E88,IF(F$97=$F$76,$F88,$G88))))</f>
        <v>-7490.3</v>
      </c>
      <c r="G120" s="229">
        <f ca="1">IF(G$97=$C$76,$C88,IF(G$97=$D$76,$D88,IF(G$97=$E$76,$E88,IF(G$97=$F$76,$F88,$G88))))</f>
        <v>-7919.3</v>
      </c>
      <c r="H120" s="1652"/>
      <c r="K120" s="790" t="b">
        <v>1</v>
      </c>
      <c r="M120" s="115" t="str">
        <f t="shared" si="41"/>
        <v>Hilfsstrom Solaranlage</v>
      </c>
      <c r="N120" s="117">
        <f t="shared" si="42"/>
        <v>0</v>
      </c>
      <c r="O120" s="1">
        <f t="shared" si="43"/>
        <v>0</v>
      </c>
      <c r="P120" s="117">
        <f t="shared" ca="1" si="44"/>
        <v>0</v>
      </c>
      <c r="Q120" s="1">
        <f t="shared" ca="1" si="45"/>
        <v>0</v>
      </c>
      <c r="R120" s="117">
        <f t="shared" ca="1" si="46"/>
        <v>0</v>
      </c>
      <c r="S120" s="1">
        <f t="shared" ca="1" si="47"/>
        <v>0</v>
      </c>
      <c r="T120" s="117">
        <f t="shared" ca="1" si="48"/>
        <v>0</v>
      </c>
      <c r="U120" s="1">
        <f t="shared" ca="1" si="49"/>
        <v>0</v>
      </c>
      <c r="V120" s="117">
        <f t="shared" ca="1" si="50"/>
        <v>0</v>
      </c>
      <c r="W120" s="1">
        <f t="shared" ca="1" si="51"/>
        <v>0</v>
      </c>
      <c r="AQ120" s="829"/>
      <c r="AR120" s="829"/>
      <c r="AS120" s="829"/>
      <c r="AT120" s="829"/>
      <c r="AU120" s="829">
        <f>IF(OR($AV$112=0,$AV$112=""),"",IF($AV$112=$N$6,AR201,IF($AV$112=$N$7,AR375,IF($AV$112=$N$8,AR551,IF($AV$112=$N$9,AR725,IF($AV$112=$N$10,AR898,""))))))</f>
        <v>1.016</v>
      </c>
      <c r="AV120" s="829">
        <f>IF(OR($AV$112=0,$AV$112=""),"",IF($AV$112=$N$6,AS201,IF($AV$112=$N$7,AS375,IF($AV$112=$N$8,AS551,IF($AV$112=$N$9,AS725,IF($AV$112=$N$10,AS898,""))))))</f>
        <v>1.016</v>
      </c>
      <c r="AW120" s="829">
        <f>IF(OR($AV$112=0,$AV$112=""),"",IF($AV$112=$N$6,AT201,IF($AV$112=$N$7,AT375,IF($AV$112=$N$8,AT551,IF($AV$112=$N$9,AT725,IF($AV$112=$N$10,AT898,""))))))</f>
        <v>0</v>
      </c>
      <c r="AX120" s="829"/>
      <c r="AY120" s="829"/>
      <c r="AZ120" s="829"/>
      <c r="BA120" s="829">
        <f>IF(OR($AV$112=0,$AV$112=""),"",IF($AV$112=$N$6,AX201,IF($AV$112=$N$7,AX375,IF($AV$112=$N$8,AX551,IF($AV$112=$N$9,AX725,IF($AV$112=$N$10,AX898,""))))))</f>
        <v>0</v>
      </c>
      <c r="BB120" s="829"/>
      <c r="BC120" s="829">
        <f t="shared" ref="BC120:BC151" si="54">IF(OR($AV$112=0,$AV$112=""),"",IF($AV$112=$N$6,AZ201,IF($AV$112=$N$7,AZ375,IF($AV$112=$N$8,AZ551,IF($AV$112=$N$9,AZ725,IF($AV$112=$N$10,AZ898,""))))))</f>
        <v>1</v>
      </c>
      <c r="BD120" s="829">
        <f t="shared" ref="BD120:BD151" si="55">IF(OR($AV$112=0,$AV$112=""),"",IF($AV$112=$N$6,BA201,IF($AV$112=$N$7,BA375,IF($AV$112=$N$8,BA551,IF($AV$112=$N$9,BA725,IF($AV$112=$N$10,BA898,""))))))</f>
        <v>1</v>
      </c>
      <c r="BE120" s="829">
        <f t="shared" ref="BE120:BE151" si="56">IF(OR($AV$112=0,$AV$112=""),"",IF($AV$112=$N$6,BB201,IF($AV$112=$N$7,BB375,IF($AV$112=$N$8,BB551,IF($AV$112=$N$9,BB725,IF($AV$112=$N$10,BB898,""))))))</f>
        <v>1</v>
      </c>
      <c r="BF120" s="829">
        <f t="shared" ref="BF120:BF151" si="57">IF(OR($AV$112=0,$AV$112=""),"",IF($AV$112=$N$6,BC201,IF($AV$112=$N$7,BC375,IF($AV$112=$N$8,BC551,IF($AV$112=$N$9,BC725,IF($AV$112=$N$10,BC898,""))))))</f>
        <v>1</v>
      </c>
      <c r="BG120" s="829">
        <f t="shared" ref="BG120:BG151" si="58">IF(OR($AV$112=0,$AV$112=""),"",IF($AV$112=$N$6,BD201,IF($AV$112=$N$7,BD375,IF($AV$112=$N$8,BD551,IF($AV$112=$N$9,BD725,IF($AV$112=$N$10,BD898,""))))))</f>
        <v>1</v>
      </c>
      <c r="BH120" s="829">
        <f t="shared" ref="BH120:BH151" si="59">IF(OR($AV$112=0,$AV$112=""),"",IF($AV$112=$N$6,BE201,IF($AV$112=$N$7,BE375,IF($AV$112=$N$8,BE551,IF($AV$112=$N$9,BE725,IF($AV$112=$N$10,BE898,""))))))</f>
        <v>1</v>
      </c>
      <c r="BI120" s="829">
        <f t="shared" ref="BI120:BI151" si="60">IF(OR($AV$112=0,$AV$112=""),"",IF($AV$112=$N$6,BF201,IF($AV$112=$N$7,BF375,IF($AV$112=$N$8,BF551,IF($AV$112=$N$9,BF725,IF($AV$112=$N$10,BF898,""))))))</f>
        <v>1.0249999999999999</v>
      </c>
      <c r="BJ120" s="829">
        <f t="shared" si="52"/>
        <v>1.0349999999999999</v>
      </c>
      <c r="BK120" s="829">
        <f t="shared" si="53"/>
        <v>0</v>
      </c>
      <c r="BL120" s="829">
        <f t="shared" ref="BL120:BL151" si="61">IF(OR($AV$112=0,$AV$112=""),"",IF($AV$112=$N$6,BI201,IF($AV$112=$N$7,BI375,IF($AV$112=$N$8,BI551,IF($AV$112=$N$9,BI725,IF($AV$112=$N$10,BI898,""))))))</f>
        <v>1.016</v>
      </c>
      <c r="BM120" s="829">
        <f t="shared" ref="BM120:BM151" si="62">IF(OR($AV$112=0,$AV$112=""),"",IF($AV$112=$N$6,BJ201,IF($AV$112=$N$7,BJ375,IF($AV$112=$N$8,BJ551,IF($AV$112=$N$9,BJ725,IF($AV$112=$N$10,BJ898,""))))))</f>
        <v>1.016</v>
      </c>
      <c r="BN120" s="829">
        <f t="shared" ref="BN120:BN151" si="63">IF(OR($AV$112=0,$AV$112=""),"",IF($AV$112=$N$6,BK201,IF($AV$112=$N$7,BK375,IF($AV$112=$N$8,BK551,IF($AV$112=$N$9,BK725,IF($AV$112=$N$10,BK898,""))))))</f>
        <v>0</v>
      </c>
    </row>
    <row r="121" spans="1:66" ht="15" customHeight="1" thickBot="1" x14ac:dyDescent="0.3">
      <c r="A121" s="228"/>
      <c r="B121" s="224" t="s">
        <v>377</v>
      </c>
      <c r="C121" s="271">
        <f ca="1">C120-$C$120</f>
        <v>0</v>
      </c>
      <c r="D121" s="271">
        <f ca="1">D120-$C$120</f>
        <v>0</v>
      </c>
      <c r="E121" s="271">
        <f ca="1">E120-$C$120</f>
        <v>-308.99999999999909</v>
      </c>
      <c r="F121" s="271">
        <f ca="1">F120-$C$120</f>
        <v>-1128</v>
      </c>
      <c r="G121" s="271">
        <f ca="1">G120-$C$120</f>
        <v>-1557</v>
      </c>
      <c r="H121" s="1652"/>
      <c r="K121" s="790" t="b">
        <v>1</v>
      </c>
      <c r="M121" s="115" t="str">
        <f t="shared" si="41"/>
        <v>Hilfsstrom Klimatisierung</v>
      </c>
      <c r="N121" s="117">
        <f t="shared" si="42"/>
        <v>0</v>
      </c>
      <c r="O121" s="1">
        <f t="shared" si="43"/>
        <v>0</v>
      </c>
      <c r="P121" s="117">
        <f t="shared" ca="1" si="44"/>
        <v>0</v>
      </c>
      <c r="Q121" s="1">
        <f t="shared" ca="1" si="45"/>
        <v>0</v>
      </c>
      <c r="R121" s="117">
        <f t="shared" ca="1" si="46"/>
        <v>0</v>
      </c>
      <c r="S121" s="1">
        <f t="shared" ca="1" si="47"/>
        <v>0</v>
      </c>
      <c r="T121" s="117">
        <f t="shared" ca="1" si="48"/>
        <v>0</v>
      </c>
      <c r="U121" s="1">
        <f t="shared" ca="1" si="49"/>
        <v>0</v>
      </c>
      <c r="V121" s="117">
        <f t="shared" ca="1" si="50"/>
        <v>0</v>
      </c>
      <c r="W121" s="1">
        <f t="shared" ca="1" si="51"/>
        <v>0</v>
      </c>
      <c r="AP121" s="300" t="s">
        <v>550</v>
      </c>
      <c r="AQ121" s="829" t="str">
        <f t="shared" ref="AQ121:AQ152" si="64">IF(OR($AV$112=0,$AV$112=""),"",IF($AV$112=$N$6,AN202,IF($AV$112=$N$7,AN376,IF($AV$112=$N$8,AN552,IF($AV$112=$N$9,AN726,IF($AV$112=$N$10,AN899,""))))))</f>
        <v>Jahr</v>
      </c>
      <c r="AR121" s="829" t="str">
        <f t="shared" ref="AR121:AR152" si="65">IF($AR$116=TRUE,IF(OR($AV$112=0,$AV$112=""),"",IF($AV$112=$N$6,AO202,IF($AV$112=$N$7,AO376,IF($AV$112=$N$8,AO552,IF($AV$112=$N$9,AO726,IF($AV$112=$N$10,AO899,"")))))),"")</f>
        <v/>
      </c>
      <c r="AS121" s="829" t="str">
        <f t="shared" ref="AS121:AS152" si="66">IF($AS$116=TRUE,IF(OR($AV$112=0,$AV$112=""),"",IF($AV$112=$N$6,AP202,IF($AV$112=$N$7,AP376,IF($AV$112=$N$8,AP552,IF($AV$112=$N$9,AP726,IF($AV$112=$N$10,AP899,"")))))),"")</f>
        <v/>
      </c>
      <c r="AT121" s="869" t="str">
        <f t="shared" ref="AT121:AT152" si="67">IF($AT$116=TRUE,IF(OR($AV$112=0,$AV$112=""),"",IF($AV$112=$N$6,AQ202,IF($AV$112=$N$7,AQ376,IF($AV$112=$N$8,AQ552,IF($AV$112=$N$9,AQ726,IF($AV$112=$N$10,AQ899,"")))))),"")</f>
        <v/>
      </c>
      <c r="AU121" s="829" t="str">
        <f t="shared" ref="AU121:AU152" si="68">IF($AU$116=TRUE,IF(OR($AV$112=0,$AV$112=""),"",IF($AV$112=$N$6,AR202,IF($AV$112=$N$7,AR376,IF($AV$112=$N$8,AR552,IF($AV$112=$N$9,AR726,IF($AV$112=$N$10,AR899,"")))))),"")</f>
        <v/>
      </c>
      <c r="AV121" s="829" t="str">
        <f t="shared" ref="AV121:AV152" si="69">IF($AV$116=TRUE,IF(OR($AV$112=0,$AV$112=""),"",IF($AV$112=$N$6,AS202,IF($AV$112=$N$7,AS376,IF($AV$112=$N$8,AS552,IF($AV$112=$N$9,AS726,IF($AV$112=$N$10,AS899,"")))))),"")</f>
        <v/>
      </c>
      <c r="AW121" s="829" t="str">
        <f t="shared" ref="AW121:AW152" si="70">IF($AW$116=TRUE,IF(OR($AV$112=0,$AV$112=""),"",IF($AV$112=$N$6,AT202,IF($AV$112=$N$7,AT376,IF($AV$112=$N$8,AT552,IF($AV$112=$N$9,AT726,IF($AV$112=$N$10,AT899,"")))))),"")</f>
        <v/>
      </c>
      <c r="AX121" s="829" t="str">
        <f t="shared" ref="AX121:AX152" si="71">IF($AX$116=TRUE,IF(OR($AV$112=0,$AV$112=""),"",IF($AV$112=$N$6,AU202,IF($AV$112=$N$7,AU376,IF($AV$112=$N$8,AU552,IF($AV$112=$N$9,AU726,IF($AV$112=$N$10,AU899,"")))))),"")</f>
        <v>PV-Einspeisung</v>
      </c>
      <c r="AY121" s="829" t="str">
        <f t="shared" ref="AY121:AY152" si="72">IF($AY$116=TRUE,IF(OR($AV$112=0,$AV$112=""),"",IF($AV$112=$N$6,AV202,IF($AV$112=$N$7,AV376,IF($AV$112=$N$8,AV552,IF($AV$112=$N$9,AV726,IF($AV$112=$N$10,AV899,"")))))),"")</f>
        <v/>
      </c>
      <c r="AZ121" s="829" t="str">
        <f t="shared" ref="AZ121:AZ152" si="73">IF($AZ$116=TRUE,IF(OR($AV$112=0,$AV$112=""),"",IF($AV$112=$N$6,AW202,IF($AV$112=$N$7,AW376,IF($AV$112=$N$8,AW552,IF($AV$112=$N$9,AW726,IF($AV$112=$N$10,AW899,"")))))),"")</f>
        <v/>
      </c>
      <c r="BA121" s="829" t="str">
        <f t="shared" ref="BA121:BA152" si="74">IF($BA$116=TRUE,IF(OR($AV$112=0,$AV$112=""),"",IF($AV$112=$N$6,AX202,IF($AV$112=$N$7,AX376,IF($AV$112=$N$8,AX552,IF($AV$112=$N$9,AX726,IF($AV$112=$N$10,AX899,"")))))),"")</f>
        <v/>
      </c>
      <c r="BB121" s="866" t="str">
        <f t="shared" ref="BB121:BB152" si="75">IF(OR($AV$112=0,$AV$112=""),"",IF($AV$112=$N$6,AY202,IF($AV$112=$N$7,AY376,IF($AV$112=$N$8,AY552,IF($AV$112=$N$9,AY726,IF($AV$112=$N$10,AY899,""))))))</f>
        <v>Jahre</v>
      </c>
      <c r="BC121" s="866" t="str">
        <f t="shared" si="54"/>
        <v>Heizöl</v>
      </c>
      <c r="BD121" s="866" t="str">
        <f t="shared" si="55"/>
        <v>Erdgas</v>
      </c>
      <c r="BE121" s="866" t="str">
        <f t="shared" si="56"/>
        <v>Kohle</v>
      </c>
      <c r="BF121" s="866" t="str">
        <f t="shared" si="57"/>
        <v>Fernwärme ne.</v>
      </c>
      <c r="BG121" s="866" t="str">
        <f t="shared" si="58"/>
        <v>Fernwärme e.</v>
      </c>
      <c r="BH121" s="866" t="str">
        <f t="shared" si="59"/>
        <v>Biomasse</v>
      </c>
      <c r="BI121" s="866" t="str">
        <f t="shared" si="60"/>
        <v>Strom</v>
      </c>
      <c r="BJ121" s="866" t="str">
        <f t="shared" si="52"/>
        <v>Wärmepumpenstrom</v>
      </c>
      <c r="BK121" s="866" t="str">
        <f t="shared" si="53"/>
        <v>Jahre</v>
      </c>
      <c r="BL121" s="866" t="str">
        <f t="shared" si="61"/>
        <v>Wartung</v>
      </c>
      <c r="BM121" s="866" t="str">
        <f t="shared" si="62"/>
        <v>Betriebsgebundene</v>
      </c>
      <c r="BN121" s="866" t="str">
        <f t="shared" si="63"/>
        <v>PV-Grundgebühr</v>
      </c>
    </row>
    <row r="122" spans="1:66" ht="15" customHeight="1" x14ac:dyDescent="0.25">
      <c r="A122" s="221" t="s">
        <v>369</v>
      </c>
      <c r="B122" s="238" t="s">
        <v>363</v>
      </c>
      <c r="C122" s="229">
        <f ca="1">IF(C$97=$C$76,$C89,IF(C$97=$D$76,$D89,IF(C$97=$E$76,$E89,IF(C$97=$F$76,$F89,$G89))))</f>
        <v>6861.8888574399998</v>
      </c>
      <c r="D122" s="229">
        <f ca="1">IF(D$97=$C$76,$C89,IF(D$97=$D$76,$D89,IF(D$97=$E$76,$E89,IF(D$97=$F$76,$F89,$G89))))</f>
        <v>5097.811577200001</v>
      </c>
      <c r="E122" s="229">
        <f ca="1">IF(E$97=$C$76,$C89,IF(E$97=$D$76,$D89,IF(E$97=$E$76,$E89,IF(E$97=$F$76,$F89,$G89))))</f>
        <v>1692.9718772800006</v>
      </c>
      <c r="F122" s="229">
        <f ca="1">IF(F$97=$C$76,$C89,IF(F$97=$D$76,$D89,IF(F$97=$E$76,$E89,IF(F$97=$F$76,$F89,$G89))))</f>
        <v>978.82983664000039</v>
      </c>
      <c r="G122" s="229">
        <f ca="1">IF(G$97=$C$76,$C89,IF(G$97=$D$76,$D89,IF(G$97=$E$76,$E89,IF(G$97=$F$76,$F89,$G89))))</f>
        <v>-1608.7201633599998</v>
      </c>
      <c r="H122" s="1652"/>
      <c r="K122" s="790" t="b">
        <v>1</v>
      </c>
      <c r="M122" s="115" t="str">
        <f t="shared" si="41"/>
        <v>Hilfsstrom Lüftung</v>
      </c>
      <c r="N122" s="117">
        <f t="shared" si="42"/>
        <v>1974.28</v>
      </c>
      <c r="O122" s="1">
        <f t="shared" si="43"/>
        <v>0</v>
      </c>
      <c r="P122" s="117">
        <f t="shared" ca="1" si="44"/>
        <v>1989.6799999999998</v>
      </c>
      <c r="Q122" s="1">
        <f t="shared" ca="1" si="45"/>
        <v>0</v>
      </c>
      <c r="R122" s="117">
        <f t="shared" ca="1" si="46"/>
        <v>1989.6799999999998</v>
      </c>
      <c r="S122" s="1">
        <f t="shared" ca="1" si="47"/>
        <v>0</v>
      </c>
      <c r="T122" s="117">
        <f t="shared" si="48"/>
        <v>4547.84</v>
      </c>
      <c r="U122" s="1">
        <f t="shared" si="49"/>
        <v>0</v>
      </c>
      <c r="V122" s="117">
        <f t="shared" ca="1" si="50"/>
        <v>4547.84</v>
      </c>
      <c r="W122" s="1">
        <f t="shared" ca="1" si="51"/>
        <v>0</v>
      </c>
      <c r="AP122" s="214">
        <f t="shared" ref="AP122:AP135" si="76">SUM(AR122:BA122)</f>
        <v>0</v>
      </c>
      <c r="AQ122" s="870">
        <f t="shared" si="64"/>
        <v>0</v>
      </c>
      <c r="AR122" s="829" t="str">
        <f t="shared" si="65"/>
        <v/>
      </c>
      <c r="AS122" s="829" t="str">
        <f t="shared" si="66"/>
        <v/>
      </c>
      <c r="AT122" s="869" t="str">
        <f t="shared" si="67"/>
        <v/>
      </c>
      <c r="AU122" s="829" t="str">
        <f t="shared" si="68"/>
        <v/>
      </c>
      <c r="AV122" s="829" t="str">
        <f t="shared" si="69"/>
        <v/>
      </c>
      <c r="AW122" s="829" t="str">
        <f t="shared" si="70"/>
        <v/>
      </c>
      <c r="AX122" s="829">
        <f t="shared" si="71"/>
        <v>0</v>
      </c>
      <c r="AY122" s="829" t="str">
        <f t="shared" si="72"/>
        <v/>
      </c>
      <c r="AZ122" s="829" t="str">
        <f t="shared" si="73"/>
        <v/>
      </c>
      <c r="BA122" s="829" t="str">
        <f t="shared" si="74"/>
        <v/>
      </c>
      <c r="BB122" s="829">
        <f t="shared" si="75"/>
        <v>0</v>
      </c>
      <c r="BC122" s="829">
        <f t="shared" si="54"/>
        <v>0</v>
      </c>
      <c r="BD122" s="829">
        <f t="shared" si="55"/>
        <v>0</v>
      </c>
      <c r="BE122" s="829">
        <f t="shared" si="56"/>
        <v>0</v>
      </c>
      <c r="BF122" s="829">
        <f t="shared" si="57"/>
        <v>0</v>
      </c>
      <c r="BG122" s="829">
        <f t="shared" si="58"/>
        <v>0</v>
      </c>
      <c r="BH122" s="829">
        <f t="shared" si="59"/>
        <v>0</v>
      </c>
      <c r="BI122" s="829">
        <f t="shared" si="60"/>
        <v>0</v>
      </c>
      <c r="BJ122" s="829">
        <f t="shared" si="52"/>
        <v>0</v>
      </c>
      <c r="BK122" s="829">
        <f t="shared" si="53"/>
        <v>0</v>
      </c>
      <c r="BL122" s="829">
        <f t="shared" si="61"/>
        <v>0</v>
      </c>
      <c r="BM122" s="829">
        <f t="shared" si="62"/>
        <v>0</v>
      </c>
      <c r="BN122" s="829">
        <f t="shared" si="63"/>
        <v>0</v>
      </c>
    </row>
    <row r="123" spans="1:66" ht="15" customHeight="1" x14ac:dyDescent="0.25">
      <c r="A123" s="230"/>
      <c r="B123" s="224" t="s">
        <v>377</v>
      </c>
      <c r="C123" s="271">
        <f ca="1">C122-$C$122</f>
        <v>0</v>
      </c>
      <c r="D123" s="271">
        <f ca="1">D122-$C$122</f>
        <v>-1764.0772802399988</v>
      </c>
      <c r="E123" s="271">
        <f ca="1">E122-$C$122</f>
        <v>-5168.9169801599992</v>
      </c>
      <c r="F123" s="271">
        <f ca="1">F122-$C$122</f>
        <v>-5883.0590207999994</v>
      </c>
      <c r="G123" s="271">
        <f ca="1">G122-$C$122</f>
        <v>-8470.6090207999987</v>
      </c>
      <c r="H123" s="1652"/>
      <c r="K123" s="790" t="b">
        <v>1</v>
      </c>
      <c r="M123" s="115" t="str">
        <f t="shared" si="41"/>
        <v>Hilfsstrom Kühlung</v>
      </c>
      <c r="N123" s="117">
        <f t="shared" si="42"/>
        <v>0</v>
      </c>
      <c r="O123" s="1">
        <f t="shared" si="43"/>
        <v>0</v>
      </c>
      <c r="P123" s="117">
        <f t="shared" ca="1" si="44"/>
        <v>0</v>
      </c>
      <c r="Q123" s="1">
        <f t="shared" ca="1" si="45"/>
        <v>0</v>
      </c>
      <c r="R123" s="117">
        <f t="shared" ca="1" si="46"/>
        <v>0</v>
      </c>
      <c r="S123" s="1">
        <f t="shared" ca="1" si="47"/>
        <v>0</v>
      </c>
      <c r="T123" s="117">
        <f t="shared" ca="1" si="48"/>
        <v>0</v>
      </c>
      <c r="U123" s="1">
        <f t="shared" ca="1" si="49"/>
        <v>0</v>
      </c>
      <c r="V123" s="117">
        <f t="shared" ca="1" si="50"/>
        <v>0</v>
      </c>
      <c r="W123" s="1">
        <f t="shared" ca="1" si="51"/>
        <v>0</v>
      </c>
      <c r="AP123" s="214">
        <f t="shared" ca="1" si="76"/>
        <v>-603.35</v>
      </c>
      <c r="AQ123" s="870">
        <f t="shared" si="64"/>
        <v>1</v>
      </c>
      <c r="AR123" s="829" t="str">
        <f t="shared" si="65"/>
        <v/>
      </c>
      <c r="AS123" s="829" t="str">
        <f t="shared" si="66"/>
        <v/>
      </c>
      <c r="AT123" s="869" t="str">
        <f t="shared" si="67"/>
        <v/>
      </c>
      <c r="AU123" s="829" t="str">
        <f t="shared" si="68"/>
        <v/>
      </c>
      <c r="AV123" s="829" t="str">
        <f t="shared" si="69"/>
        <v/>
      </c>
      <c r="AW123" s="829" t="str">
        <f t="shared" si="70"/>
        <v/>
      </c>
      <c r="AX123" s="829">
        <f t="shared" ca="1" si="71"/>
        <v>-603.35</v>
      </c>
      <c r="AY123" s="829" t="str">
        <f t="shared" si="72"/>
        <v/>
      </c>
      <c r="AZ123" s="829" t="str">
        <f t="shared" si="73"/>
        <v/>
      </c>
      <c r="BA123" s="829" t="str">
        <f t="shared" si="74"/>
        <v/>
      </c>
      <c r="BB123" s="829">
        <f t="shared" si="75"/>
        <v>1</v>
      </c>
      <c r="BC123" s="829">
        <f t="shared" ca="1" si="54"/>
        <v>0</v>
      </c>
      <c r="BD123" s="829">
        <f t="shared" ca="1" si="55"/>
        <v>0</v>
      </c>
      <c r="BE123" s="829">
        <f t="shared" ca="1" si="56"/>
        <v>0</v>
      </c>
      <c r="BF123" s="829">
        <f t="shared" ca="1" si="57"/>
        <v>0</v>
      </c>
      <c r="BG123" s="829">
        <f t="shared" ca="1" si="58"/>
        <v>0</v>
      </c>
      <c r="BH123" s="829">
        <f t="shared" ca="1" si="59"/>
        <v>0</v>
      </c>
      <c r="BI123" s="829">
        <f t="shared" ca="1" si="60"/>
        <v>6456.61310976</v>
      </c>
      <c r="BJ123" s="829">
        <f t="shared" ca="1" si="52"/>
        <v>2012.5167268799999</v>
      </c>
      <c r="BK123" s="829">
        <f t="shared" si="53"/>
        <v>1</v>
      </c>
      <c r="BL123" s="829">
        <f t="shared" ca="1" si="61"/>
        <v>2996.3999999999996</v>
      </c>
      <c r="BM123" s="829">
        <f t="shared" ca="1" si="62"/>
        <v>4922.8999999999996</v>
      </c>
      <c r="BN123" s="829">
        <f t="shared" ca="1" si="63"/>
        <v>0</v>
      </c>
    </row>
    <row r="124" spans="1:66" ht="15" customHeight="1" thickBot="1" x14ac:dyDescent="0.3">
      <c r="A124" s="228"/>
      <c r="B124" s="237" t="s">
        <v>378</v>
      </c>
      <c r="C124" s="273">
        <f ca="1">IF($C$93=0,0,C123/$C$93)</f>
        <v>0</v>
      </c>
      <c r="D124" s="273">
        <f ca="1">IF($C$93=0,0,D123/$C$93)</f>
        <v>-1.2509411999999991</v>
      </c>
      <c r="E124" s="273">
        <f ca="1">IF($C$93=0,0,E123/$C$93)</f>
        <v>-3.6653786556233152</v>
      </c>
      <c r="F124" s="273">
        <f ca="1">IF($C$93=0,0,F123/$C$93)</f>
        <v>-4.1717905409161817</v>
      </c>
      <c r="G124" s="273">
        <f ca="1">IF($C$93=0,0,G123/$C$93)</f>
        <v>-6.0066721179974456</v>
      </c>
      <c r="H124" s="1653"/>
      <c r="K124" s="790" t="b">
        <v>1</v>
      </c>
      <c r="M124" s="115" t="str">
        <f t="shared" si="41"/>
        <v>Beleuchtung</v>
      </c>
      <c r="N124" s="117">
        <f t="shared" si="42"/>
        <v>0</v>
      </c>
      <c r="O124" s="1">
        <f t="shared" si="43"/>
        <v>0</v>
      </c>
      <c r="P124" s="117">
        <f t="shared" ca="1" si="44"/>
        <v>0</v>
      </c>
      <c r="Q124" s="1">
        <f t="shared" ca="1" si="45"/>
        <v>0</v>
      </c>
      <c r="R124" s="117">
        <f t="shared" ca="1" si="46"/>
        <v>0</v>
      </c>
      <c r="S124" s="1">
        <f t="shared" ca="1" si="47"/>
        <v>0</v>
      </c>
      <c r="T124" s="117">
        <f t="shared" ca="1" si="48"/>
        <v>0</v>
      </c>
      <c r="U124" s="1">
        <f t="shared" ca="1" si="49"/>
        <v>0</v>
      </c>
      <c r="V124" s="117">
        <f t="shared" ca="1" si="50"/>
        <v>0</v>
      </c>
      <c r="W124" s="1">
        <f t="shared" ca="1" si="51"/>
        <v>0</v>
      </c>
      <c r="AP124" s="214">
        <f t="shared" ca="1" si="76"/>
        <v>-618.43374999999992</v>
      </c>
      <c r="AQ124" s="870">
        <f t="shared" si="64"/>
        <v>2</v>
      </c>
      <c r="AR124" s="829" t="str">
        <f t="shared" si="65"/>
        <v/>
      </c>
      <c r="AS124" s="829" t="str">
        <f t="shared" si="66"/>
        <v/>
      </c>
      <c r="AT124" s="869" t="str">
        <f t="shared" si="67"/>
        <v/>
      </c>
      <c r="AU124" s="829" t="str">
        <f t="shared" si="68"/>
        <v/>
      </c>
      <c r="AV124" s="829" t="str">
        <f t="shared" si="69"/>
        <v/>
      </c>
      <c r="AW124" s="829" t="str">
        <f t="shared" si="70"/>
        <v/>
      </c>
      <c r="AX124" s="829">
        <f t="shared" ca="1" si="71"/>
        <v>-618.43374999999992</v>
      </c>
      <c r="AY124" s="829" t="str">
        <f t="shared" si="72"/>
        <v/>
      </c>
      <c r="AZ124" s="829" t="str">
        <f t="shared" si="73"/>
        <v/>
      </c>
      <c r="BA124" s="829" t="str">
        <f t="shared" si="74"/>
        <v/>
      </c>
      <c r="BB124" s="829">
        <f t="shared" si="75"/>
        <v>2</v>
      </c>
      <c r="BC124" s="829">
        <f t="shared" ca="1" si="54"/>
        <v>0</v>
      </c>
      <c r="BD124" s="829">
        <f t="shared" ca="1" si="55"/>
        <v>0</v>
      </c>
      <c r="BE124" s="829">
        <f t="shared" ca="1" si="56"/>
        <v>0</v>
      </c>
      <c r="BF124" s="829">
        <f t="shared" ca="1" si="57"/>
        <v>0</v>
      </c>
      <c r="BG124" s="829">
        <f t="shared" ca="1" si="58"/>
        <v>0</v>
      </c>
      <c r="BH124" s="829">
        <f t="shared" ca="1" si="59"/>
        <v>0</v>
      </c>
      <c r="BI124" s="829">
        <f t="shared" ca="1" si="60"/>
        <v>6618.0284375039992</v>
      </c>
      <c r="BJ124" s="829">
        <f t="shared" ca="1" si="52"/>
        <v>2082.9548123207996</v>
      </c>
      <c r="BK124" s="829">
        <f t="shared" si="53"/>
        <v>2</v>
      </c>
      <c r="BL124" s="829">
        <f t="shared" ca="1" si="61"/>
        <v>3044.3423999999995</v>
      </c>
      <c r="BM124" s="829">
        <f t="shared" ca="1" si="62"/>
        <v>5001.6664000000001</v>
      </c>
      <c r="BN124" s="829">
        <f t="shared" ca="1" si="63"/>
        <v>0</v>
      </c>
    </row>
    <row r="125" spans="1:66" ht="15" customHeight="1" x14ac:dyDescent="0.25">
      <c r="K125" s="790" t="b">
        <v>1</v>
      </c>
      <c r="M125" s="115" t="str">
        <f t="shared" si="41"/>
        <v>EDV</v>
      </c>
      <c r="N125" s="117">
        <f t="shared" si="42"/>
        <v>0</v>
      </c>
      <c r="O125" s="1">
        <f t="shared" si="43"/>
        <v>0</v>
      </c>
      <c r="P125" s="117">
        <f t="shared" ca="1" si="44"/>
        <v>0</v>
      </c>
      <c r="Q125" s="1">
        <f t="shared" ca="1" si="45"/>
        <v>0</v>
      </c>
      <c r="R125" s="117">
        <f t="shared" ca="1" si="46"/>
        <v>0</v>
      </c>
      <c r="S125" s="1">
        <f t="shared" ca="1" si="47"/>
        <v>0</v>
      </c>
      <c r="T125" s="117">
        <f t="shared" ca="1" si="48"/>
        <v>0</v>
      </c>
      <c r="U125" s="1">
        <f t="shared" ca="1" si="49"/>
        <v>0</v>
      </c>
      <c r="V125" s="117">
        <f t="shared" ca="1" si="50"/>
        <v>0</v>
      </c>
      <c r="W125" s="1">
        <f t="shared" ca="1" si="51"/>
        <v>0</v>
      </c>
      <c r="AP125" s="214">
        <f t="shared" ca="1" si="76"/>
        <v>-633.8945937499999</v>
      </c>
      <c r="AQ125" s="870">
        <f t="shared" si="64"/>
        <v>3</v>
      </c>
      <c r="AR125" s="829" t="str">
        <f t="shared" si="65"/>
        <v/>
      </c>
      <c r="AS125" s="829" t="str">
        <f t="shared" si="66"/>
        <v/>
      </c>
      <c r="AT125" s="869" t="str">
        <f t="shared" si="67"/>
        <v/>
      </c>
      <c r="AU125" s="829" t="str">
        <f t="shared" si="68"/>
        <v/>
      </c>
      <c r="AV125" s="829" t="str">
        <f t="shared" si="69"/>
        <v/>
      </c>
      <c r="AW125" s="829" t="str">
        <f t="shared" si="70"/>
        <v/>
      </c>
      <c r="AX125" s="829">
        <f t="shared" ca="1" si="71"/>
        <v>-633.8945937499999</v>
      </c>
      <c r="AY125" s="829" t="str">
        <f t="shared" si="72"/>
        <v/>
      </c>
      <c r="AZ125" s="829" t="str">
        <f t="shared" si="73"/>
        <v/>
      </c>
      <c r="BA125" s="829" t="str">
        <f t="shared" si="74"/>
        <v/>
      </c>
      <c r="BB125" s="829">
        <f t="shared" si="75"/>
        <v>3</v>
      </c>
      <c r="BC125" s="829">
        <f t="shared" ca="1" si="54"/>
        <v>0</v>
      </c>
      <c r="BD125" s="829">
        <f t="shared" ca="1" si="55"/>
        <v>0</v>
      </c>
      <c r="BE125" s="829">
        <f t="shared" ca="1" si="56"/>
        <v>0</v>
      </c>
      <c r="BF125" s="829">
        <f t="shared" ca="1" si="57"/>
        <v>0</v>
      </c>
      <c r="BG125" s="829">
        <f t="shared" ca="1" si="58"/>
        <v>0</v>
      </c>
      <c r="BH125" s="829">
        <f t="shared" ca="1" si="59"/>
        <v>0</v>
      </c>
      <c r="BI125" s="829">
        <f t="shared" ca="1" si="60"/>
        <v>6783.4791484415982</v>
      </c>
      <c r="BJ125" s="829">
        <f t="shared" ca="1" si="52"/>
        <v>2155.8582307520273</v>
      </c>
      <c r="BK125" s="829">
        <f t="shared" si="53"/>
        <v>3</v>
      </c>
      <c r="BL125" s="829">
        <f t="shared" ca="1" si="61"/>
        <v>3093.0518783999996</v>
      </c>
      <c r="BM125" s="829">
        <f t="shared" ca="1" si="62"/>
        <v>5081.6930623999997</v>
      </c>
      <c r="BN125" s="829">
        <f t="shared" ca="1" si="63"/>
        <v>0</v>
      </c>
    </row>
    <row r="126" spans="1:66" ht="15" customHeight="1" x14ac:dyDescent="0.25">
      <c r="K126" s="790" t="b">
        <v>1</v>
      </c>
      <c r="M126" s="115" t="str">
        <f t="shared" si="41"/>
        <v>Haushaltsstrom</v>
      </c>
      <c r="N126" s="117">
        <f t="shared" si="42"/>
        <v>35255</v>
      </c>
      <c r="O126" s="1">
        <f t="shared" si="43"/>
        <v>0</v>
      </c>
      <c r="P126" s="117">
        <f t="shared" ca="1" si="44"/>
        <v>35530</v>
      </c>
      <c r="Q126" s="1">
        <f t="shared" ca="1" si="45"/>
        <v>0</v>
      </c>
      <c r="R126" s="117">
        <f t="shared" ca="1" si="46"/>
        <v>35530</v>
      </c>
      <c r="S126" s="1">
        <f t="shared" ca="1" si="47"/>
        <v>0</v>
      </c>
      <c r="T126" s="117">
        <f t="shared" ca="1" si="48"/>
        <v>35530</v>
      </c>
      <c r="U126" s="1">
        <f t="shared" ca="1" si="49"/>
        <v>0</v>
      </c>
      <c r="V126" s="117">
        <f t="shared" ca="1" si="50"/>
        <v>35530</v>
      </c>
      <c r="W126" s="1">
        <f t="shared" ca="1" si="51"/>
        <v>0</v>
      </c>
      <c r="AP126" s="214">
        <f t="shared" ca="1" si="76"/>
        <v>-324.87097929687491</v>
      </c>
      <c r="AQ126" s="870">
        <f t="shared" si="64"/>
        <v>4</v>
      </c>
      <c r="AR126" s="829" t="str">
        <f t="shared" si="65"/>
        <v/>
      </c>
      <c r="AS126" s="829" t="str">
        <f t="shared" si="66"/>
        <v/>
      </c>
      <c r="AT126" s="869" t="str">
        <f t="shared" si="67"/>
        <v/>
      </c>
      <c r="AU126" s="829" t="str">
        <f t="shared" si="68"/>
        <v/>
      </c>
      <c r="AV126" s="829" t="str">
        <f t="shared" si="69"/>
        <v/>
      </c>
      <c r="AW126" s="829" t="str">
        <f t="shared" si="70"/>
        <v/>
      </c>
      <c r="AX126" s="829">
        <f t="shared" ca="1" si="71"/>
        <v>-324.87097929687491</v>
      </c>
      <c r="AY126" s="829" t="str">
        <f t="shared" si="72"/>
        <v/>
      </c>
      <c r="AZ126" s="829" t="str">
        <f t="shared" si="73"/>
        <v/>
      </c>
      <c r="BA126" s="829" t="str">
        <f t="shared" si="74"/>
        <v/>
      </c>
      <c r="BB126" s="829">
        <f t="shared" si="75"/>
        <v>4</v>
      </c>
      <c r="BC126" s="829">
        <f t="shared" ca="1" si="54"/>
        <v>0</v>
      </c>
      <c r="BD126" s="829">
        <f t="shared" ca="1" si="55"/>
        <v>0</v>
      </c>
      <c r="BE126" s="829">
        <f t="shared" ca="1" si="56"/>
        <v>0</v>
      </c>
      <c r="BF126" s="829">
        <f t="shared" ca="1" si="57"/>
        <v>0</v>
      </c>
      <c r="BG126" s="829">
        <f t="shared" ca="1" si="58"/>
        <v>0</v>
      </c>
      <c r="BH126" s="829">
        <f t="shared" ca="1" si="59"/>
        <v>0</v>
      </c>
      <c r="BI126" s="829">
        <f t="shared" ca="1" si="60"/>
        <v>6953.0661271526378</v>
      </c>
      <c r="BJ126" s="829">
        <f t="shared" ca="1" si="52"/>
        <v>2231.3132688283481</v>
      </c>
      <c r="BK126" s="829">
        <f t="shared" si="53"/>
        <v>4</v>
      </c>
      <c r="BL126" s="829">
        <f t="shared" ca="1" si="61"/>
        <v>3142.5407084543995</v>
      </c>
      <c r="BM126" s="829">
        <f t="shared" ca="1" si="62"/>
        <v>5163.0001513983998</v>
      </c>
      <c r="BN126" s="829">
        <f t="shared" ca="1" si="63"/>
        <v>0</v>
      </c>
    </row>
    <row r="127" spans="1:66" ht="15" customHeight="1" x14ac:dyDescent="0.25">
      <c r="K127" s="790" t="b">
        <v>1</v>
      </c>
      <c r="M127" s="115" t="str">
        <f t="shared" si="41"/>
        <v>Befeuchten</v>
      </c>
      <c r="N127" s="117">
        <f t="shared" si="42"/>
        <v>0</v>
      </c>
      <c r="O127" s="1">
        <f t="shared" si="43"/>
        <v>0</v>
      </c>
      <c r="P127" s="117">
        <f t="shared" ca="1" si="44"/>
        <v>0</v>
      </c>
      <c r="Q127" s="1">
        <f t="shared" ca="1" si="45"/>
        <v>0</v>
      </c>
      <c r="R127" s="117">
        <f t="shared" ca="1" si="46"/>
        <v>0</v>
      </c>
      <c r="S127" s="1">
        <f t="shared" ca="1" si="47"/>
        <v>0</v>
      </c>
      <c r="T127" s="117">
        <f t="shared" ca="1" si="48"/>
        <v>0</v>
      </c>
      <c r="U127" s="1">
        <f t="shared" ca="1" si="49"/>
        <v>0</v>
      </c>
      <c r="V127" s="117">
        <f t="shared" ca="1" si="50"/>
        <v>0</v>
      </c>
      <c r="W127" s="1">
        <f t="shared" ca="1" si="51"/>
        <v>0</v>
      </c>
      <c r="AP127" s="214">
        <f t="shared" ca="1" si="76"/>
        <v>-332.99275377929672</v>
      </c>
      <c r="AQ127" s="870">
        <f t="shared" si="64"/>
        <v>5</v>
      </c>
      <c r="AR127" s="829" t="str">
        <f t="shared" si="65"/>
        <v/>
      </c>
      <c r="AS127" s="829" t="str">
        <f t="shared" si="66"/>
        <v/>
      </c>
      <c r="AT127" s="869" t="str">
        <f t="shared" si="67"/>
        <v/>
      </c>
      <c r="AU127" s="829" t="str">
        <f t="shared" si="68"/>
        <v/>
      </c>
      <c r="AV127" s="829" t="str">
        <f t="shared" si="69"/>
        <v/>
      </c>
      <c r="AW127" s="829" t="str">
        <f t="shared" si="70"/>
        <v/>
      </c>
      <c r="AX127" s="829">
        <f t="shared" ca="1" si="71"/>
        <v>-332.99275377929672</v>
      </c>
      <c r="AY127" s="829" t="str">
        <f t="shared" si="72"/>
        <v/>
      </c>
      <c r="AZ127" s="829" t="str">
        <f t="shared" si="73"/>
        <v/>
      </c>
      <c r="BA127" s="829" t="str">
        <f t="shared" si="74"/>
        <v/>
      </c>
      <c r="BB127" s="829">
        <f t="shared" si="75"/>
        <v>5</v>
      </c>
      <c r="BC127" s="829">
        <f t="shared" ca="1" si="54"/>
        <v>0</v>
      </c>
      <c r="BD127" s="829">
        <f t="shared" ca="1" si="55"/>
        <v>0</v>
      </c>
      <c r="BE127" s="829">
        <f t="shared" ca="1" si="56"/>
        <v>0</v>
      </c>
      <c r="BF127" s="829">
        <f t="shared" ca="1" si="57"/>
        <v>0</v>
      </c>
      <c r="BG127" s="829">
        <f t="shared" ca="1" si="58"/>
        <v>0</v>
      </c>
      <c r="BH127" s="829">
        <f t="shared" ca="1" si="59"/>
        <v>0</v>
      </c>
      <c r="BI127" s="829">
        <f t="shared" ca="1" si="60"/>
        <v>7126.8927803314527</v>
      </c>
      <c r="BJ127" s="829">
        <f t="shared" ca="1" si="52"/>
        <v>2309.4092332373402</v>
      </c>
      <c r="BK127" s="829">
        <f t="shared" si="53"/>
        <v>5</v>
      </c>
      <c r="BL127" s="829">
        <f t="shared" ca="1" si="61"/>
        <v>3192.8213597896697</v>
      </c>
      <c r="BM127" s="829">
        <f t="shared" ca="1" si="62"/>
        <v>5245.6081538207745</v>
      </c>
      <c r="BN127" s="829">
        <f t="shared" ca="1" si="63"/>
        <v>0</v>
      </c>
    </row>
    <row r="128" spans="1:66" ht="15" customHeight="1" x14ac:dyDescent="0.25">
      <c r="K128" s="790" t="b">
        <v>1</v>
      </c>
      <c r="M128" s="115" t="str">
        <f t="shared" si="41"/>
        <v>Entfeuchten</v>
      </c>
      <c r="N128" s="117">
        <f t="shared" si="42"/>
        <v>0</v>
      </c>
      <c r="O128" s="1">
        <f t="shared" si="43"/>
        <v>0</v>
      </c>
      <c r="P128" s="117">
        <f t="shared" ca="1" si="44"/>
        <v>0</v>
      </c>
      <c r="Q128" s="1">
        <f t="shared" ca="1" si="45"/>
        <v>0</v>
      </c>
      <c r="R128" s="117">
        <f t="shared" ca="1" si="46"/>
        <v>0</v>
      </c>
      <c r="S128" s="1">
        <f t="shared" ca="1" si="47"/>
        <v>0</v>
      </c>
      <c r="T128" s="117">
        <f t="shared" ca="1" si="48"/>
        <v>0</v>
      </c>
      <c r="U128" s="1">
        <f t="shared" ca="1" si="49"/>
        <v>0</v>
      </c>
      <c r="V128" s="117">
        <f t="shared" ca="1" si="50"/>
        <v>0</v>
      </c>
      <c r="W128" s="1">
        <f t="shared" ca="1" si="51"/>
        <v>0</v>
      </c>
      <c r="AP128" s="214">
        <f t="shared" ca="1" si="76"/>
        <v>-341.31757262377914</v>
      </c>
      <c r="AQ128" s="870">
        <f t="shared" si="64"/>
        <v>6</v>
      </c>
      <c r="AR128" s="829" t="str">
        <f t="shared" si="65"/>
        <v/>
      </c>
      <c r="AS128" s="829" t="str">
        <f t="shared" si="66"/>
        <v/>
      </c>
      <c r="AT128" s="869" t="str">
        <f t="shared" si="67"/>
        <v/>
      </c>
      <c r="AU128" s="829" t="str">
        <f t="shared" si="68"/>
        <v/>
      </c>
      <c r="AV128" s="829" t="str">
        <f t="shared" si="69"/>
        <v/>
      </c>
      <c r="AW128" s="829" t="str">
        <f t="shared" si="70"/>
        <v/>
      </c>
      <c r="AX128" s="829">
        <f t="shared" ca="1" si="71"/>
        <v>-341.31757262377914</v>
      </c>
      <c r="AY128" s="829" t="str">
        <f t="shared" si="72"/>
        <v/>
      </c>
      <c r="AZ128" s="829" t="str">
        <f t="shared" si="73"/>
        <v/>
      </c>
      <c r="BA128" s="829" t="str">
        <f t="shared" si="74"/>
        <v/>
      </c>
      <c r="BB128" s="829">
        <f t="shared" si="75"/>
        <v>6</v>
      </c>
      <c r="BC128" s="829">
        <f t="shared" ca="1" si="54"/>
        <v>0</v>
      </c>
      <c r="BD128" s="829">
        <f t="shared" ca="1" si="55"/>
        <v>0</v>
      </c>
      <c r="BE128" s="829">
        <f t="shared" ca="1" si="56"/>
        <v>0</v>
      </c>
      <c r="BF128" s="829">
        <f t="shared" ca="1" si="57"/>
        <v>0</v>
      </c>
      <c r="BG128" s="829">
        <f t="shared" ca="1" si="58"/>
        <v>0</v>
      </c>
      <c r="BH128" s="829">
        <f t="shared" ca="1" si="59"/>
        <v>0</v>
      </c>
      <c r="BI128" s="829">
        <f t="shared" ca="1" si="60"/>
        <v>7305.0650998397387</v>
      </c>
      <c r="BJ128" s="829">
        <f t="shared" ca="1" si="52"/>
        <v>2390.2385564006468</v>
      </c>
      <c r="BK128" s="829">
        <f t="shared" si="53"/>
        <v>6</v>
      </c>
      <c r="BL128" s="829">
        <f t="shared" ca="1" si="61"/>
        <v>3243.9065015463043</v>
      </c>
      <c r="BM128" s="829">
        <f t="shared" ca="1" si="62"/>
        <v>5329.5378842819073</v>
      </c>
      <c r="BN128" s="829">
        <f t="shared" ca="1" si="63"/>
        <v>0</v>
      </c>
    </row>
    <row r="129" spans="11:66" ht="15" customHeight="1" x14ac:dyDescent="0.25">
      <c r="K129" s="790" t="b">
        <v>1</v>
      </c>
      <c r="M129" s="115" t="str">
        <f>L105</f>
        <v>Sonstiges</v>
      </c>
      <c r="N129" s="117">
        <f t="shared" si="42"/>
        <v>0</v>
      </c>
      <c r="O129" s="1">
        <f t="shared" si="43"/>
        <v>0</v>
      </c>
      <c r="P129" s="117">
        <f t="shared" ca="1" si="44"/>
        <v>0</v>
      </c>
      <c r="Q129" s="1">
        <f t="shared" ca="1" si="45"/>
        <v>0</v>
      </c>
      <c r="R129" s="117">
        <f t="shared" ca="1" si="46"/>
        <v>0</v>
      </c>
      <c r="S129" s="1">
        <f t="shared" ca="1" si="47"/>
        <v>0</v>
      </c>
      <c r="T129" s="117">
        <f t="shared" ca="1" si="48"/>
        <v>0</v>
      </c>
      <c r="U129" s="1">
        <f t="shared" ca="1" si="49"/>
        <v>0</v>
      </c>
      <c r="V129" s="117">
        <f t="shared" ca="1" si="50"/>
        <v>0</v>
      </c>
      <c r="W129" s="1">
        <f t="shared" ca="1" si="51"/>
        <v>0</v>
      </c>
      <c r="AP129" s="214">
        <f t="shared" ca="1" si="76"/>
        <v>-349.85051193937358</v>
      </c>
      <c r="AQ129" s="870">
        <f t="shared" si="64"/>
        <v>7</v>
      </c>
      <c r="AR129" s="829" t="str">
        <f t="shared" si="65"/>
        <v/>
      </c>
      <c r="AS129" s="829" t="str">
        <f t="shared" si="66"/>
        <v/>
      </c>
      <c r="AT129" s="869" t="str">
        <f t="shared" si="67"/>
        <v/>
      </c>
      <c r="AU129" s="829" t="str">
        <f t="shared" si="68"/>
        <v/>
      </c>
      <c r="AV129" s="829" t="str">
        <f t="shared" si="69"/>
        <v/>
      </c>
      <c r="AW129" s="829" t="str">
        <f t="shared" si="70"/>
        <v/>
      </c>
      <c r="AX129" s="829">
        <f t="shared" ca="1" si="71"/>
        <v>-349.85051193937358</v>
      </c>
      <c r="AY129" s="829" t="str">
        <f t="shared" si="72"/>
        <v/>
      </c>
      <c r="AZ129" s="829" t="str">
        <f t="shared" si="73"/>
        <v/>
      </c>
      <c r="BA129" s="829" t="str">
        <f t="shared" si="74"/>
        <v/>
      </c>
      <c r="BB129" s="829">
        <f t="shared" si="75"/>
        <v>7</v>
      </c>
      <c r="BC129" s="829">
        <f t="shared" ca="1" si="54"/>
        <v>0</v>
      </c>
      <c r="BD129" s="829">
        <f t="shared" ca="1" si="55"/>
        <v>0</v>
      </c>
      <c r="BE129" s="829">
        <f t="shared" ca="1" si="56"/>
        <v>0</v>
      </c>
      <c r="BF129" s="829">
        <f t="shared" ca="1" si="57"/>
        <v>0</v>
      </c>
      <c r="BG129" s="829">
        <f t="shared" ca="1" si="58"/>
        <v>0</v>
      </c>
      <c r="BH129" s="829">
        <f t="shared" ca="1" si="59"/>
        <v>0</v>
      </c>
      <c r="BI129" s="829">
        <f t="shared" ca="1" si="60"/>
        <v>7487.6917273357312</v>
      </c>
      <c r="BJ129" s="829">
        <f t="shared" ca="1" si="52"/>
        <v>2473.8969058746693</v>
      </c>
      <c r="BK129" s="829">
        <f t="shared" si="53"/>
        <v>7</v>
      </c>
      <c r="BL129" s="829">
        <f t="shared" ca="1" si="61"/>
        <v>3295.8090055710454</v>
      </c>
      <c r="BM129" s="829">
        <f t="shared" ca="1" si="62"/>
        <v>5414.8104904304182</v>
      </c>
      <c r="BN129" s="829">
        <f t="shared" ca="1" si="63"/>
        <v>0</v>
      </c>
    </row>
    <row r="130" spans="11:66" ht="15" customHeight="1" x14ac:dyDescent="0.25">
      <c r="K130" s="790" t="b">
        <v>1</v>
      </c>
      <c r="M130" s="784" t="s">
        <v>543</v>
      </c>
      <c r="N130" s="118">
        <f t="shared" si="42"/>
        <v>0</v>
      </c>
      <c r="O130" s="119">
        <f t="shared" si="43"/>
        <v>0</v>
      </c>
      <c r="P130" s="118">
        <f t="shared" ca="1" si="44"/>
        <v>0</v>
      </c>
      <c r="Q130" s="119">
        <f t="shared" ca="1" si="45"/>
        <v>0</v>
      </c>
      <c r="R130" s="118">
        <f t="shared" ca="1" si="46"/>
        <v>0</v>
      </c>
      <c r="S130" s="119">
        <f t="shared" ca="1" si="47"/>
        <v>0</v>
      </c>
      <c r="T130" s="118">
        <f t="shared" ca="1" si="48"/>
        <v>0</v>
      </c>
      <c r="U130" s="119">
        <f t="shared" ca="1" si="49"/>
        <v>0</v>
      </c>
      <c r="V130" s="118">
        <f t="shared" si="50"/>
        <v>-10000</v>
      </c>
      <c r="W130" s="119">
        <f t="shared" si="51"/>
        <v>0</v>
      </c>
      <c r="AP130" s="214">
        <f t="shared" ca="1" si="76"/>
        <v>-358.59677473785791</v>
      </c>
      <c r="AQ130" s="870">
        <f t="shared" si="64"/>
        <v>8</v>
      </c>
      <c r="AR130" s="829" t="str">
        <f t="shared" si="65"/>
        <v/>
      </c>
      <c r="AS130" s="829" t="str">
        <f t="shared" si="66"/>
        <v/>
      </c>
      <c r="AT130" s="869" t="str">
        <f t="shared" si="67"/>
        <v/>
      </c>
      <c r="AU130" s="829" t="str">
        <f t="shared" si="68"/>
        <v/>
      </c>
      <c r="AV130" s="829" t="str">
        <f t="shared" si="69"/>
        <v/>
      </c>
      <c r="AW130" s="829" t="str">
        <f t="shared" si="70"/>
        <v/>
      </c>
      <c r="AX130" s="829">
        <f t="shared" ca="1" si="71"/>
        <v>-358.59677473785791</v>
      </c>
      <c r="AY130" s="829" t="str">
        <f t="shared" si="72"/>
        <v/>
      </c>
      <c r="AZ130" s="829" t="str">
        <f t="shared" si="73"/>
        <v/>
      </c>
      <c r="BA130" s="829" t="str">
        <f t="shared" si="74"/>
        <v/>
      </c>
      <c r="BB130" s="829">
        <f t="shared" si="75"/>
        <v>8</v>
      </c>
      <c r="BC130" s="829">
        <f t="shared" ca="1" si="54"/>
        <v>0</v>
      </c>
      <c r="BD130" s="829">
        <f t="shared" ca="1" si="55"/>
        <v>0</v>
      </c>
      <c r="BE130" s="829">
        <f t="shared" ca="1" si="56"/>
        <v>0</v>
      </c>
      <c r="BF130" s="829">
        <f t="shared" ca="1" si="57"/>
        <v>0</v>
      </c>
      <c r="BG130" s="829">
        <f t="shared" ca="1" si="58"/>
        <v>0</v>
      </c>
      <c r="BH130" s="829">
        <f t="shared" ca="1" si="59"/>
        <v>0</v>
      </c>
      <c r="BI130" s="829">
        <f t="shared" ca="1" si="60"/>
        <v>7674.8840205191236</v>
      </c>
      <c r="BJ130" s="829">
        <f t="shared" ca="1" si="52"/>
        <v>2560.4832975802824</v>
      </c>
      <c r="BK130" s="829">
        <f t="shared" si="53"/>
        <v>8</v>
      </c>
      <c r="BL130" s="829">
        <f t="shared" ca="1" si="61"/>
        <v>3348.5419496601821</v>
      </c>
      <c r="BM130" s="829">
        <f t="shared" ca="1" si="62"/>
        <v>5501.4474582773046</v>
      </c>
      <c r="BN130" s="829">
        <f t="shared" ca="1" si="63"/>
        <v>0</v>
      </c>
    </row>
    <row r="131" spans="11:66" ht="15" customHeight="1" thickBot="1" x14ac:dyDescent="0.3">
      <c r="K131" s="790" t="b">
        <v>1</v>
      </c>
      <c r="M131" s="784" t="s">
        <v>544</v>
      </c>
      <c r="N131" s="118">
        <f t="shared" si="42"/>
        <v>0</v>
      </c>
      <c r="O131" s="119">
        <f t="shared" si="43"/>
        <v>0</v>
      </c>
      <c r="P131" s="118">
        <f t="shared" si="44"/>
        <v>0</v>
      </c>
      <c r="Q131" s="119">
        <f t="shared" si="45"/>
        <v>0</v>
      </c>
      <c r="R131" s="118">
        <f t="shared" si="46"/>
        <v>0</v>
      </c>
      <c r="S131" s="119">
        <f t="shared" si="47"/>
        <v>0</v>
      </c>
      <c r="T131" s="118">
        <f t="shared" si="48"/>
        <v>0</v>
      </c>
      <c r="U131" s="119">
        <f t="shared" si="49"/>
        <v>0</v>
      </c>
      <c r="V131" s="118">
        <f t="shared" si="50"/>
        <v>0</v>
      </c>
      <c r="W131" s="119">
        <f t="shared" si="51"/>
        <v>0</v>
      </c>
      <c r="AP131" s="214">
        <f t="shared" ca="1" si="76"/>
        <v>-367.56169410630429</v>
      </c>
      <c r="AQ131" s="870">
        <f t="shared" si="64"/>
        <v>9</v>
      </c>
      <c r="AR131" s="829" t="str">
        <f t="shared" si="65"/>
        <v/>
      </c>
      <c r="AS131" s="829" t="str">
        <f t="shared" si="66"/>
        <v/>
      </c>
      <c r="AT131" s="869" t="str">
        <f t="shared" si="67"/>
        <v/>
      </c>
      <c r="AU131" s="829" t="str">
        <f t="shared" si="68"/>
        <v/>
      </c>
      <c r="AV131" s="829" t="str">
        <f t="shared" si="69"/>
        <v/>
      </c>
      <c r="AW131" s="829" t="str">
        <f t="shared" si="70"/>
        <v/>
      </c>
      <c r="AX131" s="829">
        <f t="shared" ca="1" si="71"/>
        <v>-367.56169410630429</v>
      </c>
      <c r="AY131" s="829" t="str">
        <f t="shared" si="72"/>
        <v/>
      </c>
      <c r="AZ131" s="829" t="str">
        <f t="shared" si="73"/>
        <v/>
      </c>
      <c r="BA131" s="829" t="str">
        <f t="shared" si="74"/>
        <v/>
      </c>
      <c r="BB131" s="829">
        <f t="shared" si="75"/>
        <v>9</v>
      </c>
      <c r="BC131" s="829">
        <f t="shared" ca="1" si="54"/>
        <v>0</v>
      </c>
      <c r="BD131" s="829">
        <f t="shared" ca="1" si="55"/>
        <v>0</v>
      </c>
      <c r="BE131" s="829">
        <f t="shared" ca="1" si="56"/>
        <v>0</v>
      </c>
      <c r="BF131" s="829">
        <f t="shared" ca="1" si="57"/>
        <v>0</v>
      </c>
      <c r="BG131" s="829">
        <f t="shared" ca="1" si="58"/>
        <v>0</v>
      </c>
      <c r="BH131" s="829">
        <f t="shared" ca="1" si="59"/>
        <v>0</v>
      </c>
      <c r="BI131" s="829">
        <f t="shared" ca="1" si="60"/>
        <v>7866.756121032101</v>
      </c>
      <c r="BJ131" s="829">
        <f t="shared" ca="1" si="52"/>
        <v>2650.1002129955923</v>
      </c>
      <c r="BK131" s="829">
        <f t="shared" si="53"/>
        <v>9</v>
      </c>
      <c r="BL131" s="829">
        <f t="shared" ca="1" si="61"/>
        <v>3402.1186208547451</v>
      </c>
      <c r="BM131" s="829">
        <f t="shared" ca="1" si="62"/>
        <v>5589.4706176097416</v>
      </c>
      <c r="BN131" s="829">
        <f t="shared" ca="1" si="63"/>
        <v>0</v>
      </c>
    </row>
    <row r="132" spans="11:66" ht="15" customHeight="1" thickBot="1" x14ac:dyDescent="0.3">
      <c r="M132" s="115" t="s">
        <v>285</v>
      </c>
      <c r="N132" s="120">
        <f>SUM(N111:N131)</f>
        <v>97811.472000000009</v>
      </c>
      <c r="O132" s="121">
        <f t="shared" ref="O132:W132" si="77">SUM(O111:O131)</f>
        <v>0</v>
      </c>
      <c r="P132" s="120">
        <f ca="1">SUM(P111:P131)</f>
        <v>83992.919999999984</v>
      </c>
      <c r="Q132" s="121">
        <f t="shared" ca="1" si="77"/>
        <v>0</v>
      </c>
      <c r="R132" s="120">
        <f t="shared" ca="1" si="77"/>
        <v>58354.472000000002</v>
      </c>
      <c r="S132" s="121">
        <f t="shared" ca="1" si="77"/>
        <v>0</v>
      </c>
      <c r="T132" s="120">
        <f t="shared" ca="1" si="77"/>
        <v>58525.016000000003</v>
      </c>
      <c r="U132" s="121">
        <f t="shared" ca="1" si="77"/>
        <v>0</v>
      </c>
      <c r="V132" s="120">
        <f t="shared" ca="1" si="77"/>
        <v>48525.016000000003</v>
      </c>
      <c r="W132" s="121">
        <f t="shared" ca="1" si="77"/>
        <v>0</v>
      </c>
      <c r="AP132" s="214">
        <f t="shared" ca="1" si="76"/>
        <v>-376.75073645896185</v>
      </c>
      <c r="AQ132" s="870">
        <f t="shared" si="64"/>
        <v>10</v>
      </c>
      <c r="AR132" s="829" t="str">
        <f t="shared" si="65"/>
        <v/>
      </c>
      <c r="AS132" s="829" t="str">
        <f t="shared" si="66"/>
        <v/>
      </c>
      <c r="AT132" s="869" t="str">
        <f t="shared" si="67"/>
        <v/>
      </c>
      <c r="AU132" s="829" t="str">
        <f t="shared" si="68"/>
        <v/>
      </c>
      <c r="AV132" s="829" t="str">
        <f t="shared" si="69"/>
        <v/>
      </c>
      <c r="AW132" s="829" t="str">
        <f t="shared" si="70"/>
        <v/>
      </c>
      <c r="AX132" s="829">
        <f t="shared" ca="1" si="71"/>
        <v>-376.75073645896185</v>
      </c>
      <c r="AY132" s="829" t="str">
        <f t="shared" si="72"/>
        <v/>
      </c>
      <c r="AZ132" s="829" t="str">
        <f t="shared" si="73"/>
        <v/>
      </c>
      <c r="BA132" s="829" t="str">
        <f t="shared" si="74"/>
        <v/>
      </c>
      <c r="BB132" s="829">
        <f t="shared" si="75"/>
        <v>10</v>
      </c>
      <c r="BC132" s="829">
        <f t="shared" ca="1" si="54"/>
        <v>0</v>
      </c>
      <c r="BD132" s="829">
        <f t="shared" ca="1" si="55"/>
        <v>0</v>
      </c>
      <c r="BE132" s="829">
        <f t="shared" ca="1" si="56"/>
        <v>0</v>
      </c>
      <c r="BF132" s="829">
        <f t="shared" ca="1" si="57"/>
        <v>0</v>
      </c>
      <c r="BG132" s="829">
        <f t="shared" ca="1" si="58"/>
        <v>0</v>
      </c>
      <c r="BH132" s="829">
        <f t="shared" ca="1" si="59"/>
        <v>0</v>
      </c>
      <c r="BI132" s="829">
        <f t="shared" ca="1" si="60"/>
        <v>8063.4250240579031</v>
      </c>
      <c r="BJ132" s="829">
        <f t="shared" ca="1" si="52"/>
        <v>2742.8537204504378</v>
      </c>
      <c r="BK132" s="829">
        <f t="shared" si="53"/>
        <v>10</v>
      </c>
      <c r="BL132" s="829">
        <f t="shared" ca="1" si="61"/>
        <v>3456.5525187884209</v>
      </c>
      <c r="BM132" s="829">
        <f t="shared" ca="1" si="62"/>
        <v>5678.9021474914971</v>
      </c>
      <c r="BN132" s="829">
        <f t="shared" ca="1" si="63"/>
        <v>0</v>
      </c>
    </row>
    <row r="133" spans="11:66" ht="15" customHeight="1" thickBot="1" x14ac:dyDescent="0.3">
      <c r="M133" s="300" t="s">
        <v>300</v>
      </c>
      <c r="N133" s="153">
        <f t="shared" ref="N133:W133" si="78">SUMIF($K$111:$K$131,"WAHR",N111:N131)</f>
        <v>97811.472000000009</v>
      </c>
      <c r="O133" s="153">
        <f t="shared" si="78"/>
        <v>0</v>
      </c>
      <c r="P133" s="153">
        <f t="shared" ca="1" si="78"/>
        <v>83992.919999999984</v>
      </c>
      <c r="Q133" s="153">
        <f t="shared" ca="1" si="78"/>
        <v>0</v>
      </c>
      <c r="R133" s="153">
        <f t="shared" ca="1" si="78"/>
        <v>58354.472000000002</v>
      </c>
      <c r="S133" s="153">
        <f t="shared" ca="1" si="78"/>
        <v>0</v>
      </c>
      <c r="T133" s="153">
        <f t="shared" ca="1" si="78"/>
        <v>58525.016000000003</v>
      </c>
      <c r="U133" s="153">
        <f t="shared" ca="1" si="78"/>
        <v>0</v>
      </c>
      <c r="V133" s="153">
        <f t="shared" ca="1" si="78"/>
        <v>48525.016000000003</v>
      </c>
      <c r="W133" s="153">
        <f t="shared" ca="1" si="78"/>
        <v>0</v>
      </c>
      <c r="AP133" s="214">
        <f t="shared" ca="1" si="76"/>
        <v>-386.16950487043584</v>
      </c>
      <c r="AQ133" s="870">
        <f t="shared" si="64"/>
        <v>11</v>
      </c>
      <c r="AR133" s="829" t="str">
        <f t="shared" si="65"/>
        <v/>
      </c>
      <c r="AS133" s="829" t="str">
        <f t="shared" si="66"/>
        <v/>
      </c>
      <c r="AT133" s="869" t="str">
        <f t="shared" si="67"/>
        <v/>
      </c>
      <c r="AU133" s="829" t="str">
        <f t="shared" si="68"/>
        <v/>
      </c>
      <c r="AV133" s="829" t="str">
        <f t="shared" si="69"/>
        <v/>
      </c>
      <c r="AW133" s="829" t="str">
        <f t="shared" si="70"/>
        <v/>
      </c>
      <c r="AX133" s="829">
        <f t="shared" ca="1" si="71"/>
        <v>-386.16950487043584</v>
      </c>
      <c r="AY133" s="829" t="str">
        <f t="shared" si="72"/>
        <v/>
      </c>
      <c r="AZ133" s="829" t="str">
        <f t="shared" si="73"/>
        <v/>
      </c>
      <c r="BA133" s="829" t="str">
        <f t="shared" si="74"/>
        <v/>
      </c>
      <c r="BB133" s="829">
        <f t="shared" si="75"/>
        <v>11</v>
      </c>
      <c r="BC133" s="829">
        <f t="shared" ca="1" si="54"/>
        <v>0</v>
      </c>
      <c r="BD133" s="829">
        <f t="shared" ca="1" si="55"/>
        <v>0</v>
      </c>
      <c r="BE133" s="829">
        <f t="shared" ca="1" si="56"/>
        <v>0</v>
      </c>
      <c r="BF133" s="829">
        <f t="shared" ca="1" si="57"/>
        <v>0</v>
      </c>
      <c r="BG133" s="829">
        <f t="shared" ca="1" si="58"/>
        <v>0</v>
      </c>
      <c r="BH133" s="829">
        <f t="shared" ca="1" si="59"/>
        <v>0</v>
      </c>
      <c r="BI133" s="829">
        <f t="shared" ca="1" si="60"/>
        <v>8265.0106496593507</v>
      </c>
      <c r="BJ133" s="829">
        <f t="shared" ca="1" si="52"/>
        <v>2838.853600666203</v>
      </c>
      <c r="BK133" s="829">
        <f t="shared" si="53"/>
        <v>11</v>
      </c>
      <c r="BL133" s="829">
        <f t="shared" ca="1" si="61"/>
        <v>3511.8573590890355</v>
      </c>
      <c r="BM133" s="829">
        <f t="shared" ca="1" si="62"/>
        <v>5769.7645818513611</v>
      </c>
      <c r="BN133" s="829">
        <f t="shared" ca="1" si="63"/>
        <v>0</v>
      </c>
    </row>
    <row r="134" spans="11:66" ht="15" customHeight="1" x14ac:dyDescent="0.25">
      <c r="M134" s="115" t="s">
        <v>163</v>
      </c>
      <c r="N134" s="300">
        <f>IF($N$109=$C$8,O108,IF($N$109=$D$8,S108,IF($N$109=$E$8,W108,IF($N$109=$F$8,AA108,AE108))))</f>
        <v>1410.2</v>
      </c>
      <c r="P134" s="300">
        <f>IF($P$109=$C$8,O108,IF($P$109=$D$8,S108,IF($P$109=$E$8,W108,IF($P$109=$F$8,AA108,AE108))))</f>
        <v>1421.2</v>
      </c>
      <c r="R134" s="300">
        <f>IF($R$109=$C$8,O108,IF($R$109=$D$8,S108,IF($R$109=$E$8,W108,IF($R$109=$F$8,AA108,AE108))))</f>
        <v>1421.2</v>
      </c>
      <c r="T134" s="300">
        <f>IF($T$109=$C$8,O108,IF($T$109=$D$8,S108,IF($T$109=$E$8,W108,IF($T$109=$F$8,AA108,AE108))))</f>
        <v>1421.2</v>
      </c>
      <c r="V134" s="300">
        <f>IF($V$109=$C$8,O108,IF($V$109=$D$8,S108,IF($V$109=$E$8,W108,IF($V$109=$F$8,AA108,AE108))))</f>
        <v>1421.2</v>
      </c>
      <c r="AP134" s="214">
        <f t="shared" ca="1" si="76"/>
        <v>-395.82374249219669</v>
      </c>
      <c r="AQ134" s="870">
        <f t="shared" si="64"/>
        <v>12</v>
      </c>
      <c r="AR134" s="829" t="str">
        <f t="shared" si="65"/>
        <v/>
      </c>
      <c r="AS134" s="829" t="str">
        <f t="shared" si="66"/>
        <v/>
      </c>
      <c r="AT134" s="869" t="str">
        <f t="shared" si="67"/>
        <v/>
      </c>
      <c r="AU134" s="829" t="str">
        <f t="shared" si="68"/>
        <v/>
      </c>
      <c r="AV134" s="829" t="str">
        <f t="shared" si="69"/>
        <v/>
      </c>
      <c r="AW134" s="829" t="str">
        <f t="shared" si="70"/>
        <v/>
      </c>
      <c r="AX134" s="829">
        <f t="shared" ca="1" si="71"/>
        <v>-395.82374249219669</v>
      </c>
      <c r="AY134" s="829" t="str">
        <f t="shared" si="72"/>
        <v/>
      </c>
      <c r="AZ134" s="829" t="str">
        <f t="shared" si="73"/>
        <v/>
      </c>
      <c r="BA134" s="829" t="str">
        <f t="shared" si="74"/>
        <v/>
      </c>
      <c r="BB134" s="829">
        <f t="shared" si="75"/>
        <v>12</v>
      </c>
      <c r="BC134" s="829">
        <f t="shared" ca="1" si="54"/>
        <v>0</v>
      </c>
      <c r="BD134" s="829">
        <f t="shared" ca="1" si="55"/>
        <v>0</v>
      </c>
      <c r="BE134" s="829">
        <f t="shared" ca="1" si="56"/>
        <v>0</v>
      </c>
      <c r="BF134" s="829">
        <f t="shared" ca="1" si="57"/>
        <v>0</v>
      </c>
      <c r="BG134" s="829">
        <f t="shared" ca="1" si="58"/>
        <v>0</v>
      </c>
      <c r="BH134" s="829">
        <f t="shared" ca="1" si="59"/>
        <v>0</v>
      </c>
      <c r="BI134" s="829">
        <f t="shared" ca="1" si="60"/>
        <v>8471.6359159008334</v>
      </c>
      <c r="BJ134" s="829">
        <f t="shared" ca="1" si="52"/>
        <v>2938.2134766895197</v>
      </c>
      <c r="BK134" s="829">
        <f t="shared" si="53"/>
        <v>12</v>
      </c>
      <c r="BL134" s="829">
        <f t="shared" ca="1" si="61"/>
        <v>3568.0470768344603</v>
      </c>
      <c r="BM134" s="829">
        <f t="shared" ca="1" si="62"/>
        <v>5862.0808151609826</v>
      </c>
      <c r="BN134" s="829">
        <f t="shared" ca="1" si="63"/>
        <v>0</v>
      </c>
    </row>
    <row r="135" spans="11:66" ht="15" customHeight="1" x14ac:dyDescent="0.25">
      <c r="M135" s="115" t="s">
        <v>358</v>
      </c>
      <c r="N135" s="300">
        <f>IF(N134=0,0,N132/N134)</f>
        <v>69.36</v>
      </c>
      <c r="P135" s="300">
        <f ca="1">IF(P134=0,0,P132/P134)</f>
        <v>59.099999999999987</v>
      </c>
      <c r="R135" s="300">
        <f ca="1">IF(R134=0,0,R132/R134)</f>
        <v>41.06</v>
      </c>
      <c r="T135" s="300">
        <f ca="1">IF(T134=0,0,T132/T134)</f>
        <v>41.18</v>
      </c>
      <c r="V135" s="300">
        <f ca="1">IF(V134=0,0,V132/V134)</f>
        <v>34.143692654095133</v>
      </c>
      <c r="AP135" s="214">
        <f t="shared" ca="1" si="76"/>
        <v>-405.71933605450153</v>
      </c>
      <c r="AQ135" s="870">
        <f t="shared" si="64"/>
        <v>13</v>
      </c>
      <c r="AR135" s="829" t="str">
        <f t="shared" si="65"/>
        <v/>
      </c>
      <c r="AS135" s="829" t="str">
        <f t="shared" si="66"/>
        <v/>
      </c>
      <c r="AT135" s="869" t="str">
        <f t="shared" si="67"/>
        <v/>
      </c>
      <c r="AU135" s="829" t="str">
        <f t="shared" si="68"/>
        <v/>
      </c>
      <c r="AV135" s="829" t="str">
        <f t="shared" si="69"/>
        <v/>
      </c>
      <c r="AW135" s="829" t="str">
        <f t="shared" si="70"/>
        <v/>
      </c>
      <c r="AX135" s="829">
        <f t="shared" ca="1" si="71"/>
        <v>-405.71933605450153</v>
      </c>
      <c r="AY135" s="829" t="str">
        <f t="shared" si="72"/>
        <v/>
      </c>
      <c r="AZ135" s="829" t="str">
        <f t="shared" si="73"/>
        <v/>
      </c>
      <c r="BA135" s="829" t="str">
        <f t="shared" si="74"/>
        <v/>
      </c>
      <c r="BB135" s="829">
        <f t="shared" si="75"/>
        <v>13</v>
      </c>
      <c r="BC135" s="829">
        <f t="shared" ca="1" si="54"/>
        <v>0</v>
      </c>
      <c r="BD135" s="829">
        <f t="shared" ca="1" si="55"/>
        <v>0</v>
      </c>
      <c r="BE135" s="829">
        <f t="shared" ca="1" si="56"/>
        <v>0</v>
      </c>
      <c r="BF135" s="829">
        <f t="shared" ca="1" si="57"/>
        <v>0</v>
      </c>
      <c r="BG135" s="829">
        <f t="shared" ca="1" si="58"/>
        <v>0</v>
      </c>
      <c r="BH135" s="829">
        <f t="shared" ca="1" si="59"/>
        <v>0</v>
      </c>
      <c r="BI135" s="829">
        <f t="shared" ca="1" si="60"/>
        <v>8683.4268137983527</v>
      </c>
      <c r="BJ135" s="829">
        <f t="shared" ca="1" si="52"/>
        <v>3041.0509483736528</v>
      </c>
      <c r="BK135" s="829">
        <f t="shared" si="53"/>
        <v>13</v>
      </c>
      <c r="BL135" s="829">
        <f t="shared" ca="1" si="61"/>
        <v>3625.1358300638117</v>
      </c>
      <c r="BM135" s="829">
        <f t="shared" ca="1" si="62"/>
        <v>5955.8741082035585</v>
      </c>
      <c r="BN135" s="829">
        <f t="shared" ca="1" si="63"/>
        <v>0</v>
      </c>
    </row>
    <row r="136" spans="11:66" ht="15" customHeight="1" x14ac:dyDescent="0.25">
      <c r="AP136" s="214">
        <f t="shared" ref="AP136:AP172" ca="1" si="79">SUM(AR136:BA136)</f>
        <v>-415.86231945586405</v>
      </c>
      <c r="AQ136" s="870">
        <f t="shared" si="64"/>
        <v>14</v>
      </c>
      <c r="AR136" s="829" t="str">
        <f t="shared" si="65"/>
        <v/>
      </c>
      <c r="AS136" s="829" t="str">
        <f t="shared" si="66"/>
        <v/>
      </c>
      <c r="AT136" s="869" t="str">
        <f t="shared" si="67"/>
        <v/>
      </c>
      <c r="AU136" s="829" t="str">
        <f t="shared" si="68"/>
        <v/>
      </c>
      <c r="AV136" s="829" t="str">
        <f t="shared" si="69"/>
        <v/>
      </c>
      <c r="AW136" s="829" t="str">
        <f t="shared" si="70"/>
        <v/>
      </c>
      <c r="AX136" s="829">
        <f t="shared" ca="1" si="71"/>
        <v>-415.86231945586405</v>
      </c>
      <c r="AY136" s="829" t="str">
        <f t="shared" si="72"/>
        <v/>
      </c>
      <c r="AZ136" s="829" t="str">
        <f t="shared" si="73"/>
        <v/>
      </c>
      <c r="BA136" s="829" t="str">
        <f t="shared" si="74"/>
        <v/>
      </c>
      <c r="BB136" s="829">
        <f t="shared" si="75"/>
        <v>14</v>
      </c>
      <c r="BC136" s="829">
        <f t="shared" ca="1" si="54"/>
        <v>0</v>
      </c>
      <c r="BD136" s="829">
        <f t="shared" ca="1" si="55"/>
        <v>0</v>
      </c>
      <c r="BE136" s="829">
        <f t="shared" ca="1" si="56"/>
        <v>0</v>
      </c>
      <c r="BF136" s="829">
        <f t="shared" ca="1" si="57"/>
        <v>0</v>
      </c>
      <c r="BG136" s="829">
        <f t="shared" ca="1" si="58"/>
        <v>0</v>
      </c>
      <c r="BH136" s="829">
        <f t="shared" ca="1" si="59"/>
        <v>0</v>
      </c>
      <c r="BI136" s="829">
        <f t="shared" ca="1" si="60"/>
        <v>8900.5124841433098</v>
      </c>
      <c r="BJ136" s="829">
        <f t="shared" ca="1" si="52"/>
        <v>3147.4877315667304</v>
      </c>
      <c r="BK136" s="829">
        <f t="shared" si="53"/>
        <v>14</v>
      </c>
      <c r="BL136" s="829">
        <f t="shared" ca="1" si="61"/>
        <v>3683.1380033448327</v>
      </c>
      <c r="BM136" s="829">
        <f t="shared" ca="1" si="62"/>
        <v>6051.1680939348153</v>
      </c>
      <c r="BN136" s="829">
        <f t="shared" ca="1" si="63"/>
        <v>0</v>
      </c>
    </row>
    <row r="137" spans="11:66" ht="15" customHeight="1" x14ac:dyDescent="0.25">
      <c r="AP137" s="214">
        <f t="shared" ca="1" si="79"/>
        <v>-426.2588774422606</v>
      </c>
      <c r="AQ137" s="870">
        <f t="shared" si="64"/>
        <v>15</v>
      </c>
      <c r="AR137" s="829" t="str">
        <f t="shared" si="65"/>
        <v/>
      </c>
      <c r="AS137" s="829" t="str">
        <f t="shared" si="66"/>
        <v/>
      </c>
      <c r="AT137" s="869" t="str">
        <f t="shared" si="67"/>
        <v/>
      </c>
      <c r="AU137" s="829" t="str">
        <f t="shared" si="68"/>
        <v/>
      </c>
      <c r="AV137" s="829" t="str">
        <f t="shared" si="69"/>
        <v/>
      </c>
      <c r="AW137" s="829" t="str">
        <f t="shared" si="70"/>
        <v/>
      </c>
      <c r="AX137" s="829">
        <f t="shared" ca="1" si="71"/>
        <v>-426.2588774422606</v>
      </c>
      <c r="AY137" s="829" t="str">
        <f t="shared" si="72"/>
        <v/>
      </c>
      <c r="AZ137" s="829" t="str">
        <f t="shared" si="73"/>
        <v/>
      </c>
      <c r="BA137" s="829" t="str">
        <f t="shared" si="74"/>
        <v/>
      </c>
      <c r="BB137" s="829">
        <f t="shared" si="75"/>
        <v>15</v>
      </c>
      <c r="BC137" s="829">
        <f t="shared" ca="1" si="54"/>
        <v>0</v>
      </c>
      <c r="BD137" s="829">
        <f t="shared" ca="1" si="55"/>
        <v>0</v>
      </c>
      <c r="BE137" s="829">
        <f t="shared" ca="1" si="56"/>
        <v>0</v>
      </c>
      <c r="BF137" s="829">
        <f t="shared" ca="1" si="57"/>
        <v>0</v>
      </c>
      <c r="BG137" s="829">
        <f t="shared" ca="1" si="58"/>
        <v>0</v>
      </c>
      <c r="BH137" s="829">
        <f t="shared" ca="1" si="59"/>
        <v>0</v>
      </c>
      <c r="BI137" s="829">
        <f t="shared" ca="1" si="60"/>
        <v>9123.0252962468912</v>
      </c>
      <c r="BJ137" s="829">
        <f t="shared" ca="1" si="52"/>
        <v>3257.6498021715656</v>
      </c>
      <c r="BK137" s="829">
        <f t="shared" si="53"/>
        <v>15</v>
      </c>
      <c r="BL137" s="829">
        <f t="shared" ca="1" si="61"/>
        <v>3742.0682113983498</v>
      </c>
      <c r="BM137" s="829">
        <f t="shared" ca="1" si="62"/>
        <v>6147.9867834377728</v>
      </c>
      <c r="BN137" s="829">
        <f t="shared" ca="1" si="63"/>
        <v>0</v>
      </c>
    </row>
    <row r="138" spans="11:66" ht="15" customHeight="1" x14ac:dyDescent="0.25">
      <c r="M138" s="792" t="s">
        <v>551</v>
      </c>
      <c r="N138" s="793"/>
      <c r="O138" s="1635" t="str">
        <f>C8</f>
        <v>BTV</v>
      </c>
      <c r="P138" s="1635"/>
      <c r="Q138" s="1635" t="str">
        <f>D8</f>
        <v>PH</v>
      </c>
      <c r="R138" s="1635"/>
      <c r="S138" s="1635" t="str">
        <f>E8</f>
        <v>PHSol</v>
      </c>
      <c r="T138" s="1635"/>
      <c r="U138" s="1635" t="str">
        <f>F8</f>
        <v>PHWRGSo</v>
      </c>
      <c r="V138" s="1635"/>
      <c r="W138" s="1635" t="str">
        <f>G8</f>
        <v>PHWRGSoPV</v>
      </c>
      <c r="X138" s="1635"/>
      <c r="AP138" s="214">
        <f t="shared" ca="1" si="79"/>
        <v>-436.9153493783171</v>
      </c>
      <c r="AQ138" s="870">
        <f t="shared" si="64"/>
        <v>16</v>
      </c>
      <c r="AR138" s="829" t="str">
        <f t="shared" si="65"/>
        <v/>
      </c>
      <c r="AS138" s="829" t="str">
        <f t="shared" si="66"/>
        <v/>
      </c>
      <c r="AT138" s="869" t="str">
        <f t="shared" si="67"/>
        <v/>
      </c>
      <c r="AU138" s="829" t="str">
        <f t="shared" si="68"/>
        <v/>
      </c>
      <c r="AV138" s="829" t="str">
        <f t="shared" si="69"/>
        <v/>
      </c>
      <c r="AW138" s="829" t="str">
        <f t="shared" si="70"/>
        <v/>
      </c>
      <c r="AX138" s="829">
        <f t="shared" ca="1" si="71"/>
        <v>-436.9153493783171</v>
      </c>
      <c r="AY138" s="829" t="str">
        <f t="shared" si="72"/>
        <v/>
      </c>
      <c r="AZ138" s="829" t="str">
        <f t="shared" si="73"/>
        <v/>
      </c>
      <c r="BA138" s="829" t="str">
        <f t="shared" si="74"/>
        <v/>
      </c>
      <c r="BB138" s="829">
        <f t="shared" si="75"/>
        <v>16</v>
      </c>
      <c r="BC138" s="829">
        <f t="shared" ca="1" si="54"/>
        <v>0</v>
      </c>
      <c r="BD138" s="829">
        <f t="shared" ca="1" si="55"/>
        <v>0</v>
      </c>
      <c r="BE138" s="829">
        <f t="shared" ca="1" si="56"/>
        <v>0</v>
      </c>
      <c r="BF138" s="829">
        <f t="shared" ca="1" si="57"/>
        <v>0</v>
      </c>
      <c r="BG138" s="829">
        <f t="shared" ca="1" si="58"/>
        <v>0</v>
      </c>
      <c r="BH138" s="829">
        <f t="shared" ca="1" si="59"/>
        <v>0</v>
      </c>
      <c r="BI138" s="829">
        <f t="shared" ca="1" si="60"/>
        <v>9351.1009286530625</v>
      </c>
      <c r="BJ138" s="829">
        <f t="shared" ca="1" si="52"/>
        <v>3371.6675452475702</v>
      </c>
      <c r="BK138" s="829">
        <f t="shared" si="53"/>
        <v>16</v>
      </c>
      <c r="BL138" s="829">
        <f t="shared" ca="1" si="61"/>
        <v>3801.9413027807236</v>
      </c>
      <c r="BM138" s="829">
        <f t="shared" ca="1" si="62"/>
        <v>6246.3545719727772</v>
      </c>
      <c r="BN138" s="829">
        <f t="shared" ca="1" si="63"/>
        <v>0</v>
      </c>
    </row>
    <row r="139" spans="11:66" ht="15" customHeight="1" x14ac:dyDescent="0.25">
      <c r="M139" s="1659" t="s">
        <v>552</v>
      </c>
      <c r="N139" s="1659"/>
      <c r="O139" s="795" t="s">
        <v>553</v>
      </c>
      <c r="P139" s="795" t="s">
        <v>554</v>
      </c>
      <c r="Q139" s="795" t="s">
        <v>553</v>
      </c>
      <c r="R139" s="795" t="s">
        <v>554</v>
      </c>
      <c r="S139" s="795" t="s">
        <v>553</v>
      </c>
      <c r="T139" s="795" t="s">
        <v>554</v>
      </c>
      <c r="U139" s="795" t="s">
        <v>553</v>
      </c>
      <c r="V139" s="795" t="s">
        <v>554</v>
      </c>
      <c r="W139" s="795" t="s">
        <v>553</v>
      </c>
      <c r="X139" s="795" t="s">
        <v>554</v>
      </c>
      <c r="AP139" s="214">
        <f t="shared" ca="1" si="79"/>
        <v>-447.83823311277501</v>
      </c>
      <c r="AQ139" s="870">
        <f t="shared" si="64"/>
        <v>17</v>
      </c>
      <c r="AR139" s="829" t="str">
        <f t="shared" si="65"/>
        <v/>
      </c>
      <c r="AS139" s="829" t="str">
        <f t="shared" si="66"/>
        <v/>
      </c>
      <c r="AT139" s="869" t="str">
        <f t="shared" si="67"/>
        <v/>
      </c>
      <c r="AU139" s="829" t="str">
        <f t="shared" si="68"/>
        <v/>
      </c>
      <c r="AV139" s="829" t="str">
        <f t="shared" si="69"/>
        <v/>
      </c>
      <c r="AW139" s="829" t="str">
        <f t="shared" si="70"/>
        <v/>
      </c>
      <c r="AX139" s="829">
        <f t="shared" ca="1" si="71"/>
        <v>-447.83823311277501</v>
      </c>
      <c r="AY139" s="829" t="str">
        <f t="shared" si="72"/>
        <v/>
      </c>
      <c r="AZ139" s="829" t="str">
        <f t="shared" si="73"/>
        <v/>
      </c>
      <c r="BA139" s="829" t="str">
        <f t="shared" si="74"/>
        <v/>
      </c>
      <c r="BB139" s="829">
        <f t="shared" si="75"/>
        <v>17</v>
      </c>
      <c r="BC139" s="829">
        <f t="shared" ca="1" si="54"/>
        <v>0</v>
      </c>
      <c r="BD139" s="829">
        <f t="shared" ca="1" si="55"/>
        <v>0</v>
      </c>
      <c r="BE139" s="829">
        <f t="shared" ca="1" si="56"/>
        <v>0</v>
      </c>
      <c r="BF139" s="829">
        <f t="shared" ca="1" si="57"/>
        <v>0</v>
      </c>
      <c r="BG139" s="829">
        <f t="shared" ca="1" si="58"/>
        <v>0</v>
      </c>
      <c r="BH139" s="829">
        <f t="shared" ca="1" si="59"/>
        <v>0</v>
      </c>
      <c r="BI139" s="829">
        <f t="shared" ca="1" si="60"/>
        <v>9584.8784518693883</v>
      </c>
      <c r="BJ139" s="829">
        <f t="shared" ca="1" si="52"/>
        <v>3489.6759093312348</v>
      </c>
      <c r="BK139" s="829">
        <f t="shared" si="53"/>
        <v>17</v>
      </c>
      <c r="BL139" s="829">
        <f t="shared" ca="1" si="61"/>
        <v>3862.7723636252153</v>
      </c>
      <c r="BM139" s="829">
        <f t="shared" ca="1" si="62"/>
        <v>6346.296245124342</v>
      </c>
      <c r="BN139" s="829">
        <f t="shared" ca="1" si="63"/>
        <v>0</v>
      </c>
    </row>
    <row r="140" spans="11:66" ht="15" customHeight="1" x14ac:dyDescent="0.25">
      <c r="M140" s="432" t="str">
        <f>'1. Projektangaben'!C36</f>
        <v>Heizöl</v>
      </c>
      <c r="N140" s="794">
        <f>'1. Projektangaben'!I36</f>
        <v>0</v>
      </c>
      <c r="O140" s="1062" t="str">
        <f>IF(ISNA(MATCH(M140,$N$87:$N$107,0)),"",MATCH(M140,$N$87:$N$107,0))</f>
        <v/>
      </c>
      <c r="P140" s="1062">
        <f t="shared" ref="P140:P147" si="80">IF(AND(ISNUMBER(O140),O140&gt;0),$N140,0)</f>
        <v>0</v>
      </c>
      <c r="Q140" s="1062" t="str">
        <f t="shared" ref="Q140:Q147" ca="1" si="81">IF(ISNA(MATCH(M140,$R$87:$R$107,0)),"",MATCH(M140,$R$87:$R$107,0))</f>
        <v/>
      </c>
      <c r="R140" s="1062">
        <f t="shared" ref="R140:R147" ca="1" si="82">IF(AND(ISNUMBER(Q140),Q140&gt;0),$N140,0)</f>
        <v>0</v>
      </c>
      <c r="S140" s="1062" t="str">
        <f t="shared" ref="S140:S147" ca="1" si="83">IF(ISNA(MATCH(M140,$V$87:$V$107,0)),"",MATCH(M140,$V$87:$V$107,0))</f>
        <v/>
      </c>
      <c r="T140" s="1062">
        <f t="shared" ref="T140:T147" ca="1" si="84">IF(AND(ISNUMBER(S140),S140&gt;0),$N140,0)</f>
        <v>0</v>
      </c>
      <c r="U140" s="1062" t="str">
        <f t="shared" ref="U140:U147" ca="1" si="85">IF(ISNA(MATCH(M140,$Z$87:$Z$107,0)),"",MATCH(M140,$Z$87:$Z$107,0))</f>
        <v/>
      </c>
      <c r="V140" s="1062">
        <f t="shared" ref="V140:V147" ca="1" si="86">IF(AND(ISNUMBER(U140),U140&gt;0),$N140,0)</f>
        <v>0</v>
      </c>
      <c r="W140" s="1062" t="str">
        <f t="shared" ref="W140:W147" ca="1" si="87">IF(ISNA(MATCH(M140,$AD$87:$AD$107,0)),"",MATCH(M140,$AD$87:$AD$107,0))</f>
        <v/>
      </c>
      <c r="X140" s="1062">
        <f t="shared" ref="X140:X147" ca="1" si="88">IF(AND(ISNUMBER(W140),W140&gt;0),$N140,0)</f>
        <v>0</v>
      </c>
      <c r="AP140" s="214">
        <f t="shared" ca="1" si="79"/>
        <v>-459.03418894059439</v>
      </c>
      <c r="AQ140" s="870">
        <f t="shared" si="64"/>
        <v>18</v>
      </c>
      <c r="AR140" s="829" t="str">
        <f t="shared" si="65"/>
        <v/>
      </c>
      <c r="AS140" s="829" t="str">
        <f t="shared" si="66"/>
        <v/>
      </c>
      <c r="AT140" s="869" t="str">
        <f t="shared" si="67"/>
        <v/>
      </c>
      <c r="AU140" s="829" t="str">
        <f t="shared" si="68"/>
        <v/>
      </c>
      <c r="AV140" s="829" t="str">
        <f t="shared" si="69"/>
        <v/>
      </c>
      <c r="AW140" s="829" t="str">
        <f t="shared" si="70"/>
        <v/>
      </c>
      <c r="AX140" s="829">
        <f t="shared" ca="1" si="71"/>
        <v>-459.03418894059439</v>
      </c>
      <c r="AY140" s="829" t="str">
        <f t="shared" si="72"/>
        <v/>
      </c>
      <c r="AZ140" s="829" t="str">
        <f t="shared" si="73"/>
        <v/>
      </c>
      <c r="BA140" s="829" t="str">
        <f t="shared" si="74"/>
        <v/>
      </c>
      <c r="BB140" s="829">
        <f t="shared" si="75"/>
        <v>18</v>
      </c>
      <c r="BC140" s="829">
        <f t="shared" ca="1" si="54"/>
        <v>0</v>
      </c>
      <c r="BD140" s="829">
        <f t="shared" ca="1" si="55"/>
        <v>0</v>
      </c>
      <c r="BE140" s="829">
        <f t="shared" ca="1" si="56"/>
        <v>0</v>
      </c>
      <c r="BF140" s="829">
        <f t="shared" ca="1" si="57"/>
        <v>0</v>
      </c>
      <c r="BG140" s="829">
        <f t="shared" ca="1" si="58"/>
        <v>0</v>
      </c>
      <c r="BH140" s="829">
        <f t="shared" ca="1" si="59"/>
        <v>0</v>
      </c>
      <c r="BI140" s="829">
        <f t="shared" ca="1" si="60"/>
        <v>9824.5004131661226</v>
      </c>
      <c r="BJ140" s="829">
        <f t="shared" ca="1" si="52"/>
        <v>3611.8145661578278</v>
      </c>
      <c r="BK140" s="829">
        <f t="shared" si="53"/>
        <v>18</v>
      </c>
      <c r="BL140" s="829">
        <f t="shared" ca="1" si="61"/>
        <v>3924.576721443219</v>
      </c>
      <c r="BM140" s="829">
        <f t="shared" ca="1" si="62"/>
        <v>6447.8369850463314</v>
      </c>
      <c r="BN140" s="829">
        <f t="shared" ca="1" si="63"/>
        <v>0</v>
      </c>
    </row>
    <row r="141" spans="11:66" ht="15" customHeight="1" x14ac:dyDescent="0.25">
      <c r="M141" s="432" t="str">
        <f>'1. Projektangaben'!C37</f>
        <v>Erdgas</v>
      </c>
      <c r="N141" s="794">
        <f>'1. Projektangaben'!I37</f>
        <v>0</v>
      </c>
      <c r="O141" s="1062" t="str">
        <f t="shared" ref="O141:O147" si="89">IF(ISNA(MATCH(M141,$N$87:$N$107,0)),"",MATCH(M141,$N$87:$N$107,0))</f>
        <v/>
      </c>
      <c r="P141" s="1062">
        <f t="shared" si="80"/>
        <v>0</v>
      </c>
      <c r="Q141" s="1062" t="str">
        <f t="shared" ca="1" si="81"/>
        <v/>
      </c>
      <c r="R141" s="1062">
        <f t="shared" ca="1" si="82"/>
        <v>0</v>
      </c>
      <c r="S141" s="1062" t="str">
        <f t="shared" ca="1" si="83"/>
        <v/>
      </c>
      <c r="T141" s="1062">
        <f t="shared" ca="1" si="84"/>
        <v>0</v>
      </c>
      <c r="U141" s="1062" t="str">
        <f t="shared" ca="1" si="85"/>
        <v/>
      </c>
      <c r="V141" s="1062">
        <f t="shared" ca="1" si="86"/>
        <v>0</v>
      </c>
      <c r="W141" s="1062" t="str">
        <f t="shared" ca="1" si="87"/>
        <v/>
      </c>
      <c r="X141" s="1062">
        <f t="shared" ca="1" si="88"/>
        <v>0</v>
      </c>
      <c r="AP141" s="214">
        <f t="shared" ca="1" si="79"/>
        <v>-470.51004366410922</v>
      </c>
      <c r="AQ141" s="870">
        <f t="shared" si="64"/>
        <v>19</v>
      </c>
      <c r="AR141" s="829" t="str">
        <f t="shared" si="65"/>
        <v/>
      </c>
      <c r="AS141" s="829" t="str">
        <f t="shared" si="66"/>
        <v/>
      </c>
      <c r="AT141" s="869" t="str">
        <f t="shared" si="67"/>
        <v/>
      </c>
      <c r="AU141" s="829" t="str">
        <f t="shared" si="68"/>
        <v/>
      </c>
      <c r="AV141" s="829" t="str">
        <f t="shared" si="69"/>
        <v/>
      </c>
      <c r="AW141" s="829" t="str">
        <f t="shared" si="70"/>
        <v/>
      </c>
      <c r="AX141" s="829">
        <f t="shared" ca="1" si="71"/>
        <v>-470.51004366410922</v>
      </c>
      <c r="AY141" s="829" t="str">
        <f t="shared" si="72"/>
        <v/>
      </c>
      <c r="AZ141" s="829" t="str">
        <f t="shared" si="73"/>
        <v/>
      </c>
      <c r="BA141" s="829" t="str">
        <f t="shared" si="74"/>
        <v/>
      </c>
      <c r="BB141" s="829">
        <f t="shared" si="75"/>
        <v>19</v>
      </c>
      <c r="BC141" s="829">
        <f t="shared" ca="1" si="54"/>
        <v>0</v>
      </c>
      <c r="BD141" s="829">
        <f t="shared" ca="1" si="55"/>
        <v>0</v>
      </c>
      <c r="BE141" s="829">
        <f t="shared" ca="1" si="56"/>
        <v>0</v>
      </c>
      <c r="BF141" s="829">
        <f t="shared" ca="1" si="57"/>
        <v>0</v>
      </c>
      <c r="BG141" s="829">
        <f t="shared" ca="1" si="58"/>
        <v>0</v>
      </c>
      <c r="BH141" s="829">
        <f t="shared" ca="1" si="59"/>
        <v>0</v>
      </c>
      <c r="BI141" s="829">
        <f t="shared" ca="1" si="60"/>
        <v>10070.112923495275</v>
      </c>
      <c r="BJ141" s="829">
        <f t="shared" ca="1" si="52"/>
        <v>3738.2280759733517</v>
      </c>
      <c r="BK141" s="829">
        <f t="shared" si="53"/>
        <v>19</v>
      </c>
      <c r="BL141" s="829">
        <f t="shared" ca="1" si="61"/>
        <v>3987.3699489863106</v>
      </c>
      <c r="BM141" s="829">
        <f t="shared" ca="1" si="62"/>
        <v>6551.0023768070732</v>
      </c>
      <c r="BN141" s="829">
        <f t="shared" ca="1" si="63"/>
        <v>0</v>
      </c>
    </row>
    <row r="142" spans="11:66" ht="15" customHeight="1" x14ac:dyDescent="0.25">
      <c r="M142" s="432" t="str">
        <f>'1. Projektangaben'!C38</f>
        <v>Kohle</v>
      </c>
      <c r="N142" s="794">
        <f>'1. Projektangaben'!I38</f>
        <v>0</v>
      </c>
      <c r="O142" s="1062" t="str">
        <f t="shared" si="89"/>
        <v/>
      </c>
      <c r="P142" s="1062">
        <f t="shared" si="80"/>
        <v>0</v>
      </c>
      <c r="Q142" s="1062" t="str">
        <f t="shared" ca="1" si="81"/>
        <v/>
      </c>
      <c r="R142" s="1062">
        <f t="shared" ca="1" si="82"/>
        <v>0</v>
      </c>
      <c r="S142" s="1062" t="str">
        <f t="shared" ca="1" si="83"/>
        <v/>
      </c>
      <c r="T142" s="1062">
        <f t="shared" ca="1" si="84"/>
        <v>0</v>
      </c>
      <c r="U142" s="1062" t="str">
        <f t="shared" ca="1" si="85"/>
        <v/>
      </c>
      <c r="V142" s="1062">
        <f t="shared" ca="1" si="86"/>
        <v>0</v>
      </c>
      <c r="W142" s="1062" t="str">
        <f t="shared" ca="1" si="87"/>
        <v/>
      </c>
      <c r="X142" s="1062">
        <f t="shared" ca="1" si="88"/>
        <v>0</v>
      </c>
      <c r="AP142" s="214">
        <f t="shared" ca="1" si="79"/>
        <v>-482.27279475571191</v>
      </c>
      <c r="AQ142" s="870">
        <f t="shared" si="64"/>
        <v>20</v>
      </c>
      <c r="AR142" s="829" t="str">
        <f t="shared" si="65"/>
        <v/>
      </c>
      <c r="AS142" s="829" t="str">
        <f t="shared" si="66"/>
        <v/>
      </c>
      <c r="AT142" s="869" t="str">
        <f t="shared" si="67"/>
        <v/>
      </c>
      <c r="AU142" s="829" t="str">
        <f t="shared" si="68"/>
        <v/>
      </c>
      <c r="AV142" s="829" t="str">
        <f t="shared" si="69"/>
        <v/>
      </c>
      <c r="AW142" s="829" t="str">
        <f t="shared" si="70"/>
        <v/>
      </c>
      <c r="AX142" s="829">
        <f t="shared" ca="1" si="71"/>
        <v>-482.27279475571191</v>
      </c>
      <c r="AY142" s="829" t="str">
        <f t="shared" si="72"/>
        <v/>
      </c>
      <c r="AZ142" s="829" t="str">
        <f t="shared" si="73"/>
        <v/>
      </c>
      <c r="BA142" s="829" t="str">
        <f t="shared" si="74"/>
        <v/>
      </c>
      <c r="BB142" s="829">
        <f t="shared" si="75"/>
        <v>20</v>
      </c>
      <c r="BC142" s="829">
        <f t="shared" ca="1" si="54"/>
        <v>0</v>
      </c>
      <c r="BD142" s="829">
        <f t="shared" ca="1" si="55"/>
        <v>0</v>
      </c>
      <c r="BE142" s="829">
        <f t="shared" ca="1" si="56"/>
        <v>0</v>
      </c>
      <c r="BF142" s="829">
        <f t="shared" ca="1" si="57"/>
        <v>0</v>
      </c>
      <c r="BG142" s="829">
        <f t="shared" ca="1" si="58"/>
        <v>0</v>
      </c>
      <c r="BH142" s="829">
        <f t="shared" ca="1" si="59"/>
        <v>0</v>
      </c>
      <c r="BI142" s="829">
        <f t="shared" ca="1" si="60"/>
        <v>10321.865746582656</v>
      </c>
      <c r="BJ142" s="829">
        <f t="shared" ca="1" si="52"/>
        <v>3869.0660586324188</v>
      </c>
      <c r="BK142" s="829">
        <f t="shared" si="53"/>
        <v>20</v>
      </c>
      <c r="BL142" s="829">
        <f t="shared" ca="1" si="61"/>
        <v>4051.1678681700919</v>
      </c>
      <c r="BM142" s="829">
        <f t="shared" ca="1" si="62"/>
        <v>6655.8184148359869</v>
      </c>
      <c r="BN142" s="829">
        <f t="shared" ca="1" si="63"/>
        <v>0</v>
      </c>
    </row>
    <row r="143" spans="11:66" ht="15" customHeight="1" x14ac:dyDescent="0.25">
      <c r="M143" s="432" t="str">
        <f>'1. Projektangaben'!C39</f>
        <v>Fernwärme ne.</v>
      </c>
      <c r="N143" s="794">
        <f>'1. Projektangaben'!I39</f>
        <v>0</v>
      </c>
      <c r="O143" s="1062" t="str">
        <f t="shared" si="89"/>
        <v/>
      </c>
      <c r="P143" s="1062">
        <f t="shared" si="80"/>
        <v>0</v>
      </c>
      <c r="Q143" s="1062" t="str">
        <f t="shared" ca="1" si="81"/>
        <v/>
      </c>
      <c r="R143" s="1062">
        <f t="shared" ca="1" si="82"/>
        <v>0</v>
      </c>
      <c r="S143" s="1062" t="str">
        <f t="shared" ca="1" si="83"/>
        <v/>
      </c>
      <c r="T143" s="1062">
        <f t="shared" ca="1" si="84"/>
        <v>0</v>
      </c>
      <c r="U143" s="1062" t="str">
        <f t="shared" ca="1" si="85"/>
        <v/>
      </c>
      <c r="V143" s="1062">
        <f t="shared" ca="1" si="86"/>
        <v>0</v>
      </c>
      <c r="W143" s="1062" t="str">
        <f t="shared" ca="1" si="87"/>
        <v/>
      </c>
      <c r="X143" s="1062">
        <f t="shared" ca="1" si="88"/>
        <v>0</v>
      </c>
      <c r="AP143" s="214">
        <f t="shared" ca="1" si="79"/>
        <v>-494.32961462460474</v>
      </c>
      <c r="AQ143" s="870">
        <f t="shared" si="64"/>
        <v>21</v>
      </c>
      <c r="AR143" s="829" t="str">
        <f t="shared" si="65"/>
        <v/>
      </c>
      <c r="AS143" s="829" t="str">
        <f t="shared" si="66"/>
        <v/>
      </c>
      <c r="AT143" s="869" t="str">
        <f t="shared" si="67"/>
        <v/>
      </c>
      <c r="AU143" s="829" t="str">
        <f t="shared" si="68"/>
        <v/>
      </c>
      <c r="AV143" s="829" t="str">
        <f t="shared" si="69"/>
        <v/>
      </c>
      <c r="AW143" s="829" t="str">
        <f t="shared" si="70"/>
        <v/>
      </c>
      <c r="AX143" s="829">
        <f t="shared" ca="1" si="71"/>
        <v>-494.32961462460474</v>
      </c>
      <c r="AY143" s="829" t="str">
        <f t="shared" si="72"/>
        <v/>
      </c>
      <c r="AZ143" s="829" t="str">
        <f t="shared" si="73"/>
        <v/>
      </c>
      <c r="BA143" s="829" t="str">
        <f t="shared" si="74"/>
        <v/>
      </c>
      <c r="BB143" s="829">
        <f t="shared" si="75"/>
        <v>21</v>
      </c>
      <c r="BC143" s="829">
        <f t="shared" ca="1" si="54"/>
        <v>0</v>
      </c>
      <c r="BD143" s="829">
        <f t="shared" ca="1" si="55"/>
        <v>0</v>
      </c>
      <c r="BE143" s="829">
        <f t="shared" ca="1" si="56"/>
        <v>0</v>
      </c>
      <c r="BF143" s="829">
        <f t="shared" ca="1" si="57"/>
        <v>0</v>
      </c>
      <c r="BG143" s="829">
        <f t="shared" ca="1" si="58"/>
        <v>0</v>
      </c>
      <c r="BH143" s="829">
        <f t="shared" ca="1" si="59"/>
        <v>0</v>
      </c>
      <c r="BI143" s="829">
        <f t="shared" ca="1" si="60"/>
        <v>10579.912390247222</v>
      </c>
      <c r="BJ143" s="829">
        <f t="shared" ca="1" si="52"/>
        <v>4004.4833706845534</v>
      </c>
      <c r="BK143" s="829">
        <f t="shared" si="53"/>
        <v>21</v>
      </c>
      <c r="BL143" s="829">
        <f t="shared" ca="1" si="61"/>
        <v>4115.9865540608134</v>
      </c>
      <c r="BM143" s="829">
        <f t="shared" ca="1" si="62"/>
        <v>6762.311509473363</v>
      </c>
      <c r="BN143" s="829">
        <f t="shared" ca="1" si="63"/>
        <v>0</v>
      </c>
    </row>
    <row r="144" spans="11:66" ht="15" customHeight="1" x14ac:dyDescent="0.25">
      <c r="M144" s="432" t="str">
        <f>'1. Projektangaben'!C40</f>
        <v>Fernwärme e.</v>
      </c>
      <c r="N144" s="794">
        <f>'1. Projektangaben'!I40</f>
        <v>0</v>
      </c>
      <c r="O144" s="1062" t="str">
        <f t="shared" si="89"/>
        <v/>
      </c>
      <c r="P144" s="1062">
        <f t="shared" si="80"/>
        <v>0</v>
      </c>
      <c r="Q144" s="1062" t="str">
        <f t="shared" ca="1" si="81"/>
        <v/>
      </c>
      <c r="R144" s="1062">
        <f t="shared" ca="1" si="82"/>
        <v>0</v>
      </c>
      <c r="S144" s="1062" t="str">
        <f t="shared" ca="1" si="83"/>
        <v/>
      </c>
      <c r="T144" s="1062">
        <f t="shared" ca="1" si="84"/>
        <v>0</v>
      </c>
      <c r="U144" s="1062" t="str">
        <f t="shared" ca="1" si="85"/>
        <v/>
      </c>
      <c r="V144" s="1062">
        <f t="shared" ca="1" si="86"/>
        <v>0</v>
      </c>
      <c r="W144" s="1062" t="str">
        <f t="shared" ca="1" si="87"/>
        <v/>
      </c>
      <c r="X144" s="1062">
        <f t="shared" ca="1" si="88"/>
        <v>0</v>
      </c>
      <c r="AP144" s="214">
        <f t="shared" ca="1" si="79"/>
        <v>-506.68785499021976</v>
      </c>
      <c r="AQ144" s="870">
        <f t="shared" si="64"/>
        <v>22</v>
      </c>
      <c r="AR144" s="829" t="str">
        <f t="shared" si="65"/>
        <v/>
      </c>
      <c r="AS144" s="829" t="str">
        <f t="shared" si="66"/>
        <v/>
      </c>
      <c r="AT144" s="869" t="str">
        <f t="shared" si="67"/>
        <v/>
      </c>
      <c r="AU144" s="829" t="str">
        <f t="shared" si="68"/>
        <v/>
      </c>
      <c r="AV144" s="829" t="str">
        <f t="shared" si="69"/>
        <v/>
      </c>
      <c r="AW144" s="829" t="str">
        <f t="shared" si="70"/>
        <v/>
      </c>
      <c r="AX144" s="829">
        <f t="shared" ca="1" si="71"/>
        <v>-506.68785499021976</v>
      </c>
      <c r="AY144" s="829" t="str">
        <f t="shared" si="72"/>
        <v/>
      </c>
      <c r="AZ144" s="829" t="str">
        <f t="shared" si="73"/>
        <v/>
      </c>
      <c r="BA144" s="829" t="str">
        <f t="shared" si="74"/>
        <v/>
      </c>
      <c r="BB144" s="829">
        <f t="shared" si="75"/>
        <v>22</v>
      </c>
      <c r="BC144" s="829">
        <f t="shared" ca="1" si="54"/>
        <v>0</v>
      </c>
      <c r="BD144" s="829">
        <f t="shared" ca="1" si="55"/>
        <v>0</v>
      </c>
      <c r="BE144" s="829">
        <f t="shared" ca="1" si="56"/>
        <v>0</v>
      </c>
      <c r="BF144" s="829">
        <f t="shared" ca="1" si="57"/>
        <v>0</v>
      </c>
      <c r="BG144" s="829">
        <f t="shared" ca="1" si="58"/>
        <v>0</v>
      </c>
      <c r="BH144" s="829">
        <f t="shared" ca="1" si="59"/>
        <v>0</v>
      </c>
      <c r="BI144" s="829">
        <f t="shared" ca="1" si="60"/>
        <v>10844.410200003402</v>
      </c>
      <c r="BJ144" s="829">
        <f t="shared" ca="1" si="52"/>
        <v>4144.6402886585129</v>
      </c>
      <c r="BK144" s="829">
        <f t="shared" si="53"/>
        <v>22</v>
      </c>
      <c r="BL144" s="829">
        <f t="shared" ca="1" si="61"/>
        <v>4181.8423389257869</v>
      </c>
      <c r="BM144" s="829">
        <f t="shared" ca="1" si="62"/>
        <v>6870.5084936249368</v>
      </c>
      <c r="BN144" s="829">
        <f t="shared" ca="1" si="63"/>
        <v>0</v>
      </c>
    </row>
    <row r="145" spans="1:66" ht="15" customHeight="1" x14ac:dyDescent="0.25">
      <c r="M145" s="432" t="str">
        <f>'1. Projektangaben'!C41</f>
        <v>Biomasse</v>
      </c>
      <c r="N145" s="794">
        <f>'1. Projektangaben'!I41</f>
        <v>0</v>
      </c>
      <c r="O145" s="1062" t="str">
        <f t="shared" si="89"/>
        <v/>
      </c>
      <c r="P145" s="1062">
        <f t="shared" si="80"/>
        <v>0</v>
      </c>
      <c r="Q145" s="1062" t="str">
        <f t="shared" ca="1" si="81"/>
        <v/>
      </c>
      <c r="R145" s="1062">
        <f t="shared" ca="1" si="82"/>
        <v>0</v>
      </c>
      <c r="S145" s="1062" t="str">
        <f t="shared" ca="1" si="83"/>
        <v/>
      </c>
      <c r="T145" s="1062">
        <f t="shared" ca="1" si="84"/>
        <v>0</v>
      </c>
      <c r="U145" s="1062" t="str">
        <f t="shared" ca="1" si="85"/>
        <v/>
      </c>
      <c r="V145" s="1062">
        <f t="shared" ca="1" si="86"/>
        <v>0</v>
      </c>
      <c r="W145" s="1062" t="str">
        <f t="shared" ca="1" si="87"/>
        <v/>
      </c>
      <c r="X145" s="1062">
        <f t="shared" ca="1" si="88"/>
        <v>0</v>
      </c>
      <c r="AP145" s="214">
        <f t="shared" ca="1" si="79"/>
        <v>-519.35505136497522</v>
      </c>
      <c r="AQ145" s="870">
        <f t="shared" si="64"/>
        <v>23</v>
      </c>
      <c r="AR145" s="829" t="str">
        <f t="shared" si="65"/>
        <v/>
      </c>
      <c r="AS145" s="829" t="str">
        <f t="shared" si="66"/>
        <v/>
      </c>
      <c r="AT145" s="869" t="str">
        <f t="shared" si="67"/>
        <v/>
      </c>
      <c r="AU145" s="829" t="str">
        <f t="shared" si="68"/>
        <v/>
      </c>
      <c r="AV145" s="829" t="str">
        <f t="shared" si="69"/>
        <v/>
      </c>
      <c r="AW145" s="829" t="str">
        <f t="shared" si="70"/>
        <v/>
      </c>
      <c r="AX145" s="829">
        <f t="shared" ca="1" si="71"/>
        <v>-519.35505136497522</v>
      </c>
      <c r="AY145" s="829" t="str">
        <f t="shared" si="72"/>
        <v/>
      </c>
      <c r="AZ145" s="829" t="str">
        <f t="shared" si="73"/>
        <v/>
      </c>
      <c r="BA145" s="829" t="str">
        <f t="shared" si="74"/>
        <v/>
      </c>
      <c r="BB145" s="829">
        <f t="shared" si="75"/>
        <v>23</v>
      </c>
      <c r="BC145" s="829">
        <f t="shared" ca="1" si="54"/>
        <v>0</v>
      </c>
      <c r="BD145" s="829">
        <f t="shared" ca="1" si="55"/>
        <v>0</v>
      </c>
      <c r="BE145" s="829">
        <f t="shared" ca="1" si="56"/>
        <v>0</v>
      </c>
      <c r="BF145" s="829">
        <f t="shared" ca="1" si="57"/>
        <v>0</v>
      </c>
      <c r="BG145" s="829">
        <f t="shared" ca="1" si="58"/>
        <v>0</v>
      </c>
      <c r="BH145" s="829">
        <f t="shared" ca="1" si="59"/>
        <v>0</v>
      </c>
      <c r="BI145" s="829">
        <f t="shared" ca="1" si="60"/>
        <v>11115.520455003485</v>
      </c>
      <c r="BJ145" s="829">
        <f t="shared" ca="1" si="52"/>
        <v>4289.7026987615609</v>
      </c>
      <c r="BK145" s="829">
        <f t="shared" si="53"/>
        <v>23</v>
      </c>
      <c r="BL145" s="829">
        <f t="shared" ca="1" si="61"/>
        <v>4248.7518163485993</v>
      </c>
      <c r="BM145" s="829">
        <f t="shared" ca="1" si="62"/>
        <v>6980.4366295229356</v>
      </c>
      <c r="BN145" s="829">
        <f t="shared" ca="1" si="63"/>
        <v>0</v>
      </c>
    </row>
    <row r="146" spans="1:66" ht="15" customHeight="1" x14ac:dyDescent="0.25">
      <c r="M146" s="432" t="str">
        <f>'1. Projektangaben'!C42</f>
        <v>Strom</v>
      </c>
      <c r="N146" s="794">
        <f>'1. Projektangaben'!I42</f>
        <v>1868.3999999999999</v>
      </c>
      <c r="O146" s="1062">
        <f t="shared" si="89"/>
        <v>8</v>
      </c>
      <c r="P146" s="1062">
        <f t="shared" si="80"/>
        <v>1868.3999999999999</v>
      </c>
      <c r="Q146" s="1062">
        <f t="shared" ca="1" si="81"/>
        <v>8</v>
      </c>
      <c r="R146" s="1062">
        <f t="shared" ca="1" si="82"/>
        <v>1868.3999999999999</v>
      </c>
      <c r="S146" s="1062">
        <f t="shared" ca="1" si="83"/>
        <v>8</v>
      </c>
      <c r="T146" s="1062">
        <f t="shared" ca="1" si="84"/>
        <v>1868.3999999999999</v>
      </c>
      <c r="U146" s="1062">
        <f t="shared" ca="1" si="85"/>
        <v>8</v>
      </c>
      <c r="V146" s="1062">
        <f t="shared" ca="1" si="86"/>
        <v>1868.3999999999999</v>
      </c>
      <c r="W146" s="1062">
        <f t="shared" ca="1" si="87"/>
        <v>8</v>
      </c>
      <c r="X146" s="1062">
        <f t="shared" ca="1" si="88"/>
        <v>1868.3999999999999</v>
      </c>
      <c r="AP146" s="214">
        <f t="shared" ca="1" si="79"/>
        <v>-532.33892764909956</v>
      </c>
      <c r="AQ146" s="870">
        <f t="shared" si="64"/>
        <v>24</v>
      </c>
      <c r="AR146" s="829" t="str">
        <f t="shared" si="65"/>
        <v/>
      </c>
      <c r="AS146" s="829" t="str">
        <f t="shared" si="66"/>
        <v/>
      </c>
      <c r="AT146" s="869" t="str">
        <f t="shared" si="67"/>
        <v/>
      </c>
      <c r="AU146" s="829" t="str">
        <f t="shared" si="68"/>
        <v/>
      </c>
      <c r="AV146" s="829" t="str">
        <f t="shared" si="69"/>
        <v/>
      </c>
      <c r="AW146" s="829" t="str">
        <f t="shared" si="70"/>
        <v/>
      </c>
      <c r="AX146" s="829">
        <f t="shared" ca="1" si="71"/>
        <v>-532.33892764909956</v>
      </c>
      <c r="AY146" s="829" t="str">
        <f t="shared" si="72"/>
        <v/>
      </c>
      <c r="AZ146" s="829" t="str">
        <f t="shared" si="73"/>
        <v/>
      </c>
      <c r="BA146" s="829" t="str">
        <f t="shared" si="74"/>
        <v/>
      </c>
      <c r="BB146" s="829">
        <f t="shared" si="75"/>
        <v>24</v>
      </c>
      <c r="BC146" s="829">
        <f t="shared" ca="1" si="54"/>
        <v>0</v>
      </c>
      <c r="BD146" s="829">
        <f t="shared" ca="1" si="55"/>
        <v>0</v>
      </c>
      <c r="BE146" s="829">
        <f t="shared" ca="1" si="56"/>
        <v>0</v>
      </c>
      <c r="BF146" s="829">
        <f t="shared" ca="1" si="57"/>
        <v>0</v>
      </c>
      <c r="BG146" s="829">
        <f t="shared" ca="1" si="58"/>
        <v>0</v>
      </c>
      <c r="BH146" s="829">
        <f t="shared" ca="1" si="59"/>
        <v>0</v>
      </c>
      <c r="BI146" s="829">
        <f t="shared" ca="1" si="60"/>
        <v>11393.408466378571</v>
      </c>
      <c r="BJ146" s="829">
        <f t="shared" ca="1" si="52"/>
        <v>4439.8422932182148</v>
      </c>
      <c r="BK146" s="829">
        <f t="shared" si="53"/>
        <v>24</v>
      </c>
      <c r="BL146" s="829">
        <f t="shared" ca="1" si="61"/>
        <v>4316.7318454101769</v>
      </c>
      <c r="BM146" s="829">
        <f t="shared" ca="1" si="62"/>
        <v>7092.1236155953029</v>
      </c>
      <c r="BN146" s="829">
        <f t="shared" ca="1" si="63"/>
        <v>0</v>
      </c>
    </row>
    <row r="147" spans="1:66" ht="15" customHeight="1" x14ac:dyDescent="0.25">
      <c r="M147" s="432" t="str">
        <f>'1. Projektangaben'!C43</f>
        <v>Wärmepumpenstrom</v>
      </c>
      <c r="N147" s="794">
        <f>'1. Projektangaben'!I43</f>
        <v>1128</v>
      </c>
      <c r="O147" s="1062">
        <f t="shared" si="89"/>
        <v>1</v>
      </c>
      <c r="P147" s="1062">
        <f t="shared" si="80"/>
        <v>1128</v>
      </c>
      <c r="Q147" s="1062">
        <f t="shared" ca="1" si="81"/>
        <v>1</v>
      </c>
      <c r="R147" s="1062">
        <f t="shared" ca="1" si="82"/>
        <v>1128</v>
      </c>
      <c r="S147" s="1062">
        <f t="shared" ca="1" si="83"/>
        <v>1</v>
      </c>
      <c r="T147" s="1062">
        <f t="shared" ca="1" si="84"/>
        <v>1128</v>
      </c>
      <c r="U147" s="1062">
        <f t="shared" ca="1" si="85"/>
        <v>1</v>
      </c>
      <c r="V147" s="1062">
        <f t="shared" ca="1" si="86"/>
        <v>1128</v>
      </c>
      <c r="W147" s="1062">
        <f t="shared" ca="1" si="87"/>
        <v>1</v>
      </c>
      <c r="X147" s="1062">
        <f t="shared" ca="1" si="88"/>
        <v>1128</v>
      </c>
      <c r="AP147" s="214">
        <f t="shared" ca="1" si="79"/>
        <v>-545.64740084032712</v>
      </c>
      <c r="AQ147" s="870">
        <f t="shared" si="64"/>
        <v>25</v>
      </c>
      <c r="AR147" s="829" t="str">
        <f t="shared" si="65"/>
        <v/>
      </c>
      <c r="AS147" s="829" t="str">
        <f t="shared" si="66"/>
        <v/>
      </c>
      <c r="AT147" s="869" t="str">
        <f t="shared" si="67"/>
        <v/>
      </c>
      <c r="AU147" s="829" t="str">
        <f t="shared" si="68"/>
        <v/>
      </c>
      <c r="AV147" s="829" t="str">
        <f t="shared" si="69"/>
        <v/>
      </c>
      <c r="AW147" s="829" t="str">
        <f t="shared" si="70"/>
        <v/>
      </c>
      <c r="AX147" s="829">
        <f t="shared" ca="1" si="71"/>
        <v>-545.64740084032712</v>
      </c>
      <c r="AY147" s="829" t="str">
        <f t="shared" si="72"/>
        <v/>
      </c>
      <c r="AZ147" s="829" t="str">
        <f t="shared" si="73"/>
        <v/>
      </c>
      <c r="BA147" s="829" t="str">
        <f t="shared" si="74"/>
        <v/>
      </c>
      <c r="BB147" s="829">
        <f t="shared" si="75"/>
        <v>25</v>
      </c>
      <c r="BC147" s="829">
        <f t="shared" ca="1" si="54"/>
        <v>0</v>
      </c>
      <c r="BD147" s="829">
        <f t="shared" ca="1" si="55"/>
        <v>0</v>
      </c>
      <c r="BE147" s="829">
        <f t="shared" ca="1" si="56"/>
        <v>0</v>
      </c>
      <c r="BF147" s="829">
        <f t="shared" ca="1" si="57"/>
        <v>0</v>
      </c>
      <c r="BG147" s="829">
        <f t="shared" ca="1" si="58"/>
        <v>0</v>
      </c>
      <c r="BH147" s="829">
        <f t="shared" ca="1" si="59"/>
        <v>0</v>
      </c>
      <c r="BI147" s="829">
        <f t="shared" ca="1" si="60"/>
        <v>11678.243678038034</v>
      </c>
      <c r="BJ147" s="829">
        <f t="shared" ca="1" si="52"/>
        <v>4595.2367734808522</v>
      </c>
      <c r="BK147" s="829">
        <f t="shared" si="53"/>
        <v>25</v>
      </c>
      <c r="BL147" s="829">
        <f t="shared" ca="1" si="61"/>
        <v>4385.7995549367397</v>
      </c>
      <c r="BM147" s="829">
        <f t="shared" ca="1" si="62"/>
        <v>7205.5975934448279</v>
      </c>
      <c r="BN147" s="829">
        <f t="shared" ca="1" si="63"/>
        <v>0</v>
      </c>
    </row>
    <row r="148" spans="1:66" ht="15" customHeight="1" x14ac:dyDescent="0.25">
      <c r="O148" s="797" t="s">
        <v>550</v>
      </c>
      <c r="P148" s="796">
        <f>SUM((P140:P147))</f>
        <v>2996.3999999999996</v>
      </c>
      <c r="Q148" s="797" t="s">
        <v>550</v>
      </c>
      <c r="R148" s="796">
        <f ca="1">SUM((R140:R147))</f>
        <v>2996.3999999999996</v>
      </c>
      <c r="S148" s="797" t="s">
        <v>550</v>
      </c>
      <c r="T148" s="796">
        <f ca="1">SUM((T140:T147))</f>
        <v>2996.3999999999996</v>
      </c>
      <c r="U148" s="797" t="s">
        <v>550</v>
      </c>
      <c r="V148" s="796">
        <f ca="1">SUM((V140:V147))</f>
        <v>2996.3999999999996</v>
      </c>
      <c r="W148" s="797" t="s">
        <v>550</v>
      </c>
      <c r="X148" s="796">
        <f ca="1">SUM((X140:X147))</f>
        <v>2996.3999999999996</v>
      </c>
      <c r="AP148" s="214">
        <f t="shared" ca="1" si="79"/>
        <v>-559.28858586133515</v>
      </c>
      <c r="AQ148" s="870">
        <f t="shared" si="64"/>
        <v>26</v>
      </c>
      <c r="AR148" s="829" t="str">
        <f t="shared" si="65"/>
        <v/>
      </c>
      <c r="AS148" s="829" t="str">
        <f t="shared" si="66"/>
        <v/>
      </c>
      <c r="AT148" s="869" t="str">
        <f t="shared" si="67"/>
        <v/>
      </c>
      <c r="AU148" s="829" t="str">
        <f t="shared" si="68"/>
        <v/>
      </c>
      <c r="AV148" s="829" t="str">
        <f t="shared" si="69"/>
        <v/>
      </c>
      <c r="AW148" s="829" t="str">
        <f t="shared" si="70"/>
        <v/>
      </c>
      <c r="AX148" s="829">
        <f t="shared" ca="1" si="71"/>
        <v>-559.28858586133515</v>
      </c>
      <c r="AY148" s="829" t="str">
        <f t="shared" si="72"/>
        <v/>
      </c>
      <c r="AZ148" s="829" t="str">
        <f t="shared" si="73"/>
        <v/>
      </c>
      <c r="BA148" s="829" t="str">
        <f t="shared" si="74"/>
        <v/>
      </c>
      <c r="BB148" s="829">
        <f t="shared" si="75"/>
        <v>26</v>
      </c>
      <c r="BC148" s="829">
        <f t="shared" ca="1" si="54"/>
        <v>0</v>
      </c>
      <c r="BD148" s="829">
        <f t="shared" ca="1" si="55"/>
        <v>0</v>
      </c>
      <c r="BE148" s="829">
        <f t="shared" ca="1" si="56"/>
        <v>0</v>
      </c>
      <c r="BF148" s="829">
        <f t="shared" ca="1" si="57"/>
        <v>0</v>
      </c>
      <c r="BG148" s="829">
        <f t="shared" ca="1" si="58"/>
        <v>0</v>
      </c>
      <c r="BH148" s="829">
        <f t="shared" ca="1" si="59"/>
        <v>0</v>
      </c>
      <c r="BI148" s="829">
        <f t="shared" ca="1" si="60"/>
        <v>11970.199769988983</v>
      </c>
      <c r="BJ148" s="829">
        <f t="shared" ca="1" si="52"/>
        <v>4756.0700605526818</v>
      </c>
      <c r="BK148" s="829">
        <f t="shared" si="53"/>
        <v>26</v>
      </c>
      <c r="BL148" s="829">
        <f t="shared" ca="1" si="61"/>
        <v>4455.9723478157275</v>
      </c>
      <c r="BM148" s="829">
        <f t="shared" ca="1" si="62"/>
        <v>7320.8871549399455</v>
      </c>
      <c r="BN148" s="829">
        <f t="shared" ca="1" si="63"/>
        <v>0</v>
      </c>
    </row>
    <row r="149" spans="1:66" ht="15" customHeight="1" thickBot="1" x14ac:dyDescent="0.3">
      <c r="AP149" s="214">
        <f t="shared" ca="1" si="79"/>
        <v>-573.27080050786856</v>
      </c>
      <c r="AQ149" s="870">
        <f t="shared" si="64"/>
        <v>27</v>
      </c>
      <c r="AR149" s="829" t="str">
        <f t="shared" si="65"/>
        <v/>
      </c>
      <c r="AS149" s="829" t="str">
        <f t="shared" si="66"/>
        <v/>
      </c>
      <c r="AT149" s="869" t="str">
        <f t="shared" si="67"/>
        <v/>
      </c>
      <c r="AU149" s="829" t="str">
        <f t="shared" si="68"/>
        <v/>
      </c>
      <c r="AV149" s="829" t="str">
        <f t="shared" si="69"/>
        <v/>
      </c>
      <c r="AW149" s="829" t="str">
        <f t="shared" si="70"/>
        <v/>
      </c>
      <c r="AX149" s="829">
        <f t="shared" ca="1" si="71"/>
        <v>-573.27080050786856</v>
      </c>
      <c r="AY149" s="829" t="str">
        <f t="shared" si="72"/>
        <v/>
      </c>
      <c r="AZ149" s="829" t="str">
        <f t="shared" si="73"/>
        <v/>
      </c>
      <c r="BA149" s="829" t="str">
        <f t="shared" si="74"/>
        <v/>
      </c>
      <c r="BB149" s="829">
        <f t="shared" si="75"/>
        <v>27</v>
      </c>
      <c r="BC149" s="829">
        <f t="shared" ca="1" si="54"/>
        <v>0</v>
      </c>
      <c r="BD149" s="829">
        <f t="shared" ca="1" si="55"/>
        <v>0</v>
      </c>
      <c r="BE149" s="829">
        <f t="shared" ca="1" si="56"/>
        <v>0</v>
      </c>
      <c r="BF149" s="829">
        <f t="shared" ca="1" si="57"/>
        <v>0</v>
      </c>
      <c r="BG149" s="829">
        <f t="shared" ca="1" si="58"/>
        <v>0</v>
      </c>
      <c r="BH149" s="829">
        <f t="shared" ca="1" si="59"/>
        <v>0</v>
      </c>
      <c r="BI149" s="829">
        <f t="shared" ca="1" si="60"/>
        <v>12269.454764238708</v>
      </c>
      <c r="BJ149" s="829">
        <f t="shared" ca="1" si="52"/>
        <v>4922.5325126720254</v>
      </c>
      <c r="BK149" s="829">
        <f t="shared" si="53"/>
        <v>27</v>
      </c>
      <c r="BL149" s="829">
        <f t="shared" ca="1" si="61"/>
        <v>4527.2679053807797</v>
      </c>
      <c r="BM149" s="829">
        <f t="shared" ca="1" si="62"/>
        <v>7438.0213494189848</v>
      </c>
      <c r="BN149" s="829">
        <f t="shared" ca="1" si="63"/>
        <v>0</v>
      </c>
    </row>
    <row r="150" spans="1:66" ht="15" customHeight="1" x14ac:dyDescent="0.25">
      <c r="B150" s="1682" t="s">
        <v>292</v>
      </c>
      <c r="C150" s="3"/>
      <c r="D150" s="3"/>
      <c r="E150" s="3"/>
      <c r="F150" s="3"/>
      <c r="G150" s="3"/>
      <c r="H150" s="3"/>
      <c r="I150" s="3"/>
      <c r="J150" s="3"/>
      <c r="K150" s="3"/>
      <c r="L150" s="111"/>
      <c r="M150" s="111"/>
      <c r="N150" s="111"/>
      <c r="O150" s="111"/>
      <c r="P150" s="111"/>
      <c r="Q150" s="111"/>
      <c r="R150" s="111"/>
      <c r="S150" s="111"/>
      <c r="T150" s="111"/>
      <c r="U150" s="111"/>
      <c r="AP150" s="214">
        <f t="shared" ca="1" si="79"/>
        <v>-587.60257052056522</v>
      </c>
      <c r="AQ150" s="870">
        <f t="shared" si="64"/>
        <v>28</v>
      </c>
      <c r="AR150" s="829" t="str">
        <f t="shared" si="65"/>
        <v/>
      </c>
      <c r="AS150" s="829" t="str">
        <f t="shared" si="66"/>
        <v/>
      </c>
      <c r="AT150" s="869" t="str">
        <f t="shared" si="67"/>
        <v/>
      </c>
      <c r="AU150" s="829" t="str">
        <f t="shared" si="68"/>
        <v/>
      </c>
      <c r="AV150" s="829" t="str">
        <f t="shared" si="69"/>
        <v/>
      </c>
      <c r="AW150" s="829" t="str">
        <f t="shared" si="70"/>
        <v/>
      </c>
      <c r="AX150" s="829">
        <f t="shared" ca="1" si="71"/>
        <v>-587.60257052056522</v>
      </c>
      <c r="AY150" s="829" t="str">
        <f t="shared" si="72"/>
        <v/>
      </c>
      <c r="AZ150" s="829" t="str">
        <f t="shared" si="73"/>
        <v/>
      </c>
      <c r="BA150" s="829" t="str">
        <f t="shared" si="74"/>
        <v/>
      </c>
      <c r="BB150" s="829">
        <f t="shared" si="75"/>
        <v>28</v>
      </c>
      <c r="BC150" s="829">
        <f t="shared" ca="1" si="54"/>
        <v>0</v>
      </c>
      <c r="BD150" s="829">
        <f t="shared" ca="1" si="55"/>
        <v>0</v>
      </c>
      <c r="BE150" s="829">
        <f t="shared" ca="1" si="56"/>
        <v>0</v>
      </c>
      <c r="BF150" s="829">
        <f t="shared" ca="1" si="57"/>
        <v>0</v>
      </c>
      <c r="BG150" s="829">
        <f t="shared" ca="1" si="58"/>
        <v>0</v>
      </c>
      <c r="BH150" s="829">
        <f t="shared" ca="1" si="59"/>
        <v>0</v>
      </c>
      <c r="BI150" s="829">
        <f t="shared" ca="1" si="60"/>
        <v>12576.191133344675</v>
      </c>
      <c r="BJ150" s="829">
        <f t="shared" ca="1" si="52"/>
        <v>5094.8211506155458</v>
      </c>
      <c r="BK150" s="829">
        <f t="shared" si="53"/>
        <v>28</v>
      </c>
      <c r="BL150" s="829">
        <f t="shared" ca="1" si="61"/>
        <v>4599.704191866872</v>
      </c>
      <c r="BM150" s="829">
        <f t="shared" ca="1" si="62"/>
        <v>7557.0296910096886</v>
      </c>
      <c r="BN150" s="829">
        <f t="shared" ca="1" si="63"/>
        <v>0</v>
      </c>
    </row>
    <row r="151" spans="1:66" ht="15" customHeight="1" x14ac:dyDescent="0.25">
      <c r="B151" s="1683"/>
      <c r="C151" s="3"/>
      <c r="D151" s="3"/>
      <c r="E151" s="3"/>
      <c r="F151" s="3"/>
      <c r="G151" s="3"/>
      <c r="H151" s="3"/>
      <c r="I151" s="3"/>
      <c r="J151" s="3"/>
      <c r="K151" s="3"/>
      <c r="L151" s="111"/>
      <c r="M151" s="111"/>
      <c r="N151" s="111"/>
      <c r="O151" s="111"/>
      <c r="P151" s="111"/>
      <c r="Q151" s="111"/>
      <c r="R151" s="111"/>
      <c r="S151" s="111"/>
      <c r="T151" s="111"/>
      <c r="U151" s="111"/>
      <c r="AP151" s="214">
        <f t="shared" ca="1" si="79"/>
        <v>-602.29263478357927</v>
      </c>
      <c r="AQ151" s="870">
        <f t="shared" si="64"/>
        <v>29</v>
      </c>
      <c r="AR151" s="829" t="str">
        <f t="shared" si="65"/>
        <v/>
      </c>
      <c r="AS151" s="829" t="str">
        <f t="shared" si="66"/>
        <v/>
      </c>
      <c r="AT151" s="869" t="str">
        <f t="shared" si="67"/>
        <v/>
      </c>
      <c r="AU151" s="829" t="str">
        <f t="shared" si="68"/>
        <v/>
      </c>
      <c r="AV151" s="829" t="str">
        <f t="shared" si="69"/>
        <v/>
      </c>
      <c r="AW151" s="829" t="str">
        <f t="shared" si="70"/>
        <v/>
      </c>
      <c r="AX151" s="829">
        <f t="shared" ca="1" si="71"/>
        <v>-602.29263478357927</v>
      </c>
      <c r="AY151" s="829" t="str">
        <f t="shared" si="72"/>
        <v/>
      </c>
      <c r="AZ151" s="829" t="str">
        <f t="shared" si="73"/>
        <v/>
      </c>
      <c r="BA151" s="829" t="str">
        <f t="shared" si="74"/>
        <v/>
      </c>
      <c r="BB151" s="829">
        <f t="shared" si="75"/>
        <v>29</v>
      </c>
      <c r="BC151" s="829">
        <f t="shared" ca="1" si="54"/>
        <v>0</v>
      </c>
      <c r="BD151" s="829">
        <f t="shared" ca="1" si="55"/>
        <v>0</v>
      </c>
      <c r="BE151" s="829">
        <f t="shared" ca="1" si="56"/>
        <v>0</v>
      </c>
      <c r="BF151" s="829">
        <f t="shared" ca="1" si="57"/>
        <v>0</v>
      </c>
      <c r="BG151" s="829">
        <f t="shared" ca="1" si="58"/>
        <v>0</v>
      </c>
      <c r="BH151" s="829">
        <f t="shared" ca="1" si="59"/>
        <v>0</v>
      </c>
      <c r="BI151" s="829">
        <f t="shared" ca="1" si="60"/>
        <v>12890.595911678291</v>
      </c>
      <c r="BJ151" s="829">
        <f t="shared" ref="BJ151:BJ172" ca="1" si="90">IF(OR($AV$112=0,$AV$112=""),"",IF($AV$112=$N$6,BG232,IF($AV$112=$N$7,BG406,IF($AV$112=$N$8,BG582,IF($AV$112=$N$9,BG756,IF($AV$112=$N$10,BG929,""))))))</f>
        <v>5273.1398908870897</v>
      </c>
      <c r="BK151" s="829">
        <f t="shared" ref="BK151:BK172" si="91">IF(OR($AV$112=0,$AV$112=""),"",IF($AV$112=$N$6,BH232,IF($AV$112=$N$7,BH406,IF($AV$112=$N$8,BH582,IF($AV$112=$N$9,BH756,IF($AV$112=$N$10,BH929,""))))))</f>
        <v>29</v>
      </c>
      <c r="BL151" s="829">
        <f t="shared" ca="1" si="61"/>
        <v>4673.2994589367418</v>
      </c>
      <c r="BM151" s="829">
        <f t="shared" ca="1" si="62"/>
        <v>7677.9421660658436</v>
      </c>
      <c r="BN151" s="829">
        <f t="shared" ca="1" si="63"/>
        <v>0</v>
      </c>
    </row>
    <row r="152" spans="1:66" ht="15" customHeight="1" x14ac:dyDescent="0.25">
      <c r="B152" s="1683"/>
      <c r="C152" s="60" t="s">
        <v>401</v>
      </c>
      <c r="D152" s="4">
        <f>'1. Projektangaben'!L12</f>
        <v>0.02</v>
      </c>
      <c r="E152" s="3"/>
      <c r="F152" s="332" t="s">
        <v>413</v>
      </c>
      <c r="G152" s="707">
        <f>'1. Projektangaben'!M33/1000</f>
        <v>0</v>
      </c>
      <c r="H152" s="333" t="s">
        <v>415</v>
      </c>
      <c r="I152" s="3"/>
      <c r="J152" s="3"/>
      <c r="K152" s="3"/>
      <c r="L152" s="111"/>
      <c r="M152" s="111"/>
      <c r="N152" s="111"/>
      <c r="O152" s="111"/>
      <c r="P152" s="111"/>
      <c r="Q152" s="111"/>
      <c r="R152" s="111"/>
      <c r="S152" s="111"/>
      <c r="T152" s="111"/>
      <c r="U152" s="111"/>
      <c r="AP152" s="214">
        <f t="shared" ca="1" si="79"/>
        <v>-617.34995065316878</v>
      </c>
      <c r="AQ152" s="870">
        <f t="shared" si="64"/>
        <v>30</v>
      </c>
      <c r="AR152" s="829" t="str">
        <f t="shared" si="65"/>
        <v/>
      </c>
      <c r="AS152" s="829" t="str">
        <f t="shared" si="66"/>
        <v/>
      </c>
      <c r="AT152" s="869" t="str">
        <f t="shared" si="67"/>
        <v/>
      </c>
      <c r="AU152" s="829" t="str">
        <f t="shared" si="68"/>
        <v/>
      </c>
      <c r="AV152" s="829" t="str">
        <f t="shared" si="69"/>
        <v/>
      </c>
      <c r="AW152" s="829" t="str">
        <f t="shared" si="70"/>
        <v/>
      </c>
      <c r="AX152" s="829">
        <f t="shared" ca="1" si="71"/>
        <v>-617.34995065316878</v>
      </c>
      <c r="AY152" s="829" t="str">
        <f t="shared" si="72"/>
        <v/>
      </c>
      <c r="AZ152" s="829" t="str">
        <f t="shared" si="73"/>
        <v/>
      </c>
      <c r="BA152" s="829" t="str">
        <f t="shared" si="74"/>
        <v/>
      </c>
      <c r="BB152" s="829">
        <f t="shared" si="75"/>
        <v>30</v>
      </c>
      <c r="BC152" s="829">
        <f t="shared" ref="BC152:BC172" ca="1" si="92">IF(OR($AV$112=0,$AV$112=""),"",IF($AV$112=$N$6,AZ233,IF($AV$112=$N$7,AZ407,IF($AV$112=$N$8,AZ583,IF($AV$112=$N$9,AZ757,IF($AV$112=$N$10,AZ930,""))))))</f>
        <v>0</v>
      </c>
      <c r="BD152" s="829">
        <f t="shared" ref="BD152:BD172" ca="1" si="93">IF(OR($AV$112=0,$AV$112=""),"",IF($AV$112=$N$6,BA233,IF($AV$112=$N$7,BA407,IF($AV$112=$N$8,BA583,IF($AV$112=$N$9,BA757,IF($AV$112=$N$10,BA930,""))))))</f>
        <v>0</v>
      </c>
      <c r="BE152" s="829">
        <f t="shared" ref="BE152:BE172" ca="1" si="94">IF(OR($AV$112=0,$AV$112=""),"",IF($AV$112=$N$6,BB233,IF($AV$112=$N$7,BB407,IF($AV$112=$N$8,BB583,IF($AV$112=$N$9,BB757,IF($AV$112=$N$10,BB930,""))))))</f>
        <v>0</v>
      </c>
      <c r="BF152" s="829">
        <f t="shared" ref="BF152:BF172" ca="1" si="95">IF(OR($AV$112=0,$AV$112=""),"",IF($AV$112=$N$6,BC233,IF($AV$112=$N$7,BC407,IF($AV$112=$N$8,BC583,IF($AV$112=$N$9,BC757,IF($AV$112=$N$10,BC930,""))))))</f>
        <v>0</v>
      </c>
      <c r="BG152" s="829">
        <f t="shared" ref="BG152:BG172" ca="1" si="96">IF(OR($AV$112=0,$AV$112=""),"",IF($AV$112=$N$6,BD233,IF($AV$112=$N$7,BD407,IF($AV$112=$N$8,BD583,IF($AV$112=$N$9,BD757,IF($AV$112=$N$10,BD930,""))))))</f>
        <v>0</v>
      </c>
      <c r="BH152" s="829">
        <f t="shared" ref="BH152:BH172" ca="1" si="97">IF(OR($AV$112=0,$AV$112=""),"",IF($AV$112=$N$6,BE233,IF($AV$112=$N$7,BE407,IF($AV$112=$N$8,BE583,IF($AV$112=$N$9,BE757,IF($AV$112=$N$10,BE930,""))))))</f>
        <v>0</v>
      </c>
      <c r="BI152" s="829">
        <f t="shared" ref="BI152:BI172" ca="1" si="98">IF(OR($AV$112=0,$AV$112=""),"",IF($AV$112=$N$6,BF233,IF($AV$112=$N$7,BF407,IF($AV$112=$N$8,BF583,IF($AV$112=$N$9,BF757,IF($AV$112=$N$10,BF930,""))))))</f>
        <v>13212.860809470247</v>
      </c>
      <c r="BJ152" s="829">
        <f t="shared" ca="1" si="90"/>
        <v>5457.6997870681371</v>
      </c>
      <c r="BK152" s="829">
        <f t="shared" si="91"/>
        <v>30</v>
      </c>
      <c r="BL152" s="829">
        <f t="shared" ref="BL152:BL172" ca="1" si="99">IF(OR($AV$112=0,$AV$112=""),"",IF($AV$112=$N$6,BI233,IF($AV$112=$N$7,BI407,IF($AV$112=$N$8,BI583,IF($AV$112=$N$9,BI757,IF($AV$112=$N$10,BI930,""))))))</f>
        <v>4748.0722502797298</v>
      </c>
      <c r="BM152" s="829">
        <f t="shared" ref="BM152:BM172" ca="1" si="100">IF(OR($AV$112=0,$AV$112=""),"",IF($AV$112=$N$6,BJ233,IF($AV$112=$N$7,BJ407,IF($AV$112=$N$8,BJ583,IF($AV$112=$N$9,BJ757,IF($AV$112=$N$10,BJ930,""))))))</f>
        <v>7800.7892407228974</v>
      </c>
      <c r="BN152" s="829">
        <f t="shared" ref="BN152:BN172" ca="1" si="101">IF(OR($AV$112=0,$AV$112=""),"",IF($AV$112=$N$6,BK233,IF($AV$112=$N$7,BK407,IF($AV$112=$N$8,BK583,IF($AV$112=$N$9,BK757,IF($AV$112=$N$10,BK930,""))))))</f>
        <v>0</v>
      </c>
    </row>
    <row r="153" spans="1:66" ht="15" customHeight="1" x14ac:dyDescent="0.25">
      <c r="B153" s="1683"/>
      <c r="C153" s="3"/>
      <c r="D153" s="3"/>
      <c r="E153" s="3"/>
      <c r="F153" s="3"/>
      <c r="G153" s="3"/>
      <c r="H153" s="3"/>
      <c r="I153" s="3"/>
      <c r="J153" s="3"/>
      <c r="K153" s="3"/>
      <c r="L153" s="111"/>
      <c r="M153" s="111"/>
      <c r="N153" s="111"/>
      <c r="O153" s="111"/>
      <c r="P153" s="111"/>
      <c r="Q153" s="111"/>
      <c r="R153" s="111"/>
      <c r="S153" s="111"/>
      <c r="T153" s="111"/>
      <c r="U153" s="111"/>
      <c r="AP153" s="214">
        <f t="shared" ca="1" si="79"/>
        <v>-632.78369941949791</v>
      </c>
      <c r="AQ153" s="870">
        <f t="shared" ref="AQ153:AQ172" si="102">IF(OR($AV$112=0,$AV$112=""),"",IF($AV$112=$N$6,AN234,IF($AV$112=$N$7,AN408,IF($AV$112=$N$8,AN584,IF($AV$112=$N$9,AN758,IF($AV$112=$N$10,AN931,""))))))</f>
        <v>31</v>
      </c>
      <c r="AR153" s="829" t="str">
        <f t="shared" ref="AR153:AR172" si="103">IF($AR$116=TRUE,IF(OR($AV$112=0,$AV$112=""),"",IF($AV$112=$N$6,AO234,IF($AV$112=$N$7,AO408,IF($AV$112=$N$8,AO584,IF($AV$112=$N$9,AO758,IF($AV$112=$N$10,AO931,"")))))),"")</f>
        <v/>
      </c>
      <c r="AS153" s="829" t="str">
        <f t="shared" ref="AS153:AS172" si="104">IF($AS$116=TRUE,IF(OR($AV$112=0,$AV$112=""),"",IF($AV$112=$N$6,AP234,IF($AV$112=$N$7,AP408,IF($AV$112=$N$8,AP584,IF($AV$112=$N$9,AP758,IF($AV$112=$N$10,AP931,"")))))),"")</f>
        <v/>
      </c>
      <c r="AT153" s="869" t="str">
        <f t="shared" ref="AT153:AT172" si="105">IF($AT$116=TRUE,IF(OR($AV$112=0,$AV$112=""),"",IF($AV$112=$N$6,AQ234,IF($AV$112=$N$7,AQ408,IF($AV$112=$N$8,AQ584,IF($AV$112=$N$9,AQ758,IF($AV$112=$N$10,AQ931,"")))))),"")</f>
        <v/>
      </c>
      <c r="AU153" s="829" t="str">
        <f t="shared" ref="AU153:AU172" si="106">IF($AU$116=TRUE,IF(OR($AV$112=0,$AV$112=""),"",IF($AV$112=$N$6,AR234,IF($AV$112=$N$7,AR408,IF($AV$112=$N$8,AR584,IF($AV$112=$N$9,AR758,IF($AV$112=$N$10,AR931,"")))))),"")</f>
        <v/>
      </c>
      <c r="AV153" s="829" t="str">
        <f t="shared" ref="AV153:AV172" si="107">IF($AV$116=TRUE,IF(OR($AV$112=0,$AV$112=""),"",IF($AV$112=$N$6,AS234,IF($AV$112=$N$7,AS408,IF($AV$112=$N$8,AS584,IF($AV$112=$N$9,AS758,IF($AV$112=$N$10,AS931,"")))))),"")</f>
        <v/>
      </c>
      <c r="AW153" s="829" t="str">
        <f t="shared" ref="AW153:AW172" si="108">IF($AW$116=TRUE,IF(OR($AV$112=0,$AV$112=""),"",IF($AV$112=$N$6,AT234,IF($AV$112=$N$7,AT408,IF($AV$112=$N$8,AT584,IF($AV$112=$N$9,AT758,IF($AV$112=$N$10,AT931,"")))))),"")</f>
        <v/>
      </c>
      <c r="AX153" s="829">
        <f t="shared" ref="AX153:AX172" ca="1" si="109">IF($AX$116=TRUE,IF(OR($AV$112=0,$AV$112=""),"",IF($AV$112=$N$6,AU234,IF($AV$112=$N$7,AU408,IF($AV$112=$N$8,AU584,IF($AV$112=$N$9,AU758,IF($AV$112=$N$10,AU931,"")))))),"")</f>
        <v>-632.78369941949791</v>
      </c>
      <c r="AY153" s="829" t="str">
        <f t="shared" ref="AY153:AY172" si="110">IF($AY$116=TRUE,IF(OR($AV$112=0,$AV$112=""),"",IF($AV$112=$N$6,AV234,IF($AV$112=$N$7,AV408,IF($AV$112=$N$8,AV584,IF($AV$112=$N$9,AV758,IF($AV$112=$N$10,AV931,"")))))),"")</f>
        <v/>
      </c>
      <c r="AZ153" s="829" t="str">
        <f t="shared" ref="AZ153:AZ172" si="111">IF($AZ$116=TRUE,IF(OR($AV$112=0,$AV$112=""),"",IF($AV$112=$N$6,AW234,IF($AV$112=$N$7,AW408,IF($AV$112=$N$8,AW584,IF($AV$112=$N$9,AW758,IF($AV$112=$N$10,AW931,"")))))),"")</f>
        <v/>
      </c>
      <c r="BA153" s="829" t="str">
        <f t="shared" ref="BA153:BA172" si="112">IF($BA$116=TRUE,IF(OR($AV$112=0,$AV$112=""),"",IF($AV$112=$N$6,AX234,IF($AV$112=$N$7,AX408,IF($AV$112=$N$8,AX584,IF($AV$112=$N$9,AX758,IF($AV$112=$N$10,AX931,"")))))),"")</f>
        <v/>
      </c>
      <c r="BB153" s="829">
        <f t="shared" ref="BB153:BB172" si="113">IF(OR($AV$112=0,$AV$112=""),"",IF($AV$112=$N$6,AY234,IF($AV$112=$N$7,AY408,IF($AV$112=$N$8,AY584,IF($AV$112=$N$9,AY758,IF($AV$112=$N$10,AY931,""))))))</f>
        <v>31</v>
      </c>
      <c r="BC153" s="829">
        <f t="shared" ca="1" si="92"/>
        <v>0</v>
      </c>
      <c r="BD153" s="829">
        <f t="shared" ca="1" si="93"/>
        <v>0</v>
      </c>
      <c r="BE153" s="829">
        <f t="shared" ca="1" si="94"/>
        <v>0</v>
      </c>
      <c r="BF153" s="829">
        <f t="shared" ca="1" si="95"/>
        <v>0</v>
      </c>
      <c r="BG153" s="829">
        <f t="shared" ca="1" si="96"/>
        <v>0</v>
      </c>
      <c r="BH153" s="829">
        <f t="shared" ca="1" si="97"/>
        <v>0</v>
      </c>
      <c r="BI153" s="829">
        <f t="shared" ca="1" si="98"/>
        <v>13543.182329707002</v>
      </c>
      <c r="BJ153" s="829">
        <f t="shared" ca="1" si="90"/>
        <v>5648.7192796155214</v>
      </c>
      <c r="BK153" s="829">
        <f t="shared" si="91"/>
        <v>31</v>
      </c>
      <c r="BL153" s="829">
        <f t="shared" ca="1" si="99"/>
        <v>4824.0414062842056</v>
      </c>
      <c r="BM153" s="829">
        <f t="shared" ca="1" si="100"/>
        <v>7925.6018685744639</v>
      </c>
      <c r="BN153" s="829">
        <f t="shared" ca="1" si="101"/>
        <v>0</v>
      </c>
    </row>
    <row r="154" spans="1:66" ht="15" customHeight="1" x14ac:dyDescent="0.25">
      <c r="B154" s="1683"/>
      <c r="C154" s="96"/>
      <c r="D154" s="96"/>
      <c r="E154" s="96" t="s">
        <v>200</v>
      </c>
      <c r="F154" s="96" t="s">
        <v>216</v>
      </c>
      <c r="G154" s="698">
        <f>'1. Projektangaben'!F12</f>
        <v>35</v>
      </c>
      <c r="H154" s="96"/>
      <c r="I154" s="96" t="s">
        <v>201</v>
      </c>
      <c r="J154" s="116">
        <f>(G157^G154*(G157-1))/(G157^G154-1)</f>
        <v>4.0002209190750176E-2</v>
      </c>
      <c r="K154" s="3"/>
      <c r="L154" s="111"/>
      <c r="M154" s="111"/>
      <c r="N154" s="111"/>
      <c r="O154" s="1441"/>
      <c r="P154" s="1442"/>
      <c r="Q154" s="111"/>
      <c r="R154" s="111"/>
      <c r="S154" s="111"/>
      <c r="T154" s="111"/>
      <c r="U154" s="111"/>
      <c r="AP154" s="214">
        <f t="shared" ca="1" si="79"/>
        <v>-648.60329190498533</v>
      </c>
      <c r="AQ154" s="870">
        <f t="shared" si="102"/>
        <v>32</v>
      </c>
      <c r="AR154" s="829" t="str">
        <f t="shared" si="103"/>
        <v/>
      </c>
      <c r="AS154" s="829" t="str">
        <f t="shared" si="104"/>
        <v/>
      </c>
      <c r="AT154" s="869" t="str">
        <f t="shared" si="105"/>
        <v/>
      </c>
      <c r="AU154" s="829" t="str">
        <f t="shared" si="106"/>
        <v/>
      </c>
      <c r="AV154" s="829" t="str">
        <f t="shared" si="107"/>
        <v/>
      </c>
      <c r="AW154" s="829" t="str">
        <f t="shared" si="108"/>
        <v/>
      </c>
      <c r="AX154" s="829">
        <f t="shared" ca="1" si="109"/>
        <v>-648.60329190498533</v>
      </c>
      <c r="AY154" s="829" t="str">
        <f t="shared" si="110"/>
        <v/>
      </c>
      <c r="AZ154" s="829" t="str">
        <f t="shared" si="111"/>
        <v/>
      </c>
      <c r="BA154" s="829" t="str">
        <f t="shared" si="112"/>
        <v/>
      </c>
      <c r="BB154" s="829">
        <f t="shared" si="113"/>
        <v>32</v>
      </c>
      <c r="BC154" s="829">
        <f t="shared" ca="1" si="92"/>
        <v>0</v>
      </c>
      <c r="BD154" s="829">
        <f t="shared" ca="1" si="93"/>
        <v>0</v>
      </c>
      <c r="BE154" s="829">
        <f t="shared" ca="1" si="94"/>
        <v>0</v>
      </c>
      <c r="BF154" s="829">
        <f t="shared" ca="1" si="95"/>
        <v>0</v>
      </c>
      <c r="BG154" s="829">
        <f t="shared" ca="1" si="96"/>
        <v>0</v>
      </c>
      <c r="BH154" s="829">
        <f t="shared" ca="1" si="97"/>
        <v>0</v>
      </c>
      <c r="BI154" s="829">
        <f t="shared" ca="1" si="98"/>
        <v>13881.761887949677</v>
      </c>
      <c r="BJ154" s="829">
        <f t="shared" ca="1" si="90"/>
        <v>5846.4244544020639</v>
      </c>
      <c r="BK154" s="829">
        <f t="shared" si="91"/>
        <v>32</v>
      </c>
      <c r="BL154" s="829">
        <f t="shared" ca="1" si="99"/>
        <v>4901.2260687847529</v>
      </c>
      <c r="BM154" s="829">
        <f t="shared" ca="1" si="100"/>
        <v>8052.4114984716552</v>
      </c>
      <c r="BN154" s="829">
        <f t="shared" ca="1" si="101"/>
        <v>0</v>
      </c>
    </row>
    <row r="155" spans="1:66" ht="15" customHeight="1" x14ac:dyDescent="0.25">
      <c r="B155" s="1683"/>
      <c r="C155" s="96"/>
      <c r="D155" s="96"/>
      <c r="E155" s="3"/>
      <c r="F155" s="3"/>
      <c r="G155" s="3"/>
      <c r="H155" s="96"/>
      <c r="I155" s="96"/>
      <c r="J155" s="96"/>
      <c r="K155" s="96"/>
      <c r="L155" s="111"/>
      <c r="M155" s="111"/>
      <c r="N155" s="111"/>
      <c r="O155" s="111"/>
      <c r="P155" s="111"/>
      <c r="Q155" s="111"/>
      <c r="R155" s="111"/>
      <c r="S155" s="111"/>
      <c r="T155" s="111"/>
      <c r="U155" s="111"/>
      <c r="AP155" s="214">
        <f t="shared" ca="1" si="79"/>
        <v>-664.8183742026099</v>
      </c>
      <c r="AQ155" s="870">
        <f t="shared" si="102"/>
        <v>33</v>
      </c>
      <c r="AR155" s="829" t="str">
        <f t="shared" si="103"/>
        <v/>
      </c>
      <c r="AS155" s="829" t="str">
        <f t="shared" si="104"/>
        <v/>
      </c>
      <c r="AT155" s="869" t="str">
        <f t="shared" si="105"/>
        <v/>
      </c>
      <c r="AU155" s="829" t="str">
        <f t="shared" si="106"/>
        <v/>
      </c>
      <c r="AV155" s="829" t="str">
        <f t="shared" si="107"/>
        <v/>
      </c>
      <c r="AW155" s="829" t="str">
        <f t="shared" si="108"/>
        <v/>
      </c>
      <c r="AX155" s="829">
        <f t="shared" ca="1" si="109"/>
        <v>-664.8183742026099</v>
      </c>
      <c r="AY155" s="829" t="str">
        <f t="shared" si="110"/>
        <v/>
      </c>
      <c r="AZ155" s="829" t="str">
        <f t="shared" si="111"/>
        <v/>
      </c>
      <c r="BA155" s="829" t="str">
        <f t="shared" si="112"/>
        <v/>
      </c>
      <c r="BB155" s="829">
        <f t="shared" si="113"/>
        <v>33</v>
      </c>
      <c r="BC155" s="829">
        <f t="shared" ca="1" si="92"/>
        <v>0</v>
      </c>
      <c r="BD155" s="829">
        <f t="shared" ca="1" si="93"/>
        <v>0</v>
      </c>
      <c r="BE155" s="829">
        <f t="shared" ca="1" si="94"/>
        <v>0</v>
      </c>
      <c r="BF155" s="829">
        <f t="shared" ca="1" si="95"/>
        <v>0</v>
      </c>
      <c r="BG155" s="829">
        <f t="shared" ca="1" si="96"/>
        <v>0</v>
      </c>
      <c r="BH155" s="829">
        <f t="shared" ca="1" si="97"/>
        <v>0</v>
      </c>
      <c r="BI155" s="829">
        <f t="shared" ca="1" si="98"/>
        <v>14228.805935148417</v>
      </c>
      <c r="BJ155" s="829">
        <f t="shared" ca="1" si="90"/>
        <v>6051.0493103061353</v>
      </c>
      <c r="BK155" s="829">
        <f t="shared" si="91"/>
        <v>33</v>
      </c>
      <c r="BL155" s="829">
        <f t="shared" ca="1" si="99"/>
        <v>4979.6456858853089</v>
      </c>
      <c r="BM155" s="829">
        <f t="shared" ca="1" si="100"/>
        <v>8181.2500824472017</v>
      </c>
      <c r="BN155" s="829">
        <f t="shared" ca="1" si="101"/>
        <v>0</v>
      </c>
    </row>
    <row r="156" spans="1:66" ht="15" customHeight="1" x14ac:dyDescent="0.25">
      <c r="B156" s="1683"/>
      <c r="C156" s="60"/>
      <c r="D156" s="116" t="s">
        <v>213</v>
      </c>
      <c r="E156" s="7"/>
      <c r="F156" s="8"/>
      <c r="G156" s="8"/>
      <c r="H156" s="8"/>
      <c r="I156" s="8"/>
      <c r="J156" s="8"/>
      <c r="K156" s="8"/>
      <c r="L156" s="111"/>
      <c r="M156" s="1442"/>
      <c r="N156" s="1443"/>
      <c r="O156" s="1443"/>
      <c r="P156" s="1444"/>
      <c r="Q156" s="1443"/>
      <c r="R156" s="1444"/>
      <c r="S156" s="1443"/>
      <c r="T156" s="1445"/>
      <c r="U156" s="111"/>
      <c r="AP156" s="214">
        <f t="shared" ca="1" si="79"/>
        <v>-681.43883355767503</v>
      </c>
      <c r="AQ156" s="870">
        <f t="shared" si="102"/>
        <v>34</v>
      </c>
      <c r="AR156" s="829" t="str">
        <f t="shared" si="103"/>
        <v/>
      </c>
      <c r="AS156" s="829" t="str">
        <f t="shared" si="104"/>
        <v/>
      </c>
      <c r="AT156" s="869" t="str">
        <f t="shared" si="105"/>
        <v/>
      </c>
      <c r="AU156" s="829" t="str">
        <f t="shared" si="106"/>
        <v/>
      </c>
      <c r="AV156" s="829" t="str">
        <f t="shared" si="107"/>
        <v/>
      </c>
      <c r="AW156" s="829" t="str">
        <f t="shared" si="108"/>
        <v/>
      </c>
      <c r="AX156" s="829">
        <f t="shared" ca="1" si="109"/>
        <v>-681.43883355767503</v>
      </c>
      <c r="AY156" s="829" t="str">
        <f t="shared" si="110"/>
        <v/>
      </c>
      <c r="AZ156" s="829" t="str">
        <f t="shared" si="111"/>
        <v/>
      </c>
      <c r="BA156" s="829" t="str">
        <f t="shared" si="112"/>
        <v/>
      </c>
      <c r="BB156" s="829">
        <f t="shared" si="113"/>
        <v>34</v>
      </c>
      <c r="BC156" s="829">
        <f t="shared" ca="1" si="92"/>
        <v>0</v>
      </c>
      <c r="BD156" s="829">
        <f t="shared" ca="1" si="93"/>
        <v>0</v>
      </c>
      <c r="BE156" s="829">
        <f t="shared" ca="1" si="94"/>
        <v>0</v>
      </c>
      <c r="BF156" s="829">
        <f t="shared" ca="1" si="95"/>
        <v>0</v>
      </c>
      <c r="BG156" s="829">
        <f t="shared" ca="1" si="96"/>
        <v>0</v>
      </c>
      <c r="BH156" s="829">
        <f t="shared" ca="1" si="97"/>
        <v>0</v>
      </c>
      <c r="BI156" s="829">
        <f t="shared" ca="1" si="98"/>
        <v>14584.526083527126</v>
      </c>
      <c r="BJ156" s="829">
        <f t="shared" ca="1" si="90"/>
        <v>6262.8360361668492</v>
      </c>
      <c r="BK156" s="829">
        <f t="shared" si="91"/>
        <v>34</v>
      </c>
      <c r="BL156" s="829">
        <f t="shared" ca="1" si="99"/>
        <v>5059.320016859474</v>
      </c>
      <c r="BM156" s="829">
        <f t="shared" ca="1" si="100"/>
        <v>8312.1500837663571</v>
      </c>
      <c r="BN156" s="829">
        <f t="shared" ca="1" si="101"/>
        <v>0</v>
      </c>
    </row>
    <row r="157" spans="1:66" ht="15" customHeight="1" thickBot="1" x14ac:dyDescent="0.3">
      <c r="B157" s="1683"/>
      <c r="C157" s="60" t="s">
        <v>397</v>
      </c>
      <c r="D157" s="4">
        <f>'1. Projektangaben'!F14</f>
        <v>0.02</v>
      </c>
      <c r="E157" s="116" t="s">
        <v>214</v>
      </c>
      <c r="F157" s="116" t="s">
        <v>215</v>
      </c>
      <c r="G157" s="5">
        <f>1+D157</f>
        <v>1.02</v>
      </c>
      <c r="H157" s="1669" t="s">
        <v>355</v>
      </c>
      <c r="I157" s="1671"/>
      <c r="J157" s="1669" t="s">
        <v>230</v>
      </c>
      <c r="K157" s="1670"/>
      <c r="L157" s="111"/>
      <c r="M157" s="1442"/>
      <c r="N157" s="1443"/>
      <c r="O157" s="1443"/>
      <c r="P157" s="1444"/>
      <c r="Q157" s="1443"/>
      <c r="R157" s="1444"/>
      <c r="S157" s="1443"/>
      <c r="T157" s="1445"/>
      <c r="U157" s="111"/>
      <c r="AP157" s="214">
        <f t="shared" ca="1" si="79"/>
        <v>-698.47480439661683</v>
      </c>
      <c r="AQ157" s="870">
        <f t="shared" si="102"/>
        <v>35</v>
      </c>
      <c r="AR157" s="829" t="str">
        <f t="shared" si="103"/>
        <v/>
      </c>
      <c r="AS157" s="829" t="str">
        <f t="shared" si="104"/>
        <v/>
      </c>
      <c r="AT157" s="869" t="str">
        <f t="shared" si="105"/>
        <v/>
      </c>
      <c r="AU157" s="829" t="str">
        <f t="shared" si="106"/>
        <v/>
      </c>
      <c r="AV157" s="829" t="str">
        <f t="shared" si="107"/>
        <v/>
      </c>
      <c r="AW157" s="829" t="str">
        <f t="shared" si="108"/>
        <v/>
      </c>
      <c r="AX157" s="829">
        <f t="shared" ca="1" si="109"/>
        <v>-698.47480439661683</v>
      </c>
      <c r="AY157" s="829" t="str">
        <f t="shared" si="110"/>
        <v/>
      </c>
      <c r="AZ157" s="829" t="str">
        <f t="shared" si="111"/>
        <v/>
      </c>
      <c r="BA157" s="829" t="str">
        <f t="shared" si="112"/>
        <v/>
      </c>
      <c r="BB157" s="829">
        <f t="shared" si="113"/>
        <v>35</v>
      </c>
      <c r="BC157" s="829">
        <f t="shared" ca="1" si="92"/>
        <v>0</v>
      </c>
      <c r="BD157" s="829">
        <f t="shared" ca="1" si="93"/>
        <v>0</v>
      </c>
      <c r="BE157" s="829">
        <f t="shared" ca="1" si="94"/>
        <v>0</v>
      </c>
      <c r="BF157" s="829">
        <f t="shared" ca="1" si="95"/>
        <v>0</v>
      </c>
      <c r="BG157" s="829">
        <f t="shared" ca="1" si="96"/>
        <v>0</v>
      </c>
      <c r="BH157" s="829">
        <f t="shared" ca="1" si="97"/>
        <v>0</v>
      </c>
      <c r="BI157" s="829">
        <f t="shared" ca="1" si="98"/>
        <v>14949.139235615303</v>
      </c>
      <c r="BJ157" s="829">
        <f t="shared" ca="1" si="90"/>
        <v>6482.0352974326888</v>
      </c>
      <c r="BK157" s="829">
        <f t="shared" si="91"/>
        <v>35</v>
      </c>
      <c r="BL157" s="829">
        <f t="shared" ca="1" si="99"/>
        <v>5140.2691371292258</v>
      </c>
      <c r="BM157" s="829">
        <f t="shared" ca="1" si="100"/>
        <v>8445.144485106619</v>
      </c>
      <c r="BN157" s="829">
        <f t="shared" ca="1" si="101"/>
        <v>0</v>
      </c>
    </row>
    <row r="158" spans="1:66" ht="15" customHeight="1" thickBot="1" x14ac:dyDescent="0.3">
      <c r="A158" s="1450" t="s">
        <v>527</v>
      </c>
      <c r="B158" s="1683"/>
      <c r="C158" s="60" t="s">
        <v>244</v>
      </c>
      <c r="D158" s="6">
        <f>'1. Projektangaben'!I12</f>
        <v>1.6E-2</v>
      </c>
      <c r="E158" s="116" t="s">
        <v>222</v>
      </c>
      <c r="F158" s="116" t="s">
        <v>217</v>
      </c>
      <c r="G158" s="5">
        <f>1+D158</f>
        <v>1.016</v>
      </c>
      <c r="H158" s="116" t="s">
        <v>225</v>
      </c>
      <c r="I158" s="5">
        <f t="shared" ref="I158:I170" si="114">IF($G$157=G158,$G$154/$G$157,(1-(G158/$G$157)^$G$154)/($G$157-G158))</f>
        <v>32.121801761964853</v>
      </c>
      <c r="J158" s="116" t="s">
        <v>231</v>
      </c>
      <c r="K158" s="1440">
        <f>I158*$J$154</f>
        <v>1.2849430336659258</v>
      </c>
      <c r="L158" s="1446"/>
      <c r="M158" s="1442"/>
      <c r="N158" s="1443"/>
      <c r="O158" s="1443"/>
      <c r="P158" s="1444"/>
      <c r="Q158" s="1443"/>
      <c r="R158" s="1444"/>
      <c r="S158" s="1443"/>
      <c r="T158" s="1445"/>
      <c r="U158" s="111"/>
      <c r="AP158" s="214">
        <f t="shared" si="79"/>
        <v>0</v>
      </c>
      <c r="AQ158" s="870" t="str">
        <f t="shared" si="102"/>
        <v/>
      </c>
      <c r="AR158" s="829" t="str">
        <f t="shared" si="103"/>
        <v/>
      </c>
      <c r="AS158" s="829" t="str">
        <f t="shared" si="104"/>
        <v/>
      </c>
      <c r="AT158" s="869" t="str">
        <f t="shared" si="105"/>
        <v/>
      </c>
      <c r="AU158" s="829" t="str">
        <f t="shared" si="106"/>
        <v/>
      </c>
      <c r="AV158" s="829" t="str">
        <f t="shared" si="107"/>
        <v/>
      </c>
      <c r="AW158" s="829" t="str">
        <f t="shared" si="108"/>
        <v/>
      </c>
      <c r="AX158" s="829">
        <f t="shared" si="109"/>
        <v>0</v>
      </c>
      <c r="AY158" s="829" t="str">
        <f t="shared" si="110"/>
        <v/>
      </c>
      <c r="AZ158" s="829" t="str">
        <f t="shared" si="111"/>
        <v/>
      </c>
      <c r="BA158" s="829" t="str">
        <f t="shared" si="112"/>
        <v/>
      </c>
      <c r="BB158" s="829" t="str">
        <f t="shared" si="113"/>
        <v/>
      </c>
      <c r="BC158" s="829" t="str">
        <f t="shared" si="92"/>
        <v/>
      </c>
      <c r="BD158" s="829" t="str">
        <f t="shared" si="93"/>
        <v/>
      </c>
      <c r="BE158" s="829" t="str">
        <f t="shared" si="94"/>
        <v/>
      </c>
      <c r="BF158" s="829" t="str">
        <f t="shared" si="95"/>
        <v/>
      </c>
      <c r="BG158" s="829" t="str">
        <f t="shared" si="96"/>
        <v/>
      </c>
      <c r="BH158" s="829" t="str">
        <f t="shared" si="97"/>
        <v/>
      </c>
      <c r="BI158" s="829" t="str">
        <f t="shared" si="98"/>
        <v/>
      </c>
      <c r="BJ158" s="829" t="str">
        <f t="shared" si="90"/>
        <v/>
      </c>
      <c r="BK158" s="829" t="str">
        <f t="shared" si="91"/>
        <v/>
      </c>
      <c r="BL158" s="829" t="str">
        <f t="shared" si="99"/>
        <v/>
      </c>
      <c r="BM158" s="829" t="str">
        <f t="shared" si="100"/>
        <v/>
      </c>
      <c r="BN158" s="829">
        <f t="shared" si="101"/>
        <v>0</v>
      </c>
    </row>
    <row r="159" spans="1:66" ht="15" customHeight="1" x14ac:dyDescent="0.25">
      <c r="A159" s="1449" t="str">
        <f>'1. Projektangaben'!C36</f>
        <v>Heizöl</v>
      </c>
      <c r="B159" s="1683"/>
      <c r="C159" s="60" t="str">
        <f>CONCATENATE("Energiepreissteigerung ", '1. Projektangaben'!C36)</f>
        <v>Energiepreissteigerung Heizöl</v>
      </c>
      <c r="D159" s="6">
        <f>'1. Projektangaben'!K36</f>
        <v>0</v>
      </c>
      <c r="E159" s="116" t="str">
        <f>CONCATENATE("Bedarfs-(verbrauchs-)geb. Zahlungen ", '1. Projektangaben'!C36)</f>
        <v>Bedarfs-(verbrauchs-)geb. Zahlungen Heizöl</v>
      </c>
      <c r="F159" s="116" t="str">
        <f>CONCATENATE("r ", '1. Projektangaben'!C36)</f>
        <v>r Heizöl</v>
      </c>
      <c r="G159" s="5">
        <f>1+D159</f>
        <v>1</v>
      </c>
      <c r="H159" s="116" t="str">
        <f>CONCATENATE("bv ", '1. Projektangaben'!C36)</f>
        <v>bv Heizöl</v>
      </c>
      <c r="I159" s="5">
        <f t="shared" si="114"/>
        <v>24.998619332035155</v>
      </c>
      <c r="J159" s="116" t="str">
        <f>CONCATENATE("ba ", '1. Projektangaben'!C36)</f>
        <v>ba Heizöl</v>
      </c>
      <c r="K159" s="1440">
        <f>I159*$J$154</f>
        <v>1.0000000000000018</v>
      </c>
      <c r="L159" s="1446"/>
      <c r="M159" s="111"/>
      <c r="N159" s="111"/>
      <c r="O159" s="111"/>
      <c r="P159" s="111"/>
      <c r="Q159" s="111"/>
      <c r="R159" s="111"/>
      <c r="S159" s="111"/>
      <c r="T159" s="111"/>
      <c r="U159" s="111"/>
      <c r="AP159" s="214">
        <f t="shared" si="79"/>
        <v>0</v>
      </c>
      <c r="AQ159" s="870" t="str">
        <f t="shared" si="102"/>
        <v/>
      </c>
      <c r="AR159" s="829" t="str">
        <f t="shared" si="103"/>
        <v/>
      </c>
      <c r="AS159" s="829" t="str">
        <f t="shared" si="104"/>
        <v/>
      </c>
      <c r="AT159" s="869" t="str">
        <f t="shared" si="105"/>
        <v/>
      </c>
      <c r="AU159" s="829" t="str">
        <f t="shared" si="106"/>
        <v/>
      </c>
      <c r="AV159" s="829" t="str">
        <f t="shared" si="107"/>
        <v/>
      </c>
      <c r="AW159" s="829" t="str">
        <f t="shared" si="108"/>
        <v/>
      </c>
      <c r="AX159" s="829">
        <f t="shared" si="109"/>
        <v>0</v>
      </c>
      <c r="AY159" s="829" t="str">
        <f t="shared" si="110"/>
        <v/>
      </c>
      <c r="AZ159" s="829" t="str">
        <f t="shared" si="111"/>
        <v/>
      </c>
      <c r="BA159" s="829" t="str">
        <f t="shared" si="112"/>
        <v/>
      </c>
      <c r="BB159" s="829" t="str">
        <f t="shared" si="113"/>
        <v/>
      </c>
      <c r="BC159" s="829" t="str">
        <f t="shared" si="92"/>
        <v/>
      </c>
      <c r="BD159" s="829" t="str">
        <f t="shared" si="93"/>
        <v/>
      </c>
      <c r="BE159" s="829" t="str">
        <f t="shared" si="94"/>
        <v/>
      </c>
      <c r="BF159" s="829" t="str">
        <f t="shared" si="95"/>
        <v/>
      </c>
      <c r="BG159" s="829" t="str">
        <f t="shared" si="96"/>
        <v/>
      </c>
      <c r="BH159" s="829" t="str">
        <f t="shared" si="97"/>
        <v/>
      </c>
      <c r="BI159" s="829" t="str">
        <f t="shared" si="98"/>
        <v/>
      </c>
      <c r="BJ159" s="829" t="str">
        <f t="shared" si="90"/>
        <v/>
      </c>
      <c r="BK159" s="829" t="str">
        <f t="shared" si="91"/>
        <v/>
      </c>
      <c r="BL159" s="829" t="str">
        <f t="shared" si="99"/>
        <v/>
      </c>
      <c r="BM159" s="829" t="str">
        <f t="shared" si="100"/>
        <v/>
      </c>
      <c r="BN159" s="829">
        <f t="shared" si="101"/>
        <v>0</v>
      </c>
    </row>
    <row r="160" spans="1:66" ht="15" customHeight="1" x14ac:dyDescent="0.25">
      <c r="A160" s="1447" t="str">
        <f>'1. Projektangaben'!C37</f>
        <v>Erdgas</v>
      </c>
      <c r="B160" s="1683"/>
      <c r="C160" s="60" t="str">
        <f>CONCATENATE("Energiepreissteigerung ", '1. Projektangaben'!C37)</f>
        <v>Energiepreissteigerung Erdgas</v>
      </c>
      <c r="D160" s="6">
        <f>'1. Projektangaben'!K37</f>
        <v>0</v>
      </c>
      <c r="E160" s="116" t="str">
        <f>CONCATENATE("Bedarfs-(verbrauchs-)geb. Zahlungen ", '1. Projektangaben'!C37)</f>
        <v>Bedarfs-(verbrauchs-)geb. Zahlungen Erdgas</v>
      </c>
      <c r="F160" s="116" t="str">
        <f>CONCATENATE("r ", '1. Projektangaben'!C37)</f>
        <v>r Erdgas</v>
      </c>
      <c r="G160" s="5">
        <f t="shared" ref="G160:G166" si="115">1+D160</f>
        <v>1</v>
      </c>
      <c r="H160" s="116" t="str">
        <f>CONCATENATE("bv ", '1. Projektangaben'!C37)</f>
        <v>bv Erdgas</v>
      </c>
      <c r="I160" s="5">
        <f t="shared" si="114"/>
        <v>24.998619332035155</v>
      </c>
      <c r="J160" s="116" t="str">
        <f>CONCATENATE("ba ", '1. Projektangaben'!C37)</f>
        <v>ba Erdgas</v>
      </c>
      <c r="K160" s="1440">
        <f t="shared" ref="K160:K166" si="116">I160*$J$154</f>
        <v>1.0000000000000018</v>
      </c>
      <c r="L160" s="1446"/>
      <c r="M160" s="111"/>
      <c r="N160" s="111"/>
      <c r="O160" s="111"/>
      <c r="P160" s="111"/>
      <c r="Q160" s="111"/>
      <c r="R160" s="111"/>
      <c r="S160" s="111"/>
      <c r="T160" s="111"/>
      <c r="U160" s="111"/>
      <c r="AP160" s="214">
        <f t="shared" si="79"/>
        <v>0</v>
      </c>
      <c r="AQ160" s="870" t="str">
        <f t="shared" si="102"/>
        <v/>
      </c>
      <c r="AR160" s="829" t="str">
        <f t="shared" si="103"/>
        <v/>
      </c>
      <c r="AS160" s="829" t="str">
        <f t="shared" si="104"/>
        <v/>
      </c>
      <c r="AT160" s="869" t="str">
        <f t="shared" si="105"/>
        <v/>
      </c>
      <c r="AU160" s="829" t="str">
        <f t="shared" si="106"/>
        <v/>
      </c>
      <c r="AV160" s="829" t="str">
        <f t="shared" si="107"/>
        <v/>
      </c>
      <c r="AW160" s="829" t="str">
        <f t="shared" si="108"/>
        <v/>
      </c>
      <c r="AX160" s="829">
        <f t="shared" si="109"/>
        <v>0</v>
      </c>
      <c r="AY160" s="829" t="str">
        <f t="shared" si="110"/>
        <v/>
      </c>
      <c r="AZ160" s="829" t="str">
        <f t="shared" si="111"/>
        <v/>
      </c>
      <c r="BA160" s="829" t="str">
        <f t="shared" si="112"/>
        <v/>
      </c>
      <c r="BB160" s="829" t="str">
        <f t="shared" si="113"/>
        <v/>
      </c>
      <c r="BC160" s="829" t="str">
        <f t="shared" si="92"/>
        <v/>
      </c>
      <c r="BD160" s="829" t="str">
        <f t="shared" si="93"/>
        <v/>
      </c>
      <c r="BE160" s="829" t="str">
        <f t="shared" si="94"/>
        <v/>
      </c>
      <c r="BF160" s="829" t="str">
        <f t="shared" si="95"/>
        <v/>
      </c>
      <c r="BG160" s="829" t="str">
        <f t="shared" si="96"/>
        <v/>
      </c>
      <c r="BH160" s="829" t="str">
        <f t="shared" si="97"/>
        <v/>
      </c>
      <c r="BI160" s="829" t="str">
        <f t="shared" si="98"/>
        <v/>
      </c>
      <c r="BJ160" s="829" t="str">
        <f t="shared" si="90"/>
        <v/>
      </c>
      <c r="BK160" s="829" t="str">
        <f t="shared" si="91"/>
        <v/>
      </c>
      <c r="BL160" s="829" t="str">
        <f t="shared" si="99"/>
        <v/>
      </c>
      <c r="BM160" s="829" t="str">
        <f t="shared" si="100"/>
        <v/>
      </c>
      <c r="BN160" s="829">
        <f t="shared" si="101"/>
        <v>0</v>
      </c>
    </row>
    <row r="161" spans="1:66" ht="15" customHeight="1" x14ac:dyDescent="0.25">
      <c r="A161" s="1447" t="str">
        <f>'1. Projektangaben'!C38</f>
        <v>Kohle</v>
      </c>
      <c r="B161" s="1683"/>
      <c r="C161" s="60" t="str">
        <f>CONCATENATE("Energiepreissteigerung ", '1. Projektangaben'!C38)</f>
        <v>Energiepreissteigerung Kohle</v>
      </c>
      <c r="D161" s="6">
        <f>'1. Projektangaben'!K38</f>
        <v>0</v>
      </c>
      <c r="E161" s="116" t="str">
        <f>CONCATENATE("Bedarfs-(verbrauchs-)geb. Zahlungen ", '1. Projektangaben'!C38)</f>
        <v>Bedarfs-(verbrauchs-)geb. Zahlungen Kohle</v>
      </c>
      <c r="F161" s="116" t="str">
        <f>CONCATENATE("r ", '1. Projektangaben'!C38)</f>
        <v>r Kohle</v>
      </c>
      <c r="G161" s="5">
        <f t="shared" si="115"/>
        <v>1</v>
      </c>
      <c r="H161" s="116" t="str">
        <f>CONCATENATE("bv ", '1. Projektangaben'!C38)</f>
        <v>bv Kohle</v>
      </c>
      <c r="I161" s="5">
        <f t="shared" si="114"/>
        <v>24.998619332035155</v>
      </c>
      <c r="J161" s="116" t="str">
        <f>CONCATENATE("ba ", '1. Projektangaben'!C38)</f>
        <v>ba Kohle</v>
      </c>
      <c r="K161" s="1440">
        <f t="shared" si="116"/>
        <v>1.0000000000000018</v>
      </c>
      <c r="L161" s="1446"/>
      <c r="M161" s="111"/>
      <c r="N161" s="111"/>
      <c r="O161" s="1441"/>
      <c r="P161" s="1442"/>
      <c r="Q161" s="111"/>
      <c r="R161" s="111"/>
      <c r="S161" s="111"/>
      <c r="T161" s="111"/>
      <c r="U161" s="111"/>
      <c r="AP161" s="214">
        <f t="shared" si="79"/>
        <v>0</v>
      </c>
      <c r="AQ161" s="870" t="str">
        <f t="shared" si="102"/>
        <v/>
      </c>
      <c r="AR161" s="829" t="str">
        <f t="shared" si="103"/>
        <v/>
      </c>
      <c r="AS161" s="829" t="str">
        <f t="shared" si="104"/>
        <v/>
      </c>
      <c r="AT161" s="869" t="str">
        <f t="shared" si="105"/>
        <v/>
      </c>
      <c r="AU161" s="829" t="str">
        <f t="shared" si="106"/>
        <v/>
      </c>
      <c r="AV161" s="829" t="str">
        <f t="shared" si="107"/>
        <v/>
      </c>
      <c r="AW161" s="829" t="str">
        <f t="shared" si="108"/>
        <v/>
      </c>
      <c r="AX161" s="829">
        <f t="shared" si="109"/>
        <v>0</v>
      </c>
      <c r="AY161" s="829" t="str">
        <f t="shared" si="110"/>
        <v/>
      </c>
      <c r="AZ161" s="829" t="str">
        <f t="shared" si="111"/>
        <v/>
      </c>
      <c r="BA161" s="829" t="str">
        <f t="shared" si="112"/>
        <v/>
      </c>
      <c r="BB161" s="829" t="str">
        <f t="shared" si="113"/>
        <v/>
      </c>
      <c r="BC161" s="829" t="str">
        <f t="shared" si="92"/>
        <v/>
      </c>
      <c r="BD161" s="829" t="str">
        <f t="shared" si="93"/>
        <v/>
      </c>
      <c r="BE161" s="829" t="str">
        <f t="shared" si="94"/>
        <v/>
      </c>
      <c r="BF161" s="829" t="str">
        <f t="shared" si="95"/>
        <v/>
      </c>
      <c r="BG161" s="829" t="str">
        <f t="shared" si="96"/>
        <v/>
      </c>
      <c r="BH161" s="829" t="str">
        <f t="shared" si="97"/>
        <v/>
      </c>
      <c r="BI161" s="829" t="str">
        <f t="shared" si="98"/>
        <v/>
      </c>
      <c r="BJ161" s="829" t="str">
        <f t="shared" si="90"/>
        <v/>
      </c>
      <c r="BK161" s="829" t="str">
        <f t="shared" si="91"/>
        <v/>
      </c>
      <c r="BL161" s="829" t="str">
        <f t="shared" si="99"/>
        <v/>
      </c>
      <c r="BM161" s="829" t="str">
        <f t="shared" si="100"/>
        <v/>
      </c>
      <c r="BN161" s="829">
        <f t="shared" si="101"/>
        <v>0</v>
      </c>
    </row>
    <row r="162" spans="1:66" ht="15" customHeight="1" x14ac:dyDescent="0.25">
      <c r="A162" s="1447" t="str">
        <f>'1. Projektangaben'!C39</f>
        <v>Fernwärme ne.</v>
      </c>
      <c r="B162" s="1683"/>
      <c r="C162" s="60" t="str">
        <f>CONCATENATE("Energiepreissteigerung ", '1. Projektangaben'!C39)</f>
        <v>Energiepreissteigerung Fernwärme ne.</v>
      </c>
      <c r="D162" s="6">
        <f>'1. Projektangaben'!K39</f>
        <v>0</v>
      </c>
      <c r="E162" s="116" t="str">
        <f>CONCATENATE("Bedarfs-(verbrauchs-)geb. Zahlungen ", '1. Projektangaben'!C39)</f>
        <v>Bedarfs-(verbrauchs-)geb. Zahlungen Fernwärme ne.</v>
      </c>
      <c r="F162" s="116" t="str">
        <f>CONCATENATE("r ", '1. Projektangaben'!C39)</f>
        <v>r Fernwärme ne.</v>
      </c>
      <c r="G162" s="5">
        <f t="shared" si="115"/>
        <v>1</v>
      </c>
      <c r="H162" s="116" t="str">
        <f>CONCATENATE("bv ", '1. Projektangaben'!C39)</f>
        <v>bv Fernwärme ne.</v>
      </c>
      <c r="I162" s="5">
        <f t="shared" si="114"/>
        <v>24.998619332035155</v>
      </c>
      <c r="J162" s="116" t="str">
        <f>CONCATENATE("ba ", '1. Projektangaben'!C39)</f>
        <v>ba Fernwärme ne.</v>
      </c>
      <c r="K162" s="1440">
        <f t="shared" si="116"/>
        <v>1.0000000000000018</v>
      </c>
      <c r="L162" s="1446"/>
      <c r="M162" s="111"/>
      <c r="N162" s="111"/>
      <c r="O162" s="111"/>
      <c r="P162" s="111"/>
      <c r="Q162" s="111"/>
      <c r="R162" s="111"/>
      <c r="S162" s="111"/>
      <c r="T162" s="111"/>
      <c r="U162" s="111"/>
      <c r="AP162" s="214">
        <f t="shared" si="79"/>
        <v>0</v>
      </c>
      <c r="AQ162" s="870" t="str">
        <f t="shared" si="102"/>
        <v/>
      </c>
      <c r="AR162" s="829" t="str">
        <f t="shared" si="103"/>
        <v/>
      </c>
      <c r="AS162" s="829" t="str">
        <f t="shared" si="104"/>
        <v/>
      </c>
      <c r="AT162" s="869" t="str">
        <f t="shared" si="105"/>
        <v/>
      </c>
      <c r="AU162" s="829" t="str">
        <f t="shared" si="106"/>
        <v/>
      </c>
      <c r="AV162" s="829" t="str">
        <f t="shared" si="107"/>
        <v/>
      </c>
      <c r="AW162" s="829" t="str">
        <f t="shared" si="108"/>
        <v/>
      </c>
      <c r="AX162" s="829">
        <f t="shared" si="109"/>
        <v>0</v>
      </c>
      <c r="AY162" s="829" t="str">
        <f t="shared" si="110"/>
        <v/>
      </c>
      <c r="AZ162" s="829" t="str">
        <f t="shared" si="111"/>
        <v/>
      </c>
      <c r="BA162" s="829" t="str">
        <f t="shared" si="112"/>
        <v/>
      </c>
      <c r="BB162" s="829" t="str">
        <f t="shared" si="113"/>
        <v/>
      </c>
      <c r="BC162" s="829" t="str">
        <f t="shared" si="92"/>
        <v/>
      </c>
      <c r="BD162" s="829" t="str">
        <f t="shared" si="93"/>
        <v/>
      </c>
      <c r="BE162" s="829" t="str">
        <f t="shared" si="94"/>
        <v/>
      </c>
      <c r="BF162" s="829" t="str">
        <f t="shared" si="95"/>
        <v/>
      </c>
      <c r="BG162" s="829" t="str">
        <f t="shared" si="96"/>
        <v/>
      </c>
      <c r="BH162" s="829" t="str">
        <f t="shared" si="97"/>
        <v/>
      </c>
      <c r="BI162" s="829" t="str">
        <f t="shared" si="98"/>
        <v/>
      </c>
      <c r="BJ162" s="829" t="str">
        <f t="shared" si="90"/>
        <v/>
      </c>
      <c r="BK162" s="829" t="str">
        <f t="shared" si="91"/>
        <v/>
      </c>
      <c r="BL162" s="829" t="str">
        <f t="shared" si="99"/>
        <v/>
      </c>
      <c r="BM162" s="829" t="str">
        <f t="shared" si="100"/>
        <v/>
      </c>
      <c r="BN162" s="829">
        <f t="shared" si="101"/>
        <v>0</v>
      </c>
    </row>
    <row r="163" spans="1:66" ht="15" customHeight="1" x14ac:dyDescent="0.25">
      <c r="A163" s="1447" t="str">
        <f>'1. Projektangaben'!C40</f>
        <v>Fernwärme e.</v>
      </c>
      <c r="B163" s="1683"/>
      <c r="C163" s="60" t="str">
        <f>CONCATENATE("Energiepreissteigerung ", '1. Projektangaben'!C40)</f>
        <v>Energiepreissteigerung Fernwärme e.</v>
      </c>
      <c r="D163" s="6">
        <f>'1. Projektangaben'!K40</f>
        <v>0</v>
      </c>
      <c r="E163" s="116" t="str">
        <f>CONCATENATE("Bedarfs-(verbrauchs-)geb. Zahlungen ", '1. Projektangaben'!C40)</f>
        <v>Bedarfs-(verbrauchs-)geb. Zahlungen Fernwärme e.</v>
      </c>
      <c r="F163" s="116" t="str">
        <f>CONCATENATE("r ", '1. Projektangaben'!C40)</f>
        <v>r Fernwärme e.</v>
      </c>
      <c r="G163" s="5">
        <f t="shared" si="115"/>
        <v>1</v>
      </c>
      <c r="H163" s="116" t="str">
        <f>CONCATENATE("bv ", '1. Projektangaben'!C40)</f>
        <v>bv Fernwärme e.</v>
      </c>
      <c r="I163" s="5">
        <f t="shared" si="114"/>
        <v>24.998619332035155</v>
      </c>
      <c r="J163" s="116" t="str">
        <f>CONCATENATE("ba ", '1. Projektangaben'!C40)</f>
        <v>ba Fernwärme e.</v>
      </c>
      <c r="K163" s="1440">
        <f t="shared" si="116"/>
        <v>1.0000000000000018</v>
      </c>
      <c r="L163" s="1446"/>
      <c r="M163" s="1442"/>
      <c r="N163" s="1443"/>
      <c r="O163" s="1443"/>
      <c r="P163" s="1444"/>
      <c r="Q163" s="1443"/>
      <c r="R163" s="1444"/>
      <c r="S163" s="1443"/>
      <c r="T163" s="1445"/>
      <c r="U163" s="111"/>
      <c r="AP163" s="214">
        <f t="shared" si="79"/>
        <v>0</v>
      </c>
      <c r="AQ163" s="870" t="str">
        <f t="shared" si="102"/>
        <v/>
      </c>
      <c r="AR163" s="829" t="str">
        <f t="shared" si="103"/>
        <v/>
      </c>
      <c r="AS163" s="829" t="str">
        <f t="shared" si="104"/>
        <v/>
      </c>
      <c r="AT163" s="869" t="str">
        <f t="shared" si="105"/>
        <v/>
      </c>
      <c r="AU163" s="829" t="str">
        <f t="shared" si="106"/>
        <v/>
      </c>
      <c r="AV163" s="829" t="str">
        <f t="shared" si="107"/>
        <v/>
      </c>
      <c r="AW163" s="829" t="str">
        <f t="shared" si="108"/>
        <v/>
      </c>
      <c r="AX163" s="829">
        <f t="shared" si="109"/>
        <v>0</v>
      </c>
      <c r="AY163" s="829" t="str">
        <f t="shared" si="110"/>
        <v/>
      </c>
      <c r="AZ163" s="829" t="str">
        <f t="shared" si="111"/>
        <v/>
      </c>
      <c r="BA163" s="829" t="str">
        <f t="shared" si="112"/>
        <v/>
      </c>
      <c r="BB163" s="829" t="str">
        <f t="shared" si="113"/>
        <v/>
      </c>
      <c r="BC163" s="829" t="str">
        <f t="shared" si="92"/>
        <v/>
      </c>
      <c r="BD163" s="829" t="str">
        <f t="shared" si="93"/>
        <v/>
      </c>
      <c r="BE163" s="829" t="str">
        <f t="shared" si="94"/>
        <v/>
      </c>
      <c r="BF163" s="829" t="str">
        <f t="shared" si="95"/>
        <v/>
      </c>
      <c r="BG163" s="829" t="str">
        <f t="shared" si="96"/>
        <v/>
      </c>
      <c r="BH163" s="829" t="str">
        <f t="shared" si="97"/>
        <v/>
      </c>
      <c r="BI163" s="829" t="str">
        <f t="shared" si="98"/>
        <v/>
      </c>
      <c r="BJ163" s="829" t="str">
        <f t="shared" si="90"/>
        <v/>
      </c>
      <c r="BK163" s="829" t="str">
        <f t="shared" si="91"/>
        <v/>
      </c>
      <c r="BL163" s="829" t="str">
        <f t="shared" si="99"/>
        <v/>
      </c>
      <c r="BM163" s="829" t="str">
        <f t="shared" si="100"/>
        <v/>
      </c>
      <c r="BN163" s="829">
        <f t="shared" si="101"/>
        <v>0</v>
      </c>
    </row>
    <row r="164" spans="1:66" ht="15" customHeight="1" x14ac:dyDescent="0.25">
      <c r="A164" s="1447" t="str">
        <f>'1. Projektangaben'!C41</f>
        <v>Biomasse</v>
      </c>
      <c r="B164" s="1683"/>
      <c r="C164" s="60" t="str">
        <f>CONCATENATE("Energiepreissteigerung ", '1. Projektangaben'!C41)</f>
        <v>Energiepreissteigerung Biomasse</v>
      </c>
      <c r="D164" s="6">
        <f>'1. Projektangaben'!K41</f>
        <v>0</v>
      </c>
      <c r="E164" s="116" t="str">
        <f>CONCATENATE("Bedarfs-(verbrauchs-)geb. Zahlungen ", '1. Projektangaben'!C41)</f>
        <v>Bedarfs-(verbrauchs-)geb. Zahlungen Biomasse</v>
      </c>
      <c r="F164" s="116" t="str">
        <f>CONCATENATE("r ", '1. Projektangaben'!C41)</f>
        <v>r Biomasse</v>
      </c>
      <c r="G164" s="5">
        <f t="shared" si="115"/>
        <v>1</v>
      </c>
      <c r="H164" s="116" t="str">
        <f>CONCATENATE("bv ", '1. Projektangaben'!C41)</f>
        <v>bv Biomasse</v>
      </c>
      <c r="I164" s="5">
        <f t="shared" si="114"/>
        <v>24.998619332035155</v>
      </c>
      <c r="J164" s="116" t="str">
        <f>CONCATENATE("ba ", '1. Projektangaben'!C41)</f>
        <v>ba Biomasse</v>
      </c>
      <c r="K164" s="1440">
        <f t="shared" si="116"/>
        <v>1.0000000000000018</v>
      </c>
      <c r="L164" s="1446"/>
      <c r="M164" s="1442"/>
      <c r="N164" s="1443"/>
      <c r="O164" s="1443"/>
      <c r="P164" s="1444"/>
      <c r="Q164" s="1443"/>
      <c r="R164" s="1444"/>
      <c r="S164" s="1443"/>
      <c r="T164" s="1445"/>
      <c r="U164" s="111"/>
      <c r="AP164" s="214">
        <f t="shared" si="79"/>
        <v>0</v>
      </c>
      <c r="AQ164" s="870" t="str">
        <f t="shared" si="102"/>
        <v/>
      </c>
      <c r="AR164" s="829" t="str">
        <f t="shared" si="103"/>
        <v/>
      </c>
      <c r="AS164" s="829" t="str">
        <f t="shared" si="104"/>
        <v/>
      </c>
      <c r="AT164" s="869" t="str">
        <f t="shared" si="105"/>
        <v/>
      </c>
      <c r="AU164" s="829" t="str">
        <f t="shared" si="106"/>
        <v/>
      </c>
      <c r="AV164" s="829" t="str">
        <f t="shared" si="107"/>
        <v/>
      </c>
      <c r="AW164" s="829" t="str">
        <f t="shared" si="108"/>
        <v/>
      </c>
      <c r="AX164" s="829">
        <f t="shared" si="109"/>
        <v>0</v>
      </c>
      <c r="AY164" s="829" t="str">
        <f t="shared" si="110"/>
        <v/>
      </c>
      <c r="AZ164" s="829" t="str">
        <f t="shared" si="111"/>
        <v/>
      </c>
      <c r="BA164" s="829" t="str">
        <f t="shared" si="112"/>
        <v/>
      </c>
      <c r="BB164" s="829" t="str">
        <f t="shared" si="113"/>
        <v/>
      </c>
      <c r="BC164" s="829" t="str">
        <f t="shared" si="92"/>
        <v/>
      </c>
      <c r="BD164" s="829" t="str">
        <f t="shared" si="93"/>
        <v/>
      </c>
      <c r="BE164" s="829" t="str">
        <f t="shared" si="94"/>
        <v/>
      </c>
      <c r="BF164" s="829" t="str">
        <f t="shared" si="95"/>
        <v/>
      </c>
      <c r="BG164" s="829" t="str">
        <f t="shared" si="96"/>
        <v/>
      </c>
      <c r="BH164" s="829" t="str">
        <f t="shared" si="97"/>
        <v/>
      </c>
      <c r="BI164" s="829" t="str">
        <f t="shared" si="98"/>
        <v/>
      </c>
      <c r="BJ164" s="829" t="str">
        <f t="shared" si="90"/>
        <v/>
      </c>
      <c r="BK164" s="829" t="str">
        <f t="shared" si="91"/>
        <v/>
      </c>
      <c r="BL164" s="829" t="str">
        <f t="shared" si="99"/>
        <v/>
      </c>
      <c r="BM164" s="829" t="str">
        <f t="shared" si="100"/>
        <v/>
      </c>
      <c r="BN164" s="829">
        <f t="shared" si="101"/>
        <v>0</v>
      </c>
    </row>
    <row r="165" spans="1:66" ht="15" customHeight="1" x14ac:dyDescent="0.25">
      <c r="A165" s="1447" t="str">
        <f>'1. Projektangaben'!C42</f>
        <v>Strom</v>
      </c>
      <c r="B165" s="1683"/>
      <c r="C165" s="60" t="str">
        <f>CONCATENATE("Energiepreissteigerung ", '1. Projektangaben'!C42)</f>
        <v>Energiepreissteigerung Strom</v>
      </c>
      <c r="D165" s="6">
        <f>'1. Projektangaben'!K42</f>
        <v>2.5000000000000001E-2</v>
      </c>
      <c r="E165" s="116" t="str">
        <f>CONCATENATE("Bedarfs-(verbrauchs-)geb. Zahlungen ", '1. Projektangaben'!C42)</f>
        <v>Bedarfs-(verbrauchs-)geb. Zahlungen Strom</v>
      </c>
      <c r="F165" s="116" t="str">
        <f>CONCATENATE("r ", '1. Projektangaben'!C42)</f>
        <v>r Strom</v>
      </c>
      <c r="G165" s="5">
        <f t="shared" si="115"/>
        <v>1.0249999999999999</v>
      </c>
      <c r="H165" s="116" t="str">
        <f>CONCATENATE("bv ", '1. Projektangaben'!C42)</f>
        <v>bv Strom</v>
      </c>
      <c r="I165" s="5">
        <f t="shared" si="114"/>
        <v>37.333625040123096</v>
      </c>
      <c r="J165" s="116" t="str">
        <f>CONCATENATE("ba ", '1. Projektangaben'!C42)</f>
        <v>ba Strom</v>
      </c>
      <c r="K165" s="1440">
        <f t="shared" si="116"/>
        <v>1.4934274787040329</v>
      </c>
      <c r="L165" s="1446"/>
      <c r="M165" s="1442"/>
      <c r="N165" s="1443"/>
      <c r="O165" s="1443"/>
      <c r="P165" s="1444"/>
      <c r="Q165" s="1443"/>
      <c r="R165" s="1444"/>
      <c r="S165" s="1443"/>
      <c r="T165" s="1445"/>
      <c r="U165" s="111"/>
      <c r="AP165" s="214">
        <f t="shared" si="79"/>
        <v>0</v>
      </c>
      <c r="AQ165" s="870" t="str">
        <f t="shared" si="102"/>
        <v/>
      </c>
      <c r="AR165" s="829" t="str">
        <f t="shared" si="103"/>
        <v/>
      </c>
      <c r="AS165" s="829" t="str">
        <f t="shared" si="104"/>
        <v/>
      </c>
      <c r="AT165" s="869" t="str">
        <f t="shared" si="105"/>
        <v/>
      </c>
      <c r="AU165" s="829" t="str">
        <f t="shared" si="106"/>
        <v/>
      </c>
      <c r="AV165" s="829" t="str">
        <f t="shared" si="107"/>
        <v/>
      </c>
      <c r="AW165" s="829" t="str">
        <f t="shared" si="108"/>
        <v/>
      </c>
      <c r="AX165" s="829">
        <f t="shared" si="109"/>
        <v>0</v>
      </c>
      <c r="AY165" s="829" t="str">
        <f t="shared" si="110"/>
        <v/>
      </c>
      <c r="AZ165" s="829" t="str">
        <f t="shared" si="111"/>
        <v/>
      </c>
      <c r="BA165" s="829" t="str">
        <f t="shared" si="112"/>
        <v/>
      </c>
      <c r="BB165" s="829" t="str">
        <f t="shared" si="113"/>
        <v/>
      </c>
      <c r="BC165" s="829" t="str">
        <f t="shared" si="92"/>
        <v/>
      </c>
      <c r="BD165" s="829" t="str">
        <f t="shared" si="93"/>
        <v/>
      </c>
      <c r="BE165" s="829" t="str">
        <f t="shared" si="94"/>
        <v/>
      </c>
      <c r="BF165" s="829" t="str">
        <f t="shared" si="95"/>
        <v/>
      </c>
      <c r="BG165" s="829" t="str">
        <f t="shared" si="96"/>
        <v/>
      </c>
      <c r="BH165" s="829" t="str">
        <f t="shared" si="97"/>
        <v/>
      </c>
      <c r="BI165" s="829" t="str">
        <f t="shared" si="98"/>
        <v/>
      </c>
      <c r="BJ165" s="829" t="str">
        <f t="shared" si="90"/>
        <v/>
      </c>
      <c r="BK165" s="829" t="str">
        <f t="shared" si="91"/>
        <v/>
      </c>
      <c r="BL165" s="829" t="str">
        <f t="shared" si="99"/>
        <v/>
      </c>
      <c r="BM165" s="829" t="str">
        <f t="shared" si="100"/>
        <v/>
      </c>
      <c r="BN165" s="829">
        <f t="shared" si="101"/>
        <v>0</v>
      </c>
    </row>
    <row r="166" spans="1:66" ht="15" customHeight="1" thickBot="1" x14ac:dyDescent="0.3">
      <c r="A166" s="1448" t="str">
        <f>'1. Projektangaben'!C43</f>
        <v>Wärmepumpenstrom</v>
      </c>
      <c r="B166" s="1683"/>
      <c r="C166" s="60" t="str">
        <f>CONCATENATE("Energiepreissteigerung ", '1. Projektangaben'!C43)</f>
        <v>Energiepreissteigerung Wärmepumpenstrom</v>
      </c>
      <c r="D166" s="6">
        <f>'1. Projektangaben'!K43</f>
        <v>3.5000000000000003E-2</v>
      </c>
      <c r="E166" s="116" t="str">
        <f>CONCATENATE("Bedarfs-(verbrauchs-)geb. Zahlungen ", '1. Projektangaben'!C43)</f>
        <v>Bedarfs-(verbrauchs-)geb. Zahlungen Wärmepumpenstrom</v>
      </c>
      <c r="F166" s="116" t="str">
        <f>CONCATENATE("r ", '1. Projektangaben'!C43)</f>
        <v>r Wärmepumpenstrom</v>
      </c>
      <c r="G166" s="5">
        <f t="shared" si="115"/>
        <v>1.0349999999999999</v>
      </c>
      <c r="H166" s="116" t="str">
        <f>CONCATENATE("bv ", '1. Projektangaben'!C43)</f>
        <v>bv Wärmepumpenstrom</v>
      </c>
      <c r="I166" s="5">
        <f t="shared" si="114"/>
        <v>44.459151637088077</v>
      </c>
      <c r="J166" s="116" t="str">
        <f>CONCATENATE("ba ", '1. Projektangaben'!C43)</f>
        <v>ba Wärmepumpenstrom</v>
      </c>
      <c r="K166" s="1440">
        <f t="shared" si="116"/>
        <v>1.7784642842300804</v>
      </c>
      <c r="L166" s="1446"/>
      <c r="M166" s="1443"/>
      <c r="N166" s="1443"/>
      <c r="O166" s="1443"/>
      <c r="P166" s="1443"/>
      <c r="Q166" s="1443"/>
      <c r="R166" s="1443"/>
      <c r="S166" s="1443"/>
      <c r="T166" s="1443"/>
      <c r="U166" s="111"/>
      <c r="AP166" s="214">
        <f t="shared" si="79"/>
        <v>0</v>
      </c>
      <c r="AQ166" s="870" t="str">
        <f t="shared" si="102"/>
        <v/>
      </c>
      <c r="AR166" s="829" t="str">
        <f t="shared" si="103"/>
        <v/>
      </c>
      <c r="AS166" s="829" t="str">
        <f t="shared" si="104"/>
        <v/>
      </c>
      <c r="AT166" s="869" t="str">
        <f t="shared" si="105"/>
        <v/>
      </c>
      <c r="AU166" s="829" t="str">
        <f t="shared" si="106"/>
        <v/>
      </c>
      <c r="AV166" s="829" t="str">
        <f t="shared" si="107"/>
        <v/>
      </c>
      <c r="AW166" s="829" t="str">
        <f t="shared" si="108"/>
        <v/>
      </c>
      <c r="AX166" s="829">
        <f t="shared" si="109"/>
        <v>0</v>
      </c>
      <c r="AY166" s="829" t="str">
        <f t="shared" si="110"/>
        <v/>
      </c>
      <c r="AZ166" s="829" t="str">
        <f t="shared" si="111"/>
        <v/>
      </c>
      <c r="BA166" s="829" t="str">
        <f t="shared" si="112"/>
        <v/>
      </c>
      <c r="BB166" s="829" t="str">
        <f t="shared" si="113"/>
        <v/>
      </c>
      <c r="BC166" s="829" t="str">
        <f t="shared" si="92"/>
        <v/>
      </c>
      <c r="BD166" s="829" t="str">
        <f t="shared" si="93"/>
        <v/>
      </c>
      <c r="BE166" s="829" t="str">
        <f t="shared" si="94"/>
        <v/>
      </c>
      <c r="BF166" s="829" t="str">
        <f t="shared" si="95"/>
        <v/>
      </c>
      <c r="BG166" s="829" t="str">
        <f t="shared" si="96"/>
        <v/>
      </c>
      <c r="BH166" s="829" t="str">
        <f t="shared" si="97"/>
        <v/>
      </c>
      <c r="BI166" s="829" t="str">
        <f t="shared" si="98"/>
        <v/>
      </c>
      <c r="BJ166" s="829" t="str">
        <f t="shared" si="90"/>
        <v/>
      </c>
      <c r="BK166" s="829" t="str">
        <f t="shared" si="91"/>
        <v/>
      </c>
      <c r="BL166" s="829" t="str">
        <f t="shared" si="99"/>
        <v/>
      </c>
      <c r="BM166" s="829" t="str">
        <f t="shared" si="100"/>
        <v/>
      </c>
      <c r="BN166" s="829">
        <f t="shared" si="101"/>
        <v>0</v>
      </c>
    </row>
    <row r="167" spans="1:66" ht="15" customHeight="1" x14ac:dyDescent="0.25">
      <c r="B167" s="1683"/>
      <c r="C167" s="60" t="s">
        <v>256</v>
      </c>
      <c r="D167" s="6">
        <f>$D$158</f>
        <v>1.6E-2</v>
      </c>
      <c r="E167" s="116" t="s">
        <v>276</v>
      </c>
      <c r="F167" s="116" t="s">
        <v>218</v>
      </c>
      <c r="G167" s="5">
        <f>1+D167</f>
        <v>1.016</v>
      </c>
      <c r="H167" s="116" t="s">
        <v>226</v>
      </c>
      <c r="I167" s="5">
        <f t="shared" si="114"/>
        <v>32.121801761964853</v>
      </c>
      <c r="J167" s="116" t="s">
        <v>255</v>
      </c>
      <c r="K167" s="1440">
        <f>I167*$J$154</f>
        <v>1.2849430336659258</v>
      </c>
      <c r="L167" s="1446"/>
      <c r="M167" s="1443"/>
      <c r="N167" s="1443"/>
      <c r="O167" s="1444"/>
      <c r="P167" s="1443"/>
      <c r="Q167" s="1443"/>
      <c r="R167" s="1443"/>
      <c r="S167" s="1443"/>
      <c r="T167" s="1443"/>
      <c r="U167" s="1443"/>
      <c r="AP167" s="214">
        <f t="shared" si="79"/>
        <v>0</v>
      </c>
      <c r="AQ167" s="870" t="str">
        <f t="shared" si="102"/>
        <v/>
      </c>
      <c r="AR167" s="829" t="str">
        <f t="shared" si="103"/>
        <v/>
      </c>
      <c r="AS167" s="829" t="str">
        <f t="shared" si="104"/>
        <v/>
      </c>
      <c r="AT167" s="869" t="str">
        <f t="shared" si="105"/>
        <v/>
      </c>
      <c r="AU167" s="829" t="str">
        <f t="shared" si="106"/>
        <v/>
      </c>
      <c r="AV167" s="829" t="str">
        <f t="shared" si="107"/>
        <v/>
      </c>
      <c r="AW167" s="829" t="str">
        <f t="shared" si="108"/>
        <v/>
      </c>
      <c r="AX167" s="829">
        <f t="shared" si="109"/>
        <v>0</v>
      </c>
      <c r="AY167" s="829" t="str">
        <f t="shared" si="110"/>
        <v/>
      </c>
      <c r="AZ167" s="829" t="str">
        <f t="shared" si="111"/>
        <v/>
      </c>
      <c r="BA167" s="829" t="str">
        <f t="shared" si="112"/>
        <v/>
      </c>
      <c r="BB167" s="829" t="str">
        <f t="shared" si="113"/>
        <v/>
      </c>
      <c r="BC167" s="829" t="str">
        <f t="shared" si="92"/>
        <v/>
      </c>
      <c r="BD167" s="829" t="str">
        <f t="shared" si="93"/>
        <v/>
      </c>
      <c r="BE167" s="829" t="str">
        <f t="shared" si="94"/>
        <v/>
      </c>
      <c r="BF167" s="829" t="str">
        <f t="shared" si="95"/>
        <v/>
      </c>
      <c r="BG167" s="829" t="str">
        <f t="shared" si="96"/>
        <v/>
      </c>
      <c r="BH167" s="829" t="str">
        <f t="shared" si="97"/>
        <v/>
      </c>
      <c r="BI167" s="829" t="str">
        <f t="shared" si="98"/>
        <v/>
      </c>
      <c r="BJ167" s="829" t="str">
        <f t="shared" si="90"/>
        <v/>
      </c>
      <c r="BK167" s="829" t="str">
        <f t="shared" si="91"/>
        <v/>
      </c>
      <c r="BL167" s="829" t="str">
        <f t="shared" si="99"/>
        <v/>
      </c>
      <c r="BM167" s="829" t="str">
        <f t="shared" si="100"/>
        <v/>
      </c>
      <c r="BN167" s="829">
        <f t="shared" si="101"/>
        <v>0</v>
      </c>
    </row>
    <row r="168" spans="1:66" ht="15" customHeight="1" x14ac:dyDescent="0.25">
      <c r="B168" s="1683"/>
      <c r="C168" s="60" t="s">
        <v>335</v>
      </c>
      <c r="D168" s="6">
        <f>$D$158</f>
        <v>1.6E-2</v>
      </c>
      <c r="E168" s="116" t="s">
        <v>223</v>
      </c>
      <c r="F168" s="116" t="s">
        <v>219</v>
      </c>
      <c r="G168" s="5">
        <f>1+D168</f>
        <v>1.016</v>
      </c>
      <c r="H168" s="116" t="s">
        <v>227</v>
      </c>
      <c r="I168" s="5">
        <f t="shared" si="114"/>
        <v>32.121801761964853</v>
      </c>
      <c r="J168" s="116" t="s">
        <v>232</v>
      </c>
      <c r="K168" s="1440">
        <f>I168*$J$154</f>
        <v>1.2849430336659258</v>
      </c>
      <c r="L168" s="1446"/>
      <c r="M168" s="1443"/>
      <c r="N168" s="1443"/>
      <c r="O168" s="1444"/>
      <c r="P168" s="1443"/>
      <c r="Q168" s="1443"/>
      <c r="R168" s="1443"/>
      <c r="S168" s="1443"/>
      <c r="T168" s="1443"/>
      <c r="U168" s="1443"/>
      <c r="AP168" s="214">
        <f t="shared" si="79"/>
        <v>0</v>
      </c>
      <c r="AQ168" s="870" t="str">
        <f t="shared" si="102"/>
        <v/>
      </c>
      <c r="AR168" s="829" t="str">
        <f t="shared" si="103"/>
        <v/>
      </c>
      <c r="AS168" s="829" t="str">
        <f t="shared" si="104"/>
        <v/>
      </c>
      <c r="AT168" s="869" t="str">
        <f t="shared" si="105"/>
        <v/>
      </c>
      <c r="AU168" s="829" t="str">
        <f t="shared" si="106"/>
        <v/>
      </c>
      <c r="AV168" s="829" t="str">
        <f t="shared" si="107"/>
        <v/>
      </c>
      <c r="AW168" s="829" t="str">
        <f t="shared" si="108"/>
        <v/>
      </c>
      <c r="AX168" s="829">
        <f t="shared" si="109"/>
        <v>0</v>
      </c>
      <c r="AY168" s="829" t="str">
        <f t="shared" si="110"/>
        <v/>
      </c>
      <c r="AZ168" s="829" t="str">
        <f t="shared" si="111"/>
        <v/>
      </c>
      <c r="BA168" s="829" t="str">
        <f t="shared" si="112"/>
        <v/>
      </c>
      <c r="BB168" s="829" t="str">
        <f t="shared" si="113"/>
        <v/>
      </c>
      <c r="BC168" s="829" t="str">
        <f t="shared" si="92"/>
        <v/>
      </c>
      <c r="BD168" s="829" t="str">
        <f t="shared" si="93"/>
        <v/>
      </c>
      <c r="BE168" s="829" t="str">
        <f t="shared" si="94"/>
        <v/>
      </c>
      <c r="BF168" s="829" t="str">
        <f t="shared" si="95"/>
        <v/>
      </c>
      <c r="BG168" s="829" t="str">
        <f t="shared" si="96"/>
        <v/>
      </c>
      <c r="BH168" s="829" t="str">
        <f t="shared" si="97"/>
        <v/>
      </c>
      <c r="BI168" s="829" t="str">
        <f t="shared" si="98"/>
        <v/>
      </c>
      <c r="BJ168" s="829" t="str">
        <f t="shared" si="90"/>
        <v/>
      </c>
      <c r="BK168" s="829" t="str">
        <f t="shared" si="91"/>
        <v/>
      </c>
      <c r="BL168" s="829" t="str">
        <f t="shared" si="99"/>
        <v/>
      </c>
      <c r="BM168" s="829" t="str">
        <f t="shared" si="100"/>
        <v/>
      </c>
      <c r="BN168" s="829">
        <f t="shared" si="101"/>
        <v>0</v>
      </c>
    </row>
    <row r="169" spans="1:66" ht="15" customHeight="1" x14ac:dyDescent="0.25">
      <c r="B169" s="1683"/>
      <c r="C169" s="60" t="s">
        <v>336</v>
      </c>
      <c r="D169" s="6">
        <f>$D$158</f>
        <v>1.6E-2</v>
      </c>
      <c r="E169" s="116" t="s">
        <v>334</v>
      </c>
      <c r="F169" s="116" t="s">
        <v>220</v>
      </c>
      <c r="G169" s="5">
        <f>1+D169</f>
        <v>1.016</v>
      </c>
      <c r="H169" s="116" t="s">
        <v>228</v>
      </c>
      <c r="I169" s="5">
        <f t="shared" si="114"/>
        <v>32.121801761964853</v>
      </c>
      <c r="J169" s="116" t="s">
        <v>233</v>
      </c>
      <c r="K169" s="1440">
        <f>I169*$J$154</f>
        <v>1.2849430336659258</v>
      </c>
      <c r="L169" s="1446"/>
      <c r="M169" s="1443"/>
      <c r="N169" s="1443"/>
      <c r="O169" s="1444"/>
      <c r="P169" s="1443"/>
      <c r="Q169" s="1443"/>
      <c r="R169" s="1443"/>
      <c r="S169" s="1443"/>
      <c r="T169" s="1443"/>
      <c r="U169" s="1443"/>
      <c r="AP169" s="214">
        <f t="shared" si="79"/>
        <v>0</v>
      </c>
      <c r="AQ169" s="870" t="str">
        <f t="shared" si="102"/>
        <v/>
      </c>
      <c r="AR169" s="829" t="str">
        <f t="shared" si="103"/>
        <v/>
      </c>
      <c r="AS169" s="829" t="str">
        <f t="shared" si="104"/>
        <v/>
      </c>
      <c r="AT169" s="869" t="str">
        <f t="shared" si="105"/>
        <v/>
      </c>
      <c r="AU169" s="829" t="str">
        <f t="shared" si="106"/>
        <v/>
      </c>
      <c r="AV169" s="829" t="str">
        <f t="shared" si="107"/>
        <v/>
      </c>
      <c r="AW169" s="829" t="str">
        <f t="shared" si="108"/>
        <v/>
      </c>
      <c r="AX169" s="829">
        <f t="shared" si="109"/>
        <v>0</v>
      </c>
      <c r="AY169" s="829" t="str">
        <f t="shared" si="110"/>
        <v/>
      </c>
      <c r="AZ169" s="829" t="str">
        <f t="shared" si="111"/>
        <v/>
      </c>
      <c r="BA169" s="829" t="str">
        <f t="shared" si="112"/>
        <v/>
      </c>
      <c r="BB169" s="829" t="str">
        <f t="shared" si="113"/>
        <v/>
      </c>
      <c r="BC169" s="829" t="str">
        <f t="shared" si="92"/>
        <v/>
      </c>
      <c r="BD169" s="829" t="str">
        <f t="shared" si="93"/>
        <v/>
      </c>
      <c r="BE169" s="829" t="str">
        <f t="shared" si="94"/>
        <v/>
      </c>
      <c r="BF169" s="829" t="str">
        <f t="shared" si="95"/>
        <v/>
      </c>
      <c r="BG169" s="829" t="str">
        <f t="shared" si="96"/>
        <v/>
      </c>
      <c r="BH169" s="829" t="str">
        <f t="shared" si="97"/>
        <v/>
      </c>
      <c r="BI169" s="829" t="str">
        <f t="shared" si="98"/>
        <v/>
      </c>
      <c r="BJ169" s="829" t="str">
        <f t="shared" si="90"/>
        <v/>
      </c>
      <c r="BK169" s="829" t="str">
        <f t="shared" si="91"/>
        <v/>
      </c>
      <c r="BL169" s="829" t="str">
        <f t="shared" si="99"/>
        <v/>
      </c>
      <c r="BM169" s="829" t="str">
        <f t="shared" si="100"/>
        <v/>
      </c>
      <c r="BN169" s="829">
        <f t="shared" si="101"/>
        <v>0</v>
      </c>
    </row>
    <row r="170" spans="1:66" ht="15" customHeight="1" thickBot="1" x14ac:dyDescent="0.3">
      <c r="B170" s="1684"/>
      <c r="C170" s="96"/>
      <c r="D170" s="6">
        <f>$D$158</f>
        <v>1.6E-2</v>
      </c>
      <c r="E170" s="116" t="s">
        <v>224</v>
      </c>
      <c r="F170" s="116" t="s">
        <v>221</v>
      </c>
      <c r="G170" s="5">
        <f>1+D170</f>
        <v>1.016</v>
      </c>
      <c r="H170" s="116" t="s">
        <v>229</v>
      </c>
      <c r="I170" s="5">
        <f t="shared" si="114"/>
        <v>32.121801761964853</v>
      </c>
      <c r="J170" s="116" t="s">
        <v>234</v>
      </c>
      <c r="K170" s="1440">
        <f>I170*$J$154</f>
        <v>1.2849430336659258</v>
      </c>
      <c r="L170" s="1446"/>
      <c r="M170" s="1443"/>
      <c r="N170" s="1443"/>
      <c r="O170" s="1444"/>
      <c r="P170" s="1443"/>
      <c r="Q170" s="1443"/>
      <c r="R170" s="1443"/>
      <c r="S170" s="1443"/>
      <c r="T170" s="1443"/>
      <c r="U170" s="1443"/>
      <c r="AP170" s="214">
        <f t="shared" si="79"/>
        <v>0</v>
      </c>
      <c r="AQ170" s="870" t="str">
        <f t="shared" si="102"/>
        <v/>
      </c>
      <c r="AR170" s="829" t="str">
        <f t="shared" si="103"/>
        <v/>
      </c>
      <c r="AS170" s="829" t="str">
        <f t="shared" si="104"/>
        <v/>
      </c>
      <c r="AT170" s="869" t="str">
        <f t="shared" si="105"/>
        <v/>
      </c>
      <c r="AU170" s="829" t="str">
        <f t="shared" si="106"/>
        <v/>
      </c>
      <c r="AV170" s="829" t="str">
        <f t="shared" si="107"/>
        <v/>
      </c>
      <c r="AW170" s="829" t="str">
        <f t="shared" si="108"/>
        <v/>
      </c>
      <c r="AX170" s="829">
        <f t="shared" si="109"/>
        <v>0</v>
      </c>
      <c r="AY170" s="829" t="str">
        <f t="shared" si="110"/>
        <v/>
      </c>
      <c r="AZ170" s="829" t="str">
        <f t="shared" si="111"/>
        <v/>
      </c>
      <c r="BA170" s="829" t="str">
        <f t="shared" si="112"/>
        <v/>
      </c>
      <c r="BB170" s="829" t="str">
        <f t="shared" si="113"/>
        <v/>
      </c>
      <c r="BC170" s="829" t="str">
        <f t="shared" si="92"/>
        <v/>
      </c>
      <c r="BD170" s="829" t="str">
        <f t="shared" si="93"/>
        <v/>
      </c>
      <c r="BE170" s="829" t="str">
        <f t="shared" si="94"/>
        <v/>
      </c>
      <c r="BF170" s="829" t="str">
        <f t="shared" si="95"/>
        <v/>
      </c>
      <c r="BG170" s="829" t="str">
        <f t="shared" si="96"/>
        <v/>
      </c>
      <c r="BH170" s="829" t="str">
        <f t="shared" si="97"/>
        <v/>
      </c>
      <c r="BI170" s="829" t="str">
        <f t="shared" si="98"/>
        <v/>
      </c>
      <c r="BJ170" s="829" t="str">
        <f t="shared" si="90"/>
        <v/>
      </c>
      <c r="BK170" s="829" t="str">
        <f t="shared" si="91"/>
        <v/>
      </c>
      <c r="BL170" s="829" t="str">
        <f t="shared" si="99"/>
        <v/>
      </c>
      <c r="BM170" s="829" t="str">
        <f t="shared" si="100"/>
        <v/>
      </c>
      <c r="BN170" s="829">
        <f t="shared" si="101"/>
        <v>0</v>
      </c>
    </row>
    <row r="171" spans="1:66" ht="15" customHeight="1" x14ac:dyDescent="0.25">
      <c r="AP171" s="214">
        <f t="shared" si="79"/>
        <v>0</v>
      </c>
      <c r="AQ171" s="870" t="str">
        <f t="shared" si="102"/>
        <v/>
      </c>
      <c r="AR171" s="829" t="str">
        <f t="shared" si="103"/>
        <v/>
      </c>
      <c r="AS171" s="829" t="str">
        <f t="shared" si="104"/>
        <v/>
      </c>
      <c r="AT171" s="869" t="str">
        <f t="shared" si="105"/>
        <v/>
      </c>
      <c r="AU171" s="829" t="str">
        <f t="shared" si="106"/>
        <v/>
      </c>
      <c r="AV171" s="829" t="str">
        <f t="shared" si="107"/>
        <v/>
      </c>
      <c r="AW171" s="829" t="str">
        <f t="shared" si="108"/>
        <v/>
      </c>
      <c r="AX171" s="829">
        <f t="shared" si="109"/>
        <v>0</v>
      </c>
      <c r="AY171" s="829" t="str">
        <f t="shared" si="110"/>
        <v/>
      </c>
      <c r="AZ171" s="829" t="str">
        <f t="shared" si="111"/>
        <v/>
      </c>
      <c r="BA171" s="829" t="str">
        <f t="shared" si="112"/>
        <v/>
      </c>
      <c r="BB171" s="829" t="str">
        <f t="shared" si="113"/>
        <v/>
      </c>
      <c r="BC171" s="829" t="str">
        <f t="shared" si="92"/>
        <v/>
      </c>
      <c r="BD171" s="829" t="str">
        <f t="shared" si="93"/>
        <v/>
      </c>
      <c r="BE171" s="829" t="str">
        <f t="shared" si="94"/>
        <v/>
      </c>
      <c r="BF171" s="829" t="str">
        <f t="shared" si="95"/>
        <v/>
      </c>
      <c r="BG171" s="829" t="str">
        <f t="shared" si="96"/>
        <v/>
      </c>
      <c r="BH171" s="829" t="str">
        <f t="shared" si="97"/>
        <v/>
      </c>
      <c r="BI171" s="829" t="str">
        <f t="shared" si="98"/>
        <v/>
      </c>
      <c r="BJ171" s="829" t="str">
        <f t="shared" si="90"/>
        <v/>
      </c>
      <c r="BK171" s="829" t="str">
        <f t="shared" si="91"/>
        <v/>
      </c>
      <c r="BL171" s="829" t="str">
        <f t="shared" si="99"/>
        <v/>
      </c>
      <c r="BM171" s="829" t="str">
        <f t="shared" si="100"/>
        <v/>
      </c>
      <c r="BN171" s="829">
        <f t="shared" si="101"/>
        <v>0</v>
      </c>
    </row>
    <row r="172" spans="1:66" ht="15" customHeight="1" x14ac:dyDescent="0.25">
      <c r="AP172" s="214">
        <f t="shared" si="79"/>
        <v>0</v>
      </c>
      <c r="AQ172" s="870" t="str">
        <f t="shared" si="102"/>
        <v/>
      </c>
      <c r="AR172" s="829" t="str">
        <f t="shared" si="103"/>
        <v/>
      </c>
      <c r="AS172" s="829" t="str">
        <f t="shared" si="104"/>
        <v/>
      </c>
      <c r="AT172" s="869" t="str">
        <f t="shared" si="105"/>
        <v/>
      </c>
      <c r="AU172" s="829" t="str">
        <f t="shared" si="106"/>
        <v/>
      </c>
      <c r="AV172" s="829" t="str">
        <f t="shared" si="107"/>
        <v/>
      </c>
      <c r="AW172" s="829" t="str">
        <f t="shared" si="108"/>
        <v/>
      </c>
      <c r="AX172" s="829">
        <f t="shared" si="109"/>
        <v>0</v>
      </c>
      <c r="AY172" s="829" t="str">
        <f t="shared" si="110"/>
        <v/>
      </c>
      <c r="AZ172" s="829" t="str">
        <f t="shared" si="111"/>
        <v/>
      </c>
      <c r="BA172" s="829" t="str">
        <f t="shared" si="112"/>
        <v/>
      </c>
      <c r="BB172" s="829" t="str">
        <f t="shared" si="113"/>
        <v/>
      </c>
      <c r="BC172" s="829" t="str">
        <f t="shared" si="92"/>
        <v/>
      </c>
      <c r="BD172" s="829" t="str">
        <f t="shared" si="93"/>
        <v/>
      </c>
      <c r="BE172" s="829" t="str">
        <f t="shared" si="94"/>
        <v/>
      </c>
      <c r="BF172" s="829" t="str">
        <f t="shared" si="95"/>
        <v/>
      </c>
      <c r="BG172" s="829" t="str">
        <f t="shared" si="96"/>
        <v/>
      </c>
      <c r="BH172" s="829" t="str">
        <f t="shared" si="97"/>
        <v/>
      </c>
      <c r="BI172" s="829" t="str">
        <f t="shared" si="98"/>
        <v/>
      </c>
      <c r="BJ172" s="829" t="str">
        <f t="shared" si="90"/>
        <v/>
      </c>
      <c r="BK172" s="829" t="str">
        <f t="shared" si="91"/>
        <v/>
      </c>
      <c r="BL172" s="829" t="str">
        <f t="shared" si="99"/>
        <v/>
      </c>
      <c r="BM172" s="829" t="str">
        <f t="shared" si="100"/>
        <v/>
      </c>
      <c r="BN172" s="829">
        <f t="shared" si="101"/>
        <v>0</v>
      </c>
    </row>
    <row r="173" spans="1:66" ht="15" customHeight="1" thickBot="1" x14ac:dyDescent="0.3">
      <c r="AR173" s="214">
        <f>NPV($D$157,AR123:AR172)</f>
        <v>0</v>
      </c>
      <c r="AS173" s="214">
        <f t="shared" ref="AS173:AY173" si="117">NPV($D$157,AS123:AS172)</f>
        <v>0</v>
      </c>
      <c r="AT173" s="214">
        <f t="shared" si="117"/>
        <v>0</v>
      </c>
      <c r="AU173" s="214">
        <f t="shared" si="117"/>
        <v>0</v>
      </c>
      <c r="AV173" s="214">
        <f t="shared" si="117"/>
        <v>0</v>
      </c>
      <c r="AW173" s="214">
        <f t="shared" si="117"/>
        <v>0</v>
      </c>
      <c r="AX173" s="214">
        <f t="shared" ca="1" si="117"/>
        <v>-12154.257261502009</v>
      </c>
      <c r="AY173" s="214">
        <f t="shared" si="117"/>
        <v>0</v>
      </c>
      <c r="AZ173" s="214">
        <f>NPV($D$157,AZ136:AZ172)</f>
        <v>0</v>
      </c>
      <c r="BA173" s="214">
        <f>NPV($D$157,BA136:BA172)</f>
        <v>0</v>
      </c>
    </row>
    <row r="174" spans="1:66" ht="15" customHeight="1" x14ac:dyDescent="0.25">
      <c r="B174" s="1672" t="str">
        <f>C8</f>
        <v>BTV</v>
      </c>
      <c r="C174" s="1675"/>
      <c r="D174" s="1676"/>
      <c r="E174" s="1676"/>
      <c r="F174" s="1676"/>
      <c r="G174" s="1676"/>
      <c r="H174" s="1676"/>
      <c r="I174" s="1676"/>
      <c r="J174" s="1676"/>
      <c r="K174" s="1676"/>
      <c r="L174" s="1676"/>
      <c r="M174" s="1676"/>
      <c r="N174" s="1676"/>
      <c r="O174" s="1676"/>
      <c r="P174" s="1676"/>
      <c r="Q174" s="1676"/>
      <c r="R174" s="1676"/>
      <c r="S174" s="1676"/>
      <c r="T174" s="1676"/>
      <c r="U174" s="1676"/>
      <c r="V174" s="1676"/>
      <c r="W174" s="1676"/>
      <c r="X174" s="1676"/>
      <c r="Y174" s="1676"/>
      <c r="Z174" s="1676"/>
      <c r="AA174" s="1676"/>
      <c r="AB174" s="1676"/>
      <c r="AC174" s="1676"/>
      <c r="AD174" s="1676"/>
      <c r="AE174" s="1676"/>
      <c r="AF174" s="1676"/>
      <c r="AG174" s="1676"/>
      <c r="AH174" s="1676"/>
      <c r="AI174" s="1676"/>
      <c r="AJ174" s="1676"/>
      <c r="AK174" s="1676"/>
      <c r="AL174" s="1676"/>
      <c r="AM174" s="1676"/>
      <c r="AN174" s="1676"/>
      <c r="AO174" s="1676"/>
      <c r="AP174" s="1676"/>
      <c r="AQ174" s="1676"/>
      <c r="AR174" s="1676"/>
      <c r="AS174" s="1676"/>
      <c r="AT174" s="1676"/>
      <c r="AU174" s="1676"/>
      <c r="AV174" s="1676"/>
      <c r="AW174" s="1676"/>
      <c r="AX174" s="1676"/>
      <c r="AY174" s="1676"/>
      <c r="AZ174" s="1676"/>
      <c r="BA174" s="1676"/>
      <c r="BB174" s="1676"/>
      <c r="BC174" s="1676"/>
      <c r="BD174" s="1676"/>
      <c r="BE174" s="1676"/>
      <c r="BF174" s="1676"/>
      <c r="BG174" s="1676"/>
      <c r="BH174" s="1676"/>
      <c r="BI174" s="1676"/>
      <c r="BJ174" s="1676"/>
      <c r="BK174" s="1676"/>
      <c r="BL174" s="1676"/>
    </row>
    <row r="175" spans="1:66" ht="15" customHeight="1" x14ac:dyDescent="0.25">
      <c r="B175" s="167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6" ht="15" customHeight="1" x14ac:dyDescent="0.25">
      <c r="B176" s="167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row>
    <row r="177" spans="2:63" ht="15" customHeight="1" x14ac:dyDescent="0.25">
      <c r="B177" s="167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row>
    <row r="178" spans="2:63" ht="15" customHeight="1" x14ac:dyDescent="0.25">
      <c r="B178" s="167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row>
    <row r="179" spans="2:63" ht="15" customHeight="1" x14ac:dyDescent="0.25">
      <c r="B179" s="167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row>
    <row r="180" spans="2:63" ht="15" customHeight="1" x14ac:dyDescent="0.25">
      <c r="B180" s="167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row>
    <row r="181" spans="2:63" ht="15" customHeight="1" x14ac:dyDescent="0.25">
      <c r="B181" s="167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row>
    <row r="182" spans="2:63" ht="15" customHeight="1" x14ac:dyDescent="0.25">
      <c r="B182" s="167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row>
    <row r="183" spans="2:63" ht="15" customHeight="1" x14ac:dyDescent="0.25">
      <c r="B183" s="167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row>
    <row r="184" spans="2:63" ht="15" customHeight="1" x14ac:dyDescent="0.25">
      <c r="B184" s="167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row>
    <row r="185" spans="2:63" ht="15" customHeight="1" x14ac:dyDescent="0.25">
      <c r="B185" s="167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row>
    <row r="186" spans="2:63" ht="15" customHeight="1" x14ac:dyDescent="0.25">
      <c r="B186" s="167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row>
    <row r="187" spans="2:63" ht="15" customHeight="1" x14ac:dyDescent="0.25">
      <c r="B187" s="167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row>
    <row r="188" spans="2:63" ht="15" customHeight="1" x14ac:dyDescent="0.25">
      <c r="B188" s="167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61"/>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row>
    <row r="189" spans="2:63" ht="15" customHeight="1" x14ac:dyDescent="0.25">
      <c r="B189" s="167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row>
    <row r="190" spans="2:63" ht="15" customHeight="1" x14ac:dyDescent="0.25">
      <c r="B190" s="167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row>
    <row r="191" spans="2:63" ht="15" customHeight="1" x14ac:dyDescent="0.25">
      <c r="B191" s="167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row>
    <row r="192" spans="2:63" ht="15" customHeight="1" x14ac:dyDescent="0.25">
      <c r="B192" s="1673"/>
      <c r="C192" s="3"/>
      <c r="D192" s="3"/>
      <c r="E192" s="3"/>
      <c r="F192" s="3"/>
      <c r="G192" s="3"/>
      <c r="H192" s="3"/>
      <c r="I192" s="3"/>
      <c r="J192" s="3"/>
      <c r="K192" s="3"/>
      <c r="L192" s="3"/>
      <c r="M192" s="3"/>
      <c r="N192" s="3"/>
      <c r="O192" s="3"/>
      <c r="P192" s="3"/>
      <c r="Q192" s="3"/>
      <c r="R192" s="3"/>
      <c r="S192" s="3"/>
      <c r="T192" s="3"/>
      <c r="U192" s="96"/>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row>
    <row r="193" spans="2:116" ht="15" customHeight="1" thickBot="1" x14ac:dyDescent="0.3">
      <c r="B193" s="1673"/>
      <c r="C193" s="3"/>
      <c r="D193" s="3"/>
      <c r="E193" s="3"/>
      <c r="F193" s="3"/>
      <c r="G193" s="3"/>
      <c r="H193" s="3"/>
      <c r="I193" s="3"/>
      <c r="J193" s="3"/>
      <c r="K193" s="3"/>
      <c r="L193" s="3"/>
      <c r="M193" s="3"/>
      <c r="N193" s="3"/>
      <c r="O193" s="3"/>
      <c r="P193" s="3"/>
      <c r="Q193" s="3"/>
      <c r="R193" s="3"/>
      <c r="S193" s="3"/>
      <c r="T193" s="3"/>
      <c r="U193" s="96"/>
      <c r="V193" s="3"/>
      <c r="W193" s="3"/>
      <c r="X193" s="3"/>
      <c r="Y193" s="3"/>
      <c r="Z193" s="3"/>
      <c r="AA193" s="3"/>
      <c r="AB193" s="3"/>
      <c r="AC193" s="3"/>
      <c r="AD193" s="3"/>
      <c r="AE193" s="3"/>
      <c r="AF193" s="3"/>
      <c r="AG193" s="3"/>
      <c r="AH193" s="59"/>
      <c r="AI193" s="59"/>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row>
    <row r="194" spans="2:116" ht="15" customHeight="1" x14ac:dyDescent="0.25">
      <c r="B194" s="1673"/>
      <c r="C194" s="3"/>
      <c r="D194" s="3"/>
      <c r="E194" s="3"/>
      <c r="F194" s="3"/>
      <c r="G194" s="3"/>
      <c r="H194" s="3"/>
      <c r="I194" s="3"/>
      <c r="J194" s="3"/>
      <c r="K194" s="3"/>
      <c r="L194" s="3"/>
      <c r="M194" s="3"/>
      <c r="N194" s="3"/>
      <c r="O194" s="3"/>
      <c r="P194" s="3"/>
      <c r="Q194" s="3"/>
      <c r="R194" s="3"/>
      <c r="S194" s="3"/>
      <c r="T194" s="3"/>
      <c r="U194" s="3"/>
      <c r="V194" s="96"/>
      <c r="W194" s="3"/>
      <c r="X194" s="3"/>
      <c r="Y194" s="3"/>
      <c r="Z194" s="3"/>
      <c r="AA194" s="3"/>
      <c r="AB194" s="174"/>
      <c r="AC194" s="68"/>
      <c r="AD194" s="68"/>
      <c r="AE194" s="68"/>
      <c r="AF194" s="68"/>
      <c r="AG194" s="68"/>
      <c r="AH194" s="68"/>
      <c r="AI194" s="68"/>
      <c r="AJ194" s="69"/>
      <c r="AK194" s="68"/>
      <c r="AL194" s="68"/>
      <c r="AM194" s="70"/>
      <c r="AN194" s="830"/>
      <c r="AO194" s="830"/>
      <c r="AP194" s="830"/>
      <c r="AQ194" s="830"/>
      <c r="AR194" s="830"/>
      <c r="AS194" s="830"/>
      <c r="AT194" s="830"/>
      <c r="AU194" s="830"/>
      <c r="AV194" s="830"/>
      <c r="AW194" s="830"/>
      <c r="AX194" s="830"/>
      <c r="AY194" s="830"/>
      <c r="AZ194" s="830"/>
      <c r="BA194" s="830"/>
      <c r="BB194" s="830"/>
      <c r="BC194" s="830"/>
      <c r="BD194" s="830"/>
      <c r="BE194" s="830"/>
      <c r="BF194" s="830"/>
      <c r="BG194" s="830"/>
      <c r="BH194" s="830"/>
      <c r="BI194" s="830"/>
      <c r="BJ194" s="830"/>
      <c r="BK194" s="830"/>
      <c r="BL194" s="826" t="s">
        <v>576</v>
      </c>
      <c r="BM194" s="824"/>
      <c r="BN194" s="824"/>
      <c r="BO194" s="824"/>
      <c r="BP194" s="824"/>
      <c r="BQ194" s="824"/>
      <c r="BR194" s="824"/>
      <c r="BS194" s="824"/>
      <c r="BT194" s="824"/>
      <c r="BU194" s="824"/>
      <c r="BV194" s="824"/>
      <c r="BW194" s="824"/>
      <c r="BX194" s="824"/>
      <c r="BY194" s="824"/>
      <c r="BZ194" s="824"/>
      <c r="CA194" s="824"/>
      <c r="CB194" s="824"/>
      <c r="CC194" s="824"/>
      <c r="CD194" s="824"/>
      <c r="CE194" s="824"/>
      <c r="CF194" s="824"/>
      <c r="CG194" s="824"/>
      <c r="CH194" s="824"/>
      <c r="CI194" s="824"/>
      <c r="CJ194" s="824"/>
      <c r="CK194" s="824"/>
      <c r="CL194" s="824"/>
      <c r="CM194" s="824"/>
      <c r="CN194" s="824"/>
      <c r="CO194" s="824"/>
      <c r="CP194" s="824"/>
      <c r="CQ194" s="824"/>
      <c r="CR194" s="824"/>
      <c r="CS194" s="824"/>
      <c r="CT194" s="824"/>
      <c r="CU194" s="824"/>
      <c r="CV194" s="824"/>
      <c r="CW194" s="824"/>
      <c r="CX194" s="824"/>
      <c r="CY194" s="824"/>
      <c r="CZ194" s="824"/>
      <c r="DA194" s="824"/>
      <c r="DB194" s="824"/>
      <c r="DC194" s="824"/>
      <c r="DD194" s="824"/>
      <c r="DE194" s="824"/>
      <c r="DF194" s="824"/>
      <c r="DG194" s="824"/>
      <c r="DH194" s="824"/>
      <c r="DI194" s="824"/>
      <c r="DJ194" s="824"/>
      <c r="DK194" s="824"/>
      <c r="DL194" s="824"/>
    </row>
    <row r="195" spans="2:116" ht="15.75" customHeight="1" thickBot="1" x14ac:dyDescent="0.3">
      <c r="B195" s="1673"/>
      <c r="C195" s="3"/>
      <c r="D195" s="3"/>
      <c r="E195" s="3"/>
      <c r="F195" s="96"/>
      <c r="G195" s="96"/>
      <c r="H195" s="96"/>
      <c r="I195" s="96"/>
      <c r="J195" s="96"/>
      <c r="K195" s="96"/>
      <c r="L195" s="96"/>
      <c r="M195" s="96"/>
      <c r="N195" s="96"/>
      <c r="O195" s="96"/>
      <c r="P195" s="96"/>
      <c r="Q195" s="96"/>
      <c r="R195" s="96"/>
      <c r="S195" s="96"/>
      <c r="T195" s="96"/>
      <c r="U195" s="96"/>
      <c r="V195" s="96"/>
      <c r="W195" s="3"/>
      <c r="X195" s="3"/>
      <c r="Y195" s="3"/>
      <c r="Z195" s="3"/>
      <c r="AA195" s="3"/>
      <c r="AB195" s="92" t="s">
        <v>287</v>
      </c>
      <c r="AC195" s="72"/>
      <c r="AD195" s="72"/>
      <c r="AE195" s="72"/>
      <c r="AF195" s="72"/>
      <c r="AG195" s="72"/>
      <c r="AH195" s="72"/>
      <c r="AI195" s="72"/>
      <c r="AJ195" s="72"/>
      <c r="AK195" s="73"/>
      <c r="AL195" s="72"/>
      <c r="AM195" s="74"/>
      <c r="AN195" s="831"/>
      <c r="AO195" s="831"/>
      <c r="AP195" s="831"/>
      <c r="AQ195" s="831"/>
      <c r="AR195" s="831"/>
      <c r="AS195" s="831"/>
      <c r="AT195" s="831"/>
      <c r="AU195" s="831"/>
      <c r="AV195" s="831"/>
      <c r="AW195" s="831"/>
      <c r="AX195" s="831"/>
      <c r="AY195" s="831"/>
      <c r="AZ195" s="831"/>
      <c r="BA195" s="831"/>
      <c r="BB195" s="831"/>
      <c r="BC195" s="831"/>
      <c r="BD195" s="831"/>
      <c r="BE195" s="831"/>
      <c r="BF195" s="831"/>
      <c r="BG195" s="831"/>
      <c r="BH195" s="831"/>
      <c r="BI195" s="831"/>
      <c r="BJ195" s="831"/>
      <c r="BK195" s="831"/>
      <c r="BL195" s="824" t="s">
        <v>200</v>
      </c>
      <c r="BM195" s="824" t="s">
        <v>579</v>
      </c>
      <c r="BN195" s="824"/>
      <c r="BO195" s="824"/>
      <c r="BP195" s="824"/>
      <c r="BQ195" s="824"/>
      <c r="BR195" s="824"/>
      <c r="BS195" s="824"/>
      <c r="BT195" s="824"/>
      <c r="BU195" s="824"/>
      <c r="BV195" s="824"/>
      <c r="BW195" s="824"/>
      <c r="BX195" s="824"/>
      <c r="BY195" s="824"/>
      <c r="BZ195" s="824"/>
      <c r="CA195" s="824"/>
      <c r="CB195" s="824"/>
      <c r="CC195" s="824"/>
      <c r="CD195" s="824"/>
      <c r="CE195" s="824"/>
      <c r="CF195" s="824"/>
      <c r="CG195" s="824"/>
      <c r="CH195" s="824"/>
      <c r="CI195" s="824"/>
      <c r="CJ195" s="824"/>
      <c r="CK195" s="824"/>
      <c r="CL195" s="824"/>
      <c r="CM195" s="824"/>
      <c r="CN195" s="824"/>
      <c r="CO195" s="824"/>
      <c r="CP195" s="824"/>
      <c r="CQ195" s="824"/>
      <c r="CR195" s="824"/>
      <c r="CS195" s="824"/>
      <c r="CT195" s="824"/>
      <c r="CU195" s="824"/>
      <c r="CV195" s="824"/>
      <c r="CW195" s="824"/>
      <c r="CX195" s="824"/>
      <c r="CY195" s="824"/>
      <c r="CZ195" s="824"/>
      <c r="DA195" s="824"/>
      <c r="DB195" s="824"/>
      <c r="DC195" s="824"/>
      <c r="DD195" s="824"/>
      <c r="DE195" s="824"/>
      <c r="DF195" s="824"/>
      <c r="DG195" s="824"/>
      <c r="DH195" s="824"/>
      <c r="DI195" s="824"/>
      <c r="DJ195" s="824"/>
      <c r="DK195" s="824"/>
      <c r="DL195" s="824"/>
    </row>
    <row r="196" spans="2:116" ht="15" customHeight="1" thickBot="1" x14ac:dyDescent="0.3">
      <c r="B196" s="1673"/>
      <c r="C196" s="3"/>
      <c r="D196" s="3"/>
      <c r="E196" s="3"/>
      <c r="F196" s="96"/>
      <c r="G196" s="96"/>
      <c r="H196" s="1669" t="s">
        <v>273</v>
      </c>
      <c r="I196" s="1670"/>
      <c r="J196" s="1671"/>
      <c r="K196" s="96"/>
      <c r="L196" s="96"/>
      <c r="M196" s="96"/>
      <c r="N196" s="96"/>
      <c r="O196" s="96"/>
      <c r="P196" s="96"/>
      <c r="Q196" s="96"/>
      <c r="R196" s="96"/>
      <c r="S196" s="96"/>
      <c r="T196" s="96"/>
      <c r="U196" s="96"/>
      <c r="V196" s="96"/>
      <c r="W196" s="3"/>
      <c r="X196" s="3"/>
      <c r="Y196" s="1677" t="s">
        <v>278</v>
      </c>
      <c r="Z196" s="1678"/>
      <c r="AA196" s="3"/>
      <c r="AB196" s="71"/>
      <c r="AC196" s="73"/>
      <c r="AD196" s="72"/>
      <c r="AE196" s="72"/>
      <c r="AF196" s="72"/>
      <c r="AG196" s="73"/>
      <c r="AH196" s="75" t="s">
        <v>250</v>
      </c>
      <c r="AI196" s="173">
        <f>IRR(AK203:AK253)</f>
        <v>3.5428084535902293E-2</v>
      </c>
      <c r="AJ196" s="72"/>
      <c r="AK196" s="72"/>
      <c r="AL196" s="72"/>
      <c r="AM196" s="77"/>
      <c r="AN196" s="832"/>
      <c r="AO196" s="832"/>
      <c r="AP196" s="832"/>
      <c r="AQ196" s="832"/>
      <c r="AR196" s="832"/>
      <c r="AS196" s="832"/>
      <c r="AT196" s="832"/>
      <c r="AU196" s="832"/>
      <c r="AV196" s="832"/>
      <c r="AW196" s="832"/>
      <c r="AX196" s="832"/>
      <c r="AY196" s="832"/>
      <c r="AZ196" s="832"/>
      <c r="BA196" s="832"/>
      <c r="BB196" s="832"/>
      <c r="BC196" s="832"/>
      <c r="BD196" s="832"/>
      <c r="BE196" s="832"/>
      <c r="BF196" s="832"/>
      <c r="BG196" s="832"/>
      <c r="BH196" s="832"/>
      <c r="BI196" s="832"/>
      <c r="BJ196" s="832"/>
      <c r="BK196" s="832"/>
      <c r="BL196" s="824">
        <f>$G$154</f>
        <v>35</v>
      </c>
      <c r="BM196" s="825">
        <f>$G$158</f>
        <v>1.016</v>
      </c>
      <c r="BN196" s="824"/>
      <c r="BO196" s="824"/>
      <c r="BP196" s="824"/>
      <c r="BQ196" s="824"/>
      <c r="BR196" s="824"/>
      <c r="BS196" s="824"/>
      <c r="BT196" s="824"/>
      <c r="BU196" s="824"/>
      <c r="BV196" s="824"/>
      <c r="BW196" s="824"/>
      <c r="BX196" s="824"/>
      <c r="BY196" s="824"/>
      <c r="BZ196" s="824"/>
      <c r="CA196" s="824"/>
      <c r="CB196" s="824"/>
      <c r="CC196" s="824"/>
      <c r="CD196" s="824"/>
      <c r="CE196" s="824"/>
      <c r="CF196" s="824"/>
      <c r="CG196" s="824"/>
      <c r="CH196" s="824"/>
      <c r="CI196" s="824"/>
      <c r="CJ196" s="824"/>
      <c r="CK196" s="824"/>
      <c r="CL196" s="824"/>
      <c r="CM196" s="824"/>
      <c r="CN196" s="824"/>
      <c r="CO196" s="824"/>
      <c r="CP196" s="824"/>
      <c r="CQ196" s="824"/>
      <c r="CR196" s="824"/>
      <c r="CS196" s="824"/>
      <c r="CT196" s="824"/>
      <c r="CU196" s="824"/>
      <c r="CV196" s="824"/>
      <c r="CW196" s="824"/>
      <c r="CX196" s="824"/>
      <c r="CY196" s="824"/>
      <c r="CZ196" s="824"/>
      <c r="DA196" s="824"/>
      <c r="DB196" s="824"/>
      <c r="DC196" s="824"/>
      <c r="DD196" s="824"/>
      <c r="DE196" s="824"/>
      <c r="DF196" s="824"/>
      <c r="DG196" s="824"/>
      <c r="DH196" s="824"/>
      <c r="DI196" s="824"/>
      <c r="DJ196" s="824"/>
      <c r="DK196" s="824"/>
      <c r="DL196" s="824"/>
    </row>
    <row r="197" spans="2:116" ht="15.75" customHeight="1" thickBot="1" x14ac:dyDescent="0.3">
      <c r="B197" s="1673"/>
      <c r="C197" s="3"/>
      <c r="D197" s="3"/>
      <c r="E197" s="3"/>
      <c r="F197" s="116" t="s">
        <v>252</v>
      </c>
      <c r="G197" s="116" t="s">
        <v>257</v>
      </c>
      <c r="H197" s="116" t="s">
        <v>251</v>
      </c>
      <c r="I197" s="116" t="s">
        <v>258</v>
      </c>
      <c r="J197" s="116" t="s">
        <v>273</v>
      </c>
      <c r="K197" s="116" t="s">
        <v>268</v>
      </c>
      <c r="L197" s="116" t="s">
        <v>197</v>
      </c>
      <c r="M197" s="116" t="s">
        <v>189</v>
      </c>
      <c r="N197" s="156" t="s">
        <v>210</v>
      </c>
      <c r="O197" s="1061" t="s">
        <v>62</v>
      </c>
      <c r="P197" s="1666" t="s">
        <v>241</v>
      </c>
      <c r="Q197" s="1667"/>
      <c r="R197" s="1667"/>
      <c r="S197" s="1667"/>
      <c r="T197" s="1668"/>
      <c r="U197" s="35" t="s">
        <v>242</v>
      </c>
      <c r="V197" s="38" t="s">
        <v>254</v>
      </c>
      <c r="W197" s="52" t="s">
        <v>277</v>
      </c>
      <c r="X197" s="53" t="s">
        <v>288</v>
      </c>
      <c r="Y197" s="54" t="s">
        <v>289</v>
      </c>
      <c r="Z197" s="124" t="s">
        <v>290</v>
      </c>
      <c r="AA197" s="167" t="s">
        <v>298</v>
      </c>
      <c r="AB197" s="72"/>
      <c r="AC197" s="78"/>
      <c r="AD197" s="78"/>
      <c r="AE197" s="72"/>
      <c r="AF197" s="72"/>
      <c r="AG197" s="72"/>
      <c r="AH197" s="72"/>
      <c r="AI197" s="72"/>
      <c r="AJ197" s="72"/>
      <c r="AK197" s="73"/>
      <c r="AL197" s="72"/>
      <c r="AM197" s="79"/>
      <c r="AN197" s="830"/>
      <c r="AO197" s="830"/>
      <c r="AP197" s="830"/>
      <c r="AQ197" s="830"/>
      <c r="AR197" s="830"/>
      <c r="AS197" s="830"/>
      <c r="AT197" s="830"/>
      <c r="AU197" s="830"/>
      <c r="AV197" s="830"/>
      <c r="AW197" s="830"/>
      <c r="AX197" s="848"/>
      <c r="AY197" s="848"/>
      <c r="AZ197" s="848"/>
      <c r="BA197" s="848"/>
      <c r="BB197" s="848"/>
      <c r="BC197" s="848"/>
      <c r="BD197" s="848"/>
      <c r="BE197" s="848"/>
      <c r="BF197" s="848"/>
      <c r="BG197" s="848"/>
      <c r="BH197" s="848"/>
      <c r="BI197" s="848"/>
      <c r="BJ197" s="848"/>
      <c r="BK197" s="848"/>
      <c r="BL197" s="824"/>
      <c r="BM197" s="824"/>
      <c r="BN197" s="824"/>
      <c r="BO197" s="824" t="s">
        <v>481</v>
      </c>
      <c r="BP197" s="824"/>
      <c r="BQ197" s="824"/>
      <c r="BR197" s="824"/>
      <c r="BS197" s="824"/>
      <c r="BT197" s="824"/>
      <c r="BU197" s="824"/>
      <c r="BV197" s="824"/>
      <c r="BW197" s="824"/>
      <c r="BX197" s="824"/>
      <c r="BY197" s="824"/>
      <c r="BZ197" s="824"/>
      <c r="CA197" s="824"/>
      <c r="CB197" s="824"/>
      <c r="CC197" s="824"/>
      <c r="CD197" s="824"/>
      <c r="CE197" s="824"/>
      <c r="CF197" s="824"/>
      <c r="CG197" s="824"/>
      <c r="CH197" s="824"/>
      <c r="CI197" s="824"/>
      <c r="CJ197" s="824"/>
      <c r="CK197" s="824"/>
      <c r="CL197" s="824"/>
      <c r="CM197" s="824"/>
      <c r="CN197" s="824"/>
      <c r="CO197" s="824"/>
      <c r="CP197" s="824"/>
      <c r="CQ197" s="824"/>
      <c r="CR197" s="824"/>
      <c r="CS197" s="824"/>
      <c r="CT197" s="824"/>
      <c r="CU197" s="824"/>
      <c r="CV197" s="824"/>
      <c r="CW197" s="824"/>
      <c r="CX197" s="824"/>
      <c r="CY197" s="824"/>
      <c r="CZ197" s="824"/>
      <c r="DA197" s="824"/>
      <c r="DB197" s="824"/>
      <c r="DC197" s="824"/>
      <c r="DD197" s="824"/>
      <c r="DE197" s="824"/>
      <c r="DF197" s="824"/>
      <c r="DG197" s="824"/>
      <c r="DH197" s="824"/>
      <c r="DI197" s="824"/>
      <c r="DJ197" s="824"/>
      <c r="DK197" s="824"/>
      <c r="DL197" s="824"/>
    </row>
    <row r="198" spans="2:116" ht="15" customHeight="1" thickBot="1" x14ac:dyDescent="0.3">
      <c r="B198" s="1673"/>
      <c r="C198" s="95" t="s">
        <v>266</v>
      </c>
      <c r="D198" s="10" t="s">
        <v>235</v>
      </c>
      <c r="E198" s="11"/>
      <c r="F198" s="11" t="s">
        <v>262</v>
      </c>
      <c r="G198" s="11" t="s">
        <v>261</v>
      </c>
      <c r="H198" s="11" t="s">
        <v>259</v>
      </c>
      <c r="I198" s="11" t="s">
        <v>260</v>
      </c>
      <c r="J198" s="11" t="s">
        <v>274</v>
      </c>
      <c r="K198" s="11" t="s">
        <v>271</v>
      </c>
      <c r="L198" s="11"/>
      <c r="M198" s="11" t="s">
        <v>211</v>
      </c>
      <c r="N198" s="157" t="s">
        <v>212</v>
      </c>
      <c r="O198" s="20" t="s">
        <v>291</v>
      </c>
      <c r="P198" s="24" t="s">
        <v>236</v>
      </c>
      <c r="Q198" s="25" t="s">
        <v>237</v>
      </c>
      <c r="R198" s="25" t="s">
        <v>238</v>
      </c>
      <c r="S198" s="25" t="s">
        <v>239</v>
      </c>
      <c r="T198" s="26" t="s">
        <v>240</v>
      </c>
      <c r="U198" s="36" t="s">
        <v>243</v>
      </c>
      <c r="V198" s="39" t="s">
        <v>253</v>
      </c>
      <c r="W198" s="55" t="s">
        <v>354</v>
      </c>
      <c r="X198" s="56" t="s">
        <v>353</v>
      </c>
      <c r="Y198" s="57"/>
      <c r="Z198" s="125"/>
      <c r="AA198" s="134"/>
      <c r="AB198" s="72"/>
      <c r="AC198" s="72"/>
      <c r="AD198" s="80"/>
      <c r="AE198" s="72"/>
      <c r="AF198" s="72"/>
      <c r="AG198" s="72"/>
      <c r="AH198" s="72"/>
      <c r="AI198" s="72"/>
      <c r="AJ198" s="72"/>
      <c r="AK198" s="73"/>
      <c r="AL198" s="72"/>
      <c r="AM198" s="81"/>
      <c r="AN198" s="833" t="s">
        <v>200</v>
      </c>
      <c r="AO198" s="847">
        <f>$G$154</f>
        <v>35</v>
      </c>
      <c r="AP198" s="833"/>
      <c r="AQ198" s="833"/>
      <c r="AR198" s="833"/>
      <c r="AS198" s="833"/>
      <c r="AT198" s="833"/>
      <c r="AU198" s="833"/>
      <c r="AV198" s="833"/>
      <c r="AW198" s="833"/>
      <c r="AX198" s="833"/>
      <c r="AY198" s="833"/>
      <c r="AZ198" s="833"/>
      <c r="BA198" s="833"/>
      <c r="BB198" s="833"/>
      <c r="BC198" s="833"/>
      <c r="BD198" s="833"/>
      <c r="BE198" s="833"/>
      <c r="BF198" s="833"/>
      <c r="BG198" s="833"/>
      <c r="BH198" s="833"/>
      <c r="BI198" s="833"/>
      <c r="BJ198" s="833"/>
      <c r="BK198" s="833"/>
      <c r="BL198" s="824" t="s">
        <v>577</v>
      </c>
      <c r="BM198" s="824" t="s">
        <v>210</v>
      </c>
      <c r="BN198" s="824" t="s">
        <v>578</v>
      </c>
      <c r="BO198" s="824">
        <v>1</v>
      </c>
      <c r="BP198" s="824">
        <v>2</v>
      </c>
      <c r="BQ198" s="824">
        <v>3</v>
      </c>
      <c r="BR198" s="824">
        <v>4</v>
      </c>
      <c r="BS198" s="824">
        <v>5</v>
      </c>
      <c r="BT198" s="824">
        <v>6</v>
      </c>
      <c r="BU198" s="824">
        <v>7</v>
      </c>
      <c r="BV198" s="824">
        <v>8</v>
      </c>
      <c r="BW198" s="824">
        <v>9</v>
      </c>
      <c r="BX198" s="824">
        <v>10</v>
      </c>
      <c r="BY198" s="824">
        <v>11</v>
      </c>
      <c r="BZ198" s="824">
        <v>12</v>
      </c>
      <c r="CA198" s="824">
        <v>13</v>
      </c>
      <c r="CB198" s="824">
        <v>14</v>
      </c>
      <c r="CC198" s="824">
        <v>15</v>
      </c>
      <c r="CD198" s="824">
        <v>16</v>
      </c>
      <c r="CE198" s="824">
        <v>17</v>
      </c>
      <c r="CF198" s="824">
        <v>18</v>
      </c>
      <c r="CG198" s="824">
        <v>19</v>
      </c>
      <c r="CH198" s="824">
        <v>20</v>
      </c>
      <c r="CI198" s="824">
        <v>21</v>
      </c>
      <c r="CJ198" s="824">
        <v>22</v>
      </c>
      <c r="CK198" s="824">
        <v>23</v>
      </c>
      <c r="CL198" s="824">
        <v>24</v>
      </c>
      <c r="CM198" s="824">
        <v>25</v>
      </c>
      <c r="CN198" s="824">
        <v>26</v>
      </c>
      <c r="CO198" s="824">
        <v>27</v>
      </c>
      <c r="CP198" s="824">
        <v>28</v>
      </c>
      <c r="CQ198" s="824">
        <v>29</v>
      </c>
      <c r="CR198" s="824">
        <v>30</v>
      </c>
      <c r="CS198" s="824">
        <v>31</v>
      </c>
      <c r="CT198" s="824">
        <v>32</v>
      </c>
      <c r="CU198" s="824">
        <v>33</v>
      </c>
      <c r="CV198" s="824">
        <v>34</v>
      </c>
      <c r="CW198" s="824">
        <v>35</v>
      </c>
      <c r="CX198" s="824">
        <v>36</v>
      </c>
      <c r="CY198" s="824">
        <v>37</v>
      </c>
      <c r="CZ198" s="824">
        <v>38</v>
      </c>
      <c r="DA198" s="824">
        <v>39</v>
      </c>
      <c r="DB198" s="824">
        <v>40</v>
      </c>
      <c r="DC198" s="824">
        <v>41</v>
      </c>
      <c r="DD198" s="824">
        <v>42</v>
      </c>
      <c r="DE198" s="824">
        <v>43</v>
      </c>
      <c r="DF198" s="824">
        <v>44</v>
      </c>
      <c r="DG198" s="824">
        <v>45</v>
      </c>
      <c r="DH198" s="824">
        <v>46</v>
      </c>
      <c r="DI198" s="824">
        <v>47</v>
      </c>
      <c r="DJ198" s="824">
        <v>48</v>
      </c>
      <c r="DK198" s="824">
        <v>49</v>
      </c>
      <c r="DL198" s="824">
        <v>50</v>
      </c>
    </row>
    <row r="199" spans="2:116" ht="15" customHeight="1" thickBot="1" x14ac:dyDescent="0.3">
      <c r="B199" s="1673"/>
      <c r="C199" s="1679" t="s">
        <v>267</v>
      </c>
      <c r="D199" s="14" t="s">
        <v>61</v>
      </c>
      <c r="E199" s="12"/>
      <c r="F199" s="12">
        <f>SUBTOTAL(109,'3.1 I&amp;W'!$U$27)</f>
        <v>0</v>
      </c>
      <c r="G199" s="12">
        <f>SUBTOTAL(109,'3.1 I&amp;W'!$V$27)</f>
        <v>0</v>
      </c>
      <c r="H199" s="12">
        <f>SUBTOTAL(109,'3.1 I&amp;W'!$AA$27)</f>
        <v>0</v>
      </c>
      <c r="I199" s="12">
        <f>SUBTOTAL(109,'3.1 I&amp;W'!$AB$27)</f>
        <v>0</v>
      </c>
      <c r="J199" s="12"/>
      <c r="K199" s="12"/>
      <c r="L199" s="12"/>
      <c r="M199" s="12">
        <f>SUBTOTAL(109,'3.1 I&amp;W'!$AI$27)</f>
        <v>0</v>
      </c>
      <c r="N199" s="156">
        <f>IF(OR(M199=0,M199="",M199=$G$154),0,ROUNDDOWN($G$154/M199,0)+IF(MOD($G$154,M199)=0,-1))</f>
        <v>0</v>
      </c>
      <c r="O199" s="12">
        <f>SUBTOTAL(109,'3.1 I&amp;W'!$S$27)</f>
        <v>432000</v>
      </c>
      <c r="P199" s="27">
        <f>IF(N199&gt;=1,O199*$G$158^(1*M199)/($G$157^(1*M199)),0)</f>
        <v>0</v>
      </c>
      <c r="Q199" s="28">
        <f t="shared" ref="Q199:Q233" si="118">IF(N199&gt;=2,O199*$G$158^(2*M199)/($G$157^(2*M199)),0)</f>
        <v>0</v>
      </c>
      <c r="R199" s="28">
        <f t="shared" ref="R199:R233" si="119">IF(N199&gt;=3,O199*$G$158^(3*M199)/($G$157^(3*M199)),0)</f>
        <v>0</v>
      </c>
      <c r="S199" s="28">
        <f t="shared" ref="S199:S233" si="120">IF(N199&gt;=4,O199*$G$158^(4*M199)/($G$157^(4*M199)),0)</f>
        <v>0</v>
      </c>
      <c r="T199" s="29">
        <f t="shared" ref="T199:T233" si="121">IF(N199&gt;=5,O199*$G$158^(5*M199)/($G$157^(5*M199)),0)</f>
        <v>0</v>
      </c>
      <c r="U199" s="37">
        <f>IF(M199=0,0,O199*$G$158^(N199*M199)*((N199+1)*M199-$G$154)/M199*(1/$G$157^$G$154))</f>
        <v>0</v>
      </c>
      <c r="V199" s="40">
        <f t="shared" ref="V199:V230" si="122">G199*$I$169</f>
        <v>0</v>
      </c>
      <c r="W199" s="41">
        <f t="shared" ref="W199:W230" si="123">(I199+J199)*$I$167</f>
        <v>0</v>
      </c>
      <c r="X199" s="42"/>
      <c r="Y199" s="45"/>
      <c r="Z199" s="124"/>
      <c r="AA199" s="135"/>
      <c r="AB199" s="72"/>
      <c r="AC199" s="72"/>
      <c r="AD199" s="72"/>
      <c r="AE199" s="72"/>
      <c r="AF199" s="72"/>
      <c r="AG199" s="72"/>
      <c r="AH199" s="72"/>
      <c r="AI199" s="72"/>
      <c r="AJ199" s="72"/>
      <c r="AK199" s="72"/>
      <c r="AL199" s="72"/>
      <c r="AM199" s="79"/>
      <c r="AN199" s="830"/>
      <c r="AO199" s="830"/>
      <c r="AP199" s="830"/>
      <c r="AQ199" s="830"/>
      <c r="AR199" s="830"/>
      <c r="AS199" s="830"/>
      <c r="AT199" s="830"/>
      <c r="AU199" s="830"/>
      <c r="AV199" s="830"/>
      <c r="AW199" s="830"/>
      <c r="AX199" s="830"/>
      <c r="AY199" s="830"/>
      <c r="AZ199" s="830"/>
      <c r="BA199" s="830"/>
      <c r="BB199" s="830"/>
      <c r="BC199" s="830"/>
      <c r="BD199" s="830"/>
      <c r="BE199" s="830"/>
      <c r="BF199" s="830"/>
      <c r="BG199" s="830"/>
      <c r="BH199" s="830"/>
      <c r="BI199" s="830"/>
      <c r="BJ199" s="830"/>
      <c r="BK199" s="830"/>
      <c r="BL199" s="824">
        <f t="shared" ref="BL199:BL230" si="124">M199</f>
        <v>0</v>
      </c>
      <c r="BM199" s="824">
        <f t="shared" ref="BM199:BM230" si="125">N199</f>
        <v>0</v>
      </c>
      <c r="BN199" s="824">
        <f t="shared" ref="BN199:BN230" si="126">O199</f>
        <v>432000</v>
      </c>
      <c r="BO199" s="824">
        <f>IF(OR(IF($BL199*1&lt;$BL$196,$BL199*1=BO$198,FALSE),IF($BL199*2&lt;$BL$196,$BL199*2=BO$198,FALSE),IF($BL199*3&lt;$BL$196,$BL199*3=BO$198,FALSE),IF($BL199*4&lt;$BL$196,$BL199*4=BO$198,FALSE),IF($BL199*5&lt;$BL$196,$BL199*5=BO$198,FALSE)),$BN199*$BM$196^BO$198,0)</f>
        <v>0</v>
      </c>
      <c r="BP199" s="824">
        <f t="shared" ref="BP199:DL205" si="127">IF(OR(IF($BL199*1&lt;$BL$196,$BL199*1=BP$198,FALSE),IF($BL199*2&lt;$BL$196,$BL199*2=BP$198,FALSE),IF($BL199*3&lt;$BL$196,$BL199*3=BP$198,FALSE),IF($BL199*4&lt;$BL$196,$BL199*4=BP$198,FALSE),IF($BL199*5&lt;$BL$196,$BL199*5=BP$198,FALSE)),$BN199*$BM$196^BP$198,0)</f>
        <v>0</v>
      </c>
      <c r="BQ199" s="824">
        <f t="shared" si="127"/>
        <v>0</v>
      </c>
      <c r="BR199" s="824">
        <f t="shared" si="127"/>
        <v>0</v>
      </c>
      <c r="BS199" s="824">
        <f t="shared" si="127"/>
        <v>0</v>
      </c>
      <c r="BT199" s="824">
        <f t="shared" si="127"/>
        <v>0</v>
      </c>
      <c r="BU199" s="824">
        <f t="shared" si="127"/>
        <v>0</v>
      </c>
      <c r="BV199" s="824">
        <f t="shared" si="127"/>
        <v>0</v>
      </c>
      <c r="BW199" s="824">
        <f t="shared" si="127"/>
        <v>0</v>
      </c>
      <c r="BX199" s="824">
        <f t="shared" si="127"/>
        <v>0</v>
      </c>
      <c r="BY199" s="824">
        <f t="shared" si="127"/>
        <v>0</v>
      </c>
      <c r="BZ199" s="824">
        <f t="shared" si="127"/>
        <v>0</v>
      </c>
      <c r="CA199" s="824">
        <f t="shared" si="127"/>
        <v>0</v>
      </c>
      <c r="CB199" s="824">
        <f t="shared" si="127"/>
        <v>0</v>
      </c>
      <c r="CC199" s="824">
        <f t="shared" si="127"/>
        <v>0</v>
      </c>
      <c r="CD199" s="824">
        <f t="shared" si="127"/>
        <v>0</v>
      </c>
      <c r="CE199" s="824">
        <f t="shared" si="127"/>
        <v>0</v>
      </c>
      <c r="CF199" s="824">
        <f t="shared" si="127"/>
        <v>0</v>
      </c>
      <c r="CG199" s="824">
        <f t="shared" si="127"/>
        <v>0</v>
      </c>
      <c r="CH199" s="824">
        <f t="shared" si="127"/>
        <v>0</v>
      </c>
      <c r="CI199" s="824">
        <f t="shared" si="127"/>
        <v>0</v>
      </c>
      <c r="CJ199" s="824">
        <f t="shared" si="127"/>
        <v>0</v>
      </c>
      <c r="CK199" s="824">
        <f t="shared" si="127"/>
        <v>0</v>
      </c>
      <c r="CL199" s="824">
        <f t="shared" si="127"/>
        <v>0</v>
      </c>
      <c r="CM199" s="824">
        <f t="shared" si="127"/>
        <v>0</v>
      </c>
      <c r="CN199" s="824">
        <f t="shared" si="127"/>
        <v>0</v>
      </c>
      <c r="CO199" s="824">
        <f t="shared" si="127"/>
        <v>0</v>
      </c>
      <c r="CP199" s="824">
        <f t="shared" si="127"/>
        <v>0</v>
      </c>
      <c r="CQ199" s="824">
        <f t="shared" si="127"/>
        <v>0</v>
      </c>
      <c r="CR199" s="824">
        <f t="shared" si="127"/>
        <v>0</v>
      </c>
      <c r="CS199" s="824">
        <f t="shared" si="127"/>
        <v>0</v>
      </c>
      <c r="CT199" s="824">
        <f t="shared" si="127"/>
        <v>0</v>
      </c>
      <c r="CU199" s="824">
        <f t="shared" si="127"/>
        <v>0</v>
      </c>
      <c r="CV199" s="824">
        <f t="shared" si="127"/>
        <v>0</v>
      </c>
      <c r="CW199" s="824">
        <f t="shared" si="127"/>
        <v>0</v>
      </c>
      <c r="CX199" s="824">
        <f t="shared" si="127"/>
        <v>0</v>
      </c>
      <c r="CY199" s="824">
        <f t="shared" si="127"/>
        <v>0</v>
      </c>
      <c r="CZ199" s="824">
        <f t="shared" si="127"/>
        <v>0</v>
      </c>
      <c r="DA199" s="824">
        <f t="shared" si="127"/>
        <v>0</v>
      </c>
      <c r="DB199" s="824">
        <f t="shared" si="127"/>
        <v>0</v>
      </c>
      <c r="DC199" s="824">
        <f t="shared" si="127"/>
        <v>0</v>
      </c>
      <c r="DD199" s="824">
        <f t="shared" si="127"/>
        <v>0</v>
      </c>
      <c r="DE199" s="824">
        <f t="shared" si="127"/>
        <v>0</v>
      </c>
      <c r="DF199" s="824">
        <f t="shared" si="127"/>
        <v>0</v>
      </c>
      <c r="DG199" s="824">
        <f t="shared" si="127"/>
        <v>0</v>
      </c>
      <c r="DH199" s="824">
        <f t="shared" si="127"/>
        <v>0</v>
      </c>
      <c r="DI199" s="824">
        <f t="shared" si="127"/>
        <v>0</v>
      </c>
      <c r="DJ199" s="824">
        <f t="shared" si="127"/>
        <v>0</v>
      </c>
      <c r="DK199" s="824">
        <f t="shared" si="127"/>
        <v>0</v>
      </c>
      <c r="DL199" s="824">
        <f t="shared" si="127"/>
        <v>0</v>
      </c>
    </row>
    <row r="200" spans="2:116" ht="15" customHeight="1" thickBot="1" x14ac:dyDescent="0.3">
      <c r="B200" s="1673"/>
      <c r="C200" s="1680"/>
      <c r="D200" s="15" t="s">
        <v>50</v>
      </c>
      <c r="E200" s="116"/>
      <c r="F200" s="116">
        <f>SUBTOTAL(109,'3.1 I&amp;W'!$U$34)</f>
        <v>0</v>
      </c>
      <c r="G200" s="116">
        <f>SUBTOTAL(109,'3.1 I&amp;W'!$V$34)</f>
        <v>0</v>
      </c>
      <c r="H200" s="116">
        <f>SUBTOTAL(109,'3.1 I&amp;W'!$AA$34)</f>
        <v>0</v>
      </c>
      <c r="I200" s="116">
        <f>SUBTOTAL(109,'3.1 I&amp;W'!$AB$34)</f>
        <v>0</v>
      </c>
      <c r="J200" s="116"/>
      <c r="K200" s="116"/>
      <c r="L200" s="116"/>
      <c r="M200" s="116">
        <f>SUBTOTAL(109,'3.1 I&amp;W'!$AI$34)</f>
        <v>100</v>
      </c>
      <c r="N200" s="156">
        <f t="shared" ref="N200:N262" si="128">IF(OR(M200=0,M200="",M200=$G$154),0,ROUNDDOWN($G$154/M200,0)+IF(MOD($G$154,M200)=0,-1))</f>
        <v>0</v>
      </c>
      <c r="O200" s="116">
        <f>SUBTOTAL(109,'3.1 I&amp;W'!$S$34)</f>
        <v>89427.599999999991</v>
      </c>
      <c r="P200" s="30">
        <f>IF(N200&gt;=1,O200*$G$158^(1*M200)/($G$157^(1*M200)),0)</f>
        <v>0</v>
      </c>
      <c r="Q200" s="31">
        <f t="shared" si="118"/>
        <v>0</v>
      </c>
      <c r="R200" s="31">
        <f t="shared" si="119"/>
        <v>0</v>
      </c>
      <c r="S200" s="31">
        <f t="shared" si="120"/>
        <v>0</v>
      </c>
      <c r="T200" s="32">
        <f t="shared" si="121"/>
        <v>0</v>
      </c>
      <c r="U200" s="37">
        <f t="shared" ref="U200:U270" si="129">IF(M200=0,0,O200*$G$158^(N200*M200)*((N200+1)*M200-$G$154)/M200*(1/$G$157^$G$154))</f>
        <v>29065.575107692428</v>
      </c>
      <c r="V200" s="40">
        <f t="shared" si="122"/>
        <v>0</v>
      </c>
      <c r="W200" s="41">
        <f t="shared" si="123"/>
        <v>0</v>
      </c>
      <c r="X200" s="43"/>
      <c r="Y200" s="46"/>
      <c r="Z200" s="126"/>
      <c r="AA200" s="136"/>
      <c r="AB200" s="72"/>
      <c r="AC200" s="72"/>
      <c r="AD200" s="72"/>
      <c r="AE200" s="72"/>
      <c r="AF200" s="72"/>
      <c r="AG200" s="72"/>
      <c r="AH200" s="72"/>
      <c r="AI200" s="72"/>
      <c r="AJ200" s="72"/>
      <c r="AK200" s="72"/>
      <c r="AL200" s="72"/>
      <c r="AM200" s="82"/>
      <c r="AN200" s="834"/>
      <c r="AO200" s="834"/>
      <c r="AP200" s="834"/>
      <c r="AQ200" s="834"/>
      <c r="AR200" s="834"/>
      <c r="AS200" s="834"/>
      <c r="AT200" s="834"/>
      <c r="AU200" s="834"/>
      <c r="AV200" s="834"/>
      <c r="AW200" s="834"/>
      <c r="AX200" s="854"/>
      <c r="AY200" s="851" t="s">
        <v>582</v>
      </c>
      <c r="AZ200" s="840"/>
      <c r="BA200" s="840"/>
      <c r="BB200" s="840"/>
      <c r="BC200" s="840"/>
      <c r="BD200" s="840"/>
      <c r="BE200" s="840"/>
      <c r="BF200" s="840"/>
      <c r="BG200" s="840"/>
      <c r="BH200" s="855" t="s">
        <v>276</v>
      </c>
      <c r="BI200" s="855"/>
      <c r="BJ200" s="855"/>
      <c r="BK200" s="856"/>
      <c r="BL200" s="824">
        <f t="shared" si="124"/>
        <v>100</v>
      </c>
      <c r="BM200" s="824">
        <f t="shared" si="125"/>
        <v>0</v>
      </c>
      <c r="BN200" s="824">
        <f t="shared" si="126"/>
        <v>89427.599999999991</v>
      </c>
      <c r="BO200" s="824">
        <f t="shared" ref="BO200:CD217" si="130">IF(OR(IF($BL200*1&lt;$BL$196,$BL200*1=BO$198,FALSE),IF($BL200*2&lt;$BL$196,$BL200*2=BO$198,FALSE),IF($BL200*3&lt;$BL$196,$BL200*3=BO$198,FALSE),IF($BL200*4&lt;$BL$196,$BL200*4=BO$198,FALSE),IF($BL200*5&lt;$BL$196,$BL200*5=BO$198,FALSE)),$BN200*$BM$196^BO$198,0)</f>
        <v>0</v>
      </c>
      <c r="BP200" s="824">
        <f t="shared" si="127"/>
        <v>0</v>
      </c>
      <c r="BQ200" s="824">
        <f t="shared" si="127"/>
        <v>0</v>
      </c>
      <c r="BR200" s="824">
        <f t="shared" si="127"/>
        <v>0</v>
      </c>
      <c r="BS200" s="824">
        <f t="shared" si="127"/>
        <v>0</v>
      </c>
      <c r="BT200" s="824">
        <f t="shared" si="127"/>
        <v>0</v>
      </c>
      <c r="BU200" s="824">
        <f t="shared" si="127"/>
        <v>0</v>
      </c>
      <c r="BV200" s="824">
        <f t="shared" si="127"/>
        <v>0</v>
      </c>
      <c r="BW200" s="824">
        <f t="shared" si="127"/>
        <v>0</v>
      </c>
      <c r="BX200" s="824">
        <f t="shared" si="127"/>
        <v>0</v>
      </c>
      <c r="BY200" s="824">
        <f t="shared" si="127"/>
        <v>0</v>
      </c>
      <c r="BZ200" s="824">
        <f t="shared" si="127"/>
        <v>0</v>
      </c>
      <c r="CA200" s="824">
        <f t="shared" si="127"/>
        <v>0</v>
      </c>
      <c r="CB200" s="824">
        <f t="shared" si="127"/>
        <v>0</v>
      </c>
      <c r="CC200" s="824">
        <f t="shared" si="127"/>
        <v>0</v>
      </c>
      <c r="CD200" s="824">
        <f t="shared" si="127"/>
        <v>0</v>
      </c>
      <c r="CE200" s="824">
        <f t="shared" si="127"/>
        <v>0</v>
      </c>
      <c r="CF200" s="824">
        <f t="shared" si="127"/>
        <v>0</v>
      </c>
      <c r="CG200" s="824">
        <f t="shared" si="127"/>
        <v>0</v>
      </c>
      <c r="CH200" s="824">
        <f t="shared" si="127"/>
        <v>0</v>
      </c>
      <c r="CI200" s="824">
        <f t="shared" si="127"/>
        <v>0</v>
      </c>
      <c r="CJ200" s="824">
        <f t="shared" si="127"/>
        <v>0</v>
      </c>
      <c r="CK200" s="824">
        <f t="shared" si="127"/>
        <v>0</v>
      </c>
      <c r="CL200" s="824">
        <f t="shared" si="127"/>
        <v>0</v>
      </c>
      <c r="CM200" s="824">
        <f t="shared" si="127"/>
        <v>0</v>
      </c>
      <c r="CN200" s="824">
        <f t="shared" si="127"/>
        <v>0</v>
      </c>
      <c r="CO200" s="824">
        <f t="shared" si="127"/>
        <v>0</v>
      </c>
      <c r="CP200" s="824">
        <f t="shared" si="127"/>
        <v>0</v>
      </c>
      <c r="CQ200" s="824">
        <f t="shared" si="127"/>
        <v>0</v>
      </c>
      <c r="CR200" s="824">
        <f t="shared" si="127"/>
        <v>0</v>
      </c>
      <c r="CS200" s="824">
        <f t="shared" si="127"/>
        <v>0</v>
      </c>
      <c r="CT200" s="824">
        <f t="shared" si="127"/>
        <v>0</v>
      </c>
      <c r="CU200" s="824">
        <f t="shared" si="127"/>
        <v>0</v>
      </c>
      <c r="CV200" s="824">
        <f t="shared" si="127"/>
        <v>0</v>
      </c>
      <c r="CW200" s="824">
        <f t="shared" si="127"/>
        <v>0</v>
      </c>
      <c r="CX200" s="824">
        <f t="shared" si="127"/>
        <v>0</v>
      </c>
      <c r="CY200" s="824">
        <f t="shared" si="127"/>
        <v>0</v>
      </c>
      <c r="CZ200" s="824">
        <f t="shared" si="127"/>
        <v>0</v>
      </c>
      <c r="DA200" s="824">
        <f t="shared" si="127"/>
        <v>0</v>
      </c>
      <c r="DB200" s="824">
        <f t="shared" si="127"/>
        <v>0</v>
      </c>
      <c r="DC200" s="824">
        <f t="shared" si="127"/>
        <v>0</v>
      </c>
      <c r="DD200" s="824">
        <f t="shared" si="127"/>
        <v>0</v>
      </c>
      <c r="DE200" s="824">
        <f t="shared" si="127"/>
        <v>0</v>
      </c>
      <c r="DF200" s="824">
        <f t="shared" si="127"/>
        <v>0</v>
      </c>
      <c r="DG200" s="824">
        <f t="shared" si="127"/>
        <v>0</v>
      </c>
      <c r="DH200" s="824">
        <f t="shared" si="127"/>
        <v>0</v>
      </c>
      <c r="DI200" s="824">
        <f t="shared" si="127"/>
        <v>0</v>
      </c>
      <c r="DJ200" s="824">
        <f t="shared" si="127"/>
        <v>0</v>
      </c>
      <c r="DK200" s="824">
        <f t="shared" si="127"/>
        <v>0</v>
      </c>
      <c r="DL200" s="824">
        <f t="shared" si="127"/>
        <v>0</v>
      </c>
    </row>
    <row r="201" spans="2:116" ht="15" customHeight="1" thickBot="1" x14ac:dyDescent="0.3">
      <c r="B201" s="1673"/>
      <c r="C201" s="1680"/>
      <c r="D201" s="15" t="s">
        <v>125</v>
      </c>
      <c r="E201" s="116"/>
      <c r="F201" s="116">
        <f>SUBTOTAL(109,'3.1 I&amp;W'!$X$43)</f>
        <v>0</v>
      </c>
      <c r="G201" s="116">
        <f>SUBTOTAL(109,'3.1 I&amp;W'!$Y$43)</f>
        <v>0</v>
      </c>
      <c r="H201" s="116">
        <f>SUBTOTAL(109,'3.1 I&amp;W'!$AD$43)</f>
        <v>5.9945403570901585E-4</v>
      </c>
      <c r="I201" s="116">
        <f>SUBTOTAL(109,'3.1 I&amp;W'!$AE$43)</f>
        <v>42.9</v>
      </c>
      <c r="J201" s="116"/>
      <c r="K201" s="116"/>
      <c r="L201" s="116"/>
      <c r="M201" s="116">
        <f>SUBTOTAL(109,'3.1 I&amp;W'!$AI$43)</f>
        <v>30</v>
      </c>
      <c r="N201" s="156">
        <f t="shared" si="128"/>
        <v>1</v>
      </c>
      <c r="O201" s="116">
        <f>SUBTOTAL(109,'3.1 I&amp;W'!$S$43)</f>
        <v>71565.119999999995</v>
      </c>
      <c r="P201" s="30">
        <f t="shared" ref="P201:P233" si="131">IF(N201&gt;=1,O201*$G$158^(1*M201)/($G$157^(1*M201)),0)</f>
        <v>63607.377384804036</v>
      </c>
      <c r="Q201" s="31">
        <f t="shared" si="118"/>
        <v>0</v>
      </c>
      <c r="R201" s="31">
        <f t="shared" si="119"/>
        <v>0</v>
      </c>
      <c r="S201" s="31">
        <f t="shared" si="120"/>
        <v>0</v>
      </c>
      <c r="T201" s="32">
        <f t="shared" si="121"/>
        <v>0</v>
      </c>
      <c r="U201" s="37">
        <f t="shared" si="129"/>
        <v>48009.301191579703</v>
      </c>
      <c r="V201" s="40">
        <f t="shared" si="122"/>
        <v>0</v>
      </c>
      <c r="W201" s="41">
        <f>(I201+J201)*$I$167</f>
        <v>1378.0252955882922</v>
      </c>
      <c r="X201" s="43"/>
      <c r="Y201" s="46"/>
      <c r="Z201" s="126"/>
      <c r="AA201" s="136"/>
      <c r="AB201" s="72"/>
      <c r="AC201" s="1660" t="s">
        <v>191</v>
      </c>
      <c r="AD201" s="1661"/>
      <c r="AE201" s="1661"/>
      <c r="AF201" s="1662"/>
      <c r="AG201" s="1660" t="s">
        <v>112</v>
      </c>
      <c r="AH201" s="1661"/>
      <c r="AI201" s="1661"/>
      <c r="AJ201" s="1662"/>
      <c r="AK201" s="175" t="s">
        <v>249</v>
      </c>
      <c r="AL201" s="175" t="s">
        <v>474</v>
      </c>
      <c r="AM201" s="175" t="s">
        <v>270</v>
      </c>
      <c r="AN201" s="835"/>
      <c r="AO201" s="835"/>
      <c r="AP201" s="835"/>
      <c r="AQ201" s="853"/>
      <c r="AR201" s="839">
        <f>$G$169</f>
        <v>1.016</v>
      </c>
      <c r="AS201" s="839">
        <f>$G$167</f>
        <v>1.016</v>
      </c>
      <c r="AT201" s="835"/>
      <c r="AU201" s="853"/>
      <c r="AV201" s="853"/>
      <c r="AW201" s="835"/>
      <c r="AX201" s="839">
        <f>G158</f>
        <v>1.016</v>
      </c>
      <c r="AY201" s="842"/>
      <c r="AZ201" s="842">
        <f>$G$159</f>
        <v>1</v>
      </c>
      <c r="BA201" s="842">
        <f>$G$160</f>
        <v>1</v>
      </c>
      <c r="BB201" s="842">
        <f>$G$161</f>
        <v>1</v>
      </c>
      <c r="BC201" s="842">
        <f>$G$162</f>
        <v>1</v>
      </c>
      <c r="BD201" s="842">
        <f>$G$163</f>
        <v>1</v>
      </c>
      <c r="BE201" s="842">
        <f>$G$164</f>
        <v>1</v>
      </c>
      <c r="BF201" s="842">
        <f>$G$165</f>
        <v>1.0249999999999999</v>
      </c>
      <c r="BG201" s="842">
        <f>$G$166</f>
        <v>1.0349999999999999</v>
      </c>
      <c r="BH201" s="857"/>
      <c r="BI201" s="857">
        <f>$G$167</f>
        <v>1.016</v>
      </c>
      <c r="BJ201" s="857">
        <f>$G$167</f>
        <v>1.016</v>
      </c>
      <c r="BK201" s="856"/>
      <c r="BL201" s="824">
        <f t="shared" si="124"/>
        <v>30</v>
      </c>
      <c r="BM201" s="824">
        <f t="shared" si="125"/>
        <v>1</v>
      </c>
      <c r="BN201" s="824">
        <f t="shared" si="126"/>
        <v>71565.119999999995</v>
      </c>
      <c r="BO201" s="824">
        <f t="shared" si="130"/>
        <v>0</v>
      </c>
      <c r="BP201" s="824">
        <f t="shared" si="127"/>
        <v>0</v>
      </c>
      <c r="BQ201" s="824">
        <f t="shared" si="127"/>
        <v>0</v>
      </c>
      <c r="BR201" s="824">
        <f t="shared" si="127"/>
        <v>0</v>
      </c>
      <c r="BS201" s="824">
        <f t="shared" si="127"/>
        <v>0</v>
      </c>
      <c r="BT201" s="824">
        <f t="shared" si="127"/>
        <v>0</v>
      </c>
      <c r="BU201" s="824">
        <f t="shared" si="127"/>
        <v>0</v>
      </c>
      <c r="BV201" s="824">
        <f t="shared" si="127"/>
        <v>0</v>
      </c>
      <c r="BW201" s="824">
        <f t="shared" si="127"/>
        <v>0</v>
      </c>
      <c r="BX201" s="824">
        <f t="shared" si="127"/>
        <v>0</v>
      </c>
      <c r="BY201" s="824">
        <f t="shared" si="127"/>
        <v>0</v>
      </c>
      <c r="BZ201" s="824">
        <f t="shared" si="127"/>
        <v>0</v>
      </c>
      <c r="CA201" s="824">
        <f t="shared" si="127"/>
        <v>0</v>
      </c>
      <c r="CB201" s="824">
        <f t="shared" si="127"/>
        <v>0</v>
      </c>
      <c r="CC201" s="824">
        <f t="shared" si="127"/>
        <v>0</v>
      </c>
      <c r="CD201" s="824">
        <f t="shared" si="127"/>
        <v>0</v>
      </c>
      <c r="CE201" s="824">
        <f t="shared" si="127"/>
        <v>0</v>
      </c>
      <c r="CF201" s="824">
        <f t="shared" si="127"/>
        <v>0</v>
      </c>
      <c r="CG201" s="824">
        <f t="shared" si="127"/>
        <v>0</v>
      </c>
      <c r="CH201" s="824">
        <f t="shared" si="127"/>
        <v>0</v>
      </c>
      <c r="CI201" s="824">
        <f t="shared" si="127"/>
        <v>0</v>
      </c>
      <c r="CJ201" s="824">
        <f t="shared" si="127"/>
        <v>0</v>
      </c>
      <c r="CK201" s="824">
        <f t="shared" si="127"/>
        <v>0</v>
      </c>
      <c r="CL201" s="824">
        <f t="shared" si="127"/>
        <v>0</v>
      </c>
      <c r="CM201" s="824">
        <f t="shared" si="127"/>
        <v>0</v>
      </c>
      <c r="CN201" s="824">
        <f t="shared" si="127"/>
        <v>0</v>
      </c>
      <c r="CO201" s="824">
        <f t="shared" si="127"/>
        <v>0</v>
      </c>
      <c r="CP201" s="824">
        <f t="shared" si="127"/>
        <v>0</v>
      </c>
      <c r="CQ201" s="824">
        <f t="shared" si="127"/>
        <v>0</v>
      </c>
      <c r="CR201" s="824">
        <f t="shared" si="127"/>
        <v>115215.95986039846</v>
      </c>
      <c r="CS201" s="824">
        <f t="shared" si="127"/>
        <v>0</v>
      </c>
      <c r="CT201" s="824">
        <f t="shared" si="127"/>
        <v>0</v>
      </c>
      <c r="CU201" s="824">
        <f t="shared" si="127"/>
        <v>0</v>
      </c>
      <c r="CV201" s="824">
        <f t="shared" si="127"/>
        <v>0</v>
      </c>
      <c r="CW201" s="824">
        <f t="shared" si="127"/>
        <v>0</v>
      </c>
      <c r="CX201" s="824">
        <f t="shared" si="127"/>
        <v>0</v>
      </c>
      <c r="CY201" s="824">
        <f t="shared" si="127"/>
        <v>0</v>
      </c>
      <c r="CZ201" s="824">
        <f t="shared" si="127"/>
        <v>0</v>
      </c>
      <c r="DA201" s="824">
        <f t="shared" si="127"/>
        <v>0</v>
      </c>
      <c r="DB201" s="824">
        <f t="shared" si="127"/>
        <v>0</v>
      </c>
      <c r="DC201" s="824">
        <f t="shared" si="127"/>
        <v>0</v>
      </c>
      <c r="DD201" s="824">
        <f t="shared" si="127"/>
        <v>0</v>
      </c>
      <c r="DE201" s="824">
        <f t="shared" si="127"/>
        <v>0</v>
      </c>
      <c r="DF201" s="824">
        <f t="shared" si="127"/>
        <v>0</v>
      </c>
      <c r="DG201" s="824">
        <f t="shared" si="127"/>
        <v>0</v>
      </c>
      <c r="DH201" s="824">
        <f t="shared" si="127"/>
        <v>0</v>
      </c>
      <c r="DI201" s="824">
        <f t="shared" si="127"/>
        <v>0</v>
      </c>
      <c r="DJ201" s="824">
        <f t="shared" si="127"/>
        <v>0</v>
      </c>
      <c r="DK201" s="824">
        <f t="shared" si="127"/>
        <v>0</v>
      </c>
      <c r="DL201" s="824">
        <f t="shared" si="127"/>
        <v>0</v>
      </c>
    </row>
    <row r="202" spans="2:116" ht="15" customHeight="1" thickBot="1" x14ac:dyDescent="0.3">
      <c r="B202" s="1673"/>
      <c r="C202" s="1680"/>
      <c r="D202" s="15" t="s">
        <v>125</v>
      </c>
      <c r="E202" s="165"/>
      <c r="F202" s="116">
        <f>SUBTOTAL(109,'3.1 I&amp;W'!$X$44)</f>
        <v>0</v>
      </c>
      <c r="G202" s="116">
        <f>SUBTOTAL(109,'3.1 I&amp;W'!$Y$44)</f>
        <v>0</v>
      </c>
      <c r="H202" s="116">
        <f>SUBTOTAL(109,'3.1 I&amp;W'!$AD$44)</f>
        <v>0</v>
      </c>
      <c r="I202" s="116">
        <f>SUBTOTAL(109,'3.1 I&amp;W'!$AE$44)</f>
        <v>0</v>
      </c>
      <c r="J202" s="116"/>
      <c r="K202" s="116"/>
      <c r="L202" s="116"/>
      <c r="M202" s="116">
        <f>SUBTOTAL(109,'3.1 I&amp;W'!$AI$44)</f>
        <v>0</v>
      </c>
      <c r="N202" s="156">
        <f t="shared" si="128"/>
        <v>0</v>
      </c>
      <c r="O202" s="116">
        <f>SUBTOTAL(109,'3.1 I&amp;W'!$S$44)</f>
        <v>0</v>
      </c>
      <c r="P202" s="30">
        <f t="shared" si="131"/>
        <v>0</v>
      </c>
      <c r="Q202" s="31">
        <f t="shared" si="118"/>
        <v>0</v>
      </c>
      <c r="R202" s="31">
        <f t="shared" si="119"/>
        <v>0</v>
      </c>
      <c r="S202" s="31">
        <f t="shared" si="120"/>
        <v>0</v>
      </c>
      <c r="T202" s="32">
        <f t="shared" si="121"/>
        <v>0</v>
      </c>
      <c r="U202" s="37">
        <f t="shared" si="129"/>
        <v>0</v>
      </c>
      <c r="V202" s="40">
        <f t="shared" si="122"/>
        <v>0</v>
      </c>
      <c r="W202" s="41">
        <f t="shared" si="123"/>
        <v>0</v>
      </c>
      <c r="X202" s="43"/>
      <c r="Y202" s="46"/>
      <c r="Z202" s="126"/>
      <c r="AA202" s="136"/>
      <c r="AB202" s="131" t="s">
        <v>248</v>
      </c>
      <c r="AC202" s="83" t="s">
        <v>245</v>
      </c>
      <c r="AD202" s="131" t="s">
        <v>246</v>
      </c>
      <c r="AE202" s="131" t="s">
        <v>205</v>
      </c>
      <c r="AF202" s="176" t="s">
        <v>247</v>
      </c>
      <c r="AG202" s="83" t="s">
        <v>245</v>
      </c>
      <c r="AH202" s="131" t="s">
        <v>246</v>
      </c>
      <c r="AI202" s="131" t="s">
        <v>205</v>
      </c>
      <c r="AJ202" s="176" t="s">
        <v>247</v>
      </c>
      <c r="AK202" s="311"/>
      <c r="AL202" s="72"/>
      <c r="AM202" s="79"/>
      <c r="AN202" s="843" t="s">
        <v>248</v>
      </c>
      <c r="AO202" s="836" t="s">
        <v>192</v>
      </c>
      <c r="AP202" s="836" t="s">
        <v>280</v>
      </c>
      <c r="AQ202" s="836" t="s">
        <v>284</v>
      </c>
      <c r="AR202" s="836" t="s">
        <v>332</v>
      </c>
      <c r="AS202" s="836" t="s">
        <v>281</v>
      </c>
      <c r="AT202" s="836" t="s">
        <v>282</v>
      </c>
      <c r="AU202" s="837" t="s">
        <v>544</v>
      </c>
      <c r="AV202" s="837" t="s">
        <v>542</v>
      </c>
      <c r="AW202" s="836" t="s">
        <v>396</v>
      </c>
      <c r="AX202" s="836" t="s">
        <v>414</v>
      </c>
      <c r="AY202" s="842" t="s">
        <v>481</v>
      </c>
      <c r="AZ202" s="852" t="str">
        <f>$AF$307</f>
        <v>Heizöl</v>
      </c>
      <c r="BA202" s="852" t="str">
        <f>$AG$307</f>
        <v>Erdgas</v>
      </c>
      <c r="BB202" s="852" t="str">
        <f>$AH$307</f>
        <v>Kohle</v>
      </c>
      <c r="BC202" s="852" t="str">
        <f>$AI$307</f>
        <v>Fernwärme ne.</v>
      </c>
      <c r="BD202" s="852" t="str">
        <f>$AJ$307</f>
        <v>Fernwärme e.</v>
      </c>
      <c r="BE202" s="852" t="str">
        <f>$AK$307</f>
        <v>Biomasse</v>
      </c>
      <c r="BF202" s="852" t="str">
        <f>$AL$307</f>
        <v>Strom</v>
      </c>
      <c r="BG202" s="852" t="str">
        <f>$AM$307</f>
        <v>Wärmepumpenstrom</v>
      </c>
      <c r="BH202" s="857" t="s">
        <v>481</v>
      </c>
      <c r="BI202" s="857" t="s">
        <v>63</v>
      </c>
      <c r="BJ202" s="857" t="s">
        <v>583</v>
      </c>
      <c r="BK202" s="856" t="s">
        <v>584</v>
      </c>
      <c r="BL202" s="824">
        <f t="shared" si="124"/>
        <v>0</v>
      </c>
      <c r="BM202" s="824">
        <f t="shared" si="125"/>
        <v>0</v>
      </c>
      <c r="BN202" s="824">
        <f t="shared" si="126"/>
        <v>0</v>
      </c>
      <c r="BO202" s="824">
        <f t="shared" si="130"/>
        <v>0</v>
      </c>
      <c r="BP202" s="824">
        <f t="shared" si="130"/>
        <v>0</v>
      </c>
      <c r="BQ202" s="824">
        <f t="shared" si="130"/>
        <v>0</v>
      </c>
      <c r="BR202" s="824">
        <f t="shared" si="130"/>
        <v>0</v>
      </c>
      <c r="BS202" s="824">
        <f t="shared" si="130"/>
        <v>0</v>
      </c>
      <c r="BT202" s="824">
        <f t="shared" si="130"/>
        <v>0</v>
      </c>
      <c r="BU202" s="824">
        <f t="shared" si="130"/>
        <v>0</v>
      </c>
      <c r="BV202" s="824">
        <f t="shared" si="130"/>
        <v>0</v>
      </c>
      <c r="BW202" s="824">
        <f t="shared" si="130"/>
        <v>0</v>
      </c>
      <c r="BX202" s="824">
        <f t="shared" si="130"/>
        <v>0</v>
      </c>
      <c r="BY202" s="824">
        <f t="shared" si="130"/>
        <v>0</v>
      </c>
      <c r="BZ202" s="824">
        <f t="shared" si="130"/>
        <v>0</v>
      </c>
      <c r="CA202" s="824">
        <f t="shared" si="130"/>
        <v>0</v>
      </c>
      <c r="CB202" s="824">
        <f t="shared" si="130"/>
        <v>0</v>
      </c>
      <c r="CC202" s="824">
        <f t="shared" si="130"/>
        <v>0</v>
      </c>
      <c r="CD202" s="824">
        <f t="shared" si="130"/>
        <v>0</v>
      </c>
      <c r="CE202" s="824">
        <f t="shared" si="127"/>
        <v>0</v>
      </c>
      <c r="CF202" s="824">
        <f t="shared" si="127"/>
        <v>0</v>
      </c>
      <c r="CG202" s="824">
        <f t="shared" si="127"/>
        <v>0</v>
      </c>
      <c r="CH202" s="824">
        <f t="shared" si="127"/>
        <v>0</v>
      </c>
      <c r="CI202" s="824">
        <f t="shared" si="127"/>
        <v>0</v>
      </c>
      <c r="CJ202" s="824">
        <f t="shared" si="127"/>
        <v>0</v>
      </c>
      <c r="CK202" s="824">
        <f t="shared" si="127"/>
        <v>0</v>
      </c>
      <c r="CL202" s="824">
        <f t="shared" si="127"/>
        <v>0</v>
      </c>
      <c r="CM202" s="824">
        <f t="shared" si="127"/>
        <v>0</v>
      </c>
      <c r="CN202" s="824">
        <f t="shared" si="127"/>
        <v>0</v>
      </c>
      <c r="CO202" s="824">
        <f t="shared" si="127"/>
        <v>0</v>
      </c>
      <c r="CP202" s="824">
        <f t="shared" si="127"/>
        <v>0</v>
      </c>
      <c r="CQ202" s="824">
        <f t="shared" si="127"/>
        <v>0</v>
      </c>
      <c r="CR202" s="824">
        <f t="shared" si="127"/>
        <v>0</v>
      </c>
      <c r="CS202" s="824">
        <f t="shared" si="127"/>
        <v>0</v>
      </c>
      <c r="CT202" s="824">
        <f t="shared" si="127"/>
        <v>0</v>
      </c>
      <c r="CU202" s="824">
        <f t="shared" si="127"/>
        <v>0</v>
      </c>
      <c r="CV202" s="824">
        <f t="shared" si="127"/>
        <v>0</v>
      </c>
      <c r="CW202" s="824">
        <f t="shared" si="127"/>
        <v>0</v>
      </c>
      <c r="CX202" s="824">
        <f t="shared" si="127"/>
        <v>0</v>
      </c>
      <c r="CY202" s="824">
        <f t="shared" si="127"/>
        <v>0</v>
      </c>
      <c r="CZ202" s="824">
        <f t="shared" si="127"/>
        <v>0</v>
      </c>
      <c r="DA202" s="824">
        <f t="shared" si="127"/>
        <v>0</v>
      </c>
      <c r="DB202" s="824">
        <f t="shared" si="127"/>
        <v>0</v>
      </c>
      <c r="DC202" s="824">
        <f t="shared" si="127"/>
        <v>0</v>
      </c>
      <c r="DD202" s="824">
        <f t="shared" si="127"/>
        <v>0</v>
      </c>
      <c r="DE202" s="824">
        <f t="shared" si="127"/>
        <v>0</v>
      </c>
      <c r="DF202" s="824">
        <f t="shared" si="127"/>
        <v>0</v>
      </c>
      <c r="DG202" s="824">
        <f t="shared" si="127"/>
        <v>0</v>
      </c>
      <c r="DH202" s="824">
        <f t="shared" si="127"/>
        <v>0</v>
      </c>
      <c r="DI202" s="824">
        <f t="shared" si="127"/>
        <v>0</v>
      </c>
      <c r="DJ202" s="824">
        <f t="shared" si="127"/>
        <v>0</v>
      </c>
      <c r="DK202" s="824">
        <f t="shared" si="127"/>
        <v>0</v>
      </c>
      <c r="DL202" s="824">
        <f t="shared" si="127"/>
        <v>0</v>
      </c>
    </row>
    <row r="203" spans="2:116" ht="15" customHeight="1" thickBot="1" x14ac:dyDescent="0.3">
      <c r="B203" s="1673"/>
      <c r="C203" s="1680"/>
      <c r="D203" s="15" t="s">
        <v>125</v>
      </c>
      <c r="E203" s="116"/>
      <c r="F203" s="116">
        <f>SUBTOTAL(109,'3.1 I&amp;W'!$X$45)</f>
        <v>0</v>
      </c>
      <c r="G203" s="116">
        <f>SUBTOTAL(109,'3.1 I&amp;W'!$Y$45)</f>
        <v>0</v>
      </c>
      <c r="H203" s="116">
        <f>SUBTOTAL(109,'3.1 I&amp;W'!$AD$45)</f>
        <v>0</v>
      </c>
      <c r="I203" s="116">
        <f>SUBTOTAL(109,'3.1 I&amp;W'!$AE$45)</f>
        <v>0</v>
      </c>
      <c r="J203" s="116"/>
      <c r="K203" s="116"/>
      <c r="L203" s="116"/>
      <c r="M203" s="116">
        <f>SUBTOTAL(109,'3.1 I&amp;W'!$AI$45)</f>
        <v>50</v>
      </c>
      <c r="N203" s="156">
        <f t="shared" si="128"/>
        <v>0</v>
      </c>
      <c r="O203" s="116">
        <f>SUBTOTAL(109,'3.1 I&amp;W'!$S$45)</f>
        <v>73800</v>
      </c>
      <c r="P203" s="30">
        <f t="shared" si="131"/>
        <v>0</v>
      </c>
      <c r="Q203" s="31">
        <f t="shared" si="118"/>
        <v>0</v>
      </c>
      <c r="R203" s="31">
        <f t="shared" si="119"/>
        <v>0</v>
      </c>
      <c r="S203" s="31">
        <f t="shared" si="120"/>
        <v>0</v>
      </c>
      <c r="T203" s="32">
        <f t="shared" si="121"/>
        <v>0</v>
      </c>
      <c r="U203" s="37">
        <f t="shared" si="129"/>
        <v>11070.611359774843</v>
      </c>
      <c r="V203" s="40">
        <f t="shared" si="122"/>
        <v>0</v>
      </c>
      <c r="W203" s="41">
        <f t="shared" si="123"/>
        <v>0</v>
      </c>
      <c r="X203" s="43"/>
      <c r="Y203" s="46"/>
      <c r="Z203" s="126"/>
      <c r="AA203" s="136"/>
      <c r="AB203" s="131">
        <v>0</v>
      </c>
      <c r="AC203" s="168"/>
      <c r="AD203" s="169"/>
      <c r="AE203" s="169"/>
      <c r="AF203" s="170">
        <f>'3.1 Fi&amp;Fo'!$F$25</f>
        <v>2884517.7520000003</v>
      </c>
      <c r="AG203" s="168"/>
      <c r="AH203" s="169"/>
      <c r="AI203" s="169"/>
      <c r="AJ203" s="170">
        <f>'3.1 Fi&amp;Fo'!$G$19</f>
        <v>0</v>
      </c>
      <c r="AK203" s="312">
        <f>AF203+AJ203</f>
        <v>2884517.7520000003</v>
      </c>
      <c r="AL203" s="310">
        <f>'3.1 Fi&amp;Fo'!$G$14</f>
        <v>10250</v>
      </c>
      <c r="AM203" s="177">
        <f>'3.1 Fi&amp;Fo'!$G$17</f>
        <v>1114633.632</v>
      </c>
      <c r="AN203" s="838">
        <v>0</v>
      </c>
      <c r="AO203" s="844">
        <v>0</v>
      </c>
      <c r="AP203" s="844">
        <f>BN308</f>
        <v>0</v>
      </c>
      <c r="AQ203" s="844">
        <f>IF(AN203=$AO$198,$C$16*$G$157^AN203,0)</f>
        <v>0</v>
      </c>
      <c r="AR203" s="844">
        <v>0</v>
      </c>
      <c r="AS203" s="844">
        <v>0</v>
      </c>
      <c r="AT203" s="844">
        <v>0</v>
      </c>
      <c r="AU203" s="844">
        <v>0</v>
      </c>
      <c r="AV203" s="844">
        <v>0</v>
      </c>
      <c r="AW203" s="844">
        <f>IF(ISNA(VLOOKUP(B174,$N$6:$O$10,2,FALSE)),0,VLOOKUP(B174,$N$6:$O$10,2,FALSE))</f>
        <v>0</v>
      </c>
      <c r="AX203" s="844">
        <v>0</v>
      </c>
      <c r="AY203" s="841">
        <f>AN203</f>
        <v>0</v>
      </c>
      <c r="AZ203" s="842">
        <v>0</v>
      </c>
      <c r="BA203" s="842">
        <v>0</v>
      </c>
      <c r="BB203" s="842">
        <v>0</v>
      </c>
      <c r="BC203" s="842">
        <v>0</v>
      </c>
      <c r="BD203" s="842">
        <v>0</v>
      </c>
      <c r="BE203" s="842">
        <v>0</v>
      </c>
      <c r="BF203" s="842">
        <v>0</v>
      </c>
      <c r="BG203" s="842">
        <v>0</v>
      </c>
      <c r="BH203" s="858">
        <f>AN203</f>
        <v>0</v>
      </c>
      <c r="BI203" s="858">
        <v>0</v>
      </c>
      <c r="BJ203" s="858">
        <v>0</v>
      </c>
      <c r="BK203" s="859">
        <v>0</v>
      </c>
      <c r="BL203" s="824">
        <f t="shared" si="124"/>
        <v>50</v>
      </c>
      <c r="BM203" s="824">
        <f t="shared" si="125"/>
        <v>0</v>
      </c>
      <c r="BN203" s="824">
        <f t="shared" si="126"/>
        <v>73800</v>
      </c>
      <c r="BO203" s="824">
        <f t="shared" si="130"/>
        <v>0</v>
      </c>
      <c r="BP203" s="824">
        <f t="shared" si="130"/>
        <v>0</v>
      </c>
      <c r="BQ203" s="824">
        <f t="shared" si="130"/>
        <v>0</v>
      </c>
      <c r="BR203" s="824">
        <f t="shared" si="130"/>
        <v>0</v>
      </c>
      <c r="BS203" s="824">
        <f t="shared" si="130"/>
        <v>0</v>
      </c>
      <c r="BT203" s="824">
        <f t="shared" si="130"/>
        <v>0</v>
      </c>
      <c r="BU203" s="824">
        <f t="shared" si="130"/>
        <v>0</v>
      </c>
      <c r="BV203" s="824">
        <f t="shared" si="130"/>
        <v>0</v>
      </c>
      <c r="BW203" s="824">
        <f t="shared" si="130"/>
        <v>0</v>
      </c>
      <c r="BX203" s="824">
        <f t="shared" si="130"/>
        <v>0</v>
      </c>
      <c r="BY203" s="824">
        <f t="shared" si="130"/>
        <v>0</v>
      </c>
      <c r="BZ203" s="824">
        <f t="shared" si="130"/>
        <v>0</v>
      </c>
      <c r="CA203" s="824">
        <f t="shared" si="130"/>
        <v>0</v>
      </c>
      <c r="CB203" s="824">
        <f t="shared" si="130"/>
        <v>0</v>
      </c>
      <c r="CC203" s="824">
        <f t="shared" si="130"/>
        <v>0</v>
      </c>
      <c r="CD203" s="824">
        <f t="shared" si="130"/>
        <v>0</v>
      </c>
      <c r="CE203" s="824">
        <f t="shared" si="127"/>
        <v>0</v>
      </c>
      <c r="CF203" s="824">
        <f t="shared" si="127"/>
        <v>0</v>
      </c>
      <c r="CG203" s="824">
        <f t="shared" si="127"/>
        <v>0</v>
      </c>
      <c r="CH203" s="824">
        <f t="shared" si="127"/>
        <v>0</v>
      </c>
      <c r="CI203" s="824">
        <f t="shared" si="127"/>
        <v>0</v>
      </c>
      <c r="CJ203" s="824">
        <f t="shared" si="127"/>
        <v>0</v>
      </c>
      <c r="CK203" s="824">
        <f t="shared" si="127"/>
        <v>0</v>
      </c>
      <c r="CL203" s="824">
        <f t="shared" si="127"/>
        <v>0</v>
      </c>
      <c r="CM203" s="824">
        <f t="shared" si="127"/>
        <v>0</v>
      </c>
      <c r="CN203" s="824">
        <f t="shared" si="127"/>
        <v>0</v>
      </c>
      <c r="CO203" s="824">
        <f t="shared" si="127"/>
        <v>0</v>
      </c>
      <c r="CP203" s="824">
        <f t="shared" si="127"/>
        <v>0</v>
      </c>
      <c r="CQ203" s="824">
        <f t="shared" si="127"/>
        <v>0</v>
      </c>
      <c r="CR203" s="824">
        <f t="shared" si="127"/>
        <v>0</v>
      </c>
      <c r="CS203" s="824">
        <f t="shared" si="127"/>
        <v>0</v>
      </c>
      <c r="CT203" s="824">
        <f t="shared" si="127"/>
        <v>0</v>
      </c>
      <c r="CU203" s="824">
        <f t="shared" si="127"/>
        <v>0</v>
      </c>
      <c r="CV203" s="824">
        <f t="shared" si="127"/>
        <v>0</v>
      </c>
      <c r="CW203" s="824">
        <f t="shared" si="127"/>
        <v>0</v>
      </c>
      <c r="CX203" s="824">
        <f t="shared" si="127"/>
        <v>0</v>
      </c>
      <c r="CY203" s="824">
        <f t="shared" si="127"/>
        <v>0</v>
      </c>
      <c r="CZ203" s="824">
        <f t="shared" si="127"/>
        <v>0</v>
      </c>
      <c r="DA203" s="824">
        <f t="shared" si="127"/>
        <v>0</v>
      </c>
      <c r="DB203" s="824">
        <f t="shared" si="127"/>
        <v>0</v>
      </c>
      <c r="DC203" s="824">
        <f t="shared" si="127"/>
        <v>0</v>
      </c>
      <c r="DD203" s="824">
        <f t="shared" si="127"/>
        <v>0</v>
      </c>
      <c r="DE203" s="824">
        <f t="shared" si="127"/>
        <v>0</v>
      </c>
      <c r="DF203" s="824">
        <f t="shared" si="127"/>
        <v>0</v>
      </c>
      <c r="DG203" s="824">
        <f t="shared" si="127"/>
        <v>0</v>
      </c>
      <c r="DH203" s="824">
        <f t="shared" si="127"/>
        <v>0</v>
      </c>
      <c r="DI203" s="824">
        <f t="shared" si="127"/>
        <v>0</v>
      </c>
      <c r="DJ203" s="824">
        <f t="shared" si="127"/>
        <v>0</v>
      </c>
      <c r="DK203" s="824">
        <f t="shared" si="127"/>
        <v>0</v>
      </c>
      <c r="DL203" s="824">
        <f t="shared" si="127"/>
        <v>0</v>
      </c>
    </row>
    <row r="204" spans="2:116" ht="15" customHeight="1" thickBot="1" x14ac:dyDescent="0.3">
      <c r="B204" s="1673"/>
      <c r="C204" s="1680"/>
      <c r="D204" s="15" t="s">
        <v>125</v>
      </c>
      <c r="E204" s="165"/>
      <c r="F204" s="116">
        <f>SUBTOTAL(109,'3.1 I&amp;W'!$X$46)</f>
        <v>0</v>
      </c>
      <c r="G204" s="116">
        <f>SUBTOTAL(109,'3.1 I&amp;W'!$Y$46)</f>
        <v>0</v>
      </c>
      <c r="H204" s="116">
        <f>SUBTOTAL(109,'3.1 I&amp;W'!$AD$46)</f>
        <v>0</v>
      </c>
      <c r="I204" s="116">
        <f>SUBTOTAL(109,'3.1 I&amp;W'!$AE$46)</f>
        <v>0</v>
      </c>
      <c r="J204" s="116"/>
      <c r="K204" s="116"/>
      <c r="L204" s="116"/>
      <c r="M204" s="116">
        <f>SUBTOTAL(109,'3.1 I&amp;W'!$AI$46)</f>
        <v>0</v>
      </c>
      <c r="N204" s="156">
        <f t="shared" si="128"/>
        <v>0</v>
      </c>
      <c r="O204" s="116">
        <f>SUBTOTAL(109,'3.1 I&amp;W'!$S$46)</f>
        <v>0</v>
      </c>
      <c r="P204" s="30">
        <f t="shared" si="131"/>
        <v>0</v>
      </c>
      <c r="Q204" s="31">
        <f t="shared" si="118"/>
        <v>0</v>
      </c>
      <c r="R204" s="31">
        <f t="shared" si="119"/>
        <v>0</v>
      </c>
      <c r="S204" s="31">
        <f t="shared" si="120"/>
        <v>0</v>
      </c>
      <c r="T204" s="32">
        <f t="shared" si="121"/>
        <v>0</v>
      </c>
      <c r="U204" s="37">
        <f t="shared" si="129"/>
        <v>0</v>
      </c>
      <c r="V204" s="40">
        <f t="shared" si="122"/>
        <v>0</v>
      </c>
      <c r="W204" s="41">
        <f t="shared" si="123"/>
        <v>0</v>
      </c>
      <c r="X204" s="43"/>
      <c r="Y204" s="46"/>
      <c r="Z204" s="126"/>
      <c r="AA204" s="136"/>
      <c r="AB204" s="131">
        <v>1</v>
      </c>
      <c r="AC204" s="168">
        <f>IF(AF203&lt;=1,0,'3.1 Fi&amp;Fo'!$I$25)</f>
        <v>115387.08252993631</v>
      </c>
      <c r="AD204" s="169">
        <f>IF(AF203&lt;=1,0,AF203*'3.1 Fi&amp;Fo'!$H$25)</f>
        <v>57690.355040000009</v>
      </c>
      <c r="AE204" s="169">
        <f t="shared" ref="AE204:AE217" si="132">AC204-AD204</f>
        <v>57696.727489936296</v>
      </c>
      <c r="AF204" s="170">
        <f t="shared" ref="AF204:AF217" si="133">AF203-AE204</f>
        <v>2826821.0245100642</v>
      </c>
      <c r="AG204" s="168">
        <f>IF(AJ203&lt;=1,0,IF(AB204&lt;='3.1 Fi&amp;Fo'!$F$34,'3.1 Fi&amp;Fo'!$J$34,IF(AB204&lt;='3.1 Fi&amp;Fo'!$F$35,'3.1 Fi&amp;Fo'!$J$35,IF(AB204&lt;='3.1 Fi&amp;Fo'!$F$36,'3.1 Fi&amp;Fo'!$J$36,IF(AB204&lt;='3.1 Fi&amp;Fo'!$F$37,'3.1 Fi&amp;Fo'!$J$37,IF(AB204&lt;='3.1 Fi&amp;Fo'!$F$38,'3.1 Fi&amp;Fo'!$J$38,IF(AB204&lt;='3.1 Fi&amp;Fo'!$F$39,'3.1 Fi&amp;Fo'!$J$39,IF(AB204&lt;='3.1 Fi&amp;Fo'!$F$40,'3.1 Fi&amp;Fo'!$J$40))))))))</f>
        <v>0</v>
      </c>
      <c r="AH204" s="169">
        <f>IF(AJ203&lt;=1,0,AJ203*IF(AB204&lt;='3.1 Fi&amp;Fo'!$F$34,'3.1 Fi&amp;Fo'!$I$34,IF(AB204&lt;='3.1 Fi&amp;Fo'!$F$35,'3.1 Fi&amp;Fo'!$I$35,IF(AB204&lt;='3.1 Fi&amp;Fo'!$F$36,'3.1 Fi&amp;Fo'!$I$36,IF(AB204&lt;='3.1 Fi&amp;Fo'!$F$37,'3.1 Fi&amp;Fo'!$I$37,IF(AB204&lt;='3.1 Fi&amp;Fo'!$F$40,'3.1 Fi&amp;Fo'!$I$40))))))</f>
        <v>0</v>
      </c>
      <c r="AI204" s="169">
        <f>AG204-AH204</f>
        <v>0</v>
      </c>
      <c r="AJ204" s="170">
        <f>AJ203-AI204</f>
        <v>0</v>
      </c>
      <c r="AK204" s="312">
        <f>-AC204-AG204+AL204-AM204</f>
        <v>-137679.75516993631</v>
      </c>
      <c r="AL204" s="169">
        <f>IF(AB204&lt;='3.1 Fi&amp;Fo'!$J$15,'3.1 Fi&amp;Fo'!$I$15,0)</f>
        <v>0</v>
      </c>
      <c r="AM204" s="169">
        <f>IF(AB204&lt;=$G$154,($AM$203*(1+$D$152)^AB204-$AM$203*(1+$D$152)^AB203),0)</f>
        <v>22292.672640000004</v>
      </c>
      <c r="AN204" s="838">
        <f>IF($AO$198&gt;1,1,"")</f>
        <v>1</v>
      </c>
      <c r="AO204" s="844">
        <f t="shared" ref="AO204:AO253" si="134">AK204*-1</f>
        <v>137679.75516993631</v>
      </c>
      <c r="AP204" s="839">
        <f>BO308</f>
        <v>0</v>
      </c>
      <c r="AQ204" s="844">
        <f t="shared" ref="AQ204:AQ253" si="135">IF(AN204=$AO$198,$C$16*$G$157^AN204,0)</f>
        <v>0</v>
      </c>
      <c r="AR204" s="839">
        <f>G338</f>
        <v>0</v>
      </c>
      <c r="AS204" s="839">
        <f ca="1">SUM(BI204:BK204)</f>
        <v>6362.2999999999993</v>
      </c>
      <c r="AT204" s="839">
        <f>SUM(AZ204:BG204)</f>
        <v>13224.18885744</v>
      </c>
      <c r="AU204" s="839">
        <f ca="1">'PV-Einspeisung'!AA20*-1</f>
        <v>0</v>
      </c>
      <c r="AV204" s="839">
        <f>'PV-Einspeisung'!AE20*-1</f>
        <v>0</v>
      </c>
      <c r="AW204" s="839"/>
      <c r="AX204" s="839">
        <f>IF(-$Q$108*$G$152&lt;=0,-$Q$108*$G$152,0)*-1</f>
        <v>0</v>
      </c>
      <c r="AY204" s="841">
        <f t="shared" ref="AY204:AY253" si="136">AN204</f>
        <v>1</v>
      </c>
      <c r="AZ204" s="842">
        <f>AF308</f>
        <v>0</v>
      </c>
      <c r="BA204" s="842">
        <f t="shared" ref="BA204:BG204" si="137">AG308</f>
        <v>0</v>
      </c>
      <c r="BB204" s="842">
        <f t="shared" si="137"/>
        <v>0</v>
      </c>
      <c r="BC204" s="842">
        <f t="shared" si="137"/>
        <v>0</v>
      </c>
      <c r="BD204" s="842">
        <f t="shared" si="137"/>
        <v>0</v>
      </c>
      <c r="BE204" s="842">
        <f t="shared" si="137"/>
        <v>0</v>
      </c>
      <c r="BF204" s="842">
        <f t="shared" si="137"/>
        <v>6110.0965094399999</v>
      </c>
      <c r="BG204" s="842">
        <f t="shared" si="137"/>
        <v>7114.0923480000001</v>
      </c>
      <c r="BH204" s="858">
        <f t="shared" ref="BH204:BH253" si="138">AN204</f>
        <v>1</v>
      </c>
      <c r="BI204" s="858">
        <f ca="1">J338</f>
        <v>2996.3999999999996</v>
      </c>
      <c r="BJ204" s="858">
        <f>I338</f>
        <v>3365.9</v>
      </c>
      <c r="BK204" s="859">
        <f ca="1">'PV-Einspeisung'!AB20*-1</f>
        <v>0</v>
      </c>
      <c r="BL204" s="824">
        <f t="shared" si="124"/>
        <v>0</v>
      </c>
      <c r="BM204" s="824">
        <f t="shared" si="125"/>
        <v>0</v>
      </c>
      <c r="BN204" s="824">
        <f t="shared" si="126"/>
        <v>0</v>
      </c>
      <c r="BO204" s="824">
        <f t="shared" si="130"/>
        <v>0</v>
      </c>
      <c r="BP204" s="824">
        <f t="shared" si="130"/>
        <v>0</v>
      </c>
      <c r="BQ204" s="824">
        <f t="shared" si="130"/>
        <v>0</v>
      </c>
      <c r="BR204" s="824">
        <f t="shared" si="130"/>
        <v>0</v>
      </c>
      <c r="BS204" s="824">
        <f t="shared" si="130"/>
        <v>0</v>
      </c>
      <c r="BT204" s="824">
        <f t="shared" si="130"/>
        <v>0</v>
      </c>
      <c r="BU204" s="824">
        <f t="shared" si="130"/>
        <v>0</v>
      </c>
      <c r="BV204" s="824">
        <f t="shared" si="130"/>
        <v>0</v>
      </c>
      <c r="BW204" s="824">
        <f t="shared" si="130"/>
        <v>0</v>
      </c>
      <c r="BX204" s="824">
        <f t="shared" si="130"/>
        <v>0</v>
      </c>
      <c r="BY204" s="824">
        <f t="shared" si="130"/>
        <v>0</v>
      </c>
      <c r="BZ204" s="824">
        <f t="shared" si="130"/>
        <v>0</v>
      </c>
      <c r="CA204" s="824">
        <f t="shared" si="130"/>
        <v>0</v>
      </c>
      <c r="CB204" s="824">
        <f t="shared" si="130"/>
        <v>0</v>
      </c>
      <c r="CC204" s="824">
        <f t="shared" si="130"/>
        <v>0</v>
      </c>
      <c r="CD204" s="824">
        <f t="shared" si="130"/>
        <v>0</v>
      </c>
      <c r="CE204" s="824">
        <f t="shared" si="127"/>
        <v>0</v>
      </c>
      <c r="CF204" s="824">
        <f t="shared" si="127"/>
        <v>0</v>
      </c>
      <c r="CG204" s="824">
        <f t="shared" si="127"/>
        <v>0</v>
      </c>
      <c r="CH204" s="824">
        <f t="shared" si="127"/>
        <v>0</v>
      </c>
      <c r="CI204" s="824">
        <f t="shared" si="127"/>
        <v>0</v>
      </c>
      <c r="CJ204" s="824">
        <f t="shared" si="127"/>
        <v>0</v>
      </c>
      <c r="CK204" s="824">
        <f t="shared" si="127"/>
        <v>0</v>
      </c>
      <c r="CL204" s="824">
        <f t="shared" si="127"/>
        <v>0</v>
      </c>
      <c r="CM204" s="824">
        <f t="shared" si="127"/>
        <v>0</v>
      </c>
      <c r="CN204" s="824">
        <f t="shared" si="127"/>
        <v>0</v>
      </c>
      <c r="CO204" s="824">
        <f t="shared" si="127"/>
        <v>0</v>
      </c>
      <c r="CP204" s="824">
        <f t="shared" si="127"/>
        <v>0</v>
      </c>
      <c r="CQ204" s="824">
        <f t="shared" si="127"/>
        <v>0</v>
      </c>
      <c r="CR204" s="824">
        <f t="shared" si="127"/>
        <v>0</v>
      </c>
      <c r="CS204" s="824">
        <f t="shared" si="127"/>
        <v>0</v>
      </c>
      <c r="CT204" s="824">
        <f t="shared" si="127"/>
        <v>0</v>
      </c>
      <c r="CU204" s="824">
        <f t="shared" si="127"/>
        <v>0</v>
      </c>
      <c r="CV204" s="824">
        <f t="shared" si="127"/>
        <v>0</v>
      </c>
      <c r="CW204" s="824">
        <f t="shared" si="127"/>
        <v>0</v>
      </c>
      <c r="CX204" s="824">
        <f t="shared" si="127"/>
        <v>0</v>
      </c>
      <c r="CY204" s="824">
        <f t="shared" si="127"/>
        <v>0</v>
      </c>
      <c r="CZ204" s="824">
        <f t="shared" si="127"/>
        <v>0</v>
      </c>
      <c r="DA204" s="824">
        <f t="shared" si="127"/>
        <v>0</v>
      </c>
      <c r="DB204" s="824">
        <f t="shared" si="127"/>
        <v>0</v>
      </c>
      <c r="DC204" s="824">
        <f t="shared" si="127"/>
        <v>0</v>
      </c>
      <c r="DD204" s="824">
        <f t="shared" si="127"/>
        <v>0</v>
      </c>
      <c r="DE204" s="824">
        <f t="shared" si="127"/>
        <v>0</v>
      </c>
      <c r="DF204" s="824">
        <f t="shared" si="127"/>
        <v>0</v>
      </c>
      <c r="DG204" s="824">
        <f t="shared" si="127"/>
        <v>0</v>
      </c>
      <c r="DH204" s="824">
        <f t="shared" si="127"/>
        <v>0</v>
      </c>
      <c r="DI204" s="824">
        <f t="shared" si="127"/>
        <v>0</v>
      </c>
      <c r="DJ204" s="824">
        <f t="shared" si="127"/>
        <v>0</v>
      </c>
      <c r="DK204" s="824">
        <f t="shared" si="127"/>
        <v>0</v>
      </c>
      <c r="DL204" s="824">
        <f t="shared" si="127"/>
        <v>0</v>
      </c>
    </row>
    <row r="205" spans="2:116" ht="15" customHeight="1" thickBot="1" x14ac:dyDescent="0.3">
      <c r="B205" s="1673"/>
      <c r="C205" s="1680"/>
      <c r="D205" s="15" t="s">
        <v>126</v>
      </c>
      <c r="E205" s="116"/>
      <c r="F205" s="116">
        <f>SUBTOTAL(109,'3.1 I&amp;W'!$X$49)</f>
        <v>0</v>
      </c>
      <c r="G205" s="116">
        <f>SUBTOTAL(109,'3.1 I&amp;W'!$Y$49)</f>
        <v>0</v>
      </c>
      <c r="H205" s="116">
        <f>SUBTOTAL(109,'3.1 I&amp;W'!$AD$49)</f>
        <v>0</v>
      </c>
      <c r="I205" s="116">
        <f>SUBTOTAL(109,'3.1 I&amp;W'!$AE$49)</f>
        <v>0</v>
      </c>
      <c r="J205" s="116"/>
      <c r="K205" s="116"/>
      <c r="L205" s="116"/>
      <c r="M205" s="116">
        <f>SUBTOTAL(109,'3.1 I&amp;W'!$AI$49)</f>
        <v>0</v>
      </c>
      <c r="N205" s="156">
        <f t="shared" si="128"/>
        <v>0</v>
      </c>
      <c r="O205" s="116">
        <f>SUBTOTAL(109,'3.1 I&amp;W'!$S$49)</f>
        <v>0</v>
      </c>
      <c r="P205" s="30">
        <f t="shared" si="131"/>
        <v>0</v>
      </c>
      <c r="Q205" s="31">
        <f t="shared" si="118"/>
        <v>0</v>
      </c>
      <c r="R205" s="31">
        <f t="shared" si="119"/>
        <v>0</v>
      </c>
      <c r="S205" s="31">
        <f t="shared" si="120"/>
        <v>0</v>
      </c>
      <c r="T205" s="32">
        <f t="shared" si="121"/>
        <v>0</v>
      </c>
      <c r="U205" s="37">
        <f t="shared" si="129"/>
        <v>0</v>
      </c>
      <c r="V205" s="40">
        <f t="shared" si="122"/>
        <v>0</v>
      </c>
      <c r="W205" s="41">
        <f t="shared" si="123"/>
        <v>0</v>
      </c>
      <c r="X205" s="43"/>
      <c r="Y205" s="46"/>
      <c r="Z205" s="126"/>
      <c r="AA205" s="136"/>
      <c r="AB205" s="131">
        <v>2</v>
      </c>
      <c r="AC205" s="168">
        <f>IF(AF204&lt;=1,0,'3.1 Fi&amp;Fo'!$I$25)</f>
        <v>115387.08252993631</v>
      </c>
      <c r="AD205" s="169">
        <f>IF(AF204&lt;=1,0,AF204*'3.1 Fi&amp;Fo'!$H$25)</f>
        <v>56536.420490201286</v>
      </c>
      <c r="AE205" s="169">
        <f t="shared" si="132"/>
        <v>58850.66203973502</v>
      </c>
      <c r="AF205" s="170">
        <f t="shared" si="133"/>
        <v>2767970.3624703293</v>
      </c>
      <c r="AG205" s="168">
        <f>IF(AJ204&lt;=1,0,IF(AB205&lt;='3.1 Fi&amp;Fo'!$F$34,'3.1 Fi&amp;Fo'!$J$34,IF(AB205&lt;='3.1 Fi&amp;Fo'!$F$35,'3.1 Fi&amp;Fo'!$J$35,IF(AB205&lt;='3.1 Fi&amp;Fo'!$F$36,'3.1 Fi&amp;Fo'!$J$36,IF(AB205&lt;='3.1 Fi&amp;Fo'!$F$37,'3.1 Fi&amp;Fo'!$J$37,IF(AB205&lt;='3.1 Fi&amp;Fo'!$F$38,'3.1 Fi&amp;Fo'!$J$38,IF(AB205&lt;='3.1 Fi&amp;Fo'!$F$39,'3.1 Fi&amp;Fo'!$J$39,IF(AB205&lt;='3.1 Fi&amp;Fo'!$F$40,'3.1 Fi&amp;Fo'!$J$40))))))))</f>
        <v>0</v>
      </c>
      <c r="AH205" s="169">
        <f>IF(AJ204&lt;=1,0,AJ204*IF(AB205&lt;='3.1 Fi&amp;Fo'!$F$34,'3.1 Fi&amp;Fo'!$I$34,IF(AB205&lt;='3.1 Fi&amp;Fo'!$F$35,'3.1 Fi&amp;Fo'!$I$35,IF(AB205&lt;='3.1 Fi&amp;Fo'!$F$36,'3.1 Fi&amp;Fo'!$I$36,IF(AB205&lt;='3.1 Fi&amp;Fo'!$F$37,'3.1 Fi&amp;Fo'!$I$37,IF(AB205&lt;='3.1 Fi&amp;Fo'!$F$40,'3.1 Fi&amp;Fo'!$I$40))))))</f>
        <v>0</v>
      </c>
      <c r="AI205" s="169">
        <f t="shared" ref="AI205:AI235" si="139">AG205-AH205</f>
        <v>0</v>
      </c>
      <c r="AJ205" s="170">
        <f>AJ204-AI205</f>
        <v>0</v>
      </c>
      <c r="AK205" s="312">
        <f t="shared" ref="AK205:AK235" si="140">-AC205-AG205+AL205-AM205</f>
        <v>-138125.60862273638</v>
      </c>
      <c r="AL205" s="169">
        <f>IF(AB205&lt;='3.1 Fi&amp;Fo'!$J$15,'3.1 Fi&amp;Fo'!$I$15,0)</f>
        <v>0</v>
      </c>
      <c r="AM205" s="169">
        <f t="shared" ref="AM205:AM235" si="141">IF(AB205&lt;=$G$154,($AM$203*(1+$D$152)^AB205-$AM$203*(1+$D$152)^AB204),0)</f>
        <v>22738.526092800079</v>
      </c>
      <c r="AN205" s="838">
        <f>IF($AO$198&gt;AN204,AN204+1,"")</f>
        <v>2</v>
      </c>
      <c r="AO205" s="844">
        <f t="shared" si="134"/>
        <v>138125.60862273638</v>
      </c>
      <c r="AP205" s="839">
        <f>BP308</f>
        <v>0</v>
      </c>
      <c r="AQ205" s="844">
        <f t="shared" si="135"/>
        <v>0</v>
      </c>
      <c r="AR205" s="839">
        <f>IF(AN205="","",AR204*$AR$201)</f>
        <v>0</v>
      </c>
      <c r="AS205" s="839">
        <f t="shared" ref="AS205:AS253" ca="1" si="142">SUM(BI205:BK205)</f>
        <v>6464.0967999999993</v>
      </c>
      <c r="AT205" s="839">
        <f>SUM(AZ205:BG205)</f>
        <v>13625.934502355998</v>
      </c>
      <c r="AU205" s="839">
        <f ca="1">'PV-Einspeisung'!AA21*-1</f>
        <v>0</v>
      </c>
      <c r="AV205" s="839">
        <f>'PV-Einspeisung'!AE21*-1</f>
        <v>0</v>
      </c>
      <c r="AW205" s="839"/>
      <c r="AX205" s="839">
        <f>IF(AN205="","",AX204*$AX$201)</f>
        <v>0</v>
      </c>
      <c r="AY205" s="841">
        <f t="shared" si="136"/>
        <v>2</v>
      </c>
      <c r="AZ205" s="842">
        <f>IF($AN205="","",AZ204*$AZ$201)</f>
        <v>0</v>
      </c>
      <c r="BA205" s="842">
        <f>IF($AN205="","",BA204*$BA$201)</f>
        <v>0</v>
      </c>
      <c r="BB205" s="842">
        <f>IF($AN205="","",BB204*$BB$201)</f>
        <v>0</v>
      </c>
      <c r="BC205" s="842">
        <f>IF($AN205="","",BC204*$BC$201)</f>
        <v>0</v>
      </c>
      <c r="BD205" s="842">
        <f>IF($AN205="","",BD204*$BD$201)</f>
        <v>0</v>
      </c>
      <c r="BE205" s="842">
        <f>IF($AN205="","",BE204*$BE$201)</f>
        <v>0</v>
      </c>
      <c r="BF205" s="842">
        <f>IF($AN205="","",BF204*$BF$201)</f>
        <v>6262.8489221759992</v>
      </c>
      <c r="BG205" s="842">
        <f>IF($AN205="","",BG204*$BG$201)</f>
        <v>7363.0855801799999</v>
      </c>
      <c r="BH205" s="858">
        <f t="shared" si="138"/>
        <v>2</v>
      </c>
      <c r="BI205" s="857">
        <f ca="1">IF($AN205="","",BI204*$BI$201)</f>
        <v>3044.3423999999995</v>
      </c>
      <c r="BJ205" s="857">
        <f>IF($AN205="","",BJ204*$BJ$201)</f>
        <v>3419.7544000000003</v>
      </c>
      <c r="BK205" s="859">
        <f ca="1">'PV-Einspeisung'!AB21*-1</f>
        <v>0</v>
      </c>
      <c r="BL205" s="824">
        <f t="shared" si="124"/>
        <v>0</v>
      </c>
      <c r="BM205" s="824">
        <f t="shared" si="125"/>
        <v>0</v>
      </c>
      <c r="BN205" s="824">
        <f t="shared" si="126"/>
        <v>0</v>
      </c>
      <c r="BO205" s="824">
        <f t="shared" si="130"/>
        <v>0</v>
      </c>
      <c r="BP205" s="824">
        <f t="shared" si="130"/>
        <v>0</v>
      </c>
      <c r="BQ205" s="824">
        <f t="shared" si="130"/>
        <v>0</v>
      </c>
      <c r="BR205" s="824">
        <f t="shared" si="130"/>
        <v>0</v>
      </c>
      <c r="BS205" s="824">
        <f t="shared" si="130"/>
        <v>0</v>
      </c>
      <c r="BT205" s="824">
        <f t="shared" si="130"/>
        <v>0</v>
      </c>
      <c r="BU205" s="824">
        <f t="shared" si="130"/>
        <v>0</v>
      </c>
      <c r="BV205" s="824">
        <f t="shared" si="130"/>
        <v>0</v>
      </c>
      <c r="BW205" s="824">
        <f t="shared" si="130"/>
        <v>0</v>
      </c>
      <c r="BX205" s="824">
        <f t="shared" si="130"/>
        <v>0</v>
      </c>
      <c r="BY205" s="824">
        <f t="shared" si="130"/>
        <v>0</v>
      </c>
      <c r="BZ205" s="824">
        <f t="shared" si="130"/>
        <v>0</v>
      </c>
      <c r="CA205" s="824">
        <f t="shared" si="130"/>
        <v>0</v>
      </c>
      <c r="CB205" s="824">
        <f t="shared" si="130"/>
        <v>0</v>
      </c>
      <c r="CC205" s="824">
        <f t="shared" si="130"/>
        <v>0</v>
      </c>
      <c r="CD205" s="824">
        <f t="shared" si="130"/>
        <v>0</v>
      </c>
      <c r="CE205" s="824">
        <f t="shared" si="127"/>
        <v>0</v>
      </c>
      <c r="CF205" s="824">
        <f t="shared" si="127"/>
        <v>0</v>
      </c>
      <c r="CG205" s="824">
        <f t="shared" si="127"/>
        <v>0</v>
      </c>
      <c r="CH205" s="824">
        <f t="shared" si="127"/>
        <v>0</v>
      </c>
      <c r="CI205" s="824">
        <f t="shared" si="127"/>
        <v>0</v>
      </c>
      <c r="CJ205" s="824">
        <f t="shared" si="127"/>
        <v>0</v>
      </c>
      <c r="CK205" s="824">
        <f t="shared" ref="CK205:CZ231" si="143">IF(OR(IF($BL205*1&lt;$BL$196,$BL205*1=CK$198,FALSE),IF($BL205*2&lt;$BL$196,$BL205*2=CK$198,FALSE),IF($BL205*3&lt;$BL$196,$BL205*3=CK$198,FALSE),IF($BL205*4&lt;$BL$196,$BL205*4=CK$198,FALSE),IF($BL205*5&lt;$BL$196,$BL205*5=CK$198,FALSE)),$BN205*$BM$196^CK$198,0)</f>
        <v>0</v>
      </c>
      <c r="CL205" s="824">
        <f t="shared" si="143"/>
        <v>0</v>
      </c>
      <c r="CM205" s="824">
        <f t="shared" si="143"/>
        <v>0</v>
      </c>
      <c r="CN205" s="824">
        <f t="shared" si="143"/>
        <v>0</v>
      </c>
      <c r="CO205" s="824">
        <f t="shared" si="143"/>
        <v>0</v>
      </c>
      <c r="CP205" s="824">
        <f t="shared" si="143"/>
        <v>0</v>
      </c>
      <c r="CQ205" s="824">
        <f t="shared" si="143"/>
        <v>0</v>
      </c>
      <c r="CR205" s="824">
        <f t="shared" si="143"/>
        <v>0</v>
      </c>
      <c r="CS205" s="824">
        <f t="shared" si="143"/>
        <v>0</v>
      </c>
      <c r="CT205" s="824">
        <f t="shared" si="143"/>
        <v>0</v>
      </c>
      <c r="CU205" s="824">
        <f t="shared" si="143"/>
        <v>0</v>
      </c>
      <c r="CV205" s="824">
        <f t="shared" si="143"/>
        <v>0</v>
      </c>
      <c r="CW205" s="824">
        <f t="shared" si="143"/>
        <v>0</v>
      </c>
      <c r="CX205" s="824">
        <f t="shared" si="143"/>
        <v>0</v>
      </c>
      <c r="CY205" s="824">
        <f t="shared" si="143"/>
        <v>0</v>
      </c>
      <c r="CZ205" s="824">
        <f t="shared" si="143"/>
        <v>0</v>
      </c>
      <c r="DA205" s="824">
        <f t="shared" ref="DA205:DL226" si="144">IF(OR(IF($BL205*1&lt;$BL$196,$BL205*1=DA$198,FALSE),IF($BL205*2&lt;$BL$196,$BL205*2=DA$198,FALSE),IF($BL205*3&lt;$BL$196,$BL205*3=DA$198,FALSE),IF($BL205*4&lt;$BL$196,$BL205*4=DA$198,FALSE),IF($BL205*5&lt;$BL$196,$BL205*5=DA$198,FALSE)),$BN205*$BM$196^DA$198,0)</f>
        <v>0</v>
      </c>
      <c r="DB205" s="824">
        <f t="shared" si="144"/>
        <v>0</v>
      </c>
      <c r="DC205" s="824">
        <f t="shared" si="144"/>
        <v>0</v>
      </c>
      <c r="DD205" s="824">
        <f t="shared" si="144"/>
        <v>0</v>
      </c>
      <c r="DE205" s="824">
        <f t="shared" si="144"/>
        <v>0</v>
      </c>
      <c r="DF205" s="824">
        <f t="shared" si="144"/>
        <v>0</v>
      </c>
      <c r="DG205" s="824">
        <f t="shared" si="144"/>
        <v>0</v>
      </c>
      <c r="DH205" s="824">
        <f t="shared" si="144"/>
        <v>0</v>
      </c>
      <c r="DI205" s="824">
        <f t="shared" si="144"/>
        <v>0</v>
      </c>
      <c r="DJ205" s="824">
        <f t="shared" si="144"/>
        <v>0</v>
      </c>
      <c r="DK205" s="824">
        <f t="shared" si="144"/>
        <v>0</v>
      </c>
      <c r="DL205" s="824">
        <f t="shared" si="144"/>
        <v>0</v>
      </c>
    </row>
    <row r="206" spans="2:116" ht="15" customHeight="1" thickBot="1" x14ac:dyDescent="0.3">
      <c r="B206" s="1673"/>
      <c r="C206" s="1680"/>
      <c r="D206" s="15" t="s">
        <v>126</v>
      </c>
      <c r="E206" s="165"/>
      <c r="F206" s="116">
        <f>SUBTOTAL(109,'3.1 I&amp;W'!$X$50)</f>
        <v>0</v>
      </c>
      <c r="G206" s="116">
        <f>SUBTOTAL(109,'3.1 I&amp;W'!$Y$50)</f>
        <v>0</v>
      </c>
      <c r="H206" s="116">
        <f>SUBTOTAL(109,'3.1 I&amp;W'!$AD$50)</f>
        <v>0</v>
      </c>
      <c r="I206" s="116">
        <f>SUBTOTAL(109,'3.1 I&amp;W'!$AE$50)</f>
        <v>0</v>
      </c>
      <c r="J206" s="116"/>
      <c r="K206" s="116"/>
      <c r="L206" s="116"/>
      <c r="M206" s="116">
        <f>SUBTOTAL(109,'3.1 I&amp;W'!$AI$50)</f>
        <v>0</v>
      </c>
      <c r="N206" s="156">
        <f t="shared" si="128"/>
        <v>0</v>
      </c>
      <c r="O206" s="116">
        <f>SUBTOTAL(109,'3.1 I&amp;W'!$S$50)</f>
        <v>0</v>
      </c>
      <c r="P206" s="30">
        <f t="shared" si="131"/>
        <v>0</v>
      </c>
      <c r="Q206" s="31">
        <f t="shared" si="118"/>
        <v>0</v>
      </c>
      <c r="R206" s="31">
        <f t="shared" si="119"/>
        <v>0</v>
      </c>
      <c r="S206" s="31">
        <f t="shared" si="120"/>
        <v>0</v>
      </c>
      <c r="T206" s="32">
        <f t="shared" si="121"/>
        <v>0</v>
      </c>
      <c r="U206" s="37">
        <f t="shared" si="129"/>
        <v>0</v>
      </c>
      <c r="V206" s="40">
        <f t="shared" si="122"/>
        <v>0</v>
      </c>
      <c r="W206" s="41">
        <f t="shared" si="123"/>
        <v>0</v>
      </c>
      <c r="X206" s="43"/>
      <c r="Y206" s="46"/>
      <c r="Z206" s="126"/>
      <c r="AA206" s="136"/>
      <c r="AB206" s="131">
        <v>3</v>
      </c>
      <c r="AC206" s="168">
        <f>IF(AF205&lt;=1,0,'3.1 Fi&amp;Fo'!$I$25)</f>
        <v>115387.08252993631</v>
      </c>
      <c r="AD206" s="169">
        <f>IF(AF205&lt;=1,0,AF205*'3.1 Fi&amp;Fo'!$H$25)</f>
        <v>55359.407249406584</v>
      </c>
      <c r="AE206" s="169">
        <f t="shared" si="132"/>
        <v>60027.675280529722</v>
      </c>
      <c r="AF206" s="170">
        <f t="shared" si="133"/>
        <v>2707942.6871897997</v>
      </c>
      <c r="AG206" s="168">
        <f>IF(AJ205&lt;=1,0,IF(AB206&lt;='3.1 Fi&amp;Fo'!$F$34,'3.1 Fi&amp;Fo'!$J$34,IF(AB206&lt;='3.1 Fi&amp;Fo'!$F$35,'3.1 Fi&amp;Fo'!$J$35,IF(AB206&lt;='3.1 Fi&amp;Fo'!$F$36,'3.1 Fi&amp;Fo'!$J$36,IF(AB206&lt;='3.1 Fi&amp;Fo'!$F$37,'3.1 Fi&amp;Fo'!$J$37,IF(AB206&lt;='3.1 Fi&amp;Fo'!$F$38,'3.1 Fi&amp;Fo'!$J$38,IF(AB206&lt;='3.1 Fi&amp;Fo'!$F$39,'3.1 Fi&amp;Fo'!$J$39,IF(AB206&lt;='3.1 Fi&amp;Fo'!$F$40,'3.1 Fi&amp;Fo'!$J$40))))))))</f>
        <v>0</v>
      </c>
      <c r="AH206" s="169">
        <f>IF(AJ205&lt;=1,0,AJ205*IF(AB206&lt;='3.1 Fi&amp;Fo'!$F$34,'3.1 Fi&amp;Fo'!$I$34,IF(AB206&lt;='3.1 Fi&amp;Fo'!$F$35,'3.1 Fi&amp;Fo'!$I$35,IF(AB206&lt;='3.1 Fi&amp;Fo'!$F$36,'3.1 Fi&amp;Fo'!$I$36,IF(AB206&lt;='3.1 Fi&amp;Fo'!$F$37,'3.1 Fi&amp;Fo'!$I$37,IF(AB206&lt;='3.1 Fi&amp;Fo'!$F$40,'3.1 Fi&amp;Fo'!$I$40))))))</f>
        <v>0</v>
      </c>
      <c r="AI206" s="169">
        <f t="shared" si="139"/>
        <v>0</v>
      </c>
      <c r="AJ206" s="170">
        <f t="shared" ref="AJ206:AJ217" si="145">AJ205-AI206</f>
        <v>0</v>
      </c>
      <c r="AK206" s="312">
        <f t="shared" si="140"/>
        <v>-138580.37914459207</v>
      </c>
      <c r="AL206" s="169">
        <f>IF(AB206&lt;='3.1 Fi&amp;Fo'!$J$15,'3.1 Fi&amp;Fo'!$I$15,0)</f>
        <v>0</v>
      </c>
      <c r="AM206" s="169">
        <f t="shared" si="141"/>
        <v>23193.296614655759</v>
      </c>
      <c r="AN206" s="838">
        <f t="shared" ref="AN206:AN253" si="146">IF($AO$198&gt;AN205,AN205+1,"")</f>
        <v>3</v>
      </c>
      <c r="AO206" s="844">
        <f t="shared" si="134"/>
        <v>138580.37914459207</v>
      </c>
      <c r="AP206" s="839">
        <f>BQ308</f>
        <v>0</v>
      </c>
      <c r="AQ206" s="844">
        <f t="shared" si="135"/>
        <v>0</v>
      </c>
      <c r="AR206" s="839">
        <f t="shared" ref="AR206:AR253" si="147">IF(AN206="","",AR205*$AR$201)</f>
        <v>0</v>
      </c>
      <c r="AS206" s="839">
        <f t="shared" ca="1" si="142"/>
        <v>6567.5223488000001</v>
      </c>
      <c r="AT206" s="839">
        <f t="shared" ref="AT206:AT253" si="148">SUM(AZ206:BG206)</f>
        <v>14040.213720716698</v>
      </c>
      <c r="AU206" s="839">
        <f ca="1">'PV-Einspeisung'!AA22*-1</f>
        <v>0</v>
      </c>
      <c r="AV206" s="839">
        <f>'PV-Einspeisung'!AE22*-1</f>
        <v>0</v>
      </c>
      <c r="AW206" s="839"/>
      <c r="AX206" s="839">
        <f t="shared" ref="AX206:AX253" si="149">IF(AN206="","",AX205*$AX$201)</f>
        <v>0</v>
      </c>
      <c r="AY206" s="841">
        <f t="shared" si="136"/>
        <v>3</v>
      </c>
      <c r="AZ206" s="842">
        <f t="shared" ref="AZ206:AZ253" si="150">IF($AN206="","",AZ205*$AZ$201)</f>
        <v>0</v>
      </c>
      <c r="BA206" s="842">
        <f t="shared" ref="BA206:BA253" si="151">IF($AN206="","",BA205*$BA$201)</f>
        <v>0</v>
      </c>
      <c r="BB206" s="842">
        <f t="shared" ref="BB206:BB253" si="152">IF($AN206="","",BB205*$BB$201)</f>
        <v>0</v>
      </c>
      <c r="BC206" s="842">
        <f t="shared" ref="BC206:BC253" si="153">IF($AN206="","",BC205*$BC$201)</f>
        <v>0</v>
      </c>
      <c r="BD206" s="842">
        <f t="shared" ref="BD206:BD253" si="154">IF($AN206="","",BD205*$BD$201)</f>
        <v>0</v>
      </c>
      <c r="BE206" s="842">
        <f t="shared" ref="BE206:BE253" si="155">IF($AN206="","",BE205*$BE$201)</f>
        <v>0</v>
      </c>
      <c r="BF206" s="842">
        <f t="shared" ref="BF206:BF253" si="156">IF($AN206="","",BF205*$BF$201)</f>
        <v>6419.4201452303987</v>
      </c>
      <c r="BG206" s="842">
        <f t="shared" ref="BG206:BG253" si="157">IF($AN206="","",BG205*$BG$201)</f>
        <v>7620.7935754862992</v>
      </c>
      <c r="BH206" s="858">
        <f t="shared" si="138"/>
        <v>3</v>
      </c>
      <c r="BI206" s="857">
        <f t="shared" ref="BI206:BI253" ca="1" si="158">IF($AN206="","",BI205*$BI$201)</f>
        <v>3093.0518783999996</v>
      </c>
      <c r="BJ206" s="857">
        <f t="shared" ref="BJ206:BJ253" si="159">IF($AN206="","",BJ205*$BJ$201)</f>
        <v>3474.4704704000005</v>
      </c>
      <c r="BK206" s="859">
        <f ca="1">'PV-Einspeisung'!AB22*-1</f>
        <v>0</v>
      </c>
      <c r="BL206" s="824">
        <f t="shared" si="124"/>
        <v>0</v>
      </c>
      <c r="BM206" s="824">
        <f t="shared" si="125"/>
        <v>0</v>
      </c>
      <c r="BN206" s="824">
        <f t="shared" si="126"/>
        <v>0</v>
      </c>
      <c r="BO206" s="824">
        <f t="shared" si="130"/>
        <v>0</v>
      </c>
      <c r="BP206" s="824">
        <f t="shared" si="130"/>
        <v>0</v>
      </c>
      <c r="BQ206" s="824">
        <f t="shared" si="130"/>
        <v>0</v>
      </c>
      <c r="BR206" s="824">
        <f t="shared" si="130"/>
        <v>0</v>
      </c>
      <c r="BS206" s="824">
        <f t="shared" si="130"/>
        <v>0</v>
      </c>
      <c r="BT206" s="824">
        <f t="shared" si="130"/>
        <v>0</v>
      </c>
      <c r="BU206" s="824">
        <f t="shared" si="130"/>
        <v>0</v>
      </c>
      <c r="BV206" s="824">
        <f t="shared" si="130"/>
        <v>0</v>
      </c>
      <c r="BW206" s="824">
        <f t="shared" si="130"/>
        <v>0</v>
      </c>
      <c r="BX206" s="824">
        <f t="shared" si="130"/>
        <v>0</v>
      </c>
      <c r="BY206" s="824">
        <f t="shared" si="130"/>
        <v>0</v>
      </c>
      <c r="BZ206" s="824">
        <f t="shared" si="130"/>
        <v>0</v>
      </c>
      <c r="CA206" s="824">
        <f t="shared" si="130"/>
        <v>0</v>
      </c>
      <c r="CB206" s="824">
        <f t="shared" si="130"/>
        <v>0</v>
      </c>
      <c r="CC206" s="824">
        <f t="shared" si="130"/>
        <v>0</v>
      </c>
      <c r="CD206" s="824">
        <f t="shared" si="130"/>
        <v>0</v>
      </c>
      <c r="CE206" s="824">
        <f t="shared" ref="CE206:CT222" si="160">IF(OR(IF($BL206*1&lt;$BL$196,$BL206*1=CE$198,FALSE),IF($BL206*2&lt;$BL$196,$BL206*2=CE$198,FALSE),IF($BL206*3&lt;$BL$196,$BL206*3=CE$198,FALSE),IF($BL206*4&lt;$BL$196,$BL206*4=CE$198,FALSE),IF($BL206*5&lt;$BL$196,$BL206*5=CE$198,FALSE)),$BN206*$BM$196^CE$198,0)</f>
        <v>0</v>
      </c>
      <c r="CF206" s="824">
        <f t="shared" si="160"/>
        <v>0</v>
      </c>
      <c r="CG206" s="824">
        <f t="shared" si="160"/>
        <v>0</v>
      </c>
      <c r="CH206" s="824">
        <f t="shared" si="160"/>
        <v>0</v>
      </c>
      <c r="CI206" s="824">
        <f t="shared" si="160"/>
        <v>0</v>
      </c>
      <c r="CJ206" s="824">
        <f t="shared" si="160"/>
        <v>0</v>
      </c>
      <c r="CK206" s="824">
        <f t="shared" si="160"/>
        <v>0</v>
      </c>
      <c r="CL206" s="824">
        <f t="shared" si="160"/>
        <v>0</v>
      </c>
      <c r="CM206" s="824">
        <f t="shared" si="160"/>
        <v>0</v>
      </c>
      <c r="CN206" s="824">
        <f t="shared" si="160"/>
        <v>0</v>
      </c>
      <c r="CO206" s="824">
        <f t="shared" si="160"/>
        <v>0</v>
      </c>
      <c r="CP206" s="824">
        <f t="shared" si="160"/>
        <v>0</v>
      </c>
      <c r="CQ206" s="824">
        <f t="shared" si="160"/>
        <v>0</v>
      </c>
      <c r="CR206" s="824">
        <f t="shared" si="160"/>
        <v>0</v>
      </c>
      <c r="CS206" s="824">
        <f t="shared" si="160"/>
        <v>0</v>
      </c>
      <c r="CT206" s="824">
        <f t="shared" si="160"/>
        <v>0</v>
      </c>
      <c r="CU206" s="824">
        <f t="shared" si="143"/>
        <v>0</v>
      </c>
      <c r="CV206" s="824">
        <f t="shared" si="143"/>
        <v>0</v>
      </c>
      <c r="CW206" s="824">
        <f t="shared" si="143"/>
        <v>0</v>
      </c>
      <c r="CX206" s="824">
        <f t="shared" si="143"/>
        <v>0</v>
      </c>
      <c r="CY206" s="824">
        <f t="shared" si="143"/>
        <v>0</v>
      </c>
      <c r="CZ206" s="824">
        <f t="shared" si="143"/>
        <v>0</v>
      </c>
      <c r="DA206" s="824">
        <f t="shared" si="144"/>
        <v>0</v>
      </c>
      <c r="DB206" s="824">
        <f t="shared" si="144"/>
        <v>0</v>
      </c>
      <c r="DC206" s="824">
        <f t="shared" si="144"/>
        <v>0</v>
      </c>
      <c r="DD206" s="824">
        <f t="shared" si="144"/>
        <v>0</v>
      </c>
      <c r="DE206" s="824">
        <f t="shared" si="144"/>
        <v>0</v>
      </c>
      <c r="DF206" s="824">
        <f t="shared" si="144"/>
        <v>0</v>
      </c>
      <c r="DG206" s="824">
        <f t="shared" si="144"/>
        <v>0</v>
      </c>
      <c r="DH206" s="824">
        <f t="shared" si="144"/>
        <v>0</v>
      </c>
      <c r="DI206" s="824">
        <f t="shared" si="144"/>
        <v>0</v>
      </c>
      <c r="DJ206" s="824">
        <f t="shared" si="144"/>
        <v>0</v>
      </c>
      <c r="DK206" s="824">
        <f t="shared" si="144"/>
        <v>0</v>
      </c>
      <c r="DL206" s="824">
        <f t="shared" si="144"/>
        <v>0</v>
      </c>
    </row>
    <row r="207" spans="2:116" ht="15" customHeight="1" thickBot="1" x14ac:dyDescent="0.3">
      <c r="B207" s="1673"/>
      <c r="C207" s="1680"/>
      <c r="D207" s="15" t="s">
        <v>126</v>
      </c>
      <c r="E207" s="116"/>
      <c r="F207" s="116">
        <f>SUBTOTAL(109,'3.1 I&amp;W'!$X$51)</f>
        <v>0</v>
      </c>
      <c r="G207" s="116">
        <f>SUBTOTAL(109,'3.1 I&amp;W'!$Y$51)</f>
        <v>0</v>
      </c>
      <c r="H207" s="116">
        <f>SUBTOTAL(109,'3.1 I&amp;W'!$AD$51)</f>
        <v>0</v>
      </c>
      <c r="I207" s="116">
        <f>SUBTOTAL(109,'3.1 I&amp;W'!$AE$51)</f>
        <v>0</v>
      </c>
      <c r="J207" s="116"/>
      <c r="K207" s="116"/>
      <c r="L207" s="116"/>
      <c r="M207" s="116">
        <f>SUBTOTAL(109,'3.1 I&amp;W'!$AI$51)</f>
        <v>0</v>
      </c>
      <c r="N207" s="156">
        <f t="shared" si="128"/>
        <v>0</v>
      </c>
      <c r="O207" s="116">
        <f>SUBTOTAL(109,'3.1 I&amp;W'!$S$51)</f>
        <v>0</v>
      </c>
      <c r="P207" s="30">
        <f t="shared" si="131"/>
        <v>0</v>
      </c>
      <c r="Q207" s="31">
        <f t="shared" si="118"/>
        <v>0</v>
      </c>
      <c r="R207" s="31">
        <f t="shared" si="119"/>
        <v>0</v>
      </c>
      <c r="S207" s="31">
        <f t="shared" si="120"/>
        <v>0</v>
      </c>
      <c r="T207" s="32">
        <f t="shared" si="121"/>
        <v>0</v>
      </c>
      <c r="U207" s="37">
        <f t="shared" si="129"/>
        <v>0</v>
      </c>
      <c r="V207" s="40">
        <f t="shared" si="122"/>
        <v>0</v>
      </c>
      <c r="W207" s="41">
        <f t="shared" si="123"/>
        <v>0</v>
      </c>
      <c r="X207" s="43"/>
      <c r="Y207" s="46"/>
      <c r="Z207" s="126"/>
      <c r="AA207" s="136"/>
      <c r="AB207" s="131">
        <v>4</v>
      </c>
      <c r="AC207" s="168">
        <f>IF(AF206&lt;=1,0,'3.1 Fi&amp;Fo'!$I$25)</f>
        <v>115387.08252993631</v>
      </c>
      <c r="AD207" s="169">
        <f>IF(AF206&lt;=1,0,AF206*'3.1 Fi&amp;Fo'!$H$25)</f>
        <v>54158.853743795997</v>
      </c>
      <c r="AE207" s="169">
        <f t="shared" si="132"/>
        <v>61228.228786140309</v>
      </c>
      <c r="AF207" s="170">
        <f t="shared" si="133"/>
        <v>2646714.4584036595</v>
      </c>
      <c r="AG207" s="168">
        <f>IF(AJ206&lt;=1,0,IF(AB207&lt;='3.1 Fi&amp;Fo'!$F$34,'3.1 Fi&amp;Fo'!$J$34,IF(AB207&lt;='3.1 Fi&amp;Fo'!$F$35,'3.1 Fi&amp;Fo'!$J$35,IF(AB207&lt;='3.1 Fi&amp;Fo'!$F$36,'3.1 Fi&amp;Fo'!$J$36,IF(AB207&lt;='3.1 Fi&amp;Fo'!$F$37,'3.1 Fi&amp;Fo'!$J$37,IF(AB207&lt;='3.1 Fi&amp;Fo'!$F$38,'3.1 Fi&amp;Fo'!$J$38,IF(AB207&lt;='3.1 Fi&amp;Fo'!$F$39,'3.1 Fi&amp;Fo'!$J$39,IF(AB207&lt;='3.1 Fi&amp;Fo'!$F$40,'3.1 Fi&amp;Fo'!$J$40))))))))</f>
        <v>0</v>
      </c>
      <c r="AH207" s="169">
        <f>IF(AJ206&lt;=1,0,AJ206*IF(AB207&lt;='3.1 Fi&amp;Fo'!$F$34,'3.1 Fi&amp;Fo'!$I$34,IF(AB207&lt;='3.1 Fi&amp;Fo'!$F$35,'3.1 Fi&amp;Fo'!$I$35,IF(AB207&lt;='3.1 Fi&amp;Fo'!$F$36,'3.1 Fi&amp;Fo'!$I$36,IF(AB207&lt;='3.1 Fi&amp;Fo'!$F$37,'3.1 Fi&amp;Fo'!$I$37,IF(AB207&lt;='3.1 Fi&amp;Fo'!$F$40,'3.1 Fi&amp;Fo'!$I$40))))))</f>
        <v>0</v>
      </c>
      <c r="AI207" s="169">
        <f t="shared" si="139"/>
        <v>0</v>
      </c>
      <c r="AJ207" s="170">
        <f t="shared" si="145"/>
        <v>0</v>
      </c>
      <c r="AK207" s="312">
        <f t="shared" si="140"/>
        <v>-139044.24507688553</v>
      </c>
      <c r="AL207" s="169">
        <f>IF(AB207&lt;='3.1 Fi&amp;Fo'!$J$15,'3.1 Fi&amp;Fo'!$I$15,0)</f>
        <v>0</v>
      </c>
      <c r="AM207" s="169">
        <f t="shared" si="141"/>
        <v>23657.162546949228</v>
      </c>
      <c r="AN207" s="838">
        <f t="shared" si="146"/>
        <v>4</v>
      </c>
      <c r="AO207" s="844">
        <f t="shared" si="134"/>
        <v>139044.24507688553</v>
      </c>
      <c r="AP207" s="839">
        <f>BR308</f>
        <v>0</v>
      </c>
      <c r="AQ207" s="844">
        <f t="shared" si="135"/>
        <v>0</v>
      </c>
      <c r="AR207" s="839">
        <f t="shared" si="147"/>
        <v>0</v>
      </c>
      <c r="AS207" s="839">
        <f t="shared" ca="1" si="142"/>
        <v>6672.6027063807996</v>
      </c>
      <c r="AT207" s="839">
        <f t="shared" si="148"/>
        <v>14467.426999489477</v>
      </c>
      <c r="AU207" s="839">
        <f ca="1">'PV-Einspeisung'!AA23*-1</f>
        <v>0</v>
      </c>
      <c r="AV207" s="839">
        <f>'PV-Einspeisung'!AE23*-1</f>
        <v>0</v>
      </c>
      <c r="AW207" s="839"/>
      <c r="AX207" s="839">
        <f t="shared" si="149"/>
        <v>0</v>
      </c>
      <c r="AY207" s="841">
        <f t="shared" si="136"/>
        <v>4</v>
      </c>
      <c r="AZ207" s="842">
        <f t="shared" si="150"/>
        <v>0</v>
      </c>
      <c r="BA207" s="842">
        <f t="shared" si="151"/>
        <v>0</v>
      </c>
      <c r="BB207" s="842">
        <f t="shared" si="152"/>
        <v>0</v>
      </c>
      <c r="BC207" s="842">
        <f t="shared" si="153"/>
        <v>0</v>
      </c>
      <c r="BD207" s="842">
        <f t="shared" si="154"/>
        <v>0</v>
      </c>
      <c r="BE207" s="842">
        <f t="shared" si="155"/>
        <v>0</v>
      </c>
      <c r="BF207" s="842">
        <f t="shared" si="156"/>
        <v>6579.9056488611577</v>
      </c>
      <c r="BG207" s="842">
        <f t="shared" si="157"/>
        <v>7887.5213506283189</v>
      </c>
      <c r="BH207" s="858">
        <f t="shared" si="138"/>
        <v>4</v>
      </c>
      <c r="BI207" s="857">
        <f t="shared" ca="1" si="158"/>
        <v>3142.5407084543995</v>
      </c>
      <c r="BJ207" s="857">
        <f t="shared" si="159"/>
        <v>3530.0619979264006</v>
      </c>
      <c r="BK207" s="859">
        <f ca="1">'PV-Einspeisung'!AB23*-1</f>
        <v>0</v>
      </c>
      <c r="BL207" s="824">
        <f t="shared" si="124"/>
        <v>0</v>
      </c>
      <c r="BM207" s="824">
        <f t="shared" si="125"/>
        <v>0</v>
      </c>
      <c r="BN207" s="824">
        <f t="shared" si="126"/>
        <v>0</v>
      </c>
      <c r="BO207" s="824">
        <f t="shared" si="130"/>
        <v>0</v>
      </c>
      <c r="BP207" s="824">
        <f t="shared" si="130"/>
        <v>0</v>
      </c>
      <c r="BQ207" s="824">
        <f t="shared" si="130"/>
        <v>0</v>
      </c>
      <c r="BR207" s="824">
        <f t="shared" si="130"/>
        <v>0</v>
      </c>
      <c r="BS207" s="824">
        <f t="shared" si="130"/>
        <v>0</v>
      </c>
      <c r="BT207" s="824">
        <f t="shared" si="130"/>
        <v>0</v>
      </c>
      <c r="BU207" s="824">
        <f t="shared" si="130"/>
        <v>0</v>
      </c>
      <c r="BV207" s="824">
        <f t="shared" si="130"/>
        <v>0</v>
      </c>
      <c r="BW207" s="824">
        <f t="shared" si="130"/>
        <v>0</v>
      </c>
      <c r="BX207" s="824">
        <f t="shared" si="130"/>
        <v>0</v>
      </c>
      <c r="BY207" s="824">
        <f t="shared" si="130"/>
        <v>0</v>
      </c>
      <c r="BZ207" s="824">
        <f t="shared" si="130"/>
        <v>0</v>
      </c>
      <c r="CA207" s="824">
        <f t="shared" si="130"/>
        <v>0</v>
      </c>
      <c r="CB207" s="824">
        <f t="shared" si="130"/>
        <v>0</v>
      </c>
      <c r="CC207" s="824">
        <f t="shared" si="130"/>
        <v>0</v>
      </c>
      <c r="CD207" s="824">
        <f t="shared" si="130"/>
        <v>0</v>
      </c>
      <c r="CE207" s="824">
        <f t="shared" si="160"/>
        <v>0</v>
      </c>
      <c r="CF207" s="824">
        <f t="shared" si="160"/>
        <v>0</v>
      </c>
      <c r="CG207" s="824">
        <f t="shared" si="160"/>
        <v>0</v>
      </c>
      <c r="CH207" s="824">
        <f t="shared" si="160"/>
        <v>0</v>
      </c>
      <c r="CI207" s="824">
        <f t="shared" si="160"/>
        <v>0</v>
      </c>
      <c r="CJ207" s="824">
        <f t="shared" si="160"/>
        <v>0</v>
      </c>
      <c r="CK207" s="824">
        <f t="shared" si="160"/>
        <v>0</v>
      </c>
      <c r="CL207" s="824">
        <f t="shared" si="160"/>
        <v>0</v>
      </c>
      <c r="CM207" s="824">
        <f t="shared" si="160"/>
        <v>0</v>
      </c>
      <c r="CN207" s="824">
        <f t="shared" si="160"/>
        <v>0</v>
      </c>
      <c r="CO207" s="824">
        <f t="shared" si="160"/>
        <v>0</v>
      </c>
      <c r="CP207" s="824">
        <f t="shared" si="160"/>
        <v>0</v>
      </c>
      <c r="CQ207" s="824">
        <f t="shared" si="160"/>
        <v>0</v>
      </c>
      <c r="CR207" s="824">
        <f t="shared" si="160"/>
        <v>0</v>
      </c>
      <c r="CS207" s="824">
        <f t="shared" si="160"/>
        <v>0</v>
      </c>
      <c r="CT207" s="824">
        <f t="shared" si="160"/>
        <v>0</v>
      </c>
      <c r="CU207" s="824">
        <f t="shared" si="143"/>
        <v>0</v>
      </c>
      <c r="CV207" s="824">
        <f t="shared" si="143"/>
        <v>0</v>
      </c>
      <c r="CW207" s="824">
        <f t="shared" si="143"/>
        <v>0</v>
      </c>
      <c r="CX207" s="824">
        <f t="shared" si="143"/>
        <v>0</v>
      </c>
      <c r="CY207" s="824">
        <f t="shared" si="143"/>
        <v>0</v>
      </c>
      <c r="CZ207" s="824">
        <f t="shared" si="143"/>
        <v>0</v>
      </c>
      <c r="DA207" s="824">
        <f t="shared" si="144"/>
        <v>0</v>
      </c>
      <c r="DB207" s="824">
        <f t="shared" si="144"/>
        <v>0</v>
      </c>
      <c r="DC207" s="824">
        <f t="shared" si="144"/>
        <v>0</v>
      </c>
      <c r="DD207" s="824">
        <f t="shared" si="144"/>
        <v>0</v>
      </c>
      <c r="DE207" s="824">
        <f t="shared" si="144"/>
        <v>0</v>
      </c>
      <c r="DF207" s="824">
        <f t="shared" si="144"/>
        <v>0</v>
      </c>
      <c r="DG207" s="824">
        <f t="shared" si="144"/>
        <v>0</v>
      </c>
      <c r="DH207" s="824">
        <f t="shared" si="144"/>
        <v>0</v>
      </c>
      <c r="DI207" s="824">
        <f t="shared" si="144"/>
        <v>0</v>
      </c>
      <c r="DJ207" s="824">
        <f t="shared" si="144"/>
        <v>0</v>
      </c>
      <c r="DK207" s="824">
        <f t="shared" si="144"/>
        <v>0</v>
      </c>
      <c r="DL207" s="824">
        <f t="shared" si="144"/>
        <v>0</v>
      </c>
    </row>
    <row r="208" spans="2:116" ht="15" customHeight="1" thickBot="1" x14ac:dyDescent="0.3">
      <c r="B208" s="1673"/>
      <c r="C208" s="1680"/>
      <c r="D208" s="15" t="s">
        <v>126</v>
      </c>
      <c r="E208" s="165"/>
      <c r="F208" s="116">
        <f>SUBTOTAL(109,'3.1 I&amp;W'!$X$52)</f>
        <v>0</v>
      </c>
      <c r="G208" s="116">
        <f>SUBTOTAL(109,'3.1 I&amp;W'!$Y$52)</f>
        <v>0</v>
      </c>
      <c r="H208" s="116">
        <f>SUBTOTAL(109,'3.1 I&amp;W'!$AD$52)</f>
        <v>0</v>
      </c>
      <c r="I208" s="116">
        <f>SUBTOTAL(109,'3.1 I&amp;W'!$AE$52)</f>
        <v>0</v>
      </c>
      <c r="J208" s="116"/>
      <c r="K208" s="116"/>
      <c r="L208" s="116"/>
      <c r="M208" s="116">
        <f>SUBTOTAL(109,'3.1 I&amp;W'!$AI$52)</f>
        <v>0</v>
      </c>
      <c r="N208" s="156">
        <f t="shared" si="128"/>
        <v>0</v>
      </c>
      <c r="O208" s="116">
        <f>SUBTOTAL(109,'3.1 I&amp;W'!$S$52)</f>
        <v>0</v>
      </c>
      <c r="P208" s="30">
        <f t="shared" si="131"/>
        <v>0</v>
      </c>
      <c r="Q208" s="31">
        <f t="shared" si="118"/>
        <v>0</v>
      </c>
      <c r="R208" s="31">
        <f t="shared" si="119"/>
        <v>0</v>
      </c>
      <c r="S208" s="31">
        <f t="shared" si="120"/>
        <v>0</v>
      </c>
      <c r="T208" s="32">
        <f t="shared" si="121"/>
        <v>0</v>
      </c>
      <c r="U208" s="37">
        <f t="shared" si="129"/>
        <v>0</v>
      </c>
      <c r="V208" s="40">
        <f t="shared" si="122"/>
        <v>0</v>
      </c>
      <c r="W208" s="41">
        <f t="shared" si="123"/>
        <v>0</v>
      </c>
      <c r="X208" s="43"/>
      <c r="Y208" s="46"/>
      <c r="Z208" s="126"/>
      <c r="AA208" s="136"/>
      <c r="AB208" s="131">
        <v>5</v>
      </c>
      <c r="AC208" s="168">
        <f>IF(AF207&lt;=1,0,'3.1 Fi&amp;Fo'!$I$25)</f>
        <v>115387.08252993631</v>
      </c>
      <c r="AD208" s="169">
        <f>IF(AF207&lt;=1,0,AF207*'3.1 Fi&amp;Fo'!$H$25)</f>
        <v>52934.289168073192</v>
      </c>
      <c r="AE208" s="169">
        <f t="shared" si="132"/>
        <v>62452.793361863114</v>
      </c>
      <c r="AF208" s="170">
        <f t="shared" si="133"/>
        <v>2584261.6650417964</v>
      </c>
      <c r="AG208" s="168">
        <f>IF(AJ207&lt;=1,0,IF(AB208&lt;='3.1 Fi&amp;Fo'!$F$34,'3.1 Fi&amp;Fo'!$J$34,IF(AB208&lt;='3.1 Fi&amp;Fo'!$F$35,'3.1 Fi&amp;Fo'!$J$35,IF(AB208&lt;='3.1 Fi&amp;Fo'!$F$36,'3.1 Fi&amp;Fo'!$J$36,IF(AB208&lt;='3.1 Fi&amp;Fo'!$F$37,'3.1 Fi&amp;Fo'!$J$37,IF(AB208&lt;='3.1 Fi&amp;Fo'!$F$38,'3.1 Fi&amp;Fo'!$J$38,IF(AB208&lt;='3.1 Fi&amp;Fo'!$F$39,'3.1 Fi&amp;Fo'!$J$39,IF(AB208&lt;='3.1 Fi&amp;Fo'!$F$40,'3.1 Fi&amp;Fo'!$J$40))))))))</f>
        <v>0</v>
      </c>
      <c r="AH208" s="169">
        <f>IF(AJ207&lt;=1,0,AJ207*IF(AB208&lt;='3.1 Fi&amp;Fo'!$F$34,'3.1 Fi&amp;Fo'!$I$34,IF(AB208&lt;='3.1 Fi&amp;Fo'!$F$35,'3.1 Fi&amp;Fo'!$I$35,IF(AB208&lt;='3.1 Fi&amp;Fo'!$F$36,'3.1 Fi&amp;Fo'!$I$36,IF(AB208&lt;='3.1 Fi&amp;Fo'!$F$37,'3.1 Fi&amp;Fo'!$I$37,IF(AB208&lt;='3.1 Fi&amp;Fo'!$F$40,'3.1 Fi&amp;Fo'!$I$40))))))</f>
        <v>0</v>
      </c>
      <c r="AI208" s="169">
        <f t="shared" si="139"/>
        <v>0</v>
      </c>
      <c r="AJ208" s="170">
        <f t="shared" si="145"/>
        <v>0</v>
      </c>
      <c r="AK208" s="312">
        <f t="shared" si="140"/>
        <v>-139517.3883278245</v>
      </c>
      <c r="AL208" s="169">
        <f>IF(AB208&lt;='3.1 Fi&amp;Fo'!$J$15,'3.1 Fi&amp;Fo'!$I$15,0)</f>
        <v>0</v>
      </c>
      <c r="AM208" s="169">
        <f t="shared" si="141"/>
        <v>24130.305797888199</v>
      </c>
      <c r="AN208" s="838">
        <f t="shared" si="146"/>
        <v>5</v>
      </c>
      <c r="AO208" s="844">
        <f t="shared" si="134"/>
        <v>139517.3883278245</v>
      </c>
      <c r="AP208" s="839">
        <f>BS308</f>
        <v>0</v>
      </c>
      <c r="AQ208" s="844">
        <f t="shared" si="135"/>
        <v>0</v>
      </c>
      <c r="AR208" s="839">
        <f t="shared" si="147"/>
        <v>0</v>
      </c>
      <c r="AS208" s="839">
        <f t="shared" ca="1" si="142"/>
        <v>6779.3643496828927</v>
      </c>
      <c r="AT208" s="839">
        <f t="shared" si="148"/>
        <v>14907.987887982996</v>
      </c>
      <c r="AU208" s="839">
        <f ca="1">'PV-Einspeisung'!AA24*-1</f>
        <v>0</v>
      </c>
      <c r="AV208" s="839">
        <f>'PV-Einspeisung'!AE24*-1</f>
        <v>0</v>
      </c>
      <c r="AW208" s="839"/>
      <c r="AX208" s="839">
        <f t="shared" si="149"/>
        <v>0</v>
      </c>
      <c r="AY208" s="841">
        <f t="shared" si="136"/>
        <v>5</v>
      </c>
      <c r="AZ208" s="842">
        <f t="shared" si="150"/>
        <v>0</v>
      </c>
      <c r="BA208" s="842">
        <f t="shared" si="151"/>
        <v>0</v>
      </c>
      <c r="BB208" s="842">
        <f t="shared" si="152"/>
        <v>0</v>
      </c>
      <c r="BC208" s="842">
        <f t="shared" si="153"/>
        <v>0</v>
      </c>
      <c r="BD208" s="842">
        <f t="shared" si="154"/>
        <v>0</v>
      </c>
      <c r="BE208" s="842">
        <f t="shared" si="155"/>
        <v>0</v>
      </c>
      <c r="BF208" s="842">
        <f t="shared" si="156"/>
        <v>6744.403290082686</v>
      </c>
      <c r="BG208" s="842">
        <f t="shared" si="157"/>
        <v>8163.5845979003097</v>
      </c>
      <c r="BH208" s="858">
        <f t="shared" si="138"/>
        <v>5</v>
      </c>
      <c r="BI208" s="857">
        <f t="shared" ca="1" si="158"/>
        <v>3192.8213597896697</v>
      </c>
      <c r="BJ208" s="857">
        <f t="shared" si="159"/>
        <v>3586.542989893223</v>
      </c>
      <c r="BK208" s="859">
        <f ca="1">'PV-Einspeisung'!AB24*-1</f>
        <v>0</v>
      </c>
      <c r="BL208" s="824">
        <f t="shared" si="124"/>
        <v>0</v>
      </c>
      <c r="BM208" s="824">
        <f t="shared" si="125"/>
        <v>0</v>
      </c>
      <c r="BN208" s="824">
        <f t="shared" si="126"/>
        <v>0</v>
      </c>
      <c r="BO208" s="824">
        <f t="shared" si="130"/>
        <v>0</v>
      </c>
      <c r="BP208" s="824">
        <f t="shared" si="130"/>
        <v>0</v>
      </c>
      <c r="BQ208" s="824">
        <f t="shared" si="130"/>
        <v>0</v>
      </c>
      <c r="BR208" s="824">
        <f t="shared" si="130"/>
        <v>0</v>
      </c>
      <c r="BS208" s="824">
        <f t="shared" si="130"/>
        <v>0</v>
      </c>
      <c r="BT208" s="824">
        <f t="shared" si="130"/>
        <v>0</v>
      </c>
      <c r="BU208" s="824">
        <f t="shared" si="130"/>
        <v>0</v>
      </c>
      <c r="BV208" s="824">
        <f t="shared" si="130"/>
        <v>0</v>
      </c>
      <c r="BW208" s="824">
        <f t="shared" si="130"/>
        <v>0</v>
      </c>
      <c r="BX208" s="824">
        <f t="shared" si="130"/>
        <v>0</v>
      </c>
      <c r="BY208" s="824">
        <f t="shared" si="130"/>
        <v>0</v>
      </c>
      <c r="BZ208" s="824">
        <f t="shared" si="130"/>
        <v>0</v>
      </c>
      <c r="CA208" s="824">
        <f t="shared" si="130"/>
        <v>0</v>
      </c>
      <c r="CB208" s="824">
        <f t="shared" si="130"/>
        <v>0</v>
      </c>
      <c r="CC208" s="824">
        <f t="shared" si="130"/>
        <v>0</v>
      </c>
      <c r="CD208" s="824">
        <f t="shared" si="130"/>
        <v>0</v>
      </c>
      <c r="CE208" s="824">
        <f t="shared" si="160"/>
        <v>0</v>
      </c>
      <c r="CF208" s="824">
        <f t="shared" si="160"/>
        <v>0</v>
      </c>
      <c r="CG208" s="824">
        <f t="shared" si="160"/>
        <v>0</v>
      </c>
      <c r="CH208" s="824">
        <f t="shared" si="160"/>
        <v>0</v>
      </c>
      <c r="CI208" s="824">
        <f t="shared" si="160"/>
        <v>0</v>
      </c>
      <c r="CJ208" s="824">
        <f t="shared" si="160"/>
        <v>0</v>
      </c>
      <c r="CK208" s="824">
        <f t="shared" si="160"/>
        <v>0</v>
      </c>
      <c r="CL208" s="824">
        <f t="shared" si="160"/>
        <v>0</v>
      </c>
      <c r="CM208" s="824">
        <f t="shared" si="160"/>
        <v>0</v>
      </c>
      <c r="CN208" s="824">
        <f t="shared" si="160"/>
        <v>0</v>
      </c>
      <c r="CO208" s="824">
        <f t="shared" si="160"/>
        <v>0</v>
      </c>
      <c r="CP208" s="824">
        <f t="shared" si="160"/>
        <v>0</v>
      </c>
      <c r="CQ208" s="824">
        <f t="shared" si="160"/>
        <v>0</v>
      </c>
      <c r="CR208" s="824">
        <f t="shared" si="160"/>
        <v>0</v>
      </c>
      <c r="CS208" s="824">
        <f t="shared" si="160"/>
        <v>0</v>
      </c>
      <c r="CT208" s="824">
        <f t="shared" si="160"/>
        <v>0</v>
      </c>
      <c r="CU208" s="824">
        <f t="shared" si="143"/>
        <v>0</v>
      </c>
      <c r="CV208" s="824">
        <f t="shared" si="143"/>
        <v>0</v>
      </c>
      <c r="CW208" s="824">
        <f t="shared" si="143"/>
        <v>0</v>
      </c>
      <c r="CX208" s="824">
        <f t="shared" si="143"/>
        <v>0</v>
      </c>
      <c r="CY208" s="824">
        <f t="shared" si="143"/>
        <v>0</v>
      </c>
      <c r="CZ208" s="824">
        <f t="shared" si="143"/>
        <v>0</v>
      </c>
      <c r="DA208" s="824">
        <f t="shared" si="144"/>
        <v>0</v>
      </c>
      <c r="DB208" s="824">
        <f t="shared" si="144"/>
        <v>0</v>
      </c>
      <c r="DC208" s="824">
        <f t="shared" si="144"/>
        <v>0</v>
      </c>
      <c r="DD208" s="824">
        <f t="shared" si="144"/>
        <v>0</v>
      </c>
      <c r="DE208" s="824">
        <f t="shared" si="144"/>
        <v>0</v>
      </c>
      <c r="DF208" s="824">
        <f t="shared" si="144"/>
        <v>0</v>
      </c>
      <c r="DG208" s="824">
        <f t="shared" si="144"/>
        <v>0</v>
      </c>
      <c r="DH208" s="824">
        <f t="shared" si="144"/>
        <v>0</v>
      </c>
      <c r="DI208" s="824">
        <f t="shared" si="144"/>
        <v>0</v>
      </c>
      <c r="DJ208" s="824">
        <f t="shared" si="144"/>
        <v>0</v>
      </c>
      <c r="DK208" s="824">
        <f t="shared" si="144"/>
        <v>0</v>
      </c>
      <c r="DL208" s="824">
        <f t="shared" si="144"/>
        <v>0</v>
      </c>
    </row>
    <row r="209" spans="2:116" ht="15" customHeight="1" thickBot="1" x14ac:dyDescent="0.3">
      <c r="B209" s="1673"/>
      <c r="C209" s="1680"/>
      <c r="D209" s="15" t="s">
        <v>127</v>
      </c>
      <c r="E209" s="116"/>
      <c r="F209" s="116">
        <f>SUBTOTAL(109,'3.1 I&amp;W'!$X$56)</f>
        <v>0</v>
      </c>
      <c r="G209" s="116">
        <f>SUBTOTAL(109,'3.1 I&amp;W'!$Y$56)</f>
        <v>0</v>
      </c>
      <c r="H209" s="116">
        <f>SUBTOTAL(109,'3.1 I&amp;W'!$AD$56)</f>
        <v>0</v>
      </c>
      <c r="I209" s="116">
        <f>SUBTOTAL(109,'3.1 I&amp;W'!$AE$56)</f>
        <v>0</v>
      </c>
      <c r="J209" s="116"/>
      <c r="K209" s="116"/>
      <c r="L209" s="116"/>
      <c r="M209" s="116">
        <f>SUBTOTAL(109,'3.1 I&amp;W'!$AI$56)</f>
        <v>0</v>
      </c>
      <c r="N209" s="156">
        <f t="shared" si="128"/>
        <v>0</v>
      </c>
      <c r="O209" s="116">
        <f>SUBTOTAL(109,'3.1 I&amp;W'!$S$56)</f>
        <v>0</v>
      </c>
      <c r="P209" s="30">
        <f t="shared" si="131"/>
        <v>0</v>
      </c>
      <c r="Q209" s="31">
        <f t="shared" si="118"/>
        <v>0</v>
      </c>
      <c r="R209" s="31">
        <f t="shared" si="119"/>
        <v>0</v>
      </c>
      <c r="S209" s="31">
        <f t="shared" si="120"/>
        <v>0</v>
      </c>
      <c r="T209" s="32">
        <f t="shared" si="121"/>
        <v>0</v>
      </c>
      <c r="U209" s="37">
        <f t="shared" si="129"/>
        <v>0</v>
      </c>
      <c r="V209" s="40">
        <f t="shared" si="122"/>
        <v>0</v>
      </c>
      <c r="W209" s="41">
        <f t="shared" si="123"/>
        <v>0</v>
      </c>
      <c r="X209" s="43"/>
      <c r="Y209" s="46"/>
      <c r="Z209" s="126"/>
      <c r="AA209" s="136"/>
      <c r="AB209" s="131">
        <v>6</v>
      </c>
      <c r="AC209" s="168">
        <f>IF(AF208&lt;=1,0,'3.1 Fi&amp;Fo'!$I$25)</f>
        <v>115387.08252993631</v>
      </c>
      <c r="AD209" s="169">
        <f>IF(AF208&lt;=1,0,AF208*'3.1 Fi&amp;Fo'!$H$25)</f>
        <v>51685.233300835927</v>
      </c>
      <c r="AE209" s="169">
        <f t="shared" si="132"/>
        <v>63701.849229100379</v>
      </c>
      <c r="AF209" s="170">
        <f t="shared" si="133"/>
        <v>2520559.8158126962</v>
      </c>
      <c r="AG209" s="168">
        <f>IF(AJ208&lt;=1,0,IF(AB209&lt;='3.1 Fi&amp;Fo'!$F$34,'3.1 Fi&amp;Fo'!$J$34,IF(AB209&lt;='3.1 Fi&amp;Fo'!$F$35,'3.1 Fi&amp;Fo'!$J$35,IF(AB209&lt;='3.1 Fi&amp;Fo'!$F$36,'3.1 Fi&amp;Fo'!$J$36,IF(AB209&lt;='3.1 Fi&amp;Fo'!$F$37,'3.1 Fi&amp;Fo'!$J$37,IF(AB209&lt;='3.1 Fi&amp;Fo'!$F$38,'3.1 Fi&amp;Fo'!$J$38,IF(AB209&lt;='3.1 Fi&amp;Fo'!$F$39,'3.1 Fi&amp;Fo'!$J$39,IF(AB209&lt;='3.1 Fi&amp;Fo'!$F$40,'3.1 Fi&amp;Fo'!$J$40))))))))</f>
        <v>0</v>
      </c>
      <c r="AH209" s="169">
        <f>IF(AJ208&lt;=1,0,AJ208*IF(AB209&lt;='3.1 Fi&amp;Fo'!$F$34,'3.1 Fi&amp;Fo'!$I$34,IF(AB209&lt;='3.1 Fi&amp;Fo'!$F$35,'3.1 Fi&amp;Fo'!$I$35,IF(AB209&lt;='3.1 Fi&amp;Fo'!$F$36,'3.1 Fi&amp;Fo'!$I$36,IF(AB209&lt;='3.1 Fi&amp;Fo'!$F$37,'3.1 Fi&amp;Fo'!$I$37,IF(AB209&lt;='3.1 Fi&amp;Fo'!$F$40,'3.1 Fi&amp;Fo'!$I$40))))))</f>
        <v>0</v>
      </c>
      <c r="AI209" s="169">
        <f t="shared" si="139"/>
        <v>0</v>
      </c>
      <c r="AJ209" s="170">
        <f t="shared" si="145"/>
        <v>0</v>
      </c>
      <c r="AK209" s="312">
        <f t="shared" si="140"/>
        <v>-139999.99444378223</v>
      </c>
      <c r="AL209" s="169">
        <f>IF(AB209&lt;='3.1 Fi&amp;Fo'!$J$15,'3.1 Fi&amp;Fo'!$I$15,0)</f>
        <v>0</v>
      </c>
      <c r="AM209" s="169">
        <f t="shared" si="141"/>
        <v>24612.911913845921</v>
      </c>
      <c r="AN209" s="838">
        <f t="shared" si="146"/>
        <v>6</v>
      </c>
      <c r="AO209" s="844">
        <f t="shared" si="134"/>
        <v>139999.99444378223</v>
      </c>
      <c r="AP209" s="839">
        <f>BT308</f>
        <v>0</v>
      </c>
      <c r="AQ209" s="844">
        <f t="shared" si="135"/>
        <v>0</v>
      </c>
      <c r="AR209" s="839">
        <f t="shared" si="147"/>
        <v>0</v>
      </c>
      <c r="AS209" s="839">
        <f t="shared" ca="1" si="142"/>
        <v>6887.8341792778192</v>
      </c>
      <c r="AT209" s="839">
        <f t="shared" si="148"/>
        <v>15362.323431161574</v>
      </c>
      <c r="AU209" s="839">
        <f ca="1">'PV-Einspeisung'!AA25*-1</f>
        <v>0</v>
      </c>
      <c r="AV209" s="839">
        <f>'PV-Einspeisung'!AE25*-1</f>
        <v>0</v>
      </c>
      <c r="AW209" s="839"/>
      <c r="AX209" s="839">
        <f t="shared" si="149"/>
        <v>0</v>
      </c>
      <c r="AY209" s="841">
        <f t="shared" si="136"/>
        <v>6</v>
      </c>
      <c r="AZ209" s="842">
        <f t="shared" si="150"/>
        <v>0</v>
      </c>
      <c r="BA209" s="842">
        <f t="shared" si="151"/>
        <v>0</v>
      </c>
      <c r="BB209" s="842">
        <f t="shared" si="152"/>
        <v>0</v>
      </c>
      <c r="BC209" s="842">
        <f t="shared" si="153"/>
        <v>0</v>
      </c>
      <c r="BD209" s="842">
        <f t="shared" si="154"/>
        <v>0</v>
      </c>
      <c r="BE209" s="842">
        <f t="shared" si="155"/>
        <v>0</v>
      </c>
      <c r="BF209" s="842">
        <f t="shared" si="156"/>
        <v>6913.0133723347526</v>
      </c>
      <c r="BG209" s="842">
        <f t="shared" si="157"/>
        <v>8449.3100588268208</v>
      </c>
      <c r="BH209" s="858">
        <f t="shared" si="138"/>
        <v>6</v>
      </c>
      <c r="BI209" s="857">
        <f t="shared" ca="1" si="158"/>
        <v>3243.9065015463043</v>
      </c>
      <c r="BJ209" s="857">
        <f t="shared" si="159"/>
        <v>3643.9276777315144</v>
      </c>
      <c r="BK209" s="859">
        <f ca="1">'PV-Einspeisung'!AB25*-1</f>
        <v>0</v>
      </c>
      <c r="BL209" s="824">
        <f t="shared" si="124"/>
        <v>0</v>
      </c>
      <c r="BM209" s="824">
        <f t="shared" si="125"/>
        <v>0</v>
      </c>
      <c r="BN209" s="824">
        <f t="shared" si="126"/>
        <v>0</v>
      </c>
      <c r="BO209" s="824">
        <f t="shared" si="130"/>
        <v>0</v>
      </c>
      <c r="BP209" s="824">
        <f t="shared" si="130"/>
        <v>0</v>
      </c>
      <c r="BQ209" s="824">
        <f t="shared" si="130"/>
        <v>0</v>
      </c>
      <c r="BR209" s="824">
        <f t="shared" si="130"/>
        <v>0</v>
      </c>
      <c r="BS209" s="824">
        <f t="shared" si="130"/>
        <v>0</v>
      </c>
      <c r="BT209" s="824">
        <f t="shared" si="130"/>
        <v>0</v>
      </c>
      <c r="BU209" s="824">
        <f t="shared" si="130"/>
        <v>0</v>
      </c>
      <c r="BV209" s="824">
        <f t="shared" si="130"/>
        <v>0</v>
      </c>
      <c r="BW209" s="824">
        <f t="shared" si="130"/>
        <v>0</v>
      </c>
      <c r="BX209" s="824">
        <f t="shared" si="130"/>
        <v>0</v>
      </c>
      <c r="BY209" s="824">
        <f t="shared" si="130"/>
        <v>0</v>
      </c>
      <c r="BZ209" s="824">
        <f t="shared" si="130"/>
        <v>0</v>
      </c>
      <c r="CA209" s="824">
        <f t="shared" si="130"/>
        <v>0</v>
      </c>
      <c r="CB209" s="824">
        <f t="shared" si="130"/>
        <v>0</v>
      </c>
      <c r="CC209" s="824">
        <f t="shared" si="130"/>
        <v>0</v>
      </c>
      <c r="CD209" s="824">
        <f t="shared" si="130"/>
        <v>0</v>
      </c>
      <c r="CE209" s="824">
        <f t="shared" si="160"/>
        <v>0</v>
      </c>
      <c r="CF209" s="824">
        <f t="shared" si="160"/>
        <v>0</v>
      </c>
      <c r="CG209" s="824">
        <f t="shared" si="160"/>
        <v>0</v>
      </c>
      <c r="CH209" s="824">
        <f t="shared" si="160"/>
        <v>0</v>
      </c>
      <c r="CI209" s="824">
        <f t="shared" si="160"/>
        <v>0</v>
      </c>
      <c r="CJ209" s="824">
        <f t="shared" si="160"/>
        <v>0</v>
      </c>
      <c r="CK209" s="824">
        <f t="shared" si="160"/>
        <v>0</v>
      </c>
      <c r="CL209" s="824">
        <f t="shared" si="160"/>
        <v>0</v>
      </c>
      <c r="CM209" s="824">
        <f t="shared" si="160"/>
        <v>0</v>
      </c>
      <c r="CN209" s="824">
        <f t="shared" si="160"/>
        <v>0</v>
      </c>
      <c r="CO209" s="824">
        <f t="shared" si="160"/>
        <v>0</v>
      </c>
      <c r="CP209" s="824">
        <f t="shared" si="160"/>
        <v>0</v>
      </c>
      <c r="CQ209" s="824">
        <f t="shared" si="160"/>
        <v>0</v>
      </c>
      <c r="CR209" s="824">
        <f t="shared" si="160"/>
        <v>0</v>
      </c>
      <c r="CS209" s="824">
        <f t="shared" si="160"/>
        <v>0</v>
      </c>
      <c r="CT209" s="824">
        <f t="shared" si="160"/>
        <v>0</v>
      </c>
      <c r="CU209" s="824">
        <f t="shared" si="143"/>
        <v>0</v>
      </c>
      <c r="CV209" s="824">
        <f t="shared" si="143"/>
        <v>0</v>
      </c>
      <c r="CW209" s="824">
        <f t="shared" si="143"/>
        <v>0</v>
      </c>
      <c r="CX209" s="824">
        <f t="shared" si="143"/>
        <v>0</v>
      </c>
      <c r="CY209" s="824">
        <f t="shared" si="143"/>
        <v>0</v>
      </c>
      <c r="CZ209" s="824">
        <f t="shared" si="143"/>
        <v>0</v>
      </c>
      <c r="DA209" s="824">
        <f t="shared" si="144"/>
        <v>0</v>
      </c>
      <c r="DB209" s="824">
        <f t="shared" si="144"/>
        <v>0</v>
      </c>
      <c r="DC209" s="824">
        <f t="shared" si="144"/>
        <v>0</v>
      </c>
      <c r="DD209" s="824">
        <f t="shared" si="144"/>
        <v>0</v>
      </c>
      <c r="DE209" s="824">
        <f t="shared" si="144"/>
        <v>0</v>
      </c>
      <c r="DF209" s="824">
        <f t="shared" si="144"/>
        <v>0</v>
      </c>
      <c r="DG209" s="824">
        <f t="shared" si="144"/>
        <v>0</v>
      </c>
      <c r="DH209" s="824">
        <f t="shared" si="144"/>
        <v>0</v>
      </c>
      <c r="DI209" s="824">
        <f t="shared" si="144"/>
        <v>0</v>
      </c>
      <c r="DJ209" s="824">
        <f t="shared" si="144"/>
        <v>0</v>
      </c>
      <c r="DK209" s="824">
        <f t="shared" si="144"/>
        <v>0</v>
      </c>
      <c r="DL209" s="824">
        <f t="shared" si="144"/>
        <v>0</v>
      </c>
    </row>
    <row r="210" spans="2:116" ht="15" customHeight="1" thickBot="1" x14ac:dyDescent="0.3">
      <c r="B210" s="1673"/>
      <c r="C210" s="1680"/>
      <c r="D210" s="15" t="s">
        <v>127</v>
      </c>
      <c r="E210" s="165"/>
      <c r="F210" s="116">
        <f>SUBTOTAL(109,'3.1 I&amp;W'!$X$57)</f>
        <v>0</v>
      </c>
      <c r="G210" s="116">
        <f>SUBTOTAL(109,'3.1 I&amp;W'!$Y$57)</f>
        <v>0</v>
      </c>
      <c r="H210" s="116">
        <f>SUBTOTAL(109,'3.1 I&amp;W'!$AD$57)</f>
        <v>0</v>
      </c>
      <c r="I210" s="116">
        <f>SUBTOTAL(109,'3.1 I&amp;W'!$AE$57)</f>
        <v>0</v>
      </c>
      <c r="J210" s="116"/>
      <c r="K210" s="116"/>
      <c r="L210" s="116"/>
      <c r="M210" s="116">
        <f>SUBTOTAL(109,'3.1 I&amp;W'!$AI$57)</f>
        <v>0</v>
      </c>
      <c r="N210" s="156">
        <f t="shared" si="128"/>
        <v>0</v>
      </c>
      <c r="O210" s="116">
        <f>SUBTOTAL(109,'3.1 I&amp;W'!$S$57)</f>
        <v>0</v>
      </c>
      <c r="P210" s="30">
        <f t="shared" si="131"/>
        <v>0</v>
      </c>
      <c r="Q210" s="31">
        <f t="shared" si="118"/>
        <v>0</v>
      </c>
      <c r="R210" s="31">
        <f t="shared" si="119"/>
        <v>0</v>
      </c>
      <c r="S210" s="31">
        <f t="shared" si="120"/>
        <v>0</v>
      </c>
      <c r="T210" s="32">
        <f t="shared" si="121"/>
        <v>0</v>
      </c>
      <c r="U210" s="37">
        <f t="shared" si="129"/>
        <v>0</v>
      </c>
      <c r="V210" s="40">
        <f t="shared" si="122"/>
        <v>0</v>
      </c>
      <c r="W210" s="41">
        <f t="shared" si="123"/>
        <v>0</v>
      </c>
      <c r="X210" s="43"/>
      <c r="Y210" s="46"/>
      <c r="Z210" s="126"/>
      <c r="AA210" s="136"/>
      <c r="AB210" s="131">
        <v>7</v>
      </c>
      <c r="AC210" s="168">
        <f>IF(AF209&lt;=1,0,'3.1 Fi&amp;Fo'!$I$25)</f>
        <v>115387.08252993631</v>
      </c>
      <c r="AD210" s="169">
        <f>IF(AF209&lt;=1,0,AF209*'3.1 Fi&amp;Fo'!$H$25)</f>
        <v>50411.196316253925</v>
      </c>
      <c r="AE210" s="169">
        <f t="shared" si="132"/>
        <v>64975.886213682381</v>
      </c>
      <c r="AF210" s="170">
        <f t="shared" si="133"/>
        <v>2455583.9295990136</v>
      </c>
      <c r="AG210" s="168">
        <f>IF(AJ209&lt;=1,0,IF(AB210&lt;='3.1 Fi&amp;Fo'!$F$34,'3.1 Fi&amp;Fo'!$J$34,IF(AB210&lt;='3.1 Fi&amp;Fo'!$F$35,'3.1 Fi&amp;Fo'!$J$35,IF(AB210&lt;='3.1 Fi&amp;Fo'!$F$36,'3.1 Fi&amp;Fo'!$J$36,IF(AB210&lt;='3.1 Fi&amp;Fo'!$F$37,'3.1 Fi&amp;Fo'!$J$37,IF(AB210&lt;='3.1 Fi&amp;Fo'!$F$38,'3.1 Fi&amp;Fo'!$J$38,IF(AB210&lt;='3.1 Fi&amp;Fo'!$F$39,'3.1 Fi&amp;Fo'!$J$39,IF(AB210&lt;='3.1 Fi&amp;Fo'!$F$40,'3.1 Fi&amp;Fo'!$J$40))))))))</f>
        <v>0</v>
      </c>
      <c r="AH210" s="169">
        <f>IF(AJ209&lt;=1,0,AJ209*IF(AB210&lt;='3.1 Fi&amp;Fo'!$F$34,'3.1 Fi&amp;Fo'!$I$34,IF(AB210&lt;='3.1 Fi&amp;Fo'!$F$35,'3.1 Fi&amp;Fo'!$I$35,IF(AB210&lt;='3.1 Fi&amp;Fo'!$F$36,'3.1 Fi&amp;Fo'!$I$36,IF(AB210&lt;='3.1 Fi&amp;Fo'!$F$37,'3.1 Fi&amp;Fo'!$I$37,IF(AB210&lt;='3.1 Fi&amp;Fo'!$F$40,'3.1 Fi&amp;Fo'!$I$40))))))</f>
        <v>0</v>
      </c>
      <c r="AI210" s="169">
        <f t="shared" si="139"/>
        <v>0</v>
      </c>
      <c r="AJ210" s="170">
        <f t="shared" si="145"/>
        <v>0</v>
      </c>
      <c r="AK210" s="312">
        <f t="shared" si="140"/>
        <v>-140492.25268205869</v>
      </c>
      <c r="AL210" s="169">
        <f>IF(AB210&lt;='3.1 Fi&amp;Fo'!$J$15,'3.1 Fi&amp;Fo'!$I$15,0)</f>
        <v>0</v>
      </c>
      <c r="AM210" s="169">
        <f t="shared" si="141"/>
        <v>25105.170152122388</v>
      </c>
      <c r="AN210" s="838">
        <f t="shared" si="146"/>
        <v>7</v>
      </c>
      <c r="AO210" s="844">
        <f t="shared" si="134"/>
        <v>140492.25268205869</v>
      </c>
      <c r="AP210" s="839">
        <f>BU308</f>
        <v>0</v>
      </c>
      <c r="AQ210" s="844">
        <f t="shared" si="135"/>
        <v>0</v>
      </c>
      <c r="AR210" s="839">
        <f t="shared" si="147"/>
        <v>0</v>
      </c>
      <c r="AS210" s="839">
        <f t="shared" ca="1" si="142"/>
        <v>6998.0395261462636</v>
      </c>
      <c r="AT210" s="839">
        <f t="shared" si="148"/>
        <v>15830.87461752888</v>
      </c>
      <c r="AU210" s="839">
        <f ca="1">'PV-Einspeisung'!AA26*-1</f>
        <v>0</v>
      </c>
      <c r="AV210" s="839">
        <f>'PV-Einspeisung'!AE26*-1</f>
        <v>0</v>
      </c>
      <c r="AW210" s="839"/>
      <c r="AX210" s="839">
        <f t="shared" si="149"/>
        <v>0</v>
      </c>
      <c r="AY210" s="841">
        <f t="shared" si="136"/>
        <v>7</v>
      </c>
      <c r="AZ210" s="842">
        <f t="shared" si="150"/>
        <v>0</v>
      </c>
      <c r="BA210" s="842">
        <f t="shared" si="151"/>
        <v>0</v>
      </c>
      <c r="BB210" s="842">
        <f t="shared" si="152"/>
        <v>0</v>
      </c>
      <c r="BC210" s="842">
        <f t="shared" si="153"/>
        <v>0</v>
      </c>
      <c r="BD210" s="842">
        <f t="shared" si="154"/>
        <v>0</v>
      </c>
      <c r="BE210" s="842">
        <f t="shared" si="155"/>
        <v>0</v>
      </c>
      <c r="BF210" s="842">
        <f t="shared" si="156"/>
        <v>7085.8387066431205</v>
      </c>
      <c r="BG210" s="842">
        <f t="shared" si="157"/>
        <v>8745.0359108857592</v>
      </c>
      <c r="BH210" s="858">
        <f t="shared" si="138"/>
        <v>7</v>
      </c>
      <c r="BI210" s="857">
        <f t="shared" ca="1" si="158"/>
        <v>3295.8090055710454</v>
      </c>
      <c r="BJ210" s="857">
        <f t="shared" si="159"/>
        <v>3702.2305205752186</v>
      </c>
      <c r="BK210" s="859">
        <f ca="1">'PV-Einspeisung'!AB26*-1</f>
        <v>0</v>
      </c>
      <c r="BL210" s="824">
        <f t="shared" si="124"/>
        <v>0</v>
      </c>
      <c r="BM210" s="824">
        <f t="shared" si="125"/>
        <v>0</v>
      </c>
      <c r="BN210" s="824">
        <f t="shared" si="126"/>
        <v>0</v>
      </c>
      <c r="BO210" s="824">
        <f t="shared" si="130"/>
        <v>0</v>
      </c>
      <c r="BP210" s="824">
        <f t="shared" si="130"/>
        <v>0</v>
      </c>
      <c r="BQ210" s="824">
        <f t="shared" si="130"/>
        <v>0</v>
      </c>
      <c r="BR210" s="824">
        <f t="shared" si="130"/>
        <v>0</v>
      </c>
      <c r="BS210" s="824">
        <f t="shared" si="130"/>
        <v>0</v>
      </c>
      <c r="BT210" s="824">
        <f t="shared" si="130"/>
        <v>0</v>
      </c>
      <c r="BU210" s="824">
        <f t="shared" si="130"/>
        <v>0</v>
      </c>
      <c r="BV210" s="824">
        <f t="shared" si="130"/>
        <v>0</v>
      </c>
      <c r="BW210" s="824">
        <f t="shared" si="130"/>
        <v>0</v>
      </c>
      <c r="BX210" s="824">
        <f t="shared" si="130"/>
        <v>0</v>
      </c>
      <c r="BY210" s="824">
        <f t="shared" si="130"/>
        <v>0</v>
      </c>
      <c r="BZ210" s="824">
        <f t="shared" si="130"/>
        <v>0</v>
      </c>
      <c r="CA210" s="824">
        <f t="shared" si="130"/>
        <v>0</v>
      </c>
      <c r="CB210" s="824">
        <f t="shared" si="130"/>
        <v>0</v>
      </c>
      <c r="CC210" s="824">
        <f t="shared" si="130"/>
        <v>0</v>
      </c>
      <c r="CD210" s="824">
        <f t="shared" si="130"/>
        <v>0</v>
      </c>
      <c r="CE210" s="824">
        <f t="shared" si="160"/>
        <v>0</v>
      </c>
      <c r="CF210" s="824">
        <f t="shared" si="160"/>
        <v>0</v>
      </c>
      <c r="CG210" s="824">
        <f t="shared" si="160"/>
        <v>0</v>
      </c>
      <c r="CH210" s="824">
        <f t="shared" si="160"/>
        <v>0</v>
      </c>
      <c r="CI210" s="824">
        <f t="shared" si="160"/>
        <v>0</v>
      </c>
      <c r="CJ210" s="824">
        <f t="shared" si="160"/>
        <v>0</v>
      </c>
      <c r="CK210" s="824">
        <f t="shared" si="160"/>
        <v>0</v>
      </c>
      <c r="CL210" s="824">
        <f t="shared" si="160"/>
        <v>0</v>
      </c>
      <c r="CM210" s="824">
        <f t="shared" si="160"/>
        <v>0</v>
      </c>
      <c r="CN210" s="824">
        <f t="shared" si="160"/>
        <v>0</v>
      </c>
      <c r="CO210" s="824">
        <f t="shared" si="160"/>
        <v>0</v>
      </c>
      <c r="CP210" s="824">
        <f t="shared" si="160"/>
        <v>0</v>
      </c>
      <c r="CQ210" s="824">
        <f t="shared" si="160"/>
        <v>0</v>
      </c>
      <c r="CR210" s="824">
        <f t="shared" si="160"/>
        <v>0</v>
      </c>
      <c r="CS210" s="824">
        <f t="shared" si="160"/>
        <v>0</v>
      </c>
      <c r="CT210" s="824">
        <f t="shared" si="160"/>
        <v>0</v>
      </c>
      <c r="CU210" s="824">
        <f t="shared" si="143"/>
        <v>0</v>
      </c>
      <c r="CV210" s="824">
        <f t="shared" si="143"/>
        <v>0</v>
      </c>
      <c r="CW210" s="824">
        <f t="shared" si="143"/>
        <v>0</v>
      </c>
      <c r="CX210" s="824">
        <f t="shared" si="143"/>
        <v>0</v>
      </c>
      <c r="CY210" s="824">
        <f t="shared" si="143"/>
        <v>0</v>
      </c>
      <c r="CZ210" s="824">
        <f t="shared" si="143"/>
        <v>0</v>
      </c>
      <c r="DA210" s="824">
        <f t="shared" si="144"/>
        <v>0</v>
      </c>
      <c r="DB210" s="824">
        <f t="shared" si="144"/>
        <v>0</v>
      </c>
      <c r="DC210" s="824">
        <f t="shared" si="144"/>
        <v>0</v>
      </c>
      <c r="DD210" s="824">
        <f t="shared" si="144"/>
        <v>0</v>
      </c>
      <c r="DE210" s="824">
        <f t="shared" si="144"/>
        <v>0</v>
      </c>
      <c r="DF210" s="824">
        <f t="shared" si="144"/>
        <v>0</v>
      </c>
      <c r="DG210" s="824">
        <f t="shared" si="144"/>
        <v>0</v>
      </c>
      <c r="DH210" s="824">
        <f t="shared" si="144"/>
        <v>0</v>
      </c>
      <c r="DI210" s="824">
        <f t="shared" si="144"/>
        <v>0</v>
      </c>
      <c r="DJ210" s="824">
        <f t="shared" si="144"/>
        <v>0</v>
      </c>
      <c r="DK210" s="824">
        <f t="shared" si="144"/>
        <v>0</v>
      </c>
      <c r="DL210" s="824">
        <f t="shared" si="144"/>
        <v>0</v>
      </c>
    </row>
    <row r="211" spans="2:116" ht="15" customHeight="1" thickBot="1" x14ac:dyDescent="0.3">
      <c r="B211" s="1673"/>
      <c r="C211" s="1680"/>
      <c r="D211" s="15" t="s">
        <v>127</v>
      </c>
      <c r="E211" s="116"/>
      <c r="F211" s="116">
        <f>SUBTOTAL(109,'3.1 I&amp;W'!$X$58)</f>
        <v>0</v>
      </c>
      <c r="G211" s="116">
        <f>SUBTOTAL(109,'3.1 I&amp;W'!$Y$58)</f>
        <v>0</v>
      </c>
      <c r="H211" s="116">
        <f>SUBTOTAL(109,'3.1 I&amp;W'!$AD$58)</f>
        <v>0</v>
      </c>
      <c r="I211" s="116">
        <f>SUBTOTAL(109,'3.1 I&amp;W'!$AE$58)</f>
        <v>0</v>
      </c>
      <c r="J211" s="116"/>
      <c r="K211" s="116"/>
      <c r="L211" s="116"/>
      <c r="M211" s="116">
        <f>SUBTOTAL(109,'3.1 I&amp;W'!$AI$58)</f>
        <v>0</v>
      </c>
      <c r="N211" s="156">
        <f t="shared" si="128"/>
        <v>0</v>
      </c>
      <c r="O211" s="116">
        <f>SUBTOTAL(109,'3.1 I&amp;W'!$S$58)</f>
        <v>0</v>
      </c>
      <c r="P211" s="30">
        <f t="shared" si="131"/>
        <v>0</v>
      </c>
      <c r="Q211" s="31">
        <f t="shared" si="118"/>
        <v>0</v>
      </c>
      <c r="R211" s="31">
        <f t="shared" si="119"/>
        <v>0</v>
      </c>
      <c r="S211" s="31">
        <f t="shared" si="120"/>
        <v>0</v>
      </c>
      <c r="T211" s="32">
        <f t="shared" si="121"/>
        <v>0</v>
      </c>
      <c r="U211" s="37">
        <f t="shared" si="129"/>
        <v>0</v>
      </c>
      <c r="V211" s="40">
        <f t="shared" si="122"/>
        <v>0</v>
      </c>
      <c r="W211" s="41">
        <f t="shared" si="123"/>
        <v>0</v>
      </c>
      <c r="X211" s="43"/>
      <c r="Y211" s="46"/>
      <c r="Z211" s="126"/>
      <c r="AA211" s="136"/>
      <c r="AB211" s="131">
        <v>8</v>
      </c>
      <c r="AC211" s="168">
        <f>IF(AF210&lt;=1,0,'3.1 Fi&amp;Fo'!$I$25)</f>
        <v>115387.08252993631</v>
      </c>
      <c r="AD211" s="169">
        <f>IF(AF210&lt;=1,0,AF210*'3.1 Fi&amp;Fo'!$H$25)</f>
        <v>49111.678591980271</v>
      </c>
      <c r="AE211" s="169">
        <f t="shared" si="132"/>
        <v>66275.403937956027</v>
      </c>
      <c r="AF211" s="170">
        <f t="shared" si="133"/>
        <v>2389308.5256610578</v>
      </c>
      <c r="AG211" s="168">
        <f>IF(AJ210&lt;=1,0,IF(AB211&lt;='3.1 Fi&amp;Fo'!$F$34,'3.1 Fi&amp;Fo'!$J$34,IF(AB211&lt;='3.1 Fi&amp;Fo'!$F$35,'3.1 Fi&amp;Fo'!$J$35,IF(AB211&lt;='3.1 Fi&amp;Fo'!$F$36,'3.1 Fi&amp;Fo'!$J$36,IF(AB211&lt;='3.1 Fi&amp;Fo'!$F$37,'3.1 Fi&amp;Fo'!$J$37,IF(AB211&lt;='3.1 Fi&amp;Fo'!$F$38,'3.1 Fi&amp;Fo'!$J$38,IF(AB211&lt;='3.1 Fi&amp;Fo'!$F$39,'3.1 Fi&amp;Fo'!$J$39,IF(AB211&lt;='3.1 Fi&amp;Fo'!$F$40,'3.1 Fi&amp;Fo'!$J$40))))))))</f>
        <v>0</v>
      </c>
      <c r="AH211" s="169">
        <f>IF(AJ210&lt;=1,0,AJ210*IF(AB211&lt;='3.1 Fi&amp;Fo'!$F$34,'3.1 Fi&amp;Fo'!$I$34,IF(AB211&lt;='3.1 Fi&amp;Fo'!$F$35,'3.1 Fi&amp;Fo'!$I$35,IF(AB211&lt;='3.1 Fi&amp;Fo'!$F$36,'3.1 Fi&amp;Fo'!$I$36,IF(AB211&lt;='3.1 Fi&amp;Fo'!$F$37,'3.1 Fi&amp;Fo'!$I$37,IF(AB211&lt;='3.1 Fi&amp;Fo'!$F$40,'3.1 Fi&amp;Fo'!$I$40))))))</f>
        <v>0</v>
      </c>
      <c r="AI211" s="169">
        <f t="shared" si="139"/>
        <v>0</v>
      </c>
      <c r="AJ211" s="170">
        <f t="shared" si="145"/>
        <v>0</v>
      </c>
      <c r="AK211" s="312">
        <f t="shared" si="140"/>
        <v>-140994.3560851017</v>
      </c>
      <c r="AL211" s="169">
        <f>IF(AB211&lt;='3.1 Fi&amp;Fo'!$J$15,'3.1 Fi&amp;Fo'!$I$15,0)</f>
        <v>0</v>
      </c>
      <c r="AM211" s="169">
        <f t="shared" si="141"/>
        <v>25607.27355516539</v>
      </c>
      <c r="AN211" s="838">
        <f t="shared" si="146"/>
        <v>8</v>
      </c>
      <c r="AO211" s="844">
        <f t="shared" si="134"/>
        <v>140994.3560851017</v>
      </c>
      <c r="AP211" s="839">
        <f>BV308</f>
        <v>0</v>
      </c>
      <c r="AQ211" s="844">
        <f t="shared" si="135"/>
        <v>0</v>
      </c>
      <c r="AR211" s="839">
        <f t="shared" si="147"/>
        <v>0</v>
      </c>
      <c r="AS211" s="839">
        <f t="shared" ca="1" si="142"/>
        <v>7110.0081585646039</v>
      </c>
      <c r="AT211" s="839">
        <f t="shared" si="148"/>
        <v>16314.096842075956</v>
      </c>
      <c r="AU211" s="839">
        <f ca="1">'PV-Einspeisung'!AA27*-1</f>
        <v>0</v>
      </c>
      <c r="AV211" s="839">
        <f>'PV-Einspeisung'!AE27*-1</f>
        <v>0</v>
      </c>
      <c r="AW211" s="839"/>
      <c r="AX211" s="839">
        <f t="shared" si="149"/>
        <v>0</v>
      </c>
      <c r="AY211" s="841">
        <f t="shared" si="136"/>
        <v>8</v>
      </c>
      <c r="AZ211" s="842">
        <f t="shared" si="150"/>
        <v>0</v>
      </c>
      <c r="BA211" s="842">
        <f t="shared" si="151"/>
        <v>0</v>
      </c>
      <c r="BB211" s="842">
        <f t="shared" si="152"/>
        <v>0</v>
      </c>
      <c r="BC211" s="842">
        <f t="shared" si="153"/>
        <v>0</v>
      </c>
      <c r="BD211" s="842">
        <f t="shared" si="154"/>
        <v>0</v>
      </c>
      <c r="BE211" s="842">
        <f t="shared" si="155"/>
        <v>0</v>
      </c>
      <c r="BF211" s="842">
        <f t="shared" si="156"/>
        <v>7262.9846743091975</v>
      </c>
      <c r="BG211" s="842">
        <f t="shared" si="157"/>
        <v>9051.1121677667597</v>
      </c>
      <c r="BH211" s="858">
        <f t="shared" si="138"/>
        <v>8</v>
      </c>
      <c r="BI211" s="857">
        <f t="shared" ca="1" si="158"/>
        <v>3348.5419496601821</v>
      </c>
      <c r="BJ211" s="857">
        <f t="shared" si="159"/>
        <v>3761.4662089044223</v>
      </c>
      <c r="BK211" s="859">
        <f ca="1">'PV-Einspeisung'!AB27*-1</f>
        <v>0</v>
      </c>
      <c r="BL211" s="824">
        <f t="shared" si="124"/>
        <v>0</v>
      </c>
      <c r="BM211" s="824">
        <f t="shared" si="125"/>
        <v>0</v>
      </c>
      <c r="BN211" s="824">
        <f t="shared" si="126"/>
        <v>0</v>
      </c>
      <c r="BO211" s="824">
        <f t="shared" si="130"/>
        <v>0</v>
      </c>
      <c r="BP211" s="824">
        <f t="shared" si="130"/>
        <v>0</v>
      </c>
      <c r="BQ211" s="824">
        <f t="shared" si="130"/>
        <v>0</v>
      </c>
      <c r="BR211" s="824">
        <f t="shared" si="130"/>
        <v>0</v>
      </c>
      <c r="BS211" s="824">
        <f t="shared" si="130"/>
        <v>0</v>
      </c>
      <c r="BT211" s="824">
        <f t="shared" si="130"/>
        <v>0</v>
      </c>
      <c r="BU211" s="824">
        <f t="shared" si="130"/>
        <v>0</v>
      </c>
      <c r="BV211" s="824">
        <f t="shared" si="130"/>
        <v>0</v>
      </c>
      <c r="BW211" s="824">
        <f t="shared" si="130"/>
        <v>0</v>
      </c>
      <c r="BX211" s="824">
        <f t="shared" si="130"/>
        <v>0</v>
      </c>
      <c r="BY211" s="824">
        <f t="shared" si="130"/>
        <v>0</v>
      </c>
      <c r="BZ211" s="824">
        <f t="shared" si="130"/>
        <v>0</v>
      </c>
      <c r="CA211" s="824">
        <f t="shared" si="130"/>
        <v>0</v>
      </c>
      <c r="CB211" s="824">
        <f t="shared" si="130"/>
        <v>0</v>
      </c>
      <c r="CC211" s="824">
        <f t="shared" si="130"/>
        <v>0</v>
      </c>
      <c r="CD211" s="824">
        <f t="shared" si="130"/>
        <v>0</v>
      </c>
      <c r="CE211" s="824">
        <f t="shared" si="160"/>
        <v>0</v>
      </c>
      <c r="CF211" s="824">
        <f t="shared" si="160"/>
        <v>0</v>
      </c>
      <c r="CG211" s="824">
        <f t="shared" si="160"/>
        <v>0</v>
      </c>
      <c r="CH211" s="824">
        <f t="shared" si="160"/>
        <v>0</v>
      </c>
      <c r="CI211" s="824">
        <f t="shared" si="160"/>
        <v>0</v>
      </c>
      <c r="CJ211" s="824">
        <f t="shared" si="160"/>
        <v>0</v>
      </c>
      <c r="CK211" s="824">
        <f t="shared" si="160"/>
        <v>0</v>
      </c>
      <c r="CL211" s="824">
        <f t="shared" si="160"/>
        <v>0</v>
      </c>
      <c r="CM211" s="824">
        <f t="shared" si="160"/>
        <v>0</v>
      </c>
      <c r="CN211" s="824">
        <f t="shared" si="160"/>
        <v>0</v>
      </c>
      <c r="CO211" s="824">
        <f t="shared" si="160"/>
        <v>0</v>
      </c>
      <c r="CP211" s="824">
        <f t="shared" si="160"/>
        <v>0</v>
      </c>
      <c r="CQ211" s="824">
        <f t="shared" si="160"/>
        <v>0</v>
      </c>
      <c r="CR211" s="824">
        <f t="shared" si="160"/>
        <v>0</v>
      </c>
      <c r="CS211" s="824">
        <f t="shared" si="160"/>
        <v>0</v>
      </c>
      <c r="CT211" s="824">
        <f t="shared" si="160"/>
        <v>0</v>
      </c>
      <c r="CU211" s="824">
        <f t="shared" si="143"/>
        <v>0</v>
      </c>
      <c r="CV211" s="824">
        <f t="shared" si="143"/>
        <v>0</v>
      </c>
      <c r="CW211" s="824">
        <f t="shared" si="143"/>
        <v>0</v>
      </c>
      <c r="CX211" s="824">
        <f t="shared" si="143"/>
        <v>0</v>
      </c>
      <c r="CY211" s="824">
        <f t="shared" si="143"/>
        <v>0</v>
      </c>
      <c r="CZ211" s="824">
        <f t="shared" si="143"/>
        <v>0</v>
      </c>
      <c r="DA211" s="824">
        <f t="shared" si="144"/>
        <v>0</v>
      </c>
      <c r="DB211" s="824">
        <f t="shared" si="144"/>
        <v>0</v>
      </c>
      <c r="DC211" s="824">
        <f t="shared" si="144"/>
        <v>0</v>
      </c>
      <c r="DD211" s="824">
        <f t="shared" si="144"/>
        <v>0</v>
      </c>
      <c r="DE211" s="824">
        <f t="shared" si="144"/>
        <v>0</v>
      </c>
      <c r="DF211" s="824">
        <f t="shared" si="144"/>
        <v>0</v>
      </c>
      <c r="DG211" s="824">
        <f t="shared" si="144"/>
        <v>0</v>
      </c>
      <c r="DH211" s="824">
        <f t="shared" si="144"/>
        <v>0</v>
      </c>
      <c r="DI211" s="824">
        <f t="shared" si="144"/>
        <v>0</v>
      </c>
      <c r="DJ211" s="824">
        <f t="shared" si="144"/>
        <v>0</v>
      </c>
      <c r="DK211" s="824">
        <f t="shared" si="144"/>
        <v>0</v>
      </c>
      <c r="DL211" s="824">
        <f t="shared" si="144"/>
        <v>0</v>
      </c>
    </row>
    <row r="212" spans="2:116" ht="15" customHeight="1" thickBot="1" x14ac:dyDescent="0.3">
      <c r="B212" s="1673"/>
      <c r="C212" s="1680"/>
      <c r="D212" s="15" t="s">
        <v>128</v>
      </c>
      <c r="E212" s="165"/>
      <c r="F212" s="116">
        <f>SUBTOTAL(109,'3.1 I&amp;W'!$X$61)</f>
        <v>0</v>
      </c>
      <c r="G212" s="116">
        <f>SUBTOTAL(109,'3.1 I&amp;W'!$Y$61)</f>
        <v>0</v>
      </c>
      <c r="H212" s="116">
        <f>SUBTOTAL(109,'3.1 I&amp;W'!$AD$61)</f>
        <v>0</v>
      </c>
      <c r="I212" s="116">
        <f>SUBTOTAL(109,'3.1 I&amp;W'!$AE$61)</f>
        <v>0</v>
      </c>
      <c r="J212" s="116"/>
      <c r="K212" s="116"/>
      <c r="L212" s="116"/>
      <c r="M212" s="116">
        <f>SUBTOTAL(109,'3.1 I&amp;W'!$AI$61)</f>
        <v>0</v>
      </c>
      <c r="N212" s="156">
        <f t="shared" si="128"/>
        <v>0</v>
      </c>
      <c r="O212" s="116">
        <f>SUBTOTAL(109,'3.1 I&amp;W'!$S$61)</f>
        <v>0</v>
      </c>
      <c r="P212" s="30">
        <f t="shared" si="131"/>
        <v>0</v>
      </c>
      <c r="Q212" s="31">
        <f t="shared" si="118"/>
        <v>0</v>
      </c>
      <c r="R212" s="31">
        <f t="shared" si="119"/>
        <v>0</v>
      </c>
      <c r="S212" s="31">
        <f t="shared" si="120"/>
        <v>0</v>
      </c>
      <c r="T212" s="32">
        <f t="shared" si="121"/>
        <v>0</v>
      </c>
      <c r="U212" s="37">
        <f t="shared" si="129"/>
        <v>0</v>
      </c>
      <c r="V212" s="40">
        <f t="shared" si="122"/>
        <v>0</v>
      </c>
      <c r="W212" s="41">
        <f t="shared" si="123"/>
        <v>0</v>
      </c>
      <c r="X212" s="43"/>
      <c r="Y212" s="46"/>
      <c r="Z212" s="126"/>
      <c r="AA212" s="136"/>
      <c r="AB212" s="131">
        <v>9</v>
      </c>
      <c r="AC212" s="168">
        <f>IF(AF211&lt;=1,0,'3.1 Fi&amp;Fo'!$I$25)</f>
        <v>115387.08252993631</v>
      </c>
      <c r="AD212" s="169">
        <f>IF(AF211&lt;=1,0,AF211*'3.1 Fi&amp;Fo'!$H$25)</f>
        <v>47786.170513221157</v>
      </c>
      <c r="AE212" s="169">
        <f t="shared" si="132"/>
        <v>67600.912016715156</v>
      </c>
      <c r="AF212" s="170">
        <f t="shared" si="133"/>
        <v>2321707.6136443429</v>
      </c>
      <c r="AG212" s="168">
        <f>IF(AJ211&lt;=1,0,IF(AB212&lt;='3.1 Fi&amp;Fo'!$F$34,'3.1 Fi&amp;Fo'!$J$34,IF(AB212&lt;='3.1 Fi&amp;Fo'!$F$35,'3.1 Fi&amp;Fo'!$J$35,IF(AB212&lt;='3.1 Fi&amp;Fo'!$F$36,'3.1 Fi&amp;Fo'!$J$36,IF(AB212&lt;='3.1 Fi&amp;Fo'!$F$37,'3.1 Fi&amp;Fo'!$J$37,IF(AB212&lt;='3.1 Fi&amp;Fo'!$F$38,'3.1 Fi&amp;Fo'!$J$38,IF(AB212&lt;='3.1 Fi&amp;Fo'!$F$39,'3.1 Fi&amp;Fo'!$J$39,IF(AB212&lt;='3.1 Fi&amp;Fo'!$F$40,'3.1 Fi&amp;Fo'!$J$40))))))))</f>
        <v>0</v>
      </c>
      <c r="AH212" s="169">
        <f>IF(AJ211&lt;=1,0,AJ211*IF(AB212&lt;='3.1 Fi&amp;Fo'!$F$34,'3.1 Fi&amp;Fo'!$I$34,IF(AB212&lt;='3.1 Fi&amp;Fo'!$F$35,'3.1 Fi&amp;Fo'!$I$35,IF(AB212&lt;='3.1 Fi&amp;Fo'!$F$36,'3.1 Fi&amp;Fo'!$I$36,IF(AB212&lt;='3.1 Fi&amp;Fo'!$F$37,'3.1 Fi&amp;Fo'!$I$37,IF(AB212&lt;='3.1 Fi&amp;Fo'!$F$40,'3.1 Fi&amp;Fo'!$I$40))))))</f>
        <v>0</v>
      </c>
      <c r="AI212" s="169">
        <f t="shared" si="139"/>
        <v>0</v>
      </c>
      <c r="AJ212" s="170">
        <f t="shared" si="145"/>
        <v>0</v>
      </c>
      <c r="AK212" s="312">
        <f t="shared" si="140"/>
        <v>-141506.50155620495</v>
      </c>
      <c r="AL212" s="169">
        <f>IF(AB212&lt;='3.1 Fi&amp;Fo'!$J$15,'3.1 Fi&amp;Fo'!$I$15,0)</f>
        <v>0</v>
      </c>
      <c r="AM212" s="169">
        <f t="shared" si="141"/>
        <v>26119.419026268646</v>
      </c>
      <c r="AN212" s="838">
        <f t="shared" si="146"/>
        <v>9</v>
      </c>
      <c r="AO212" s="844">
        <f t="shared" si="134"/>
        <v>141506.50155620495</v>
      </c>
      <c r="AP212" s="839">
        <f>BW308</f>
        <v>0</v>
      </c>
      <c r="AQ212" s="844">
        <f t="shared" si="135"/>
        <v>0</v>
      </c>
      <c r="AR212" s="839">
        <f t="shared" si="147"/>
        <v>0</v>
      </c>
      <c r="AS212" s="839">
        <f t="shared" ca="1" si="142"/>
        <v>7223.7682891016384</v>
      </c>
      <c r="AT212" s="839">
        <f t="shared" si="148"/>
        <v>16812.460384805519</v>
      </c>
      <c r="AU212" s="839">
        <f ca="1">'PV-Einspeisung'!AA28*-1</f>
        <v>0</v>
      </c>
      <c r="AV212" s="839">
        <f>'PV-Einspeisung'!AE28*-1</f>
        <v>0</v>
      </c>
      <c r="AW212" s="839"/>
      <c r="AX212" s="839">
        <f t="shared" si="149"/>
        <v>0</v>
      </c>
      <c r="AY212" s="841">
        <f t="shared" si="136"/>
        <v>9</v>
      </c>
      <c r="AZ212" s="842">
        <f t="shared" si="150"/>
        <v>0</v>
      </c>
      <c r="BA212" s="842">
        <f t="shared" si="151"/>
        <v>0</v>
      </c>
      <c r="BB212" s="842">
        <f t="shared" si="152"/>
        <v>0</v>
      </c>
      <c r="BC212" s="842">
        <f t="shared" si="153"/>
        <v>0</v>
      </c>
      <c r="BD212" s="842">
        <f t="shared" si="154"/>
        <v>0</v>
      </c>
      <c r="BE212" s="842">
        <f t="shared" si="155"/>
        <v>0</v>
      </c>
      <c r="BF212" s="842">
        <f t="shared" si="156"/>
        <v>7444.5592911669264</v>
      </c>
      <c r="BG212" s="842">
        <f t="shared" si="157"/>
        <v>9367.9010936385948</v>
      </c>
      <c r="BH212" s="858">
        <f t="shared" si="138"/>
        <v>9</v>
      </c>
      <c r="BI212" s="857">
        <f t="shared" ca="1" si="158"/>
        <v>3402.1186208547451</v>
      </c>
      <c r="BJ212" s="857">
        <f t="shared" si="159"/>
        <v>3821.6496682468933</v>
      </c>
      <c r="BK212" s="859">
        <f ca="1">'PV-Einspeisung'!AB28*-1</f>
        <v>0</v>
      </c>
      <c r="BL212" s="824">
        <f t="shared" si="124"/>
        <v>0</v>
      </c>
      <c r="BM212" s="824">
        <f t="shared" si="125"/>
        <v>0</v>
      </c>
      <c r="BN212" s="824">
        <f t="shared" si="126"/>
        <v>0</v>
      </c>
      <c r="BO212" s="824">
        <f t="shared" si="130"/>
        <v>0</v>
      </c>
      <c r="BP212" s="824">
        <f t="shared" si="130"/>
        <v>0</v>
      </c>
      <c r="BQ212" s="824">
        <f t="shared" si="130"/>
        <v>0</v>
      </c>
      <c r="BR212" s="824">
        <f t="shared" si="130"/>
        <v>0</v>
      </c>
      <c r="BS212" s="824">
        <f t="shared" si="130"/>
        <v>0</v>
      </c>
      <c r="BT212" s="824">
        <f t="shared" si="130"/>
        <v>0</v>
      </c>
      <c r="BU212" s="824">
        <f t="shared" si="130"/>
        <v>0</v>
      </c>
      <c r="BV212" s="824">
        <f t="shared" si="130"/>
        <v>0</v>
      </c>
      <c r="BW212" s="824">
        <f t="shared" si="130"/>
        <v>0</v>
      </c>
      <c r="BX212" s="824">
        <f t="shared" si="130"/>
        <v>0</v>
      </c>
      <c r="BY212" s="824">
        <f t="shared" si="130"/>
        <v>0</v>
      </c>
      <c r="BZ212" s="824">
        <f t="shared" si="130"/>
        <v>0</v>
      </c>
      <c r="CA212" s="824">
        <f t="shared" si="130"/>
        <v>0</v>
      </c>
      <c r="CB212" s="824">
        <f t="shared" si="130"/>
        <v>0</v>
      </c>
      <c r="CC212" s="824">
        <f t="shared" si="130"/>
        <v>0</v>
      </c>
      <c r="CD212" s="824">
        <f t="shared" si="130"/>
        <v>0</v>
      </c>
      <c r="CE212" s="824">
        <f t="shared" si="160"/>
        <v>0</v>
      </c>
      <c r="CF212" s="824">
        <f t="shared" si="160"/>
        <v>0</v>
      </c>
      <c r="CG212" s="824">
        <f t="shared" si="160"/>
        <v>0</v>
      </c>
      <c r="CH212" s="824">
        <f t="shared" si="160"/>
        <v>0</v>
      </c>
      <c r="CI212" s="824">
        <f t="shared" si="160"/>
        <v>0</v>
      </c>
      <c r="CJ212" s="824">
        <f t="shared" si="160"/>
        <v>0</v>
      </c>
      <c r="CK212" s="824">
        <f t="shared" si="160"/>
        <v>0</v>
      </c>
      <c r="CL212" s="824">
        <f t="shared" si="160"/>
        <v>0</v>
      </c>
      <c r="CM212" s="824">
        <f t="shared" si="160"/>
        <v>0</v>
      </c>
      <c r="CN212" s="824">
        <f t="shared" si="160"/>
        <v>0</v>
      </c>
      <c r="CO212" s="824">
        <f t="shared" si="160"/>
        <v>0</v>
      </c>
      <c r="CP212" s="824">
        <f t="shared" si="160"/>
        <v>0</v>
      </c>
      <c r="CQ212" s="824">
        <f t="shared" si="160"/>
        <v>0</v>
      </c>
      <c r="CR212" s="824">
        <f t="shared" si="160"/>
        <v>0</v>
      </c>
      <c r="CS212" s="824">
        <f t="shared" si="160"/>
        <v>0</v>
      </c>
      <c r="CT212" s="824">
        <f t="shared" si="160"/>
        <v>0</v>
      </c>
      <c r="CU212" s="824">
        <f t="shared" si="143"/>
        <v>0</v>
      </c>
      <c r="CV212" s="824">
        <f t="shared" si="143"/>
        <v>0</v>
      </c>
      <c r="CW212" s="824">
        <f t="shared" si="143"/>
        <v>0</v>
      </c>
      <c r="CX212" s="824">
        <f t="shared" si="143"/>
        <v>0</v>
      </c>
      <c r="CY212" s="824">
        <f t="shared" si="143"/>
        <v>0</v>
      </c>
      <c r="CZ212" s="824">
        <f t="shared" si="143"/>
        <v>0</v>
      </c>
      <c r="DA212" s="824">
        <f t="shared" si="144"/>
        <v>0</v>
      </c>
      <c r="DB212" s="824">
        <f t="shared" si="144"/>
        <v>0</v>
      </c>
      <c r="DC212" s="824">
        <f t="shared" si="144"/>
        <v>0</v>
      </c>
      <c r="DD212" s="824">
        <f t="shared" si="144"/>
        <v>0</v>
      </c>
      <c r="DE212" s="824">
        <f t="shared" si="144"/>
        <v>0</v>
      </c>
      <c r="DF212" s="824">
        <f t="shared" si="144"/>
        <v>0</v>
      </c>
      <c r="DG212" s="824">
        <f t="shared" si="144"/>
        <v>0</v>
      </c>
      <c r="DH212" s="824">
        <f t="shared" si="144"/>
        <v>0</v>
      </c>
      <c r="DI212" s="824">
        <f t="shared" si="144"/>
        <v>0</v>
      </c>
      <c r="DJ212" s="824">
        <f t="shared" si="144"/>
        <v>0</v>
      </c>
      <c r="DK212" s="824">
        <f t="shared" si="144"/>
        <v>0</v>
      </c>
      <c r="DL212" s="824">
        <f t="shared" si="144"/>
        <v>0</v>
      </c>
    </row>
    <row r="213" spans="2:116" ht="15" customHeight="1" thickBot="1" x14ac:dyDescent="0.3">
      <c r="B213" s="1673"/>
      <c r="C213" s="1680"/>
      <c r="D213" s="15" t="s">
        <v>128</v>
      </c>
      <c r="E213" s="116"/>
      <c r="F213" s="116">
        <f>SUBTOTAL(109,'3.1 I&amp;W'!$X$62)</f>
        <v>0</v>
      </c>
      <c r="G213" s="116">
        <f>SUBTOTAL(109,'3.1 I&amp;W'!$Y$62)</f>
        <v>0</v>
      </c>
      <c r="H213" s="116">
        <f>SUBTOTAL(109,'3.1 I&amp;W'!$AD$62)</f>
        <v>0</v>
      </c>
      <c r="I213" s="116">
        <f>SUBTOTAL(109,'3.1 I&amp;W'!$AE$62)</f>
        <v>0</v>
      </c>
      <c r="J213" s="116"/>
      <c r="K213" s="116"/>
      <c r="L213" s="116"/>
      <c r="M213" s="116">
        <f>SUBTOTAL(109,'3.1 I&amp;W'!$AI$62)</f>
        <v>0</v>
      </c>
      <c r="N213" s="156">
        <f t="shared" si="128"/>
        <v>0</v>
      </c>
      <c r="O213" s="116">
        <f>SUBTOTAL(109,'3.1 I&amp;W'!$S$62)</f>
        <v>0</v>
      </c>
      <c r="P213" s="30">
        <f t="shared" si="131"/>
        <v>0</v>
      </c>
      <c r="Q213" s="31">
        <f t="shared" si="118"/>
        <v>0</v>
      </c>
      <c r="R213" s="31">
        <f t="shared" si="119"/>
        <v>0</v>
      </c>
      <c r="S213" s="31">
        <f t="shared" si="120"/>
        <v>0</v>
      </c>
      <c r="T213" s="32">
        <f t="shared" si="121"/>
        <v>0</v>
      </c>
      <c r="U213" s="37">
        <f t="shared" si="129"/>
        <v>0</v>
      </c>
      <c r="V213" s="40">
        <f t="shared" si="122"/>
        <v>0</v>
      </c>
      <c r="W213" s="41">
        <f t="shared" si="123"/>
        <v>0</v>
      </c>
      <c r="X213" s="43"/>
      <c r="Y213" s="46"/>
      <c r="Z213" s="126"/>
      <c r="AA213" s="136"/>
      <c r="AB213" s="131">
        <v>10</v>
      </c>
      <c r="AC213" s="168">
        <f>IF(AF212&lt;=1,0,'3.1 Fi&amp;Fo'!$I$25)</f>
        <v>115387.08252993631</v>
      </c>
      <c r="AD213" s="169">
        <f>IF(AF212&lt;=1,0,AF212*'3.1 Fi&amp;Fo'!$H$25)</f>
        <v>46434.152272886859</v>
      </c>
      <c r="AE213" s="169">
        <f t="shared" si="132"/>
        <v>68952.930257049447</v>
      </c>
      <c r="AF213" s="170">
        <f t="shared" si="133"/>
        <v>2252754.6833872935</v>
      </c>
      <c r="AG213" s="168">
        <f>IF(AJ212&lt;=1,0,IF(AB213&lt;='3.1 Fi&amp;Fo'!$F$34,'3.1 Fi&amp;Fo'!$J$34,IF(AB213&lt;='3.1 Fi&amp;Fo'!$F$35,'3.1 Fi&amp;Fo'!$J$35,IF(AB213&lt;='3.1 Fi&amp;Fo'!$F$36,'3.1 Fi&amp;Fo'!$J$36,IF(AB213&lt;='3.1 Fi&amp;Fo'!$F$37,'3.1 Fi&amp;Fo'!$J$37,IF(AB213&lt;='3.1 Fi&amp;Fo'!$F$38,'3.1 Fi&amp;Fo'!$J$38,IF(AB213&lt;='3.1 Fi&amp;Fo'!$F$39,'3.1 Fi&amp;Fo'!$J$39,IF(AB213&lt;='3.1 Fi&amp;Fo'!$F$40,'3.1 Fi&amp;Fo'!$J$40))))))))</f>
        <v>0</v>
      </c>
      <c r="AH213" s="169">
        <f>IF(AJ212&lt;=1,0,AJ212*IF(AB213&lt;='3.1 Fi&amp;Fo'!$F$34,'3.1 Fi&amp;Fo'!$I$34,IF(AB213&lt;='3.1 Fi&amp;Fo'!$F$35,'3.1 Fi&amp;Fo'!$I$35,IF(AB213&lt;='3.1 Fi&amp;Fo'!$F$36,'3.1 Fi&amp;Fo'!$I$36,IF(AB213&lt;='3.1 Fi&amp;Fo'!$F$37,'3.1 Fi&amp;Fo'!$I$37,IF(AB213&lt;='3.1 Fi&amp;Fo'!$F$40,'3.1 Fi&amp;Fo'!$I$40))))))</f>
        <v>0</v>
      </c>
      <c r="AI213" s="169">
        <f t="shared" si="139"/>
        <v>0</v>
      </c>
      <c r="AJ213" s="170">
        <f t="shared" si="145"/>
        <v>0</v>
      </c>
      <c r="AK213" s="312">
        <f t="shared" si="140"/>
        <v>-142028.88993673012</v>
      </c>
      <c r="AL213" s="169">
        <f>IF(AB213&lt;='3.1 Fi&amp;Fo'!$J$15,'3.1 Fi&amp;Fo'!$I$15,0)</f>
        <v>0</v>
      </c>
      <c r="AM213" s="169">
        <f t="shared" si="141"/>
        <v>26641.807406793814</v>
      </c>
      <c r="AN213" s="838">
        <f t="shared" si="146"/>
        <v>10</v>
      </c>
      <c r="AO213" s="844">
        <f t="shared" si="134"/>
        <v>142028.88993673012</v>
      </c>
      <c r="AP213" s="839">
        <f>BX308</f>
        <v>0</v>
      </c>
      <c r="AQ213" s="844">
        <f t="shared" si="135"/>
        <v>0</v>
      </c>
      <c r="AR213" s="839">
        <f t="shared" si="147"/>
        <v>0</v>
      </c>
      <c r="AS213" s="839">
        <f t="shared" ca="1" si="142"/>
        <v>7339.3485817272649</v>
      </c>
      <c r="AT213" s="839">
        <f t="shared" si="148"/>
        <v>17326.450905362046</v>
      </c>
      <c r="AU213" s="839">
        <f ca="1">'PV-Einspeisung'!AA29*-1</f>
        <v>0</v>
      </c>
      <c r="AV213" s="839">
        <f>'PV-Einspeisung'!AE29*-1</f>
        <v>0</v>
      </c>
      <c r="AW213" s="839"/>
      <c r="AX213" s="839">
        <f t="shared" si="149"/>
        <v>0</v>
      </c>
      <c r="AY213" s="841">
        <f t="shared" si="136"/>
        <v>10</v>
      </c>
      <c r="AZ213" s="842">
        <f t="shared" si="150"/>
        <v>0</v>
      </c>
      <c r="BA213" s="842">
        <f t="shared" si="151"/>
        <v>0</v>
      </c>
      <c r="BB213" s="842">
        <f t="shared" si="152"/>
        <v>0</v>
      </c>
      <c r="BC213" s="842">
        <f t="shared" si="153"/>
        <v>0</v>
      </c>
      <c r="BD213" s="842">
        <f t="shared" si="154"/>
        <v>0</v>
      </c>
      <c r="BE213" s="842">
        <f t="shared" si="155"/>
        <v>0</v>
      </c>
      <c r="BF213" s="842">
        <f t="shared" si="156"/>
        <v>7630.6732734460993</v>
      </c>
      <c r="BG213" s="842">
        <f t="shared" si="157"/>
        <v>9695.7776319159457</v>
      </c>
      <c r="BH213" s="858">
        <f t="shared" si="138"/>
        <v>10</v>
      </c>
      <c r="BI213" s="857">
        <f t="shared" ca="1" si="158"/>
        <v>3456.5525187884209</v>
      </c>
      <c r="BJ213" s="857">
        <f t="shared" si="159"/>
        <v>3882.7960629388435</v>
      </c>
      <c r="BK213" s="859">
        <f ca="1">'PV-Einspeisung'!AB29*-1</f>
        <v>0</v>
      </c>
      <c r="BL213" s="824">
        <f t="shared" si="124"/>
        <v>0</v>
      </c>
      <c r="BM213" s="824">
        <f t="shared" si="125"/>
        <v>0</v>
      </c>
      <c r="BN213" s="824">
        <f t="shared" si="126"/>
        <v>0</v>
      </c>
      <c r="BO213" s="824">
        <f t="shared" si="130"/>
        <v>0</v>
      </c>
      <c r="BP213" s="824">
        <f t="shared" si="130"/>
        <v>0</v>
      </c>
      <c r="BQ213" s="824">
        <f t="shared" si="130"/>
        <v>0</v>
      </c>
      <c r="BR213" s="824">
        <f t="shared" si="130"/>
        <v>0</v>
      </c>
      <c r="BS213" s="824">
        <f t="shared" si="130"/>
        <v>0</v>
      </c>
      <c r="BT213" s="824">
        <f t="shared" si="130"/>
        <v>0</v>
      </c>
      <c r="BU213" s="824">
        <f t="shared" si="130"/>
        <v>0</v>
      </c>
      <c r="BV213" s="824">
        <f t="shared" si="130"/>
        <v>0</v>
      </c>
      <c r="BW213" s="824">
        <f t="shared" si="130"/>
        <v>0</v>
      </c>
      <c r="BX213" s="824">
        <f t="shared" si="130"/>
        <v>0</v>
      </c>
      <c r="BY213" s="824">
        <f t="shared" si="130"/>
        <v>0</v>
      </c>
      <c r="BZ213" s="824">
        <f t="shared" si="130"/>
        <v>0</v>
      </c>
      <c r="CA213" s="824">
        <f t="shared" si="130"/>
        <v>0</v>
      </c>
      <c r="CB213" s="824">
        <f t="shared" si="130"/>
        <v>0</v>
      </c>
      <c r="CC213" s="824">
        <f t="shared" si="130"/>
        <v>0</v>
      </c>
      <c r="CD213" s="824">
        <f t="shared" si="130"/>
        <v>0</v>
      </c>
      <c r="CE213" s="824">
        <f t="shared" si="160"/>
        <v>0</v>
      </c>
      <c r="CF213" s="824">
        <f t="shared" si="160"/>
        <v>0</v>
      </c>
      <c r="CG213" s="824">
        <f t="shared" si="160"/>
        <v>0</v>
      </c>
      <c r="CH213" s="824">
        <f t="shared" si="160"/>
        <v>0</v>
      </c>
      <c r="CI213" s="824">
        <f t="shared" si="160"/>
        <v>0</v>
      </c>
      <c r="CJ213" s="824">
        <f t="shared" si="160"/>
        <v>0</v>
      </c>
      <c r="CK213" s="824">
        <f t="shared" si="160"/>
        <v>0</v>
      </c>
      <c r="CL213" s="824">
        <f t="shared" si="160"/>
        <v>0</v>
      </c>
      <c r="CM213" s="824">
        <f t="shared" si="160"/>
        <v>0</v>
      </c>
      <c r="CN213" s="824">
        <f t="shared" si="160"/>
        <v>0</v>
      </c>
      <c r="CO213" s="824">
        <f t="shared" si="160"/>
        <v>0</v>
      </c>
      <c r="CP213" s="824">
        <f t="shared" si="160"/>
        <v>0</v>
      </c>
      <c r="CQ213" s="824">
        <f t="shared" si="160"/>
        <v>0</v>
      </c>
      <c r="CR213" s="824">
        <f t="shared" si="160"/>
        <v>0</v>
      </c>
      <c r="CS213" s="824">
        <f t="shared" si="160"/>
        <v>0</v>
      </c>
      <c r="CT213" s="824">
        <f t="shared" si="160"/>
        <v>0</v>
      </c>
      <c r="CU213" s="824">
        <f t="shared" si="143"/>
        <v>0</v>
      </c>
      <c r="CV213" s="824">
        <f t="shared" si="143"/>
        <v>0</v>
      </c>
      <c r="CW213" s="824">
        <f t="shared" si="143"/>
        <v>0</v>
      </c>
      <c r="CX213" s="824">
        <f t="shared" si="143"/>
        <v>0</v>
      </c>
      <c r="CY213" s="824">
        <f t="shared" si="143"/>
        <v>0</v>
      </c>
      <c r="CZ213" s="824">
        <f t="shared" si="143"/>
        <v>0</v>
      </c>
      <c r="DA213" s="824">
        <f t="shared" si="144"/>
        <v>0</v>
      </c>
      <c r="DB213" s="824">
        <f t="shared" si="144"/>
        <v>0</v>
      </c>
      <c r="DC213" s="824">
        <f t="shared" si="144"/>
        <v>0</v>
      </c>
      <c r="DD213" s="824">
        <f t="shared" si="144"/>
        <v>0</v>
      </c>
      <c r="DE213" s="824">
        <f t="shared" si="144"/>
        <v>0</v>
      </c>
      <c r="DF213" s="824">
        <f t="shared" si="144"/>
        <v>0</v>
      </c>
      <c r="DG213" s="824">
        <f t="shared" si="144"/>
        <v>0</v>
      </c>
      <c r="DH213" s="824">
        <f t="shared" si="144"/>
        <v>0</v>
      </c>
      <c r="DI213" s="824">
        <f t="shared" si="144"/>
        <v>0</v>
      </c>
      <c r="DJ213" s="824">
        <f t="shared" si="144"/>
        <v>0</v>
      </c>
      <c r="DK213" s="824">
        <f t="shared" si="144"/>
        <v>0</v>
      </c>
      <c r="DL213" s="824">
        <f t="shared" si="144"/>
        <v>0</v>
      </c>
    </row>
    <row r="214" spans="2:116" ht="15" customHeight="1" thickBot="1" x14ac:dyDescent="0.3">
      <c r="B214" s="1673"/>
      <c r="C214" s="1680"/>
      <c r="D214" s="15" t="s">
        <v>128</v>
      </c>
      <c r="E214" s="165"/>
      <c r="F214" s="116">
        <f>SUBTOTAL(109,'3.1 I&amp;W'!$X$63)</f>
        <v>0</v>
      </c>
      <c r="G214" s="116">
        <f>SUBTOTAL(109,'3.1 I&amp;W'!$Y$63)</f>
        <v>0</v>
      </c>
      <c r="H214" s="116">
        <f>SUBTOTAL(109,'3.1 I&amp;W'!$AD$63)</f>
        <v>0</v>
      </c>
      <c r="I214" s="116">
        <f>SUBTOTAL(109,'3.1 I&amp;W'!$AE$63)</f>
        <v>0</v>
      </c>
      <c r="J214" s="116"/>
      <c r="K214" s="116"/>
      <c r="L214" s="116"/>
      <c r="M214" s="116">
        <f>SUBTOTAL(109,'3.1 I&amp;W'!$AI$63)</f>
        <v>0</v>
      </c>
      <c r="N214" s="156">
        <f t="shared" si="128"/>
        <v>0</v>
      </c>
      <c r="O214" s="116">
        <f>SUBTOTAL(109,'3.1 I&amp;W'!$S$63)</f>
        <v>0</v>
      </c>
      <c r="P214" s="30">
        <f t="shared" si="131"/>
        <v>0</v>
      </c>
      <c r="Q214" s="31">
        <f t="shared" si="118"/>
        <v>0</v>
      </c>
      <c r="R214" s="31">
        <f t="shared" si="119"/>
        <v>0</v>
      </c>
      <c r="S214" s="31">
        <f t="shared" si="120"/>
        <v>0</v>
      </c>
      <c r="T214" s="32">
        <f t="shared" si="121"/>
        <v>0</v>
      </c>
      <c r="U214" s="37">
        <f t="shared" si="129"/>
        <v>0</v>
      </c>
      <c r="V214" s="40">
        <f t="shared" si="122"/>
        <v>0</v>
      </c>
      <c r="W214" s="41">
        <f t="shared" si="123"/>
        <v>0</v>
      </c>
      <c r="X214" s="43"/>
      <c r="Y214" s="46"/>
      <c r="Z214" s="126"/>
      <c r="AA214" s="136"/>
      <c r="AB214" s="131">
        <v>11</v>
      </c>
      <c r="AC214" s="168">
        <f>IF(AF213&lt;=1,0,'3.1 Fi&amp;Fo'!$I$25)</f>
        <v>115387.08252993631</v>
      </c>
      <c r="AD214" s="169">
        <f>IF(AF213&lt;=1,0,AF213*'3.1 Fi&amp;Fo'!$H$25)</f>
        <v>45055.093667745874</v>
      </c>
      <c r="AE214" s="169">
        <f t="shared" si="132"/>
        <v>70331.988862190425</v>
      </c>
      <c r="AF214" s="170">
        <f t="shared" si="133"/>
        <v>2182422.6945251031</v>
      </c>
      <c r="AG214" s="168">
        <f>IF(AJ213&lt;=1,0,IF(AB214&lt;='3.1 Fi&amp;Fo'!$F$34,'3.1 Fi&amp;Fo'!$J$34,IF(AB214&lt;='3.1 Fi&amp;Fo'!$F$35,'3.1 Fi&amp;Fo'!$J$35,IF(AB214&lt;='3.1 Fi&amp;Fo'!$F$36,'3.1 Fi&amp;Fo'!$J$36,IF(AB214&lt;='3.1 Fi&amp;Fo'!$F$37,'3.1 Fi&amp;Fo'!$J$37,IF(AB214&lt;='3.1 Fi&amp;Fo'!$F$38,'3.1 Fi&amp;Fo'!$J$38,IF(AB214&lt;='3.1 Fi&amp;Fo'!$F$39,'3.1 Fi&amp;Fo'!$J$39,IF(AB214&lt;='3.1 Fi&amp;Fo'!$F$40,'3.1 Fi&amp;Fo'!$J$40))))))))</f>
        <v>0</v>
      </c>
      <c r="AH214" s="169">
        <f>IF(AJ213&lt;=1,0,AJ213*IF(AB214&lt;='3.1 Fi&amp;Fo'!$F$34,'3.1 Fi&amp;Fo'!$I$34,IF(AB214&lt;='3.1 Fi&amp;Fo'!$F$35,'3.1 Fi&amp;Fo'!$I$35,IF(AB214&lt;='3.1 Fi&amp;Fo'!$F$36,'3.1 Fi&amp;Fo'!$I$36,IF(AB214&lt;='3.1 Fi&amp;Fo'!$F$37,'3.1 Fi&amp;Fo'!$I$37,IF(AB214&lt;='3.1 Fi&amp;Fo'!$F$40,'3.1 Fi&amp;Fo'!$I$40))))))</f>
        <v>0</v>
      </c>
      <c r="AI214" s="169">
        <f t="shared" si="139"/>
        <v>0</v>
      </c>
      <c r="AJ214" s="170">
        <f t="shared" si="145"/>
        <v>0</v>
      </c>
      <c r="AK214" s="312">
        <f t="shared" si="140"/>
        <v>-142561.72608486595</v>
      </c>
      <c r="AL214" s="169">
        <f>IF(AB214&lt;='3.1 Fi&amp;Fo'!$J$15,'3.1 Fi&amp;Fo'!$I$15,0)</f>
        <v>0</v>
      </c>
      <c r="AM214" s="169">
        <f t="shared" si="141"/>
        <v>27174.643554929644</v>
      </c>
      <c r="AN214" s="838">
        <f t="shared" si="146"/>
        <v>11</v>
      </c>
      <c r="AO214" s="844">
        <f t="shared" si="134"/>
        <v>142561.72608486595</v>
      </c>
      <c r="AP214" s="839">
        <f>BY308</f>
        <v>0</v>
      </c>
      <c r="AQ214" s="844">
        <f t="shared" si="135"/>
        <v>0</v>
      </c>
      <c r="AR214" s="839">
        <f t="shared" si="147"/>
        <v>0</v>
      </c>
      <c r="AS214" s="839">
        <f t="shared" ca="1" si="142"/>
        <v>7456.7781590349005</v>
      </c>
      <c r="AT214" s="839">
        <f t="shared" si="148"/>
        <v>17856.569954315255</v>
      </c>
      <c r="AU214" s="839">
        <f ca="1">'PV-Einspeisung'!AA30*-1</f>
        <v>0</v>
      </c>
      <c r="AV214" s="839">
        <f>'PV-Einspeisung'!AE30*-1</f>
        <v>0</v>
      </c>
      <c r="AW214" s="839"/>
      <c r="AX214" s="839">
        <f t="shared" si="149"/>
        <v>0</v>
      </c>
      <c r="AY214" s="841">
        <f t="shared" si="136"/>
        <v>11</v>
      </c>
      <c r="AZ214" s="842">
        <f t="shared" si="150"/>
        <v>0</v>
      </c>
      <c r="BA214" s="842">
        <f t="shared" si="151"/>
        <v>0</v>
      </c>
      <c r="BB214" s="842">
        <f t="shared" si="152"/>
        <v>0</v>
      </c>
      <c r="BC214" s="842">
        <f t="shared" si="153"/>
        <v>0</v>
      </c>
      <c r="BD214" s="842">
        <f t="shared" si="154"/>
        <v>0</v>
      </c>
      <c r="BE214" s="842">
        <f t="shared" si="155"/>
        <v>0</v>
      </c>
      <c r="BF214" s="842">
        <f t="shared" si="156"/>
        <v>7821.4401052822514</v>
      </c>
      <c r="BG214" s="842">
        <f t="shared" si="157"/>
        <v>10035.129849033003</v>
      </c>
      <c r="BH214" s="858">
        <f t="shared" si="138"/>
        <v>11</v>
      </c>
      <c r="BI214" s="857">
        <f t="shared" ca="1" si="158"/>
        <v>3511.8573590890355</v>
      </c>
      <c r="BJ214" s="857">
        <f t="shared" si="159"/>
        <v>3944.9207999458649</v>
      </c>
      <c r="BK214" s="859">
        <f ca="1">'PV-Einspeisung'!AB30*-1</f>
        <v>0</v>
      </c>
      <c r="BL214" s="824">
        <f t="shared" si="124"/>
        <v>0</v>
      </c>
      <c r="BM214" s="824">
        <f t="shared" si="125"/>
        <v>0</v>
      </c>
      <c r="BN214" s="824">
        <f t="shared" si="126"/>
        <v>0</v>
      </c>
      <c r="BO214" s="824">
        <f t="shared" si="130"/>
        <v>0</v>
      </c>
      <c r="BP214" s="824">
        <f t="shared" si="130"/>
        <v>0</v>
      </c>
      <c r="BQ214" s="824">
        <f t="shared" si="130"/>
        <v>0</v>
      </c>
      <c r="BR214" s="824">
        <f t="shared" si="130"/>
        <v>0</v>
      </c>
      <c r="BS214" s="824">
        <f t="shared" si="130"/>
        <v>0</v>
      </c>
      <c r="BT214" s="824">
        <f t="shared" si="130"/>
        <v>0</v>
      </c>
      <c r="BU214" s="824">
        <f t="shared" si="130"/>
        <v>0</v>
      </c>
      <c r="BV214" s="824">
        <f t="shared" si="130"/>
        <v>0</v>
      </c>
      <c r="BW214" s="824">
        <f t="shared" si="130"/>
        <v>0</v>
      </c>
      <c r="BX214" s="824">
        <f t="shared" si="130"/>
        <v>0</v>
      </c>
      <c r="BY214" s="824">
        <f t="shared" si="130"/>
        <v>0</v>
      </c>
      <c r="BZ214" s="824">
        <f t="shared" si="130"/>
        <v>0</v>
      </c>
      <c r="CA214" s="824">
        <f t="shared" si="130"/>
        <v>0</v>
      </c>
      <c r="CB214" s="824">
        <f t="shared" si="130"/>
        <v>0</v>
      </c>
      <c r="CC214" s="824">
        <f t="shared" si="130"/>
        <v>0</v>
      </c>
      <c r="CD214" s="824">
        <f t="shared" si="130"/>
        <v>0</v>
      </c>
      <c r="CE214" s="824">
        <f t="shared" si="160"/>
        <v>0</v>
      </c>
      <c r="CF214" s="824">
        <f t="shared" si="160"/>
        <v>0</v>
      </c>
      <c r="CG214" s="824">
        <f t="shared" si="160"/>
        <v>0</v>
      </c>
      <c r="CH214" s="824">
        <f t="shared" si="160"/>
        <v>0</v>
      </c>
      <c r="CI214" s="824">
        <f t="shared" si="160"/>
        <v>0</v>
      </c>
      <c r="CJ214" s="824">
        <f t="shared" si="160"/>
        <v>0</v>
      </c>
      <c r="CK214" s="824">
        <f t="shared" si="160"/>
        <v>0</v>
      </c>
      <c r="CL214" s="824">
        <f t="shared" si="160"/>
        <v>0</v>
      </c>
      <c r="CM214" s="824">
        <f t="shared" si="160"/>
        <v>0</v>
      </c>
      <c r="CN214" s="824">
        <f t="shared" si="160"/>
        <v>0</v>
      </c>
      <c r="CO214" s="824">
        <f t="shared" si="160"/>
        <v>0</v>
      </c>
      <c r="CP214" s="824">
        <f t="shared" si="160"/>
        <v>0</v>
      </c>
      <c r="CQ214" s="824">
        <f t="shared" si="160"/>
        <v>0</v>
      </c>
      <c r="CR214" s="824">
        <f t="shared" si="160"/>
        <v>0</v>
      </c>
      <c r="CS214" s="824">
        <f t="shared" si="160"/>
        <v>0</v>
      </c>
      <c r="CT214" s="824">
        <f t="shared" si="160"/>
        <v>0</v>
      </c>
      <c r="CU214" s="824">
        <f t="shared" si="143"/>
        <v>0</v>
      </c>
      <c r="CV214" s="824">
        <f t="shared" si="143"/>
        <v>0</v>
      </c>
      <c r="CW214" s="824">
        <f t="shared" si="143"/>
        <v>0</v>
      </c>
      <c r="CX214" s="824">
        <f t="shared" si="143"/>
        <v>0</v>
      </c>
      <c r="CY214" s="824">
        <f t="shared" si="143"/>
        <v>0</v>
      </c>
      <c r="CZ214" s="824">
        <f t="shared" si="143"/>
        <v>0</v>
      </c>
      <c r="DA214" s="824">
        <f t="shared" si="144"/>
        <v>0</v>
      </c>
      <c r="DB214" s="824">
        <f t="shared" si="144"/>
        <v>0</v>
      </c>
      <c r="DC214" s="824">
        <f t="shared" si="144"/>
        <v>0</v>
      </c>
      <c r="DD214" s="824">
        <f t="shared" si="144"/>
        <v>0</v>
      </c>
      <c r="DE214" s="824">
        <f t="shared" si="144"/>
        <v>0</v>
      </c>
      <c r="DF214" s="824">
        <f t="shared" si="144"/>
        <v>0</v>
      </c>
      <c r="DG214" s="824">
        <f t="shared" si="144"/>
        <v>0</v>
      </c>
      <c r="DH214" s="824">
        <f t="shared" si="144"/>
        <v>0</v>
      </c>
      <c r="DI214" s="824">
        <f t="shared" si="144"/>
        <v>0</v>
      </c>
      <c r="DJ214" s="824">
        <f t="shared" si="144"/>
        <v>0</v>
      </c>
      <c r="DK214" s="824">
        <f t="shared" si="144"/>
        <v>0</v>
      </c>
      <c r="DL214" s="824">
        <f t="shared" si="144"/>
        <v>0</v>
      </c>
    </row>
    <row r="215" spans="2:116" ht="15" customHeight="1" thickBot="1" x14ac:dyDescent="0.3">
      <c r="B215" s="1673"/>
      <c r="C215" s="1680"/>
      <c r="D215" s="15" t="s">
        <v>132</v>
      </c>
      <c r="E215" s="116"/>
      <c r="F215" s="116">
        <f>SUBTOTAL(109,'3.1 I&amp;W'!$X$66)</f>
        <v>0</v>
      </c>
      <c r="G215" s="116">
        <f>SUBTOTAL(109,'3.1 I&amp;W'!$Y$66)</f>
        <v>0</v>
      </c>
      <c r="H215" s="116">
        <f>SUBTOTAL(109,'3.1 I&amp;W'!$AD$66)</f>
        <v>0</v>
      </c>
      <c r="I215" s="116">
        <f>SUBTOTAL(109,'3.1 I&amp;W'!$AE$66)</f>
        <v>0</v>
      </c>
      <c r="J215" s="116"/>
      <c r="K215" s="116"/>
      <c r="L215" s="116"/>
      <c r="M215" s="116">
        <f>SUBTOTAL(109,'3.1 I&amp;W'!$AI$66)</f>
        <v>0</v>
      </c>
      <c r="N215" s="156">
        <f t="shared" si="128"/>
        <v>0</v>
      </c>
      <c r="O215" s="116">
        <f>SUBTOTAL(109,'3.1 I&amp;W'!$S$66)</f>
        <v>0</v>
      </c>
      <c r="P215" s="30">
        <f t="shared" si="131"/>
        <v>0</v>
      </c>
      <c r="Q215" s="31">
        <f t="shared" si="118"/>
        <v>0</v>
      </c>
      <c r="R215" s="31">
        <f t="shared" si="119"/>
        <v>0</v>
      </c>
      <c r="S215" s="31">
        <f t="shared" si="120"/>
        <v>0</v>
      </c>
      <c r="T215" s="32">
        <f t="shared" si="121"/>
        <v>0</v>
      </c>
      <c r="U215" s="37">
        <f t="shared" si="129"/>
        <v>0</v>
      </c>
      <c r="V215" s="40">
        <f t="shared" si="122"/>
        <v>0</v>
      </c>
      <c r="W215" s="41">
        <f t="shared" si="123"/>
        <v>0</v>
      </c>
      <c r="X215" s="43"/>
      <c r="Y215" s="46"/>
      <c r="Z215" s="126"/>
      <c r="AA215" s="136"/>
      <c r="AB215" s="131">
        <v>12</v>
      </c>
      <c r="AC215" s="168">
        <f>IF(AF214&lt;=1,0,'3.1 Fi&amp;Fo'!$I$25)</f>
        <v>115387.08252993631</v>
      </c>
      <c r="AD215" s="169">
        <f>IF(AF214&lt;=1,0,AF214*'3.1 Fi&amp;Fo'!$H$25)</f>
        <v>43648.45389050206</v>
      </c>
      <c r="AE215" s="169">
        <f t="shared" si="132"/>
        <v>71738.628639434246</v>
      </c>
      <c r="AF215" s="170">
        <f t="shared" si="133"/>
        <v>2110684.0658856686</v>
      </c>
      <c r="AG215" s="168">
        <f>IF(AJ214&lt;=1,0,IF(AB215&lt;='3.1 Fi&amp;Fo'!$F$34,'3.1 Fi&amp;Fo'!$J$34,IF(AB215&lt;='3.1 Fi&amp;Fo'!$F$35,'3.1 Fi&amp;Fo'!$J$35,IF(AB215&lt;='3.1 Fi&amp;Fo'!$F$36,'3.1 Fi&amp;Fo'!$J$36,IF(AB215&lt;='3.1 Fi&amp;Fo'!$F$37,'3.1 Fi&amp;Fo'!$J$37,IF(AB215&lt;='3.1 Fi&amp;Fo'!$F$38,'3.1 Fi&amp;Fo'!$J$38,IF(AB215&lt;='3.1 Fi&amp;Fo'!$F$39,'3.1 Fi&amp;Fo'!$J$39,IF(AB215&lt;='3.1 Fi&amp;Fo'!$F$40,'3.1 Fi&amp;Fo'!$J$40))))))))</f>
        <v>0</v>
      </c>
      <c r="AH215" s="169">
        <f>IF(AJ214&lt;=1,0,AJ214*IF(AB215&lt;='3.1 Fi&amp;Fo'!$F$34,'3.1 Fi&amp;Fo'!$I$34,IF(AB215&lt;='3.1 Fi&amp;Fo'!$F$35,'3.1 Fi&amp;Fo'!$I$35,IF(AB215&lt;='3.1 Fi&amp;Fo'!$F$36,'3.1 Fi&amp;Fo'!$I$36,IF(AB215&lt;='3.1 Fi&amp;Fo'!$F$37,'3.1 Fi&amp;Fo'!$I$37,IF(AB215&lt;='3.1 Fi&amp;Fo'!$F$40,'3.1 Fi&amp;Fo'!$I$40))))))</f>
        <v>0</v>
      </c>
      <c r="AI215" s="169">
        <f t="shared" si="139"/>
        <v>0</v>
      </c>
      <c r="AJ215" s="170">
        <f t="shared" si="145"/>
        <v>0</v>
      </c>
      <c r="AK215" s="312">
        <f t="shared" si="140"/>
        <v>-143105.21895596487</v>
      </c>
      <c r="AL215" s="169">
        <f>IF(AB215&lt;='3.1 Fi&amp;Fo'!$J$15,'3.1 Fi&amp;Fo'!$I$15,0)</f>
        <v>0</v>
      </c>
      <c r="AM215" s="169">
        <f t="shared" si="141"/>
        <v>27718.136426028563</v>
      </c>
      <c r="AN215" s="838">
        <f t="shared" si="146"/>
        <v>12</v>
      </c>
      <c r="AO215" s="844">
        <f t="shared" si="134"/>
        <v>143105.21895596487</v>
      </c>
      <c r="AP215" s="839">
        <f>BZ308</f>
        <v>0</v>
      </c>
      <c r="AQ215" s="844">
        <f t="shared" si="135"/>
        <v>0</v>
      </c>
      <c r="AR215" s="839">
        <f t="shared" si="147"/>
        <v>0</v>
      </c>
      <c r="AS215" s="839">
        <f t="shared" ca="1" si="142"/>
        <v>7576.086609579459</v>
      </c>
      <c r="AT215" s="839">
        <f t="shared" si="148"/>
        <v>18403.335501663463</v>
      </c>
      <c r="AU215" s="839">
        <f ca="1">'PV-Einspeisung'!AA31*-1</f>
        <v>0</v>
      </c>
      <c r="AV215" s="839">
        <f>'PV-Einspeisung'!AE31*-1</f>
        <v>0</v>
      </c>
      <c r="AW215" s="839"/>
      <c r="AX215" s="839">
        <f t="shared" si="149"/>
        <v>0</v>
      </c>
      <c r="AY215" s="841">
        <f t="shared" si="136"/>
        <v>12</v>
      </c>
      <c r="AZ215" s="842">
        <f t="shared" si="150"/>
        <v>0</v>
      </c>
      <c r="BA215" s="842">
        <f t="shared" si="151"/>
        <v>0</v>
      </c>
      <c r="BB215" s="842">
        <f t="shared" si="152"/>
        <v>0</v>
      </c>
      <c r="BC215" s="842">
        <f t="shared" si="153"/>
        <v>0</v>
      </c>
      <c r="BD215" s="842">
        <f t="shared" si="154"/>
        <v>0</v>
      </c>
      <c r="BE215" s="842">
        <f t="shared" si="155"/>
        <v>0</v>
      </c>
      <c r="BF215" s="842">
        <f t="shared" si="156"/>
        <v>8016.9761079143072</v>
      </c>
      <c r="BG215" s="842">
        <f t="shared" si="157"/>
        <v>10386.359393749157</v>
      </c>
      <c r="BH215" s="858">
        <f t="shared" si="138"/>
        <v>12</v>
      </c>
      <c r="BI215" s="857">
        <f t="shared" ca="1" si="158"/>
        <v>3568.0470768344603</v>
      </c>
      <c r="BJ215" s="857">
        <f t="shared" si="159"/>
        <v>4008.0395327449987</v>
      </c>
      <c r="BK215" s="859">
        <f ca="1">'PV-Einspeisung'!AB31*-1</f>
        <v>0</v>
      </c>
      <c r="BL215" s="824">
        <f t="shared" si="124"/>
        <v>0</v>
      </c>
      <c r="BM215" s="824">
        <f t="shared" si="125"/>
        <v>0</v>
      </c>
      <c r="BN215" s="824">
        <f t="shared" si="126"/>
        <v>0</v>
      </c>
      <c r="BO215" s="824">
        <f t="shared" si="130"/>
        <v>0</v>
      </c>
      <c r="BP215" s="824">
        <f t="shared" si="130"/>
        <v>0</v>
      </c>
      <c r="BQ215" s="824">
        <f t="shared" si="130"/>
        <v>0</v>
      </c>
      <c r="BR215" s="824">
        <f t="shared" si="130"/>
        <v>0</v>
      </c>
      <c r="BS215" s="824">
        <f t="shared" si="130"/>
        <v>0</v>
      </c>
      <c r="BT215" s="824">
        <f t="shared" si="130"/>
        <v>0</v>
      </c>
      <c r="BU215" s="824">
        <f t="shared" si="130"/>
        <v>0</v>
      </c>
      <c r="BV215" s="824">
        <f t="shared" si="130"/>
        <v>0</v>
      </c>
      <c r="BW215" s="824">
        <f t="shared" si="130"/>
        <v>0</v>
      </c>
      <c r="BX215" s="824">
        <f t="shared" si="130"/>
        <v>0</v>
      </c>
      <c r="BY215" s="824">
        <f t="shared" si="130"/>
        <v>0</v>
      </c>
      <c r="BZ215" s="824">
        <f t="shared" si="130"/>
        <v>0</v>
      </c>
      <c r="CA215" s="824">
        <f t="shared" si="130"/>
        <v>0</v>
      </c>
      <c r="CB215" s="824">
        <f t="shared" si="130"/>
        <v>0</v>
      </c>
      <c r="CC215" s="824">
        <f t="shared" si="130"/>
        <v>0</v>
      </c>
      <c r="CD215" s="824">
        <f t="shared" si="130"/>
        <v>0</v>
      </c>
      <c r="CE215" s="824">
        <f t="shared" si="160"/>
        <v>0</v>
      </c>
      <c r="CF215" s="824">
        <f t="shared" si="160"/>
        <v>0</v>
      </c>
      <c r="CG215" s="824">
        <f t="shared" si="160"/>
        <v>0</v>
      </c>
      <c r="CH215" s="824">
        <f t="shared" si="160"/>
        <v>0</v>
      </c>
      <c r="CI215" s="824">
        <f t="shared" si="160"/>
        <v>0</v>
      </c>
      <c r="CJ215" s="824">
        <f t="shared" si="160"/>
        <v>0</v>
      </c>
      <c r="CK215" s="824">
        <f t="shared" si="160"/>
        <v>0</v>
      </c>
      <c r="CL215" s="824">
        <f t="shared" si="160"/>
        <v>0</v>
      </c>
      <c r="CM215" s="824">
        <f t="shared" si="160"/>
        <v>0</v>
      </c>
      <c r="CN215" s="824">
        <f t="shared" si="160"/>
        <v>0</v>
      </c>
      <c r="CO215" s="824">
        <f t="shared" si="160"/>
        <v>0</v>
      </c>
      <c r="CP215" s="824">
        <f t="shared" si="160"/>
        <v>0</v>
      </c>
      <c r="CQ215" s="824">
        <f t="shared" si="160"/>
        <v>0</v>
      </c>
      <c r="CR215" s="824">
        <f t="shared" si="160"/>
        <v>0</v>
      </c>
      <c r="CS215" s="824">
        <f t="shared" si="160"/>
        <v>0</v>
      </c>
      <c r="CT215" s="824">
        <f t="shared" si="160"/>
        <v>0</v>
      </c>
      <c r="CU215" s="824">
        <f t="shared" si="143"/>
        <v>0</v>
      </c>
      <c r="CV215" s="824">
        <f t="shared" si="143"/>
        <v>0</v>
      </c>
      <c r="CW215" s="824">
        <f t="shared" si="143"/>
        <v>0</v>
      </c>
      <c r="CX215" s="824">
        <f t="shared" si="143"/>
        <v>0</v>
      </c>
      <c r="CY215" s="824">
        <f t="shared" si="143"/>
        <v>0</v>
      </c>
      <c r="CZ215" s="824">
        <f t="shared" si="143"/>
        <v>0</v>
      </c>
      <c r="DA215" s="824">
        <f t="shared" si="144"/>
        <v>0</v>
      </c>
      <c r="DB215" s="824">
        <f t="shared" si="144"/>
        <v>0</v>
      </c>
      <c r="DC215" s="824">
        <f t="shared" si="144"/>
        <v>0</v>
      </c>
      <c r="DD215" s="824">
        <f t="shared" si="144"/>
        <v>0</v>
      </c>
      <c r="DE215" s="824">
        <f t="shared" si="144"/>
        <v>0</v>
      </c>
      <c r="DF215" s="824">
        <f t="shared" si="144"/>
        <v>0</v>
      </c>
      <c r="DG215" s="824">
        <f t="shared" si="144"/>
        <v>0</v>
      </c>
      <c r="DH215" s="824">
        <f t="shared" si="144"/>
        <v>0</v>
      </c>
      <c r="DI215" s="824">
        <f t="shared" si="144"/>
        <v>0</v>
      </c>
      <c r="DJ215" s="824">
        <f t="shared" si="144"/>
        <v>0</v>
      </c>
      <c r="DK215" s="824">
        <f t="shared" si="144"/>
        <v>0</v>
      </c>
      <c r="DL215" s="824">
        <f t="shared" si="144"/>
        <v>0</v>
      </c>
    </row>
    <row r="216" spans="2:116" ht="15" customHeight="1" thickBot="1" x14ac:dyDescent="0.3">
      <c r="B216" s="1673"/>
      <c r="C216" s="1680"/>
      <c r="D216" s="15" t="s">
        <v>132</v>
      </c>
      <c r="E216" s="165"/>
      <c r="F216" s="116">
        <f>SUBTOTAL(109,'3.1 I&amp;W'!$X$67)</f>
        <v>0</v>
      </c>
      <c r="G216" s="116">
        <f>SUBTOTAL(109,'3.1 I&amp;W'!$Y$67)</f>
        <v>0</v>
      </c>
      <c r="H216" s="116">
        <f>SUBTOTAL(109,'3.1 I&amp;W'!$AD$67)</f>
        <v>0</v>
      </c>
      <c r="I216" s="116">
        <f>SUBTOTAL(109,'3.1 I&amp;W'!$AE$67)</f>
        <v>0</v>
      </c>
      <c r="J216" s="116"/>
      <c r="K216" s="116"/>
      <c r="L216" s="116"/>
      <c r="M216" s="116">
        <f>SUBTOTAL(109,'3.1 I&amp;W'!$AI$67)</f>
        <v>0</v>
      </c>
      <c r="N216" s="156">
        <f t="shared" si="128"/>
        <v>0</v>
      </c>
      <c r="O216" s="116">
        <f>SUBTOTAL(109,'3.1 I&amp;W'!$S$67)</f>
        <v>0</v>
      </c>
      <c r="P216" s="30">
        <f t="shared" si="131"/>
        <v>0</v>
      </c>
      <c r="Q216" s="31">
        <f t="shared" si="118"/>
        <v>0</v>
      </c>
      <c r="R216" s="31">
        <f t="shared" si="119"/>
        <v>0</v>
      </c>
      <c r="S216" s="31">
        <f t="shared" si="120"/>
        <v>0</v>
      </c>
      <c r="T216" s="32">
        <f t="shared" si="121"/>
        <v>0</v>
      </c>
      <c r="U216" s="37">
        <f t="shared" si="129"/>
        <v>0</v>
      </c>
      <c r="V216" s="40">
        <f t="shared" si="122"/>
        <v>0</v>
      </c>
      <c r="W216" s="41">
        <f t="shared" si="123"/>
        <v>0</v>
      </c>
      <c r="X216" s="43"/>
      <c r="Y216" s="46"/>
      <c r="Z216" s="126"/>
      <c r="AA216" s="136"/>
      <c r="AB216" s="131">
        <v>13</v>
      </c>
      <c r="AC216" s="168">
        <f>IF(AF215&lt;=1,0,'3.1 Fi&amp;Fo'!$I$25)</f>
        <v>115387.08252993631</v>
      </c>
      <c r="AD216" s="169">
        <f>IF(AF215&lt;=1,0,AF215*'3.1 Fi&amp;Fo'!$H$25)</f>
        <v>42213.681317713374</v>
      </c>
      <c r="AE216" s="169">
        <f t="shared" si="132"/>
        <v>73173.401212222932</v>
      </c>
      <c r="AF216" s="170">
        <f t="shared" si="133"/>
        <v>2037510.6646734457</v>
      </c>
      <c r="AG216" s="168">
        <f>IF(AJ215&lt;=1,0,IF(AB216&lt;='3.1 Fi&amp;Fo'!$F$34,'3.1 Fi&amp;Fo'!$J$34,IF(AB216&lt;='3.1 Fi&amp;Fo'!$F$35,'3.1 Fi&amp;Fo'!$J$35,IF(AB216&lt;='3.1 Fi&amp;Fo'!$F$36,'3.1 Fi&amp;Fo'!$J$36,IF(AB216&lt;='3.1 Fi&amp;Fo'!$F$37,'3.1 Fi&amp;Fo'!$J$37,IF(AB216&lt;='3.1 Fi&amp;Fo'!$F$38,'3.1 Fi&amp;Fo'!$J$38,IF(AB216&lt;='3.1 Fi&amp;Fo'!$F$39,'3.1 Fi&amp;Fo'!$J$39,IF(AB216&lt;='3.1 Fi&amp;Fo'!$F$40,'3.1 Fi&amp;Fo'!$J$40))))))))</f>
        <v>0</v>
      </c>
      <c r="AH216" s="169">
        <f>IF(AJ215&lt;=1,0,AJ215*IF(AB216&lt;='3.1 Fi&amp;Fo'!$F$34,'3.1 Fi&amp;Fo'!$I$34,IF(AB216&lt;='3.1 Fi&amp;Fo'!$F$35,'3.1 Fi&amp;Fo'!$I$35,IF(AB216&lt;='3.1 Fi&amp;Fo'!$F$36,'3.1 Fi&amp;Fo'!$I$36,IF(AB216&lt;='3.1 Fi&amp;Fo'!$F$37,'3.1 Fi&amp;Fo'!$I$37,IF(AB216&lt;='3.1 Fi&amp;Fo'!$F$40,'3.1 Fi&amp;Fo'!$I$40))))))</f>
        <v>0</v>
      </c>
      <c r="AI216" s="169">
        <f t="shared" si="139"/>
        <v>0</v>
      </c>
      <c r="AJ216" s="170">
        <f t="shared" si="145"/>
        <v>0</v>
      </c>
      <c r="AK216" s="312">
        <f t="shared" si="140"/>
        <v>-143659.58168448517</v>
      </c>
      <c r="AL216" s="169">
        <f>IF(AB216&lt;='3.1 Fi&amp;Fo'!$J$15,'3.1 Fi&amp;Fo'!$I$15,0)</f>
        <v>0</v>
      </c>
      <c r="AM216" s="169">
        <f t="shared" si="141"/>
        <v>28272.499154548859</v>
      </c>
      <c r="AN216" s="838">
        <f t="shared" si="146"/>
        <v>13</v>
      </c>
      <c r="AO216" s="844">
        <f t="shared" si="134"/>
        <v>143659.58168448517</v>
      </c>
      <c r="AP216" s="839">
        <f>CA308</f>
        <v>0</v>
      </c>
      <c r="AQ216" s="844">
        <f t="shared" si="135"/>
        <v>0</v>
      </c>
      <c r="AR216" s="839">
        <f t="shared" si="147"/>
        <v>0</v>
      </c>
      <c r="AS216" s="839">
        <f t="shared" ca="1" si="142"/>
        <v>7697.3039953327307</v>
      </c>
      <c r="AT216" s="839">
        <f t="shared" si="148"/>
        <v>18967.282483142539</v>
      </c>
      <c r="AU216" s="839">
        <f ca="1">'PV-Einspeisung'!AA32*-1</f>
        <v>0</v>
      </c>
      <c r="AV216" s="839">
        <f>'PV-Einspeisung'!AE32*-1</f>
        <v>0</v>
      </c>
      <c r="AW216" s="839"/>
      <c r="AX216" s="839">
        <f t="shared" si="149"/>
        <v>0</v>
      </c>
      <c r="AY216" s="841">
        <f t="shared" si="136"/>
        <v>13</v>
      </c>
      <c r="AZ216" s="842">
        <f t="shared" si="150"/>
        <v>0</v>
      </c>
      <c r="BA216" s="842">
        <f t="shared" si="151"/>
        <v>0</v>
      </c>
      <c r="BB216" s="842">
        <f t="shared" si="152"/>
        <v>0</v>
      </c>
      <c r="BC216" s="842">
        <f t="shared" si="153"/>
        <v>0</v>
      </c>
      <c r="BD216" s="842">
        <f t="shared" si="154"/>
        <v>0</v>
      </c>
      <c r="BE216" s="842">
        <f t="shared" si="155"/>
        <v>0</v>
      </c>
      <c r="BF216" s="842">
        <f t="shared" si="156"/>
        <v>8217.400510612164</v>
      </c>
      <c r="BG216" s="842">
        <f t="shared" si="157"/>
        <v>10749.881972530377</v>
      </c>
      <c r="BH216" s="858">
        <f t="shared" si="138"/>
        <v>13</v>
      </c>
      <c r="BI216" s="857">
        <f t="shared" ca="1" si="158"/>
        <v>3625.1358300638117</v>
      </c>
      <c r="BJ216" s="857">
        <f t="shared" si="159"/>
        <v>4072.168165268919</v>
      </c>
      <c r="BK216" s="859">
        <f ca="1">'PV-Einspeisung'!AB32*-1</f>
        <v>0</v>
      </c>
      <c r="BL216" s="824">
        <f t="shared" si="124"/>
        <v>0</v>
      </c>
      <c r="BM216" s="824">
        <f t="shared" si="125"/>
        <v>0</v>
      </c>
      <c r="BN216" s="824">
        <f t="shared" si="126"/>
        <v>0</v>
      </c>
      <c r="BO216" s="824">
        <f t="shared" si="130"/>
        <v>0</v>
      </c>
      <c r="BP216" s="824">
        <f t="shared" si="130"/>
        <v>0</v>
      </c>
      <c r="BQ216" s="824">
        <f t="shared" si="130"/>
        <v>0</v>
      </c>
      <c r="BR216" s="824">
        <f t="shared" si="130"/>
        <v>0</v>
      </c>
      <c r="BS216" s="824">
        <f t="shared" si="130"/>
        <v>0</v>
      </c>
      <c r="BT216" s="824">
        <f t="shared" si="130"/>
        <v>0</v>
      </c>
      <c r="BU216" s="824">
        <f t="shared" si="130"/>
        <v>0</v>
      </c>
      <c r="BV216" s="824">
        <f t="shared" si="130"/>
        <v>0</v>
      </c>
      <c r="BW216" s="824">
        <f t="shared" si="130"/>
        <v>0</v>
      </c>
      <c r="BX216" s="824">
        <f t="shared" si="130"/>
        <v>0</v>
      </c>
      <c r="BY216" s="824">
        <f t="shared" si="130"/>
        <v>0</v>
      </c>
      <c r="BZ216" s="824">
        <f t="shared" si="130"/>
        <v>0</v>
      </c>
      <c r="CA216" s="824">
        <f t="shared" si="130"/>
        <v>0</v>
      </c>
      <c r="CB216" s="824">
        <f t="shared" si="130"/>
        <v>0</v>
      </c>
      <c r="CC216" s="824">
        <f t="shared" si="130"/>
        <v>0</v>
      </c>
      <c r="CD216" s="824">
        <f t="shared" si="130"/>
        <v>0</v>
      </c>
      <c r="CE216" s="824">
        <f t="shared" si="160"/>
        <v>0</v>
      </c>
      <c r="CF216" s="824">
        <f t="shared" si="160"/>
        <v>0</v>
      </c>
      <c r="CG216" s="824">
        <f t="shared" si="160"/>
        <v>0</v>
      </c>
      <c r="CH216" s="824">
        <f t="shared" si="160"/>
        <v>0</v>
      </c>
      <c r="CI216" s="824">
        <f t="shared" si="160"/>
        <v>0</v>
      </c>
      <c r="CJ216" s="824">
        <f t="shared" si="160"/>
        <v>0</v>
      </c>
      <c r="CK216" s="824">
        <f t="shared" si="160"/>
        <v>0</v>
      </c>
      <c r="CL216" s="824">
        <f t="shared" si="160"/>
        <v>0</v>
      </c>
      <c r="CM216" s="824">
        <f t="shared" si="160"/>
        <v>0</v>
      </c>
      <c r="CN216" s="824">
        <f t="shared" si="160"/>
        <v>0</v>
      </c>
      <c r="CO216" s="824">
        <f t="shared" si="160"/>
        <v>0</v>
      </c>
      <c r="CP216" s="824">
        <f t="shared" si="160"/>
        <v>0</v>
      </c>
      <c r="CQ216" s="824">
        <f t="shared" si="160"/>
        <v>0</v>
      </c>
      <c r="CR216" s="824">
        <f t="shared" si="160"/>
        <v>0</v>
      </c>
      <c r="CS216" s="824">
        <f t="shared" si="160"/>
        <v>0</v>
      </c>
      <c r="CT216" s="824">
        <f t="shared" si="160"/>
        <v>0</v>
      </c>
      <c r="CU216" s="824">
        <f t="shared" si="143"/>
        <v>0</v>
      </c>
      <c r="CV216" s="824">
        <f t="shared" si="143"/>
        <v>0</v>
      </c>
      <c r="CW216" s="824">
        <f t="shared" si="143"/>
        <v>0</v>
      </c>
      <c r="CX216" s="824">
        <f t="shared" si="143"/>
        <v>0</v>
      </c>
      <c r="CY216" s="824">
        <f t="shared" si="143"/>
        <v>0</v>
      </c>
      <c r="CZ216" s="824">
        <f t="shared" si="143"/>
        <v>0</v>
      </c>
      <c r="DA216" s="824">
        <f t="shared" si="144"/>
        <v>0</v>
      </c>
      <c r="DB216" s="824">
        <f t="shared" si="144"/>
        <v>0</v>
      </c>
      <c r="DC216" s="824">
        <f t="shared" si="144"/>
        <v>0</v>
      </c>
      <c r="DD216" s="824">
        <f t="shared" si="144"/>
        <v>0</v>
      </c>
      <c r="DE216" s="824">
        <f t="shared" si="144"/>
        <v>0</v>
      </c>
      <c r="DF216" s="824">
        <f t="shared" si="144"/>
        <v>0</v>
      </c>
      <c r="DG216" s="824">
        <f t="shared" si="144"/>
        <v>0</v>
      </c>
      <c r="DH216" s="824">
        <f t="shared" si="144"/>
        <v>0</v>
      </c>
      <c r="DI216" s="824">
        <f t="shared" si="144"/>
        <v>0</v>
      </c>
      <c r="DJ216" s="824">
        <f t="shared" si="144"/>
        <v>0</v>
      </c>
      <c r="DK216" s="824">
        <f t="shared" si="144"/>
        <v>0</v>
      </c>
      <c r="DL216" s="824">
        <f t="shared" si="144"/>
        <v>0</v>
      </c>
    </row>
    <row r="217" spans="2:116" ht="15" customHeight="1" thickBot="1" x14ac:dyDescent="0.3">
      <c r="B217" s="1673"/>
      <c r="C217" s="1680"/>
      <c r="D217" s="15" t="s">
        <v>323</v>
      </c>
      <c r="E217" s="116"/>
      <c r="F217" s="116">
        <f>SUBTOTAL(109,'3.1 I&amp;W'!$X$70)</f>
        <v>0</v>
      </c>
      <c r="G217" s="116">
        <f>SUBTOTAL(109,'3.1 I&amp;W'!$Y$70)</f>
        <v>0</v>
      </c>
      <c r="H217" s="116">
        <f>SUBTOTAL(109,'3.1 I&amp;W'!$AD$70)</f>
        <v>0</v>
      </c>
      <c r="I217" s="116">
        <f>SUBTOTAL(109,'3.1 I&amp;W'!$AE$70)</f>
        <v>0</v>
      </c>
      <c r="J217" s="116"/>
      <c r="K217" s="116"/>
      <c r="L217" s="116"/>
      <c r="M217" s="116">
        <f>SUBTOTAL(109,'3.1 I&amp;W'!$AI$70)</f>
        <v>100</v>
      </c>
      <c r="N217" s="156">
        <f t="shared" si="128"/>
        <v>0</v>
      </c>
      <c r="O217" s="116">
        <f>SUBTOTAL(109,'3.1 I&amp;W'!$S$70)</f>
        <v>62785.2</v>
      </c>
      <c r="P217" s="30">
        <f>IF(N217&gt;=1,O217*$G$158^(1*M217)/($G$157^(1*M217)),0)</f>
        <v>0</v>
      </c>
      <c r="Q217" s="31">
        <f>IF(N217&gt;=2,O217*$G$158^(2*M217)/($G$157^(2*M217)),0)</f>
        <v>0</v>
      </c>
      <c r="R217" s="31">
        <f>IF(N217&gt;=3,O217*$G$158^(3*M217)/($G$157^(3*M217)),0)</f>
        <v>0</v>
      </c>
      <c r="S217" s="31">
        <f>IF(N217&gt;=4,O217*$G$158^(4*M217)/($G$157^(4*M217)),0)</f>
        <v>0</v>
      </c>
      <c r="T217" s="32">
        <f>IF(N217&gt;=5,O217*$G$158^(5*M217)/($G$157^(5*M217)),0)</f>
        <v>0</v>
      </c>
      <c r="U217" s="37">
        <f t="shared" si="129"/>
        <v>20406.316911686001</v>
      </c>
      <c r="V217" s="40">
        <f t="shared" si="122"/>
        <v>0</v>
      </c>
      <c r="W217" s="41">
        <f t="shared" si="123"/>
        <v>0</v>
      </c>
      <c r="X217" s="43"/>
      <c r="Y217" s="46"/>
      <c r="Z217" s="126"/>
      <c r="AA217" s="136"/>
      <c r="AB217" s="131">
        <v>14</v>
      </c>
      <c r="AC217" s="168">
        <f>IF(AF216&lt;=1,0,'3.1 Fi&amp;Fo'!$I$25)</f>
        <v>115387.08252993631</v>
      </c>
      <c r="AD217" s="169">
        <f>IF(AF216&lt;=1,0,AF216*'3.1 Fi&amp;Fo'!$H$25)</f>
        <v>40750.213293468914</v>
      </c>
      <c r="AE217" s="169">
        <f t="shared" si="132"/>
        <v>74636.869236467392</v>
      </c>
      <c r="AF217" s="170">
        <f t="shared" si="133"/>
        <v>1962873.7954369783</v>
      </c>
      <c r="AG217" s="168">
        <f>IF(AJ216&lt;=1,0,IF(AB217&lt;='3.1 Fi&amp;Fo'!$F$34,'3.1 Fi&amp;Fo'!$J$34,IF(AB217&lt;='3.1 Fi&amp;Fo'!$F$35,'3.1 Fi&amp;Fo'!$J$35,IF(AB217&lt;='3.1 Fi&amp;Fo'!$F$36,'3.1 Fi&amp;Fo'!$J$36,IF(AB217&lt;='3.1 Fi&amp;Fo'!$F$37,'3.1 Fi&amp;Fo'!$J$37,IF(AB217&lt;='3.1 Fi&amp;Fo'!$F$38,'3.1 Fi&amp;Fo'!$J$38,IF(AB217&lt;='3.1 Fi&amp;Fo'!$F$39,'3.1 Fi&amp;Fo'!$J$39,IF(AB217&lt;='3.1 Fi&amp;Fo'!$F$40,'3.1 Fi&amp;Fo'!$J$40))))))))</f>
        <v>0</v>
      </c>
      <c r="AH217" s="169">
        <f>IF(AJ216&lt;=1,0,AJ216*IF(AB217&lt;='3.1 Fi&amp;Fo'!$F$34,'3.1 Fi&amp;Fo'!$I$34,IF(AB217&lt;='3.1 Fi&amp;Fo'!$F$35,'3.1 Fi&amp;Fo'!$I$35,IF(AB217&lt;='3.1 Fi&amp;Fo'!$F$36,'3.1 Fi&amp;Fo'!$I$36,IF(AB217&lt;='3.1 Fi&amp;Fo'!$F$37,'3.1 Fi&amp;Fo'!$I$37,IF(AB217&lt;='3.1 Fi&amp;Fo'!$F$40,'3.1 Fi&amp;Fo'!$I$40))))))</f>
        <v>0</v>
      </c>
      <c r="AI217" s="169">
        <f t="shared" si="139"/>
        <v>0</v>
      </c>
      <c r="AJ217" s="170">
        <f t="shared" si="145"/>
        <v>0</v>
      </c>
      <c r="AK217" s="312">
        <f t="shared" si="140"/>
        <v>-144225.03166757649</v>
      </c>
      <c r="AL217" s="169">
        <f>IF(AB217&lt;='3.1 Fi&amp;Fo'!$J$15,'3.1 Fi&amp;Fo'!$I$15,0)</f>
        <v>0</v>
      </c>
      <c r="AM217" s="169">
        <f t="shared" si="141"/>
        <v>28837.949137640186</v>
      </c>
      <c r="AN217" s="838">
        <f t="shared" si="146"/>
        <v>14</v>
      </c>
      <c r="AO217" s="844">
        <f t="shared" si="134"/>
        <v>144225.03166757649</v>
      </c>
      <c r="AP217" s="839">
        <f>CB308</f>
        <v>0</v>
      </c>
      <c r="AQ217" s="844">
        <f t="shared" si="135"/>
        <v>0</v>
      </c>
      <c r="AR217" s="839">
        <f t="shared" si="147"/>
        <v>0</v>
      </c>
      <c r="AS217" s="839">
        <f t="shared" ca="1" si="142"/>
        <v>7820.4608592580553</v>
      </c>
      <c r="AT217" s="839">
        <f t="shared" si="148"/>
        <v>19548.963364946409</v>
      </c>
      <c r="AU217" s="839">
        <f ca="1">'PV-Einspeisung'!AA33*-1</f>
        <v>0</v>
      </c>
      <c r="AV217" s="839">
        <f>'PV-Einspeisung'!AE33*-1</f>
        <v>0</v>
      </c>
      <c r="AW217" s="839"/>
      <c r="AX217" s="839">
        <f t="shared" si="149"/>
        <v>0</v>
      </c>
      <c r="AY217" s="841">
        <f t="shared" si="136"/>
        <v>14</v>
      </c>
      <c r="AZ217" s="842">
        <f t="shared" si="150"/>
        <v>0</v>
      </c>
      <c r="BA217" s="842">
        <f t="shared" si="151"/>
        <v>0</v>
      </c>
      <c r="BB217" s="842">
        <f t="shared" si="152"/>
        <v>0</v>
      </c>
      <c r="BC217" s="842">
        <f t="shared" si="153"/>
        <v>0</v>
      </c>
      <c r="BD217" s="842">
        <f t="shared" si="154"/>
        <v>0</v>
      </c>
      <c r="BE217" s="842">
        <f t="shared" si="155"/>
        <v>0</v>
      </c>
      <c r="BF217" s="842">
        <f t="shared" si="156"/>
        <v>8422.8355233774673</v>
      </c>
      <c r="BG217" s="842">
        <f t="shared" si="157"/>
        <v>11126.127841568939</v>
      </c>
      <c r="BH217" s="858">
        <f t="shared" si="138"/>
        <v>14</v>
      </c>
      <c r="BI217" s="857">
        <f t="shared" ca="1" si="158"/>
        <v>3683.1380033448327</v>
      </c>
      <c r="BJ217" s="857">
        <f t="shared" si="159"/>
        <v>4137.3228559132222</v>
      </c>
      <c r="BK217" s="859">
        <f ca="1">'PV-Einspeisung'!AB33*-1</f>
        <v>0</v>
      </c>
      <c r="BL217" s="824">
        <f t="shared" si="124"/>
        <v>100</v>
      </c>
      <c r="BM217" s="824">
        <f t="shared" si="125"/>
        <v>0</v>
      </c>
      <c r="BN217" s="824">
        <f t="shared" si="126"/>
        <v>62785.2</v>
      </c>
      <c r="BO217" s="824">
        <f t="shared" si="130"/>
        <v>0</v>
      </c>
      <c r="BP217" s="824">
        <f t="shared" si="130"/>
        <v>0</v>
      </c>
      <c r="BQ217" s="824">
        <f t="shared" si="130"/>
        <v>0</v>
      </c>
      <c r="BR217" s="824">
        <f t="shared" si="130"/>
        <v>0</v>
      </c>
      <c r="BS217" s="824">
        <f t="shared" si="130"/>
        <v>0</v>
      </c>
      <c r="BT217" s="824">
        <f t="shared" si="130"/>
        <v>0</v>
      </c>
      <c r="BU217" s="824">
        <f t="shared" si="130"/>
        <v>0</v>
      </c>
      <c r="BV217" s="824">
        <f t="shared" si="130"/>
        <v>0</v>
      </c>
      <c r="BW217" s="824">
        <f t="shared" si="130"/>
        <v>0</v>
      </c>
      <c r="BX217" s="824">
        <f t="shared" si="130"/>
        <v>0</v>
      </c>
      <c r="BY217" s="824">
        <f t="shared" si="130"/>
        <v>0</v>
      </c>
      <c r="BZ217" s="824">
        <f t="shared" si="130"/>
        <v>0</v>
      </c>
      <c r="CA217" s="824">
        <f t="shared" si="130"/>
        <v>0</v>
      </c>
      <c r="CB217" s="824">
        <f t="shared" ref="CB217:CQ217" si="161">IF(OR(IF($BL217*1&lt;$BL$196,$BL217*1=CB$198,FALSE),IF($BL217*2&lt;$BL$196,$BL217*2=CB$198,FALSE),IF($BL217*3&lt;$BL$196,$BL217*3=CB$198,FALSE),IF($BL217*4&lt;$BL$196,$BL217*4=CB$198,FALSE),IF($BL217*5&lt;$BL$196,$BL217*5=CB$198,FALSE)),$BN217*$BM$196^CB$198,0)</f>
        <v>0</v>
      </c>
      <c r="CC217" s="824">
        <f t="shared" si="161"/>
        <v>0</v>
      </c>
      <c r="CD217" s="824">
        <f t="shared" si="161"/>
        <v>0</v>
      </c>
      <c r="CE217" s="824">
        <f t="shared" si="161"/>
        <v>0</v>
      </c>
      <c r="CF217" s="824">
        <f t="shared" si="161"/>
        <v>0</v>
      </c>
      <c r="CG217" s="824">
        <f t="shared" si="161"/>
        <v>0</v>
      </c>
      <c r="CH217" s="824">
        <f t="shared" si="161"/>
        <v>0</v>
      </c>
      <c r="CI217" s="824">
        <f t="shared" si="161"/>
        <v>0</v>
      </c>
      <c r="CJ217" s="824">
        <f t="shared" si="161"/>
        <v>0</v>
      </c>
      <c r="CK217" s="824">
        <f t="shared" si="161"/>
        <v>0</v>
      </c>
      <c r="CL217" s="824">
        <f t="shared" si="161"/>
        <v>0</v>
      </c>
      <c r="CM217" s="824">
        <f t="shared" si="161"/>
        <v>0</v>
      </c>
      <c r="CN217" s="824">
        <f t="shared" si="161"/>
        <v>0</v>
      </c>
      <c r="CO217" s="824">
        <f t="shared" si="161"/>
        <v>0</v>
      </c>
      <c r="CP217" s="824">
        <f t="shared" si="161"/>
        <v>0</v>
      </c>
      <c r="CQ217" s="824">
        <f t="shared" si="161"/>
        <v>0</v>
      </c>
      <c r="CR217" s="824">
        <f t="shared" si="160"/>
        <v>0</v>
      </c>
      <c r="CS217" s="824">
        <f t="shared" si="160"/>
        <v>0</v>
      </c>
      <c r="CT217" s="824">
        <f t="shared" si="160"/>
        <v>0</v>
      </c>
      <c r="CU217" s="824">
        <f t="shared" si="143"/>
        <v>0</v>
      </c>
      <c r="CV217" s="824">
        <f t="shared" si="143"/>
        <v>0</v>
      </c>
      <c r="CW217" s="824">
        <f t="shared" si="143"/>
        <v>0</v>
      </c>
      <c r="CX217" s="824">
        <f t="shared" si="143"/>
        <v>0</v>
      </c>
      <c r="CY217" s="824">
        <f t="shared" si="143"/>
        <v>0</v>
      </c>
      <c r="CZ217" s="824">
        <f t="shared" si="143"/>
        <v>0</v>
      </c>
      <c r="DA217" s="824">
        <f t="shared" si="144"/>
        <v>0</v>
      </c>
      <c r="DB217" s="824">
        <f t="shared" si="144"/>
        <v>0</v>
      </c>
      <c r="DC217" s="824">
        <f t="shared" si="144"/>
        <v>0</v>
      </c>
      <c r="DD217" s="824">
        <f t="shared" si="144"/>
        <v>0</v>
      </c>
      <c r="DE217" s="824">
        <f t="shared" si="144"/>
        <v>0</v>
      </c>
      <c r="DF217" s="824">
        <f t="shared" si="144"/>
        <v>0</v>
      </c>
      <c r="DG217" s="824">
        <f t="shared" si="144"/>
        <v>0</v>
      </c>
      <c r="DH217" s="824">
        <f t="shared" si="144"/>
        <v>0</v>
      </c>
      <c r="DI217" s="824">
        <f t="shared" si="144"/>
        <v>0</v>
      </c>
      <c r="DJ217" s="824">
        <f t="shared" si="144"/>
        <v>0</v>
      </c>
      <c r="DK217" s="824">
        <f t="shared" si="144"/>
        <v>0</v>
      </c>
      <c r="DL217" s="824">
        <f t="shared" si="144"/>
        <v>0</v>
      </c>
    </row>
    <row r="218" spans="2:116" ht="15" customHeight="1" thickBot="1" x14ac:dyDescent="0.3">
      <c r="B218" s="1673"/>
      <c r="C218" s="1680"/>
      <c r="D218" s="15" t="s">
        <v>323</v>
      </c>
      <c r="E218" s="116"/>
      <c r="F218" s="116">
        <f>SUBTOTAL(109,'3.1 I&amp;W'!$X$71)</f>
        <v>0</v>
      </c>
      <c r="G218" s="116">
        <f>SUBTOTAL(109,'3.1 I&amp;W'!$Y$71)</f>
        <v>0</v>
      </c>
      <c r="H218" s="116">
        <f>SUBTOTAL(109,'3.1 I&amp;W'!$AD$71)</f>
        <v>0</v>
      </c>
      <c r="I218" s="116">
        <f>SUBTOTAL(109,'3.1 I&amp;W'!$AE$71)</f>
        <v>0</v>
      </c>
      <c r="J218" s="116"/>
      <c r="K218" s="116"/>
      <c r="L218" s="116"/>
      <c r="M218" s="116">
        <f>SUBTOTAL(109,'3.1 I&amp;W'!$AI$71)</f>
        <v>60</v>
      </c>
      <c r="N218" s="156">
        <f t="shared" si="128"/>
        <v>0</v>
      </c>
      <c r="O218" s="116">
        <f>SUBTOTAL(109,'3.1 I&amp;W'!$S$71)</f>
        <v>13062.12</v>
      </c>
      <c r="P218" s="30">
        <f>IF(N218&gt;=1,O218*$G$158^(1*M218)/($G$157^(1*M218)),0)</f>
        <v>0</v>
      </c>
      <c r="Q218" s="31">
        <f>IF(N218&gt;=2,O218*$G$158^(2*M218)/($G$157^(2*M218)),0)</f>
        <v>0</v>
      </c>
      <c r="R218" s="31">
        <f>IF(N218&gt;=3,O218*$G$158^(3*M218)/($G$157^(3*M218)),0)</f>
        <v>0</v>
      </c>
      <c r="S218" s="31">
        <f>IF(N218&gt;=4,O218*$G$158^(4*M218)/($G$157^(4*M218)),0)</f>
        <v>0</v>
      </c>
      <c r="T218" s="32">
        <f>IF(N218&gt;=5,O218*$G$158^(5*M218)/($G$157^(5*M218)),0)</f>
        <v>0</v>
      </c>
      <c r="U218" s="37">
        <f>IF(M218=0,0,O218*$G$158^(N218*M218)*((N218+1)*M218-$G$154)/M218*(1/$G$157^$G$154))</f>
        <v>2721.4252870886439</v>
      </c>
      <c r="V218" s="40">
        <f t="shared" si="122"/>
        <v>0</v>
      </c>
      <c r="W218" s="41">
        <f t="shared" si="123"/>
        <v>0</v>
      </c>
      <c r="X218" s="43"/>
      <c r="Y218" s="46"/>
      <c r="Z218" s="126"/>
      <c r="AA218" s="136"/>
      <c r="AB218" s="131">
        <v>15</v>
      </c>
      <c r="AC218" s="168">
        <f>IF(AF217&lt;=1,0,'3.1 Fi&amp;Fo'!$I$25)</f>
        <v>115387.08252993631</v>
      </c>
      <c r="AD218" s="169">
        <f>IF(AF217&lt;=1,0,AF217*'3.1 Fi&amp;Fo'!$H$25)</f>
        <v>39257.475908739565</v>
      </c>
      <c r="AE218" s="169">
        <f t="shared" ref="AE218:AE235" si="162">AC218-AD218</f>
        <v>76129.606621196741</v>
      </c>
      <c r="AF218" s="170">
        <f t="shared" ref="AF218:AF235" si="163">AF217-AE218</f>
        <v>1886744.1888157816</v>
      </c>
      <c r="AG218" s="168">
        <f>IF(AJ217&lt;=1,0,IF(AB218&lt;='3.1 Fi&amp;Fo'!$F$34,'3.1 Fi&amp;Fo'!$J$34,IF(AB218&lt;='3.1 Fi&amp;Fo'!$F$35,'3.1 Fi&amp;Fo'!$J$35,IF(AB218&lt;='3.1 Fi&amp;Fo'!$F$36,'3.1 Fi&amp;Fo'!$J$36,IF(AB218&lt;='3.1 Fi&amp;Fo'!$F$37,'3.1 Fi&amp;Fo'!$J$37,IF(AB218&lt;='3.1 Fi&amp;Fo'!$F$38,'3.1 Fi&amp;Fo'!$J$38,IF(AB218&lt;='3.1 Fi&amp;Fo'!$F$39,'3.1 Fi&amp;Fo'!$J$39,IF(AB218&lt;='3.1 Fi&amp;Fo'!$F$40,'3.1 Fi&amp;Fo'!$J$40))))))))</f>
        <v>0</v>
      </c>
      <c r="AH218" s="169">
        <f>IF(AJ217&lt;=1,0,AJ217*IF(AB218&lt;='3.1 Fi&amp;Fo'!$F$34,'3.1 Fi&amp;Fo'!$I$34,IF(AB218&lt;='3.1 Fi&amp;Fo'!$F$35,'3.1 Fi&amp;Fo'!$I$35,IF(AB218&lt;='3.1 Fi&amp;Fo'!$F$36,'3.1 Fi&amp;Fo'!$I$36,IF(AB218&lt;='3.1 Fi&amp;Fo'!$F$37,'3.1 Fi&amp;Fo'!$I$37,IF(AB218&lt;='3.1 Fi&amp;Fo'!$F$40,'3.1 Fi&amp;Fo'!$I$40))))))</f>
        <v>0</v>
      </c>
      <c r="AI218" s="169">
        <f t="shared" si="139"/>
        <v>0</v>
      </c>
      <c r="AJ218" s="170">
        <f t="shared" ref="AJ218:AJ235" si="164">AJ217-AI218</f>
        <v>0</v>
      </c>
      <c r="AK218" s="312">
        <f t="shared" si="140"/>
        <v>-144801.79065032848</v>
      </c>
      <c r="AL218" s="169">
        <f>IF(AB218&lt;='3.1 Fi&amp;Fo'!$J$15,'3.1 Fi&amp;Fo'!$I$15,0)</f>
        <v>0</v>
      </c>
      <c r="AM218" s="169">
        <f t="shared" si="141"/>
        <v>29414.70812039217</v>
      </c>
      <c r="AN218" s="838">
        <f t="shared" si="146"/>
        <v>15</v>
      </c>
      <c r="AO218" s="844">
        <f t="shared" si="134"/>
        <v>144801.79065032848</v>
      </c>
      <c r="AP218" s="839">
        <f>CC308</f>
        <v>27819.795727419776</v>
      </c>
      <c r="AQ218" s="844">
        <f t="shared" si="135"/>
        <v>0</v>
      </c>
      <c r="AR218" s="839">
        <f t="shared" si="147"/>
        <v>0</v>
      </c>
      <c r="AS218" s="839">
        <f t="shared" ca="1" si="142"/>
        <v>7945.5882330061831</v>
      </c>
      <c r="AT218" s="839">
        <f t="shared" si="148"/>
        <v>20148.948727485753</v>
      </c>
      <c r="AU218" s="839">
        <f ca="1">'PV-Einspeisung'!AA34*-1</f>
        <v>0</v>
      </c>
      <c r="AV218" s="839">
        <f>'PV-Einspeisung'!AE34*-1</f>
        <v>0</v>
      </c>
      <c r="AW218" s="839"/>
      <c r="AX218" s="839">
        <f t="shared" si="149"/>
        <v>0</v>
      </c>
      <c r="AY218" s="841">
        <f t="shared" si="136"/>
        <v>15</v>
      </c>
      <c r="AZ218" s="842">
        <f t="shared" si="150"/>
        <v>0</v>
      </c>
      <c r="BA218" s="842">
        <f t="shared" si="151"/>
        <v>0</v>
      </c>
      <c r="BB218" s="842">
        <f t="shared" si="152"/>
        <v>0</v>
      </c>
      <c r="BC218" s="842">
        <f t="shared" si="153"/>
        <v>0</v>
      </c>
      <c r="BD218" s="842">
        <f t="shared" si="154"/>
        <v>0</v>
      </c>
      <c r="BE218" s="842">
        <f t="shared" si="155"/>
        <v>0</v>
      </c>
      <c r="BF218" s="842">
        <f t="shared" si="156"/>
        <v>8633.4064114619032</v>
      </c>
      <c r="BG218" s="842">
        <f t="shared" si="157"/>
        <v>11515.542316023852</v>
      </c>
      <c r="BH218" s="858">
        <f t="shared" si="138"/>
        <v>15</v>
      </c>
      <c r="BI218" s="857">
        <f t="shared" ca="1" si="158"/>
        <v>3742.0682113983498</v>
      </c>
      <c r="BJ218" s="857">
        <f t="shared" si="159"/>
        <v>4203.5200216078338</v>
      </c>
      <c r="BK218" s="859">
        <f ca="1">'PV-Einspeisung'!AB34*-1</f>
        <v>0</v>
      </c>
      <c r="BL218" s="824">
        <f t="shared" si="124"/>
        <v>60</v>
      </c>
      <c r="BM218" s="824">
        <f t="shared" si="125"/>
        <v>0</v>
      </c>
      <c r="BN218" s="824">
        <f t="shared" si="126"/>
        <v>13062.12</v>
      </c>
      <c r="BO218" s="824">
        <f t="shared" ref="BO218:CD233" si="165">IF(OR(IF($BL218*1&lt;$BL$196,$BL218*1=BO$198,FALSE),IF($BL218*2&lt;$BL$196,$BL218*2=BO$198,FALSE),IF($BL218*3&lt;$BL$196,$BL218*3=BO$198,FALSE),IF($BL218*4&lt;$BL$196,$BL218*4=BO$198,FALSE),IF($BL218*5&lt;$BL$196,$BL218*5=BO$198,FALSE)),$BN218*$BM$196^BO$198,0)</f>
        <v>0</v>
      </c>
      <c r="BP218" s="824">
        <f t="shared" si="165"/>
        <v>0</v>
      </c>
      <c r="BQ218" s="824">
        <f t="shared" si="165"/>
        <v>0</v>
      </c>
      <c r="BR218" s="824">
        <f t="shared" si="165"/>
        <v>0</v>
      </c>
      <c r="BS218" s="824">
        <f t="shared" si="165"/>
        <v>0</v>
      </c>
      <c r="BT218" s="824">
        <f t="shared" si="165"/>
        <v>0</v>
      </c>
      <c r="BU218" s="824">
        <f t="shared" si="165"/>
        <v>0</v>
      </c>
      <c r="BV218" s="824">
        <f t="shared" si="165"/>
        <v>0</v>
      </c>
      <c r="BW218" s="824">
        <f t="shared" si="165"/>
        <v>0</v>
      </c>
      <c r="BX218" s="824">
        <f t="shared" si="165"/>
        <v>0</v>
      </c>
      <c r="BY218" s="824">
        <f t="shared" si="165"/>
        <v>0</v>
      </c>
      <c r="BZ218" s="824">
        <f t="shared" si="165"/>
        <v>0</v>
      </c>
      <c r="CA218" s="824">
        <f t="shared" si="165"/>
        <v>0</v>
      </c>
      <c r="CB218" s="824">
        <f t="shared" si="165"/>
        <v>0</v>
      </c>
      <c r="CC218" s="824">
        <f t="shared" si="165"/>
        <v>0</v>
      </c>
      <c r="CD218" s="824">
        <f t="shared" si="165"/>
        <v>0</v>
      </c>
      <c r="CE218" s="824">
        <f t="shared" si="160"/>
        <v>0</v>
      </c>
      <c r="CF218" s="824">
        <f t="shared" si="160"/>
        <v>0</v>
      </c>
      <c r="CG218" s="824">
        <f t="shared" si="160"/>
        <v>0</v>
      </c>
      <c r="CH218" s="824">
        <f t="shared" si="160"/>
        <v>0</v>
      </c>
      <c r="CI218" s="824">
        <f t="shared" si="160"/>
        <v>0</v>
      </c>
      <c r="CJ218" s="824">
        <f t="shared" si="160"/>
        <v>0</v>
      </c>
      <c r="CK218" s="824">
        <f t="shared" si="160"/>
        <v>0</v>
      </c>
      <c r="CL218" s="824">
        <f t="shared" si="160"/>
        <v>0</v>
      </c>
      <c r="CM218" s="824">
        <f t="shared" si="160"/>
        <v>0</v>
      </c>
      <c r="CN218" s="824">
        <f t="shared" si="160"/>
        <v>0</v>
      </c>
      <c r="CO218" s="824">
        <f t="shared" si="160"/>
        <v>0</v>
      </c>
      <c r="CP218" s="824">
        <f t="shared" si="160"/>
        <v>0</v>
      </c>
      <c r="CQ218" s="824">
        <f t="shared" si="160"/>
        <v>0</v>
      </c>
      <c r="CR218" s="824">
        <f t="shared" si="160"/>
        <v>0</v>
      </c>
      <c r="CS218" s="824">
        <f t="shared" si="160"/>
        <v>0</v>
      </c>
      <c r="CT218" s="824">
        <f t="shared" si="160"/>
        <v>0</v>
      </c>
      <c r="CU218" s="824">
        <f t="shared" si="143"/>
        <v>0</v>
      </c>
      <c r="CV218" s="824">
        <f t="shared" si="143"/>
        <v>0</v>
      </c>
      <c r="CW218" s="824">
        <f t="shared" si="143"/>
        <v>0</v>
      </c>
      <c r="CX218" s="824">
        <f t="shared" si="143"/>
        <v>0</v>
      </c>
      <c r="CY218" s="824">
        <f t="shared" si="143"/>
        <v>0</v>
      </c>
      <c r="CZ218" s="824">
        <f t="shared" si="143"/>
        <v>0</v>
      </c>
      <c r="DA218" s="824">
        <f t="shared" si="144"/>
        <v>0</v>
      </c>
      <c r="DB218" s="824">
        <f t="shared" si="144"/>
        <v>0</v>
      </c>
      <c r="DC218" s="824">
        <f t="shared" si="144"/>
        <v>0</v>
      </c>
      <c r="DD218" s="824">
        <f t="shared" si="144"/>
        <v>0</v>
      </c>
      <c r="DE218" s="824">
        <f t="shared" si="144"/>
        <v>0</v>
      </c>
      <c r="DF218" s="824">
        <f t="shared" si="144"/>
        <v>0</v>
      </c>
      <c r="DG218" s="824">
        <f t="shared" si="144"/>
        <v>0</v>
      </c>
      <c r="DH218" s="824">
        <f t="shared" si="144"/>
        <v>0</v>
      </c>
      <c r="DI218" s="824">
        <f t="shared" si="144"/>
        <v>0</v>
      </c>
      <c r="DJ218" s="824">
        <f t="shared" si="144"/>
        <v>0</v>
      </c>
      <c r="DK218" s="824">
        <f t="shared" si="144"/>
        <v>0</v>
      </c>
      <c r="DL218" s="824">
        <f t="shared" si="144"/>
        <v>0</v>
      </c>
    </row>
    <row r="219" spans="2:116" ht="15" customHeight="1" thickBot="1" x14ac:dyDescent="0.3">
      <c r="B219" s="1673"/>
      <c r="C219" s="1680"/>
      <c r="D219" s="15" t="s">
        <v>323</v>
      </c>
      <c r="E219" s="116"/>
      <c r="F219" s="116">
        <f>SUBTOTAL(109,'3.1 I&amp;W'!$X$72)</f>
        <v>0</v>
      </c>
      <c r="G219" s="116">
        <f>SUBTOTAL(109,'3.1 I&amp;W'!$Y$72)</f>
        <v>0</v>
      </c>
      <c r="H219" s="116">
        <f>SUBTOTAL(109,'3.1 I&amp;W'!$AD$72)</f>
        <v>0</v>
      </c>
      <c r="I219" s="116">
        <f>SUBTOTAL(109,'3.1 I&amp;W'!$AE$72)</f>
        <v>0</v>
      </c>
      <c r="J219" s="116"/>
      <c r="K219" s="116"/>
      <c r="L219" s="116"/>
      <c r="M219" s="116">
        <f>SUBTOTAL(109,'3.1 I&amp;W'!$AI$72)</f>
        <v>0</v>
      </c>
      <c r="N219" s="156">
        <f t="shared" si="128"/>
        <v>0</v>
      </c>
      <c r="O219" s="116">
        <f>SUBTOTAL(109,'3.1 I&amp;W'!$S$72)</f>
        <v>0</v>
      </c>
      <c r="P219" s="30">
        <f>IF(N219&gt;=1,O219*$G$158^(1*M219)/($G$157^(1*M219)),0)</f>
        <v>0</v>
      </c>
      <c r="Q219" s="31">
        <f>IF(N219&gt;=2,O219*$G$158^(2*M219)/($G$157^(2*M219)),0)</f>
        <v>0</v>
      </c>
      <c r="R219" s="31">
        <f>IF(N219&gt;=3,O219*$G$158^(3*M219)/($G$157^(3*M219)),0)</f>
        <v>0</v>
      </c>
      <c r="S219" s="31">
        <f>IF(N219&gt;=4,O219*$G$158^(4*M219)/($G$157^(4*M219)),0)</f>
        <v>0</v>
      </c>
      <c r="T219" s="32">
        <f>IF(N219&gt;=5,O219*$G$158^(5*M219)/($G$157^(5*M219)),0)</f>
        <v>0</v>
      </c>
      <c r="U219" s="37">
        <f>IF(M219=0,0,O219*$G$158^(N219*M219)*((N219+1)*M219-$G$154)/M219*(1/$G$157^$G$154))</f>
        <v>0</v>
      </c>
      <c r="V219" s="40">
        <f t="shared" si="122"/>
        <v>0</v>
      </c>
      <c r="W219" s="41">
        <f t="shared" si="123"/>
        <v>0</v>
      </c>
      <c r="X219" s="43"/>
      <c r="Y219" s="46"/>
      <c r="Z219" s="126"/>
      <c r="AA219" s="136"/>
      <c r="AB219" s="131">
        <v>16</v>
      </c>
      <c r="AC219" s="168">
        <f>IF(AF218&lt;=1,0,'3.1 Fi&amp;Fo'!$I$25)</f>
        <v>115387.08252993631</v>
      </c>
      <c r="AD219" s="169">
        <f>IF(AF218&lt;=1,0,AF218*'3.1 Fi&amp;Fo'!$H$25)</f>
        <v>37734.883776315633</v>
      </c>
      <c r="AE219" s="169">
        <f t="shared" si="162"/>
        <v>77652.198753620673</v>
      </c>
      <c r="AF219" s="170">
        <f t="shared" si="163"/>
        <v>1809091.9900621609</v>
      </c>
      <c r="AG219" s="168">
        <f>IF(AJ218&lt;=1,0,IF(AB219&lt;='3.1 Fi&amp;Fo'!$F$34,'3.1 Fi&amp;Fo'!$J$34,IF(AB219&lt;='3.1 Fi&amp;Fo'!$F$35,'3.1 Fi&amp;Fo'!$J$35,IF(AB219&lt;='3.1 Fi&amp;Fo'!$F$36,'3.1 Fi&amp;Fo'!$J$36,IF(AB219&lt;='3.1 Fi&amp;Fo'!$F$37,'3.1 Fi&amp;Fo'!$J$37,IF(AB219&lt;='3.1 Fi&amp;Fo'!$F$38,'3.1 Fi&amp;Fo'!$J$38,IF(AB219&lt;='3.1 Fi&amp;Fo'!$F$39,'3.1 Fi&amp;Fo'!$J$39,IF(AB219&lt;='3.1 Fi&amp;Fo'!$F$40,'3.1 Fi&amp;Fo'!$J$40))))))))</f>
        <v>0</v>
      </c>
      <c r="AH219" s="169">
        <f>IF(AJ218&lt;=1,0,AJ218*IF(AB219&lt;='3.1 Fi&amp;Fo'!$F$34,'3.1 Fi&amp;Fo'!$I$34,IF(AB219&lt;='3.1 Fi&amp;Fo'!$F$35,'3.1 Fi&amp;Fo'!$I$35,IF(AB219&lt;='3.1 Fi&amp;Fo'!$F$36,'3.1 Fi&amp;Fo'!$I$36,IF(AB219&lt;='3.1 Fi&amp;Fo'!$F$37,'3.1 Fi&amp;Fo'!$I$37,IF(AB219&lt;='3.1 Fi&amp;Fo'!$F$40,'3.1 Fi&amp;Fo'!$I$40))))))</f>
        <v>0</v>
      </c>
      <c r="AI219" s="169">
        <f t="shared" si="139"/>
        <v>0</v>
      </c>
      <c r="AJ219" s="170">
        <f t="shared" si="164"/>
        <v>0</v>
      </c>
      <c r="AK219" s="312">
        <f t="shared" si="140"/>
        <v>-145390.08481273716</v>
      </c>
      <c r="AL219" s="169">
        <f>IF(AB219&lt;='3.1 Fi&amp;Fo'!$J$15,'3.1 Fi&amp;Fo'!$I$15,0)</f>
        <v>0</v>
      </c>
      <c r="AM219" s="169">
        <f t="shared" si="141"/>
        <v>30003.002282800851</v>
      </c>
      <c r="AN219" s="838">
        <f t="shared" si="146"/>
        <v>16</v>
      </c>
      <c r="AO219" s="844">
        <f t="shared" si="134"/>
        <v>145390.08481273716</v>
      </c>
      <c r="AP219" s="839">
        <f>CD308</f>
        <v>0</v>
      </c>
      <c r="AQ219" s="844">
        <f t="shared" si="135"/>
        <v>0</v>
      </c>
      <c r="AR219" s="839">
        <f t="shared" si="147"/>
        <v>0</v>
      </c>
      <c r="AS219" s="839">
        <f t="shared" ca="1" si="142"/>
        <v>8072.7176447342827</v>
      </c>
      <c r="AT219" s="839">
        <f t="shared" si="148"/>
        <v>20767.827868833134</v>
      </c>
      <c r="AU219" s="839">
        <f ca="1">'PV-Einspeisung'!AA35*-1</f>
        <v>0</v>
      </c>
      <c r="AV219" s="839">
        <f>'PV-Einspeisung'!AE35*-1</f>
        <v>0</v>
      </c>
      <c r="AW219" s="839"/>
      <c r="AX219" s="839">
        <f t="shared" si="149"/>
        <v>0</v>
      </c>
      <c r="AY219" s="841">
        <f t="shared" si="136"/>
        <v>16</v>
      </c>
      <c r="AZ219" s="842">
        <f t="shared" si="150"/>
        <v>0</v>
      </c>
      <c r="BA219" s="842">
        <f t="shared" si="151"/>
        <v>0</v>
      </c>
      <c r="BB219" s="842">
        <f t="shared" si="152"/>
        <v>0</v>
      </c>
      <c r="BC219" s="842">
        <f t="shared" si="153"/>
        <v>0</v>
      </c>
      <c r="BD219" s="842">
        <f t="shared" si="154"/>
        <v>0</v>
      </c>
      <c r="BE219" s="842">
        <f t="shared" si="155"/>
        <v>0</v>
      </c>
      <c r="BF219" s="842">
        <f t="shared" si="156"/>
        <v>8849.2415717484491</v>
      </c>
      <c r="BG219" s="842">
        <f t="shared" si="157"/>
        <v>11918.586297084685</v>
      </c>
      <c r="BH219" s="858">
        <f t="shared" si="138"/>
        <v>16</v>
      </c>
      <c r="BI219" s="857">
        <f t="shared" ca="1" si="158"/>
        <v>3801.9413027807236</v>
      </c>
      <c r="BJ219" s="857">
        <f t="shared" si="159"/>
        <v>4270.7763419535595</v>
      </c>
      <c r="BK219" s="859">
        <f ca="1">'PV-Einspeisung'!AB35*-1</f>
        <v>0</v>
      </c>
      <c r="BL219" s="824">
        <f t="shared" si="124"/>
        <v>0</v>
      </c>
      <c r="BM219" s="824">
        <f t="shared" si="125"/>
        <v>0</v>
      </c>
      <c r="BN219" s="824">
        <f t="shared" si="126"/>
        <v>0</v>
      </c>
      <c r="BO219" s="824">
        <f t="shared" si="165"/>
        <v>0</v>
      </c>
      <c r="BP219" s="824">
        <f t="shared" si="165"/>
        <v>0</v>
      </c>
      <c r="BQ219" s="824">
        <f t="shared" si="165"/>
        <v>0</v>
      </c>
      <c r="BR219" s="824">
        <f t="shared" si="165"/>
        <v>0</v>
      </c>
      <c r="BS219" s="824">
        <f t="shared" si="165"/>
        <v>0</v>
      </c>
      <c r="BT219" s="824">
        <f t="shared" si="165"/>
        <v>0</v>
      </c>
      <c r="BU219" s="824">
        <f t="shared" si="165"/>
        <v>0</v>
      </c>
      <c r="BV219" s="824">
        <f t="shared" si="165"/>
        <v>0</v>
      </c>
      <c r="BW219" s="824">
        <f t="shared" si="165"/>
        <v>0</v>
      </c>
      <c r="BX219" s="824">
        <f t="shared" si="165"/>
        <v>0</v>
      </c>
      <c r="BY219" s="824">
        <f t="shared" si="165"/>
        <v>0</v>
      </c>
      <c r="BZ219" s="824">
        <f t="shared" si="165"/>
        <v>0</v>
      </c>
      <c r="CA219" s="824">
        <f t="shared" si="165"/>
        <v>0</v>
      </c>
      <c r="CB219" s="824">
        <f t="shared" si="165"/>
        <v>0</v>
      </c>
      <c r="CC219" s="824">
        <f t="shared" si="165"/>
        <v>0</v>
      </c>
      <c r="CD219" s="824">
        <f t="shared" si="165"/>
        <v>0</v>
      </c>
      <c r="CE219" s="824">
        <f t="shared" si="160"/>
        <v>0</v>
      </c>
      <c r="CF219" s="824">
        <f t="shared" si="160"/>
        <v>0</v>
      </c>
      <c r="CG219" s="824">
        <f t="shared" si="160"/>
        <v>0</v>
      </c>
      <c r="CH219" s="824">
        <f t="shared" si="160"/>
        <v>0</v>
      </c>
      <c r="CI219" s="824">
        <f t="shared" si="160"/>
        <v>0</v>
      </c>
      <c r="CJ219" s="824">
        <f t="shared" si="160"/>
        <v>0</v>
      </c>
      <c r="CK219" s="824">
        <f t="shared" si="160"/>
        <v>0</v>
      </c>
      <c r="CL219" s="824">
        <f t="shared" si="160"/>
        <v>0</v>
      </c>
      <c r="CM219" s="824">
        <f t="shared" si="160"/>
        <v>0</v>
      </c>
      <c r="CN219" s="824">
        <f t="shared" si="160"/>
        <v>0</v>
      </c>
      <c r="CO219" s="824">
        <f t="shared" si="160"/>
        <v>0</v>
      </c>
      <c r="CP219" s="824">
        <f t="shared" si="160"/>
        <v>0</v>
      </c>
      <c r="CQ219" s="824">
        <f t="shared" si="160"/>
        <v>0</v>
      </c>
      <c r="CR219" s="824">
        <f t="shared" si="160"/>
        <v>0</v>
      </c>
      <c r="CS219" s="824">
        <f t="shared" si="160"/>
        <v>0</v>
      </c>
      <c r="CT219" s="824">
        <f t="shared" si="160"/>
        <v>0</v>
      </c>
      <c r="CU219" s="824">
        <f t="shared" si="143"/>
        <v>0</v>
      </c>
      <c r="CV219" s="824">
        <f t="shared" si="143"/>
        <v>0</v>
      </c>
      <c r="CW219" s="824">
        <f t="shared" si="143"/>
        <v>0</v>
      </c>
      <c r="CX219" s="824">
        <f t="shared" si="143"/>
        <v>0</v>
      </c>
      <c r="CY219" s="824">
        <f t="shared" si="143"/>
        <v>0</v>
      </c>
      <c r="CZ219" s="824">
        <f t="shared" si="143"/>
        <v>0</v>
      </c>
      <c r="DA219" s="824">
        <f t="shared" si="144"/>
        <v>0</v>
      </c>
      <c r="DB219" s="824">
        <f t="shared" si="144"/>
        <v>0</v>
      </c>
      <c r="DC219" s="824">
        <f t="shared" si="144"/>
        <v>0</v>
      </c>
      <c r="DD219" s="824">
        <f t="shared" si="144"/>
        <v>0</v>
      </c>
      <c r="DE219" s="824">
        <f t="shared" si="144"/>
        <v>0</v>
      </c>
      <c r="DF219" s="824">
        <f t="shared" si="144"/>
        <v>0</v>
      </c>
      <c r="DG219" s="824">
        <f t="shared" si="144"/>
        <v>0</v>
      </c>
      <c r="DH219" s="824">
        <f t="shared" si="144"/>
        <v>0</v>
      </c>
      <c r="DI219" s="824">
        <f t="shared" si="144"/>
        <v>0</v>
      </c>
      <c r="DJ219" s="824">
        <f t="shared" si="144"/>
        <v>0</v>
      </c>
      <c r="DK219" s="824">
        <f t="shared" si="144"/>
        <v>0</v>
      </c>
      <c r="DL219" s="824">
        <f t="shared" si="144"/>
        <v>0</v>
      </c>
    </row>
    <row r="220" spans="2:116" ht="15" customHeight="1" thickBot="1" x14ac:dyDescent="0.3">
      <c r="B220" s="1673"/>
      <c r="C220" s="1680"/>
      <c r="D220" s="15" t="s">
        <v>129</v>
      </c>
      <c r="E220" s="165"/>
      <c r="F220" s="116">
        <f>SUBTOTAL(109,'3.1 I&amp;W'!$X$76)</f>
        <v>0</v>
      </c>
      <c r="G220" s="116">
        <f>SUBTOTAL(109,'3.1 I&amp;W'!$Y$76)</f>
        <v>0</v>
      </c>
      <c r="H220" s="116">
        <f>SUBTOTAL(109,'3.1 I&amp;W'!$AD$76)</f>
        <v>0</v>
      </c>
      <c r="I220" s="116">
        <f>SUBTOTAL(109,'3.1 I&amp;W'!$AE$76)</f>
        <v>0</v>
      </c>
      <c r="J220" s="116"/>
      <c r="K220" s="116"/>
      <c r="L220" s="116"/>
      <c r="M220" s="116">
        <f>SUBTOTAL(109,'3.1 I&amp;W'!$AI$76)</f>
        <v>50</v>
      </c>
      <c r="N220" s="156">
        <f t="shared" si="128"/>
        <v>0</v>
      </c>
      <c r="O220" s="116">
        <f>SUBTOTAL(109,'3.1 I&amp;W'!$S$76)</f>
        <v>79430.399999999994</v>
      </c>
      <c r="P220" s="30">
        <f t="shared" si="131"/>
        <v>0</v>
      </c>
      <c r="Q220" s="31">
        <f t="shared" si="118"/>
        <v>0</v>
      </c>
      <c r="R220" s="31">
        <f t="shared" si="119"/>
        <v>0</v>
      </c>
      <c r="S220" s="31">
        <f t="shared" si="120"/>
        <v>0</v>
      </c>
      <c r="T220" s="32">
        <f t="shared" si="121"/>
        <v>0</v>
      </c>
      <c r="U220" s="37">
        <f t="shared" si="129"/>
        <v>11915.218002052299</v>
      </c>
      <c r="V220" s="40">
        <f t="shared" si="122"/>
        <v>0</v>
      </c>
      <c r="W220" s="41">
        <f t="shared" si="123"/>
        <v>0</v>
      </c>
      <c r="X220" s="43"/>
      <c r="Y220" s="46"/>
      <c r="Z220" s="126"/>
      <c r="AA220" s="136"/>
      <c r="AB220" s="131">
        <v>17</v>
      </c>
      <c r="AC220" s="168">
        <f>IF(AF219&lt;=1,0,'3.1 Fi&amp;Fo'!$I$25)</f>
        <v>115387.08252993631</v>
      </c>
      <c r="AD220" s="169">
        <f>IF(AF219&lt;=1,0,AF219*'3.1 Fi&amp;Fo'!$H$25)</f>
        <v>36181.839801243215</v>
      </c>
      <c r="AE220" s="169">
        <f t="shared" si="162"/>
        <v>79205.242728693091</v>
      </c>
      <c r="AF220" s="170">
        <f t="shared" si="163"/>
        <v>1729886.7473334677</v>
      </c>
      <c r="AG220" s="168">
        <f>IF(AJ219&lt;=1,0,IF(AB220&lt;='3.1 Fi&amp;Fo'!$F$34,'3.1 Fi&amp;Fo'!$J$34,IF(AB220&lt;='3.1 Fi&amp;Fo'!$F$35,'3.1 Fi&amp;Fo'!$J$35,IF(AB220&lt;='3.1 Fi&amp;Fo'!$F$36,'3.1 Fi&amp;Fo'!$J$36,IF(AB220&lt;='3.1 Fi&amp;Fo'!$F$37,'3.1 Fi&amp;Fo'!$J$37,IF(AB220&lt;='3.1 Fi&amp;Fo'!$F$38,'3.1 Fi&amp;Fo'!$J$38,IF(AB220&lt;='3.1 Fi&amp;Fo'!$F$39,'3.1 Fi&amp;Fo'!$J$39,IF(AB220&lt;='3.1 Fi&amp;Fo'!$F$40,'3.1 Fi&amp;Fo'!$J$40))))))))</f>
        <v>0</v>
      </c>
      <c r="AH220" s="169">
        <f>IF(AJ219&lt;=1,0,AJ219*IF(AB220&lt;='3.1 Fi&amp;Fo'!$F$34,'3.1 Fi&amp;Fo'!$I$34,IF(AB220&lt;='3.1 Fi&amp;Fo'!$F$35,'3.1 Fi&amp;Fo'!$I$35,IF(AB220&lt;='3.1 Fi&amp;Fo'!$F$36,'3.1 Fi&amp;Fo'!$I$36,IF(AB220&lt;='3.1 Fi&amp;Fo'!$F$37,'3.1 Fi&amp;Fo'!$I$37,IF(AB220&lt;='3.1 Fi&amp;Fo'!$F$40,'3.1 Fi&amp;Fo'!$I$40))))))</f>
        <v>0</v>
      </c>
      <c r="AI220" s="169">
        <f t="shared" si="139"/>
        <v>0</v>
      </c>
      <c r="AJ220" s="170">
        <f t="shared" si="164"/>
        <v>0</v>
      </c>
      <c r="AK220" s="312">
        <f t="shared" si="140"/>
        <v>-145990.14485839321</v>
      </c>
      <c r="AL220" s="169">
        <f>IF(AB220&lt;='3.1 Fi&amp;Fo'!$J$15,'3.1 Fi&amp;Fo'!$I$15,0)</f>
        <v>0</v>
      </c>
      <c r="AM220" s="169">
        <f t="shared" si="141"/>
        <v>30603.062328456901</v>
      </c>
      <c r="AN220" s="838">
        <f t="shared" si="146"/>
        <v>17</v>
      </c>
      <c r="AO220" s="844">
        <f t="shared" si="134"/>
        <v>145990.14485839321</v>
      </c>
      <c r="AP220" s="839">
        <f>CE308</f>
        <v>0</v>
      </c>
      <c r="AQ220" s="844">
        <f t="shared" si="135"/>
        <v>0</v>
      </c>
      <c r="AR220" s="839">
        <f t="shared" si="147"/>
        <v>0</v>
      </c>
      <c r="AS220" s="839">
        <f t="shared" ca="1" si="142"/>
        <v>8201.8811270500319</v>
      </c>
      <c r="AT220" s="839">
        <f t="shared" si="148"/>
        <v>21406.209428524809</v>
      </c>
      <c r="AU220" s="839">
        <f ca="1">'PV-Einspeisung'!AA36*-1</f>
        <v>0</v>
      </c>
      <c r="AV220" s="839">
        <f>'PV-Einspeisung'!AE36*-1</f>
        <v>0</v>
      </c>
      <c r="AW220" s="839"/>
      <c r="AX220" s="839">
        <f t="shared" si="149"/>
        <v>0</v>
      </c>
      <c r="AY220" s="841">
        <f t="shared" si="136"/>
        <v>17</v>
      </c>
      <c r="AZ220" s="842">
        <f t="shared" si="150"/>
        <v>0</v>
      </c>
      <c r="BA220" s="842">
        <f t="shared" si="151"/>
        <v>0</v>
      </c>
      <c r="BB220" s="842">
        <f t="shared" si="152"/>
        <v>0</v>
      </c>
      <c r="BC220" s="842">
        <f t="shared" si="153"/>
        <v>0</v>
      </c>
      <c r="BD220" s="842">
        <f t="shared" si="154"/>
        <v>0</v>
      </c>
      <c r="BE220" s="842">
        <f t="shared" si="155"/>
        <v>0</v>
      </c>
      <c r="BF220" s="842">
        <f t="shared" si="156"/>
        <v>9070.4726110421598</v>
      </c>
      <c r="BG220" s="842">
        <f t="shared" si="157"/>
        <v>12335.736817482648</v>
      </c>
      <c r="BH220" s="858">
        <f t="shared" si="138"/>
        <v>17</v>
      </c>
      <c r="BI220" s="857">
        <f t="shared" ca="1" si="158"/>
        <v>3862.7723636252153</v>
      </c>
      <c r="BJ220" s="857">
        <f t="shared" si="159"/>
        <v>4339.1087634248161</v>
      </c>
      <c r="BK220" s="859">
        <f ca="1">'PV-Einspeisung'!AB36*-1</f>
        <v>0</v>
      </c>
      <c r="BL220" s="824">
        <f t="shared" si="124"/>
        <v>50</v>
      </c>
      <c r="BM220" s="824">
        <f t="shared" si="125"/>
        <v>0</v>
      </c>
      <c r="BN220" s="824">
        <f t="shared" si="126"/>
        <v>79430.399999999994</v>
      </c>
      <c r="BO220" s="824">
        <f t="shared" si="165"/>
        <v>0</v>
      </c>
      <c r="BP220" s="824">
        <f t="shared" si="165"/>
        <v>0</v>
      </c>
      <c r="BQ220" s="824">
        <f t="shared" si="165"/>
        <v>0</v>
      </c>
      <c r="BR220" s="824">
        <f t="shared" si="165"/>
        <v>0</v>
      </c>
      <c r="BS220" s="824">
        <f t="shared" si="165"/>
        <v>0</v>
      </c>
      <c r="BT220" s="824">
        <f t="shared" si="165"/>
        <v>0</v>
      </c>
      <c r="BU220" s="824">
        <f t="shared" si="165"/>
        <v>0</v>
      </c>
      <c r="BV220" s="824">
        <f t="shared" si="165"/>
        <v>0</v>
      </c>
      <c r="BW220" s="824">
        <f t="shared" si="165"/>
        <v>0</v>
      </c>
      <c r="BX220" s="824">
        <f t="shared" si="165"/>
        <v>0</v>
      </c>
      <c r="BY220" s="824">
        <f t="shared" si="165"/>
        <v>0</v>
      </c>
      <c r="BZ220" s="824">
        <f t="shared" si="165"/>
        <v>0</v>
      </c>
      <c r="CA220" s="824">
        <f t="shared" si="165"/>
        <v>0</v>
      </c>
      <c r="CB220" s="824">
        <f t="shared" si="165"/>
        <v>0</v>
      </c>
      <c r="CC220" s="824">
        <f t="shared" si="165"/>
        <v>0</v>
      </c>
      <c r="CD220" s="824">
        <f t="shared" si="165"/>
        <v>0</v>
      </c>
      <c r="CE220" s="824">
        <f t="shared" si="160"/>
        <v>0</v>
      </c>
      <c r="CF220" s="824">
        <f t="shared" si="160"/>
        <v>0</v>
      </c>
      <c r="CG220" s="824">
        <f t="shared" si="160"/>
        <v>0</v>
      </c>
      <c r="CH220" s="824">
        <f t="shared" si="160"/>
        <v>0</v>
      </c>
      <c r="CI220" s="824">
        <f t="shared" si="160"/>
        <v>0</v>
      </c>
      <c r="CJ220" s="824">
        <f t="shared" si="160"/>
        <v>0</v>
      </c>
      <c r="CK220" s="824">
        <f t="shared" si="160"/>
        <v>0</v>
      </c>
      <c r="CL220" s="824">
        <f t="shared" si="160"/>
        <v>0</v>
      </c>
      <c r="CM220" s="824">
        <f t="shared" si="160"/>
        <v>0</v>
      </c>
      <c r="CN220" s="824">
        <f t="shared" si="160"/>
        <v>0</v>
      </c>
      <c r="CO220" s="824">
        <f t="shared" si="160"/>
        <v>0</v>
      </c>
      <c r="CP220" s="824">
        <f t="shared" si="160"/>
        <v>0</v>
      </c>
      <c r="CQ220" s="824">
        <f t="shared" si="160"/>
        <v>0</v>
      </c>
      <c r="CR220" s="824">
        <f t="shared" si="160"/>
        <v>0</v>
      </c>
      <c r="CS220" s="824">
        <f t="shared" si="160"/>
        <v>0</v>
      </c>
      <c r="CT220" s="824">
        <f t="shared" si="160"/>
        <v>0</v>
      </c>
      <c r="CU220" s="824">
        <f t="shared" si="143"/>
        <v>0</v>
      </c>
      <c r="CV220" s="824">
        <f t="shared" si="143"/>
        <v>0</v>
      </c>
      <c r="CW220" s="824">
        <f t="shared" si="143"/>
        <v>0</v>
      </c>
      <c r="CX220" s="824">
        <f t="shared" si="143"/>
        <v>0</v>
      </c>
      <c r="CY220" s="824">
        <f t="shared" si="143"/>
        <v>0</v>
      </c>
      <c r="CZ220" s="824">
        <f t="shared" si="143"/>
        <v>0</v>
      </c>
      <c r="DA220" s="824">
        <f t="shared" si="144"/>
        <v>0</v>
      </c>
      <c r="DB220" s="824">
        <f t="shared" si="144"/>
        <v>0</v>
      </c>
      <c r="DC220" s="824">
        <f t="shared" si="144"/>
        <v>0</v>
      </c>
      <c r="DD220" s="824">
        <f t="shared" si="144"/>
        <v>0</v>
      </c>
      <c r="DE220" s="824">
        <f t="shared" si="144"/>
        <v>0</v>
      </c>
      <c r="DF220" s="824">
        <f t="shared" si="144"/>
        <v>0</v>
      </c>
      <c r="DG220" s="824">
        <f t="shared" si="144"/>
        <v>0</v>
      </c>
      <c r="DH220" s="824">
        <f t="shared" si="144"/>
        <v>0</v>
      </c>
      <c r="DI220" s="824">
        <f t="shared" si="144"/>
        <v>0</v>
      </c>
      <c r="DJ220" s="824">
        <f t="shared" si="144"/>
        <v>0</v>
      </c>
      <c r="DK220" s="824">
        <f t="shared" si="144"/>
        <v>0</v>
      </c>
      <c r="DL220" s="824">
        <f t="shared" si="144"/>
        <v>0</v>
      </c>
    </row>
    <row r="221" spans="2:116" ht="15" customHeight="1" thickBot="1" x14ac:dyDescent="0.3">
      <c r="B221" s="1673"/>
      <c r="C221" s="1680"/>
      <c r="D221" s="15" t="s">
        <v>129</v>
      </c>
      <c r="E221" s="116"/>
      <c r="F221" s="116">
        <f>SUBTOTAL(109,'3.1 I&amp;W'!$X$77)</f>
        <v>0</v>
      </c>
      <c r="G221" s="116">
        <f>SUBTOTAL(109,'3.1 I&amp;W'!$Y$77)</f>
        <v>0</v>
      </c>
      <c r="H221" s="116">
        <f>SUBTOTAL(109,'3.1 I&amp;W'!$AD$77)</f>
        <v>0</v>
      </c>
      <c r="I221" s="116">
        <f>SUBTOTAL(109,'3.1 I&amp;W'!$AE$77)</f>
        <v>0</v>
      </c>
      <c r="J221" s="116"/>
      <c r="K221" s="116"/>
      <c r="L221" s="116"/>
      <c r="M221" s="116">
        <f>SUBTOTAL(109,'3.1 I&amp;W'!$AI$77)</f>
        <v>80</v>
      </c>
      <c r="N221" s="156">
        <f t="shared" si="128"/>
        <v>0</v>
      </c>
      <c r="O221" s="116">
        <f>SUBTOTAL(109,'3.1 I&amp;W'!$S$77)</f>
        <v>14448</v>
      </c>
      <c r="P221" s="30">
        <f t="shared" si="131"/>
        <v>0</v>
      </c>
      <c r="Q221" s="31">
        <f t="shared" si="118"/>
        <v>0</v>
      </c>
      <c r="R221" s="31">
        <f t="shared" si="119"/>
        <v>0</v>
      </c>
      <c r="S221" s="31">
        <f t="shared" si="120"/>
        <v>0</v>
      </c>
      <c r="T221" s="32">
        <f t="shared" si="121"/>
        <v>0</v>
      </c>
      <c r="U221" s="37">
        <f t="shared" si="129"/>
        <v>4063.7244137710095</v>
      </c>
      <c r="V221" s="40">
        <f t="shared" si="122"/>
        <v>0</v>
      </c>
      <c r="W221" s="41">
        <f t="shared" si="123"/>
        <v>0</v>
      </c>
      <c r="X221" s="43"/>
      <c r="Y221" s="46"/>
      <c r="Z221" s="126"/>
      <c r="AA221" s="136"/>
      <c r="AB221" s="131">
        <v>18</v>
      </c>
      <c r="AC221" s="168">
        <f>IF(AF220&lt;=1,0,'3.1 Fi&amp;Fo'!$I$25)</f>
        <v>115387.08252993631</v>
      </c>
      <c r="AD221" s="169">
        <f>IF(AF220&lt;=1,0,AF220*'3.1 Fi&amp;Fo'!$H$25)</f>
        <v>34597.734946669356</v>
      </c>
      <c r="AE221" s="169">
        <f t="shared" si="162"/>
        <v>80789.34758326695</v>
      </c>
      <c r="AF221" s="170">
        <f t="shared" si="163"/>
        <v>1649097.3997502008</v>
      </c>
      <c r="AG221" s="168">
        <f>IF(AJ220&lt;=1,0,IF(AB221&lt;='3.1 Fi&amp;Fo'!$F$34,'3.1 Fi&amp;Fo'!$J$34,IF(AB221&lt;='3.1 Fi&amp;Fo'!$F$35,'3.1 Fi&amp;Fo'!$J$35,IF(AB221&lt;='3.1 Fi&amp;Fo'!$F$36,'3.1 Fi&amp;Fo'!$J$36,IF(AB221&lt;='3.1 Fi&amp;Fo'!$F$37,'3.1 Fi&amp;Fo'!$J$37,IF(AB221&lt;='3.1 Fi&amp;Fo'!$F$38,'3.1 Fi&amp;Fo'!$J$38,IF(AB221&lt;='3.1 Fi&amp;Fo'!$F$39,'3.1 Fi&amp;Fo'!$J$39,IF(AB221&lt;='3.1 Fi&amp;Fo'!$F$40,'3.1 Fi&amp;Fo'!$J$40))))))))</f>
        <v>0</v>
      </c>
      <c r="AH221" s="169">
        <f>IF(AJ220&lt;=1,0,AJ220*IF(AB221&lt;='3.1 Fi&amp;Fo'!$F$34,'3.1 Fi&amp;Fo'!$I$34,IF(AB221&lt;='3.1 Fi&amp;Fo'!$F$35,'3.1 Fi&amp;Fo'!$I$35,IF(AB221&lt;='3.1 Fi&amp;Fo'!$F$36,'3.1 Fi&amp;Fo'!$I$36,IF(AB221&lt;='3.1 Fi&amp;Fo'!$F$37,'3.1 Fi&amp;Fo'!$I$37,IF(AB221&lt;='3.1 Fi&amp;Fo'!$F$40,'3.1 Fi&amp;Fo'!$I$40))))))</f>
        <v>0</v>
      </c>
      <c r="AI221" s="169">
        <f t="shared" si="139"/>
        <v>0</v>
      </c>
      <c r="AJ221" s="170">
        <f t="shared" si="164"/>
        <v>0</v>
      </c>
      <c r="AK221" s="312">
        <f t="shared" si="140"/>
        <v>-146602.20610496178</v>
      </c>
      <c r="AL221" s="169">
        <f>IF(AB221&lt;='3.1 Fi&amp;Fo'!$J$15,'3.1 Fi&amp;Fo'!$I$15,0)</f>
        <v>0</v>
      </c>
      <c r="AM221" s="169">
        <f t="shared" si="141"/>
        <v>31215.123575025471</v>
      </c>
      <c r="AN221" s="838">
        <f t="shared" si="146"/>
        <v>18</v>
      </c>
      <c r="AO221" s="844">
        <f t="shared" si="134"/>
        <v>146602.20610496178</v>
      </c>
      <c r="AP221" s="839">
        <f>CF308</f>
        <v>0</v>
      </c>
      <c r="AQ221" s="844">
        <f t="shared" si="135"/>
        <v>0</v>
      </c>
      <c r="AR221" s="839">
        <f t="shared" si="147"/>
        <v>0</v>
      </c>
      <c r="AS221" s="839">
        <f t="shared" ca="1" si="142"/>
        <v>8333.1112250828319</v>
      </c>
      <c r="AT221" s="839">
        <f t="shared" si="148"/>
        <v>22064.722032412752</v>
      </c>
      <c r="AU221" s="839">
        <f ca="1">'PV-Einspeisung'!AA37*-1</f>
        <v>0</v>
      </c>
      <c r="AV221" s="839">
        <f>'PV-Einspeisung'!AE37*-1</f>
        <v>0</v>
      </c>
      <c r="AW221" s="839"/>
      <c r="AX221" s="839">
        <f t="shared" si="149"/>
        <v>0</v>
      </c>
      <c r="AY221" s="841">
        <f t="shared" si="136"/>
        <v>18</v>
      </c>
      <c r="AZ221" s="842">
        <f t="shared" si="150"/>
        <v>0</v>
      </c>
      <c r="BA221" s="842">
        <f t="shared" si="151"/>
        <v>0</v>
      </c>
      <c r="BB221" s="842">
        <f t="shared" si="152"/>
        <v>0</v>
      </c>
      <c r="BC221" s="842">
        <f t="shared" si="153"/>
        <v>0</v>
      </c>
      <c r="BD221" s="842">
        <f t="shared" si="154"/>
        <v>0</v>
      </c>
      <c r="BE221" s="842">
        <f t="shared" si="155"/>
        <v>0</v>
      </c>
      <c r="BF221" s="842">
        <f t="shared" si="156"/>
        <v>9297.2344263182131</v>
      </c>
      <c r="BG221" s="842">
        <f t="shared" si="157"/>
        <v>12767.487606094539</v>
      </c>
      <c r="BH221" s="858">
        <f t="shared" si="138"/>
        <v>18</v>
      </c>
      <c r="BI221" s="857">
        <f t="shared" ca="1" si="158"/>
        <v>3924.576721443219</v>
      </c>
      <c r="BJ221" s="857">
        <f t="shared" si="159"/>
        <v>4408.5345036396129</v>
      </c>
      <c r="BK221" s="859">
        <f ca="1">'PV-Einspeisung'!AB37*-1</f>
        <v>0</v>
      </c>
      <c r="BL221" s="824">
        <f t="shared" si="124"/>
        <v>80</v>
      </c>
      <c r="BM221" s="824">
        <f t="shared" si="125"/>
        <v>0</v>
      </c>
      <c r="BN221" s="824">
        <f t="shared" si="126"/>
        <v>14448</v>
      </c>
      <c r="BO221" s="824">
        <f t="shared" si="165"/>
        <v>0</v>
      </c>
      <c r="BP221" s="824">
        <f t="shared" si="165"/>
        <v>0</v>
      </c>
      <c r="BQ221" s="824">
        <f t="shared" si="165"/>
        <v>0</v>
      </c>
      <c r="BR221" s="824">
        <f t="shared" si="165"/>
        <v>0</v>
      </c>
      <c r="BS221" s="824">
        <f t="shared" si="165"/>
        <v>0</v>
      </c>
      <c r="BT221" s="824">
        <f t="shared" si="165"/>
        <v>0</v>
      </c>
      <c r="BU221" s="824">
        <f t="shared" si="165"/>
        <v>0</v>
      </c>
      <c r="BV221" s="824">
        <f t="shared" si="165"/>
        <v>0</v>
      </c>
      <c r="BW221" s="824">
        <f t="shared" si="165"/>
        <v>0</v>
      </c>
      <c r="BX221" s="824">
        <f t="shared" si="165"/>
        <v>0</v>
      </c>
      <c r="BY221" s="824">
        <f t="shared" si="165"/>
        <v>0</v>
      </c>
      <c r="BZ221" s="824">
        <f t="shared" si="165"/>
        <v>0</v>
      </c>
      <c r="CA221" s="824">
        <f t="shared" si="165"/>
        <v>0</v>
      </c>
      <c r="CB221" s="824">
        <f t="shared" si="165"/>
        <v>0</v>
      </c>
      <c r="CC221" s="824">
        <f t="shared" si="165"/>
        <v>0</v>
      </c>
      <c r="CD221" s="824">
        <f t="shared" si="165"/>
        <v>0</v>
      </c>
      <c r="CE221" s="824">
        <f t="shared" si="160"/>
        <v>0</v>
      </c>
      <c r="CF221" s="824">
        <f t="shared" si="160"/>
        <v>0</v>
      </c>
      <c r="CG221" s="824">
        <f t="shared" si="160"/>
        <v>0</v>
      </c>
      <c r="CH221" s="824">
        <f t="shared" si="160"/>
        <v>0</v>
      </c>
      <c r="CI221" s="824">
        <f t="shared" si="160"/>
        <v>0</v>
      </c>
      <c r="CJ221" s="824">
        <f t="shared" si="160"/>
        <v>0</v>
      </c>
      <c r="CK221" s="824">
        <f t="shared" si="160"/>
        <v>0</v>
      </c>
      <c r="CL221" s="824">
        <f t="shared" si="160"/>
        <v>0</v>
      </c>
      <c r="CM221" s="824">
        <f t="shared" si="160"/>
        <v>0</v>
      </c>
      <c r="CN221" s="824">
        <f t="shared" si="160"/>
        <v>0</v>
      </c>
      <c r="CO221" s="824">
        <f t="shared" si="160"/>
        <v>0</v>
      </c>
      <c r="CP221" s="824">
        <f t="shared" si="160"/>
        <v>0</v>
      </c>
      <c r="CQ221" s="824">
        <f t="shared" si="160"/>
        <v>0</v>
      </c>
      <c r="CR221" s="824">
        <f t="shared" si="160"/>
        <v>0</v>
      </c>
      <c r="CS221" s="824">
        <f t="shared" si="160"/>
        <v>0</v>
      </c>
      <c r="CT221" s="824">
        <f t="shared" si="160"/>
        <v>0</v>
      </c>
      <c r="CU221" s="824">
        <f t="shared" si="143"/>
        <v>0</v>
      </c>
      <c r="CV221" s="824">
        <f t="shared" si="143"/>
        <v>0</v>
      </c>
      <c r="CW221" s="824">
        <f t="shared" si="143"/>
        <v>0</v>
      </c>
      <c r="CX221" s="824">
        <f t="shared" si="143"/>
        <v>0</v>
      </c>
      <c r="CY221" s="824">
        <f t="shared" si="143"/>
        <v>0</v>
      </c>
      <c r="CZ221" s="824">
        <f t="shared" si="143"/>
        <v>0</v>
      </c>
      <c r="DA221" s="824">
        <f t="shared" si="144"/>
        <v>0</v>
      </c>
      <c r="DB221" s="824">
        <f t="shared" si="144"/>
        <v>0</v>
      </c>
      <c r="DC221" s="824">
        <f t="shared" si="144"/>
        <v>0</v>
      </c>
      <c r="DD221" s="824">
        <f t="shared" si="144"/>
        <v>0</v>
      </c>
      <c r="DE221" s="824">
        <f t="shared" si="144"/>
        <v>0</v>
      </c>
      <c r="DF221" s="824">
        <f t="shared" si="144"/>
        <v>0</v>
      </c>
      <c r="DG221" s="824">
        <f t="shared" si="144"/>
        <v>0</v>
      </c>
      <c r="DH221" s="824">
        <f t="shared" si="144"/>
        <v>0</v>
      </c>
      <c r="DI221" s="824">
        <f t="shared" si="144"/>
        <v>0</v>
      </c>
      <c r="DJ221" s="824">
        <f t="shared" si="144"/>
        <v>0</v>
      </c>
      <c r="DK221" s="824">
        <f t="shared" si="144"/>
        <v>0</v>
      </c>
      <c r="DL221" s="824">
        <f t="shared" si="144"/>
        <v>0</v>
      </c>
    </row>
    <row r="222" spans="2:116" ht="15" customHeight="1" thickBot="1" x14ac:dyDescent="0.3">
      <c r="B222" s="1673"/>
      <c r="C222" s="1680"/>
      <c r="D222" s="15" t="s">
        <v>129</v>
      </c>
      <c r="E222" s="165"/>
      <c r="F222" s="116">
        <f>SUBTOTAL(109,'3.1 I&amp;W'!$X$78)</f>
        <v>0</v>
      </c>
      <c r="G222" s="116">
        <f>SUBTOTAL(109,'3.1 I&amp;W'!$Y$78)</f>
        <v>0</v>
      </c>
      <c r="H222" s="116">
        <f>SUBTOTAL(109,'3.1 I&amp;W'!$AD$78)</f>
        <v>0</v>
      </c>
      <c r="I222" s="116">
        <f>SUBTOTAL(109,'3.1 I&amp;W'!$AE$78)</f>
        <v>0</v>
      </c>
      <c r="J222" s="116"/>
      <c r="K222" s="116"/>
      <c r="L222" s="116"/>
      <c r="M222" s="116">
        <f>SUBTOTAL(109,'3.1 I&amp;W'!$AI$78)</f>
        <v>100</v>
      </c>
      <c r="N222" s="156">
        <f t="shared" si="128"/>
        <v>0</v>
      </c>
      <c r="O222" s="116">
        <f>SUBTOTAL(109,'3.1 I&amp;W'!$S$78)</f>
        <v>3055.2</v>
      </c>
      <c r="P222" s="30">
        <f t="shared" si="131"/>
        <v>0</v>
      </c>
      <c r="Q222" s="31">
        <f t="shared" si="118"/>
        <v>0</v>
      </c>
      <c r="R222" s="31">
        <f t="shared" si="119"/>
        <v>0</v>
      </c>
      <c r="S222" s="31">
        <f t="shared" si="120"/>
        <v>0</v>
      </c>
      <c r="T222" s="32">
        <f t="shared" si="121"/>
        <v>0</v>
      </c>
      <c r="U222" s="37">
        <f t="shared" si="129"/>
        <v>992.99483681796153</v>
      </c>
      <c r="V222" s="40">
        <f t="shared" si="122"/>
        <v>0</v>
      </c>
      <c r="W222" s="41">
        <f t="shared" si="123"/>
        <v>0</v>
      </c>
      <c r="X222" s="43"/>
      <c r="Y222" s="46"/>
      <c r="Z222" s="126"/>
      <c r="AA222" s="136"/>
      <c r="AB222" s="131">
        <v>19</v>
      </c>
      <c r="AC222" s="168">
        <f>IF(AF221&lt;=1,0,'3.1 Fi&amp;Fo'!$I$25)</f>
        <v>115387.08252993631</v>
      </c>
      <c r="AD222" s="169">
        <f>IF(AF221&lt;=1,0,AF221*'3.1 Fi&amp;Fo'!$H$25)</f>
        <v>32981.947995004019</v>
      </c>
      <c r="AE222" s="169">
        <f t="shared" si="162"/>
        <v>82405.134534932295</v>
      </c>
      <c r="AF222" s="170">
        <f t="shared" si="163"/>
        <v>1566692.2652152686</v>
      </c>
      <c r="AG222" s="168">
        <f>IF(AJ221&lt;=1,0,IF(AB222&lt;='3.1 Fi&amp;Fo'!$F$34,'3.1 Fi&amp;Fo'!$J$34,IF(AB222&lt;='3.1 Fi&amp;Fo'!$F$35,'3.1 Fi&amp;Fo'!$J$35,IF(AB222&lt;='3.1 Fi&amp;Fo'!$F$36,'3.1 Fi&amp;Fo'!$J$36,IF(AB222&lt;='3.1 Fi&amp;Fo'!$F$37,'3.1 Fi&amp;Fo'!$J$37,IF(AB222&lt;='3.1 Fi&amp;Fo'!$F$38,'3.1 Fi&amp;Fo'!$J$38,IF(AB222&lt;='3.1 Fi&amp;Fo'!$F$39,'3.1 Fi&amp;Fo'!$J$39,IF(AB222&lt;='3.1 Fi&amp;Fo'!$F$40,'3.1 Fi&amp;Fo'!$J$40))))))))</f>
        <v>0</v>
      </c>
      <c r="AH222" s="169">
        <f>IF(AJ221&lt;=1,0,AJ221*IF(AB222&lt;='3.1 Fi&amp;Fo'!$F$34,'3.1 Fi&amp;Fo'!$I$34,IF(AB222&lt;='3.1 Fi&amp;Fo'!$F$35,'3.1 Fi&amp;Fo'!$I$35,IF(AB222&lt;='3.1 Fi&amp;Fo'!$F$36,'3.1 Fi&amp;Fo'!$I$36,IF(AB222&lt;='3.1 Fi&amp;Fo'!$F$37,'3.1 Fi&amp;Fo'!$I$37,IF(AB222&lt;='3.1 Fi&amp;Fo'!$F$40,'3.1 Fi&amp;Fo'!$I$40))))))</f>
        <v>0</v>
      </c>
      <c r="AI222" s="169">
        <f t="shared" si="139"/>
        <v>0</v>
      </c>
      <c r="AJ222" s="170">
        <f t="shared" si="164"/>
        <v>0</v>
      </c>
      <c r="AK222" s="312">
        <f t="shared" si="140"/>
        <v>-147226.50857646237</v>
      </c>
      <c r="AL222" s="169">
        <f>IF(AB222&lt;='3.1 Fi&amp;Fo'!$J$15,'3.1 Fi&amp;Fo'!$I$15,0)</f>
        <v>0</v>
      </c>
      <c r="AM222" s="169">
        <f t="shared" si="141"/>
        <v>31839.42604652606</v>
      </c>
      <c r="AN222" s="838">
        <f t="shared" si="146"/>
        <v>19</v>
      </c>
      <c r="AO222" s="844">
        <f t="shared" si="134"/>
        <v>147226.50857646237</v>
      </c>
      <c r="AP222" s="839">
        <f>CG308</f>
        <v>0</v>
      </c>
      <c r="AQ222" s="844">
        <f t="shared" si="135"/>
        <v>0</v>
      </c>
      <c r="AR222" s="839">
        <f t="shared" si="147"/>
        <v>0</v>
      </c>
      <c r="AS222" s="839">
        <f t="shared" ca="1" si="142"/>
        <v>8466.4410046841567</v>
      </c>
      <c r="AT222" s="839">
        <f t="shared" si="148"/>
        <v>22744.014959284013</v>
      </c>
      <c r="AU222" s="839">
        <f ca="1">'PV-Einspeisung'!AA38*-1</f>
        <v>0</v>
      </c>
      <c r="AV222" s="839">
        <f>'PV-Einspeisung'!AE38*-1</f>
        <v>0</v>
      </c>
      <c r="AW222" s="839"/>
      <c r="AX222" s="839">
        <f t="shared" si="149"/>
        <v>0</v>
      </c>
      <c r="AY222" s="841">
        <f t="shared" si="136"/>
        <v>19</v>
      </c>
      <c r="AZ222" s="842">
        <f t="shared" si="150"/>
        <v>0</v>
      </c>
      <c r="BA222" s="842">
        <f t="shared" si="151"/>
        <v>0</v>
      </c>
      <c r="BB222" s="842">
        <f t="shared" si="152"/>
        <v>0</v>
      </c>
      <c r="BC222" s="842">
        <f t="shared" si="153"/>
        <v>0</v>
      </c>
      <c r="BD222" s="842">
        <f t="shared" si="154"/>
        <v>0</v>
      </c>
      <c r="BE222" s="842">
        <f t="shared" si="155"/>
        <v>0</v>
      </c>
      <c r="BF222" s="842">
        <f t="shared" si="156"/>
        <v>9529.6652869761674</v>
      </c>
      <c r="BG222" s="842">
        <f t="shared" si="157"/>
        <v>13214.349672307846</v>
      </c>
      <c r="BH222" s="858">
        <f t="shared" si="138"/>
        <v>19</v>
      </c>
      <c r="BI222" s="857">
        <f t="shared" ca="1" si="158"/>
        <v>3987.3699489863106</v>
      </c>
      <c r="BJ222" s="857">
        <f t="shared" si="159"/>
        <v>4479.0710556978465</v>
      </c>
      <c r="BK222" s="859">
        <f ca="1">'PV-Einspeisung'!AB38*-1</f>
        <v>0</v>
      </c>
      <c r="BL222" s="824">
        <f t="shared" si="124"/>
        <v>100</v>
      </c>
      <c r="BM222" s="824">
        <f t="shared" si="125"/>
        <v>0</v>
      </c>
      <c r="BN222" s="824">
        <f t="shared" si="126"/>
        <v>3055.2</v>
      </c>
      <c r="BO222" s="824">
        <f t="shared" si="165"/>
        <v>0</v>
      </c>
      <c r="BP222" s="824">
        <f t="shared" si="165"/>
        <v>0</v>
      </c>
      <c r="BQ222" s="824">
        <f t="shared" si="165"/>
        <v>0</v>
      </c>
      <c r="BR222" s="824">
        <f t="shared" si="165"/>
        <v>0</v>
      </c>
      <c r="BS222" s="824">
        <f t="shared" si="165"/>
        <v>0</v>
      </c>
      <c r="BT222" s="824">
        <f t="shared" si="165"/>
        <v>0</v>
      </c>
      <c r="BU222" s="824">
        <f t="shared" si="165"/>
        <v>0</v>
      </c>
      <c r="BV222" s="824">
        <f t="shared" si="165"/>
        <v>0</v>
      </c>
      <c r="BW222" s="824">
        <f t="shared" si="165"/>
        <v>0</v>
      </c>
      <c r="BX222" s="824">
        <f t="shared" si="165"/>
        <v>0</v>
      </c>
      <c r="BY222" s="824">
        <f t="shared" si="165"/>
        <v>0</v>
      </c>
      <c r="BZ222" s="824">
        <f t="shared" si="165"/>
        <v>0</v>
      </c>
      <c r="CA222" s="824">
        <f t="shared" si="165"/>
        <v>0</v>
      </c>
      <c r="CB222" s="824">
        <f t="shared" si="165"/>
        <v>0</v>
      </c>
      <c r="CC222" s="824">
        <f t="shared" si="165"/>
        <v>0</v>
      </c>
      <c r="CD222" s="824">
        <f t="shared" si="165"/>
        <v>0</v>
      </c>
      <c r="CE222" s="824">
        <f t="shared" si="160"/>
        <v>0</v>
      </c>
      <c r="CF222" s="824">
        <f t="shared" si="160"/>
        <v>0</v>
      </c>
      <c r="CG222" s="824">
        <f t="shared" si="160"/>
        <v>0</v>
      </c>
      <c r="CH222" s="824">
        <f t="shared" si="160"/>
        <v>0</v>
      </c>
      <c r="CI222" s="824">
        <f t="shared" si="160"/>
        <v>0</v>
      </c>
      <c r="CJ222" s="824">
        <f t="shared" si="160"/>
        <v>0</v>
      </c>
      <c r="CK222" s="824">
        <f t="shared" si="160"/>
        <v>0</v>
      </c>
      <c r="CL222" s="824">
        <f t="shared" si="160"/>
        <v>0</v>
      </c>
      <c r="CM222" s="824">
        <f t="shared" si="160"/>
        <v>0</v>
      </c>
      <c r="CN222" s="824">
        <f t="shared" si="160"/>
        <v>0</v>
      </c>
      <c r="CO222" s="824">
        <f t="shared" si="160"/>
        <v>0</v>
      </c>
      <c r="CP222" s="824">
        <f t="shared" si="160"/>
        <v>0</v>
      </c>
      <c r="CQ222" s="824">
        <f t="shared" ref="CQ222:DF250" si="166">IF(OR(IF($BL222*1&lt;$BL$196,$BL222*1=CQ$198,FALSE),IF($BL222*2&lt;$BL$196,$BL222*2=CQ$198,FALSE),IF($BL222*3&lt;$BL$196,$BL222*3=CQ$198,FALSE),IF($BL222*4&lt;$BL$196,$BL222*4=CQ$198,FALSE),IF($BL222*5&lt;$BL$196,$BL222*5=CQ$198,FALSE)),$BN222*$BM$196^CQ$198,0)</f>
        <v>0</v>
      </c>
      <c r="CR222" s="824">
        <f t="shared" si="166"/>
        <v>0</v>
      </c>
      <c r="CS222" s="824">
        <f t="shared" si="166"/>
        <v>0</v>
      </c>
      <c r="CT222" s="824">
        <f t="shared" si="166"/>
        <v>0</v>
      </c>
      <c r="CU222" s="824">
        <f t="shared" si="143"/>
        <v>0</v>
      </c>
      <c r="CV222" s="824">
        <f t="shared" si="143"/>
        <v>0</v>
      </c>
      <c r="CW222" s="824">
        <f t="shared" si="143"/>
        <v>0</v>
      </c>
      <c r="CX222" s="824">
        <f t="shared" si="143"/>
        <v>0</v>
      </c>
      <c r="CY222" s="824">
        <f t="shared" si="143"/>
        <v>0</v>
      </c>
      <c r="CZ222" s="824">
        <f t="shared" si="143"/>
        <v>0</v>
      </c>
      <c r="DA222" s="824">
        <f t="shared" si="144"/>
        <v>0</v>
      </c>
      <c r="DB222" s="824">
        <f t="shared" si="144"/>
        <v>0</v>
      </c>
      <c r="DC222" s="824">
        <f t="shared" si="144"/>
        <v>0</v>
      </c>
      <c r="DD222" s="824">
        <f t="shared" si="144"/>
        <v>0</v>
      </c>
      <c r="DE222" s="824">
        <f t="shared" si="144"/>
        <v>0</v>
      </c>
      <c r="DF222" s="824">
        <f t="shared" si="144"/>
        <v>0</v>
      </c>
      <c r="DG222" s="824">
        <f t="shared" si="144"/>
        <v>0</v>
      </c>
      <c r="DH222" s="824">
        <f t="shared" si="144"/>
        <v>0</v>
      </c>
      <c r="DI222" s="824">
        <f t="shared" si="144"/>
        <v>0</v>
      </c>
      <c r="DJ222" s="824">
        <f t="shared" si="144"/>
        <v>0</v>
      </c>
      <c r="DK222" s="824">
        <f t="shared" si="144"/>
        <v>0</v>
      </c>
      <c r="DL222" s="824">
        <f t="shared" si="144"/>
        <v>0</v>
      </c>
    </row>
    <row r="223" spans="2:116" ht="15" customHeight="1" thickBot="1" x14ac:dyDescent="0.3">
      <c r="B223" s="1673"/>
      <c r="C223" s="1680"/>
      <c r="D223" s="15" t="s">
        <v>129</v>
      </c>
      <c r="E223" s="116"/>
      <c r="F223" s="116">
        <f>SUBTOTAL(109,'3.1 I&amp;W'!$X$79)</f>
        <v>0</v>
      </c>
      <c r="G223" s="116">
        <f>SUBTOTAL(109,'3.1 I&amp;W'!$Y$79)</f>
        <v>0</v>
      </c>
      <c r="H223" s="116">
        <f>SUBTOTAL(109,'3.1 I&amp;W'!$AD$79)</f>
        <v>0</v>
      </c>
      <c r="I223" s="116">
        <f>SUBTOTAL(109,'3.1 I&amp;W'!$AE$79)</f>
        <v>0</v>
      </c>
      <c r="J223" s="116"/>
      <c r="K223" s="116"/>
      <c r="L223" s="116"/>
      <c r="M223" s="116">
        <f>SUBTOTAL(109,'3.1 I&amp;W'!$AI$79)</f>
        <v>0</v>
      </c>
      <c r="N223" s="156">
        <f t="shared" si="128"/>
        <v>0</v>
      </c>
      <c r="O223" s="116">
        <f>SUBTOTAL(109,'3.1 I&amp;W'!$S$79)</f>
        <v>0</v>
      </c>
      <c r="P223" s="30">
        <f t="shared" si="131"/>
        <v>0</v>
      </c>
      <c r="Q223" s="31">
        <f t="shared" si="118"/>
        <v>0</v>
      </c>
      <c r="R223" s="31">
        <f t="shared" si="119"/>
        <v>0</v>
      </c>
      <c r="S223" s="31">
        <f t="shared" si="120"/>
        <v>0</v>
      </c>
      <c r="T223" s="32">
        <f t="shared" si="121"/>
        <v>0</v>
      </c>
      <c r="U223" s="37">
        <f t="shared" si="129"/>
        <v>0</v>
      </c>
      <c r="V223" s="40">
        <f t="shared" si="122"/>
        <v>0</v>
      </c>
      <c r="W223" s="41">
        <f t="shared" si="123"/>
        <v>0</v>
      </c>
      <c r="X223" s="43"/>
      <c r="Y223" s="46"/>
      <c r="Z223" s="126"/>
      <c r="AA223" s="136"/>
      <c r="AB223" s="131">
        <v>20</v>
      </c>
      <c r="AC223" s="168">
        <f>IF(AF222&lt;=1,0,'3.1 Fi&amp;Fo'!$I$25)</f>
        <v>115387.08252993631</v>
      </c>
      <c r="AD223" s="169">
        <f>IF(AF222&lt;=1,0,AF222*'3.1 Fi&amp;Fo'!$H$25)</f>
        <v>31333.845304305374</v>
      </c>
      <c r="AE223" s="169">
        <f t="shared" si="162"/>
        <v>84053.237225630932</v>
      </c>
      <c r="AF223" s="170">
        <f t="shared" si="163"/>
        <v>1482639.0279896376</v>
      </c>
      <c r="AG223" s="168">
        <f>IF(AJ222&lt;=1,0,IF(AB223&lt;='3.1 Fi&amp;Fo'!$F$34,'3.1 Fi&amp;Fo'!$J$34,IF(AB223&lt;='3.1 Fi&amp;Fo'!$F$35,'3.1 Fi&amp;Fo'!$J$35,IF(AB223&lt;='3.1 Fi&amp;Fo'!$F$36,'3.1 Fi&amp;Fo'!$J$36,IF(AB223&lt;='3.1 Fi&amp;Fo'!$F$37,'3.1 Fi&amp;Fo'!$J$37,IF(AB223&lt;='3.1 Fi&amp;Fo'!$F$38,'3.1 Fi&amp;Fo'!$J$38,IF(AB223&lt;='3.1 Fi&amp;Fo'!$F$39,'3.1 Fi&amp;Fo'!$J$39,IF(AB223&lt;='3.1 Fi&amp;Fo'!$F$40,'3.1 Fi&amp;Fo'!$J$40))))))))</f>
        <v>0</v>
      </c>
      <c r="AH223" s="169">
        <f>IF(AJ222&lt;=1,0,AJ222*IF(AB223&lt;='3.1 Fi&amp;Fo'!$F$34,'3.1 Fi&amp;Fo'!$I$34,IF(AB223&lt;='3.1 Fi&amp;Fo'!$F$35,'3.1 Fi&amp;Fo'!$I$35,IF(AB223&lt;='3.1 Fi&amp;Fo'!$F$36,'3.1 Fi&amp;Fo'!$I$36,IF(AB223&lt;='3.1 Fi&amp;Fo'!$F$37,'3.1 Fi&amp;Fo'!$I$37,IF(AB223&lt;='3.1 Fi&amp;Fo'!$F$40,'3.1 Fi&amp;Fo'!$I$40))))))</f>
        <v>0</v>
      </c>
      <c r="AI223" s="169">
        <f t="shared" si="139"/>
        <v>0</v>
      </c>
      <c r="AJ223" s="170">
        <f t="shared" si="164"/>
        <v>0</v>
      </c>
      <c r="AK223" s="312">
        <f t="shared" si="140"/>
        <v>-147863.2970973934</v>
      </c>
      <c r="AL223" s="169">
        <f>IF(AB223&lt;='3.1 Fi&amp;Fo'!$J$15,'3.1 Fi&amp;Fo'!$I$15,0)</f>
        <v>0</v>
      </c>
      <c r="AM223" s="169">
        <f t="shared" si="141"/>
        <v>32476.214567457093</v>
      </c>
      <c r="AN223" s="838">
        <f t="shared" si="146"/>
        <v>20</v>
      </c>
      <c r="AO223" s="844">
        <f t="shared" si="134"/>
        <v>147863.2970973934</v>
      </c>
      <c r="AP223" s="839">
        <f>CH308</f>
        <v>39628.527331267935</v>
      </c>
      <c r="AQ223" s="844">
        <f t="shared" si="135"/>
        <v>0</v>
      </c>
      <c r="AR223" s="839">
        <f t="shared" si="147"/>
        <v>0</v>
      </c>
      <c r="AS223" s="839">
        <f t="shared" ca="1" si="142"/>
        <v>8601.9040607591032</v>
      </c>
      <c r="AT223" s="839">
        <f t="shared" si="148"/>
        <v>23444.75882998919</v>
      </c>
      <c r="AU223" s="839">
        <f ca="1">'PV-Einspeisung'!AA39*-1</f>
        <v>0</v>
      </c>
      <c r="AV223" s="839">
        <f>'PV-Einspeisung'!AE39*-1</f>
        <v>0</v>
      </c>
      <c r="AW223" s="839"/>
      <c r="AX223" s="839">
        <f t="shared" si="149"/>
        <v>0</v>
      </c>
      <c r="AY223" s="841">
        <f t="shared" si="136"/>
        <v>20</v>
      </c>
      <c r="AZ223" s="842">
        <f t="shared" si="150"/>
        <v>0</v>
      </c>
      <c r="BA223" s="842">
        <f t="shared" si="151"/>
        <v>0</v>
      </c>
      <c r="BB223" s="842">
        <f t="shared" si="152"/>
        <v>0</v>
      </c>
      <c r="BC223" s="842">
        <f t="shared" si="153"/>
        <v>0</v>
      </c>
      <c r="BD223" s="842">
        <f t="shared" si="154"/>
        <v>0</v>
      </c>
      <c r="BE223" s="842">
        <f t="shared" si="155"/>
        <v>0</v>
      </c>
      <c r="BF223" s="842">
        <f t="shared" si="156"/>
        <v>9767.9069191505714</v>
      </c>
      <c r="BG223" s="842">
        <f t="shared" si="157"/>
        <v>13676.851910838619</v>
      </c>
      <c r="BH223" s="858">
        <f t="shared" si="138"/>
        <v>20</v>
      </c>
      <c r="BI223" s="857">
        <f t="shared" ca="1" si="158"/>
        <v>4051.1678681700919</v>
      </c>
      <c r="BJ223" s="857">
        <f t="shared" si="159"/>
        <v>4550.7361925890118</v>
      </c>
      <c r="BK223" s="859">
        <f ca="1">'PV-Einspeisung'!AB39*-1</f>
        <v>0</v>
      </c>
      <c r="BL223" s="824">
        <f t="shared" si="124"/>
        <v>0</v>
      </c>
      <c r="BM223" s="824">
        <f t="shared" si="125"/>
        <v>0</v>
      </c>
      <c r="BN223" s="824">
        <f t="shared" si="126"/>
        <v>0</v>
      </c>
      <c r="BO223" s="824">
        <f t="shared" si="165"/>
        <v>0</v>
      </c>
      <c r="BP223" s="824">
        <f t="shared" si="165"/>
        <v>0</v>
      </c>
      <c r="BQ223" s="824">
        <f t="shared" si="165"/>
        <v>0</v>
      </c>
      <c r="BR223" s="824">
        <f t="shared" si="165"/>
        <v>0</v>
      </c>
      <c r="BS223" s="824">
        <f t="shared" si="165"/>
        <v>0</v>
      </c>
      <c r="BT223" s="824">
        <f t="shared" si="165"/>
        <v>0</v>
      </c>
      <c r="BU223" s="824">
        <f t="shared" si="165"/>
        <v>0</v>
      </c>
      <c r="BV223" s="824">
        <f t="shared" si="165"/>
        <v>0</v>
      </c>
      <c r="BW223" s="824">
        <f t="shared" si="165"/>
        <v>0</v>
      </c>
      <c r="BX223" s="824">
        <f t="shared" si="165"/>
        <v>0</v>
      </c>
      <c r="BY223" s="824">
        <f t="shared" si="165"/>
        <v>0</v>
      </c>
      <c r="BZ223" s="824">
        <f t="shared" si="165"/>
        <v>0</v>
      </c>
      <c r="CA223" s="824">
        <f t="shared" si="165"/>
        <v>0</v>
      </c>
      <c r="CB223" s="824">
        <f t="shared" si="165"/>
        <v>0</v>
      </c>
      <c r="CC223" s="824">
        <f t="shared" si="165"/>
        <v>0</v>
      </c>
      <c r="CD223" s="824">
        <f t="shared" si="165"/>
        <v>0</v>
      </c>
      <c r="CE223" s="824">
        <f t="shared" ref="CE223:CS232" si="167">IF(OR(IF($BL223*1&lt;$BL$196,$BL223*1=CE$198,FALSE),IF($BL223*2&lt;$BL$196,$BL223*2=CE$198,FALSE),IF($BL223*3&lt;$BL$196,$BL223*3=CE$198,FALSE),IF($BL223*4&lt;$BL$196,$BL223*4=CE$198,FALSE),IF($BL223*5&lt;$BL$196,$BL223*5=CE$198,FALSE)),$BN223*$BM$196^CE$198,0)</f>
        <v>0</v>
      </c>
      <c r="CF223" s="824">
        <f t="shared" si="167"/>
        <v>0</v>
      </c>
      <c r="CG223" s="824">
        <f t="shared" si="167"/>
        <v>0</v>
      </c>
      <c r="CH223" s="824">
        <f t="shared" si="167"/>
        <v>0</v>
      </c>
      <c r="CI223" s="824">
        <f t="shared" si="167"/>
        <v>0</v>
      </c>
      <c r="CJ223" s="824">
        <f t="shared" si="167"/>
        <v>0</v>
      </c>
      <c r="CK223" s="824">
        <f t="shared" si="167"/>
        <v>0</v>
      </c>
      <c r="CL223" s="824">
        <f t="shared" si="167"/>
        <v>0</v>
      </c>
      <c r="CM223" s="824">
        <f t="shared" si="167"/>
        <v>0</v>
      </c>
      <c r="CN223" s="824">
        <f t="shared" si="167"/>
        <v>0</v>
      </c>
      <c r="CO223" s="824">
        <f t="shared" si="167"/>
        <v>0</v>
      </c>
      <c r="CP223" s="824">
        <f t="shared" si="167"/>
        <v>0</v>
      </c>
      <c r="CQ223" s="824">
        <f t="shared" si="167"/>
        <v>0</v>
      </c>
      <c r="CR223" s="824">
        <f t="shared" si="167"/>
        <v>0</v>
      </c>
      <c r="CS223" s="824">
        <f t="shared" si="167"/>
        <v>0</v>
      </c>
      <c r="CT223" s="824">
        <f t="shared" si="166"/>
        <v>0</v>
      </c>
      <c r="CU223" s="824">
        <f t="shared" si="143"/>
        <v>0</v>
      </c>
      <c r="CV223" s="824">
        <f t="shared" si="143"/>
        <v>0</v>
      </c>
      <c r="CW223" s="824">
        <f t="shared" si="143"/>
        <v>0</v>
      </c>
      <c r="CX223" s="824">
        <f t="shared" si="143"/>
        <v>0</v>
      </c>
      <c r="CY223" s="824">
        <f t="shared" si="143"/>
        <v>0</v>
      </c>
      <c r="CZ223" s="824">
        <f t="shared" si="143"/>
        <v>0</v>
      </c>
      <c r="DA223" s="824">
        <f t="shared" si="144"/>
        <v>0</v>
      </c>
      <c r="DB223" s="824">
        <f t="shared" si="144"/>
        <v>0</v>
      </c>
      <c r="DC223" s="824">
        <f t="shared" si="144"/>
        <v>0</v>
      </c>
      <c r="DD223" s="824">
        <f t="shared" si="144"/>
        <v>0</v>
      </c>
      <c r="DE223" s="824">
        <f t="shared" si="144"/>
        <v>0</v>
      </c>
      <c r="DF223" s="824">
        <f t="shared" si="144"/>
        <v>0</v>
      </c>
      <c r="DG223" s="824">
        <f t="shared" si="144"/>
        <v>0</v>
      </c>
      <c r="DH223" s="824">
        <f t="shared" si="144"/>
        <v>0</v>
      </c>
      <c r="DI223" s="824">
        <f t="shared" si="144"/>
        <v>0</v>
      </c>
      <c r="DJ223" s="824">
        <f t="shared" si="144"/>
        <v>0</v>
      </c>
      <c r="DK223" s="824">
        <f t="shared" si="144"/>
        <v>0</v>
      </c>
      <c r="DL223" s="824">
        <f t="shared" si="144"/>
        <v>0</v>
      </c>
    </row>
    <row r="224" spans="2:116" ht="15" customHeight="1" thickBot="1" x14ac:dyDescent="0.3">
      <c r="B224" s="1673"/>
      <c r="C224" s="1680"/>
      <c r="D224" s="15" t="s">
        <v>129</v>
      </c>
      <c r="E224" s="165"/>
      <c r="F224" s="116">
        <f>SUBTOTAL(109,'3.1 I&amp;W'!$X$80)</f>
        <v>0</v>
      </c>
      <c r="G224" s="116">
        <f>SUBTOTAL(109,'3.1 I&amp;W'!$Y$80)</f>
        <v>0</v>
      </c>
      <c r="H224" s="116">
        <f>SUBTOTAL(109,'3.1 I&amp;W'!$AD$80)</f>
        <v>0</v>
      </c>
      <c r="I224" s="116">
        <f>SUBTOTAL(109,'3.1 I&amp;W'!$AE$80)</f>
        <v>0</v>
      </c>
      <c r="J224" s="116"/>
      <c r="K224" s="116"/>
      <c r="L224" s="116"/>
      <c r="M224" s="116">
        <f>SUBTOTAL(109,'3.1 I&amp;W'!$AI$80)</f>
        <v>0</v>
      </c>
      <c r="N224" s="156">
        <f t="shared" si="128"/>
        <v>0</v>
      </c>
      <c r="O224" s="116">
        <f>SUBTOTAL(109,'3.1 I&amp;W'!$S$80)</f>
        <v>0</v>
      </c>
      <c r="P224" s="30">
        <f t="shared" si="131"/>
        <v>0</v>
      </c>
      <c r="Q224" s="31">
        <f t="shared" si="118"/>
        <v>0</v>
      </c>
      <c r="R224" s="31">
        <f t="shared" si="119"/>
        <v>0</v>
      </c>
      <c r="S224" s="31">
        <f t="shared" si="120"/>
        <v>0</v>
      </c>
      <c r="T224" s="32">
        <f t="shared" si="121"/>
        <v>0</v>
      </c>
      <c r="U224" s="37">
        <f t="shared" si="129"/>
        <v>0</v>
      </c>
      <c r="V224" s="40">
        <f t="shared" si="122"/>
        <v>0</v>
      </c>
      <c r="W224" s="41">
        <f t="shared" si="123"/>
        <v>0</v>
      </c>
      <c r="X224" s="43"/>
      <c r="Y224" s="46"/>
      <c r="Z224" s="126"/>
      <c r="AA224" s="136"/>
      <c r="AB224" s="131">
        <v>21</v>
      </c>
      <c r="AC224" s="168">
        <f>IF(AF223&lt;=1,0,'3.1 Fi&amp;Fo'!$I$25)</f>
        <v>115387.08252993631</v>
      </c>
      <c r="AD224" s="169">
        <f>IF(AF223&lt;=1,0,AF223*'3.1 Fi&amp;Fo'!$H$25)</f>
        <v>29652.780559792751</v>
      </c>
      <c r="AE224" s="169">
        <f t="shared" si="162"/>
        <v>85734.301970143555</v>
      </c>
      <c r="AF224" s="170">
        <f t="shared" si="163"/>
        <v>1396904.726019494</v>
      </c>
      <c r="AG224" s="168">
        <f>IF(AJ223&lt;=1,0,IF(AB224&lt;='3.1 Fi&amp;Fo'!$F$34,'3.1 Fi&amp;Fo'!$J$34,IF(AB224&lt;='3.1 Fi&amp;Fo'!$F$35,'3.1 Fi&amp;Fo'!$J$35,IF(AB224&lt;='3.1 Fi&amp;Fo'!$F$36,'3.1 Fi&amp;Fo'!$J$36,IF(AB224&lt;='3.1 Fi&amp;Fo'!$F$37,'3.1 Fi&amp;Fo'!$J$37,IF(AB224&lt;='3.1 Fi&amp;Fo'!$F$38,'3.1 Fi&amp;Fo'!$J$38,IF(AB224&lt;='3.1 Fi&amp;Fo'!$F$39,'3.1 Fi&amp;Fo'!$J$39,IF(AB224&lt;='3.1 Fi&amp;Fo'!$F$40,'3.1 Fi&amp;Fo'!$J$40))))))))</f>
        <v>0</v>
      </c>
      <c r="AH224" s="169">
        <f>IF(AJ223&lt;=1,0,AJ223*IF(AB224&lt;='3.1 Fi&amp;Fo'!$F$34,'3.1 Fi&amp;Fo'!$I$34,IF(AB224&lt;='3.1 Fi&amp;Fo'!$F$35,'3.1 Fi&amp;Fo'!$I$35,IF(AB224&lt;='3.1 Fi&amp;Fo'!$F$36,'3.1 Fi&amp;Fo'!$I$36,IF(AB224&lt;='3.1 Fi&amp;Fo'!$F$37,'3.1 Fi&amp;Fo'!$I$37,IF(AB224&lt;='3.1 Fi&amp;Fo'!$F$40,'3.1 Fi&amp;Fo'!$I$40))))))</f>
        <v>0</v>
      </c>
      <c r="AI224" s="169">
        <f t="shared" si="139"/>
        <v>0</v>
      </c>
      <c r="AJ224" s="170">
        <f t="shared" si="164"/>
        <v>0</v>
      </c>
      <c r="AK224" s="312">
        <f t="shared" si="140"/>
        <v>-148512.82138874204</v>
      </c>
      <c r="AL224" s="169">
        <f>IF(AB224&lt;='3.1 Fi&amp;Fo'!$J$15,'3.1 Fi&amp;Fo'!$I$15,0)</f>
        <v>0</v>
      </c>
      <c r="AM224" s="169">
        <f t="shared" si="141"/>
        <v>33125.738858805737</v>
      </c>
      <c r="AN224" s="838">
        <f t="shared" si="146"/>
        <v>21</v>
      </c>
      <c r="AO224" s="844">
        <f t="shared" si="134"/>
        <v>148512.82138874204</v>
      </c>
      <c r="AP224" s="839">
        <f>CI308</f>
        <v>0</v>
      </c>
      <c r="AQ224" s="844">
        <f t="shared" si="135"/>
        <v>0</v>
      </c>
      <c r="AR224" s="839">
        <f t="shared" si="147"/>
        <v>0</v>
      </c>
      <c r="AS224" s="839">
        <f t="shared" ca="1" si="142"/>
        <v>8739.5345257312492</v>
      </c>
      <c r="AT224" s="839">
        <f t="shared" si="148"/>
        <v>24167.646319847307</v>
      </c>
      <c r="AU224" s="839">
        <f ca="1">'PV-Einspeisung'!AA40*-1</f>
        <v>0</v>
      </c>
      <c r="AV224" s="839">
        <f>'PV-Einspeisung'!AE40*-1</f>
        <v>0</v>
      </c>
      <c r="AW224" s="839"/>
      <c r="AX224" s="839">
        <f t="shared" si="149"/>
        <v>0</v>
      </c>
      <c r="AY224" s="841">
        <f t="shared" si="136"/>
        <v>21</v>
      </c>
      <c r="AZ224" s="842">
        <f t="shared" si="150"/>
        <v>0</v>
      </c>
      <c r="BA224" s="842">
        <f t="shared" si="151"/>
        <v>0</v>
      </c>
      <c r="BB224" s="842">
        <f t="shared" si="152"/>
        <v>0</v>
      </c>
      <c r="BC224" s="842">
        <f t="shared" si="153"/>
        <v>0</v>
      </c>
      <c r="BD224" s="842">
        <f t="shared" si="154"/>
        <v>0</v>
      </c>
      <c r="BE224" s="842">
        <f t="shared" si="155"/>
        <v>0</v>
      </c>
      <c r="BF224" s="842">
        <f t="shared" si="156"/>
        <v>10012.104592129335</v>
      </c>
      <c r="BG224" s="842">
        <f t="shared" si="157"/>
        <v>14155.541727717969</v>
      </c>
      <c r="BH224" s="858">
        <f t="shared" si="138"/>
        <v>21</v>
      </c>
      <c r="BI224" s="857">
        <f t="shared" ca="1" si="158"/>
        <v>4115.9865540608134</v>
      </c>
      <c r="BJ224" s="857">
        <f t="shared" si="159"/>
        <v>4623.5479716704358</v>
      </c>
      <c r="BK224" s="859">
        <f ca="1">'PV-Einspeisung'!AB40*-1</f>
        <v>0</v>
      </c>
      <c r="BL224" s="824">
        <f t="shared" si="124"/>
        <v>0</v>
      </c>
      <c r="BM224" s="824">
        <f t="shared" si="125"/>
        <v>0</v>
      </c>
      <c r="BN224" s="824">
        <f t="shared" si="126"/>
        <v>0</v>
      </c>
      <c r="BO224" s="824">
        <f t="shared" si="165"/>
        <v>0</v>
      </c>
      <c r="BP224" s="824">
        <f t="shared" si="165"/>
        <v>0</v>
      </c>
      <c r="BQ224" s="824">
        <f t="shared" si="165"/>
        <v>0</v>
      </c>
      <c r="BR224" s="824">
        <f t="shared" si="165"/>
        <v>0</v>
      </c>
      <c r="BS224" s="824">
        <f t="shared" si="165"/>
        <v>0</v>
      </c>
      <c r="BT224" s="824">
        <f t="shared" si="165"/>
        <v>0</v>
      </c>
      <c r="BU224" s="824">
        <f t="shared" si="165"/>
        <v>0</v>
      </c>
      <c r="BV224" s="824">
        <f t="shared" si="165"/>
        <v>0</v>
      </c>
      <c r="BW224" s="824">
        <f t="shared" si="165"/>
        <v>0</v>
      </c>
      <c r="BX224" s="824">
        <f t="shared" si="165"/>
        <v>0</v>
      </c>
      <c r="BY224" s="824">
        <f t="shared" si="165"/>
        <v>0</v>
      </c>
      <c r="BZ224" s="824">
        <f t="shared" si="165"/>
        <v>0</v>
      </c>
      <c r="CA224" s="824">
        <f t="shared" si="165"/>
        <v>0</v>
      </c>
      <c r="CB224" s="824">
        <f t="shared" si="165"/>
        <v>0</v>
      </c>
      <c r="CC224" s="824">
        <f t="shared" si="165"/>
        <v>0</v>
      </c>
      <c r="CD224" s="824">
        <f t="shared" si="165"/>
        <v>0</v>
      </c>
      <c r="CE224" s="824">
        <f t="shared" si="167"/>
        <v>0</v>
      </c>
      <c r="CF224" s="824">
        <f t="shared" si="167"/>
        <v>0</v>
      </c>
      <c r="CG224" s="824">
        <f t="shared" si="167"/>
        <v>0</v>
      </c>
      <c r="CH224" s="824">
        <f t="shared" si="167"/>
        <v>0</v>
      </c>
      <c r="CI224" s="824">
        <f t="shared" si="167"/>
        <v>0</v>
      </c>
      <c r="CJ224" s="824">
        <f t="shared" si="167"/>
        <v>0</v>
      </c>
      <c r="CK224" s="824">
        <f t="shared" si="167"/>
        <v>0</v>
      </c>
      <c r="CL224" s="824">
        <f t="shared" si="167"/>
        <v>0</v>
      </c>
      <c r="CM224" s="824">
        <f t="shared" si="167"/>
        <v>0</v>
      </c>
      <c r="CN224" s="824">
        <f t="shared" si="167"/>
        <v>0</v>
      </c>
      <c r="CO224" s="824">
        <f t="shared" si="167"/>
        <v>0</v>
      </c>
      <c r="CP224" s="824">
        <f t="shared" si="167"/>
        <v>0</v>
      </c>
      <c r="CQ224" s="824">
        <f t="shared" si="167"/>
        <v>0</v>
      </c>
      <c r="CR224" s="824">
        <f t="shared" si="167"/>
        <v>0</v>
      </c>
      <c r="CS224" s="824">
        <f t="shared" si="167"/>
        <v>0</v>
      </c>
      <c r="CT224" s="824">
        <f t="shared" si="166"/>
        <v>0</v>
      </c>
      <c r="CU224" s="824">
        <f t="shared" si="143"/>
        <v>0</v>
      </c>
      <c r="CV224" s="824">
        <f t="shared" si="143"/>
        <v>0</v>
      </c>
      <c r="CW224" s="824">
        <f t="shared" si="143"/>
        <v>0</v>
      </c>
      <c r="CX224" s="824">
        <f t="shared" si="143"/>
        <v>0</v>
      </c>
      <c r="CY224" s="824">
        <f t="shared" si="143"/>
        <v>0</v>
      </c>
      <c r="CZ224" s="824">
        <f t="shared" si="143"/>
        <v>0</v>
      </c>
      <c r="DA224" s="824">
        <f t="shared" si="144"/>
        <v>0</v>
      </c>
      <c r="DB224" s="824">
        <f t="shared" si="144"/>
        <v>0</v>
      </c>
      <c r="DC224" s="824">
        <f t="shared" si="144"/>
        <v>0</v>
      </c>
      <c r="DD224" s="824">
        <f t="shared" si="144"/>
        <v>0</v>
      </c>
      <c r="DE224" s="824">
        <f t="shared" si="144"/>
        <v>0</v>
      </c>
      <c r="DF224" s="824">
        <f t="shared" si="144"/>
        <v>0</v>
      </c>
      <c r="DG224" s="824">
        <f t="shared" si="144"/>
        <v>0</v>
      </c>
      <c r="DH224" s="824">
        <f t="shared" si="144"/>
        <v>0</v>
      </c>
      <c r="DI224" s="824">
        <f t="shared" si="144"/>
        <v>0</v>
      </c>
      <c r="DJ224" s="824">
        <f t="shared" si="144"/>
        <v>0</v>
      </c>
      <c r="DK224" s="824">
        <f t="shared" si="144"/>
        <v>0</v>
      </c>
      <c r="DL224" s="824">
        <f t="shared" si="144"/>
        <v>0</v>
      </c>
    </row>
    <row r="225" spans="2:116" ht="15" customHeight="1" thickBot="1" x14ac:dyDescent="0.3">
      <c r="B225" s="1673"/>
      <c r="C225" s="1680"/>
      <c r="D225" s="15" t="s">
        <v>129</v>
      </c>
      <c r="E225" s="116"/>
      <c r="F225" s="116">
        <f>SUBTOTAL(109,'3.1 I&amp;W'!$X$81)</f>
        <v>0</v>
      </c>
      <c r="G225" s="116">
        <f>SUBTOTAL(109,'3.1 I&amp;W'!$Y$81)</f>
        <v>0</v>
      </c>
      <c r="H225" s="116">
        <f>SUBTOTAL(109,'3.1 I&amp;W'!$AD$81)</f>
        <v>0</v>
      </c>
      <c r="I225" s="116">
        <f>SUBTOTAL(109,'3.1 I&amp;W'!$AE$81)</f>
        <v>0</v>
      </c>
      <c r="J225" s="116"/>
      <c r="K225" s="116"/>
      <c r="L225" s="116"/>
      <c r="M225" s="116">
        <f>SUBTOTAL(109,'3.1 I&amp;W'!$AI$81)</f>
        <v>0</v>
      </c>
      <c r="N225" s="156">
        <f t="shared" si="128"/>
        <v>0</v>
      </c>
      <c r="O225" s="116">
        <f>SUBTOTAL(109,'3.1 I&amp;W'!$S$81)</f>
        <v>0</v>
      </c>
      <c r="P225" s="30">
        <f t="shared" si="131"/>
        <v>0</v>
      </c>
      <c r="Q225" s="31">
        <f t="shared" si="118"/>
        <v>0</v>
      </c>
      <c r="R225" s="31">
        <f t="shared" si="119"/>
        <v>0</v>
      </c>
      <c r="S225" s="31">
        <f t="shared" si="120"/>
        <v>0</v>
      </c>
      <c r="T225" s="32">
        <f t="shared" si="121"/>
        <v>0</v>
      </c>
      <c r="U225" s="37">
        <f t="shared" si="129"/>
        <v>0</v>
      </c>
      <c r="V225" s="40">
        <f t="shared" si="122"/>
        <v>0</v>
      </c>
      <c r="W225" s="41">
        <f t="shared" si="123"/>
        <v>0</v>
      </c>
      <c r="X225" s="43"/>
      <c r="Y225" s="46"/>
      <c r="Z225" s="126"/>
      <c r="AA225" s="136"/>
      <c r="AB225" s="131">
        <v>22</v>
      </c>
      <c r="AC225" s="168">
        <f>IF(AF224&lt;=1,0,'3.1 Fi&amp;Fo'!$I$25)</f>
        <v>115387.08252993631</v>
      </c>
      <c r="AD225" s="169">
        <f>IF(AF224&lt;=1,0,AF224*'3.1 Fi&amp;Fo'!$H$25)</f>
        <v>27938.094520389881</v>
      </c>
      <c r="AE225" s="169">
        <f t="shared" si="162"/>
        <v>87448.988009546418</v>
      </c>
      <c r="AF225" s="170">
        <f t="shared" si="163"/>
        <v>1309455.7380099476</v>
      </c>
      <c r="AG225" s="168">
        <f>IF(AJ224&lt;=1,0,IF(AB225&lt;='3.1 Fi&amp;Fo'!$F$34,'3.1 Fi&amp;Fo'!$J$34,IF(AB225&lt;='3.1 Fi&amp;Fo'!$F$35,'3.1 Fi&amp;Fo'!$J$35,IF(AB225&lt;='3.1 Fi&amp;Fo'!$F$36,'3.1 Fi&amp;Fo'!$J$36,IF(AB225&lt;='3.1 Fi&amp;Fo'!$F$37,'3.1 Fi&amp;Fo'!$J$37,IF(AB225&lt;='3.1 Fi&amp;Fo'!$F$38,'3.1 Fi&amp;Fo'!$J$38,IF(AB225&lt;='3.1 Fi&amp;Fo'!$F$39,'3.1 Fi&amp;Fo'!$J$39,IF(AB225&lt;='3.1 Fi&amp;Fo'!$F$40,'3.1 Fi&amp;Fo'!$J$40))))))))</f>
        <v>0</v>
      </c>
      <c r="AH225" s="169">
        <f>IF(AJ224&lt;=1,0,AJ224*IF(AB225&lt;='3.1 Fi&amp;Fo'!$F$34,'3.1 Fi&amp;Fo'!$I$34,IF(AB225&lt;='3.1 Fi&amp;Fo'!$F$35,'3.1 Fi&amp;Fo'!$I$35,IF(AB225&lt;='3.1 Fi&amp;Fo'!$F$36,'3.1 Fi&amp;Fo'!$I$36,IF(AB225&lt;='3.1 Fi&amp;Fo'!$F$37,'3.1 Fi&amp;Fo'!$I$37,IF(AB225&lt;='3.1 Fi&amp;Fo'!$F$40,'3.1 Fi&amp;Fo'!$I$40))))))</f>
        <v>0</v>
      </c>
      <c r="AI225" s="169">
        <f t="shared" si="139"/>
        <v>0</v>
      </c>
      <c r="AJ225" s="170">
        <f t="shared" si="164"/>
        <v>0</v>
      </c>
      <c r="AK225" s="312">
        <f t="shared" si="140"/>
        <v>-149175.33616591836</v>
      </c>
      <c r="AL225" s="169">
        <f>IF(AB225&lt;='3.1 Fi&amp;Fo'!$J$15,'3.1 Fi&amp;Fo'!$I$15,0)</f>
        <v>0</v>
      </c>
      <c r="AM225" s="169">
        <f t="shared" si="141"/>
        <v>33788.253635982051</v>
      </c>
      <c r="AN225" s="838">
        <f t="shared" si="146"/>
        <v>22</v>
      </c>
      <c r="AO225" s="844">
        <f t="shared" si="134"/>
        <v>149175.33616591836</v>
      </c>
      <c r="AP225" s="839">
        <f>CJ308</f>
        <v>0</v>
      </c>
      <c r="AQ225" s="844">
        <f t="shared" si="135"/>
        <v>0</v>
      </c>
      <c r="AR225" s="839">
        <f t="shared" si="147"/>
        <v>0</v>
      </c>
      <c r="AS225" s="839">
        <f t="shared" ca="1" si="142"/>
        <v>8879.36707814295</v>
      </c>
      <c r="AT225" s="839">
        <f t="shared" si="148"/>
        <v>24913.392895120665</v>
      </c>
      <c r="AU225" s="839">
        <f ca="1">'PV-Einspeisung'!AA41*-1</f>
        <v>0</v>
      </c>
      <c r="AV225" s="839">
        <f>'PV-Einspeisung'!AE41*-1</f>
        <v>0</v>
      </c>
      <c r="AW225" s="839"/>
      <c r="AX225" s="839">
        <f t="shared" si="149"/>
        <v>0</v>
      </c>
      <c r="AY225" s="841">
        <f t="shared" si="136"/>
        <v>22</v>
      </c>
      <c r="AZ225" s="842">
        <f t="shared" si="150"/>
        <v>0</v>
      </c>
      <c r="BA225" s="842">
        <f t="shared" si="151"/>
        <v>0</v>
      </c>
      <c r="BB225" s="842">
        <f t="shared" si="152"/>
        <v>0</v>
      </c>
      <c r="BC225" s="842">
        <f t="shared" si="153"/>
        <v>0</v>
      </c>
      <c r="BD225" s="842">
        <f t="shared" si="154"/>
        <v>0</v>
      </c>
      <c r="BE225" s="842">
        <f t="shared" si="155"/>
        <v>0</v>
      </c>
      <c r="BF225" s="842">
        <f t="shared" si="156"/>
        <v>10262.407206932568</v>
      </c>
      <c r="BG225" s="842">
        <f t="shared" si="157"/>
        <v>14650.985688188097</v>
      </c>
      <c r="BH225" s="858">
        <f t="shared" si="138"/>
        <v>22</v>
      </c>
      <c r="BI225" s="857">
        <f t="shared" ca="1" si="158"/>
        <v>4181.8423389257869</v>
      </c>
      <c r="BJ225" s="857">
        <f t="shared" si="159"/>
        <v>4697.5247392171632</v>
      </c>
      <c r="BK225" s="859">
        <f ca="1">'PV-Einspeisung'!AB41*-1</f>
        <v>0</v>
      </c>
      <c r="BL225" s="824">
        <f t="shared" si="124"/>
        <v>0</v>
      </c>
      <c r="BM225" s="824">
        <f t="shared" si="125"/>
        <v>0</v>
      </c>
      <c r="BN225" s="824">
        <f t="shared" si="126"/>
        <v>0</v>
      </c>
      <c r="BO225" s="824">
        <f t="shared" si="165"/>
        <v>0</v>
      </c>
      <c r="BP225" s="824">
        <f t="shared" si="165"/>
        <v>0</v>
      </c>
      <c r="BQ225" s="824">
        <f t="shared" si="165"/>
        <v>0</v>
      </c>
      <c r="BR225" s="824">
        <f t="shared" si="165"/>
        <v>0</v>
      </c>
      <c r="BS225" s="824">
        <f t="shared" si="165"/>
        <v>0</v>
      </c>
      <c r="BT225" s="824">
        <f t="shared" si="165"/>
        <v>0</v>
      </c>
      <c r="BU225" s="824">
        <f t="shared" si="165"/>
        <v>0</v>
      </c>
      <c r="BV225" s="824">
        <f t="shared" si="165"/>
        <v>0</v>
      </c>
      <c r="BW225" s="824">
        <f t="shared" si="165"/>
        <v>0</v>
      </c>
      <c r="BX225" s="824">
        <f t="shared" si="165"/>
        <v>0</v>
      </c>
      <c r="BY225" s="824">
        <f t="shared" si="165"/>
        <v>0</v>
      </c>
      <c r="BZ225" s="824">
        <f t="shared" si="165"/>
        <v>0</v>
      </c>
      <c r="CA225" s="824">
        <f t="shared" si="165"/>
        <v>0</v>
      </c>
      <c r="CB225" s="824">
        <f t="shared" si="165"/>
        <v>0</v>
      </c>
      <c r="CC225" s="824">
        <f t="shared" si="165"/>
        <v>0</v>
      </c>
      <c r="CD225" s="824">
        <f t="shared" si="165"/>
        <v>0</v>
      </c>
      <c r="CE225" s="824">
        <f t="shared" si="167"/>
        <v>0</v>
      </c>
      <c r="CF225" s="824">
        <f t="shared" si="167"/>
        <v>0</v>
      </c>
      <c r="CG225" s="824">
        <f t="shared" si="167"/>
        <v>0</v>
      </c>
      <c r="CH225" s="824">
        <f t="shared" si="167"/>
        <v>0</v>
      </c>
      <c r="CI225" s="824">
        <f t="shared" si="167"/>
        <v>0</v>
      </c>
      <c r="CJ225" s="824">
        <f t="shared" si="167"/>
        <v>0</v>
      </c>
      <c r="CK225" s="824">
        <f t="shared" si="167"/>
        <v>0</v>
      </c>
      <c r="CL225" s="824">
        <f t="shared" si="167"/>
        <v>0</v>
      </c>
      <c r="CM225" s="824">
        <f t="shared" si="167"/>
        <v>0</v>
      </c>
      <c r="CN225" s="824">
        <f t="shared" si="167"/>
        <v>0</v>
      </c>
      <c r="CO225" s="824">
        <f t="shared" si="167"/>
        <v>0</v>
      </c>
      <c r="CP225" s="824">
        <f t="shared" si="167"/>
        <v>0</v>
      </c>
      <c r="CQ225" s="824">
        <f t="shared" si="167"/>
        <v>0</v>
      </c>
      <c r="CR225" s="824">
        <f t="shared" si="167"/>
        <v>0</v>
      </c>
      <c r="CS225" s="824">
        <f t="shared" si="167"/>
        <v>0</v>
      </c>
      <c r="CT225" s="824">
        <f t="shared" si="166"/>
        <v>0</v>
      </c>
      <c r="CU225" s="824">
        <f t="shared" si="143"/>
        <v>0</v>
      </c>
      <c r="CV225" s="824">
        <f t="shared" si="143"/>
        <v>0</v>
      </c>
      <c r="CW225" s="824">
        <f t="shared" si="143"/>
        <v>0</v>
      </c>
      <c r="CX225" s="824">
        <f t="shared" si="143"/>
        <v>0</v>
      </c>
      <c r="CY225" s="824">
        <f t="shared" si="143"/>
        <v>0</v>
      </c>
      <c r="CZ225" s="824">
        <f t="shared" si="143"/>
        <v>0</v>
      </c>
      <c r="DA225" s="824">
        <f t="shared" si="144"/>
        <v>0</v>
      </c>
      <c r="DB225" s="824">
        <f t="shared" si="144"/>
        <v>0</v>
      </c>
      <c r="DC225" s="824">
        <f t="shared" si="144"/>
        <v>0</v>
      </c>
      <c r="DD225" s="824">
        <f t="shared" si="144"/>
        <v>0</v>
      </c>
      <c r="DE225" s="824">
        <f t="shared" si="144"/>
        <v>0</v>
      </c>
      <c r="DF225" s="824">
        <f t="shared" si="144"/>
        <v>0</v>
      </c>
      <c r="DG225" s="824">
        <f t="shared" si="144"/>
        <v>0</v>
      </c>
      <c r="DH225" s="824">
        <f t="shared" si="144"/>
        <v>0</v>
      </c>
      <c r="DI225" s="824">
        <f t="shared" si="144"/>
        <v>0</v>
      </c>
      <c r="DJ225" s="824">
        <f t="shared" si="144"/>
        <v>0</v>
      </c>
      <c r="DK225" s="824">
        <f t="shared" si="144"/>
        <v>0</v>
      </c>
      <c r="DL225" s="824">
        <f t="shared" si="144"/>
        <v>0</v>
      </c>
    </row>
    <row r="226" spans="2:116" ht="15" customHeight="1" thickBot="1" x14ac:dyDescent="0.3">
      <c r="B226" s="1673"/>
      <c r="C226" s="1680"/>
      <c r="D226" s="15" t="s">
        <v>130</v>
      </c>
      <c r="E226" s="165"/>
      <c r="F226" s="116">
        <f>SUBTOTAL(109,'3.1 I&amp;W'!$X$84)</f>
        <v>0</v>
      </c>
      <c r="G226" s="116">
        <f>SUBTOTAL(109,'3.1 I&amp;W'!$Y$84)</f>
        <v>0</v>
      </c>
      <c r="H226" s="116">
        <f>SUBTOTAL(109,'3.1 I&amp;W'!$AD$84)</f>
        <v>0</v>
      </c>
      <c r="I226" s="116">
        <f>SUBTOTAL(109,'3.1 I&amp;W'!$AE$84)</f>
        <v>0</v>
      </c>
      <c r="J226" s="116"/>
      <c r="K226" s="116"/>
      <c r="L226" s="116"/>
      <c r="M226" s="116">
        <f>SUBTOTAL(109,'3.1 I&amp;W'!$AI$84)</f>
        <v>15</v>
      </c>
      <c r="N226" s="156">
        <f t="shared" si="128"/>
        <v>2</v>
      </c>
      <c r="O226" s="116">
        <f>SUBTOTAL(109,'3.1 I&amp;W'!$S$84)</f>
        <v>15085.44</v>
      </c>
      <c r="P226" s="30">
        <f t="shared" si="131"/>
        <v>14222.011472518068</v>
      </c>
      <c r="Q226" s="31">
        <f t="shared" si="118"/>
        <v>13408.00204199781</v>
      </c>
      <c r="R226" s="31">
        <f t="shared" si="119"/>
        <v>0</v>
      </c>
      <c r="S226" s="31">
        <f t="shared" si="120"/>
        <v>0</v>
      </c>
      <c r="T226" s="32">
        <f t="shared" si="121"/>
        <v>0</v>
      </c>
      <c r="U226" s="37">
        <f t="shared" si="129"/>
        <v>8096.0270317998957</v>
      </c>
      <c r="V226" s="40">
        <f t="shared" si="122"/>
        <v>0</v>
      </c>
      <c r="W226" s="41">
        <f t="shared" si="123"/>
        <v>0</v>
      </c>
      <c r="X226" s="43"/>
      <c r="Y226" s="46"/>
      <c r="Z226" s="126"/>
      <c r="AA226" s="136"/>
      <c r="AB226" s="131">
        <v>23</v>
      </c>
      <c r="AC226" s="168">
        <f>IF(AF225&lt;=1,0,'3.1 Fi&amp;Fo'!$I$25)</f>
        <v>115387.08252993631</v>
      </c>
      <c r="AD226" s="169">
        <f>IF(AF225&lt;=1,0,AF225*'3.1 Fi&amp;Fo'!$H$25)</f>
        <v>26189.114760198951</v>
      </c>
      <c r="AE226" s="169">
        <f t="shared" si="162"/>
        <v>89197.967769737355</v>
      </c>
      <c r="AF226" s="170">
        <f t="shared" si="163"/>
        <v>1220257.7702402102</v>
      </c>
      <c r="AG226" s="168">
        <f>IF(AJ225&lt;=1,0,IF(AB226&lt;='3.1 Fi&amp;Fo'!$F$34,'3.1 Fi&amp;Fo'!$J$34,IF(AB226&lt;='3.1 Fi&amp;Fo'!$F$35,'3.1 Fi&amp;Fo'!$J$35,IF(AB226&lt;='3.1 Fi&amp;Fo'!$F$36,'3.1 Fi&amp;Fo'!$J$36,IF(AB226&lt;='3.1 Fi&amp;Fo'!$F$37,'3.1 Fi&amp;Fo'!$J$37,IF(AB226&lt;='3.1 Fi&amp;Fo'!$F$38,'3.1 Fi&amp;Fo'!$J$38,IF(AB226&lt;='3.1 Fi&amp;Fo'!$F$39,'3.1 Fi&amp;Fo'!$J$39,IF(AB226&lt;='3.1 Fi&amp;Fo'!$F$40,'3.1 Fi&amp;Fo'!$J$40))))))))</f>
        <v>0</v>
      </c>
      <c r="AH226" s="169">
        <f>IF(AJ225&lt;=1,0,AJ225*IF(AB226&lt;='3.1 Fi&amp;Fo'!$F$34,'3.1 Fi&amp;Fo'!$I$34,IF(AB226&lt;='3.1 Fi&amp;Fo'!$F$35,'3.1 Fi&amp;Fo'!$I$35,IF(AB226&lt;='3.1 Fi&amp;Fo'!$F$36,'3.1 Fi&amp;Fo'!$I$36,IF(AB226&lt;='3.1 Fi&amp;Fo'!$F$37,'3.1 Fi&amp;Fo'!$I$37,IF(AB226&lt;='3.1 Fi&amp;Fo'!$F$40,'3.1 Fi&amp;Fo'!$I$40))))))</f>
        <v>0</v>
      </c>
      <c r="AI226" s="169">
        <f t="shared" si="139"/>
        <v>0</v>
      </c>
      <c r="AJ226" s="170">
        <f t="shared" si="164"/>
        <v>0</v>
      </c>
      <c r="AK226" s="312">
        <f t="shared" si="140"/>
        <v>-149851.10123863778</v>
      </c>
      <c r="AL226" s="169">
        <f>IF(AB226&lt;='3.1 Fi&amp;Fo'!$J$15,'3.1 Fi&amp;Fo'!$I$15,0)</f>
        <v>0</v>
      </c>
      <c r="AM226" s="169">
        <f t="shared" si="141"/>
        <v>34464.018708701478</v>
      </c>
      <c r="AN226" s="838">
        <f t="shared" si="146"/>
        <v>23</v>
      </c>
      <c r="AO226" s="844">
        <f t="shared" si="134"/>
        <v>149851.10123863778</v>
      </c>
      <c r="AP226" s="839">
        <f>CK308</f>
        <v>0</v>
      </c>
      <c r="AQ226" s="844">
        <f t="shared" si="135"/>
        <v>0</v>
      </c>
      <c r="AR226" s="839">
        <f t="shared" si="147"/>
        <v>0</v>
      </c>
      <c r="AS226" s="839">
        <f t="shared" ca="1" si="142"/>
        <v>9021.4369513932361</v>
      </c>
      <c r="AT226" s="839">
        <f t="shared" si="148"/>
        <v>25682.737574380561</v>
      </c>
      <c r="AU226" s="839">
        <f ca="1">'PV-Einspeisung'!AA42*-1</f>
        <v>0</v>
      </c>
      <c r="AV226" s="839">
        <f>'PV-Einspeisung'!AE42*-1</f>
        <v>0</v>
      </c>
      <c r="AW226" s="839"/>
      <c r="AX226" s="839">
        <f t="shared" si="149"/>
        <v>0</v>
      </c>
      <c r="AY226" s="841">
        <f t="shared" si="136"/>
        <v>23</v>
      </c>
      <c r="AZ226" s="842">
        <f t="shared" si="150"/>
        <v>0</v>
      </c>
      <c r="BA226" s="842">
        <f t="shared" si="151"/>
        <v>0</v>
      </c>
      <c r="BB226" s="842">
        <f t="shared" si="152"/>
        <v>0</v>
      </c>
      <c r="BC226" s="842">
        <f t="shared" si="153"/>
        <v>0</v>
      </c>
      <c r="BD226" s="842">
        <f t="shared" si="154"/>
        <v>0</v>
      </c>
      <c r="BE226" s="842">
        <f t="shared" si="155"/>
        <v>0</v>
      </c>
      <c r="BF226" s="842">
        <f t="shared" si="156"/>
        <v>10518.967387105882</v>
      </c>
      <c r="BG226" s="842">
        <f t="shared" si="157"/>
        <v>15163.770187274678</v>
      </c>
      <c r="BH226" s="858">
        <f t="shared" si="138"/>
        <v>23</v>
      </c>
      <c r="BI226" s="857">
        <f t="shared" ca="1" si="158"/>
        <v>4248.7518163485993</v>
      </c>
      <c r="BJ226" s="857">
        <f t="shared" si="159"/>
        <v>4772.6851350446377</v>
      </c>
      <c r="BK226" s="859">
        <f ca="1">'PV-Einspeisung'!AB42*-1</f>
        <v>0</v>
      </c>
      <c r="BL226" s="824">
        <f t="shared" si="124"/>
        <v>15</v>
      </c>
      <c r="BM226" s="824">
        <f t="shared" si="125"/>
        <v>2</v>
      </c>
      <c r="BN226" s="824">
        <f t="shared" si="126"/>
        <v>15085.44</v>
      </c>
      <c r="BO226" s="824">
        <f t="shared" si="165"/>
        <v>0</v>
      </c>
      <c r="BP226" s="824">
        <f t="shared" si="165"/>
        <v>0</v>
      </c>
      <c r="BQ226" s="824">
        <f t="shared" si="165"/>
        <v>0</v>
      </c>
      <c r="BR226" s="824">
        <f t="shared" si="165"/>
        <v>0</v>
      </c>
      <c r="BS226" s="824">
        <f t="shared" si="165"/>
        <v>0</v>
      </c>
      <c r="BT226" s="824">
        <f t="shared" si="165"/>
        <v>0</v>
      </c>
      <c r="BU226" s="824">
        <f t="shared" si="165"/>
        <v>0</v>
      </c>
      <c r="BV226" s="824">
        <f t="shared" si="165"/>
        <v>0</v>
      </c>
      <c r="BW226" s="824">
        <f t="shared" si="165"/>
        <v>0</v>
      </c>
      <c r="BX226" s="824">
        <f t="shared" si="165"/>
        <v>0</v>
      </c>
      <c r="BY226" s="824">
        <f t="shared" si="165"/>
        <v>0</v>
      </c>
      <c r="BZ226" s="824">
        <f t="shared" si="165"/>
        <v>0</v>
      </c>
      <c r="CA226" s="824">
        <f t="shared" si="165"/>
        <v>0</v>
      </c>
      <c r="CB226" s="824">
        <f t="shared" si="165"/>
        <v>0</v>
      </c>
      <c r="CC226" s="824">
        <f t="shared" si="165"/>
        <v>19140.954948144594</v>
      </c>
      <c r="CD226" s="824">
        <f t="shared" si="165"/>
        <v>0</v>
      </c>
      <c r="CE226" s="824">
        <f t="shared" si="167"/>
        <v>0</v>
      </c>
      <c r="CF226" s="824">
        <f t="shared" si="167"/>
        <v>0</v>
      </c>
      <c r="CG226" s="824">
        <f t="shared" si="167"/>
        <v>0</v>
      </c>
      <c r="CH226" s="824">
        <f t="shared" si="167"/>
        <v>0</v>
      </c>
      <c r="CI226" s="824">
        <f t="shared" si="167"/>
        <v>0</v>
      </c>
      <c r="CJ226" s="824">
        <f t="shared" si="167"/>
        <v>0</v>
      </c>
      <c r="CK226" s="824">
        <f t="shared" si="167"/>
        <v>0</v>
      </c>
      <c r="CL226" s="824">
        <f t="shared" si="167"/>
        <v>0</v>
      </c>
      <c r="CM226" s="824">
        <f t="shared" si="167"/>
        <v>0</v>
      </c>
      <c r="CN226" s="824">
        <f t="shared" si="167"/>
        <v>0</v>
      </c>
      <c r="CO226" s="824">
        <f t="shared" si="167"/>
        <v>0</v>
      </c>
      <c r="CP226" s="824">
        <f t="shared" si="167"/>
        <v>0</v>
      </c>
      <c r="CQ226" s="824">
        <f t="shared" si="167"/>
        <v>0</v>
      </c>
      <c r="CR226" s="824">
        <f t="shared" si="167"/>
        <v>24286.739818454153</v>
      </c>
      <c r="CS226" s="824">
        <f t="shared" si="167"/>
        <v>0</v>
      </c>
      <c r="CT226" s="824">
        <f t="shared" si="166"/>
        <v>0</v>
      </c>
      <c r="CU226" s="824">
        <f t="shared" si="143"/>
        <v>0</v>
      </c>
      <c r="CV226" s="824">
        <f t="shared" si="143"/>
        <v>0</v>
      </c>
      <c r="CW226" s="824">
        <f t="shared" si="143"/>
        <v>0</v>
      </c>
      <c r="CX226" s="824">
        <f t="shared" si="143"/>
        <v>0</v>
      </c>
      <c r="CY226" s="824">
        <f t="shared" si="143"/>
        <v>0</v>
      </c>
      <c r="CZ226" s="824">
        <f t="shared" si="143"/>
        <v>0</v>
      </c>
      <c r="DA226" s="824">
        <f t="shared" si="144"/>
        <v>0</v>
      </c>
      <c r="DB226" s="824">
        <f t="shared" si="144"/>
        <v>0</v>
      </c>
      <c r="DC226" s="824">
        <f t="shared" si="144"/>
        <v>0</v>
      </c>
      <c r="DD226" s="824">
        <f t="shared" ref="DD226:DL246" si="168">IF(OR(IF($BL226*1&lt;$BL$196,$BL226*1=DD$198,FALSE),IF($BL226*2&lt;$BL$196,$BL226*2=DD$198,FALSE),IF($BL226*3&lt;$BL$196,$BL226*3=DD$198,FALSE),IF($BL226*4&lt;$BL$196,$BL226*4=DD$198,FALSE),IF($BL226*5&lt;$BL$196,$BL226*5=DD$198,FALSE)),$BN226*$BM$196^DD$198,0)</f>
        <v>0</v>
      </c>
      <c r="DE226" s="824">
        <f t="shared" si="168"/>
        <v>0</v>
      </c>
      <c r="DF226" s="824">
        <f t="shared" si="168"/>
        <v>0</v>
      </c>
      <c r="DG226" s="824">
        <f t="shared" si="168"/>
        <v>0</v>
      </c>
      <c r="DH226" s="824">
        <f t="shared" si="168"/>
        <v>0</v>
      </c>
      <c r="DI226" s="824">
        <f t="shared" si="168"/>
        <v>0</v>
      </c>
      <c r="DJ226" s="824">
        <f t="shared" si="168"/>
        <v>0</v>
      </c>
      <c r="DK226" s="824">
        <f t="shared" si="168"/>
        <v>0</v>
      </c>
      <c r="DL226" s="824">
        <f t="shared" si="168"/>
        <v>0</v>
      </c>
    </row>
    <row r="227" spans="2:116" ht="15" customHeight="1" thickBot="1" x14ac:dyDescent="0.3">
      <c r="B227" s="1673"/>
      <c r="C227" s="1680"/>
      <c r="D227" s="15" t="s">
        <v>130</v>
      </c>
      <c r="E227" s="116"/>
      <c r="F227" s="116">
        <f>SUBTOTAL(109,'3.1 I&amp;W'!$X$85)</f>
        <v>0</v>
      </c>
      <c r="G227" s="116">
        <f>SUBTOTAL(109,'3.1 I&amp;W'!$Y$85)</f>
        <v>0</v>
      </c>
      <c r="H227" s="116">
        <f>SUBTOTAL(109,'3.1 I&amp;W'!$AD$85)</f>
        <v>0</v>
      </c>
      <c r="I227" s="116">
        <f>SUBTOTAL(109,'3.1 I&amp;W'!$AE$85)</f>
        <v>0</v>
      </c>
      <c r="J227" s="116"/>
      <c r="K227" s="116"/>
      <c r="L227" s="116"/>
      <c r="M227" s="116">
        <f>SUBTOTAL(109,'3.1 I&amp;W'!$AI$85)</f>
        <v>25</v>
      </c>
      <c r="N227" s="156">
        <f t="shared" si="128"/>
        <v>1</v>
      </c>
      <c r="O227" s="116">
        <f>SUBTOTAL(109,'3.1 I&amp;W'!$S$85)</f>
        <v>2734.2</v>
      </c>
      <c r="P227" s="30">
        <f t="shared" si="131"/>
        <v>2478.3844960159149</v>
      </c>
      <c r="Q227" s="31">
        <f t="shared" si="118"/>
        <v>0</v>
      </c>
      <c r="R227" s="31">
        <f t="shared" si="119"/>
        <v>0</v>
      </c>
      <c r="S227" s="31">
        <f t="shared" si="120"/>
        <v>0</v>
      </c>
      <c r="T227" s="32">
        <f t="shared" si="121"/>
        <v>0</v>
      </c>
      <c r="U227" s="37">
        <f t="shared" si="129"/>
        <v>1219.8831046461596</v>
      </c>
      <c r="V227" s="40">
        <f t="shared" si="122"/>
        <v>0</v>
      </c>
      <c r="W227" s="41">
        <f t="shared" si="123"/>
        <v>0</v>
      </c>
      <c r="X227" s="43"/>
      <c r="Y227" s="46"/>
      <c r="Z227" s="126"/>
      <c r="AA227" s="136"/>
      <c r="AB227" s="131">
        <v>24</v>
      </c>
      <c r="AC227" s="168">
        <f>IF(AF226&lt;=1,0,'3.1 Fi&amp;Fo'!$I$25)</f>
        <v>115387.08252993631</v>
      </c>
      <c r="AD227" s="169">
        <f>IF(AF226&lt;=1,0,AF226*'3.1 Fi&amp;Fo'!$H$25)</f>
        <v>24405.155404804205</v>
      </c>
      <c r="AE227" s="169">
        <f t="shared" si="162"/>
        <v>90981.927125132104</v>
      </c>
      <c r="AF227" s="170">
        <f t="shared" si="163"/>
        <v>1129275.8431150781</v>
      </c>
      <c r="AG227" s="168">
        <f>IF(AJ226&lt;=1,0,IF(AB227&lt;='3.1 Fi&amp;Fo'!$F$34,'3.1 Fi&amp;Fo'!$J$34,IF(AB227&lt;='3.1 Fi&amp;Fo'!$F$35,'3.1 Fi&amp;Fo'!$J$35,IF(AB227&lt;='3.1 Fi&amp;Fo'!$F$36,'3.1 Fi&amp;Fo'!$J$36,IF(AB227&lt;='3.1 Fi&amp;Fo'!$F$37,'3.1 Fi&amp;Fo'!$J$37,IF(AB227&lt;='3.1 Fi&amp;Fo'!$F$38,'3.1 Fi&amp;Fo'!$J$38,IF(AB227&lt;='3.1 Fi&amp;Fo'!$F$39,'3.1 Fi&amp;Fo'!$J$39,IF(AB227&lt;='3.1 Fi&amp;Fo'!$F$40,'3.1 Fi&amp;Fo'!$J$40))))))))</f>
        <v>0</v>
      </c>
      <c r="AH227" s="169">
        <f>IF(AJ226&lt;=1,0,AJ226*IF(AB227&lt;='3.1 Fi&amp;Fo'!$F$34,'3.1 Fi&amp;Fo'!$I$34,IF(AB227&lt;='3.1 Fi&amp;Fo'!$F$35,'3.1 Fi&amp;Fo'!$I$35,IF(AB227&lt;='3.1 Fi&amp;Fo'!$F$36,'3.1 Fi&amp;Fo'!$I$36,IF(AB227&lt;='3.1 Fi&amp;Fo'!$F$37,'3.1 Fi&amp;Fo'!$I$37,IF(AB227&lt;='3.1 Fi&amp;Fo'!$F$40,'3.1 Fi&amp;Fo'!$I$40))))))</f>
        <v>0</v>
      </c>
      <c r="AI227" s="169">
        <f t="shared" si="139"/>
        <v>0</v>
      </c>
      <c r="AJ227" s="170">
        <f t="shared" si="164"/>
        <v>0</v>
      </c>
      <c r="AK227" s="312">
        <f t="shared" si="140"/>
        <v>-150540.38161281202</v>
      </c>
      <c r="AL227" s="169">
        <f>IF(AB227&lt;='3.1 Fi&amp;Fo'!$J$15,'3.1 Fi&amp;Fo'!$I$15,0)</f>
        <v>0</v>
      </c>
      <c r="AM227" s="169">
        <f t="shared" si="141"/>
        <v>35153.299082875717</v>
      </c>
      <c r="AN227" s="838">
        <f t="shared" si="146"/>
        <v>24</v>
      </c>
      <c r="AO227" s="844">
        <f t="shared" si="134"/>
        <v>150540.38161281202</v>
      </c>
      <c r="AP227" s="839">
        <f>CL308</f>
        <v>0</v>
      </c>
      <c r="AQ227" s="844">
        <f t="shared" si="135"/>
        <v>0</v>
      </c>
      <c r="AR227" s="839">
        <f t="shared" si="147"/>
        <v>0</v>
      </c>
      <c r="AS227" s="839">
        <f t="shared" ca="1" si="142"/>
        <v>9165.7799426155289</v>
      </c>
      <c r="AT227" s="839">
        <f t="shared" si="148"/>
        <v>26476.443715612819</v>
      </c>
      <c r="AU227" s="839">
        <f ca="1">'PV-Einspeisung'!AA43*-1</f>
        <v>0</v>
      </c>
      <c r="AV227" s="839">
        <f>'PV-Einspeisung'!AE43*-1</f>
        <v>0</v>
      </c>
      <c r="AW227" s="839"/>
      <c r="AX227" s="839">
        <f t="shared" si="149"/>
        <v>0</v>
      </c>
      <c r="AY227" s="841">
        <f t="shared" si="136"/>
        <v>24</v>
      </c>
      <c r="AZ227" s="842">
        <f t="shared" si="150"/>
        <v>0</v>
      </c>
      <c r="BA227" s="842">
        <f t="shared" si="151"/>
        <v>0</v>
      </c>
      <c r="BB227" s="842">
        <f t="shared" si="152"/>
        <v>0</v>
      </c>
      <c r="BC227" s="842">
        <f t="shared" si="153"/>
        <v>0</v>
      </c>
      <c r="BD227" s="842">
        <f t="shared" si="154"/>
        <v>0</v>
      </c>
      <c r="BE227" s="842">
        <f t="shared" si="155"/>
        <v>0</v>
      </c>
      <c r="BF227" s="842">
        <f t="shared" si="156"/>
        <v>10781.941571783529</v>
      </c>
      <c r="BG227" s="842">
        <f t="shared" si="157"/>
        <v>15694.502143829292</v>
      </c>
      <c r="BH227" s="858">
        <f t="shared" si="138"/>
        <v>24</v>
      </c>
      <c r="BI227" s="857">
        <f t="shared" ca="1" si="158"/>
        <v>4316.7318454101769</v>
      </c>
      <c r="BJ227" s="857">
        <f t="shared" si="159"/>
        <v>4849.048097205352</v>
      </c>
      <c r="BK227" s="859">
        <f ca="1">'PV-Einspeisung'!AB43*-1</f>
        <v>0</v>
      </c>
      <c r="BL227" s="824">
        <f t="shared" si="124"/>
        <v>25</v>
      </c>
      <c r="BM227" s="824">
        <f t="shared" si="125"/>
        <v>1</v>
      </c>
      <c r="BN227" s="824">
        <f t="shared" si="126"/>
        <v>2734.2</v>
      </c>
      <c r="BO227" s="824">
        <f t="shared" si="165"/>
        <v>0</v>
      </c>
      <c r="BP227" s="824">
        <f t="shared" si="165"/>
        <v>0</v>
      </c>
      <c r="BQ227" s="824">
        <f t="shared" si="165"/>
        <v>0</v>
      </c>
      <c r="BR227" s="824">
        <f t="shared" si="165"/>
        <v>0</v>
      </c>
      <c r="BS227" s="824">
        <f t="shared" si="165"/>
        <v>0</v>
      </c>
      <c r="BT227" s="824">
        <f t="shared" si="165"/>
        <v>0</v>
      </c>
      <c r="BU227" s="824">
        <f t="shared" si="165"/>
        <v>0</v>
      </c>
      <c r="BV227" s="824">
        <f t="shared" si="165"/>
        <v>0</v>
      </c>
      <c r="BW227" s="824">
        <f t="shared" si="165"/>
        <v>0</v>
      </c>
      <c r="BX227" s="824">
        <f t="shared" si="165"/>
        <v>0</v>
      </c>
      <c r="BY227" s="824">
        <f t="shared" si="165"/>
        <v>0</v>
      </c>
      <c r="BZ227" s="824">
        <f t="shared" si="165"/>
        <v>0</v>
      </c>
      <c r="CA227" s="824">
        <f t="shared" si="165"/>
        <v>0</v>
      </c>
      <c r="CB227" s="824">
        <f t="shared" si="165"/>
        <v>0</v>
      </c>
      <c r="CC227" s="824">
        <f t="shared" si="165"/>
        <v>0</v>
      </c>
      <c r="CD227" s="824">
        <f t="shared" si="165"/>
        <v>0</v>
      </c>
      <c r="CE227" s="824">
        <f t="shared" si="167"/>
        <v>0</v>
      </c>
      <c r="CF227" s="824">
        <f t="shared" si="167"/>
        <v>0</v>
      </c>
      <c r="CG227" s="824">
        <f t="shared" si="167"/>
        <v>0</v>
      </c>
      <c r="CH227" s="824">
        <f t="shared" si="167"/>
        <v>0</v>
      </c>
      <c r="CI227" s="824">
        <f t="shared" si="167"/>
        <v>0</v>
      </c>
      <c r="CJ227" s="824">
        <f t="shared" si="167"/>
        <v>0</v>
      </c>
      <c r="CK227" s="824">
        <f t="shared" si="167"/>
        <v>0</v>
      </c>
      <c r="CL227" s="824">
        <f t="shared" si="167"/>
        <v>0</v>
      </c>
      <c r="CM227" s="824">
        <f t="shared" si="167"/>
        <v>4066.0524607521575</v>
      </c>
      <c r="CN227" s="824">
        <f t="shared" si="167"/>
        <v>0</v>
      </c>
      <c r="CO227" s="824">
        <f t="shared" si="167"/>
        <v>0</v>
      </c>
      <c r="CP227" s="824">
        <f t="shared" si="167"/>
        <v>0</v>
      </c>
      <c r="CQ227" s="824">
        <f t="shared" si="167"/>
        <v>0</v>
      </c>
      <c r="CR227" s="824">
        <f t="shared" si="167"/>
        <v>0</v>
      </c>
      <c r="CS227" s="824">
        <f t="shared" si="167"/>
        <v>0</v>
      </c>
      <c r="CT227" s="824">
        <f t="shared" si="166"/>
        <v>0</v>
      </c>
      <c r="CU227" s="824">
        <f t="shared" si="143"/>
        <v>0</v>
      </c>
      <c r="CV227" s="824">
        <f t="shared" si="143"/>
        <v>0</v>
      </c>
      <c r="CW227" s="824">
        <f t="shared" si="143"/>
        <v>0</v>
      </c>
      <c r="CX227" s="824">
        <f t="shared" si="143"/>
        <v>0</v>
      </c>
      <c r="CY227" s="824">
        <f t="shared" si="143"/>
        <v>0</v>
      </c>
      <c r="CZ227" s="824">
        <f t="shared" si="143"/>
        <v>0</v>
      </c>
      <c r="DA227" s="824">
        <f t="shared" ref="DA227:DL290" si="169">IF(OR(IF($BL227*1&lt;$BL$196,$BL227*1=DA$198,FALSE),IF($BL227*2&lt;$BL$196,$BL227*2=DA$198,FALSE),IF($BL227*3&lt;$BL$196,$BL227*3=DA$198,FALSE),IF($BL227*4&lt;$BL$196,$BL227*4=DA$198,FALSE),IF($BL227*5&lt;$BL$196,$BL227*5=DA$198,FALSE)),$BN227*$BM$196^DA$198,0)</f>
        <v>0</v>
      </c>
      <c r="DB227" s="824">
        <f t="shared" si="169"/>
        <v>0</v>
      </c>
      <c r="DC227" s="824">
        <f t="shared" si="169"/>
        <v>0</v>
      </c>
      <c r="DD227" s="824">
        <f t="shared" si="169"/>
        <v>0</v>
      </c>
      <c r="DE227" s="824">
        <f t="shared" si="169"/>
        <v>0</v>
      </c>
      <c r="DF227" s="824">
        <f t="shared" si="169"/>
        <v>0</v>
      </c>
      <c r="DG227" s="824">
        <f t="shared" si="169"/>
        <v>0</v>
      </c>
      <c r="DH227" s="824">
        <f t="shared" si="169"/>
        <v>0</v>
      </c>
      <c r="DI227" s="824">
        <f t="shared" si="169"/>
        <v>0</v>
      </c>
      <c r="DJ227" s="824">
        <f t="shared" si="169"/>
        <v>0</v>
      </c>
      <c r="DK227" s="824">
        <f t="shared" si="168"/>
        <v>0</v>
      </c>
      <c r="DL227" s="824">
        <f t="shared" si="168"/>
        <v>0</v>
      </c>
    </row>
    <row r="228" spans="2:116" ht="15" customHeight="1" thickBot="1" x14ac:dyDescent="0.3">
      <c r="B228" s="1673"/>
      <c r="C228" s="1680"/>
      <c r="D228" s="15" t="s">
        <v>130</v>
      </c>
      <c r="E228" s="165"/>
      <c r="F228" s="116">
        <f>SUBTOTAL(109,'3.1 I&amp;W'!$X$86)</f>
        <v>0</v>
      </c>
      <c r="G228" s="116">
        <f>SUBTOTAL(109,'3.1 I&amp;W'!$Y$86)</f>
        <v>0</v>
      </c>
      <c r="H228" s="116">
        <f>SUBTOTAL(109,'3.1 I&amp;W'!$AD$86)</f>
        <v>0</v>
      </c>
      <c r="I228" s="116">
        <f>SUBTOTAL(109,'3.1 I&amp;W'!$AE$86)</f>
        <v>0</v>
      </c>
      <c r="J228" s="116"/>
      <c r="K228" s="116"/>
      <c r="L228" s="116"/>
      <c r="M228" s="116">
        <f>SUBTOTAL(109,'3.1 I&amp;W'!$AI$86)</f>
        <v>65</v>
      </c>
      <c r="N228" s="156">
        <f t="shared" si="128"/>
        <v>0</v>
      </c>
      <c r="O228" s="116">
        <f>SUBTOTAL(109,'3.1 I&amp;W'!$S$86)</f>
        <v>50279.015999999996</v>
      </c>
      <c r="P228" s="30">
        <f t="shared" si="131"/>
        <v>0</v>
      </c>
      <c r="Q228" s="31">
        <f t="shared" si="118"/>
        <v>0</v>
      </c>
      <c r="R228" s="31">
        <f t="shared" si="119"/>
        <v>0</v>
      </c>
      <c r="S228" s="31">
        <f t="shared" si="120"/>
        <v>0</v>
      </c>
      <c r="T228" s="32">
        <f t="shared" si="121"/>
        <v>0</v>
      </c>
      <c r="U228" s="37">
        <f t="shared" si="129"/>
        <v>11603.490633477195</v>
      </c>
      <c r="V228" s="40">
        <f t="shared" si="122"/>
        <v>0</v>
      </c>
      <c r="W228" s="41">
        <f t="shared" si="123"/>
        <v>0</v>
      </c>
      <c r="X228" s="43"/>
      <c r="Y228" s="46"/>
      <c r="Z228" s="126"/>
      <c r="AA228" s="136"/>
      <c r="AB228" s="131">
        <v>25</v>
      </c>
      <c r="AC228" s="168">
        <f>IF(AF227&lt;=1,0,'3.1 Fi&amp;Fo'!$I$25)</f>
        <v>115387.08252993631</v>
      </c>
      <c r="AD228" s="169">
        <f>IF(AF227&lt;=1,0,AF227*'3.1 Fi&amp;Fo'!$H$25)</f>
        <v>22585.51686230156</v>
      </c>
      <c r="AE228" s="169">
        <f t="shared" si="162"/>
        <v>92801.565667634743</v>
      </c>
      <c r="AF228" s="170">
        <f t="shared" si="163"/>
        <v>1036474.2774474433</v>
      </c>
      <c r="AG228" s="168">
        <f>IF(AJ227&lt;=1,0,IF(AB228&lt;='3.1 Fi&amp;Fo'!$F$34,'3.1 Fi&amp;Fo'!$J$34,IF(AB228&lt;='3.1 Fi&amp;Fo'!$F$35,'3.1 Fi&amp;Fo'!$J$35,IF(AB228&lt;='3.1 Fi&amp;Fo'!$F$36,'3.1 Fi&amp;Fo'!$J$36,IF(AB228&lt;='3.1 Fi&amp;Fo'!$F$37,'3.1 Fi&amp;Fo'!$J$37,IF(AB228&lt;='3.1 Fi&amp;Fo'!$F$38,'3.1 Fi&amp;Fo'!$J$38,IF(AB228&lt;='3.1 Fi&amp;Fo'!$F$39,'3.1 Fi&amp;Fo'!$J$39,IF(AB228&lt;='3.1 Fi&amp;Fo'!$F$40,'3.1 Fi&amp;Fo'!$J$40))))))))</f>
        <v>0</v>
      </c>
      <c r="AH228" s="169">
        <f>IF(AJ227&lt;=1,0,AJ227*IF(AB228&lt;='3.1 Fi&amp;Fo'!$F$34,'3.1 Fi&amp;Fo'!$I$34,IF(AB228&lt;='3.1 Fi&amp;Fo'!$F$35,'3.1 Fi&amp;Fo'!$I$35,IF(AB228&lt;='3.1 Fi&amp;Fo'!$F$36,'3.1 Fi&amp;Fo'!$I$36,IF(AB228&lt;='3.1 Fi&amp;Fo'!$F$37,'3.1 Fi&amp;Fo'!$I$37,IF(AB228&lt;='3.1 Fi&amp;Fo'!$F$40,'3.1 Fi&amp;Fo'!$I$40))))))</f>
        <v>0</v>
      </c>
      <c r="AI228" s="169">
        <f t="shared" si="139"/>
        <v>0</v>
      </c>
      <c r="AJ228" s="170">
        <f t="shared" si="164"/>
        <v>0</v>
      </c>
      <c r="AK228" s="312">
        <f t="shared" si="140"/>
        <v>-151243.4475944695</v>
      </c>
      <c r="AL228" s="169">
        <f>IF(AB228&lt;='3.1 Fi&amp;Fo'!$J$15,'3.1 Fi&amp;Fo'!$I$15,0)</f>
        <v>0</v>
      </c>
      <c r="AM228" s="169">
        <f t="shared" si="141"/>
        <v>35856.365064533195</v>
      </c>
      <c r="AN228" s="838">
        <f t="shared" si="146"/>
        <v>25</v>
      </c>
      <c r="AO228" s="844">
        <f t="shared" si="134"/>
        <v>151243.4475944695</v>
      </c>
      <c r="AP228" s="839">
        <f>CM308</f>
        <v>52712.350498980741</v>
      </c>
      <c r="AQ228" s="844">
        <f t="shared" si="135"/>
        <v>0</v>
      </c>
      <c r="AR228" s="839">
        <f t="shared" si="147"/>
        <v>0</v>
      </c>
      <c r="AS228" s="839">
        <f t="shared" ca="1" si="142"/>
        <v>9312.4324216973764</v>
      </c>
      <c r="AT228" s="839">
        <f t="shared" si="148"/>
        <v>27295.299829941432</v>
      </c>
      <c r="AU228" s="839">
        <f ca="1">'PV-Einspeisung'!AA44*-1</f>
        <v>0</v>
      </c>
      <c r="AV228" s="839">
        <f>'PV-Einspeisung'!AE44*-1</f>
        <v>0</v>
      </c>
      <c r="AW228" s="839"/>
      <c r="AX228" s="839">
        <f t="shared" si="149"/>
        <v>0</v>
      </c>
      <c r="AY228" s="841">
        <f t="shared" si="136"/>
        <v>25</v>
      </c>
      <c r="AZ228" s="842">
        <f t="shared" si="150"/>
        <v>0</v>
      </c>
      <c r="BA228" s="842">
        <f t="shared" si="151"/>
        <v>0</v>
      </c>
      <c r="BB228" s="842">
        <f t="shared" si="152"/>
        <v>0</v>
      </c>
      <c r="BC228" s="842">
        <f t="shared" si="153"/>
        <v>0</v>
      </c>
      <c r="BD228" s="842">
        <f t="shared" si="154"/>
        <v>0</v>
      </c>
      <c r="BE228" s="842">
        <f t="shared" si="155"/>
        <v>0</v>
      </c>
      <c r="BF228" s="842">
        <f t="shared" si="156"/>
        <v>11051.490111078116</v>
      </c>
      <c r="BG228" s="842">
        <f t="shared" si="157"/>
        <v>16243.809718863315</v>
      </c>
      <c r="BH228" s="858">
        <f t="shared" si="138"/>
        <v>25</v>
      </c>
      <c r="BI228" s="857">
        <f t="shared" ca="1" si="158"/>
        <v>4385.7995549367397</v>
      </c>
      <c r="BJ228" s="857">
        <f t="shared" si="159"/>
        <v>4926.6328667606376</v>
      </c>
      <c r="BK228" s="859">
        <f ca="1">'PV-Einspeisung'!AB44*-1</f>
        <v>0</v>
      </c>
      <c r="BL228" s="824">
        <f t="shared" si="124"/>
        <v>65</v>
      </c>
      <c r="BM228" s="824">
        <f t="shared" si="125"/>
        <v>0</v>
      </c>
      <c r="BN228" s="824">
        <f t="shared" si="126"/>
        <v>50279.015999999996</v>
      </c>
      <c r="BO228" s="824">
        <f t="shared" si="165"/>
        <v>0</v>
      </c>
      <c r="BP228" s="824">
        <f t="shared" si="165"/>
        <v>0</v>
      </c>
      <c r="BQ228" s="824">
        <f t="shared" si="165"/>
        <v>0</v>
      </c>
      <c r="BR228" s="824">
        <f t="shared" si="165"/>
        <v>0</v>
      </c>
      <c r="BS228" s="824">
        <f t="shared" si="165"/>
        <v>0</v>
      </c>
      <c r="BT228" s="824">
        <f t="shared" si="165"/>
        <v>0</v>
      </c>
      <c r="BU228" s="824">
        <f t="shared" si="165"/>
        <v>0</v>
      </c>
      <c r="BV228" s="824">
        <f t="shared" si="165"/>
        <v>0</v>
      </c>
      <c r="BW228" s="824">
        <f t="shared" si="165"/>
        <v>0</v>
      </c>
      <c r="BX228" s="824">
        <f t="shared" si="165"/>
        <v>0</v>
      </c>
      <c r="BY228" s="824">
        <f t="shared" si="165"/>
        <v>0</v>
      </c>
      <c r="BZ228" s="824">
        <f t="shared" si="165"/>
        <v>0</v>
      </c>
      <c r="CA228" s="824">
        <f t="shared" si="165"/>
        <v>0</v>
      </c>
      <c r="CB228" s="824">
        <f t="shared" si="165"/>
        <v>0</v>
      </c>
      <c r="CC228" s="824">
        <f t="shared" si="165"/>
        <v>0</v>
      </c>
      <c r="CD228" s="824">
        <f t="shared" si="165"/>
        <v>0</v>
      </c>
      <c r="CE228" s="824">
        <f t="shared" si="167"/>
        <v>0</v>
      </c>
      <c r="CF228" s="824">
        <f t="shared" si="167"/>
        <v>0</v>
      </c>
      <c r="CG228" s="824">
        <f t="shared" si="167"/>
        <v>0</v>
      </c>
      <c r="CH228" s="824">
        <f t="shared" si="167"/>
        <v>0</v>
      </c>
      <c r="CI228" s="824">
        <f t="shared" si="167"/>
        <v>0</v>
      </c>
      <c r="CJ228" s="824">
        <f t="shared" si="167"/>
        <v>0</v>
      </c>
      <c r="CK228" s="824">
        <f t="shared" si="167"/>
        <v>0</v>
      </c>
      <c r="CL228" s="824">
        <f t="shared" si="167"/>
        <v>0</v>
      </c>
      <c r="CM228" s="824">
        <f t="shared" si="167"/>
        <v>0</v>
      </c>
      <c r="CN228" s="824">
        <f t="shared" si="167"/>
        <v>0</v>
      </c>
      <c r="CO228" s="824">
        <f t="shared" si="167"/>
        <v>0</v>
      </c>
      <c r="CP228" s="824">
        <f t="shared" si="167"/>
        <v>0</v>
      </c>
      <c r="CQ228" s="824">
        <f t="shared" si="167"/>
        <v>0</v>
      </c>
      <c r="CR228" s="824">
        <f t="shared" si="167"/>
        <v>0</v>
      </c>
      <c r="CS228" s="824">
        <f t="shared" si="167"/>
        <v>0</v>
      </c>
      <c r="CT228" s="824">
        <f t="shared" si="166"/>
        <v>0</v>
      </c>
      <c r="CU228" s="824">
        <f t="shared" si="143"/>
        <v>0</v>
      </c>
      <c r="CV228" s="824">
        <f t="shared" si="143"/>
        <v>0</v>
      </c>
      <c r="CW228" s="824">
        <f t="shared" si="143"/>
        <v>0</v>
      </c>
      <c r="CX228" s="824">
        <f t="shared" si="143"/>
        <v>0</v>
      </c>
      <c r="CY228" s="824">
        <f t="shared" si="143"/>
        <v>0</v>
      </c>
      <c r="CZ228" s="824">
        <f t="shared" si="143"/>
        <v>0</v>
      </c>
      <c r="DA228" s="824">
        <f t="shared" si="169"/>
        <v>0</v>
      </c>
      <c r="DB228" s="824">
        <f t="shared" si="169"/>
        <v>0</v>
      </c>
      <c r="DC228" s="824">
        <f t="shared" si="169"/>
        <v>0</v>
      </c>
      <c r="DD228" s="824">
        <f t="shared" si="169"/>
        <v>0</v>
      </c>
      <c r="DE228" s="824">
        <f t="shared" si="169"/>
        <v>0</v>
      </c>
      <c r="DF228" s="824">
        <f t="shared" si="169"/>
        <v>0</v>
      </c>
      <c r="DG228" s="824">
        <f t="shared" si="169"/>
        <v>0</v>
      </c>
      <c r="DH228" s="824">
        <f t="shared" si="169"/>
        <v>0</v>
      </c>
      <c r="DI228" s="824">
        <f t="shared" si="169"/>
        <v>0</v>
      </c>
      <c r="DJ228" s="824">
        <f t="shared" si="169"/>
        <v>0</v>
      </c>
      <c r="DK228" s="824">
        <f t="shared" si="168"/>
        <v>0</v>
      </c>
      <c r="DL228" s="824">
        <f t="shared" si="168"/>
        <v>0</v>
      </c>
    </row>
    <row r="229" spans="2:116" ht="15" customHeight="1" thickBot="1" x14ac:dyDescent="0.3">
      <c r="B229" s="1673"/>
      <c r="C229" s="1680"/>
      <c r="D229" s="15" t="s">
        <v>131</v>
      </c>
      <c r="E229" s="116"/>
      <c r="F229" s="116">
        <f>SUBTOTAL(109,'3.1 I&amp;W'!$X$89)</f>
        <v>0</v>
      </c>
      <c r="G229" s="116">
        <f>SUBTOTAL(109,'3.1 I&amp;W'!$Y$89)</f>
        <v>0</v>
      </c>
      <c r="H229" s="116">
        <f>SUBTOTAL(109,'3.1 I&amp;W'!$AD$89)</f>
        <v>0</v>
      </c>
      <c r="I229" s="116">
        <f>SUBTOTAL(109,'3.1 I&amp;W'!$AE$89)</f>
        <v>0</v>
      </c>
      <c r="J229" s="116"/>
      <c r="K229" s="116"/>
      <c r="L229" s="116"/>
      <c r="M229" s="116">
        <f>SUBTOTAL(109,'3.1 I&amp;W'!$AI$89)</f>
        <v>0</v>
      </c>
      <c r="N229" s="156">
        <f t="shared" si="128"/>
        <v>0</v>
      </c>
      <c r="O229" s="116">
        <f>SUBTOTAL(109,'3.1 I&amp;W'!$S$89)</f>
        <v>0</v>
      </c>
      <c r="P229" s="30">
        <f t="shared" si="131"/>
        <v>0</v>
      </c>
      <c r="Q229" s="31">
        <f t="shared" si="118"/>
        <v>0</v>
      </c>
      <c r="R229" s="31">
        <f t="shared" si="119"/>
        <v>0</v>
      </c>
      <c r="S229" s="31">
        <f t="shared" si="120"/>
        <v>0</v>
      </c>
      <c r="T229" s="32">
        <f t="shared" si="121"/>
        <v>0</v>
      </c>
      <c r="U229" s="37">
        <f t="shared" si="129"/>
        <v>0</v>
      </c>
      <c r="V229" s="40">
        <f t="shared" si="122"/>
        <v>0</v>
      </c>
      <c r="W229" s="41">
        <f t="shared" si="123"/>
        <v>0</v>
      </c>
      <c r="X229" s="43"/>
      <c r="Y229" s="46"/>
      <c r="Z229" s="126"/>
      <c r="AA229" s="136"/>
      <c r="AB229" s="131">
        <v>26</v>
      </c>
      <c r="AC229" s="168">
        <f>IF(AF228&lt;=1,0,'3.1 Fi&amp;Fo'!$I$25)</f>
        <v>115387.08252993631</v>
      </c>
      <c r="AD229" s="169">
        <f>IF(AF228&lt;=1,0,AF228*'3.1 Fi&amp;Fo'!$H$25)</f>
        <v>20729.485548948865</v>
      </c>
      <c r="AE229" s="169">
        <f t="shared" si="162"/>
        <v>94657.596980987437</v>
      </c>
      <c r="AF229" s="170">
        <f t="shared" si="163"/>
        <v>941816.68046645587</v>
      </c>
      <c r="AG229" s="168">
        <f>IF(AJ228&lt;=1,0,IF(AB229&lt;='3.1 Fi&amp;Fo'!$F$34,'3.1 Fi&amp;Fo'!$J$34,IF(AB229&lt;='3.1 Fi&amp;Fo'!$F$35,'3.1 Fi&amp;Fo'!$J$35,IF(AB229&lt;='3.1 Fi&amp;Fo'!$F$36,'3.1 Fi&amp;Fo'!$J$36,IF(AB229&lt;='3.1 Fi&amp;Fo'!$F$37,'3.1 Fi&amp;Fo'!$J$37,IF(AB229&lt;='3.1 Fi&amp;Fo'!$F$38,'3.1 Fi&amp;Fo'!$J$38,IF(AB229&lt;='3.1 Fi&amp;Fo'!$F$39,'3.1 Fi&amp;Fo'!$J$39,IF(AB229&lt;='3.1 Fi&amp;Fo'!$F$40,'3.1 Fi&amp;Fo'!$J$40))))))))</f>
        <v>0</v>
      </c>
      <c r="AH229" s="169">
        <f>IF(AJ228&lt;=1,0,AJ228*IF(AB229&lt;='3.1 Fi&amp;Fo'!$F$34,'3.1 Fi&amp;Fo'!$I$34,IF(AB229&lt;='3.1 Fi&amp;Fo'!$F$35,'3.1 Fi&amp;Fo'!$I$35,IF(AB229&lt;='3.1 Fi&amp;Fo'!$F$36,'3.1 Fi&amp;Fo'!$I$36,IF(AB229&lt;='3.1 Fi&amp;Fo'!$F$37,'3.1 Fi&amp;Fo'!$I$37,IF(AB229&lt;='3.1 Fi&amp;Fo'!$F$40,'3.1 Fi&amp;Fo'!$I$40))))))</f>
        <v>0</v>
      </c>
      <c r="AI229" s="169">
        <f t="shared" si="139"/>
        <v>0</v>
      </c>
      <c r="AJ229" s="170">
        <f t="shared" si="164"/>
        <v>0</v>
      </c>
      <c r="AK229" s="312">
        <f t="shared" si="140"/>
        <v>-151960.57489576036</v>
      </c>
      <c r="AL229" s="169">
        <f>IF(AB229&lt;='3.1 Fi&amp;Fo'!$J$15,'3.1 Fi&amp;Fo'!$I$15,0)</f>
        <v>0</v>
      </c>
      <c r="AM229" s="169">
        <f t="shared" si="141"/>
        <v>36573.492365824059</v>
      </c>
      <c r="AN229" s="838">
        <f t="shared" si="146"/>
        <v>26</v>
      </c>
      <c r="AO229" s="844">
        <f t="shared" si="134"/>
        <v>151960.57489576036</v>
      </c>
      <c r="AP229" s="839">
        <f>CN308</f>
        <v>0</v>
      </c>
      <c r="AQ229" s="844">
        <f t="shared" si="135"/>
        <v>0</v>
      </c>
      <c r="AR229" s="839">
        <f t="shared" si="147"/>
        <v>0</v>
      </c>
      <c r="AS229" s="839">
        <f t="shared" ca="1" si="142"/>
        <v>9461.4313404445347</v>
      </c>
      <c r="AT229" s="839">
        <f t="shared" si="148"/>
        <v>28140.120422878597</v>
      </c>
      <c r="AU229" s="839">
        <f ca="1">'PV-Einspeisung'!AA45*-1</f>
        <v>0</v>
      </c>
      <c r="AV229" s="839">
        <f>'PV-Einspeisung'!AE45*-1</f>
        <v>0</v>
      </c>
      <c r="AW229" s="839"/>
      <c r="AX229" s="839">
        <f t="shared" si="149"/>
        <v>0</v>
      </c>
      <c r="AY229" s="841">
        <f t="shared" si="136"/>
        <v>26</v>
      </c>
      <c r="AZ229" s="842">
        <f t="shared" si="150"/>
        <v>0</v>
      </c>
      <c r="BA229" s="842">
        <f t="shared" si="151"/>
        <v>0</v>
      </c>
      <c r="BB229" s="842">
        <f t="shared" si="152"/>
        <v>0</v>
      </c>
      <c r="BC229" s="842">
        <f t="shared" si="153"/>
        <v>0</v>
      </c>
      <c r="BD229" s="842">
        <f t="shared" si="154"/>
        <v>0</v>
      </c>
      <c r="BE229" s="842">
        <f t="shared" si="155"/>
        <v>0</v>
      </c>
      <c r="BF229" s="842">
        <f t="shared" si="156"/>
        <v>11327.777363855068</v>
      </c>
      <c r="BG229" s="842">
        <f t="shared" si="157"/>
        <v>16812.343059023529</v>
      </c>
      <c r="BH229" s="858">
        <f t="shared" si="138"/>
        <v>26</v>
      </c>
      <c r="BI229" s="857">
        <f t="shared" ca="1" si="158"/>
        <v>4455.9723478157275</v>
      </c>
      <c r="BJ229" s="857">
        <f t="shared" si="159"/>
        <v>5005.4589926288081</v>
      </c>
      <c r="BK229" s="859">
        <f ca="1">'PV-Einspeisung'!AB45*-1</f>
        <v>0</v>
      </c>
      <c r="BL229" s="824">
        <f t="shared" si="124"/>
        <v>0</v>
      </c>
      <c r="BM229" s="824">
        <f t="shared" si="125"/>
        <v>0</v>
      </c>
      <c r="BN229" s="824">
        <f t="shared" si="126"/>
        <v>0</v>
      </c>
      <c r="BO229" s="824">
        <f t="shared" si="165"/>
        <v>0</v>
      </c>
      <c r="BP229" s="824">
        <f t="shared" si="165"/>
        <v>0</v>
      </c>
      <c r="BQ229" s="824">
        <f t="shared" si="165"/>
        <v>0</v>
      </c>
      <c r="BR229" s="824">
        <f t="shared" si="165"/>
        <v>0</v>
      </c>
      <c r="BS229" s="824">
        <f t="shared" si="165"/>
        <v>0</v>
      </c>
      <c r="BT229" s="824">
        <f t="shared" si="165"/>
        <v>0</v>
      </c>
      <c r="BU229" s="824">
        <f t="shared" si="165"/>
        <v>0</v>
      </c>
      <c r="BV229" s="824">
        <f t="shared" si="165"/>
        <v>0</v>
      </c>
      <c r="BW229" s="824">
        <f t="shared" si="165"/>
        <v>0</v>
      </c>
      <c r="BX229" s="824">
        <f t="shared" si="165"/>
        <v>0</v>
      </c>
      <c r="BY229" s="824">
        <f t="shared" si="165"/>
        <v>0</v>
      </c>
      <c r="BZ229" s="824">
        <f t="shared" si="165"/>
        <v>0</v>
      </c>
      <c r="CA229" s="824">
        <f t="shared" si="165"/>
        <v>0</v>
      </c>
      <c r="CB229" s="824">
        <f t="shared" si="165"/>
        <v>0</v>
      </c>
      <c r="CC229" s="824">
        <f t="shared" si="165"/>
        <v>0</v>
      </c>
      <c r="CD229" s="824">
        <f t="shared" si="165"/>
        <v>0</v>
      </c>
      <c r="CE229" s="824">
        <f t="shared" si="167"/>
        <v>0</v>
      </c>
      <c r="CF229" s="824">
        <f t="shared" si="167"/>
        <v>0</v>
      </c>
      <c r="CG229" s="824">
        <f t="shared" si="167"/>
        <v>0</v>
      </c>
      <c r="CH229" s="824">
        <f t="shared" si="167"/>
        <v>0</v>
      </c>
      <c r="CI229" s="824">
        <f t="shared" si="167"/>
        <v>0</v>
      </c>
      <c r="CJ229" s="824">
        <f t="shared" si="167"/>
        <v>0</v>
      </c>
      <c r="CK229" s="824">
        <f t="shared" si="167"/>
        <v>0</v>
      </c>
      <c r="CL229" s="824">
        <f t="shared" si="167"/>
        <v>0</v>
      </c>
      <c r="CM229" s="824">
        <f t="shared" si="167"/>
        <v>0</v>
      </c>
      <c r="CN229" s="824">
        <f t="shared" si="167"/>
        <v>0</v>
      </c>
      <c r="CO229" s="824">
        <f t="shared" si="167"/>
        <v>0</v>
      </c>
      <c r="CP229" s="824">
        <f t="shared" si="167"/>
        <v>0</v>
      </c>
      <c r="CQ229" s="824">
        <f t="shared" si="167"/>
        <v>0</v>
      </c>
      <c r="CR229" s="824">
        <f t="shared" si="167"/>
        <v>0</v>
      </c>
      <c r="CS229" s="824">
        <f t="shared" si="167"/>
        <v>0</v>
      </c>
      <c r="CT229" s="824">
        <f t="shared" si="166"/>
        <v>0</v>
      </c>
      <c r="CU229" s="824">
        <f t="shared" si="143"/>
        <v>0</v>
      </c>
      <c r="CV229" s="824">
        <f t="shared" si="143"/>
        <v>0</v>
      </c>
      <c r="CW229" s="824">
        <f t="shared" si="143"/>
        <v>0</v>
      </c>
      <c r="CX229" s="824">
        <f t="shared" si="143"/>
        <v>0</v>
      </c>
      <c r="CY229" s="824">
        <f t="shared" si="143"/>
        <v>0</v>
      </c>
      <c r="CZ229" s="824">
        <f t="shared" si="143"/>
        <v>0</v>
      </c>
      <c r="DA229" s="824">
        <f t="shared" si="169"/>
        <v>0</v>
      </c>
      <c r="DB229" s="824">
        <f t="shared" si="169"/>
        <v>0</v>
      </c>
      <c r="DC229" s="824">
        <f t="shared" si="169"/>
        <v>0</v>
      </c>
      <c r="DD229" s="824">
        <f t="shared" si="169"/>
        <v>0</v>
      </c>
      <c r="DE229" s="824">
        <f t="shared" si="169"/>
        <v>0</v>
      </c>
      <c r="DF229" s="824">
        <f t="shared" si="169"/>
        <v>0</v>
      </c>
      <c r="DG229" s="824">
        <f t="shared" si="169"/>
        <v>0</v>
      </c>
      <c r="DH229" s="824">
        <f t="shared" si="169"/>
        <v>0</v>
      </c>
      <c r="DI229" s="824">
        <f t="shared" si="169"/>
        <v>0</v>
      </c>
      <c r="DJ229" s="824">
        <f t="shared" si="169"/>
        <v>0</v>
      </c>
      <c r="DK229" s="824">
        <f t="shared" si="168"/>
        <v>0</v>
      </c>
      <c r="DL229" s="824">
        <f t="shared" si="168"/>
        <v>0</v>
      </c>
    </row>
    <row r="230" spans="2:116" ht="15" customHeight="1" thickBot="1" x14ac:dyDescent="0.3">
      <c r="B230" s="1673"/>
      <c r="C230" s="1680"/>
      <c r="D230" s="15" t="s">
        <v>131</v>
      </c>
      <c r="E230" s="165"/>
      <c r="F230" s="116">
        <f>SUBTOTAL(109,'3.1 I&amp;W'!$X$90)</f>
        <v>0</v>
      </c>
      <c r="G230" s="116">
        <f>SUBTOTAL(109,'3.1 I&amp;W'!$Y$90)</f>
        <v>0</v>
      </c>
      <c r="H230" s="116">
        <f>SUBTOTAL(109,'3.1 I&amp;W'!$AD$90)</f>
        <v>0</v>
      </c>
      <c r="I230" s="116">
        <f>SUBTOTAL(109,'3.1 I&amp;W'!$AE$90)</f>
        <v>0</v>
      </c>
      <c r="J230" s="116"/>
      <c r="K230" s="116"/>
      <c r="L230" s="116"/>
      <c r="M230" s="116">
        <f>SUBTOTAL(109,'3.1 I&amp;W'!$AI$90)</f>
        <v>0</v>
      </c>
      <c r="N230" s="156">
        <f t="shared" si="128"/>
        <v>0</v>
      </c>
      <c r="O230" s="116">
        <f>SUBTOTAL(109,'3.1 I&amp;W'!$S$90)</f>
        <v>0</v>
      </c>
      <c r="P230" s="30">
        <f t="shared" si="131"/>
        <v>0</v>
      </c>
      <c r="Q230" s="31">
        <f t="shared" si="118"/>
        <v>0</v>
      </c>
      <c r="R230" s="31">
        <f t="shared" si="119"/>
        <v>0</v>
      </c>
      <c r="S230" s="31">
        <f t="shared" si="120"/>
        <v>0</v>
      </c>
      <c r="T230" s="32">
        <f t="shared" si="121"/>
        <v>0</v>
      </c>
      <c r="U230" s="37">
        <f t="shared" si="129"/>
        <v>0</v>
      </c>
      <c r="V230" s="40">
        <f t="shared" si="122"/>
        <v>0</v>
      </c>
      <c r="W230" s="41">
        <f t="shared" si="123"/>
        <v>0</v>
      </c>
      <c r="X230" s="43"/>
      <c r="Y230" s="46"/>
      <c r="Z230" s="126"/>
      <c r="AA230" s="136"/>
      <c r="AB230" s="131">
        <v>27</v>
      </c>
      <c r="AC230" s="168">
        <f>IF(AF229&lt;=1,0,'3.1 Fi&amp;Fo'!$I$25)</f>
        <v>115387.08252993631</v>
      </c>
      <c r="AD230" s="169">
        <f>IF(AF229&lt;=1,0,AF229*'3.1 Fi&amp;Fo'!$H$25)</f>
        <v>18836.333609329118</v>
      </c>
      <c r="AE230" s="169">
        <f t="shared" si="162"/>
        <v>96550.748920607191</v>
      </c>
      <c r="AF230" s="170">
        <f t="shared" si="163"/>
        <v>845265.93154584873</v>
      </c>
      <c r="AG230" s="168">
        <f>IF(AJ229&lt;=1,0,IF(AB230&lt;='3.1 Fi&amp;Fo'!$F$34,'3.1 Fi&amp;Fo'!$J$34,IF(AB230&lt;='3.1 Fi&amp;Fo'!$F$35,'3.1 Fi&amp;Fo'!$J$35,IF(AB230&lt;='3.1 Fi&amp;Fo'!$F$36,'3.1 Fi&amp;Fo'!$J$36,IF(AB230&lt;='3.1 Fi&amp;Fo'!$F$37,'3.1 Fi&amp;Fo'!$J$37,IF(AB230&lt;='3.1 Fi&amp;Fo'!$F$38,'3.1 Fi&amp;Fo'!$J$38,IF(AB230&lt;='3.1 Fi&amp;Fo'!$F$39,'3.1 Fi&amp;Fo'!$J$39,IF(AB230&lt;='3.1 Fi&amp;Fo'!$F$40,'3.1 Fi&amp;Fo'!$J$40))))))))</f>
        <v>0</v>
      </c>
      <c r="AH230" s="169">
        <f>IF(AJ229&lt;=1,0,AJ229*IF(AB230&lt;='3.1 Fi&amp;Fo'!$F$34,'3.1 Fi&amp;Fo'!$I$34,IF(AB230&lt;='3.1 Fi&amp;Fo'!$F$35,'3.1 Fi&amp;Fo'!$I$35,IF(AB230&lt;='3.1 Fi&amp;Fo'!$F$36,'3.1 Fi&amp;Fo'!$I$36,IF(AB230&lt;='3.1 Fi&amp;Fo'!$F$37,'3.1 Fi&amp;Fo'!$I$37,IF(AB230&lt;='3.1 Fi&amp;Fo'!$F$40,'3.1 Fi&amp;Fo'!$I$40))))))</f>
        <v>0</v>
      </c>
      <c r="AI230" s="169">
        <f t="shared" si="139"/>
        <v>0</v>
      </c>
      <c r="AJ230" s="170">
        <f t="shared" si="164"/>
        <v>0</v>
      </c>
      <c r="AK230" s="312">
        <f t="shared" si="140"/>
        <v>-152692.04474307629</v>
      </c>
      <c r="AL230" s="169">
        <f>IF(AB230&lt;='3.1 Fi&amp;Fo'!$J$15,'3.1 Fi&amp;Fo'!$I$15,0)</f>
        <v>0</v>
      </c>
      <c r="AM230" s="169">
        <f t="shared" si="141"/>
        <v>37304.962213139981</v>
      </c>
      <c r="AN230" s="838">
        <f t="shared" si="146"/>
        <v>27</v>
      </c>
      <c r="AO230" s="844">
        <f t="shared" si="134"/>
        <v>152692.04474307629</v>
      </c>
      <c r="AP230" s="839">
        <f>CO308</f>
        <v>0</v>
      </c>
      <c r="AQ230" s="844">
        <f t="shared" si="135"/>
        <v>0</v>
      </c>
      <c r="AR230" s="839">
        <f t="shared" si="147"/>
        <v>0</v>
      </c>
      <c r="AS230" s="839">
        <f t="shared" ca="1" si="142"/>
        <v>9612.8142418916486</v>
      </c>
      <c r="AT230" s="839">
        <f t="shared" si="148"/>
        <v>29011.746864040797</v>
      </c>
      <c r="AU230" s="839">
        <f ca="1">'PV-Einspeisung'!AA46*-1</f>
        <v>0</v>
      </c>
      <c r="AV230" s="839">
        <f>'PV-Einspeisung'!AE46*-1</f>
        <v>0</v>
      </c>
      <c r="AW230" s="839"/>
      <c r="AX230" s="839">
        <f t="shared" si="149"/>
        <v>0</v>
      </c>
      <c r="AY230" s="841">
        <f t="shared" si="136"/>
        <v>27</v>
      </c>
      <c r="AZ230" s="842">
        <f t="shared" si="150"/>
        <v>0</v>
      </c>
      <c r="BA230" s="842">
        <f t="shared" si="151"/>
        <v>0</v>
      </c>
      <c r="BB230" s="842">
        <f t="shared" si="152"/>
        <v>0</v>
      </c>
      <c r="BC230" s="842">
        <f t="shared" si="153"/>
        <v>0</v>
      </c>
      <c r="BD230" s="842">
        <f t="shared" si="154"/>
        <v>0</v>
      </c>
      <c r="BE230" s="842">
        <f t="shared" si="155"/>
        <v>0</v>
      </c>
      <c r="BF230" s="842">
        <f t="shared" si="156"/>
        <v>11610.971797951444</v>
      </c>
      <c r="BG230" s="842">
        <f t="shared" si="157"/>
        <v>17400.775066089351</v>
      </c>
      <c r="BH230" s="858">
        <f t="shared" si="138"/>
        <v>27</v>
      </c>
      <c r="BI230" s="857">
        <f t="shared" ca="1" si="158"/>
        <v>4527.2679053807797</v>
      </c>
      <c r="BJ230" s="857">
        <f t="shared" si="159"/>
        <v>5085.546336510869</v>
      </c>
      <c r="BK230" s="859">
        <f ca="1">'PV-Einspeisung'!AB46*-1</f>
        <v>0</v>
      </c>
      <c r="BL230" s="824">
        <f t="shared" si="124"/>
        <v>0</v>
      </c>
      <c r="BM230" s="824">
        <f t="shared" si="125"/>
        <v>0</v>
      </c>
      <c r="BN230" s="824">
        <f t="shared" si="126"/>
        <v>0</v>
      </c>
      <c r="BO230" s="824">
        <f t="shared" si="165"/>
        <v>0</v>
      </c>
      <c r="BP230" s="824">
        <f t="shared" si="165"/>
        <v>0</v>
      </c>
      <c r="BQ230" s="824">
        <f t="shared" si="165"/>
        <v>0</v>
      </c>
      <c r="BR230" s="824">
        <f t="shared" si="165"/>
        <v>0</v>
      </c>
      <c r="BS230" s="824">
        <f t="shared" si="165"/>
        <v>0</v>
      </c>
      <c r="BT230" s="824">
        <f t="shared" si="165"/>
        <v>0</v>
      </c>
      <c r="BU230" s="824">
        <f t="shared" si="165"/>
        <v>0</v>
      </c>
      <c r="BV230" s="824">
        <f t="shared" si="165"/>
        <v>0</v>
      </c>
      <c r="BW230" s="824">
        <f t="shared" si="165"/>
        <v>0</v>
      </c>
      <c r="BX230" s="824">
        <f t="shared" si="165"/>
        <v>0</v>
      </c>
      <c r="BY230" s="824">
        <f t="shared" si="165"/>
        <v>0</v>
      </c>
      <c r="BZ230" s="824">
        <f t="shared" si="165"/>
        <v>0</v>
      </c>
      <c r="CA230" s="824">
        <f t="shared" si="165"/>
        <v>0</v>
      </c>
      <c r="CB230" s="824">
        <f t="shared" si="165"/>
        <v>0</v>
      </c>
      <c r="CC230" s="824">
        <f t="shared" si="165"/>
        <v>0</v>
      </c>
      <c r="CD230" s="824">
        <f t="shared" si="165"/>
        <v>0</v>
      </c>
      <c r="CE230" s="824">
        <f t="shared" si="167"/>
        <v>0</v>
      </c>
      <c r="CF230" s="824">
        <f t="shared" si="167"/>
        <v>0</v>
      </c>
      <c r="CG230" s="824">
        <f t="shared" si="167"/>
        <v>0</v>
      </c>
      <c r="CH230" s="824">
        <f t="shared" si="167"/>
        <v>0</v>
      </c>
      <c r="CI230" s="824">
        <f t="shared" si="167"/>
        <v>0</v>
      </c>
      <c r="CJ230" s="824">
        <f t="shared" si="167"/>
        <v>0</v>
      </c>
      <c r="CK230" s="824">
        <f t="shared" si="167"/>
        <v>0</v>
      </c>
      <c r="CL230" s="824">
        <f t="shared" si="167"/>
        <v>0</v>
      </c>
      <c r="CM230" s="824">
        <f t="shared" si="167"/>
        <v>0</v>
      </c>
      <c r="CN230" s="824">
        <f t="shared" si="167"/>
        <v>0</v>
      </c>
      <c r="CO230" s="824">
        <f t="shared" si="167"/>
        <v>0</v>
      </c>
      <c r="CP230" s="824">
        <f t="shared" si="167"/>
        <v>0</v>
      </c>
      <c r="CQ230" s="824">
        <f t="shared" si="167"/>
        <v>0</v>
      </c>
      <c r="CR230" s="824">
        <f t="shared" si="167"/>
        <v>0</v>
      </c>
      <c r="CS230" s="824">
        <f t="shared" si="167"/>
        <v>0</v>
      </c>
      <c r="CT230" s="824">
        <f t="shared" si="166"/>
        <v>0</v>
      </c>
      <c r="CU230" s="824">
        <f t="shared" si="143"/>
        <v>0</v>
      </c>
      <c r="CV230" s="824">
        <f t="shared" si="143"/>
        <v>0</v>
      </c>
      <c r="CW230" s="824">
        <f t="shared" si="143"/>
        <v>0</v>
      </c>
      <c r="CX230" s="824">
        <f t="shared" si="143"/>
        <v>0</v>
      </c>
      <c r="CY230" s="824">
        <f t="shared" si="143"/>
        <v>0</v>
      </c>
      <c r="CZ230" s="824">
        <f t="shared" si="143"/>
        <v>0</v>
      </c>
      <c r="DA230" s="824">
        <f t="shared" si="169"/>
        <v>0</v>
      </c>
      <c r="DB230" s="824">
        <f t="shared" si="169"/>
        <v>0</v>
      </c>
      <c r="DC230" s="824">
        <f t="shared" si="169"/>
        <v>0</v>
      </c>
      <c r="DD230" s="824">
        <f t="shared" si="169"/>
        <v>0</v>
      </c>
      <c r="DE230" s="824">
        <f t="shared" si="169"/>
        <v>0</v>
      </c>
      <c r="DF230" s="824">
        <f t="shared" si="169"/>
        <v>0</v>
      </c>
      <c r="DG230" s="824">
        <f t="shared" si="169"/>
        <v>0</v>
      </c>
      <c r="DH230" s="824">
        <f t="shared" si="169"/>
        <v>0</v>
      </c>
      <c r="DI230" s="824">
        <f t="shared" si="169"/>
        <v>0</v>
      </c>
      <c r="DJ230" s="824">
        <f t="shared" si="169"/>
        <v>0</v>
      </c>
      <c r="DK230" s="824">
        <f t="shared" si="168"/>
        <v>0</v>
      </c>
      <c r="DL230" s="824">
        <f t="shared" si="168"/>
        <v>0</v>
      </c>
    </row>
    <row r="231" spans="2:116" ht="15" customHeight="1" thickBot="1" x14ac:dyDescent="0.3">
      <c r="B231" s="1673"/>
      <c r="C231" s="1680"/>
      <c r="D231" s="15" t="s">
        <v>131</v>
      </c>
      <c r="E231" s="116"/>
      <c r="F231" s="116">
        <f>SUBTOTAL(109,'3.1 I&amp;W'!$X$91)</f>
        <v>0</v>
      </c>
      <c r="G231" s="116">
        <f>SUBTOTAL(109,'3.1 I&amp;W'!$Y$91)</f>
        <v>0</v>
      </c>
      <c r="H231" s="116">
        <f>SUBTOTAL(109,'3.1 I&amp;W'!$AD$91)</f>
        <v>0</v>
      </c>
      <c r="I231" s="116">
        <f>SUBTOTAL(109,'3.1 I&amp;W'!$AE$91)</f>
        <v>0</v>
      </c>
      <c r="J231" s="116"/>
      <c r="K231" s="116"/>
      <c r="L231" s="116"/>
      <c r="M231" s="116">
        <f>SUBTOTAL(109,'3.1 I&amp;W'!$AI$91)</f>
        <v>0</v>
      </c>
      <c r="N231" s="156">
        <f t="shared" si="128"/>
        <v>0</v>
      </c>
      <c r="O231" s="116">
        <f>SUBTOTAL(109,'3.1 I&amp;W'!$S$91)</f>
        <v>0</v>
      </c>
      <c r="P231" s="30">
        <f t="shared" si="131"/>
        <v>0</v>
      </c>
      <c r="Q231" s="31">
        <f t="shared" si="118"/>
        <v>0</v>
      </c>
      <c r="R231" s="31">
        <f t="shared" si="119"/>
        <v>0</v>
      </c>
      <c r="S231" s="31">
        <f t="shared" si="120"/>
        <v>0</v>
      </c>
      <c r="T231" s="32">
        <f t="shared" si="121"/>
        <v>0</v>
      </c>
      <c r="U231" s="37">
        <f t="shared" si="129"/>
        <v>0</v>
      </c>
      <c r="V231" s="40">
        <f t="shared" ref="V231:V262" si="170">G231*$I$169</f>
        <v>0</v>
      </c>
      <c r="W231" s="41">
        <f t="shared" ref="W231:W262" si="171">(I231+J231)*$I$167</f>
        <v>0</v>
      </c>
      <c r="X231" s="43"/>
      <c r="Y231" s="46"/>
      <c r="Z231" s="126"/>
      <c r="AA231" s="136"/>
      <c r="AB231" s="131">
        <v>28</v>
      </c>
      <c r="AC231" s="168">
        <f>IF(AF230&lt;=1,0,'3.1 Fi&amp;Fo'!$I$25)</f>
        <v>115387.08252993631</v>
      </c>
      <c r="AD231" s="169">
        <f>IF(AF230&lt;=1,0,AF230*'3.1 Fi&amp;Fo'!$H$25)</f>
        <v>16905.318630916976</v>
      </c>
      <c r="AE231" s="169">
        <f t="shared" si="162"/>
        <v>98481.763899019337</v>
      </c>
      <c r="AF231" s="170">
        <f t="shared" si="163"/>
        <v>746784.16764682939</v>
      </c>
      <c r="AG231" s="168">
        <f>IF(AJ230&lt;=1,0,IF(AB231&lt;='3.1 Fi&amp;Fo'!$F$34,'3.1 Fi&amp;Fo'!$J$34,IF(AB231&lt;='3.1 Fi&amp;Fo'!$F$35,'3.1 Fi&amp;Fo'!$J$35,IF(AB231&lt;='3.1 Fi&amp;Fo'!$F$36,'3.1 Fi&amp;Fo'!$J$36,IF(AB231&lt;='3.1 Fi&amp;Fo'!$F$37,'3.1 Fi&amp;Fo'!$J$37,IF(AB231&lt;='3.1 Fi&amp;Fo'!$F$38,'3.1 Fi&amp;Fo'!$J$38,IF(AB231&lt;='3.1 Fi&amp;Fo'!$F$39,'3.1 Fi&amp;Fo'!$J$39,IF(AB231&lt;='3.1 Fi&amp;Fo'!$F$40,'3.1 Fi&amp;Fo'!$J$40))))))))</f>
        <v>0</v>
      </c>
      <c r="AH231" s="169">
        <f>IF(AJ230&lt;=1,0,AJ230*IF(AB231&lt;='3.1 Fi&amp;Fo'!$F$34,'3.1 Fi&amp;Fo'!$I$34,IF(AB231&lt;='3.1 Fi&amp;Fo'!$F$35,'3.1 Fi&amp;Fo'!$I$35,IF(AB231&lt;='3.1 Fi&amp;Fo'!$F$36,'3.1 Fi&amp;Fo'!$I$36,IF(AB231&lt;='3.1 Fi&amp;Fo'!$F$37,'3.1 Fi&amp;Fo'!$I$37,IF(AB231&lt;='3.1 Fi&amp;Fo'!$F$40,'3.1 Fi&amp;Fo'!$I$40))))))</f>
        <v>0</v>
      </c>
      <c r="AI231" s="169">
        <f t="shared" si="139"/>
        <v>0</v>
      </c>
      <c r="AJ231" s="170">
        <f t="shared" si="164"/>
        <v>0</v>
      </c>
      <c r="AK231" s="312">
        <f t="shared" si="140"/>
        <v>-153438.14398733978</v>
      </c>
      <c r="AL231" s="169">
        <f>IF(AB231&lt;='3.1 Fi&amp;Fo'!$J$15,'3.1 Fi&amp;Fo'!$I$15,0)</f>
        <v>0</v>
      </c>
      <c r="AM231" s="169">
        <f t="shared" si="141"/>
        <v>38051.06145740347</v>
      </c>
      <c r="AN231" s="838">
        <f t="shared" si="146"/>
        <v>28</v>
      </c>
      <c r="AO231" s="844">
        <f t="shared" si="134"/>
        <v>153438.14398733978</v>
      </c>
      <c r="AP231" s="839">
        <f>CP308</f>
        <v>0</v>
      </c>
      <c r="AQ231" s="844">
        <f t="shared" si="135"/>
        <v>0</v>
      </c>
      <c r="AR231" s="839">
        <f t="shared" si="147"/>
        <v>0</v>
      </c>
      <c r="AS231" s="839">
        <f t="shared" ca="1" si="142"/>
        <v>9766.6192697619153</v>
      </c>
      <c r="AT231" s="839">
        <f t="shared" si="148"/>
        <v>29911.048286302706</v>
      </c>
      <c r="AU231" s="839">
        <f ca="1">'PV-Einspeisung'!AA47*-1</f>
        <v>0</v>
      </c>
      <c r="AV231" s="839">
        <f>'PV-Einspeisung'!AE47*-1</f>
        <v>0</v>
      </c>
      <c r="AW231" s="839"/>
      <c r="AX231" s="839">
        <f t="shared" si="149"/>
        <v>0</v>
      </c>
      <c r="AY231" s="841">
        <f t="shared" si="136"/>
        <v>28</v>
      </c>
      <c r="AZ231" s="842">
        <f t="shared" si="150"/>
        <v>0</v>
      </c>
      <c r="BA231" s="842">
        <f t="shared" si="151"/>
        <v>0</v>
      </c>
      <c r="BB231" s="842">
        <f t="shared" si="152"/>
        <v>0</v>
      </c>
      <c r="BC231" s="842">
        <f t="shared" si="153"/>
        <v>0</v>
      </c>
      <c r="BD231" s="842">
        <f t="shared" si="154"/>
        <v>0</v>
      </c>
      <c r="BE231" s="842">
        <f t="shared" si="155"/>
        <v>0</v>
      </c>
      <c r="BF231" s="842">
        <f t="shared" si="156"/>
        <v>11901.24609290023</v>
      </c>
      <c r="BG231" s="842">
        <f t="shared" si="157"/>
        <v>18009.802193402476</v>
      </c>
      <c r="BH231" s="858">
        <f t="shared" si="138"/>
        <v>28</v>
      </c>
      <c r="BI231" s="857">
        <f t="shared" ca="1" si="158"/>
        <v>4599.704191866872</v>
      </c>
      <c r="BJ231" s="857">
        <f t="shared" si="159"/>
        <v>5166.9150778950434</v>
      </c>
      <c r="BK231" s="859">
        <f ca="1">'PV-Einspeisung'!AB47*-1</f>
        <v>0</v>
      </c>
      <c r="BL231" s="824">
        <f t="shared" ref="BL231:BL262" si="172">M231</f>
        <v>0</v>
      </c>
      <c r="BM231" s="824">
        <f t="shared" ref="BM231:BM262" si="173">N231</f>
        <v>0</v>
      </c>
      <c r="BN231" s="824">
        <f t="shared" ref="BN231:BN262" si="174">O231</f>
        <v>0</v>
      </c>
      <c r="BO231" s="824">
        <f t="shared" si="165"/>
        <v>0</v>
      </c>
      <c r="BP231" s="824">
        <f t="shared" si="165"/>
        <v>0</v>
      </c>
      <c r="BQ231" s="824">
        <f t="shared" si="165"/>
        <v>0</v>
      </c>
      <c r="BR231" s="824">
        <f t="shared" si="165"/>
        <v>0</v>
      </c>
      <c r="BS231" s="824">
        <f t="shared" si="165"/>
        <v>0</v>
      </c>
      <c r="BT231" s="824">
        <f t="shared" si="165"/>
        <v>0</v>
      </c>
      <c r="BU231" s="824">
        <f t="shared" si="165"/>
        <v>0</v>
      </c>
      <c r="BV231" s="824">
        <f t="shared" si="165"/>
        <v>0</v>
      </c>
      <c r="BW231" s="824">
        <f t="shared" si="165"/>
        <v>0</v>
      </c>
      <c r="BX231" s="824">
        <f t="shared" si="165"/>
        <v>0</v>
      </c>
      <c r="BY231" s="824">
        <f t="shared" si="165"/>
        <v>0</v>
      </c>
      <c r="BZ231" s="824">
        <f t="shared" si="165"/>
        <v>0</v>
      </c>
      <c r="CA231" s="824">
        <f t="shared" si="165"/>
        <v>0</v>
      </c>
      <c r="CB231" s="824">
        <f t="shared" si="165"/>
        <v>0</v>
      </c>
      <c r="CC231" s="824">
        <f t="shared" si="165"/>
        <v>0</v>
      </c>
      <c r="CD231" s="824">
        <f t="shared" si="165"/>
        <v>0</v>
      </c>
      <c r="CE231" s="824">
        <f t="shared" si="167"/>
        <v>0</v>
      </c>
      <c r="CF231" s="824">
        <f t="shared" si="167"/>
        <v>0</v>
      </c>
      <c r="CG231" s="824">
        <f t="shared" si="167"/>
        <v>0</v>
      </c>
      <c r="CH231" s="824">
        <f t="shared" si="167"/>
        <v>0</v>
      </c>
      <c r="CI231" s="824">
        <f t="shared" si="167"/>
        <v>0</v>
      </c>
      <c r="CJ231" s="824">
        <f t="shared" si="167"/>
        <v>0</v>
      </c>
      <c r="CK231" s="824">
        <f t="shared" si="167"/>
        <v>0</v>
      </c>
      <c r="CL231" s="824">
        <f t="shared" si="167"/>
        <v>0</v>
      </c>
      <c r="CM231" s="824">
        <f t="shared" si="167"/>
        <v>0</v>
      </c>
      <c r="CN231" s="824">
        <f t="shared" si="167"/>
        <v>0</v>
      </c>
      <c r="CO231" s="824">
        <f t="shared" si="167"/>
        <v>0</v>
      </c>
      <c r="CP231" s="824">
        <f t="shared" si="167"/>
        <v>0</v>
      </c>
      <c r="CQ231" s="824">
        <f t="shared" si="167"/>
        <v>0</v>
      </c>
      <c r="CR231" s="824">
        <f t="shared" si="167"/>
        <v>0</v>
      </c>
      <c r="CS231" s="824">
        <f t="shared" si="167"/>
        <v>0</v>
      </c>
      <c r="CT231" s="824">
        <f t="shared" si="166"/>
        <v>0</v>
      </c>
      <c r="CU231" s="824">
        <f t="shared" si="143"/>
        <v>0</v>
      </c>
      <c r="CV231" s="824">
        <f t="shared" si="143"/>
        <v>0</v>
      </c>
      <c r="CW231" s="824">
        <f t="shared" si="143"/>
        <v>0</v>
      </c>
      <c r="CX231" s="824">
        <f t="shared" si="143"/>
        <v>0</v>
      </c>
      <c r="CY231" s="824">
        <f t="shared" si="143"/>
        <v>0</v>
      </c>
      <c r="CZ231" s="824">
        <f t="shared" si="143"/>
        <v>0</v>
      </c>
      <c r="DA231" s="824">
        <f t="shared" si="169"/>
        <v>0</v>
      </c>
      <c r="DB231" s="824">
        <f t="shared" si="169"/>
        <v>0</v>
      </c>
      <c r="DC231" s="824">
        <f t="shared" si="169"/>
        <v>0</v>
      </c>
      <c r="DD231" s="824">
        <f t="shared" si="169"/>
        <v>0</v>
      </c>
      <c r="DE231" s="824">
        <f t="shared" si="169"/>
        <v>0</v>
      </c>
      <c r="DF231" s="824">
        <f t="shared" si="169"/>
        <v>0</v>
      </c>
      <c r="DG231" s="824">
        <f t="shared" si="169"/>
        <v>0</v>
      </c>
      <c r="DH231" s="824">
        <f t="shared" si="169"/>
        <v>0</v>
      </c>
      <c r="DI231" s="824">
        <f t="shared" si="169"/>
        <v>0</v>
      </c>
      <c r="DJ231" s="824">
        <f t="shared" si="169"/>
        <v>0</v>
      </c>
      <c r="DK231" s="824">
        <f t="shared" si="168"/>
        <v>0</v>
      </c>
      <c r="DL231" s="824">
        <f t="shared" si="168"/>
        <v>0</v>
      </c>
    </row>
    <row r="232" spans="2:116" ht="15" customHeight="1" thickBot="1" x14ac:dyDescent="0.3">
      <c r="B232" s="1673"/>
      <c r="C232" s="1680"/>
      <c r="D232" s="15" t="s">
        <v>263</v>
      </c>
      <c r="E232" s="165"/>
      <c r="F232" s="116">
        <f>SUBTOTAL(109,'3.1 I&amp;W'!$X$95)</f>
        <v>0</v>
      </c>
      <c r="G232" s="116">
        <f>SUBTOTAL(109,'3.1 I&amp;W'!$Y$95)</f>
        <v>0</v>
      </c>
      <c r="H232" s="116">
        <f>SUBTOTAL(109,'3.1 I&amp;W'!$AD$95)</f>
        <v>0</v>
      </c>
      <c r="I232" s="116">
        <f>SUBTOTAL(109,'3.1 I&amp;W'!$AE$95)</f>
        <v>0</v>
      </c>
      <c r="J232" s="116"/>
      <c r="K232" s="116"/>
      <c r="L232" s="116"/>
      <c r="M232" s="116">
        <f>SUBTOTAL(109,'3.1 I&amp;W'!$AI$95)</f>
        <v>0</v>
      </c>
      <c r="N232" s="156">
        <f t="shared" si="128"/>
        <v>0</v>
      </c>
      <c r="O232" s="116">
        <f>SUBTOTAL(109,'3.1 I&amp;W'!$S$95)</f>
        <v>0</v>
      </c>
      <c r="P232" s="30">
        <f t="shared" si="131"/>
        <v>0</v>
      </c>
      <c r="Q232" s="31">
        <f t="shared" si="118"/>
        <v>0</v>
      </c>
      <c r="R232" s="31">
        <f t="shared" si="119"/>
        <v>0</v>
      </c>
      <c r="S232" s="31">
        <f t="shared" si="120"/>
        <v>0</v>
      </c>
      <c r="T232" s="32">
        <f t="shared" si="121"/>
        <v>0</v>
      </c>
      <c r="U232" s="37">
        <f t="shared" si="129"/>
        <v>0</v>
      </c>
      <c r="V232" s="40">
        <f t="shared" si="170"/>
        <v>0</v>
      </c>
      <c r="W232" s="41">
        <f t="shared" si="171"/>
        <v>0</v>
      </c>
      <c r="X232" s="43"/>
      <c r="Y232" s="46"/>
      <c r="Z232" s="126"/>
      <c r="AA232" s="136"/>
      <c r="AB232" s="131">
        <v>29</v>
      </c>
      <c r="AC232" s="168">
        <f>IF(AF231&lt;=1,0,'3.1 Fi&amp;Fo'!$I$25)</f>
        <v>115387.08252993631</v>
      </c>
      <c r="AD232" s="169">
        <f>IF(AF231&lt;=1,0,AF231*'3.1 Fi&amp;Fo'!$H$25)</f>
        <v>14935.683352936589</v>
      </c>
      <c r="AE232" s="169">
        <f t="shared" si="162"/>
        <v>100451.39917699972</v>
      </c>
      <c r="AF232" s="170">
        <f t="shared" si="163"/>
        <v>646332.76846982969</v>
      </c>
      <c r="AG232" s="168">
        <f>IF(AJ231&lt;=1,0,IF(AB232&lt;='3.1 Fi&amp;Fo'!$F$34,'3.1 Fi&amp;Fo'!$J$34,IF(AB232&lt;='3.1 Fi&amp;Fo'!$F$35,'3.1 Fi&amp;Fo'!$J$35,IF(AB232&lt;='3.1 Fi&amp;Fo'!$F$36,'3.1 Fi&amp;Fo'!$J$36,IF(AB232&lt;='3.1 Fi&amp;Fo'!$F$37,'3.1 Fi&amp;Fo'!$J$37,IF(AB232&lt;='3.1 Fi&amp;Fo'!$F$38,'3.1 Fi&amp;Fo'!$J$38,IF(AB232&lt;='3.1 Fi&amp;Fo'!$F$39,'3.1 Fi&amp;Fo'!$J$39,IF(AB232&lt;='3.1 Fi&amp;Fo'!$F$40,'3.1 Fi&amp;Fo'!$J$40))))))))</f>
        <v>0</v>
      </c>
      <c r="AH232" s="169">
        <f>IF(AJ231&lt;=1,0,AJ231*IF(AB232&lt;='3.1 Fi&amp;Fo'!$F$34,'3.1 Fi&amp;Fo'!$I$34,IF(AB232&lt;='3.1 Fi&amp;Fo'!$F$35,'3.1 Fi&amp;Fo'!$I$35,IF(AB232&lt;='3.1 Fi&amp;Fo'!$F$36,'3.1 Fi&amp;Fo'!$I$36,IF(AB232&lt;='3.1 Fi&amp;Fo'!$F$37,'3.1 Fi&amp;Fo'!$I$37,IF(AB232&lt;='3.1 Fi&amp;Fo'!$F$40,'3.1 Fi&amp;Fo'!$I$40))))))</f>
        <v>0</v>
      </c>
      <c r="AI232" s="169">
        <f t="shared" si="139"/>
        <v>0</v>
      </c>
      <c r="AJ232" s="170">
        <f t="shared" si="164"/>
        <v>0</v>
      </c>
      <c r="AK232" s="312">
        <f t="shared" si="140"/>
        <v>-154199.16521648722</v>
      </c>
      <c r="AL232" s="169">
        <f>IF(AB232&lt;='3.1 Fi&amp;Fo'!$J$15,'3.1 Fi&amp;Fo'!$I$15,0)</f>
        <v>0</v>
      </c>
      <c r="AM232" s="169">
        <f t="shared" si="141"/>
        <v>38812.082686550915</v>
      </c>
      <c r="AN232" s="838">
        <f t="shared" si="146"/>
        <v>29</v>
      </c>
      <c r="AO232" s="844">
        <f t="shared" si="134"/>
        <v>154199.16521648722</v>
      </c>
      <c r="AP232" s="839">
        <f>CQ308</f>
        <v>0</v>
      </c>
      <c r="AQ232" s="844">
        <f t="shared" si="135"/>
        <v>0</v>
      </c>
      <c r="AR232" s="839">
        <f t="shared" si="147"/>
        <v>0</v>
      </c>
      <c r="AS232" s="839">
        <f t="shared" ca="1" si="142"/>
        <v>9922.885178078106</v>
      </c>
      <c r="AT232" s="839">
        <f t="shared" si="148"/>
        <v>30838.922515394297</v>
      </c>
      <c r="AU232" s="839">
        <f ca="1">'PV-Einspeisung'!AA48*-1</f>
        <v>0</v>
      </c>
      <c r="AV232" s="839">
        <f>'PV-Einspeisung'!AE48*-1</f>
        <v>0</v>
      </c>
      <c r="AW232" s="839"/>
      <c r="AX232" s="839">
        <f t="shared" si="149"/>
        <v>0</v>
      </c>
      <c r="AY232" s="841">
        <f t="shared" si="136"/>
        <v>29</v>
      </c>
      <c r="AZ232" s="842">
        <f t="shared" si="150"/>
        <v>0</v>
      </c>
      <c r="BA232" s="842">
        <f t="shared" si="151"/>
        <v>0</v>
      </c>
      <c r="BB232" s="842">
        <f t="shared" si="152"/>
        <v>0</v>
      </c>
      <c r="BC232" s="842">
        <f t="shared" si="153"/>
        <v>0</v>
      </c>
      <c r="BD232" s="842">
        <f t="shared" si="154"/>
        <v>0</v>
      </c>
      <c r="BE232" s="842">
        <f t="shared" si="155"/>
        <v>0</v>
      </c>
      <c r="BF232" s="842">
        <f t="shared" si="156"/>
        <v>12198.777245222735</v>
      </c>
      <c r="BG232" s="842">
        <f t="shared" si="157"/>
        <v>18640.145270171561</v>
      </c>
      <c r="BH232" s="858">
        <f t="shared" si="138"/>
        <v>29</v>
      </c>
      <c r="BI232" s="857">
        <f t="shared" ca="1" si="158"/>
        <v>4673.2994589367418</v>
      </c>
      <c r="BJ232" s="857">
        <f t="shared" si="159"/>
        <v>5249.5857191413643</v>
      </c>
      <c r="BK232" s="859">
        <f ca="1">'PV-Einspeisung'!AB48*-1</f>
        <v>0</v>
      </c>
      <c r="BL232" s="824">
        <f t="shared" si="172"/>
        <v>0</v>
      </c>
      <c r="BM232" s="824">
        <f t="shared" si="173"/>
        <v>0</v>
      </c>
      <c r="BN232" s="824">
        <f t="shared" si="174"/>
        <v>0</v>
      </c>
      <c r="BO232" s="824">
        <f t="shared" si="165"/>
        <v>0</v>
      </c>
      <c r="BP232" s="824">
        <f t="shared" si="165"/>
        <v>0</v>
      </c>
      <c r="BQ232" s="824">
        <f t="shared" si="165"/>
        <v>0</v>
      </c>
      <c r="BR232" s="824">
        <f t="shared" si="165"/>
        <v>0</v>
      </c>
      <c r="BS232" s="824">
        <f t="shared" si="165"/>
        <v>0</v>
      </c>
      <c r="BT232" s="824">
        <f t="shared" si="165"/>
        <v>0</v>
      </c>
      <c r="BU232" s="824">
        <f t="shared" si="165"/>
        <v>0</v>
      </c>
      <c r="BV232" s="824">
        <f t="shared" si="165"/>
        <v>0</v>
      </c>
      <c r="BW232" s="824">
        <f t="shared" si="165"/>
        <v>0</v>
      </c>
      <c r="BX232" s="824">
        <f t="shared" si="165"/>
        <v>0</v>
      </c>
      <c r="BY232" s="824">
        <f t="shared" si="165"/>
        <v>0</v>
      </c>
      <c r="BZ232" s="824">
        <f t="shared" si="165"/>
        <v>0</v>
      </c>
      <c r="CA232" s="824">
        <f t="shared" si="165"/>
        <v>0</v>
      </c>
      <c r="CB232" s="824">
        <f t="shared" si="165"/>
        <v>0</v>
      </c>
      <c r="CC232" s="824">
        <f t="shared" si="165"/>
        <v>0</v>
      </c>
      <c r="CD232" s="824">
        <f t="shared" si="165"/>
        <v>0</v>
      </c>
      <c r="CE232" s="824">
        <f t="shared" si="167"/>
        <v>0</v>
      </c>
      <c r="CF232" s="824">
        <f t="shared" si="167"/>
        <v>0</v>
      </c>
      <c r="CG232" s="824">
        <f t="shared" si="167"/>
        <v>0</v>
      </c>
      <c r="CH232" s="824">
        <f t="shared" si="167"/>
        <v>0</v>
      </c>
      <c r="CI232" s="824">
        <f t="shared" si="167"/>
        <v>0</v>
      </c>
      <c r="CJ232" s="824">
        <f t="shared" si="167"/>
        <v>0</v>
      </c>
      <c r="CK232" s="824">
        <f t="shared" si="167"/>
        <v>0</v>
      </c>
      <c r="CL232" s="824">
        <f t="shared" si="167"/>
        <v>0</v>
      </c>
      <c r="CM232" s="824">
        <f t="shared" si="167"/>
        <v>0</v>
      </c>
      <c r="CN232" s="824">
        <f t="shared" si="167"/>
        <v>0</v>
      </c>
      <c r="CO232" s="824">
        <f t="shared" si="167"/>
        <v>0</v>
      </c>
      <c r="CP232" s="824">
        <f t="shared" si="167"/>
        <v>0</v>
      </c>
      <c r="CQ232" s="824">
        <f t="shared" si="167"/>
        <v>0</v>
      </c>
      <c r="CR232" s="824">
        <f t="shared" si="167"/>
        <v>0</v>
      </c>
      <c r="CS232" s="824">
        <f t="shared" si="167"/>
        <v>0</v>
      </c>
      <c r="CT232" s="824">
        <f t="shared" si="166"/>
        <v>0</v>
      </c>
      <c r="CU232" s="824">
        <f t="shared" si="166"/>
        <v>0</v>
      </c>
      <c r="CV232" s="824">
        <f t="shared" si="166"/>
        <v>0</v>
      </c>
      <c r="CW232" s="824">
        <f t="shared" si="166"/>
        <v>0</v>
      </c>
      <c r="CX232" s="824">
        <f t="shared" si="166"/>
        <v>0</v>
      </c>
      <c r="CY232" s="824">
        <f t="shared" si="166"/>
        <v>0</v>
      </c>
      <c r="CZ232" s="824">
        <f t="shared" si="166"/>
        <v>0</v>
      </c>
      <c r="DA232" s="824">
        <f t="shared" si="166"/>
        <v>0</v>
      </c>
      <c r="DB232" s="824">
        <f t="shared" si="166"/>
        <v>0</v>
      </c>
      <c r="DC232" s="824">
        <f t="shared" si="166"/>
        <v>0</v>
      </c>
      <c r="DD232" s="824">
        <f t="shared" si="166"/>
        <v>0</v>
      </c>
      <c r="DE232" s="824">
        <f t="shared" si="166"/>
        <v>0</v>
      </c>
      <c r="DF232" s="824">
        <f t="shared" si="166"/>
        <v>0</v>
      </c>
      <c r="DG232" s="824">
        <f t="shared" si="169"/>
        <v>0</v>
      </c>
      <c r="DH232" s="824">
        <f t="shared" si="169"/>
        <v>0</v>
      </c>
      <c r="DI232" s="824">
        <f t="shared" si="169"/>
        <v>0</v>
      </c>
      <c r="DJ232" s="824">
        <f t="shared" si="169"/>
        <v>0</v>
      </c>
      <c r="DK232" s="824">
        <f t="shared" si="168"/>
        <v>0</v>
      </c>
      <c r="DL232" s="824">
        <f t="shared" si="168"/>
        <v>0</v>
      </c>
    </row>
    <row r="233" spans="2:116" ht="15" customHeight="1" thickBot="1" x14ac:dyDescent="0.3">
      <c r="B233" s="1673"/>
      <c r="C233" s="1680"/>
      <c r="D233" s="15" t="s">
        <v>263</v>
      </c>
      <c r="E233" s="116"/>
      <c r="F233" s="116">
        <f>SUBTOTAL(109,'3.1 I&amp;W'!$X$96)</f>
        <v>0</v>
      </c>
      <c r="G233" s="116">
        <f>SUBTOTAL(109,'3.1 I&amp;W'!$Y$96)</f>
        <v>0</v>
      </c>
      <c r="H233" s="116">
        <f>SUBTOTAL(109,'3.1 I&amp;W'!$AD$96)</f>
        <v>0</v>
      </c>
      <c r="I233" s="116">
        <f>SUBTOTAL(109,'3.1 I&amp;W'!$AE$96)</f>
        <v>0</v>
      </c>
      <c r="J233" s="116"/>
      <c r="K233" s="116"/>
      <c r="L233" s="116"/>
      <c r="M233" s="116">
        <f>SUBTOTAL(109,'3.1 I&amp;W'!$AI$96)</f>
        <v>0</v>
      </c>
      <c r="N233" s="156">
        <f t="shared" si="128"/>
        <v>0</v>
      </c>
      <c r="O233" s="116">
        <f>SUBTOTAL(109,'3.1 I&amp;W'!$S$96)</f>
        <v>0</v>
      </c>
      <c r="P233" s="30">
        <f t="shared" si="131"/>
        <v>0</v>
      </c>
      <c r="Q233" s="31">
        <f t="shared" si="118"/>
        <v>0</v>
      </c>
      <c r="R233" s="31">
        <f t="shared" si="119"/>
        <v>0</v>
      </c>
      <c r="S233" s="31">
        <f t="shared" si="120"/>
        <v>0</v>
      </c>
      <c r="T233" s="32">
        <f t="shared" si="121"/>
        <v>0</v>
      </c>
      <c r="U233" s="37">
        <f t="shared" si="129"/>
        <v>0</v>
      </c>
      <c r="V233" s="40">
        <f t="shared" si="170"/>
        <v>0</v>
      </c>
      <c r="W233" s="41">
        <f t="shared" si="171"/>
        <v>0</v>
      </c>
      <c r="X233" s="43"/>
      <c r="Y233" s="46"/>
      <c r="Z233" s="126"/>
      <c r="AA233" s="136"/>
      <c r="AB233" s="131">
        <v>30</v>
      </c>
      <c r="AC233" s="168">
        <f>IF(AF232&lt;=1,0,'3.1 Fi&amp;Fo'!$I$25)</f>
        <v>115387.08252993631</v>
      </c>
      <c r="AD233" s="169">
        <f>IF(AF232&lt;=1,0,AF232*'3.1 Fi&amp;Fo'!$H$25)</f>
        <v>12926.655369396594</v>
      </c>
      <c r="AE233" s="169">
        <f t="shared" si="162"/>
        <v>102460.42716053971</v>
      </c>
      <c r="AF233" s="170">
        <f t="shared" si="163"/>
        <v>543872.34130929003</v>
      </c>
      <c r="AG233" s="168">
        <f>IF(AJ232&lt;=1,0,IF(AB233&lt;='3.1 Fi&amp;Fo'!$F$34,'3.1 Fi&amp;Fo'!$J$34,IF(AB233&lt;='3.1 Fi&amp;Fo'!$F$35,'3.1 Fi&amp;Fo'!$J$35,IF(AB233&lt;='3.1 Fi&amp;Fo'!$F$36,'3.1 Fi&amp;Fo'!$J$36,IF(AB233&lt;='3.1 Fi&amp;Fo'!$F$37,'3.1 Fi&amp;Fo'!$J$37,IF(AB233&lt;='3.1 Fi&amp;Fo'!$F$38,'3.1 Fi&amp;Fo'!$J$38,IF(AB233&lt;='3.1 Fi&amp;Fo'!$F$39,'3.1 Fi&amp;Fo'!$J$39,IF(AB233&lt;='3.1 Fi&amp;Fo'!$F$40,'3.1 Fi&amp;Fo'!$J$40))))))))</f>
        <v>0</v>
      </c>
      <c r="AH233" s="169">
        <f>IF(AJ232&lt;=1,0,AJ232*IF(AB233&lt;='3.1 Fi&amp;Fo'!$F$34,'3.1 Fi&amp;Fo'!$I$34,IF(AB233&lt;='3.1 Fi&amp;Fo'!$F$35,'3.1 Fi&amp;Fo'!$I$35,IF(AB233&lt;='3.1 Fi&amp;Fo'!$F$36,'3.1 Fi&amp;Fo'!$I$36,IF(AB233&lt;='3.1 Fi&amp;Fo'!$F$37,'3.1 Fi&amp;Fo'!$I$37,IF(AB233&lt;='3.1 Fi&amp;Fo'!$F$40,'3.1 Fi&amp;Fo'!$I$40))))))</f>
        <v>0</v>
      </c>
      <c r="AI233" s="169">
        <f t="shared" si="139"/>
        <v>0</v>
      </c>
      <c r="AJ233" s="170">
        <f t="shared" si="164"/>
        <v>0</v>
      </c>
      <c r="AK233" s="312">
        <f t="shared" si="140"/>
        <v>-154975.40687021878</v>
      </c>
      <c r="AL233" s="169">
        <f>IF(AB233&lt;='3.1 Fi&amp;Fo'!$J$15,'3.1 Fi&amp;Fo'!$I$15,0)</f>
        <v>0</v>
      </c>
      <c r="AM233" s="169">
        <f t="shared" si="141"/>
        <v>39588.324340282474</v>
      </c>
      <c r="AN233" s="838">
        <f t="shared" si="146"/>
        <v>30</v>
      </c>
      <c r="AO233" s="844">
        <f t="shared" si="134"/>
        <v>154975.40687021878</v>
      </c>
      <c r="AP233" s="839">
        <f>CR308</f>
        <v>150514.72851978976</v>
      </c>
      <c r="AQ233" s="844">
        <f t="shared" si="135"/>
        <v>0</v>
      </c>
      <c r="AR233" s="839">
        <f t="shared" si="147"/>
        <v>0</v>
      </c>
      <c r="AS233" s="839">
        <f t="shared" ca="1" si="142"/>
        <v>10081.651340927356</v>
      </c>
      <c r="AT233" s="839">
        <f t="shared" si="148"/>
        <v>31796.297030980866</v>
      </c>
      <c r="AU233" s="839">
        <f ca="1">'PV-Einspeisung'!AA49*-1</f>
        <v>0</v>
      </c>
      <c r="AV233" s="839">
        <f>'PV-Einspeisung'!AE49*-1</f>
        <v>0</v>
      </c>
      <c r="AW233" s="839"/>
      <c r="AX233" s="839">
        <f t="shared" si="149"/>
        <v>0</v>
      </c>
      <c r="AY233" s="841">
        <f t="shared" si="136"/>
        <v>30</v>
      </c>
      <c r="AZ233" s="842">
        <f t="shared" si="150"/>
        <v>0</v>
      </c>
      <c r="BA233" s="842">
        <f t="shared" si="151"/>
        <v>0</v>
      </c>
      <c r="BB233" s="842">
        <f t="shared" si="152"/>
        <v>0</v>
      </c>
      <c r="BC233" s="842">
        <f t="shared" si="153"/>
        <v>0</v>
      </c>
      <c r="BD233" s="842">
        <f t="shared" si="154"/>
        <v>0</v>
      </c>
      <c r="BE233" s="842">
        <f t="shared" si="155"/>
        <v>0</v>
      </c>
      <c r="BF233" s="842">
        <f t="shared" si="156"/>
        <v>12503.746676353301</v>
      </c>
      <c r="BG233" s="842">
        <f t="shared" si="157"/>
        <v>19292.550354627565</v>
      </c>
      <c r="BH233" s="858">
        <f t="shared" si="138"/>
        <v>30</v>
      </c>
      <c r="BI233" s="857">
        <f t="shared" ca="1" si="158"/>
        <v>4748.0722502797298</v>
      </c>
      <c r="BJ233" s="857">
        <f t="shared" si="159"/>
        <v>5333.5790906476259</v>
      </c>
      <c r="BK233" s="859">
        <f ca="1">'PV-Einspeisung'!AB49*-1</f>
        <v>0</v>
      </c>
      <c r="BL233" s="824">
        <f t="shared" si="172"/>
        <v>0</v>
      </c>
      <c r="BM233" s="824">
        <f t="shared" si="173"/>
        <v>0</v>
      </c>
      <c r="BN233" s="824">
        <f t="shared" si="174"/>
        <v>0</v>
      </c>
      <c r="BO233" s="824">
        <f t="shared" si="165"/>
        <v>0</v>
      </c>
      <c r="BP233" s="824">
        <f t="shared" si="165"/>
        <v>0</v>
      </c>
      <c r="BQ233" s="824">
        <f t="shared" si="165"/>
        <v>0</v>
      </c>
      <c r="BR233" s="824">
        <f t="shared" si="165"/>
        <v>0</v>
      </c>
      <c r="BS233" s="824">
        <f t="shared" si="165"/>
        <v>0</v>
      </c>
      <c r="BT233" s="824">
        <f t="shared" si="165"/>
        <v>0</v>
      </c>
      <c r="BU233" s="824">
        <f t="shared" si="165"/>
        <v>0</v>
      </c>
      <c r="BV233" s="824">
        <f t="shared" si="165"/>
        <v>0</v>
      </c>
      <c r="BW233" s="824">
        <f t="shared" si="165"/>
        <v>0</v>
      </c>
      <c r="BX233" s="824">
        <f t="shared" si="165"/>
        <v>0</v>
      </c>
      <c r="BY233" s="824">
        <f t="shared" si="165"/>
        <v>0</v>
      </c>
      <c r="BZ233" s="824">
        <f t="shared" si="165"/>
        <v>0</v>
      </c>
      <c r="CA233" s="824">
        <f t="shared" si="165"/>
        <v>0</v>
      </c>
      <c r="CB233" s="824">
        <f t="shared" si="165"/>
        <v>0</v>
      </c>
      <c r="CC233" s="824">
        <f t="shared" si="165"/>
        <v>0</v>
      </c>
      <c r="CD233" s="824">
        <f t="shared" ref="CD233:CS248" si="175">IF(OR(IF($BL233*1&lt;$BL$196,$BL233*1=CD$198,FALSE),IF($BL233*2&lt;$BL$196,$BL233*2=CD$198,FALSE),IF($BL233*3&lt;$BL$196,$BL233*3=CD$198,FALSE),IF($BL233*4&lt;$BL$196,$BL233*4=CD$198,FALSE),IF($BL233*5&lt;$BL$196,$BL233*5=CD$198,FALSE)),$BN233*$BM$196^CD$198,0)</f>
        <v>0</v>
      </c>
      <c r="CE233" s="824">
        <f t="shared" si="175"/>
        <v>0</v>
      </c>
      <c r="CF233" s="824">
        <f t="shared" si="175"/>
        <v>0</v>
      </c>
      <c r="CG233" s="824">
        <f t="shared" si="175"/>
        <v>0</v>
      </c>
      <c r="CH233" s="824">
        <f t="shared" si="175"/>
        <v>0</v>
      </c>
      <c r="CI233" s="824">
        <f t="shared" si="175"/>
        <v>0</v>
      </c>
      <c r="CJ233" s="824">
        <f t="shared" si="175"/>
        <v>0</v>
      </c>
      <c r="CK233" s="824">
        <f t="shared" si="175"/>
        <v>0</v>
      </c>
      <c r="CL233" s="824">
        <f t="shared" si="175"/>
        <v>0</v>
      </c>
      <c r="CM233" s="824">
        <f t="shared" si="175"/>
        <v>0</v>
      </c>
      <c r="CN233" s="824">
        <f t="shared" si="175"/>
        <v>0</v>
      </c>
      <c r="CO233" s="824">
        <f t="shared" si="175"/>
        <v>0</v>
      </c>
      <c r="CP233" s="824">
        <f t="shared" si="175"/>
        <v>0</v>
      </c>
      <c r="CQ233" s="824">
        <f t="shared" si="175"/>
        <v>0</v>
      </c>
      <c r="CR233" s="824">
        <f t="shared" si="175"/>
        <v>0</v>
      </c>
      <c r="CS233" s="824">
        <f t="shared" si="175"/>
        <v>0</v>
      </c>
      <c r="CT233" s="824">
        <f t="shared" si="166"/>
        <v>0</v>
      </c>
      <c r="CU233" s="824">
        <f t="shared" si="166"/>
        <v>0</v>
      </c>
      <c r="CV233" s="824">
        <f t="shared" si="166"/>
        <v>0</v>
      </c>
      <c r="CW233" s="824">
        <f t="shared" si="166"/>
        <v>0</v>
      </c>
      <c r="CX233" s="824">
        <f t="shared" si="166"/>
        <v>0</v>
      </c>
      <c r="CY233" s="824">
        <f t="shared" si="166"/>
        <v>0</v>
      </c>
      <c r="CZ233" s="824">
        <f t="shared" si="166"/>
        <v>0</v>
      </c>
      <c r="DA233" s="824">
        <f t="shared" si="166"/>
        <v>0</v>
      </c>
      <c r="DB233" s="824">
        <f t="shared" si="166"/>
        <v>0</v>
      </c>
      <c r="DC233" s="824">
        <f t="shared" si="166"/>
        <v>0</v>
      </c>
      <c r="DD233" s="824">
        <f t="shared" si="166"/>
        <v>0</v>
      </c>
      <c r="DE233" s="824">
        <f t="shared" si="166"/>
        <v>0</v>
      </c>
      <c r="DF233" s="824">
        <f t="shared" si="166"/>
        <v>0</v>
      </c>
      <c r="DG233" s="824">
        <f t="shared" si="169"/>
        <v>0</v>
      </c>
      <c r="DH233" s="824">
        <f t="shared" si="169"/>
        <v>0</v>
      </c>
      <c r="DI233" s="824">
        <f t="shared" si="169"/>
        <v>0</v>
      </c>
      <c r="DJ233" s="824">
        <f t="shared" si="169"/>
        <v>0</v>
      </c>
      <c r="DK233" s="824">
        <f t="shared" si="168"/>
        <v>0</v>
      </c>
      <c r="DL233" s="824">
        <f t="shared" si="168"/>
        <v>0</v>
      </c>
    </row>
    <row r="234" spans="2:116" ht="15.75" customHeight="1" thickBot="1" x14ac:dyDescent="0.3">
      <c r="B234" s="1673"/>
      <c r="C234" s="1680"/>
      <c r="D234" s="15" t="s">
        <v>263</v>
      </c>
      <c r="E234" s="165"/>
      <c r="F234" s="116">
        <f>SUBTOTAL(109,'3.1 I&amp;W'!$X$97)</f>
        <v>0</v>
      </c>
      <c r="G234" s="116">
        <f>SUBTOTAL(109,'3.1 I&amp;W'!$Y$97)</f>
        <v>0</v>
      </c>
      <c r="H234" s="116">
        <f>SUBTOTAL(109,'3.1 I&amp;W'!$AD$97)</f>
        <v>0</v>
      </c>
      <c r="I234" s="116">
        <f>SUBTOTAL(109,'3.1 I&amp;W'!$AE$97)</f>
        <v>0</v>
      </c>
      <c r="J234" s="116"/>
      <c r="K234" s="116"/>
      <c r="L234" s="116"/>
      <c r="M234" s="116">
        <f>SUBTOTAL(109,'3.1 I&amp;W'!$AI$97)</f>
        <v>0</v>
      </c>
      <c r="N234" s="156">
        <f t="shared" si="128"/>
        <v>0</v>
      </c>
      <c r="O234" s="116">
        <f>SUBTOTAL(109,'3.1 I&amp;W'!$S$97)</f>
        <v>0</v>
      </c>
      <c r="P234" s="30">
        <f t="shared" ref="P234:P270" si="176">IF(N234&gt;=1,O234*$G$158^(1*M234)/($G$157^(1*M234)),0)</f>
        <v>0</v>
      </c>
      <c r="Q234" s="31">
        <f t="shared" ref="Q234:Q270" si="177">IF(N234&gt;=2,O234*$G$158^(2*M234)/($G$157^(2*M234)),0)</f>
        <v>0</v>
      </c>
      <c r="R234" s="31">
        <f t="shared" ref="R234:R270" si="178">IF(N234&gt;=3,O234*$G$158^(3*M234)/($G$157^(3*M234)),0)</f>
        <v>0</v>
      </c>
      <c r="S234" s="31">
        <f t="shared" ref="S234:S270" si="179">IF(N234&gt;=4,O234*$G$158^(4*M234)/($G$157^(4*M234)),0)</f>
        <v>0</v>
      </c>
      <c r="T234" s="32">
        <f t="shared" ref="T234:T270" si="180">IF(N234&gt;=5,O234*$G$158^(5*M234)/($G$157^(5*M234)),0)</f>
        <v>0</v>
      </c>
      <c r="U234" s="37">
        <f t="shared" si="129"/>
        <v>0</v>
      </c>
      <c r="V234" s="40">
        <f t="shared" si="170"/>
        <v>0</v>
      </c>
      <c r="W234" s="41">
        <f t="shared" si="171"/>
        <v>0</v>
      </c>
      <c r="X234" s="43"/>
      <c r="Y234" s="46"/>
      <c r="Z234" s="126"/>
      <c r="AA234" s="136"/>
      <c r="AB234" s="131">
        <v>31</v>
      </c>
      <c r="AC234" s="168">
        <f>IF(AF233&lt;=1,0,'3.1 Fi&amp;Fo'!$I$25)</f>
        <v>115387.08252993631</v>
      </c>
      <c r="AD234" s="169">
        <f>IF(AF233&lt;=1,0,AF233*'3.1 Fi&amp;Fo'!$H$25)</f>
        <v>10877.4468261858</v>
      </c>
      <c r="AE234" s="169">
        <f t="shared" si="162"/>
        <v>104509.63570375051</v>
      </c>
      <c r="AF234" s="170">
        <f t="shared" si="163"/>
        <v>439362.70560553949</v>
      </c>
      <c r="AG234" s="168">
        <f>IF(AJ233&lt;=1,0,IF(AB234&lt;='3.1 Fi&amp;Fo'!$F$34,'3.1 Fi&amp;Fo'!$J$34,IF(AB234&lt;='3.1 Fi&amp;Fo'!$F$35,'3.1 Fi&amp;Fo'!$J$35,IF(AB234&lt;='3.1 Fi&amp;Fo'!$F$36,'3.1 Fi&amp;Fo'!$J$36,IF(AB234&lt;='3.1 Fi&amp;Fo'!$F$37,'3.1 Fi&amp;Fo'!$J$37,IF(AB234&lt;='3.1 Fi&amp;Fo'!$F$38,'3.1 Fi&amp;Fo'!$J$38,IF(AB234&lt;='3.1 Fi&amp;Fo'!$F$39,'3.1 Fi&amp;Fo'!$J$39,IF(AB234&lt;='3.1 Fi&amp;Fo'!$F$40,'3.1 Fi&amp;Fo'!$J$40))))))))</f>
        <v>0</v>
      </c>
      <c r="AH234" s="169">
        <f>IF(AJ233&lt;=1,0,AJ233*IF(AB234&lt;='3.1 Fi&amp;Fo'!$F$34,'3.1 Fi&amp;Fo'!$I$34,IF(AB234&lt;='3.1 Fi&amp;Fo'!$F$35,'3.1 Fi&amp;Fo'!$I$35,IF(AB234&lt;='3.1 Fi&amp;Fo'!$F$36,'3.1 Fi&amp;Fo'!$I$36,IF(AB234&lt;='3.1 Fi&amp;Fo'!$F$37,'3.1 Fi&amp;Fo'!$I$37,IF(AB234&lt;='3.1 Fi&amp;Fo'!$F$40,'3.1 Fi&amp;Fo'!$I$40))))))</f>
        <v>0</v>
      </c>
      <c r="AI234" s="169">
        <f t="shared" si="139"/>
        <v>0</v>
      </c>
      <c r="AJ234" s="170">
        <f t="shared" si="164"/>
        <v>0</v>
      </c>
      <c r="AK234" s="312">
        <f t="shared" si="140"/>
        <v>-155767.17335702371</v>
      </c>
      <c r="AL234" s="169">
        <f>IF(AB234&lt;='3.1 Fi&amp;Fo'!$J$15,'3.1 Fi&amp;Fo'!$I$15,0)</f>
        <v>0</v>
      </c>
      <c r="AM234" s="169">
        <f t="shared" si="141"/>
        <v>40380.090827087406</v>
      </c>
      <c r="AN234" s="838">
        <f t="shared" si="146"/>
        <v>31</v>
      </c>
      <c r="AO234" s="844">
        <f t="shared" si="134"/>
        <v>155767.17335702371</v>
      </c>
      <c r="AP234" s="839">
        <f>CS308</f>
        <v>0</v>
      </c>
      <c r="AQ234" s="844">
        <f t="shared" si="135"/>
        <v>0</v>
      </c>
      <c r="AR234" s="839">
        <f t="shared" si="147"/>
        <v>0</v>
      </c>
      <c r="AS234" s="839">
        <f t="shared" ca="1" si="142"/>
        <v>10242.957762382193</v>
      </c>
      <c r="AT234" s="839">
        <f t="shared" si="148"/>
        <v>32784.12996030166</v>
      </c>
      <c r="AU234" s="839">
        <f ca="1">'PV-Einspeisung'!AA50*-1</f>
        <v>0</v>
      </c>
      <c r="AV234" s="839">
        <f>'PV-Einspeisung'!AE50*-1</f>
        <v>0</v>
      </c>
      <c r="AW234" s="839"/>
      <c r="AX234" s="839">
        <f t="shared" si="149"/>
        <v>0</v>
      </c>
      <c r="AY234" s="841">
        <f t="shared" si="136"/>
        <v>31</v>
      </c>
      <c r="AZ234" s="842">
        <f t="shared" si="150"/>
        <v>0</v>
      </c>
      <c r="BA234" s="842">
        <f t="shared" si="151"/>
        <v>0</v>
      </c>
      <c r="BB234" s="842">
        <f t="shared" si="152"/>
        <v>0</v>
      </c>
      <c r="BC234" s="842">
        <f t="shared" si="153"/>
        <v>0</v>
      </c>
      <c r="BD234" s="842">
        <f t="shared" si="154"/>
        <v>0</v>
      </c>
      <c r="BE234" s="842">
        <f t="shared" si="155"/>
        <v>0</v>
      </c>
      <c r="BF234" s="842">
        <f t="shared" si="156"/>
        <v>12816.340343262133</v>
      </c>
      <c r="BG234" s="842">
        <f t="shared" si="157"/>
        <v>19967.789617039529</v>
      </c>
      <c r="BH234" s="858">
        <f t="shared" si="138"/>
        <v>31</v>
      </c>
      <c r="BI234" s="857">
        <f t="shared" ca="1" si="158"/>
        <v>4824.0414062842056</v>
      </c>
      <c r="BJ234" s="857">
        <f t="shared" si="159"/>
        <v>5418.9163560979878</v>
      </c>
      <c r="BK234" s="859">
        <f ca="1">'PV-Einspeisung'!AB50*-1</f>
        <v>0</v>
      </c>
      <c r="BL234" s="824">
        <f t="shared" si="172"/>
        <v>0</v>
      </c>
      <c r="BM234" s="824">
        <f t="shared" si="173"/>
        <v>0</v>
      </c>
      <c r="BN234" s="824">
        <f t="shared" si="174"/>
        <v>0</v>
      </c>
      <c r="BO234" s="824">
        <f t="shared" ref="BO234:CD249" si="181">IF(OR(IF($BL234*1&lt;$BL$196,$BL234*1=BO$198,FALSE),IF($BL234*2&lt;$BL$196,$BL234*2=BO$198,FALSE),IF($BL234*3&lt;$BL$196,$BL234*3=BO$198,FALSE),IF($BL234*4&lt;$BL$196,$BL234*4=BO$198,FALSE),IF($BL234*5&lt;$BL$196,$BL234*5=BO$198,FALSE)),$BN234*$BM$196^BO$198,0)</f>
        <v>0</v>
      </c>
      <c r="BP234" s="824">
        <f t="shared" si="181"/>
        <v>0</v>
      </c>
      <c r="BQ234" s="824">
        <f t="shared" si="181"/>
        <v>0</v>
      </c>
      <c r="BR234" s="824">
        <f t="shared" si="181"/>
        <v>0</v>
      </c>
      <c r="BS234" s="824">
        <f t="shared" si="181"/>
        <v>0</v>
      </c>
      <c r="BT234" s="824">
        <f t="shared" si="181"/>
        <v>0</v>
      </c>
      <c r="BU234" s="824">
        <f t="shared" si="181"/>
        <v>0</v>
      </c>
      <c r="BV234" s="824">
        <f t="shared" si="181"/>
        <v>0</v>
      </c>
      <c r="BW234" s="824">
        <f t="shared" si="181"/>
        <v>0</v>
      </c>
      <c r="BX234" s="824">
        <f t="shared" si="181"/>
        <v>0</v>
      </c>
      <c r="BY234" s="824">
        <f t="shared" si="181"/>
        <v>0</v>
      </c>
      <c r="BZ234" s="824">
        <f t="shared" si="181"/>
        <v>0</v>
      </c>
      <c r="CA234" s="824">
        <f t="shared" si="181"/>
        <v>0</v>
      </c>
      <c r="CB234" s="824">
        <f t="shared" si="181"/>
        <v>0</v>
      </c>
      <c r="CC234" s="824">
        <f t="shared" si="181"/>
        <v>0</v>
      </c>
      <c r="CD234" s="824">
        <f t="shared" si="181"/>
        <v>0</v>
      </c>
      <c r="CE234" s="824">
        <f t="shared" si="175"/>
        <v>0</v>
      </c>
      <c r="CF234" s="824">
        <f t="shared" si="175"/>
        <v>0</v>
      </c>
      <c r="CG234" s="824">
        <f t="shared" si="175"/>
        <v>0</v>
      </c>
      <c r="CH234" s="824">
        <f t="shared" si="175"/>
        <v>0</v>
      </c>
      <c r="CI234" s="824">
        <f t="shared" si="175"/>
        <v>0</v>
      </c>
      <c r="CJ234" s="824">
        <f t="shared" si="175"/>
        <v>0</v>
      </c>
      <c r="CK234" s="824">
        <f t="shared" si="175"/>
        <v>0</v>
      </c>
      <c r="CL234" s="824">
        <f t="shared" si="175"/>
        <v>0</v>
      </c>
      <c r="CM234" s="824">
        <f t="shared" si="175"/>
        <v>0</v>
      </c>
      <c r="CN234" s="824">
        <f t="shared" si="175"/>
        <v>0</v>
      </c>
      <c r="CO234" s="824">
        <f t="shared" si="175"/>
        <v>0</v>
      </c>
      <c r="CP234" s="824">
        <f t="shared" si="175"/>
        <v>0</v>
      </c>
      <c r="CQ234" s="824">
        <f t="shared" si="175"/>
        <v>0</v>
      </c>
      <c r="CR234" s="824">
        <f t="shared" si="175"/>
        <v>0</v>
      </c>
      <c r="CS234" s="824">
        <f t="shared" si="175"/>
        <v>0</v>
      </c>
      <c r="CT234" s="824">
        <f t="shared" si="166"/>
        <v>0</v>
      </c>
      <c r="CU234" s="824">
        <f t="shared" si="166"/>
        <v>0</v>
      </c>
      <c r="CV234" s="824">
        <f t="shared" si="166"/>
        <v>0</v>
      </c>
      <c r="CW234" s="824">
        <f t="shared" si="166"/>
        <v>0</v>
      </c>
      <c r="CX234" s="824">
        <f t="shared" si="166"/>
        <v>0</v>
      </c>
      <c r="CY234" s="824">
        <f t="shared" si="166"/>
        <v>0</v>
      </c>
      <c r="CZ234" s="824">
        <f t="shared" si="166"/>
        <v>0</v>
      </c>
      <c r="DA234" s="824">
        <f t="shared" si="166"/>
        <v>0</v>
      </c>
      <c r="DB234" s="824">
        <f t="shared" si="166"/>
        <v>0</v>
      </c>
      <c r="DC234" s="824">
        <f t="shared" si="166"/>
        <v>0</v>
      </c>
      <c r="DD234" s="824">
        <f t="shared" si="166"/>
        <v>0</v>
      </c>
      <c r="DE234" s="824">
        <f t="shared" si="166"/>
        <v>0</v>
      </c>
      <c r="DF234" s="824">
        <f t="shared" si="166"/>
        <v>0</v>
      </c>
      <c r="DG234" s="824">
        <f t="shared" si="169"/>
        <v>0</v>
      </c>
      <c r="DH234" s="824">
        <f t="shared" si="169"/>
        <v>0</v>
      </c>
      <c r="DI234" s="824">
        <f t="shared" si="169"/>
        <v>0</v>
      </c>
      <c r="DJ234" s="824">
        <f t="shared" si="169"/>
        <v>0</v>
      </c>
      <c r="DK234" s="824">
        <f t="shared" si="168"/>
        <v>0</v>
      </c>
      <c r="DL234" s="824">
        <f t="shared" si="168"/>
        <v>0</v>
      </c>
    </row>
    <row r="235" spans="2:116" ht="15" customHeight="1" thickBot="1" x14ac:dyDescent="0.3">
      <c r="B235" s="1673"/>
      <c r="C235" s="1680"/>
      <c r="D235" s="15" t="s">
        <v>174</v>
      </c>
      <c r="E235" s="116"/>
      <c r="F235" s="116">
        <f>SUBTOTAL(109,'3.1 I&amp;W'!$X$100)</f>
        <v>0</v>
      </c>
      <c r="G235" s="116">
        <f>SUBTOTAL(109,'3.1 I&amp;W'!$Y$100)</f>
        <v>0</v>
      </c>
      <c r="H235" s="116">
        <f>SUBTOTAL(109,'3.1 I&amp;W'!$AD$100)</f>
        <v>0</v>
      </c>
      <c r="I235" s="116">
        <f>SUBTOTAL(109,'3.1 I&amp;W'!$AE$100)</f>
        <v>0</v>
      </c>
      <c r="J235" s="116"/>
      <c r="K235" s="116"/>
      <c r="L235" s="116"/>
      <c r="M235" s="116">
        <f>SUBTOTAL(109,'3.1 I&amp;W'!$AI$100)</f>
        <v>0</v>
      </c>
      <c r="N235" s="156">
        <f t="shared" si="128"/>
        <v>0</v>
      </c>
      <c r="O235" s="116">
        <f>SUBTOTAL(109,'3.1 I&amp;W'!$S$100)</f>
        <v>0</v>
      </c>
      <c r="P235" s="30">
        <f t="shared" si="176"/>
        <v>0</v>
      </c>
      <c r="Q235" s="31">
        <f t="shared" si="177"/>
        <v>0</v>
      </c>
      <c r="R235" s="31">
        <f t="shared" si="178"/>
        <v>0</v>
      </c>
      <c r="S235" s="31">
        <f t="shared" si="179"/>
        <v>0</v>
      </c>
      <c r="T235" s="32">
        <f t="shared" si="180"/>
        <v>0</v>
      </c>
      <c r="U235" s="37">
        <f t="shared" si="129"/>
        <v>0</v>
      </c>
      <c r="V235" s="40">
        <f t="shared" si="170"/>
        <v>0</v>
      </c>
      <c r="W235" s="41">
        <f t="shared" si="171"/>
        <v>0</v>
      </c>
      <c r="X235" s="43"/>
      <c r="Y235" s="46"/>
      <c r="Z235" s="126"/>
      <c r="AA235" s="136"/>
      <c r="AB235" s="131">
        <v>32</v>
      </c>
      <c r="AC235" s="168">
        <f>IF(AF234&lt;=1,0,'3.1 Fi&amp;Fo'!$I$25)</f>
        <v>115387.08252993631</v>
      </c>
      <c r="AD235" s="169">
        <f>IF(AF234&lt;=1,0,AF234*'3.1 Fi&amp;Fo'!$H$25)</f>
        <v>8787.2541121107897</v>
      </c>
      <c r="AE235" s="169">
        <f t="shared" si="162"/>
        <v>106599.82841782551</v>
      </c>
      <c r="AF235" s="170">
        <f t="shared" si="163"/>
        <v>332762.87718771398</v>
      </c>
      <c r="AG235" s="168">
        <f>IF(AJ234&lt;=1,0,IF(AB235&lt;='3.1 Fi&amp;Fo'!$F$34,'3.1 Fi&amp;Fo'!$J$34,IF(AB235&lt;='3.1 Fi&amp;Fo'!$F$35,'3.1 Fi&amp;Fo'!$J$35,IF(AB235&lt;='3.1 Fi&amp;Fo'!$F$36,'3.1 Fi&amp;Fo'!$J$36,IF(AB235&lt;='3.1 Fi&amp;Fo'!$F$37,'3.1 Fi&amp;Fo'!$J$37,IF(AB235&lt;='3.1 Fi&amp;Fo'!$F$38,'3.1 Fi&amp;Fo'!$J$38,IF(AB235&lt;='3.1 Fi&amp;Fo'!$F$39,'3.1 Fi&amp;Fo'!$J$39,IF(AB235&lt;='3.1 Fi&amp;Fo'!$F$40,'3.1 Fi&amp;Fo'!$J$40))))))))</f>
        <v>0</v>
      </c>
      <c r="AH235" s="169">
        <f>IF(AJ234&lt;=1,0,AJ234*IF(AB235&lt;='3.1 Fi&amp;Fo'!$F$34,'3.1 Fi&amp;Fo'!$I$34,IF(AB235&lt;='3.1 Fi&amp;Fo'!$F$35,'3.1 Fi&amp;Fo'!$I$35,IF(AB235&lt;='3.1 Fi&amp;Fo'!$F$36,'3.1 Fi&amp;Fo'!$I$36,IF(AB235&lt;='3.1 Fi&amp;Fo'!$F$37,'3.1 Fi&amp;Fo'!$I$37,IF(AB235&lt;='3.1 Fi&amp;Fo'!$F$40,'3.1 Fi&amp;Fo'!$I$40))))))</f>
        <v>0</v>
      </c>
      <c r="AI235" s="169">
        <f t="shared" si="139"/>
        <v>0</v>
      </c>
      <c r="AJ235" s="170">
        <f t="shared" si="164"/>
        <v>0</v>
      </c>
      <c r="AK235" s="312">
        <f t="shared" si="140"/>
        <v>-156574.77517356639</v>
      </c>
      <c r="AL235" s="169">
        <f>IF(AB235&lt;='3.1 Fi&amp;Fo'!$J$15,'3.1 Fi&amp;Fo'!$I$15,0)</f>
        <v>0</v>
      </c>
      <c r="AM235" s="169">
        <f t="shared" si="141"/>
        <v>41187.692643630086</v>
      </c>
      <c r="AN235" s="838">
        <f t="shared" si="146"/>
        <v>32</v>
      </c>
      <c r="AO235" s="844">
        <f t="shared" si="134"/>
        <v>156574.77517356639</v>
      </c>
      <c r="AP235" s="839">
        <f>CT308</f>
        <v>0</v>
      </c>
      <c r="AQ235" s="844">
        <f t="shared" si="135"/>
        <v>0</v>
      </c>
      <c r="AR235" s="839">
        <f t="shared" si="147"/>
        <v>0</v>
      </c>
      <c r="AS235" s="839">
        <f t="shared" ca="1" si="142"/>
        <v>10406.84508658031</v>
      </c>
      <c r="AT235" s="839">
        <f t="shared" si="148"/>
        <v>33803.411105479594</v>
      </c>
      <c r="AU235" s="839">
        <f ca="1">'PV-Einspeisung'!AA51*-1</f>
        <v>0</v>
      </c>
      <c r="AV235" s="839">
        <f>'PV-Einspeisung'!AE51*-1</f>
        <v>0</v>
      </c>
      <c r="AW235" s="839"/>
      <c r="AX235" s="839">
        <f t="shared" si="149"/>
        <v>0</v>
      </c>
      <c r="AY235" s="841">
        <f t="shared" si="136"/>
        <v>32</v>
      </c>
      <c r="AZ235" s="842">
        <f t="shared" si="150"/>
        <v>0</v>
      </c>
      <c r="BA235" s="842">
        <f t="shared" si="151"/>
        <v>0</v>
      </c>
      <c r="BB235" s="842">
        <f t="shared" si="152"/>
        <v>0</v>
      </c>
      <c r="BC235" s="842">
        <f t="shared" si="153"/>
        <v>0</v>
      </c>
      <c r="BD235" s="842">
        <f t="shared" si="154"/>
        <v>0</v>
      </c>
      <c r="BE235" s="842">
        <f t="shared" si="155"/>
        <v>0</v>
      </c>
      <c r="BF235" s="842">
        <f t="shared" si="156"/>
        <v>13136.748851843684</v>
      </c>
      <c r="BG235" s="842">
        <f t="shared" si="157"/>
        <v>20666.66225363591</v>
      </c>
      <c r="BH235" s="858">
        <f t="shared" si="138"/>
        <v>32</v>
      </c>
      <c r="BI235" s="857">
        <f t="shared" ca="1" si="158"/>
        <v>4901.2260687847529</v>
      </c>
      <c r="BJ235" s="857">
        <f t="shared" si="159"/>
        <v>5505.6190177955559</v>
      </c>
      <c r="BK235" s="859">
        <f ca="1">'PV-Einspeisung'!AB51*-1</f>
        <v>0</v>
      </c>
      <c r="BL235" s="824">
        <f t="shared" si="172"/>
        <v>0</v>
      </c>
      <c r="BM235" s="824">
        <f t="shared" si="173"/>
        <v>0</v>
      </c>
      <c r="BN235" s="824">
        <f t="shared" si="174"/>
        <v>0</v>
      </c>
      <c r="BO235" s="824">
        <f t="shared" si="181"/>
        <v>0</v>
      </c>
      <c r="BP235" s="824">
        <f t="shared" si="181"/>
        <v>0</v>
      </c>
      <c r="BQ235" s="824">
        <f t="shared" si="181"/>
        <v>0</v>
      </c>
      <c r="BR235" s="824">
        <f t="shared" si="181"/>
        <v>0</v>
      </c>
      <c r="BS235" s="824">
        <f t="shared" si="181"/>
        <v>0</v>
      </c>
      <c r="BT235" s="824">
        <f t="shared" si="181"/>
        <v>0</v>
      </c>
      <c r="BU235" s="824">
        <f t="shared" si="181"/>
        <v>0</v>
      </c>
      <c r="BV235" s="824">
        <f t="shared" si="181"/>
        <v>0</v>
      </c>
      <c r="BW235" s="824">
        <f t="shared" si="181"/>
        <v>0</v>
      </c>
      <c r="BX235" s="824">
        <f t="shared" si="181"/>
        <v>0</v>
      </c>
      <c r="BY235" s="824">
        <f t="shared" si="181"/>
        <v>0</v>
      </c>
      <c r="BZ235" s="824">
        <f t="shared" si="181"/>
        <v>0</v>
      </c>
      <c r="CA235" s="824">
        <f t="shared" si="181"/>
        <v>0</v>
      </c>
      <c r="CB235" s="824">
        <f t="shared" si="181"/>
        <v>0</v>
      </c>
      <c r="CC235" s="824">
        <f t="shared" si="181"/>
        <v>0</v>
      </c>
      <c r="CD235" s="824">
        <f t="shared" si="181"/>
        <v>0</v>
      </c>
      <c r="CE235" s="824">
        <f t="shared" si="175"/>
        <v>0</v>
      </c>
      <c r="CF235" s="824">
        <f t="shared" si="175"/>
        <v>0</v>
      </c>
      <c r="CG235" s="824">
        <f t="shared" si="175"/>
        <v>0</v>
      </c>
      <c r="CH235" s="824">
        <f t="shared" si="175"/>
        <v>0</v>
      </c>
      <c r="CI235" s="824">
        <f t="shared" si="175"/>
        <v>0</v>
      </c>
      <c r="CJ235" s="824">
        <f t="shared" si="175"/>
        <v>0</v>
      </c>
      <c r="CK235" s="824">
        <f t="shared" si="175"/>
        <v>0</v>
      </c>
      <c r="CL235" s="824">
        <f t="shared" si="175"/>
        <v>0</v>
      </c>
      <c r="CM235" s="824">
        <f t="shared" si="175"/>
        <v>0</v>
      </c>
      <c r="CN235" s="824">
        <f t="shared" si="175"/>
        <v>0</v>
      </c>
      <c r="CO235" s="824">
        <f t="shared" si="175"/>
        <v>0</v>
      </c>
      <c r="CP235" s="824">
        <f t="shared" si="175"/>
        <v>0</v>
      </c>
      <c r="CQ235" s="824">
        <f t="shared" si="175"/>
        <v>0</v>
      </c>
      <c r="CR235" s="824">
        <f t="shared" si="175"/>
        <v>0</v>
      </c>
      <c r="CS235" s="824">
        <f t="shared" si="175"/>
        <v>0</v>
      </c>
      <c r="CT235" s="824">
        <f t="shared" si="166"/>
        <v>0</v>
      </c>
      <c r="CU235" s="824">
        <f t="shared" si="166"/>
        <v>0</v>
      </c>
      <c r="CV235" s="824">
        <f t="shared" si="166"/>
        <v>0</v>
      </c>
      <c r="CW235" s="824">
        <f t="shared" si="166"/>
        <v>0</v>
      </c>
      <c r="CX235" s="824">
        <f t="shared" si="166"/>
        <v>0</v>
      </c>
      <c r="CY235" s="824">
        <f t="shared" si="166"/>
        <v>0</v>
      </c>
      <c r="CZ235" s="824">
        <f t="shared" si="166"/>
        <v>0</v>
      </c>
      <c r="DA235" s="824">
        <f t="shared" si="166"/>
        <v>0</v>
      </c>
      <c r="DB235" s="824">
        <f t="shared" si="166"/>
        <v>0</v>
      </c>
      <c r="DC235" s="824">
        <f t="shared" si="166"/>
        <v>0</v>
      </c>
      <c r="DD235" s="824">
        <f t="shared" si="166"/>
        <v>0</v>
      </c>
      <c r="DE235" s="824">
        <f t="shared" si="166"/>
        <v>0</v>
      </c>
      <c r="DF235" s="824">
        <f t="shared" si="166"/>
        <v>0</v>
      </c>
      <c r="DG235" s="824">
        <f t="shared" si="169"/>
        <v>0</v>
      </c>
      <c r="DH235" s="824">
        <f t="shared" si="169"/>
        <v>0</v>
      </c>
      <c r="DI235" s="824">
        <f t="shared" si="169"/>
        <v>0</v>
      </c>
      <c r="DJ235" s="824">
        <f t="shared" si="169"/>
        <v>0</v>
      </c>
      <c r="DK235" s="824">
        <f t="shared" si="168"/>
        <v>0</v>
      </c>
      <c r="DL235" s="824">
        <f t="shared" si="168"/>
        <v>0</v>
      </c>
    </row>
    <row r="236" spans="2:116" ht="15" customHeight="1" thickBot="1" x14ac:dyDescent="0.3">
      <c r="B236" s="1673"/>
      <c r="C236" s="1680"/>
      <c r="D236" s="15" t="s">
        <v>174</v>
      </c>
      <c r="E236" s="165"/>
      <c r="F236" s="116">
        <f>SUBTOTAL(109,'3.1 I&amp;W'!$X$101)</f>
        <v>0</v>
      </c>
      <c r="G236" s="116">
        <f>SUBTOTAL(109,'3.1 I&amp;W'!$Y$101)</f>
        <v>0</v>
      </c>
      <c r="H236" s="116">
        <f>SUBTOTAL(109,'3.1 I&amp;W'!$AD$101)</f>
        <v>0</v>
      </c>
      <c r="I236" s="116">
        <f>SUBTOTAL(109,'3.1 I&amp;W'!$AE$101)</f>
        <v>0</v>
      </c>
      <c r="J236" s="116"/>
      <c r="K236" s="116"/>
      <c r="L236" s="116"/>
      <c r="M236" s="116">
        <f>SUBTOTAL(109,'3.1 I&amp;W'!$AI$101)</f>
        <v>0</v>
      </c>
      <c r="N236" s="156">
        <f t="shared" si="128"/>
        <v>0</v>
      </c>
      <c r="O236" s="116">
        <f>SUBTOTAL(109,'3.1 I&amp;W'!$S$101)</f>
        <v>0</v>
      </c>
      <c r="P236" s="30">
        <f t="shared" si="176"/>
        <v>0</v>
      </c>
      <c r="Q236" s="31">
        <f t="shared" si="177"/>
        <v>0</v>
      </c>
      <c r="R236" s="31">
        <f t="shared" si="178"/>
        <v>0</v>
      </c>
      <c r="S236" s="31">
        <f t="shared" si="179"/>
        <v>0</v>
      </c>
      <c r="T236" s="32">
        <f t="shared" si="180"/>
        <v>0</v>
      </c>
      <c r="U236" s="37">
        <f t="shared" si="129"/>
        <v>0</v>
      </c>
      <c r="V236" s="40">
        <f t="shared" si="170"/>
        <v>0</v>
      </c>
      <c r="W236" s="41">
        <f t="shared" si="171"/>
        <v>0</v>
      </c>
      <c r="X236" s="43"/>
      <c r="Y236" s="46"/>
      <c r="Z236" s="126"/>
      <c r="AA236" s="136"/>
      <c r="AB236" s="131">
        <v>33</v>
      </c>
      <c r="AC236" s="168">
        <f>IF(AF235&lt;=1,0,'3.1 Fi&amp;Fo'!$I$25)</f>
        <v>115387.08252993631</v>
      </c>
      <c r="AD236" s="169">
        <f>IF(AF235&lt;=1,0,AF235*'3.1 Fi&amp;Fo'!$H$25)</f>
        <v>6655.2575437542801</v>
      </c>
      <c r="AE236" s="169">
        <f t="shared" ref="AE236:AE253" si="182">AC236-AD236</f>
        <v>108731.82498618202</v>
      </c>
      <c r="AF236" s="170">
        <f t="shared" ref="AF236:AF253" si="183">AF235-AE236</f>
        <v>224031.05220153194</v>
      </c>
      <c r="AG236" s="168">
        <f>IF(AJ235&lt;=1,0,IF(AB236&lt;='3.1 Fi&amp;Fo'!$F$34,'3.1 Fi&amp;Fo'!$J$34,IF(AB236&lt;='3.1 Fi&amp;Fo'!$F$35,'3.1 Fi&amp;Fo'!$J$35,IF(AB236&lt;='3.1 Fi&amp;Fo'!$F$36,'3.1 Fi&amp;Fo'!$J$36,IF(AB236&lt;='3.1 Fi&amp;Fo'!$F$37,'3.1 Fi&amp;Fo'!$J$37,IF(AB236&lt;='3.1 Fi&amp;Fo'!$F$38,'3.1 Fi&amp;Fo'!$J$38,IF(AB236&lt;='3.1 Fi&amp;Fo'!$F$39,'3.1 Fi&amp;Fo'!$J$39,IF(AB236&lt;='3.1 Fi&amp;Fo'!$F$40,'3.1 Fi&amp;Fo'!$J$40))))))))</f>
        <v>0</v>
      </c>
      <c r="AH236" s="169">
        <f>IF(AJ235&lt;=1,0,AJ235*IF(AB236&lt;='3.1 Fi&amp;Fo'!$F$34,'3.1 Fi&amp;Fo'!$I$34,IF(AB236&lt;='3.1 Fi&amp;Fo'!$F$35,'3.1 Fi&amp;Fo'!$I$35,IF(AB236&lt;='3.1 Fi&amp;Fo'!$F$36,'3.1 Fi&amp;Fo'!$I$36,IF(AB236&lt;='3.1 Fi&amp;Fo'!$F$37,'3.1 Fi&amp;Fo'!$I$37,IF(AB236&lt;='3.1 Fi&amp;Fo'!$F$40,'3.1 Fi&amp;Fo'!$I$40))))))</f>
        <v>0</v>
      </c>
      <c r="AI236" s="169">
        <f t="shared" ref="AI236:AI253" si="184">AG236-AH236</f>
        <v>0</v>
      </c>
      <c r="AJ236" s="170">
        <f t="shared" ref="AJ236:AJ253" si="185">AJ235-AI236</f>
        <v>0</v>
      </c>
      <c r="AK236" s="312">
        <f t="shared" ref="AK236:AK253" si="186">-AC236-AG236+AL236-AM236</f>
        <v>-157398.5290264388</v>
      </c>
      <c r="AL236" s="169">
        <f>IF(AB236&lt;='3.1 Fi&amp;Fo'!$J$15,'3.1 Fi&amp;Fo'!$I$15,0)</f>
        <v>0</v>
      </c>
      <c r="AM236" s="169">
        <f t="shared" ref="AM236:AM253" si="187">IF(AB236&lt;=$G$154,($AM$203*(1+$D$152)^AB236-$AM$203*(1+$D$152)^AB235),0)</f>
        <v>42011.446496502496</v>
      </c>
      <c r="AN236" s="838">
        <f t="shared" si="146"/>
        <v>33</v>
      </c>
      <c r="AO236" s="844">
        <f t="shared" si="134"/>
        <v>157398.5290264388</v>
      </c>
      <c r="AP236" s="839">
        <f>CU308</f>
        <v>0</v>
      </c>
      <c r="AQ236" s="844">
        <f t="shared" si="135"/>
        <v>0</v>
      </c>
      <c r="AR236" s="839">
        <f t="shared" si="147"/>
        <v>0</v>
      </c>
      <c r="AS236" s="839">
        <f t="shared" ca="1" si="142"/>
        <v>10573.354607965593</v>
      </c>
      <c r="AT236" s="839">
        <f t="shared" si="148"/>
        <v>34855.163005652939</v>
      </c>
      <c r="AU236" s="839">
        <f ca="1">'PV-Einspeisung'!AA52*-1</f>
        <v>0</v>
      </c>
      <c r="AV236" s="839">
        <f>'PV-Einspeisung'!AE52*-1</f>
        <v>0</v>
      </c>
      <c r="AW236" s="839"/>
      <c r="AX236" s="839">
        <f t="shared" si="149"/>
        <v>0</v>
      </c>
      <c r="AY236" s="841">
        <f t="shared" si="136"/>
        <v>33</v>
      </c>
      <c r="AZ236" s="842">
        <f t="shared" si="150"/>
        <v>0</v>
      </c>
      <c r="BA236" s="842">
        <f t="shared" si="151"/>
        <v>0</v>
      </c>
      <c r="BB236" s="842">
        <f t="shared" si="152"/>
        <v>0</v>
      </c>
      <c r="BC236" s="842">
        <f t="shared" si="153"/>
        <v>0</v>
      </c>
      <c r="BD236" s="842">
        <f t="shared" si="154"/>
        <v>0</v>
      </c>
      <c r="BE236" s="842">
        <f t="shared" si="155"/>
        <v>0</v>
      </c>
      <c r="BF236" s="842">
        <f t="shared" si="156"/>
        <v>13465.167573139775</v>
      </c>
      <c r="BG236" s="842">
        <f t="shared" si="157"/>
        <v>21389.995432513166</v>
      </c>
      <c r="BH236" s="858">
        <f t="shared" si="138"/>
        <v>33</v>
      </c>
      <c r="BI236" s="857">
        <f t="shared" ca="1" si="158"/>
        <v>4979.6456858853089</v>
      </c>
      <c r="BJ236" s="857">
        <f t="shared" si="159"/>
        <v>5593.7089220802845</v>
      </c>
      <c r="BK236" s="859">
        <f ca="1">'PV-Einspeisung'!AB52*-1</f>
        <v>0</v>
      </c>
      <c r="BL236" s="824">
        <f t="shared" si="172"/>
        <v>0</v>
      </c>
      <c r="BM236" s="824">
        <f t="shared" si="173"/>
        <v>0</v>
      </c>
      <c r="BN236" s="824">
        <f t="shared" si="174"/>
        <v>0</v>
      </c>
      <c r="BO236" s="824">
        <f t="shared" si="181"/>
        <v>0</v>
      </c>
      <c r="BP236" s="824">
        <f t="shared" si="181"/>
        <v>0</v>
      </c>
      <c r="BQ236" s="824">
        <f t="shared" si="181"/>
        <v>0</v>
      </c>
      <c r="BR236" s="824">
        <f t="shared" si="181"/>
        <v>0</v>
      </c>
      <c r="BS236" s="824">
        <f t="shared" si="181"/>
        <v>0</v>
      </c>
      <c r="BT236" s="824">
        <f t="shared" si="181"/>
        <v>0</v>
      </c>
      <c r="BU236" s="824">
        <f t="shared" si="181"/>
        <v>0</v>
      </c>
      <c r="BV236" s="824">
        <f t="shared" si="181"/>
        <v>0</v>
      </c>
      <c r="BW236" s="824">
        <f t="shared" si="181"/>
        <v>0</v>
      </c>
      <c r="BX236" s="824">
        <f t="shared" si="181"/>
        <v>0</v>
      </c>
      <c r="BY236" s="824">
        <f t="shared" si="181"/>
        <v>0</v>
      </c>
      <c r="BZ236" s="824">
        <f t="shared" si="181"/>
        <v>0</v>
      </c>
      <c r="CA236" s="824">
        <f t="shared" si="181"/>
        <v>0</v>
      </c>
      <c r="CB236" s="824">
        <f t="shared" si="181"/>
        <v>0</v>
      </c>
      <c r="CC236" s="824">
        <f t="shared" si="181"/>
        <v>0</v>
      </c>
      <c r="CD236" s="824">
        <f t="shared" si="181"/>
        <v>0</v>
      </c>
      <c r="CE236" s="824">
        <f t="shared" si="175"/>
        <v>0</v>
      </c>
      <c r="CF236" s="824">
        <f t="shared" si="175"/>
        <v>0</v>
      </c>
      <c r="CG236" s="824">
        <f t="shared" si="175"/>
        <v>0</v>
      </c>
      <c r="CH236" s="824">
        <f t="shared" si="175"/>
        <v>0</v>
      </c>
      <c r="CI236" s="824">
        <f t="shared" si="175"/>
        <v>0</v>
      </c>
      <c r="CJ236" s="824">
        <f t="shared" si="175"/>
        <v>0</v>
      </c>
      <c r="CK236" s="824">
        <f t="shared" si="175"/>
        <v>0</v>
      </c>
      <c r="CL236" s="824">
        <f t="shared" si="175"/>
        <v>0</v>
      </c>
      <c r="CM236" s="824">
        <f t="shared" si="175"/>
        <v>0</v>
      </c>
      <c r="CN236" s="824">
        <f t="shared" si="175"/>
        <v>0</v>
      </c>
      <c r="CO236" s="824">
        <f t="shared" si="175"/>
        <v>0</v>
      </c>
      <c r="CP236" s="824">
        <f t="shared" si="175"/>
        <v>0</v>
      </c>
      <c r="CQ236" s="824">
        <f t="shared" si="175"/>
        <v>0</v>
      </c>
      <c r="CR236" s="824">
        <f t="shared" si="175"/>
        <v>0</v>
      </c>
      <c r="CS236" s="824">
        <f t="shared" si="175"/>
        <v>0</v>
      </c>
      <c r="CT236" s="824">
        <f t="shared" si="166"/>
        <v>0</v>
      </c>
      <c r="CU236" s="824">
        <f t="shared" si="166"/>
        <v>0</v>
      </c>
      <c r="CV236" s="824">
        <f t="shared" si="166"/>
        <v>0</v>
      </c>
      <c r="CW236" s="824">
        <f t="shared" si="166"/>
        <v>0</v>
      </c>
      <c r="CX236" s="824">
        <f t="shared" si="166"/>
        <v>0</v>
      </c>
      <c r="CY236" s="824">
        <f t="shared" si="166"/>
        <v>0</v>
      </c>
      <c r="CZ236" s="824">
        <f t="shared" si="166"/>
        <v>0</v>
      </c>
      <c r="DA236" s="824">
        <f t="shared" si="166"/>
        <v>0</v>
      </c>
      <c r="DB236" s="824">
        <f t="shared" si="166"/>
        <v>0</v>
      </c>
      <c r="DC236" s="824">
        <f t="shared" si="166"/>
        <v>0</v>
      </c>
      <c r="DD236" s="824">
        <f t="shared" si="166"/>
        <v>0</v>
      </c>
      <c r="DE236" s="824">
        <f t="shared" si="166"/>
        <v>0</v>
      </c>
      <c r="DF236" s="824">
        <f t="shared" si="166"/>
        <v>0</v>
      </c>
      <c r="DG236" s="824">
        <f t="shared" si="169"/>
        <v>0</v>
      </c>
      <c r="DH236" s="824">
        <f t="shared" si="169"/>
        <v>0</v>
      </c>
      <c r="DI236" s="824">
        <f t="shared" si="169"/>
        <v>0</v>
      </c>
      <c r="DJ236" s="824">
        <f t="shared" si="169"/>
        <v>0</v>
      </c>
      <c r="DK236" s="824">
        <f t="shared" si="168"/>
        <v>0</v>
      </c>
      <c r="DL236" s="824">
        <f t="shared" si="168"/>
        <v>0</v>
      </c>
    </row>
    <row r="237" spans="2:116" ht="15" customHeight="1" thickBot="1" x14ac:dyDescent="0.3">
      <c r="B237" s="1673"/>
      <c r="C237" s="1680"/>
      <c r="D237" s="15" t="s">
        <v>264</v>
      </c>
      <c r="E237" s="116"/>
      <c r="F237" s="116">
        <f>SUBTOTAL(109,'3.1 I&amp;W'!$X$104)</f>
        <v>0</v>
      </c>
      <c r="G237" s="116">
        <f>SUBTOTAL(109,'3.1 I&amp;W'!$Y$104)</f>
        <v>0</v>
      </c>
      <c r="H237" s="116">
        <f>SUBTOTAL(109,'3.1 I&amp;W'!$AD$104)</f>
        <v>0</v>
      </c>
      <c r="I237" s="116">
        <f>SUBTOTAL(109,'3.1 I&amp;W'!$AE$104)</f>
        <v>0</v>
      </c>
      <c r="J237" s="116"/>
      <c r="K237" s="116"/>
      <c r="L237" s="116"/>
      <c r="M237" s="116">
        <f>SUBTOTAL(109,'3.1 I&amp;W'!$AI$104)</f>
        <v>50</v>
      </c>
      <c r="N237" s="156">
        <f t="shared" si="128"/>
        <v>0</v>
      </c>
      <c r="O237" s="116">
        <f>SUBTOTAL(109,'3.1 I&amp;W'!$S$104)</f>
        <v>141152.4</v>
      </c>
      <c r="P237" s="30">
        <f t="shared" si="176"/>
        <v>0</v>
      </c>
      <c r="Q237" s="31">
        <f t="shared" si="177"/>
        <v>0</v>
      </c>
      <c r="R237" s="31">
        <f t="shared" si="178"/>
        <v>0</v>
      </c>
      <c r="S237" s="31">
        <f t="shared" si="179"/>
        <v>0</v>
      </c>
      <c r="T237" s="32">
        <f t="shared" si="180"/>
        <v>0</v>
      </c>
      <c r="U237" s="37">
        <f t="shared" si="129"/>
        <v>21174.029307581066</v>
      </c>
      <c r="V237" s="40">
        <f t="shared" si="170"/>
        <v>0</v>
      </c>
      <c r="W237" s="41">
        <f t="shared" si="171"/>
        <v>0</v>
      </c>
      <c r="X237" s="43"/>
      <c r="Y237" s="46"/>
      <c r="Z237" s="126"/>
      <c r="AA237" s="136"/>
      <c r="AB237" s="131">
        <v>34</v>
      </c>
      <c r="AC237" s="168">
        <f>IF(AF236&lt;=1,0,'3.1 Fi&amp;Fo'!$I$25)</f>
        <v>115387.08252993631</v>
      </c>
      <c r="AD237" s="169">
        <f>IF(AF236&lt;=1,0,AF236*'3.1 Fi&amp;Fo'!$H$25)</f>
        <v>4480.6210440306386</v>
      </c>
      <c r="AE237" s="169">
        <f t="shared" si="182"/>
        <v>110906.46148590566</v>
      </c>
      <c r="AF237" s="170">
        <f t="shared" si="183"/>
        <v>113124.59071562628</v>
      </c>
      <c r="AG237" s="168">
        <f>IF(AJ236&lt;=1,0,IF(AB237&lt;='3.1 Fi&amp;Fo'!$F$34,'3.1 Fi&amp;Fo'!$J$34,IF(AB237&lt;='3.1 Fi&amp;Fo'!$F$35,'3.1 Fi&amp;Fo'!$J$35,IF(AB237&lt;='3.1 Fi&amp;Fo'!$F$36,'3.1 Fi&amp;Fo'!$J$36,IF(AB237&lt;='3.1 Fi&amp;Fo'!$F$37,'3.1 Fi&amp;Fo'!$J$37,IF(AB237&lt;='3.1 Fi&amp;Fo'!$F$38,'3.1 Fi&amp;Fo'!$J$38,IF(AB237&lt;='3.1 Fi&amp;Fo'!$F$39,'3.1 Fi&amp;Fo'!$J$39,IF(AB237&lt;='3.1 Fi&amp;Fo'!$F$40,'3.1 Fi&amp;Fo'!$J$40))))))))</f>
        <v>0</v>
      </c>
      <c r="AH237" s="169">
        <f>IF(AJ236&lt;=1,0,AJ236*IF(AB237&lt;='3.1 Fi&amp;Fo'!$F$34,'3.1 Fi&amp;Fo'!$I$34,IF(AB237&lt;='3.1 Fi&amp;Fo'!$F$35,'3.1 Fi&amp;Fo'!$I$35,IF(AB237&lt;='3.1 Fi&amp;Fo'!$F$36,'3.1 Fi&amp;Fo'!$I$36,IF(AB237&lt;='3.1 Fi&amp;Fo'!$F$37,'3.1 Fi&amp;Fo'!$I$37,IF(AB237&lt;='3.1 Fi&amp;Fo'!$F$40,'3.1 Fi&amp;Fo'!$I$40))))))</f>
        <v>0</v>
      </c>
      <c r="AI237" s="169">
        <f t="shared" si="184"/>
        <v>0</v>
      </c>
      <c r="AJ237" s="170">
        <f t="shared" si="185"/>
        <v>0</v>
      </c>
      <c r="AK237" s="312">
        <f t="shared" si="186"/>
        <v>-158238.75795636824</v>
      </c>
      <c r="AL237" s="169">
        <f>IF(AB237&lt;='3.1 Fi&amp;Fo'!$J$15,'3.1 Fi&amp;Fo'!$I$15,0)</f>
        <v>0</v>
      </c>
      <c r="AM237" s="169">
        <f t="shared" si="187"/>
        <v>42851.675426431932</v>
      </c>
      <c r="AN237" s="838">
        <f t="shared" si="146"/>
        <v>34</v>
      </c>
      <c r="AO237" s="844">
        <f t="shared" si="134"/>
        <v>158238.75795636824</v>
      </c>
      <c r="AP237" s="839">
        <f>CV308</f>
        <v>0</v>
      </c>
      <c r="AQ237" s="844">
        <f t="shared" si="135"/>
        <v>0</v>
      </c>
      <c r="AR237" s="839">
        <f t="shared" si="147"/>
        <v>0</v>
      </c>
      <c r="AS237" s="839">
        <f t="shared" ca="1" si="142"/>
        <v>10742.528281693043</v>
      </c>
      <c r="AT237" s="839">
        <f t="shared" si="148"/>
        <v>35940.442035119391</v>
      </c>
      <c r="AU237" s="839">
        <f ca="1">'PV-Einspeisung'!AA53*-1</f>
        <v>0</v>
      </c>
      <c r="AV237" s="839">
        <f>'PV-Einspeisung'!AE53*-1</f>
        <v>0</v>
      </c>
      <c r="AW237" s="839"/>
      <c r="AX237" s="839">
        <f t="shared" si="149"/>
        <v>0</v>
      </c>
      <c r="AY237" s="841">
        <f t="shared" si="136"/>
        <v>34</v>
      </c>
      <c r="AZ237" s="842">
        <f t="shared" si="150"/>
        <v>0</v>
      </c>
      <c r="BA237" s="842">
        <f t="shared" si="151"/>
        <v>0</v>
      </c>
      <c r="BB237" s="842">
        <f t="shared" si="152"/>
        <v>0</v>
      </c>
      <c r="BC237" s="842">
        <f t="shared" si="153"/>
        <v>0</v>
      </c>
      <c r="BD237" s="842">
        <f t="shared" si="154"/>
        <v>0</v>
      </c>
      <c r="BE237" s="842">
        <f t="shared" si="155"/>
        <v>0</v>
      </c>
      <c r="BF237" s="842">
        <f t="shared" si="156"/>
        <v>13801.796762468268</v>
      </c>
      <c r="BG237" s="842">
        <f t="shared" si="157"/>
        <v>22138.645272651123</v>
      </c>
      <c r="BH237" s="858">
        <f t="shared" si="138"/>
        <v>34</v>
      </c>
      <c r="BI237" s="857">
        <f t="shared" ca="1" si="158"/>
        <v>5059.320016859474</v>
      </c>
      <c r="BJ237" s="857">
        <f t="shared" si="159"/>
        <v>5683.208264833569</v>
      </c>
      <c r="BK237" s="859">
        <f ca="1">'PV-Einspeisung'!AB53*-1</f>
        <v>0</v>
      </c>
      <c r="BL237" s="824">
        <f t="shared" si="172"/>
        <v>50</v>
      </c>
      <c r="BM237" s="824">
        <f t="shared" si="173"/>
        <v>0</v>
      </c>
      <c r="BN237" s="824">
        <f t="shared" si="174"/>
        <v>141152.4</v>
      </c>
      <c r="BO237" s="824">
        <f t="shared" si="181"/>
        <v>0</v>
      </c>
      <c r="BP237" s="824">
        <f t="shared" si="181"/>
        <v>0</v>
      </c>
      <c r="BQ237" s="824">
        <f t="shared" si="181"/>
        <v>0</v>
      </c>
      <c r="BR237" s="824">
        <f t="shared" si="181"/>
        <v>0</v>
      </c>
      <c r="BS237" s="824">
        <f t="shared" si="181"/>
        <v>0</v>
      </c>
      <c r="BT237" s="824">
        <f t="shared" si="181"/>
        <v>0</v>
      </c>
      <c r="BU237" s="824">
        <f t="shared" si="181"/>
        <v>0</v>
      </c>
      <c r="BV237" s="824">
        <f t="shared" si="181"/>
        <v>0</v>
      </c>
      <c r="BW237" s="824">
        <f t="shared" si="181"/>
        <v>0</v>
      </c>
      <c r="BX237" s="824">
        <f t="shared" si="181"/>
        <v>0</v>
      </c>
      <c r="BY237" s="824">
        <f t="shared" si="181"/>
        <v>0</v>
      </c>
      <c r="BZ237" s="824">
        <f t="shared" si="181"/>
        <v>0</v>
      </c>
      <c r="CA237" s="824">
        <f t="shared" si="181"/>
        <v>0</v>
      </c>
      <c r="CB237" s="824">
        <f t="shared" si="181"/>
        <v>0</v>
      </c>
      <c r="CC237" s="824">
        <f t="shared" si="181"/>
        <v>0</v>
      </c>
      <c r="CD237" s="824">
        <f t="shared" si="181"/>
        <v>0</v>
      </c>
      <c r="CE237" s="824">
        <f t="shared" si="175"/>
        <v>0</v>
      </c>
      <c r="CF237" s="824">
        <f t="shared" si="175"/>
        <v>0</v>
      </c>
      <c r="CG237" s="824">
        <f t="shared" si="175"/>
        <v>0</v>
      </c>
      <c r="CH237" s="824">
        <f t="shared" si="175"/>
        <v>0</v>
      </c>
      <c r="CI237" s="824">
        <f t="shared" si="175"/>
        <v>0</v>
      </c>
      <c r="CJ237" s="824">
        <f t="shared" si="175"/>
        <v>0</v>
      </c>
      <c r="CK237" s="824">
        <f t="shared" si="175"/>
        <v>0</v>
      </c>
      <c r="CL237" s="824">
        <f t="shared" si="175"/>
        <v>0</v>
      </c>
      <c r="CM237" s="824">
        <f t="shared" si="175"/>
        <v>0</v>
      </c>
      <c r="CN237" s="824">
        <f t="shared" si="175"/>
        <v>0</v>
      </c>
      <c r="CO237" s="824">
        <f t="shared" si="175"/>
        <v>0</v>
      </c>
      <c r="CP237" s="824">
        <f t="shared" si="175"/>
        <v>0</v>
      </c>
      <c r="CQ237" s="824">
        <f t="shared" si="175"/>
        <v>0</v>
      </c>
      <c r="CR237" s="824">
        <f t="shared" si="175"/>
        <v>0</v>
      </c>
      <c r="CS237" s="824">
        <f t="shared" si="175"/>
        <v>0</v>
      </c>
      <c r="CT237" s="824">
        <f t="shared" si="166"/>
        <v>0</v>
      </c>
      <c r="CU237" s="824">
        <f t="shared" si="166"/>
        <v>0</v>
      </c>
      <c r="CV237" s="824">
        <f t="shared" si="166"/>
        <v>0</v>
      </c>
      <c r="CW237" s="824">
        <f t="shared" si="166"/>
        <v>0</v>
      </c>
      <c r="CX237" s="824">
        <f t="shared" si="166"/>
        <v>0</v>
      </c>
      <c r="CY237" s="824">
        <f t="shared" si="166"/>
        <v>0</v>
      </c>
      <c r="CZ237" s="824">
        <f t="shared" si="166"/>
        <v>0</v>
      </c>
      <c r="DA237" s="824">
        <f t="shared" si="166"/>
        <v>0</v>
      </c>
      <c r="DB237" s="824">
        <f t="shared" si="166"/>
        <v>0</v>
      </c>
      <c r="DC237" s="824">
        <f t="shared" si="166"/>
        <v>0</v>
      </c>
      <c r="DD237" s="824">
        <f t="shared" si="166"/>
        <v>0</v>
      </c>
      <c r="DE237" s="824">
        <f t="shared" si="166"/>
        <v>0</v>
      </c>
      <c r="DF237" s="824">
        <f t="shared" si="166"/>
        <v>0</v>
      </c>
      <c r="DG237" s="824">
        <f t="shared" si="169"/>
        <v>0</v>
      </c>
      <c r="DH237" s="824">
        <f t="shared" si="169"/>
        <v>0</v>
      </c>
      <c r="DI237" s="824">
        <f t="shared" si="169"/>
        <v>0</v>
      </c>
      <c r="DJ237" s="824">
        <f t="shared" si="169"/>
        <v>0</v>
      </c>
      <c r="DK237" s="824">
        <f t="shared" si="168"/>
        <v>0</v>
      </c>
      <c r="DL237" s="824">
        <f t="shared" si="168"/>
        <v>0</v>
      </c>
    </row>
    <row r="238" spans="2:116" ht="15" customHeight="1" thickBot="1" x14ac:dyDescent="0.3">
      <c r="B238" s="1673"/>
      <c r="C238" s="1680"/>
      <c r="D238" s="15" t="s">
        <v>264</v>
      </c>
      <c r="E238" s="165"/>
      <c r="F238" s="116">
        <f>SUBTOTAL(109,'3.1 I&amp;W'!$X$105)</f>
        <v>0</v>
      </c>
      <c r="G238" s="116">
        <f>SUBTOTAL(109,'3.1 I&amp;W'!$Y$105)</f>
        <v>0</v>
      </c>
      <c r="H238" s="116">
        <f>SUBTOTAL(109,'3.1 I&amp;W'!$AD$105)</f>
        <v>0</v>
      </c>
      <c r="I238" s="116">
        <f>SUBTOTAL(109,'3.1 I&amp;W'!$AE$105)</f>
        <v>0</v>
      </c>
      <c r="J238" s="116"/>
      <c r="K238" s="116"/>
      <c r="L238" s="116"/>
      <c r="M238" s="116">
        <f>SUBTOTAL(109,'3.1 I&amp;W'!$AI$105)</f>
        <v>0</v>
      </c>
      <c r="N238" s="156">
        <f t="shared" si="128"/>
        <v>0</v>
      </c>
      <c r="O238" s="116">
        <f>SUBTOTAL(109,'3.1 I&amp;W'!$S$105)</f>
        <v>0</v>
      </c>
      <c r="P238" s="30">
        <f t="shared" si="176"/>
        <v>0</v>
      </c>
      <c r="Q238" s="31">
        <f t="shared" si="177"/>
        <v>0</v>
      </c>
      <c r="R238" s="31">
        <f t="shared" si="178"/>
        <v>0</v>
      </c>
      <c r="S238" s="31">
        <f t="shared" si="179"/>
        <v>0</v>
      </c>
      <c r="T238" s="32">
        <f t="shared" si="180"/>
        <v>0</v>
      </c>
      <c r="U238" s="37">
        <f t="shared" si="129"/>
        <v>0</v>
      </c>
      <c r="V238" s="40">
        <f t="shared" si="170"/>
        <v>0</v>
      </c>
      <c r="W238" s="41">
        <f t="shared" si="171"/>
        <v>0</v>
      </c>
      <c r="X238" s="43"/>
      <c r="Y238" s="46"/>
      <c r="Z238" s="126"/>
      <c r="AA238" s="136"/>
      <c r="AB238" s="131">
        <v>35</v>
      </c>
      <c r="AC238" s="168">
        <f>IF(AF237&lt;=1,0,'3.1 Fi&amp;Fo'!$I$25)</f>
        <v>115387.08252993631</v>
      </c>
      <c r="AD238" s="169">
        <f>IF(AF237&lt;=1,0,AF237*'3.1 Fi&amp;Fo'!$H$25)</f>
        <v>2262.4918143125255</v>
      </c>
      <c r="AE238" s="169">
        <f t="shared" si="182"/>
        <v>113124.59071562378</v>
      </c>
      <c r="AF238" s="170">
        <f t="shared" si="183"/>
        <v>2.5029294192790985E-9</v>
      </c>
      <c r="AG238" s="168">
        <f>IF(AJ237&lt;=1,0,IF(AB238&lt;='3.1 Fi&amp;Fo'!$F$34,'3.1 Fi&amp;Fo'!$J$34,IF(AB238&lt;='3.1 Fi&amp;Fo'!$F$35,'3.1 Fi&amp;Fo'!$J$35,IF(AB238&lt;='3.1 Fi&amp;Fo'!$F$36,'3.1 Fi&amp;Fo'!$J$36,IF(AB238&lt;='3.1 Fi&amp;Fo'!$F$37,'3.1 Fi&amp;Fo'!$J$37,IF(AB238&lt;='3.1 Fi&amp;Fo'!$F$38,'3.1 Fi&amp;Fo'!$J$38,IF(AB238&lt;='3.1 Fi&amp;Fo'!$F$39,'3.1 Fi&amp;Fo'!$J$39,IF(AB238&lt;='3.1 Fi&amp;Fo'!$F$40,'3.1 Fi&amp;Fo'!$J$40))))))))</f>
        <v>0</v>
      </c>
      <c r="AH238" s="169">
        <f>IF(AJ237&lt;=1,0,AJ237*IF(AB238&lt;='3.1 Fi&amp;Fo'!$F$34,'3.1 Fi&amp;Fo'!$I$34,IF(AB238&lt;='3.1 Fi&amp;Fo'!$F$35,'3.1 Fi&amp;Fo'!$I$35,IF(AB238&lt;='3.1 Fi&amp;Fo'!$F$36,'3.1 Fi&amp;Fo'!$I$36,IF(AB238&lt;='3.1 Fi&amp;Fo'!$F$37,'3.1 Fi&amp;Fo'!$I$37,IF(AB238&lt;='3.1 Fi&amp;Fo'!$F$40,'3.1 Fi&amp;Fo'!$I$40))))))</f>
        <v>0</v>
      </c>
      <c r="AI238" s="169">
        <f t="shared" si="184"/>
        <v>0</v>
      </c>
      <c r="AJ238" s="170">
        <f t="shared" si="185"/>
        <v>0</v>
      </c>
      <c r="AK238" s="312">
        <f t="shared" si="186"/>
        <v>-159095.79146489719</v>
      </c>
      <c r="AL238" s="169">
        <f>IF(AB238&lt;='3.1 Fi&amp;Fo'!$J$15,'3.1 Fi&amp;Fo'!$I$15,0)</f>
        <v>0</v>
      </c>
      <c r="AM238" s="169">
        <f t="shared" si="187"/>
        <v>43708.708934960887</v>
      </c>
      <c r="AN238" s="838">
        <f t="shared" si="146"/>
        <v>35</v>
      </c>
      <c r="AO238" s="844">
        <f t="shared" si="134"/>
        <v>159095.79146489719</v>
      </c>
      <c r="AP238" s="839">
        <f>CW308</f>
        <v>0</v>
      </c>
      <c r="AQ238" s="844">
        <f t="shared" si="135"/>
        <v>-1686174.493947773</v>
      </c>
      <c r="AR238" s="839">
        <f t="shared" si="147"/>
        <v>0</v>
      </c>
      <c r="AS238" s="839">
        <f t="shared" ca="1" si="142"/>
        <v>10914.408734200133</v>
      </c>
      <c r="AT238" s="839">
        <f t="shared" si="148"/>
        <v>37060.339538723885</v>
      </c>
      <c r="AU238" s="839">
        <f ca="1">'PV-Einspeisung'!AA54*-1</f>
        <v>0</v>
      </c>
      <c r="AV238" s="839">
        <f>'PV-Einspeisung'!AE54*-1</f>
        <v>0</v>
      </c>
      <c r="AW238" s="839"/>
      <c r="AX238" s="839">
        <f t="shared" si="149"/>
        <v>0</v>
      </c>
      <c r="AY238" s="841">
        <f t="shared" si="136"/>
        <v>35</v>
      </c>
      <c r="AZ238" s="842">
        <f t="shared" si="150"/>
        <v>0</v>
      </c>
      <c r="BA238" s="842">
        <f t="shared" si="151"/>
        <v>0</v>
      </c>
      <c r="BB238" s="842">
        <f t="shared" si="152"/>
        <v>0</v>
      </c>
      <c r="BC238" s="842">
        <f t="shared" si="153"/>
        <v>0</v>
      </c>
      <c r="BD238" s="842">
        <f t="shared" si="154"/>
        <v>0</v>
      </c>
      <c r="BE238" s="842">
        <f t="shared" si="155"/>
        <v>0</v>
      </c>
      <c r="BF238" s="842">
        <f t="shared" si="156"/>
        <v>14146.841681529973</v>
      </c>
      <c r="BG238" s="842">
        <f t="shared" si="157"/>
        <v>22913.49785719391</v>
      </c>
      <c r="BH238" s="858">
        <f t="shared" si="138"/>
        <v>35</v>
      </c>
      <c r="BI238" s="857">
        <f t="shared" ca="1" si="158"/>
        <v>5140.2691371292258</v>
      </c>
      <c r="BJ238" s="857">
        <f t="shared" si="159"/>
        <v>5774.1395970709063</v>
      </c>
      <c r="BK238" s="859">
        <f ca="1">'PV-Einspeisung'!AB54*-1</f>
        <v>0</v>
      </c>
      <c r="BL238" s="824">
        <f t="shared" si="172"/>
        <v>0</v>
      </c>
      <c r="BM238" s="824">
        <f t="shared" si="173"/>
        <v>0</v>
      </c>
      <c r="BN238" s="824">
        <f t="shared" si="174"/>
        <v>0</v>
      </c>
      <c r="BO238" s="824">
        <f t="shared" si="181"/>
        <v>0</v>
      </c>
      <c r="BP238" s="824">
        <f t="shared" si="181"/>
        <v>0</v>
      </c>
      <c r="BQ238" s="824">
        <f t="shared" si="181"/>
        <v>0</v>
      </c>
      <c r="BR238" s="824">
        <f t="shared" si="181"/>
        <v>0</v>
      </c>
      <c r="BS238" s="824">
        <f t="shared" si="181"/>
        <v>0</v>
      </c>
      <c r="BT238" s="824">
        <f t="shared" si="181"/>
        <v>0</v>
      </c>
      <c r="BU238" s="824">
        <f t="shared" si="181"/>
        <v>0</v>
      </c>
      <c r="BV238" s="824">
        <f t="shared" si="181"/>
        <v>0</v>
      </c>
      <c r="BW238" s="824">
        <f t="shared" si="181"/>
        <v>0</v>
      </c>
      <c r="BX238" s="824">
        <f t="shared" si="181"/>
        <v>0</v>
      </c>
      <c r="BY238" s="824">
        <f t="shared" si="181"/>
        <v>0</v>
      </c>
      <c r="BZ238" s="824">
        <f t="shared" si="181"/>
        <v>0</v>
      </c>
      <c r="CA238" s="824">
        <f t="shared" si="181"/>
        <v>0</v>
      </c>
      <c r="CB238" s="824">
        <f t="shared" si="181"/>
        <v>0</v>
      </c>
      <c r="CC238" s="824">
        <f t="shared" si="181"/>
        <v>0</v>
      </c>
      <c r="CD238" s="824">
        <f t="shared" si="181"/>
        <v>0</v>
      </c>
      <c r="CE238" s="824">
        <f t="shared" si="175"/>
        <v>0</v>
      </c>
      <c r="CF238" s="824">
        <f t="shared" si="175"/>
        <v>0</v>
      </c>
      <c r="CG238" s="824">
        <f t="shared" si="175"/>
        <v>0</v>
      </c>
      <c r="CH238" s="824">
        <f t="shared" si="175"/>
        <v>0</v>
      </c>
      <c r="CI238" s="824">
        <f t="shared" si="175"/>
        <v>0</v>
      </c>
      <c r="CJ238" s="824">
        <f t="shared" si="175"/>
        <v>0</v>
      </c>
      <c r="CK238" s="824">
        <f t="shared" si="175"/>
        <v>0</v>
      </c>
      <c r="CL238" s="824">
        <f t="shared" si="175"/>
        <v>0</v>
      </c>
      <c r="CM238" s="824">
        <f t="shared" si="175"/>
        <v>0</v>
      </c>
      <c r="CN238" s="824">
        <f t="shared" si="175"/>
        <v>0</v>
      </c>
      <c r="CO238" s="824">
        <f t="shared" si="175"/>
        <v>0</v>
      </c>
      <c r="CP238" s="824">
        <f t="shared" si="175"/>
        <v>0</v>
      </c>
      <c r="CQ238" s="824">
        <f t="shared" si="175"/>
        <v>0</v>
      </c>
      <c r="CR238" s="824">
        <f t="shared" si="175"/>
        <v>0</v>
      </c>
      <c r="CS238" s="824">
        <f t="shared" si="175"/>
        <v>0</v>
      </c>
      <c r="CT238" s="824">
        <f t="shared" si="166"/>
        <v>0</v>
      </c>
      <c r="CU238" s="824">
        <f t="shared" si="166"/>
        <v>0</v>
      </c>
      <c r="CV238" s="824">
        <f t="shared" si="166"/>
        <v>0</v>
      </c>
      <c r="CW238" s="824">
        <f t="shared" si="166"/>
        <v>0</v>
      </c>
      <c r="CX238" s="824">
        <f t="shared" si="166"/>
        <v>0</v>
      </c>
      <c r="CY238" s="824">
        <f t="shared" si="166"/>
        <v>0</v>
      </c>
      <c r="CZ238" s="824">
        <f t="shared" si="166"/>
        <v>0</v>
      </c>
      <c r="DA238" s="824">
        <f t="shared" si="166"/>
        <v>0</v>
      </c>
      <c r="DB238" s="824">
        <f t="shared" si="166"/>
        <v>0</v>
      </c>
      <c r="DC238" s="824">
        <f t="shared" si="166"/>
        <v>0</v>
      </c>
      <c r="DD238" s="824">
        <f t="shared" si="166"/>
        <v>0</v>
      </c>
      <c r="DE238" s="824">
        <f t="shared" si="166"/>
        <v>0</v>
      </c>
      <c r="DF238" s="824">
        <f t="shared" si="166"/>
        <v>0</v>
      </c>
      <c r="DG238" s="824">
        <f t="shared" si="169"/>
        <v>0</v>
      </c>
      <c r="DH238" s="824">
        <f t="shared" si="169"/>
        <v>0</v>
      </c>
      <c r="DI238" s="824">
        <f t="shared" si="169"/>
        <v>0</v>
      </c>
      <c r="DJ238" s="824">
        <f t="shared" si="169"/>
        <v>0</v>
      </c>
      <c r="DK238" s="824">
        <f t="shared" si="168"/>
        <v>0</v>
      </c>
      <c r="DL238" s="824">
        <f t="shared" si="168"/>
        <v>0</v>
      </c>
    </row>
    <row r="239" spans="2:116" ht="15" customHeight="1" thickBot="1" x14ac:dyDescent="0.3">
      <c r="B239" s="1673"/>
      <c r="C239" s="1680"/>
      <c r="D239" s="15" t="s">
        <v>264</v>
      </c>
      <c r="E239" s="116"/>
      <c r="F239" s="116">
        <f>SUBTOTAL(109,'3.1 I&amp;W'!$X$106)</f>
        <v>0</v>
      </c>
      <c r="G239" s="116">
        <f>SUBTOTAL(109,'3.1 I&amp;W'!$Y$106)</f>
        <v>0</v>
      </c>
      <c r="H239" s="116">
        <f>SUBTOTAL(109,'3.1 I&amp;W'!$AD$106)</f>
        <v>0</v>
      </c>
      <c r="I239" s="116">
        <f>SUBTOTAL(109,'3.1 I&amp;W'!$AE$106)</f>
        <v>0</v>
      </c>
      <c r="J239" s="116"/>
      <c r="K239" s="116"/>
      <c r="L239" s="116"/>
      <c r="M239" s="116">
        <f>SUBTOTAL(109,'3.1 I&amp;W'!$AI$106)</f>
        <v>0</v>
      </c>
      <c r="N239" s="156">
        <f t="shared" si="128"/>
        <v>0</v>
      </c>
      <c r="O239" s="116">
        <f>SUBTOTAL(109,'3.1 I&amp;W'!$S$106)</f>
        <v>0</v>
      </c>
      <c r="P239" s="30">
        <f t="shared" si="176"/>
        <v>0</v>
      </c>
      <c r="Q239" s="31">
        <f t="shared" si="177"/>
        <v>0</v>
      </c>
      <c r="R239" s="31">
        <f t="shared" si="178"/>
        <v>0</v>
      </c>
      <c r="S239" s="31">
        <f t="shared" si="179"/>
        <v>0</v>
      </c>
      <c r="T239" s="32">
        <f t="shared" si="180"/>
        <v>0</v>
      </c>
      <c r="U239" s="37">
        <f t="shared" si="129"/>
        <v>0</v>
      </c>
      <c r="V239" s="40">
        <f t="shared" si="170"/>
        <v>0</v>
      </c>
      <c r="W239" s="41">
        <f t="shared" si="171"/>
        <v>0</v>
      </c>
      <c r="X239" s="43"/>
      <c r="Y239" s="46"/>
      <c r="Z239" s="126"/>
      <c r="AA239" s="136"/>
      <c r="AB239" s="131">
        <v>36</v>
      </c>
      <c r="AC239" s="168">
        <f>IF(AF238&lt;=1,0,'3.1 Fi&amp;Fo'!$I$25)</f>
        <v>0</v>
      </c>
      <c r="AD239" s="169">
        <f>IF(AF238&lt;=1,0,AF238*'3.1 Fi&amp;Fo'!$H$25)</f>
        <v>0</v>
      </c>
      <c r="AE239" s="169">
        <f t="shared" si="182"/>
        <v>0</v>
      </c>
      <c r="AF239" s="170">
        <f t="shared" si="183"/>
        <v>2.5029294192790985E-9</v>
      </c>
      <c r="AG239" s="168">
        <f>IF(AJ238&lt;=1,0,IF(AB239&lt;='3.1 Fi&amp;Fo'!$F$34,'3.1 Fi&amp;Fo'!$J$34,IF(AB239&lt;='3.1 Fi&amp;Fo'!$F$35,'3.1 Fi&amp;Fo'!$J$35,IF(AB239&lt;='3.1 Fi&amp;Fo'!$F$36,'3.1 Fi&amp;Fo'!$J$36,IF(AB239&lt;='3.1 Fi&amp;Fo'!$F$37,'3.1 Fi&amp;Fo'!$J$37,IF(AB239&lt;='3.1 Fi&amp;Fo'!$F$38,'3.1 Fi&amp;Fo'!$J$38,IF(AB239&lt;='3.1 Fi&amp;Fo'!$F$39,'3.1 Fi&amp;Fo'!$J$39,IF(AB239&lt;='3.1 Fi&amp;Fo'!$F$40,'3.1 Fi&amp;Fo'!$J$40))))))))</f>
        <v>0</v>
      </c>
      <c r="AH239" s="169">
        <f>IF(AJ238&lt;=1,0,AJ238*IF(AB239&lt;='3.1 Fi&amp;Fo'!$F$34,'3.1 Fi&amp;Fo'!$I$34,IF(AB239&lt;='3.1 Fi&amp;Fo'!$F$35,'3.1 Fi&amp;Fo'!$I$35,IF(AB239&lt;='3.1 Fi&amp;Fo'!$F$36,'3.1 Fi&amp;Fo'!$I$36,IF(AB239&lt;='3.1 Fi&amp;Fo'!$F$37,'3.1 Fi&amp;Fo'!$I$37,IF(AB239&lt;='3.1 Fi&amp;Fo'!$F$40,'3.1 Fi&amp;Fo'!$I$40))))))</f>
        <v>0</v>
      </c>
      <c r="AI239" s="169">
        <f t="shared" si="184"/>
        <v>0</v>
      </c>
      <c r="AJ239" s="170">
        <f t="shared" si="185"/>
        <v>0</v>
      </c>
      <c r="AK239" s="312">
        <f t="shared" si="186"/>
        <v>0</v>
      </c>
      <c r="AL239" s="169">
        <f>IF(AB239&lt;='3.1 Fi&amp;Fo'!$J$15,'3.1 Fi&amp;Fo'!$I$15,0)</f>
        <v>0</v>
      </c>
      <c r="AM239" s="169">
        <f t="shared" si="187"/>
        <v>0</v>
      </c>
      <c r="AN239" s="838" t="str">
        <f t="shared" si="146"/>
        <v/>
      </c>
      <c r="AO239" s="844">
        <f t="shared" si="134"/>
        <v>0</v>
      </c>
      <c r="AP239" s="839">
        <f>CX308</f>
        <v>0</v>
      </c>
      <c r="AQ239" s="844">
        <f t="shared" si="135"/>
        <v>0</v>
      </c>
      <c r="AR239" s="839" t="str">
        <f t="shared" si="147"/>
        <v/>
      </c>
      <c r="AS239" s="839">
        <f t="shared" si="142"/>
        <v>0</v>
      </c>
      <c r="AT239" s="839">
        <f t="shared" si="148"/>
        <v>0</v>
      </c>
      <c r="AU239" s="839">
        <f>'PV-Einspeisung'!AA55*-1</f>
        <v>0</v>
      </c>
      <c r="AV239" s="839">
        <f>'PV-Einspeisung'!AE55*-1</f>
        <v>0</v>
      </c>
      <c r="AW239" s="839"/>
      <c r="AX239" s="839" t="str">
        <f t="shared" si="149"/>
        <v/>
      </c>
      <c r="AY239" s="841" t="str">
        <f t="shared" si="136"/>
        <v/>
      </c>
      <c r="AZ239" s="842" t="str">
        <f t="shared" si="150"/>
        <v/>
      </c>
      <c r="BA239" s="842" t="str">
        <f t="shared" si="151"/>
        <v/>
      </c>
      <c r="BB239" s="842" t="str">
        <f t="shared" si="152"/>
        <v/>
      </c>
      <c r="BC239" s="842" t="str">
        <f t="shared" si="153"/>
        <v/>
      </c>
      <c r="BD239" s="842" t="str">
        <f t="shared" si="154"/>
        <v/>
      </c>
      <c r="BE239" s="842" t="str">
        <f t="shared" si="155"/>
        <v/>
      </c>
      <c r="BF239" s="842" t="str">
        <f t="shared" si="156"/>
        <v/>
      </c>
      <c r="BG239" s="842" t="str">
        <f t="shared" si="157"/>
        <v/>
      </c>
      <c r="BH239" s="858" t="str">
        <f t="shared" si="138"/>
        <v/>
      </c>
      <c r="BI239" s="857" t="str">
        <f t="shared" si="158"/>
        <v/>
      </c>
      <c r="BJ239" s="857" t="str">
        <f t="shared" si="159"/>
        <v/>
      </c>
      <c r="BK239" s="859">
        <f>'PV-Einspeisung'!AB55*-1</f>
        <v>0</v>
      </c>
      <c r="BL239" s="824">
        <f t="shared" si="172"/>
        <v>0</v>
      </c>
      <c r="BM239" s="824">
        <f t="shared" si="173"/>
        <v>0</v>
      </c>
      <c r="BN239" s="824">
        <f t="shared" si="174"/>
        <v>0</v>
      </c>
      <c r="BO239" s="824">
        <f t="shared" si="181"/>
        <v>0</v>
      </c>
      <c r="BP239" s="824">
        <f t="shared" si="181"/>
        <v>0</v>
      </c>
      <c r="BQ239" s="824">
        <f t="shared" si="181"/>
        <v>0</v>
      </c>
      <c r="BR239" s="824">
        <f t="shared" si="181"/>
        <v>0</v>
      </c>
      <c r="BS239" s="824">
        <f t="shared" si="181"/>
        <v>0</v>
      </c>
      <c r="BT239" s="824">
        <f t="shared" si="181"/>
        <v>0</v>
      </c>
      <c r="BU239" s="824">
        <f t="shared" si="181"/>
        <v>0</v>
      </c>
      <c r="BV239" s="824">
        <f t="shared" si="181"/>
        <v>0</v>
      </c>
      <c r="BW239" s="824">
        <f t="shared" si="181"/>
        <v>0</v>
      </c>
      <c r="BX239" s="824">
        <f t="shared" si="181"/>
        <v>0</v>
      </c>
      <c r="BY239" s="824">
        <f t="shared" si="181"/>
        <v>0</v>
      </c>
      <c r="BZ239" s="824">
        <f t="shared" si="181"/>
        <v>0</v>
      </c>
      <c r="CA239" s="824">
        <f t="shared" si="181"/>
        <v>0</v>
      </c>
      <c r="CB239" s="824">
        <f t="shared" si="181"/>
        <v>0</v>
      </c>
      <c r="CC239" s="824">
        <f t="shared" si="181"/>
        <v>0</v>
      </c>
      <c r="CD239" s="824">
        <f t="shared" si="181"/>
        <v>0</v>
      </c>
      <c r="CE239" s="824">
        <f t="shared" si="175"/>
        <v>0</v>
      </c>
      <c r="CF239" s="824">
        <f t="shared" si="175"/>
        <v>0</v>
      </c>
      <c r="CG239" s="824">
        <f t="shared" si="175"/>
        <v>0</v>
      </c>
      <c r="CH239" s="824">
        <f t="shared" si="175"/>
        <v>0</v>
      </c>
      <c r="CI239" s="824">
        <f t="shared" si="175"/>
        <v>0</v>
      </c>
      <c r="CJ239" s="824">
        <f t="shared" si="175"/>
        <v>0</v>
      </c>
      <c r="CK239" s="824">
        <f t="shared" si="175"/>
        <v>0</v>
      </c>
      <c r="CL239" s="824">
        <f t="shared" si="175"/>
        <v>0</v>
      </c>
      <c r="CM239" s="824">
        <f t="shared" si="175"/>
        <v>0</v>
      </c>
      <c r="CN239" s="824">
        <f t="shared" si="175"/>
        <v>0</v>
      </c>
      <c r="CO239" s="824">
        <f t="shared" si="175"/>
        <v>0</v>
      </c>
      <c r="CP239" s="824">
        <f t="shared" si="175"/>
        <v>0</v>
      </c>
      <c r="CQ239" s="824">
        <f t="shared" si="175"/>
        <v>0</v>
      </c>
      <c r="CR239" s="824">
        <f t="shared" si="175"/>
        <v>0</v>
      </c>
      <c r="CS239" s="824">
        <f t="shared" si="175"/>
        <v>0</v>
      </c>
      <c r="CT239" s="824">
        <f t="shared" si="166"/>
        <v>0</v>
      </c>
      <c r="CU239" s="824">
        <f t="shared" si="166"/>
        <v>0</v>
      </c>
      <c r="CV239" s="824">
        <f t="shared" si="166"/>
        <v>0</v>
      </c>
      <c r="CW239" s="824">
        <f t="shared" si="166"/>
        <v>0</v>
      </c>
      <c r="CX239" s="824">
        <f t="shared" si="166"/>
        <v>0</v>
      </c>
      <c r="CY239" s="824">
        <f t="shared" si="166"/>
        <v>0</v>
      </c>
      <c r="CZ239" s="824">
        <f t="shared" si="166"/>
        <v>0</v>
      </c>
      <c r="DA239" s="824">
        <f t="shared" si="166"/>
        <v>0</v>
      </c>
      <c r="DB239" s="824">
        <f t="shared" si="166"/>
        <v>0</v>
      </c>
      <c r="DC239" s="824">
        <f t="shared" si="166"/>
        <v>0</v>
      </c>
      <c r="DD239" s="824">
        <f t="shared" si="166"/>
        <v>0</v>
      </c>
      <c r="DE239" s="824">
        <f t="shared" si="166"/>
        <v>0</v>
      </c>
      <c r="DF239" s="824">
        <f t="shared" si="166"/>
        <v>0</v>
      </c>
      <c r="DG239" s="824">
        <f t="shared" si="169"/>
        <v>0</v>
      </c>
      <c r="DH239" s="824">
        <f t="shared" si="169"/>
        <v>0</v>
      </c>
      <c r="DI239" s="824">
        <f t="shared" si="169"/>
        <v>0</v>
      </c>
      <c r="DJ239" s="824">
        <f t="shared" si="169"/>
        <v>0</v>
      </c>
      <c r="DK239" s="824">
        <f t="shared" si="168"/>
        <v>0</v>
      </c>
      <c r="DL239" s="824">
        <f t="shared" si="168"/>
        <v>0</v>
      </c>
    </row>
    <row r="240" spans="2:116" ht="15" customHeight="1" thickBot="1" x14ac:dyDescent="0.3">
      <c r="B240" s="1673"/>
      <c r="C240" s="1680"/>
      <c r="D240" s="15" t="s">
        <v>264</v>
      </c>
      <c r="E240" s="165"/>
      <c r="F240" s="116">
        <f>SUBTOTAL(109,'3.1 I&amp;W'!$X$107)</f>
        <v>0</v>
      </c>
      <c r="G240" s="116">
        <f>SUBTOTAL(109,'3.1 I&amp;W'!$Y$107)</f>
        <v>0</v>
      </c>
      <c r="H240" s="116">
        <f>SUBTOTAL(109,'3.1 I&amp;W'!$AD$107)</f>
        <v>0</v>
      </c>
      <c r="I240" s="116">
        <f>SUBTOTAL(109,'3.1 I&amp;W'!$AE$107)</f>
        <v>0</v>
      </c>
      <c r="J240" s="116"/>
      <c r="K240" s="116"/>
      <c r="L240" s="116"/>
      <c r="M240" s="116">
        <f>SUBTOTAL(109,'3.1 I&amp;W'!$AI$107)</f>
        <v>0</v>
      </c>
      <c r="N240" s="156">
        <f t="shared" si="128"/>
        <v>0</v>
      </c>
      <c r="O240" s="116">
        <f>SUBTOTAL(109,'3.1 I&amp;W'!$S$107)</f>
        <v>0</v>
      </c>
      <c r="P240" s="30">
        <f t="shared" si="176"/>
        <v>0</v>
      </c>
      <c r="Q240" s="31">
        <f t="shared" si="177"/>
        <v>0</v>
      </c>
      <c r="R240" s="31">
        <f t="shared" si="178"/>
        <v>0</v>
      </c>
      <c r="S240" s="31">
        <f t="shared" si="179"/>
        <v>0</v>
      </c>
      <c r="T240" s="32">
        <f t="shared" si="180"/>
        <v>0</v>
      </c>
      <c r="U240" s="37">
        <f t="shared" si="129"/>
        <v>0</v>
      </c>
      <c r="V240" s="40">
        <f t="shared" si="170"/>
        <v>0</v>
      </c>
      <c r="W240" s="41">
        <f t="shared" si="171"/>
        <v>0</v>
      </c>
      <c r="X240" s="43"/>
      <c r="Y240" s="46"/>
      <c r="Z240" s="126"/>
      <c r="AA240" s="136"/>
      <c r="AB240" s="131">
        <v>37</v>
      </c>
      <c r="AC240" s="168">
        <f>IF(AF239&lt;=1,0,'3.1 Fi&amp;Fo'!$I$25)</f>
        <v>0</v>
      </c>
      <c r="AD240" s="169">
        <f>IF(AF239&lt;=1,0,AF239*'3.1 Fi&amp;Fo'!$H$25)</f>
        <v>0</v>
      </c>
      <c r="AE240" s="169">
        <f t="shared" si="182"/>
        <v>0</v>
      </c>
      <c r="AF240" s="170">
        <f t="shared" si="183"/>
        <v>2.5029294192790985E-9</v>
      </c>
      <c r="AG240" s="168">
        <f>IF(AJ239&lt;=1,0,IF(AB240&lt;='3.1 Fi&amp;Fo'!$F$34,'3.1 Fi&amp;Fo'!$J$34,IF(AB240&lt;='3.1 Fi&amp;Fo'!$F$35,'3.1 Fi&amp;Fo'!$J$35,IF(AB240&lt;='3.1 Fi&amp;Fo'!$F$36,'3.1 Fi&amp;Fo'!$J$36,IF(AB240&lt;='3.1 Fi&amp;Fo'!$F$37,'3.1 Fi&amp;Fo'!$J$37,IF(AB240&lt;='3.1 Fi&amp;Fo'!$F$38,'3.1 Fi&amp;Fo'!$J$38,IF(AB240&lt;='3.1 Fi&amp;Fo'!$F$39,'3.1 Fi&amp;Fo'!$J$39,IF(AB240&lt;='3.1 Fi&amp;Fo'!$F$40,'3.1 Fi&amp;Fo'!$J$40))))))))</f>
        <v>0</v>
      </c>
      <c r="AH240" s="169">
        <f>IF(AJ239&lt;=1,0,AJ239*IF(AB240&lt;='3.1 Fi&amp;Fo'!$F$34,'3.1 Fi&amp;Fo'!$I$34,IF(AB240&lt;='3.1 Fi&amp;Fo'!$F$35,'3.1 Fi&amp;Fo'!$I$35,IF(AB240&lt;='3.1 Fi&amp;Fo'!$F$36,'3.1 Fi&amp;Fo'!$I$36,IF(AB240&lt;='3.1 Fi&amp;Fo'!$F$37,'3.1 Fi&amp;Fo'!$I$37,IF(AB240&lt;='3.1 Fi&amp;Fo'!$F$40,'3.1 Fi&amp;Fo'!$I$40))))))</f>
        <v>0</v>
      </c>
      <c r="AI240" s="169">
        <f t="shared" si="184"/>
        <v>0</v>
      </c>
      <c r="AJ240" s="170">
        <f t="shared" si="185"/>
        <v>0</v>
      </c>
      <c r="AK240" s="312">
        <f t="shared" si="186"/>
        <v>0</v>
      </c>
      <c r="AL240" s="169">
        <f>IF(AB240&lt;='3.1 Fi&amp;Fo'!$J$15,'3.1 Fi&amp;Fo'!$I$15,0)</f>
        <v>0</v>
      </c>
      <c r="AM240" s="169">
        <f t="shared" si="187"/>
        <v>0</v>
      </c>
      <c r="AN240" s="838" t="str">
        <f t="shared" si="146"/>
        <v/>
      </c>
      <c r="AO240" s="844">
        <f t="shared" si="134"/>
        <v>0</v>
      </c>
      <c r="AP240" s="839">
        <f>CY308</f>
        <v>0</v>
      </c>
      <c r="AQ240" s="844">
        <f t="shared" si="135"/>
        <v>0</v>
      </c>
      <c r="AR240" s="839" t="str">
        <f t="shared" si="147"/>
        <v/>
      </c>
      <c r="AS240" s="839">
        <f t="shared" si="142"/>
        <v>0</v>
      </c>
      <c r="AT240" s="839">
        <f t="shared" si="148"/>
        <v>0</v>
      </c>
      <c r="AU240" s="839">
        <f>'PV-Einspeisung'!AA56*-1</f>
        <v>0</v>
      </c>
      <c r="AV240" s="839">
        <f>'PV-Einspeisung'!AE56*-1</f>
        <v>0</v>
      </c>
      <c r="AW240" s="839"/>
      <c r="AX240" s="839" t="str">
        <f t="shared" si="149"/>
        <v/>
      </c>
      <c r="AY240" s="841" t="str">
        <f t="shared" si="136"/>
        <v/>
      </c>
      <c r="AZ240" s="842" t="str">
        <f t="shared" si="150"/>
        <v/>
      </c>
      <c r="BA240" s="842" t="str">
        <f t="shared" si="151"/>
        <v/>
      </c>
      <c r="BB240" s="842" t="str">
        <f t="shared" si="152"/>
        <v/>
      </c>
      <c r="BC240" s="842" t="str">
        <f t="shared" si="153"/>
        <v/>
      </c>
      <c r="BD240" s="842" t="str">
        <f t="shared" si="154"/>
        <v/>
      </c>
      <c r="BE240" s="842" t="str">
        <f t="shared" si="155"/>
        <v/>
      </c>
      <c r="BF240" s="842" t="str">
        <f t="shared" si="156"/>
        <v/>
      </c>
      <c r="BG240" s="842" t="str">
        <f t="shared" si="157"/>
        <v/>
      </c>
      <c r="BH240" s="858" t="str">
        <f t="shared" si="138"/>
        <v/>
      </c>
      <c r="BI240" s="857" t="str">
        <f t="shared" si="158"/>
        <v/>
      </c>
      <c r="BJ240" s="857" t="str">
        <f t="shared" si="159"/>
        <v/>
      </c>
      <c r="BK240" s="859">
        <f>'PV-Einspeisung'!AB56*-1</f>
        <v>0</v>
      </c>
      <c r="BL240" s="824">
        <f t="shared" si="172"/>
        <v>0</v>
      </c>
      <c r="BM240" s="824">
        <f t="shared" si="173"/>
        <v>0</v>
      </c>
      <c r="BN240" s="824">
        <f t="shared" si="174"/>
        <v>0</v>
      </c>
      <c r="BO240" s="824">
        <f t="shared" si="181"/>
        <v>0</v>
      </c>
      <c r="BP240" s="824">
        <f t="shared" si="181"/>
        <v>0</v>
      </c>
      <c r="BQ240" s="824">
        <f t="shared" si="181"/>
        <v>0</v>
      </c>
      <c r="BR240" s="824">
        <f t="shared" si="181"/>
        <v>0</v>
      </c>
      <c r="BS240" s="824">
        <f t="shared" si="181"/>
        <v>0</v>
      </c>
      <c r="BT240" s="824">
        <f t="shared" si="181"/>
        <v>0</v>
      </c>
      <c r="BU240" s="824">
        <f t="shared" si="181"/>
        <v>0</v>
      </c>
      <c r="BV240" s="824">
        <f t="shared" si="181"/>
        <v>0</v>
      </c>
      <c r="BW240" s="824">
        <f t="shared" si="181"/>
        <v>0</v>
      </c>
      <c r="BX240" s="824">
        <f t="shared" si="181"/>
        <v>0</v>
      </c>
      <c r="BY240" s="824">
        <f t="shared" si="181"/>
        <v>0</v>
      </c>
      <c r="BZ240" s="824">
        <f t="shared" si="181"/>
        <v>0</v>
      </c>
      <c r="CA240" s="824">
        <f t="shared" si="181"/>
        <v>0</v>
      </c>
      <c r="CB240" s="824">
        <f t="shared" si="181"/>
        <v>0</v>
      </c>
      <c r="CC240" s="824">
        <f t="shared" si="181"/>
        <v>0</v>
      </c>
      <c r="CD240" s="824">
        <f t="shared" si="181"/>
        <v>0</v>
      </c>
      <c r="CE240" s="824">
        <f t="shared" si="175"/>
        <v>0</v>
      </c>
      <c r="CF240" s="824">
        <f t="shared" si="175"/>
        <v>0</v>
      </c>
      <c r="CG240" s="824">
        <f t="shared" si="175"/>
        <v>0</v>
      </c>
      <c r="CH240" s="824">
        <f t="shared" si="175"/>
        <v>0</v>
      </c>
      <c r="CI240" s="824">
        <f t="shared" si="175"/>
        <v>0</v>
      </c>
      <c r="CJ240" s="824">
        <f t="shared" si="175"/>
        <v>0</v>
      </c>
      <c r="CK240" s="824">
        <f t="shared" si="175"/>
        <v>0</v>
      </c>
      <c r="CL240" s="824">
        <f t="shared" si="175"/>
        <v>0</v>
      </c>
      <c r="CM240" s="824">
        <f t="shared" si="175"/>
        <v>0</v>
      </c>
      <c r="CN240" s="824">
        <f t="shared" si="175"/>
        <v>0</v>
      </c>
      <c r="CO240" s="824">
        <f t="shared" si="175"/>
        <v>0</v>
      </c>
      <c r="CP240" s="824">
        <f t="shared" si="175"/>
        <v>0</v>
      </c>
      <c r="CQ240" s="824">
        <f t="shared" si="175"/>
        <v>0</v>
      </c>
      <c r="CR240" s="824">
        <f t="shared" si="175"/>
        <v>0</v>
      </c>
      <c r="CS240" s="824">
        <f t="shared" si="175"/>
        <v>0</v>
      </c>
      <c r="CT240" s="824">
        <f t="shared" si="166"/>
        <v>0</v>
      </c>
      <c r="CU240" s="824">
        <f t="shared" si="166"/>
        <v>0</v>
      </c>
      <c r="CV240" s="824">
        <f t="shared" si="166"/>
        <v>0</v>
      </c>
      <c r="CW240" s="824">
        <f t="shared" si="166"/>
        <v>0</v>
      </c>
      <c r="CX240" s="824">
        <f t="shared" si="166"/>
        <v>0</v>
      </c>
      <c r="CY240" s="824">
        <f t="shared" si="166"/>
        <v>0</v>
      </c>
      <c r="CZ240" s="824">
        <f t="shared" si="166"/>
        <v>0</v>
      </c>
      <c r="DA240" s="824">
        <f t="shared" si="166"/>
        <v>0</v>
      </c>
      <c r="DB240" s="824">
        <f t="shared" si="166"/>
        <v>0</v>
      </c>
      <c r="DC240" s="824">
        <f t="shared" si="166"/>
        <v>0</v>
      </c>
      <c r="DD240" s="824">
        <f t="shared" si="166"/>
        <v>0</v>
      </c>
      <c r="DE240" s="824">
        <f t="shared" si="166"/>
        <v>0</v>
      </c>
      <c r="DF240" s="824">
        <f t="shared" si="166"/>
        <v>0</v>
      </c>
      <c r="DG240" s="824">
        <f t="shared" si="169"/>
        <v>0</v>
      </c>
      <c r="DH240" s="824">
        <f t="shared" si="169"/>
        <v>0</v>
      </c>
      <c r="DI240" s="824">
        <f t="shared" si="169"/>
        <v>0</v>
      </c>
      <c r="DJ240" s="824">
        <f t="shared" si="169"/>
        <v>0</v>
      </c>
      <c r="DK240" s="824">
        <f t="shared" si="168"/>
        <v>0</v>
      </c>
      <c r="DL240" s="824">
        <f t="shared" si="168"/>
        <v>0</v>
      </c>
    </row>
    <row r="241" spans="2:116" ht="15" customHeight="1" thickBot="1" x14ac:dyDescent="0.3">
      <c r="B241" s="1673"/>
      <c r="C241" s="1680"/>
      <c r="D241" s="15" t="s">
        <v>264</v>
      </c>
      <c r="E241" s="116"/>
      <c r="F241" s="116">
        <f>SUBTOTAL(109,'3.1 I&amp;W'!$X$108)</f>
        <v>0</v>
      </c>
      <c r="G241" s="116">
        <f>SUBTOTAL(109,'3.1 I&amp;W'!$Y$108)</f>
        <v>0</v>
      </c>
      <c r="H241" s="116">
        <f>SUBTOTAL(109,'3.1 I&amp;W'!$AD$108)</f>
        <v>0</v>
      </c>
      <c r="I241" s="116">
        <f>SUBTOTAL(109,'3.1 I&amp;W'!$AE$108)</f>
        <v>0</v>
      </c>
      <c r="J241" s="116"/>
      <c r="K241" s="116"/>
      <c r="L241" s="116"/>
      <c r="M241" s="116">
        <f>SUBTOTAL(109,'3.1 I&amp;W'!$AI$108)</f>
        <v>0</v>
      </c>
      <c r="N241" s="156">
        <f t="shared" si="128"/>
        <v>0</v>
      </c>
      <c r="O241" s="116">
        <f>SUBTOTAL(109,'3.1 I&amp;W'!$S$108)</f>
        <v>0</v>
      </c>
      <c r="P241" s="30">
        <f t="shared" si="176"/>
        <v>0</v>
      </c>
      <c r="Q241" s="31">
        <f t="shared" si="177"/>
        <v>0</v>
      </c>
      <c r="R241" s="31">
        <f t="shared" si="178"/>
        <v>0</v>
      </c>
      <c r="S241" s="31">
        <f t="shared" si="179"/>
        <v>0</v>
      </c>
      <c r="T241" s="32">
        <f t="shared" si="180"/>
        <v>0</v>
      </c>
      <c r="U241" s="37">
        <f t="shared" si="129"/>
        <v>0</v>
      </c>
      <c r="V241" s="40">
        <f t="shared" si="170"/>
        <v>0</v>
      </c>
      <c r="W241" s="41">
        <f t="shared" si="171"/>
        <v>0</v>
      </c>
      <c r="X241" s="43"/>
      <c r="Y241" s="46"/>
      <c r="Z241" s="126"/>
      <c r="AA241" s="136"/>
      <c r="AB241" s="131">
        <v>38</v>
      </c>
      <c r="AC241" s="168">
        <f>IF(AF240&lt;=1,0,'3.1 Fi&amp;Fo'!$I$25)</f>
        <v>0</v>
      </c>
      <c r="AD241" s="169">
        <f>IF(AF240&lt;=1,0,AF240*'3.1 Fi&amp;Fo'!$H$25)</f>
        <v>0</v>
      </c>
      <c r="AE241" s="169">
        <f t="shared" si="182"/>
        <v>0</v>
      </c>
      <c r="AF241" s="170">
        <f t="shared" si="183"/>
        <v>2.5029294192790985E-9</v>
      </c>
      <c r="AG241" s="168">
        <f>IF(AJ240&lt;=1,0,IF(AB241&lt;='3.1 Fi&amp;Fo'!$F$34,'3.1 Fi&amp;Fo'!$J$34,IF(AB241&lt;='3.1 Fi&amp;Fo'!$F$35,'3.1 Fi&amp;Fo'!$J$35,IF(AB241&lt;='3.1 Fi&amp;Fo'!$F$36,'3.1 Fi&amp;Fo'!$J$36,IF(AB241&lt;='3.1 Fi&amp;Fo'!$F$37,'3.1 Fi&amp;Fo'!$J$37,IF(AB241&lt;='3.1 Fi&amp;Fo'!$F$38,'3.1 Fi&amp;Fo'!$J$38,IF(AB241&lt;='3.1 Fi&amp;Fo'!$F$39,'3.1 Fi&amp;Fo'!$J$39,IF(AB241&lt;='3.1 Fi&amp;Fo'!$F$40,'3.1 Fi&amp;Fo'!$J$40))))))))</f>
        <v>0</v>
      </c>
      <c r="AH241" s="169">
        <f>IF(AJ240&lt;=1,0,AJ240*IF(AB241&lt;='3.1 Fi&amp;Fo'!$F$34,'3.1 Fi&amp;Fo'!$I$34,IF(AB241&lt;='3.1 Fi&amp;Fo'!$F$35,'3.1 Fi&amp;Fo'!$I$35,IF(AB241&lt;='3.1 Fi&amp;Fo'!$F$36,'3.1 Fi&amp;Fo'!$I$36,IF(AB241&lt;='3.1 Fi&amp;Fo'!$F$37,'3.1 Fi&amp;Fo'!$I$37,IF(AB241&lt;='3.1 Fi&amp;Fo'!$F$40,'3.1 Fi&amp;Fo'!$I$40))))))</f>
        <v>0</v>
      </c>
      <c r="AI241" s="169">
        <f t="shared" si="184"/>
        <v>0</v>
      </c>
      <c r="AJ241" s="170">
        <f t="shared" si="185"/>
        <v>0</v>
      </c>
      <c r="AK241" s="312">
        <f t="shared" si="186"/>
        <v>0</v>
      </c>
      <c r="AL241" s="169">
        <f>IF(AB241&lt;='3.1 Fi&amp;Fo'!$J$15,'3.1 Fi&amp;Fo'!$I$15,0)</f>
        <v>0</v>
      </c>
      <c r="AM241" s="169">
        <f t="shared" si="187"/>
        <v>0</v>
      </c>
      <c r="AN241" s="838" t="str">
        <f t="shared" si="146"/>
        <v/>
      </c>
      <c r="AO241" s="844">
        <f t="shared" si="134"/>
        <v>0</v>
      </c>
      <c r="AP241" s="839">
        <f>CZ308</f>
        <v>0</v>
      </c>
      <c r="AQ241" s="844">
        <f t="shared" si="135"/>
        <v>0</v>
      </c>
      <c r="AR241" s="839" t="str">
        <f t="shared" si="147"/>
        <v/>
      </c>
      <c r="AS241" s="839">
        <f t="shared" si="142"/>
        <v>0</v>
      </c>
      <c r="AT241" s="839">
        <f t="shared" si="148"/>
        <v>0</v>
      </c>
      <c r="AU241" s="839">
        <f>'PV-Einspeisung'!AA57*-1</f>
        <v>0</v>
      </c>
      <c r="AV241" s="839">
        <f>'PV-Einspeisung'!AE57*-1</f>
        <v>0</v>
      </c>
      <c r="AW241" s="839"/>
      <c r="AX241" s="839" t="str">
        <f t="shared" si="149"/>
        <v/>
      </c>
      <c r="AY241" s="841" t="str">
        <f t="shared" si="136"/>
        <v/>
      </c>
      <c r="AZ241" s="842" t="str">
        <f t="shared" si="150"/>
        <v/>
      </c>
      <c r="BA241" s="842" t="str">
        <f t="shared" si="151"/>
        <v/>
      </c>
      <c r="BB241" s="842" t="str">
        <f t="shared" si="152"/>
        <v/>
      </c>
      <c r="BC241" s="842" t="str">
        <f t="shared" si="153"/>
        <v/>
      </c>
      <c r="BD241" s="842" t="str">
        <f t="shared" si="154"/>
        <v/>
      </c>
      <c r="BE241" s="842" t="str">
        <f t="shared" si="155"/>
        <v/>
      </c>
      <c r="BF241" s="842" t="str">
        <f t="shared" si="156"/>
        <v/>
      </c>
      <c r="BG241" s="842" t="str">
        <f t="shared" si="157"/>
        <v/>
      </c>
      <c r="BH241" s="858" t="str">
        <f t="shared" si="138"/>
        <v/>
      </c>
      <c r="BI241" s="857" t="str">
        <f t="shared" si="158"/>
        <v/>
      </c>
      <c r="BJ241" s="857" t="str">
        <f t="shared" si="159"/>
        <v/>
      </c>
      <c r="BK241" s="859">
        <f>'PV-Einspeisung'!AB57*-1</f>
        <v>0</v>
      </c>
      <c r="BL241" s="824">
        <f t="shared" si="172"/>
        <v>0</v>
      </c>
      <c r="BM241" s="824">
        <f t="shared" si="173"/>
        <v>0</v>
      </c>
      <c r="BN241" s="824">
        <f t="shared" si="174"/>
        <v>0</v>
      </c>
      <c r="BO241" s="824">
        <f t="shared" si="181"/>
        <v>0</v>
      </c>
      <c r="BP241" s="824">
        <f t="shared" si="181"/>
        <v>0</v>
      </c>
      <c r="BQ241" s="824">
        <f t="shared" si="181"/>
        <v>0</v>
      </c>
      <c r="BR241" s="824">
        <f t="shared" si="181"/>
        <v>0</v>
      </c>
      <c r="BS241" s="824">
        <f t="shared" si="181"/>
        <v>0</v>
      </c>
      <c r="BT241" s="824">
        <f t="shared" si="181"/>
        <v>0</v>
      </c>
      <c r="BU241" s="824">
        <f t="shared" si="181"/>
        <v>0</v>
      </c>
      <c r="BV241" s="824">
        <f t="shared" si="181"/>
        <v>0</v>
      </c>
      <c r="BW241" s="824">
        <f t="shared" si="181"/>
        <v>0</v>
      </c>
      <c r="BX241" s="824">
        <f t="shared" si="181"/>
        <v>0</v>
      </c>
      <c r="BY241" s="824">
        <f t="shared" si="181"/>
        <v>0</v>
      </c>
      <c r="BZ241" s="824">
        <f t="shared" si="181"/>
        <v>0</v>
      </c>
      <c r="CA241" s="824">
        <f t="shared" si="181"/>
        <v>0</v>
      </c>
      <c r="CB241" s="824">
        <f t="shared" si="181"/>
        <v>0</v>
      </c>
      <c r="CC241" s="824">
        <f t="shared" si="181"/>
        <v>0</v>
      </c>
      <c r="CD241" s="824">
        <f t="shared" si="181"/>
        <v>0</v>
      </c>
      <c r="CE241" s="824">
        <f t="shared" si="175"/>
        <v>0</v>
      </c>
      <c r="CF241" s="824">
        <f t="shared" si="175"/>
        <v>0</v>
      </c>
      <c r="CG241" s="824">
        <f t="shared" si="175"/>
        <v>0</v>
      </c>
      <c r="CH241" s="824">
        <f t="shared" si="175"/>
        <v>0</v>
      </c>
      <c r="CI241" s="824">
        <f t="shared" si="175"/>
        <v>0</v>
      </c>
      <c r="CJ241" s="824">
        <f t="shared" si="175"/>
        <v>0</v>
      </c>
      <c r="CK241" s="824">
        <f t="shared" si="175"/>
        <v>0</v>
      </c>
      <c r="CL241" s="824">
        <f t="shared" si="175"/>
        <v>0</v>
      </c>
      <c r="CM241" s="824">
        <f t="shared" si="175"/>
        <v>0</v>
      </c>
      <c r="CN241" s="824">
        <f t="shared" si="175"/>
        <v>0</v>
      </c>
      <c r="CO241" s="824">
        <f t="shared" si="175"/>
        <v>0</v>
      </c>
      <c r="CP241" s="824">
        <f t="shared" si="175"/>
        <v>0</v>
      </c>
      <c r="CQ241" s="824">
        <f t="shared" si="175"/>
        <v>0</v>
      </c>
      <c r="CR241" s="824">
        <f t="shared" si="175"/>
        <v>0</v>
      </c>
      <c r="CS241" s="824">
        <f t="shared" si="175"/>
        <v>0</v>
      </c>
      <c r="CT241" s="824">
        <f t="shared" si="166"/>
        <v>0</v>
      </c>
      <c r="CU241" s="824">
        <f t="shared" si="166"/>
        <v>0</v>
      </c>
      <c r="CV241" s="824">
        <f t="shared" si="166"/>
        <v>0</v>
      </c>
      <c r="CW241" s="824">
        <f t="shared" si="166"/>
        <v>0</v>
      </c>
      <c r="CX241" s="824">
        <f t="shared" si="166"/>
        <v>0</v>
      </c>
      <c r="CY241" s="824">
        <f t="shared" si="166"/>
        <v>0</v>
      </c>
      <c r="CZ241" s="824">
        <f t="shared" si="166"/>
        <v>0</v>
      </c>
      <c r="DA241" s="824">
        <f t="shared" si="166"/>
        <v>0</v>
      </c>
      <c r="DB241" s="824">
        <f t="shared" si="166"/>
        <v>0</v>
      </c>
      <c r="DC241" s="824">
        <f t="shared" si="166"/>
        <v>0</v>
      </c>
      <c r="DD241" s="824">
        <f t="shared" si="166"/>
        <v>0</v>
      </c>
      <c r="DE241" s="824">
        <f t="shared" si="166"/>
        <v>0</v>
      </c>
      <c r="DF241" s="824">
        <f t="shared" si="166"/>
        <v>0</v>
      </c>
      <c r="DG241" s="824">
        <f t="shared" si="169"/>
        <v>0</v>
      </c>
      <c r="DH241" s="824">
        <f t="shared" si="169"/>
        <v>0</v>
      </c>
      <c r="DI241" s="824">
        <f t="shared" si="169"/>
        <v>0</v>
      </c>
      <c r="DJ241" s="824">
        <f t="shared" si="169"/>
        <v>0</v>
      </c>
      <c r="DK241" s="824">
        <f t="shared" si="168"/>
        <v>0</v>
      </c>
      <c r="DL241" s="824">
        <f t="shared" si="168"/>
        <v>0</v>
      </c>
    </row>
    <row r="242" spans="2:116" ht="15" customHeight="1" thickBot="1" x14ac:dyDescent="0.3">
      <c r="B242" s="1673"/>
      <c r="C242" s="1680"/>
      <c r="D242" s="15" t="s">
        <v>264</v>
      </c>
      <c r="E242" s="165"/>
      <c r="F242" s="116">
        <f>SUBTOTAL(109,'3.1 I&amp;W'!$X$109)</f>
        <v>0</v>
      </c>
      <c r="G242" s="116">
        <f>SUBTOTAL(109,'3.1 I&amp;W'!$Y$109)</f>
        <v>0</v>
      </c>
      <c r="H242" s="116">
        <f>SUBTOTAL(109,'3.1 I&amp;W'!$AD$109)</f>
        <v>0</v>
      </c>
      <c r="I242" s="116">
        <f>SUBTOTAL(109,'3.1 I&amp;W'!$AE$109)</f>
        <v>0</v>
      </c>
      <c r="J242" s="116"/>
      <c r="K242" s="116"/>
      <c r="L242" s="116"/>
      <c r="M242" s="116">
        <f>SUBTOTAL(109,'3.1 I&amp;W'!$AI$109)</f>
        <v>0</v>
      </c>
      <c r="N242" s="156">
        <f t="shared" si="128"/>
        <v>0</v>
      </c>
      <c r="O242" s="116">
        <f>SUBTOTAL(109,'3.1 I&amp;W'!$S$109)</f>
        <v>0</v>
      </c>
      <c r="P242" s="30">
        <f t="shared" si="176"/>
        <v>0</v>
      </c>
      <c r="Q242" s="31">
        <f t="shared" si="177"/>
        <v>0</v>
      </c>
      <c r="R242" s="31">
        <f t="shared" si="178"/>
        <v>0</v>
      </c>
      <c r="S242" s="31">
        <f t="shared" si="179"/>
        <v>0</v>
      </c>
      <c r="T242" s="32">
        <f t="shared" si="180"/>
        <v>0</v>
      </c>
      <c r="U242" s="37">
        <f t="shared" si="129"/>
        <v>0</v>
      </c>
      <c r="V242" s="40">
        <f t="shared" si="170"/>
        <v>0</v>
      </c>
      <c r="W242" s="41">
        <f t="shared" si="171"/>
        <v>0</v>
      </c>
      <c r="X242" s="43"/>
      <c r="Y242" s="46"/>
      <c r="Z242" s="126"/>
      <c r="AA242" s="136"/>
      <c r="AB242" s="131">
        <v>39</v>
      </c>
      <c r="AC242" s="168">
        <f>IF(AF241&lt;=1,0,'3.1 Fi&amp;Fo'!$I$25)</f>
        <v>0</v>
      </c>
      <c r="AD242" s="169">
        <f>IF(AF241&lt;=1,0,AF241*'3.1 Fi&amp;Fo'!$H$25)</f>
        <v>0</v>
      </c>
      <c r="AE242" s="169">
        <f t="shared" si="182"/>
        <v>0</v>
      </c>
      <c r="AF242" s="170">
        <f t="shared" si="183"/>
        <v>2.5029294192790985E-9</v>
      </c>
      <c r="AG242" s="168">
        <f>IF(AJ241&lt;=1,0,IF(AB242&lt;='3.1 Fi&amp;Fo'!$F$34,'3.1 Fi&amp;Fo'!$J$34,IF(AB242&lt;='3.1 Fi&amp;Fo'!$F$35,'3.1 Fi&amp;Fo'!$J$35,IF(AB242&lt;='3.1 Fi&amp;Fo'!$F$36,'3.1 Fi&amp;Fo'!$J$36,IF(AB242&lt;='3.1 Fi&amp;Fo'!$F$37,'3.1 Fi&amp;Fo'!$J$37,IF(AB242&lt;='3.1 Fi&amp;Fo'!$F$38,'3.1 Fi&amp;Fo'!$J$38,IF(AB242&lt;='3.1 Fi&amp;Fo'!$F$39,'3.1 Fi&amp;Fo'!$J$39,IF(AB242&lt;='3.1 Fi&amp;Fo'!$F$40,'3.1 Fi&amp;Fo'!$J$40))))))))</f>
        <v>0</v>
      </c>
      <c r="AH242" s="169">
        <f>IF(AJ241&lt;=1,0,AJ241*IF(AB242&lt;='3.1 Fi&amp;Fo'!$F$34,'3.1 Fi&amp;Fo'!$I$34,IF(AB242&lt;='3.1 Fi&amp;Fo'!$F$35,'3.1 Fi&amp;Fo'!$I$35,IF(AB242&lt;='3.1 Fi&amp;Fo'!$F$36,'3.1 Fi&amp;Fo'!$I$36,IF(AB242&lt;='3.1 Fi&amp;Fo'!$F$37,'3.1 Fi&amp;Fo'!$I$37,IF(AB242&lt;='3.1 Fi&amp;Fo'!$F$40,'3.1 Fi&amp;Fo'!$I$40))))))</f>
        <v>0</v>
      </c>
      <c r="AI242" s="169">
        <f t="shared" si="184"/>
        <v>0</v>
      </c>
      <c r="AJ242" s="170">
        <f t="shared" si="185"/>
        <v>0</v>
      </c>
      <c r="AK242" s="312">
        <f t="shared" si="186"/>
        <v>0</v>
      </c>
      <c r="AL242" s="169">
        <f>IF(AB242&lt;='3.1 Fi&amp;Fo'!$J$15,'3.1 Fi&amp;Fo'!$I$15,0)</f>
        <v>0</v>
      </c>
      <c r="AM242" s="169">
        <f t="shared" si="187"/>
        <v>0</v>
      </c>
      <c r="AN242" s="838" t="str">
        <f t="shared" si="146"/>
        <v/>
      </c>
      <c r="AO242" s="844">
        <f t="shared" si="134"/>
        <v>0</v>
      </c>
      <c r="AP242" s="839">
        <f>DA308</f>
        <v>0</v>
      </c>
      <c r="AQ242" s="844">
        <f t="shared" si="135"/>
        <v>0</v>
      </c>
      <c r="AR242" s="839" t="str">
        <f t="shared" si="147"/>
        <v/>
      </c>
      <c r="AS242" s="839">
        <f t="shared" si="142"/>
        <v>0</v>
      </c>
      <c r="AT242" s="839">
        <f t="shared" si="148"/>
        <v>0</v>
      </c>
      <c r="AU242" s="839">
        <f>'PV-Einspeisung'!AA58*-1</f>
        <v>0</v>
      </c>
      <c r="AV242" s="839">
        <f>'PV-Einspeisung'!AE58*-1</f>
        <v>0</v>
      </c>
      <c r="AW242" s="839"/>
      <c r="AX242" s="839" t="str">
        <f t="shared" si="149"/>
        <v/>
      </c>
      <c r="AY242" s="841" t="str">
        <f t="shared" si="136"/>
        <v/>
      </c>
      <c r="AZ242" s="842" t="str">
        <f t="shared" si="150"/>
        <v/>
      </c>
      <c r="BA242" s="842" t="str">
        <f t="shared" si="151"/>
        <v/>
      </c>
      <c r="BB242" s="842" t="str">
        <f t="shared" si="152"/>
        <v/>
      </c>
      <c r="BC242" s="842" t="str">
        <f t="shared" si="153"/>
        <v/>
      </c>
      <c r="BD242" s="842" t="str">
        <f t="shared" si="154"/>
        <v/>
      </c>
      <c r="BE242" s="842" t="str">
        <f t="shared" si="155"/>
        <v/>
      </c>
      <c r="BF242" s="842" t="str">
        <f t="shared" si="156"/>
        <v/>
      </c>
      <c r="BG242" s="842" t="str">
        <f t="shared" si="157"/>
        <v/>
      </c>
      <c r="BH242" s="858" t="str">
        <f t="shared" si="138"/>
        <v/>
      </c>
      <c r="BI242" s="857" t="str">
        <f t="shared" si="158"/>
        <v/>
      </c>
      <c r="BJ242" s="857" t="str">
        <f t="shared" si="159"/>
        <v/>
      </c>
      <c r="BK242" s="859">
        <f>'PV-Einspeisung'!AB58*-1</f>
        <v>0</v>
      </c>
      <c r="BL242" s="824">
        <f t="shared" si="172"/>
        <v>0</v>
      </c>
      <c r="BM242" s="824">
        <f t="shared" si="173"/>
        <v>0</v>
      </c>
      <c r="BN242" s="824">
        <f t="shared" si="174"/>
        <v>0</v>
      </c>
      <c r="BO242" s="824">
        <f t="shared" si="181"/>
        <v>0</v>
      </c>
      <c r="BP242" s="824">
        <f t="shared" si="181"/>
        <v>0</v>
      </c>
      <c r="BQ242" s="824">
        <f t="shared" si="181"/>
        <v>0</v>
      </c>
      <c r="BR242" s="824">
        <f t="shared" si="181"/>
        <v>0</v>
      </c>
      <c r="BS242" s="824">
        <f t="shared" si="181"/>
        <v>0</v>
      </c>
      <c r="BT242" s="824">
        <f t="shared" si="181"/>
        <v>0</v>
      </c>
      <c r="BU242" s="824">
        <f t="shared" si="181"/>
        <v>0</v>
      </c>
      <c r="BV242" s="824">
        <f t="shared" si="181"/>
        <v>0</v>
      </c>
      <c r="BW242" s="824">
        <f t="shared" si="181"/>
        <v>0</v>
      </c>
      <c r="BX242" s="824">
        <f t="shared" si="181"/>
        <v>0</v>
      </c>
      <c r="BY242" s="824">
        <f t="shared" si="181"/>
        <v>0</v>
      </c>
      <c r="BZ242" s="824">
        <f t="shared" si="181"/>
        <v>0</v>
      </c>
      <c r="CA242" s="824">
        <f t="shared" si="181"/>
        <v>0</v>
      </c>
      <c r="CB242" s="824">
        <f t="shared" si="181"/>
        <v>0</v>
      </c>
      <c r="CC242" s="824">
        <f t="shared" si="181"/>
        <v>0</v>
      </c>
      <c r="CD242" s="824">
        <f t="shared" si="181"/>
        <v>0</v>
      </c>
      <c r="CE242" s="824">
        <f t="shared" si="175"/>
        <v>0</v>
      </c>
      <c r="CF242" s="824">
        <f t="shared" si="175"/>
        <v>0</v>
      </c>
      <c r="CG242" s="824">
        <f t="shared" si="175"/>
        <v>0</v>
      </c>
      <c r="CH242" s="824">
        <f t="shared" si="175"/>
        <v>0</v>
      </c>
      <c r="CI242" s="824">
        <f t="shared" si="175"/>
        <v>0</v>
      </c>
      <c r="CJ242" s="824">
        <f t="shared" si="175"/>
        <v>0</v>
      </c>
      <c r="CK242" s="824">
        <f t="shared" si="175"/>
        <v>0</v>
      </c>
      <c r="CL242" s="824">
        <f t="shared" si="175"/>
        <v>0</v>
      </c>
      <c r="CM242" s="824">
        <f t="shared" si="175"/>
        <v>0</v>
      </c>
      <c r="CN242" s="824">
        <f t="shared" si="175"/>
        <v>0</v>
      </c>
      <c r="CO242" s="824">
        <f t="shared" si="175"/>
        <v>0</v>
      </c>
      <c r="CP242" s="824">
        <f t="shared" si="175"/>
        <v>0</v>
      </c>
      <c r="CQ242" s="824">
        <f t="shared" si="175"/>
        <v>0</v>
      </c>
      <c r="CR242" s="824">
        <f t="shared" si="175"/>
        <v>0</v>
      </c>
      <c r="CS242" s="824">
        <f t="shared" si="175"/>
        <v>0</v>
      </c>
      <c r="CT242" s="824">
        <f t="shared" si="166"/>
        <v>0</v>
      </c>
      <c r="CU242" s="824">
        <f t="shared" si="166"/>
        <v>0</v>
      </c>
      <c r="CV242" s="824">
        <f t="shared" si="166"/>
        <v>0</v>
      </c>
      <c r="CW242" s="824">
        <f t="shared" si="166"/>
        <v>0</v>
      </c>
      <c r="CX242" s="824">
        <f t="shared" si="166"/>
        <v>0</v>
      </c>
      <c r="CY242" s="824">
        <f t="shared" si="166"/>
        <v>0</v>
      </c>
      <c r="CZ242" s="824">
        <f t="shared" si="166"/>
        <v>0</v>
      </c>
      <c r="DA242" s="824">
        <f t="shared" si="166"/>
        <v>0</v>
      </c>
      <c r="DB242" s="824">
        <f t="shared" si="166"/>
        <v>0</v>
      </c>
      <c r="DC242" s="824">
        <f t="shared" si="166"/>
        <v>0</v>
      </c>
      <c r="DD242" s="824">
        <f t="shared" si="166"/>
        <v>0</v>
      </c>
      <c r="DE242" s="824">
        <f t="shared" si="166"/>
        <v>0</v>
      </c>
      <c r="DF242" s="824">
        <f t="shared" si="166"/>
        <v>0</v>
      </c>
      <c r="DG242" s="824">
        <f t="shared" si="169"/>
        <v>0</v>
      </c>
      <c r="DH242" s="824">
        <f t="shared" si="169"/>
        <v>0</v>
      </c>
      <c r="DI242" s="824">
        <f t="shared" si="169"/>
        <v>0</v>
      </c>
      <c r="DJ242" s="824">
        <f t="shared" si="169"/>
        <v>0</v>
      </c>
      <c r="DK242" s="824">
        <f t="shared" si="168"/>
        <v>0</v>
      </c>
      <c r="DL242" s="824">
        <f t="shared" si="168"/>
        <v>0</v>
      </c>
    </row>
    <row r="243" spans="2:116" ht="15" customHeight="1" thickBot="1" x14ac:dyDescent="0.3">
      <c r="B243" s="1673"/>
      <c r="C243" s="1680"/>
      <c r="D243" s="15" t="s">
        <v>264</v>
      </c>
      <c r="E243" s="116"/>
      <c r="F243" s="116">
        <f>SUBTOTAL(109,'3.1 I&amp;W'!$X$110)</f>
        <v>0</v>
      </c>
      <c r="G243" s="116">
        <f>SUBTOTAL(109,'3.1 I&amp;W'!$Y$110)</f>
        <v>0</v>
      </c>
      <c r="H243" s="116">
        <f>SUBTOTAL(109,'3.1 I&amp;W'!$AD$110)</f>
        <v>0</v>
      </c>
      <c r="I243" s="116">
        <f>SUBTOTAL(109,'3.1 I&amp;W'!$AE$110)</f>
        <v>0</v>
      </c>
      <c r="J243" s="116"/>
      <c r="K243" s="116"/>
      <c r="L243" s="116"/>
      <c r="M243" s="116">
        <f>SUBTOTAL(109,'3.1 I&amp;W'!$AI$110)</f>
        <v>0</v>
      </c>
      <c r="N243" s="156">
        <f t="shared" si="128"/>
        <v>0</v>
      </c>
      <c r="O243" s="116">
        <f>SUBTOTAL(109,'3.1 I&amp;W'!$S$110)</f>
        <v>0</v>
      </c>
      <c r="P243" s="30">
        <f t="shared" si="176"/>
        <v>0</v>
      </c>
      <c r="Q243" s="31">
        <f t="shared" si="177"/>
        <v>0</v>
      </c>
      <c r="R243" s="31">
        <f t="shared" si="178"/>
        <v>0</v>
      </c>
      <c r="S243" s="31">
        <f t="shared" si="179"/>
        <v>0</v>
      </c>
      <c r="T243" s="32">
        <f t="shared" si="180"/>
        <v>0</v>
      </c>
      <c r="U243" s="37">
        <f t="shared" si="129"/>
        <v>0</v>
      </c>
      <c r="V243" s="40">
        <f t="shared" si="170"/>
        <v>0</v>
      </c>
      <c r="W243" s="41">
        <f t="shared" si="171"/>
        <v>0</v>
      </c>
      <c r="X243" s="43"/>
      <c r="Y243" s="46"/>
      <c r="Z243" s="126"/>
      <c r="AA243" s="136"/>
      <c r="AB243" s="131">
        <v>40</v>
      </c>
      <c r="AC243" s="168">
        <f>IF(AF242&lt;=1,0,'3.1 Fi&amp;Fo'!$I$25)</f>
        <v>0</v>
      </c>
      <c r="AD243" s="169">
        <f>IF(AF242&lt;=1,0,AF242*'3.1 Fi&amp;Fo'!$H$25)</f>
        <v>0</v>
      </c>
      <c r="AE243" s="169">
        <f t="shared" si="182"/>
        <v>0</v>
      </c>
      <c r="AF243" s="170">
        <f t="shared" si="183"/>
        <v>2.5029294192790985E-9</v>
      </c>
      <c r="AG243" s="168">
        <f>IF(AJ242&lt;=1,0,IF(AB243&lt;='3.1 Fi&amp;Fo'!$F$34,'3.1 Fi&amp;Fo'!$J$34,IF(AB243&lt;='3.1 Fi&amp;Fo'!$F$35,'3.1 Fi&amp;Fo'!$J$35,IF(AB243&lt;='3.1 Fi&amp;Fo'!$F$36,'3.1 Fi&amp;Fo'!$J$36,IF(AB243&lt;='3.1 Fi&amp;Fo'!$F$37,'3.1 Fi&amp;Fo'!$J$37,IF(AB243&lt;='3.1 Fi&amp;Fo'!$F$38,'3.1 Fi&amp;Fo'!$J$38,IF(AB243&lt;='3.1 Fi&amp;Fo'!$F$39,'3.1 Fi&amp;Fo'!$J$39,IF(AB243&lt;='3.1 Fi&amp;Fo'!$F$40,'3.1 Fi&amp;Fo'!$J$40))))))))</f>
        <v>0</v>
      </c>
      <c r="AH243" s="169">
        <f>IF(AJ242&lt;=1,0,AJ242*IF(AB243&lt;='3.1 Fi&amp;Fo'!$F$34,'3.1 Fi&amp;Fo'!$I$34,IF(AB243&lt;='3.1 Fi&amp;Fo'!$F$35,'3.1 Fi&amp;Fo'!$I$35,IF(AB243&lt;='3.1 Fi&amp;Fo'!$F$36,'3.1 Fi&amp;Fo'!$I$36,IF(AB243&lt;='3.1 Fi&amp;Fo'!$F$37,'3.1 Fi&amp;Fo'!$I$37,IF(AB243&lt;='3.1 Fi&amp;Fo'!$F$40,'3.1 Fi&amp;Fo'!$I$40))))))</f>
        <v>0</v>
      </c>
      <c r="AI243" s="169">
        <f t="shared" si="184"/>
        <v>0</v>
      </c>
      <c r="AJ243" s="170">
        <f t="shared" si="185"/>
        <v>0</v>
      </c>
      <c r="AK243" s="312">
        <f t="shared" si="186"/>
        <v>0</v>
      </c>
      <c r="AL243" s="169">
        <f>IF(AB243&lt;='3.1 Fi&amp;Fo'!$J$15,'3.1 Fi&amp;Fo'!$I$15,0)</f>
        <v>0</v>
      </c>
      <c r="AM243" s="169">
        <f t="shared" si="187"/>
        <v>0</v>
      </c>
      <c r="AN243" s="838" t="str">
        <f t="shared" si="146"/>
        <v/>
      </c>
      <c r="AO243" s="844">
        <f t="shared" si="134"/>
        <v>0</v>
      </c>
      <c r="AP243" s="839">
        <f>DB308</f>
        <v>0</v>
      </c>
      <c r="AQ243" s="844">
        <f t="shared" si="135"/>
        <v>0</v>
      </c>
      <c r="AR243" s="839" t="str">
        <f t="shared" si="147"/>
        <v/>
      </c>
      <c r="AS243" s="839">
        <f t="shared" si="142"/>
        <v>0</v>
      </c>
      <c r="AT243" s="839">
        <f t="shared" si="148"/>
        <v>0</v>
      </c>
      <c r="AU243" s="839">
        <f>'PV-Einspeisung'!AA59*-1</f>
        <v>0</v>
      </c>
      <c r="AV243" s="839">
        <f>'PV-Einspeisung'!AE59*-1</f>
        <v>0</v>
      </c>
      <c r="AW243" s="839"/>
      <c r="AX243" s="839" t="str">
        <f t="shared" si="149"/>
        <v/>
      </c>
      <c r="AY243" s="841" t="str">
        <f t="shared" si="136"/>
        <v/>
      </c>
      <c r="AZ243" s="842" t="str">
        <f t="shared" si="150"/>
        <v/>
      </c>
      <c r="BA243" s="842" t="str">
        <f t="shared" si="151"/>
        <v/>
      </c>
      <c r="BB243" s="842" t="str">
        <f t="shared" si="152"/>
        <v/>
      </c>
      <c r="BC243" s="842" t="str">
        <f t="shared" si="153"/>
        <v/>
      </c>
      <c r="BD243" s="842" t="str">
        <f t="shared" si="154"/>
        <v/>
      </c>
      <c r="BE243" s="842" t="str">
        <f t="shared" si="155"/>
        <v/>
      </c>
      <c r="BF243" s="842" t="str">
        <f t="shared" si="156"/>
        <v/>
      </c>
      <c r="BG243" s="842" t="str">
        <f t="shared" si="157"/>
        <v/>
      </c>
      <c r="BH243" s="858" t="str">
        <f t="shared" si="138"/>
        <v/>
      </c>
      <c r="BI243" s="857" t="str">
        <f t="shared" si="158"/>
        <v/>
      </c>
      <c r="BJ243" s="857" t="str">
        <f t="shared" si="159"/>
        <v/>
      </c>
      <c r="BK243" s="859">
        <f>'PV-Einspeisung'!AB59*-1</f>
        <v>0</v>
      </c>
      <c r="BL243" s="824">
        <f t="shared" si="172"/>
        <v>0</v>
      </c>
      <c r="BM243" s="824">
        <f t="shared" si="173"/>
        <v>0</v>
      </c>
      <c r="BN243" s="824">
        <f t="shared" si="174"/>
        <v>0</v>
      </c>
      <c r="BO243" s="824">
        <f t="shared" si="181"/>
        <v>0</v>
      </c>
      <c r="BP243" s="824">
        <f t="shared" si="181"/>
        <v>0</v>
      </c>
      <c r="BQ243" s="824">
        <f t="shared" si="181"/>
        <v>0</v>
      </c>
      <c r="BR243" s="824">
        <f t="shared" si="181"/>
        <v>0</v>
      </c>
      <c r="BS243" s="824">
        <f t="shared" si="181"/>
        <v>0</v>
      </c>
      <c r="BT243" s="824">
        <f t="shared" si="181"/>
        <v>0</v>
      </c>
      <c r="BU243" s="824">
        <f t="shared" si="181"/>
        <v>0</v>
      </c>
      <c r="BV243" s="824">
        <f t="shared" si="181"/>
        <v>0</v>
      </c>
      <c r="BW243" s="824">
        <f t="shared" si="181"/>
        <v>0</v>
      </c>
      <c r="BX243" s="824">
        <f t="shared" si="181"/>
        <v>0</v>
      </c>
      <c r="BY243" s="824">
        <f t="shared" si="181"/>
        <v>0</v>
      </c>
      <c r="BZ243" s="824">
        <f t="shared" si="181"/>
        <v>0</v>
      </c>
      <c r="CA243" s="824">
        <f t="shared" si="181"/>
        <v>0</v>
      </c>
      <c r="CB243" s="824">
        <f t="shared" si="181"/>
        <v>0</v>
      </c>
      <c r="CC243" s="824">
        <f t="shared" si="181"/>
        <v>0</v>
      </c>
      <c r="CD243" s="824">
        <f t="shared" si="181"/>
        <v>0</v>
      </c>
      <c r="CE243" s="824">
        <f t="shared" si="175"/>
        <v>0</v>
      </c>
      <c r="CF243" s="824">
        <f t="shared" si="175"/>
        <v>0</v>
      </c>
      <c r="CG243" s="824">
        <f t="shared" si="175"/>
        <v>0</v>
      </c>
      <c r="CH243" s="824">
        <f t="shared" si="175"/>
        <v>0</v>
      </c>
      <c r="CI243" s="824">
        <f t="shared" si="175"/>
        <v>0</v>
      </c>
      <c r="CJ243" s="824">
        <f t="shared" si="175"/>
        <v>0</v>
      </c>
      <c r="CK243" s="824">
        <f t="shared" si="175"/>
        <v>0</v>
      </c>
      <c r="CL243" s="824">
        <f t="shared" si="175"/>
        <v>0</v>
      </c>
      <c r="CM243" s="824">
        <f t="shared" si="175"/>
        <v>0</v>
      </c>
      <c r="CN243" s="824">
        <f t="shared" si="175"/>
        <v>0</v>
      </c>
      <c r="CO243" s="824">
        <f t="shared" si="175"/>
        <v>0</v>
      </c>
      <c r="CP243" s="824">
        <f t="shared" si="175"/>
        <v>0</v>
      </c>
      <c r="CQ243" s="824">
        <f t="shared" si="175"/>
        <v>0</v>
      </c>
      <c r="CR243" s="824">
        <f t="shared" si="175"/>
        <v>0</v>
      </c>
      <c r="CS243" s="824">
        <f t="shared" si="175"/>
        <v>0</v>
      </c>
      <c r="CT243" s="824">
        <f t="shared" si="166"/>
        <v>0</v>
      </c>
      <c r="CU243" s="824">
        <f t="shared" si="166"/>
        <v>0</v>
      </c>
      <c r="CV243" s="824">
        <f t="shared" si="166"/>
        <v>0</v>
      </c>
      <c r="CW243" s="824">
        <f t="shared" si="166"/>
        <v>0</v>
      </c>
      <c r="CX243" s="824">
        <f t="shared" si="166"/>
        <v>0</v>
      </c>
      <c r="CY243" s="824">
        <f t="shared" si="166"/>
        <v>0</v>
      </c>
      <c r="CZ243" s="824">
        <f t="shared" si="166"/>
        <v>0</v>
      </c>
      <c r="DA243" s="824">
        <f t="shared" si="166"/>
        <v>0</v>
      </c>
      <c r="DB243" s="824">
        <f t="shared" si="166"/>
        <v>0</v>
      </c>
      <c r="DC243" s="824">
        <f t="shared" si="166"/>
        <v>0</v>
      </c>
      <c r="DD243" s="824">
        <f t="shared" si="166"/>
        <v>0</v>
      </c>
      <c r="DE243" s="824">
        <f t="shared" si="166"/>
        <v>0</v>
      </c>
      <c r="DF243" s="824">
        <f t="shared" si="166"/>
        <v>0</v>
      </c>
      <c r="DG243" s="824">
        <f t="shared" si="169"/>
        <v>0</v>
      </c>
      <c r="DH243" s="824">
        <f t="shared" si="169"/>
        <v>0</v>
      </c>
      <c r="DI243" s="824">
        <f t="shared" si="169"/>
        <v>0</v>
      </c>
      <c r="DJ243" s="824">
        <f t="shared" si="169"/>
        <v>0</v>
      </c>
      <c r="DK243" s="824">
        <f t="shared" si="168"/>
        <v>0</v>
      </c>
      <c r="DL243" s="824">
        <f t="shared" si="168"/>
        <v>0</v>
      </c>
    </row>
    <row r="244" spans="2:116" ht="15" customHeight="1" thickBot="1" x14ac:dyDescent="0.3">
      <c r="B244" s="1673"/>
      <c r="C244" s="1680"/>
      <c r="D244" s="15" t="s">
        <v>51</v>
      </c>
      <c r="E244" s="165"/>
      <c r="F244" s="116">
        <f>SUBTOTAL(109,'3.1 I&amp;W'!$X$119)</f>
        <v>0</v>
      </c>
      <c r="G244" s="116">
        <f>SUBTOTAL(109,'3.1 I&amp;W'!$Y$119)</f>
        <v>0</v>
      </c>
      <c r="H244" s="116">
        <f>SUBTOTAL(109,'3.1 I&amp;W'!$AD$119)</f>
        <v>0</v>
      </c>
      <c r="I244" s="116">
        <f>SUBTOTAL(109,'3.1 I&amp;W'!$AE$119)</f>
        <v>0</v>
      </c>
      <c r="J244" s="116"/>
      <c r="K244" s="116"/>
      <c r="L244" s="116"/>
      <c r="M244" s="116">
        <f>SUBTOTAL(109,'3.1 I&amp;W'!$AI$119)</f>
        <v>0</v>
      </c>
      <c r="N244" s="156">
        <f t="shared" si="128"/>
        <v>0</v>
      </c>
      <c r="O244" s="116">
        <f>SUBTOTAL(109,'3.1 I&amp;W'!$S$119)</f>
        <v>0</v>
      </c>
      <c r="P244" s="30">
        <f t="shared" si="176"/>
        <v>0</v>
      </c>
      <c r="Q244" s="31">
        <f t="shared" si="177"/>
        <v>0</v>
      </c>
      <c r="R244" s="31">
        <f t="shared" si="178"/>
        <v>0</v>
      </c>
      <c r="S244" s="31">
        <f t="shared" si="179"/>
        <v>0</v>
      </c>
      <c r="T244" s="32">
        <f t="shared" si="180"/>
        <v>0</v>
      </c>
      <c r="U244" s="37">
        <f t="shared" si="129"/>
        <v>0</v>
      </c>
      <c r="V244" s="40">
        <f t="shared" si="170"/>
        <v>0</v>
      </c>
      <c r="W244" s="41">
        <f t="shared" si="171"/>
        <v>0</v>
      </c>
      <c r="X244" s="43"/>
      <c r="Y244" s="46"/>
      <c r="Z244" s="126"/>
      <c r="AA244" s="136"/>
      <c r="AB244" s="131">
        <v>41</v>
      </c>
      <c r="AC244" s="168">
        <f>IF(AF243&lt;=1,0,'3.1 Fi&amp;Fo'!$I$25)</f>
        <v>0</v>
      </c>
      <c r="AD244" s="169">
        <f>IF(AF243&lt;=1,0,AF243*'3.1 Fi&amp;Fo'!$H$25)</f>
        <v>0</v>
      </c>
      <c r="AE244" s="169">
        <f t="shared" si="182"/>
        <v>0</v>
      </c>
      <c r="AF244" s="170">
        <f t="shared" si="183"/>
        <v>2.5029294192790985E-9</v>
      </c>
      <c r="AG244" s="168">
        <f>IF(AJ243&lt;=1,0,IF(AB244&lt;='3.1 Fi&amp;Fo'!$F$34,'3.1 Fi&amp;Fo'!$J$34,IF(AB244&lt;='3.1 Fi&amp;Fo'!$F$35,'3.1 Fi&amp;Fo'!$J$35,IF(AB244&lt;='3.1 Fi&amp;Fo'!$F$36,'3.1 Fi&amp;Fo'!$J$36,IF(AB244&lt;='3.1 Fi&amp;Fo'!$F$37,'3.1 Fi&amp;Fo'!$J$37,IF(AB244&lt;='3.1 Fi&amp;Fo'!$F$38,'3.1 Fi&amp;Fo'!$J$38,IF(AB244&lt;='3.1 Fi&amp;Fo'!$F$39,'3.1 Fi&amp;Fo'!$J$39,IF(AB244&lt;='3.1 Fi&amp;Fo'!$F$40,'3.1 Fi&amp;Fo'!$J$40))))))))</f>
        <v>0</v>
      </c>
      <c r="AH244" s="169">
        <f>IF(AJ243&lt;=1,0,AJ243*IF(AB244&lt;='3.1 Fi&amp;Fo'!$F$34,'3.1 Fi&amp;Fo'!$I$34,IF(AB244&lt;='3.1 Fi&amp;Fo'!$F$35,'3.1 Fi&amp;Fo'!$I$35,IF(AB244&lt;='3.1 Fi&amp;Fo'!$F$36,'3.1 Fi&amp;Fo'!$I$36,IF(AB244&lt;='3.1 Fi&amp;Fo'!$F$37,'3.1 Fi&amp;Fo'!$I$37,IF(AB244&lt;='3.1 Fi&amp;Fo'!$F$40,'3.1 Fi&amp;Fo'!$I$40))))))</f>
        <v>0</v>
      </c>
      <c r="AI244" s="169">
        <f t="shared" si="184"/>
        <v>0</v>
      </c>
      <c r="AJ244" s="170">
        <f t="shared" si="185"/>
        <v>0</v>
      </c>
      <c r="AK244" s="312">
        <f t="shared" si="186"/>
        <v>0</v>
      </c>
      <c r="AL244" s="169">
        <f>IF(AB244&lt;='3.1 Fi&amp;Fo'!$J$15,'3.1 Fi&amp;Fo'!$I$15,0)</f>
        <v>0</v>
      </c>
      <c r="AM244" s="169">
        <f t="shared" si="187"/>
        <v>0</v>
      </c>
      <c r="AN244" s="838" t="str">
        <f t="shared" si="146"/>
        <v/>
      </c>
      <c r="AO244" s="844">
        <f t="shared" si="134"/>
        <v>0</v>
      </c>
      <c r="AP244" s="839">
        <f>DC308</f>
        <v>0</v>
      </c>
      <c r="AQ244" s="844">
        <f t="shared" si="135"/>
        <v>0</v>
      </c>
      <c r="AR244" s="839" t="str">
        <f t="shared" si="147"/>
        <v/>
      </c>
      <c r="AS244" s="839">
        <f t="shared" si="142"/>
        <v>0</v>
      </c>
      <c r="AT244" s="839">
        <f t="shared" si="148"/>
        <v>0</v>
      </c>
      <c r="AU244" s="839">
        <f>'PV-Einspeisung'!AA60*-1</f>
        <v>0</v>
      </c>
      <c r="AV244" s="839">
        <f>'PV-Einspeisung'!AE60*-1</f>
        <v>0</v>
      </c>
      <c r="AW244" s="839"/>
      <c r="AX244" s="839" t="str">
        <f t="shared" si="149"/>
        <v/>
      </c>
      <c r="AY244" s="841" t="str">
        <f t="shared" si="136"/>
        <v/>
      </c>
      <c r="AZ244" s="842" t="str">
        <f>IF($AN244="","",AZ243*$AZ$201)</f>
        <v/>
      </c>
      <c r="BA244" s="842" t="str">
        <f t="shared" si="151"/>
        <v/>
      </c>
      <c r="BB244" s="842" t="str">
        <f t="shared" si="152"/>
        <v/>
      </c>
      <c r="BC244" s="842" t="str">
        <f t="shared" si="153"/>
        <v/>
      </c>
      <c r="BD244" s="842" t="str">
        <f t="shared" si="154"/>
        <v/>
      </c>
      <c r="BE244" s="842" t="str">
        <f t="shared" si="155"/>
        <v/>
      </c>
      <c r="BF244" s="842" t="str">
        <f t="shared" si="156"/>
        <v/>
      </c>
      <c r="BG244" s="842" t="str">
        <f t="shared" si="157"/>
        <v/>
      </c>
      <c r="BH244" s="858" t="str">
        <f t="shared" si="138"/>
        <v/>
      </c>
      <c r="BI244" s="857" t="str">
        <f t="shared" si="158"/>
        <v/>
      </c>
      <c r="BJ244" s="857" t="str">
        <f t="shared" si="159"/>
        <v/>
      </c>
      <c r="BK244" s="859">
        <f>'PV-Einspeisung'!AB60*-1</f>
        <v>0</v>
      </c>
      <c r="BL244" s="824">
        <f t="shared" si="172"/>
        <v>0</v>
      </c>
      <c r="BM244" s="824">
        <f t="shared" si="173"/>
        <v>0</v>
      </c>
      <c r="BN244" s="824">
        <f t="shared" si="174"/>
        <v>0</v>
      </c>
      <c r="BO244" s="824">
        <f t="shared" si="181"/>
        <v>0</v>
      </c>
      <c r="BP244" s="824">
        <f t="shared" si="181"/>
        <v>0</v>
      </c>
      <c r="BQ244" s="824">
        <f t="shared" si="181"/>
        <v>0</v>
      </c>
      <c r="BR244" s="824">
        <f t="shared" si="181"/>
        <v>0</v>
      </c>
      <c r="BS244" s="824">
        <f t="shared" si="181"/>
        <v>0</v>
      </c>
      <c r="BT244" s="824">
        <f t="shared" si="181"/>
        <v>0</v>
      </c>
      <c r="BU244" s="824">
        <f t="shared" si="181"/>
        <v>0</v>
      </c>
      <c r="BV244" s="824">
        <f t="shared" si="181"/>
        <v>0</v>
      </c>
      <c r="BW244" s="824">
        <f t="shared" si="181"/>
        <v>0</v>
      </c>
      <c r="BX244" s="824">
        <f t="shared" si="181"/>
        <v>0</v>
      </c>
      <c r="BY244" s="824">
        <f t="shared" si="181"/>
        <v>0</v>
      </c>
      <c r="BZ244" s="824">
        <f t="shared" si="181"/>
        <v>0</v>
      </c>
      <c r="CA244" s="824">
        <f t="shared" si="181"/>
        <v>0</v>
      </c>
      <c r="CB244" s="824">
        <f t="shared" si="181"/>
        <v>0</v>
      </c>
      <c r="CC244" s="824">
        <f t="shared" si="181"/>
        <v>0</v>
      </c>
      <c r="CD244" s="824">
        <f t="shared" si="181"/>
        <v>0</v>
      </c>
      <c r="CE244" s="824">
        <f t="shared" si="175"/>
        <v>0</v>
      </c>
      <c r="CF244" s="824">
        <f t="shared" si="175"/>
        <v>0</v>
      </c>
      <c r="CG244" s="824">
        <f t="shared" si="175"/>
        <v>0</v>
      </c>
      <c r="CH244" s="824">
        <f t="shared" si="175"/>
        <v>0</v>
      </c>
      <c r="CI244" s="824">
        <f t="shared" si="175"/>
        <v>0</v>
      </c>
      <c r="CJ244" s="824">
        <f t="shared" si="175"/>
        <v>0</v>
      </c>
      <c r="CK244" s="824">
        <f t="shared" si="175"/>
        <v>0</v>
      </c>
      <c r="CL244" s="824">
        <f t="shared" si="175"/>
        <v>0</v>
      </c>
      <c r="CM244" s="824">
        <f t="shared" si="175"/>
        <v>0</v>
      </c>
      <c r="CN244" s="824">
        <f t="shared" si="175"/>
        <v>0</v>
      </c>
      <c r="CO244" s="824">
        <f t="shared" si="175"/>
        <v>0</v>
      </c>
      <c r="CP244" s="824">
        <f t="shared" si="175"/>
        <v>0</v>
      </c>
      <c r="CQ244" s="824">
        <f t="shared" si="175"/>
        <v>0</v>
      </c>
      <c r="CR244" s="824">
        <f t="shared" si="175"/>
        <v>0</v>
      </c>
      <c r="CS244" s="824">
        <f t="shared" si="175"/>
        <v>0</v>
      </c>
      <c r="CT244" s="824">
        <f t="shared" si="166"/>
        <v>0</v>
      </c>
      <c r="CU244" s="824">
        <f t="shared" si="166"/>
        <v>0</v>
      </c>
      <c r="CV244" s="824">
        <f t="shared" si="166"/>
        <v>0</v>
      </c>
      <c r="CW244" s="824">
        <f t="shared" si="166"/>
        <v>0</v>
      </c>
      <c r="CX244" s="824">
        <f t="shared" si="166"/>
        <v>0</v>
      </c>
      <c r="CY244" s="824">
        <f t="shared" si="166"/>
        <v>0</v>
      </c>
      <c r="CZ244" s="824">
        <f t="shared" si="166"/>
        <v>0</v>
      </c>
      <c r="DA244" s="824">
        <f t="shared" si="166"/>
        <v>0</v>
      </c>
      <c r="DB244" s="824">
        <f t="shared" si="166"/>
        <v>0</v>
      </c>
      <c r="DC244" s="824">
        <f t="shared" si="166"/>
        <v>0</v>
      </c>
      <c r="DD244" s="824">
        <f t="shared" si="166"/>
        <v>0</v>
      </c>
      <c r="DE244" s="824">
        <f t="shared" si="166"/>
        <v>0</v>
      </c>
      <c r="DF244" s="824">
        <f t="shared" si="166"/>
        <v>0</v>
      </c>
      <c r="DG244" s="824">
        <f t="shared" si="169"/>
        <v>0</v>
      </c>
      <c r="DH244" s="824">
        <f t="shared" si="169"/>
        <v>0</v>
      </c>
      <c r="DI244" s="824">
        <f t="shared" si="169"/>
        <v>0</v>
      </c>
      <c r="DJ244" s="824">
        <f t="shared" si="169"/>
        <v>0</v>
      </c>
      <c r="DK244" s="824">
        <f t="shared" si="168"/>
        <v>0</v>
      </c>
      <c r="DL244" s="824">
        <f t="shared" si="168"/>
        <v>0</v>
      </c>
    </row>
    <row r="245" spans="2:116" ht="15" customHeight="1" thickBot="1" x14ac:dyDescent="0.3">
      <c r="B245" s="1673"/>
      <c r="C245" s="1680"/>
      <c r="D245" s="15" t="s">
        <v>51</v>
      </c>
      <c r="E245" s="116"/>
      <c r="F245" s="116">
        <f>SUBTOTAL(109,'3.1 I&amp;W'!$X$120)</f>
        <v>0</v>
      </c>
      <c r="G245" s="116">
        <f>SUBTOTAL(109,'3.1 I&amp;W'!$Y$120)</f>
        <v>0</v>
      </c>
      <c r="H245" s="116">
        <f>SUBTOTAL(109,'3.1 I&amp;W'!$AD$120)</f>
        <v>0</v>
      </c>
      <c r="I245" s="116">
        <f>SUBTOTAL(109,'3.1 I&amp;W'!$AE$120)</f>
        <v>0</v>
      </c>
      <c r="J245" s="116"/>
      <c r="K245" s="116"/>
      <c r="L245" s="116"/>
      <c r="M245" s="116">
        <f>SUBTOTAL(109,'3.1 I&amp;W'!$AI$120)</f>
        <v>0</v>
      </c>
      <c r="N245" s="156">
        <f t="shared" si="128"/>
        <v>0</v>
      </c>
      <c r="O245" s="116">
        <f>SUBTOTAL(109,'3.1 I&amp;W'!$S$120)</f>
        <v>0</v>
      </c>
      <c r="P245" s="30">
        <f t="shared" si="176"/>
        <v>0</v>
      </c>
      <c r="Q245" s="31">
        <f t="shared" si="177"/>
        <v>0</v>
      </c>
      <c r="R245" s="31">
        <f t="shared" si="178"/>
        <v>0</v>
      </c>
      <c r="S245" s="31">
        <f t="shared" si="179"/>
        <v>0</v>
      </c>
      <c r="T245" s="32">
        <f t="shared" si="180"/>
        <v>0</v>
      </c>
      <c r="U245" s="37">
        <f t="shared" si="129"/>
        <v>0</v>
      </c>
      <c r="V245" s="40">
        <f t="shared" si="170"/>
        <v>0</v>
      </c>
      <c r="W245" s="41">
        <f t="shared" si="171"/>
        <v>0</v>
      </c>
      <c r="X245" s="43"/>
      <c r="Y245" s="46"/>
      <c r="Z245" s="126"/>
      <c r="AA245" s="136"/>
      <c r="AB245" s="131">
        <v>42</v>
      </c>
      <c r="AC245" s="168">
        <f>IF(AF244&lt;=1,0,'3.1 Fi&amp;Fo'!$I$25)</f>
        <v>0</v>
      </c>
      <c r="AD245" s="169">
        <f>IF(AF244&lt;=1,0,AF244*'3.1 Fi&amp;Fo'!$H$25)</f>
        <v>0</v>
      </c>
      <c r="AE245" s="169">
        <f t="shared" si="182"/>
        <v>0</v>
      </c>
      <c r="AF245" s="170">
        <f t="shared" si="183"/>
        <v>2.5029294192790985E-9</v>
      </c>
      <c r="AG245" s="168">
        <f>IF(AJ244&lt;=1,0,IF(AB245&lt;='3.1 Fi&amp;Fo'!$F$34,'3.1 Fi&amp;Fo'!$J$34,IF(AB245&lt;='3.1 Fi&amp;Fo'!$F$35,'3.1 Fi&amp;Fo'!$J$35,IF(AB245&lt;='3.1 Fi&amp;Fo'!$F$36,'3.1 Fi&amp;Fo'!$J$36,IF(AB245&lt;='3.1 Fi&amp;Fo'!$F$37,'3.1 Fi&amp;Fo'!$J$37,IF(AB245&lt;='3.1 Fi&amp;Fo'!$F$38,'3.1 Fi&amp;Fo'!$J$38,IF(AB245&lt;='3.1 Fi&amp;Fo'!$F$39,'3.1 Fi&amp;Fo'!$J$39,IF(AB245&lt;='3.1 Fi&amp;Fo'!$F$40,'3.1 Fi&amp;Fo'!$J$40))))))))</f>
        <v>0</v>
      </c>
      <c r="AH245" s="169">
        <f>IF(AJ244&lt;=1,0,AJ244*IF(AB245&lt;='3.1 Fi&amp;Fo'!$F$34,'3.1 Fi&amp;Fo'!$I$34,IF(AB245&lt;='3.1 Fi&amp;Fo'!$F$35,'3.1 Fi&amp;Fo'!$I$35,IF(AB245&lt;='3.1 Fi&amp;Fo'!$F$36,'3.1 Fi&amp;Fo'!$I$36,IF(AB245&lt;='3.1 Fi&amp;Fo'!$F$37,'3.1 Fi&amp;Fo'!$I$37,IF(AB245&lt;='3.1 Fi&amp;Fo'!$F$40,'3.1 Fi&amp;Fo'!$I$40))))))</f>
        <v>0</v>
      </c>
      <c r="AI245" s="169">
        <f t="shared" si="184"/>
        <v>0</v>
      </c>
      <c r="AJ245" s="170">
        <f t="shared" si="185"/>
        <v>0</v>
      </c>
      <c r="AK245" s="312">
        <f t="shared" si="186"/>
        <v>0</v>
      </c>
      <c r="AL245" s="169">
        <f>IF(AB245&lt;='3.1 Fi&amp;Fo'!$J$15,'3.1 Fi&amp;Fo'!$I$15,0)</f>
        <v>0</v>
      </c>
      <c r="AM245" s="169">
        <f t="shared" si="187"/>
        <v>0</v>
      </c>
      <c r="AN245" s="838" t="str">
        <f t="shared" si="146"/>
        <v/>
      </c>
      <c r="AO245" s="844">
        <f t="shared" si="134"/>
        <v>0</v>
      </c>
      <c r="AP245" s="839">
        <f>DD308</f>
        <v>0</v>
      </c>
      <c r="AQ245" s="844">
        <f t="shared" si="135"/>
        <v>0</v>
      </c>
      <c r="AR245" s="839" t="str">
        <f t="shared" si="147"/>
        <v/>
      </c>
      <c r="AS245" s="839">
        <f t="shared" si="142"/>
        <v>0</v>
      </c>
      <c r="AT245" s="839">
        <f t="shared" si="148"/>
        <v>0</v>
      </c>
      <c r="AU245" s="839">
        <f>'PV-Einspeisung'!AA61*-1</f>
        <v>0</v>
      </c>
      <c r="AV245" s="839">
        <f>'PV-Einspeisung'!AE61*-1</f>
        <v>0</v>
      </c>
      <c r="AW245" s="839"/>
      <c r="AX245" s="839" t="str">
        <f t="shared" si="149"/>
        <v/>
      </c>
      <c r="AY245" s="841" t="str">
        <f t="shared" si="136"/>
        <v/>
      </c>
      <c r="AZ245" s="842" t="str">
        <f t="shared" si="150"/>
        <v/>
      </c>
      <c r="BA245" s="842" t="str">
        <f t="shared" si="151"/>
        <v/>
      </c>
      <c r="BB245" s="842" t="str">
        <f t="shared" si="152"/>
        <v/>
      </c>
      <c r="BC245" s="842" t="str">
        <f t="shared" si="153"/>
        <v/>
      </c>
      <c r="BD245" s="842" t="str">
        <f t="shared" si="154"/>
        <v/>
      </c>
      <c r="BE245" s="842" t="str">
        <f t="shared" si="155"/>
        <v/>
      </c>
      <c r="BF245" s="842" t="str">
        <f t="shared" si="156"/>
        <v/>
      </c>
      <c r="BG245" s="842" t="str">
        <f t="shared" si="157"/>
        <v/>
      </c>
      <c r="BH245" s="858" t="str">
        <f t="shared" si="138"/>
        <v/>
      </c>
      <c r="BI245" s="857" t="str">
        <f t="shared" si="158"/>
        <v/>
      </c>
      <c r="BJ245" s="857" t="str">
        <f t="shared" si="159"/>
        <v/>
      </c>
      <c r="BK245" s="859">
        <f>'PV-Einspeisung'!AB61*-1</f>
        <v>0</v>
      </c>
      <c r="BL245" s="824">
        <f t="shared" si="172"/>
        <v>0</v>
      </c>
      <c r="BM245" s="824">
        <f t="shared" si="173"/>
        <v>0</v>
      </c>
      <c r="BN245" s="824">
        <f t="shared" si="174"/>
        <v>0</v>
      </c>
      <c r="BO245" s="824">
        <f t="shared" si="181"/>
        <v>0</v>
      </c>
      <c r="BP245" s="824">
        <f t="shared" si="181"/>
        <v>0</v>
      </c>
      <c r="BQ245" s="824">
        <f t="shared" si="181"/>
        <v>0</v>
      </c>
      <c r="BR245" s="824">
        <f t="shared" si="181"/>
        <v>0</v>
      </c>
      <c r="BS245" s="824">
        <f t="shared" si="181"/>
        <v>0</v>
      </c>
      <c r="BT245" s="824">
        <f t="shared" si="181"/>
        <v>0</v>
      </c>
      <c r="BU245" s="824">
        <f t="shared" si="181"/>
        <v>0</v>
      </c>
      <c r="BV245" s="824">
        <f t="shared" si="181"/>
        <v>0</v>
      </c>
      <c r="BW245" s="824">
        <f t="shared" si="181"/>
        <v>0</v>
      </c>
      <c r="BX245" s="824">
        <f t="shared" si="181"/>
        <v>0</v>
      </c>
      <c r="BY245" s="824">
        <f t="shared" si="181"/>
        <v>0</v>
      </c>
      <c r="BZ245" s="824">
        <f t="shared" si="181"/>
        <v>0</v>
      </c>
      <c r="CA245" s="824">
        <f t="shared" si="181"/>
        <v>0</v>
      </c>
      <c r="CB245" s="824">
        <f t="shared" si="181"/>
        <v>0</v>
      </c>
      <c r="CC245" s="824">
        <f t="shared" si="181"/>
        <v>0</v>
      </c>
      <c r="CD245" s="824">
        <f t="shared" si="181"/>
        <v>0</v>
      </c>
      <c r="CE245" s="824">
        <f t="shared" si="175"/>
        <v>0</v>
      </c>
      <c r="CF245" s="824">
        <f t="shared" si="175"/>
        <v>0</v>
      </c>
      <c r="CG245" s="824">
        <f t="shared" si="175"/>
        <v>0</v>
      </c>
      <c r="CH245" s="824">
        <f t="shared" si="175"/>
        <v>0</v>
      </c>
      <c r="CI245" s="824">
        <f t="shared" si="175"/>
        <v>0</v>
      </c>
      <c r="CJ245" s="824">
        <f t="shared" si="175"/>
        <v>0</v>
      </c>
      <c r="CK245" s="824">
        <f t="shared" si="175"/>
        <v>0</v>
      </c>
      <c r="CL245" s="824">
        <f t="shared" si="175"/>
        <v>0</v>
      </c>
      <c r="CM245" s="824">
        <f t="shared" si="175"/>
        <v>0</v>
      </c>
      <c r="CN245" s="824">
        <f t="shared" si="175"/>
        <v>0</v>
      </c>
      <c r="CO245" s="824">
        <f t="shared" si="175"/>
        <v>0</v>
      </c>
      <c r="CP245" s="824">
        <f t="shared" si="175"/>
        <v>0</v>
      </c>
      <c r="CQ245" s="824">
        <f t="shared" si="175"/>
        <v>0</v>
      </c>
      <c r="CR245" s="824">
        <f t="shared" si="175"/>
        <v>0</v>
      </c>
      <c r="CS245" s="824">
        <f t="shared" si="175"/>
        <v>0</v>
      </c>
      <c r="CT245" s="824">
        <f t="shared" si="166"/>
        <v>0</v>
      </c>
      <c r="CU245" s="824">
        <f t="shared" si="166"/>
        <v>0</v>
      </c>
      <c r="CV245" s="824">
        <f t="shared" si="166"/>
        <v>0</v>
      </c>
      <c r="CW245" s="824">
        <f t="shared" si="166"/>
        <v>0</v>
      </c>
      <c r="CX245" s="824">
        <f t="shared" si="166"/>
        <v>0</v>
      </c>
      <c r="CY245" s="824">
        <f t="shared" si="166"/>
        <v>0</v>
      </c>
      <c r="CZ245" s="824">
        <f t="shared" si="166"/>
        <v>0</v>
      </c>
      <c r="DA245" s="824">
        <f t="shared" si="166"/>
        <v>0</v>
      </c>
      <c r="DB245" s="824">
        <f t="shared" si="166"/>
        <v>0</v>
      </c>
      <c r="DC245" s="824">
        <f t="shared" si="166"/>
        <v>0</v>
      </c>
      <c r="DD245" s="824">
        <f t="shared" si="166"/>
        <v>0</v>
      </c>
      <c r="DE245" s="824">
        <f t="shared" si="166"/>
        <v>0</v>
      </c>
      <c r="DF245" s="824">
        <f t="shared" si="166"/>
        <v>0</v>
      </c>
      <c r="DG245" s="824">
        <f t="shared" si="169"/>
        <v>0</v>
      </c>
      <c r="DH245" s="824">
        <f t="shared" si="169"/>
        <v>0</v>
      </c>
      <c r="DI245" s="824">
        <f t="shared" si="169"/>
        <v>0</v>
      </c>
      <c r="DJ245" s="824">
        <f t="shared" si="169"/>
        <v>0</v>
      </c>
      <c r="DK245" s="824">
        <f t="shared" si="168"/>
        <v>0</v>
      </c>
      <c r="DL245" s="824">
        <f t="shared" si="168"/>
        <v>0</v>
      </c>
    </row>
    <row r="246" spans="2:116" ht="15" customHeight="1" thickBot="1" x14ac:dyDescent="0.3">
      <c r="B246" s="1673"/>
      <c r="C246" s="1680"/>
      <c r="D246" s="15" t="s">
        <v>44</v>
      </c>
      <c r="E246" s="165"/>
      <c r="F246" s="116">
        <f>SUBTOTAL(109,'3.1 I&amp;W'!$X$128)</f>
        <v>0</v>
      </c>
      <c r="G246" s="116">
        <f>SUBTOTAL(109,'3.1 I&amp;W'!$Y$128)</f>
        <v>0</v>
      </c>
      <c r="H246" s="116">
        <f>SUBTOTAL(109,'3.1 I&amp;W'!$AD$128)</f>
        <v>4.1768922535113627E-2</v>
      </c>
      <c r="I246" s="116">
        <f>SUBTOTAL(109,'3.1 I&amp;W'!$AE$128)</f>
        <v>1205</v>
      </c>
      <c r="J246" s="116"/>
      <c r="K246" s="116"/>
      <c r="L246" s="116"/>
      <c r="M246" s="116">
        <f>SUBTOTAL(109,'3.1 I&amp;W'!$AI$128)</f>
        <v>20</v>
      </c>
      <c r="N246" s="156">
        <f t="shared" si="128"/>
        <v>1</v>
      </c>
      <c r="O246" s="116">
        <f>SUBTOTAL(109,'3.1 I&amp;W'!$S$128)</f>
        <v>28849.200000000001</v>
      </c>
      <c r="P246" s="30">
        <f t="shared" si="176"/>
        <v>26668.862867232485</v>
      </c>
      <c r="Q246" s="31">
        <f t="shared" si="177"/>
        <v>0</v>
      </c>
      <c r="R246" s="31">
        <f t="shared" si="178"/>
        <v>0</v>
      </c>
      <c r="S246" s="31">
        <f t="shared" si="179"/>
        <v>0</v>
      </c>
      <c r="T246" s="32">
        <f t="shared" si="180"/>
        <v>0</v>
      </c>
      <c r="U246" s="37">
        <f t="shared" si="129"/>
        <v>4953.8394855993974</v>
      </c>
      <c r="V246" s="40">
        <f t="shared" si="170"/>
        <v>0</v>
      </c>
      <c r="W246" s="41">
        <f t="shared" si="171"/>
        <v>38706.771123167651</v>
      </c>
      <c r="X246" s="43"/>
      <c r="Y246" s="46"/>
      <c r="Z246" s="126"/>
      <c r="AA246" s="136"/>
      <c r="AB246" s="131">
        <v>43</v>
      </c>
      <c r="AC246" s="168">
        <f>IF(AF245&lt;=1,0,'3.1 Fi&amp;Fo'!$I$25)</f>
        <v>0</v>
      </c>
      <c r="AD246" s="169">
        <f>IF(AF245&lt;=1,0,AF245*'3.1 Fi&amp;Fo'!$H$25)</f>
        <v>0</v>
      </c>
      <c r="AE246" s="169">
        <f t="shared" si="182"/>
        <v>0</v>
      </c>
      <c r="AF246" s="170">
        <f t="shared" si="183"/>
        <v>2.5029294192790985E-9</v>
      </c>
      <c r="AG246" s="168">
        <f>IF(AJ245&lt;=1,0,IF(AB246&lt;='3.1 Fi&amp;Fo'!$F$34,'3.1 Fi&amp;Fo'!$J$34,IF(AB246&lt;='3.1 Fi&amp;Fo'!$F$35,'3.1 Fi&amp;Fo'!$J$35,IF(AB246&lt;='3.1 Fi&amp;Fo'!$F$36,'3.1 Fi&amp;Fo'!$J$36,IF(AB246&lt;='3.1 Fi&amp;Fo'!$F$37,'3.1 Fi&amp;Fo'!$J$37,IF(AB246&lt;='3.1 Fi&amp;Fo'!$F$38,'3.1 Fi&amp;Fo'!$J$38,IF(AB246&lt;='3.1 Fi&amp;Fo'!$F$39,'3.1 Fi&amp;Fo'!$J$39,IF(AB246&lt;='3.1 Fi&amp;Fo'!$F$40,'3.1 Fi&amp;Fo'!$J$40))))))))</f>
        <v>0</v>
      </c>
      <c r="AH246" s="169">
        <f>IF(AJ245&lt;=1,0,AJ245*IF(AB246&lt;='3.1 Fi&amp;Fo'!$F$34,'3.1 Fi&amp;Fo'!$I$34,IF(AB246&lt;='3.1 Fi&amp;Fo'!$F$35,'3.1 Fi&amp;Fo'!$I$35,IF(AB246&lt;='3.1 Fi&amp;Fo'!$F$36,'3.1 Fi&amp;Fo'!$I$36,IF(AB246&lt;='3.1 Fi&amp;Fo'!$F$37,'3.1 Fi&amp;Fo'!$I$37,IF(AB246&lt;='3.1 Fi&amp;Fo'!$F$40,'3.1 Fi&amp;Fo'!$I$40))))))</f>
        <v>0</v>
      </c>
      <c r="AI246" s="169">
        <f t="shared" si="184"/>
        <v>0</v>
      </c>
      <c r="AJ246" s="170">
        <f t="shared" si="185"/>
        <v>0</v>
      </c>
      <c r="AK246" s="312">
        <f t="shared" si="186"/>
        <v>0</v>
      </c>
      <c r="AL246" s="169">
        <f>IF(AB246&lt;='3.1 Fi&amp;Fo'!$J$15,'3.1 Fi&amp;Fo'!$I$15,0)</f>
        <v>0</v>
      </c>
      <c r="AM246" s="169">
        <f t="shared" si="187"/>
        <v>0</v>
      </c>
      <c r="AN246" s="838" t="str">
        <f t="shared" si="146"/>
        <v/>
      </c>
      <c r="AO246" s="844">
        <f t="shared" si="134"/>
        <v>0</v>
      </c>
      <c r="AP246" s="839">
        <f>DE308</f>
        <v>0</v>
      </c>
      <c r="AQ246" s="844">
        <f t="shared" si="135"/>
        <v>0</v>
      </c>
      <c r="AR246" s="839" t="str">
        <f t="shared" si="147"/>
        <v/>
      </c>
      <c r="AS246" s="839">
        <f t="shared" si="142"/>
        <v>0</v>
      </c>
      <c r="AT246" s="839">
        <f t="shared" si="148"/>
        <v>0</v>
      </c>
      <c r="AU246" s="839">
        <f>'PV-Einspeisung'!AA62*-1</f>
        <v>0</v>
      </c>
      <c r="AV246" s="839">
        <f>'PV-Einspeisung'!AE62*-1</f>
        <v>0</v>
      </c>
      <c r="AW246" s="839"/>
      <c r="AX246" s="839" t="str">
        <f t="shared" si="149"/>
        <v/>
      </c>
      <c r="AY246" s="841" t="str">
        <f t="shared" si="136"/>
        <v/>
      </c>
      <c r="AZ246" s="842" t="str">
        <f t="shared" si="150"/>
        <v/>
      </c>
      <c r="BA246" s="842" t="str">
        <f t="shared" si="151"/>
        <v/>
      </c>
      <c r="BB246" s="842" t="str">
        <f t="shared" si="152"/>
        <v/>
      </c>
      <c r="BC246" s="842" t="str">
        <f t="shared" si="153"/>
        <v/>
      </c>
      <c r="BD246" s="842" t="str">
        <f t="shared" si="154"/>
        <v/>
      </c>
      <c r="BE246" s="842" t="str">
        <f t="shared" si="155"/>
        <v/>
      </c>
      <c r="BF246" s="842" t="str">
        <f t="shared" si="156"/>
        <v/>
      </c>
      <c r="BG246" s="842" t="str">
        <f t="shared" si="157"/>
        <v/>
      </c>
      <c r="BH246" s="858" t="str">
        <f t="shared" si="138"/>
        <v/>
      </c>
      <c r="BI246" s="857" t="str">
        <f t="shared" si="158"/>
        <v/>
      </c>
      <c r="BJ246" s="857" t="str">
        <f t="shared" si="159"/>
        <v/>
      </c>
      <c r="BK246" s="859">
        <f>'PV-Einspeisung'!AB62*-1</f>
        <v>0</v>
      </c>
      <c r="BL246" s="824">
        <f t="shared" si="172"/>
        <v>20</v>
      </c>
      <c r="BM246" s="824">
        <f t="shared" si="173"/>
        <v>1</v>
      </c>
      <c r="BN246" s="824">
        <f t="shared" si="174"/>
        <v>28849.200000000001</v>
      </c>
      <c r="BO246" s="824">
        <f t="shared" si="181"/>
        <v>0</v>
      </c>
      <c r="BP246" s="824">
        <f t="shared" si="181"/>
        <v>0</v>
      </c>
      <c r="BQ246" s="824">
        <f t="shared" si="181"/>
        <v>0</v>
      </c>
      <c r="BR246" s="824">
        <f t="shared" si="181"/>
        <v>0</v>
      </c>
      <c r="BS246" s="824">
        <f t="shared" si="181"/>
        <v>0</v>
      </c>
      <c r="BT246" s="824">
        <f t="shared" si="181"/>
        <v>0</v>
      </c>
      <c r="BU246" s="824">
        <f t="shared" si="181"/>
        <v>0</v>
      </c>
      <c r="BV246" s="824">
        <f t="shared" si="181"/>
        <v>0</v>
      </c>
      <c r="BW246" s="824">
        <f t="shared" si="181"/>
        <v>0</v>
      </c>
      <c r="BX246" s="824">
        <f t="shared" si="181"/>
        <v>0</v>
      </c>
      <c r="BY246" s="824">
        <f t="shared" si="181"/>
        <v>0</v>
      </c>
      <c r="BZ246" s="824">
        <f t="shared" si="181"/>
        <v>0</v>
      </c>
      <c r="CA246" s="824">
        <f t="shared" si="181"/>
        <v>0</v>
      </c>
      <c r="CB246" s="824">
        <f t="shared" si="181"/>
        <v>0</v>
      </c>
      <c r="CC246" s="824">
        <f t="shared" si="181"/>
        <v>0</v>
      </c>
      <c r="CD246" s="824">
        <f t="shared" si="181"/>
        <v>0</v>
      </c>
      <c r="CE246" s="824">
        <f t="shared" si="175"/>
        <v>0</v>
      </c>
      <c r="CF246" s="824">
        <f t="shared" si="175"/>
        <v>0</v>
      </c>
      <c r="CG246" s="824">
        <f t="shared" si="175"/>
        <v>0</v>
      </c>
      <c r="CH246" s="824">
        <f t="shared" si="175"/>
        <v>39628.527331267935</v>
      </c>
      <c r="CI246" s="824">
        <f t="shared" si="175"/>
        <v>0</v>
      </c>
      <c r="CJ246" s="824">
        <f t="shared" si="175"/>
        <v>0</v>
      </c>
      <c r="CK246" s="824">
        <f t="shared" si="175"/>
        <v>0</v>
      </c>
      <c r="CL246" s="824">
        <f t="shared" si="175"/>
        <v>0</v>
      </c>
      <c r="CM246" s="824">
        <f t="shared" si="175"/>
        <v>0</v>
      </c>
      <c r="CN246" s="824">
        <f t="shared" si="175"/>
        <v>0</v>
      </c>
      <c r="CO246" s="824">
        <f t="shared" si="175"/>
        <v>0</v>
      </c>
      <c r="CP246" s="824">
        <f t="shared" si="175"/>
        <v>0</v>
      </c>
      <c r="CQ246" s="824">
        <f t="shared" si="175"/>
        <v>0</v>
      </c>
      <c r="CR246" s="824">
        <f t="shared" si="175"/>
        <v>0</v>
      </c>
      <c r="CS246" s="824">
        <f t="shared" si="175"/>
        <v>0</v>
      </c>
      <c r="CT246" s="824">
        <f t="shared" si="166"/>
        <v>0</v>
      </c>
      <c r="CU246" s="824">
        <f t="shared" si="166"/>
        <v>0</v>
      </c>
      <c r="CV246" s="824">
        <f t="shared" si="166"/>
        <v>0</v>
      </c>
      <c r="CW246" s="824">
        <f t="shared" si="166"/>
        <v>0</v>
      </c>
      <c r="CX246" s="824">
        <f t="shared" si="166"/>
        <v>0</v>
      </c>
      <c r="CY246" s="824">
        <f t="shared" si="166"/>
        <v>0</v>
      </c>
      <c r="CZ246" s="824">
        <f t="shared" si="166"/>
        <v>0</v>
      </c>
      <c r="DA246" s="824">
        <f t="shared" si="166"/>
        <v>0</v>
      </c>
      <c r="DB246" s="824">
        <f t="shared" si="166"/>
        <v>0</v>
      </c>
      <c r="DC246" s="824">
        <f t="shared" si="166"/>
        <v>0</v>
      </c>
      <c r="DD246" s="824">
        <f t="shared" si="166"/>
        <v>0</v>
      </c>
      <c r="DE246" s="824">
        <f t="shared" si="166"/>
        <v>0</v>
      </c>
      <c r="DF246" s="824">
        <f t="shared" si="166"/>
        <v>0</v>
      </c>
      <c r="DG246" s="824">
        <f t="shared" si="169"/>
        <v>0</v>
      </c>
      <c r="DH246" s="824">
        <f t="shared" si="169"/>
        <v>0</v>
      </c>
      <c r="DI246" s="824">
        <f t="shared" si="169"/>
        <v>0</v>
      </c>
      <c r="DJ246" s="824">
        <f t="shared" si="169"/>
        <v>0</v>
      </c>
      <c r="DK246" s="824">
        <f t="shared" si="168"/>
        <v>0</v>
      </c>
      <c r="DL246" s="824">
        <f t="shared" si="168"/>
        <v>0</v>
      </c>
    </row>
    <row r="247" spans="2:116" ht="15" customHeight="1" thickBot="1" x14ac:dyDescent="0.3">
      <c r="B247" s="1673"/>
      <c r="C247" s="1680"/>
      <c r="D247" s="15" t="s">
        <v>44</v>
      </c>
      <c r="E247" s="116"/>
      <c r="F247" s="116">
        <f>SUBTOTAL(109,'3.1 I&amp;W'!$X$129)</f>
        <v>0</v>
      </c>
      <c r="G247" s="116">
        <f>SUBTOTAL(109,'3.1 I&amp;W'!$Y$129)</f>
        <v>0</v>
      </c>
      <c r="H247" s="116">
        <f>SUBTOTAL(109,'3.1 I&amp;W'!$AD$129)</f>
        <v>0</v>
      </c>
      <c r="I247" s="116">
        <f>SUBTOTAL(109,'3.1 I&amp;W'!$AE$129)</f>
        <v>0</v>
      </c>
      <c r="J247" s="116"/>
      <c r="K247" s="116"/>
      <c r="L247" s="116"/>
      <c r="M247" s="116">
        <f>SUBTOTAL(109,'3.1 I&amp;W'!$AI$129)</f>
        <v>50</v>
      </c>
      <c r="N247" s="156">
        <f t="shared" si="128"/>
        <v>0</v>
      </c>
      <c r="O247" s="116">
        <f>SUBTOTAL(109,'3.1 I&amp;W'!$S$129)</f>
        <v>98086.8</v>
      </c>
      <c r="P247" s="30">
        <f t="shared" si="176"/>
        <v>0</v>
      </c>
      <c r="Q247" s="31">
        <f t="shared" si="177"/>
        <v>0</v>
      </c>
      <c r="R247" s="31">
        <f t="shared" si="178"/>
        <v>0</v>
      </c>
      <c r="S247" s="31">
        <f t="shared" si="179"/>
        <v>0</v>
      </c>
      <c r="T247" s="32">
        <f t="shared" si="180"/>
        <v>0</v>
      </c>
      <c r="U247" s="37">
        <f t="shared" si="129"/>
        <v>14713.832551815218</v>
      </c>
      <c r="V247" s="40">
        <f t="shared" si="170"/>
        <v>0</v>
      </c>
      <c r="W247" s="41">
        <f t="shared" si="171"/>
        <v>0</v>
      </c>
      <c r="X247" s="43"/>
      <c r="Y247" s="46"/>
      <c r="Z247" s="126"/>
      <c r="AA247" s="136"/>
      <c r="AB247" s="131">
        <v>44</v>
      </c>
      <c r="AC247" s="168">
        <f>IF(AF246&lt;=1,0,'3.1 Fi&amp;Fo'!$I$25)</f>
        <v>0</v>
      </c>
      <c r="AD247" s="169">
        <f>IF(AF246&lt;=1,0,AF246*'3.1 Fi&amp;Fo'!$H$25)</f>
        <v>0</v>
      </c>
      <c r="AE247" s="169">
        <f t="shared" si="182"/>
        <v>0</v>
      </c>
      <c r="AF247" s="170">
        <f t="shared" si="183"/>
        <v>2.5029294192790985E-9</v>
      </c>
      <c r="AG247" s="168">
        <f>IF(AJ246&lt;=1,0,IF(AB247&lt;='3.1 Fi&amp;Fo'!$F$34,'3.1 Fi&amp;Fo'!$J$34,IF(AB247&lt;='3.1 Fi&amp;Fo'!$F$35,'3.1 Fi&amp;Fo'!$J$35,IF(AB247&lt;='3.1 Fi&amp;Fo'!$F$36,'3.1 Fi&amp;Fo'!$J$36,IF(AB247&lt;='3.1 Fi&amp;Fo'!$F$37,'3.1 Fi&amp;Fo'!$J$37,IF(AB247&lt;='3.1 Fi&amp;Fo'!$F$38,'3.1 Fi&amp;Fo'!$J$38,IF(AB247&lt;='3.1 Fi&amp;Fo'!$F$39,'3.1 Fi&amp;Fo'!$J$39,IF(AB247&lt;='3.1 Fi&amp;Fo'!$F$40,'3.1 Fi&amp;Fo'!$J$40))))))))</f>
        <v>0</v>
      </c>
      <c r="AH247" s="169">
        <f>IF(AJ246&lt;=1,0,AJ246*IF(AB247&lt;='3.1 Fi&amp;Fo'!$F$34,'3.1 Fi&amp;Fo'!$I$34,IF(AB247&lt;='3.1 Fi&amp;Fo'!$F$35,'3.1 Fi&amp;Fo'!$I$35,IF(AB247&lt;='3.1 Fi&amp;Fo'!$F$36,'3.1 Fi&amp;Fo'!$I$36,IF(AB247&lt;='3.1 Fi&amp;Fo'!$F$37,'3.1 Fi&amp;Fo'!$I$37,IF(AB247&lt;='3.1 Fi&amp;Fo'!$F$40,'3.1 Fi&amp;Fo'!$I$40))))))</f>
        <v>0</v>
      </c>
      <c r="AI247" s="169">
        <f t="shared" si="184"/>
        <v>0</v>
      </c>
      <c r="AJ247" s="170">
        <f t="shared" si="185"/>
        <v>0</v>
      </c>
      <c r="AK247" s="312">
        <f t="shared" si="186"/>
        <v>0</v>
      </c>
      <c r="AL247" s="169">
        <f>IF(AB247&lt;='3.1 Fi&amp;Fo'!$J$15,'3.1 Fi&amp;Fo'!$I$15,0)</f>
        <v>0</v>
      </c>
      <c r="AM247" s="169">
        <f t="shared" si="187"/>
        <v>0</v>
      </c>
      <c r="AN247" s="838" t="str">
        <f t="shared" si="146"/>
        <v/>
      </c>
      <c r="AO247" s="844">
        <f t="shared" si="134"/>
        <v>0</v>
      </c>
      <c r="AP247" s="839">
        <f>DF308</f>
        <v>0</v>
      </c>
      <c r="AQ247" s="844">
        <f t="shared" si="135"/>
        <v>0</v>
      </c>
      <c r="AR247" s="839" t="str">
        <f t="shared" si="147"/>
        <v/>
      </c>
      <c r="AS247" s="839">
        <f t="shared" si="142"/>
        <v>0</v>
      </c>
      <c r="AT247" s="839">
        <f t="shared" si="148"/>
        <v>0</v>
      </c>
      <c r="AU247" s="839">
        <f>'PV-Einspeisung'!AA63*-1</f>
        <v>0</v>
      </c>
      <c r="AV247" s="839">
        <f>'PV-Einspeisung'!AE63*-1</f>
        <v>0</v>
      </c>
      <c r="AW247" s="839"/>
      <c r="AX247" s="839" t="str">
        <f t="shared" si="149"/>
        <v/>
      </c>
      <c r="AY247" s="841" t="str">
        <f t="shared" si="136"/>
        <v/>
      </c>
      <c r="AZ247" s="842" t="str">
        <f t="shared" si="150"/>
        <v/>
      </c>
      <c r="BA247" s="842" t="str">
        <f t="shared" si="151"/>
        <v/>
      </c>
      <c r="BB247" s="842" t="str">
        <f t="shared" si="152"/>
        <v/>
      </c>
      <c r="BC247" s="842" t="str">
        <f t="shared" si="153"/>
        <v/>
      </c>
      <c r="BD247" s="842" t="str">
        <f t="shared" si="154"/>
        <v/>
      </c>
      <c r="BE247" s="842" t="str">
        <f t="shared" si="155"/>
        <v/>
      </c>
      <c r="BF247" s="842" t="str">
        <f t="shared" si="156"/>
        <v/>
      </c>
      <c r="BG247" s="842" t="str">
        <f t="shared" si="157"/>
        <v/>
      </c>
      <c r="BH247" s="858" t="str">
        <f t="shared" si="138"/>
        <v/>
      </c>
      <c r="BI247" s="857" t="str">
        <f t="shared" si="158"/>
        <v/>
      </c>
      <c r="BJ247" s="857" t="str">
        <f t="shared" si="159"/>
        <v/>
      </c>
      <c r="BK247" s="859">
        <f>'PV-Einspeisung'!AB63*-1</f>
        <v>0</v>
      </c>
      <c r="BL247" s="824">
        <f t="shared" si="172"/>
        <v>50</v>
      </c>
      <c r="BM247" s="824">
        <f t="shared" si="173"/>
        <v>0</v>
      </c>
      <c r="BN247" s="824">
        <f t="shared" si="174"/>
        <v>98086.8</v>
      </c>
      <c r="BO247" s="824">
        <f t="shared" si="181"/>
        <v>0</v>
      </c>
      <c r="BP247" s="824">
        <f t="shared" si="181"/>
        <v>0</v>
      </c>
      <c r="BQ247" s="824">
        <f t="shared" si="181"/>
        <v>0</v>
      </c>
      <c r="BR247" s="824">
        <f t="shared" si="181"/>
        <v>0</v>
      </c>
      <c r="BS247" s="824">
        <f t="shared" si="181"/>
        <v>0</v>
      </c>
      <c r="BT247" s="824">
        <f t="shared" si="181"/>
        <v>0</v>
      </c>
      <c r="BU247" s="824">
        <f t="shared" si="181"/>
        <v>0</v>
      </c>
      <c r="BV247" s="824">
        <f t="shared" si="181"/>
        <v>0</v>
      </c>
      <c r="BW247" s="824">
        <f t="shared" si="181"/>
        <v>0</v>
      </c>
      <c r="BX247" s="824">
        <f t="shared" si="181"/>
        <v>0</v>
      </c>
      <c r="BY247" s="824">
        <f t="shared" si="181"/>
        <v>0</v>
      </c>
      <c r="BZ247" s="824">
        <f t="shared" si="181"/>
        <v>0</v>
      </c>
      <c r="CA247" s="824">
        <f t="shared" si="181"/>
        <v>0</v>
      </c>
      <c r="CB247" s="824">
        <f t="shared" si="181"/>
        <v>0</v>
      </c>
      <c r="CC247" s="824">
        <f t="shared" si="181"/>
        <v>0</v>
      </c>
      <c r="CD247" s="824">
        <f t="shared" si="181"/>
        <v>0</v>
      </c>
      <c r="CE247" s="824">
        <f t="shared" si="175"/>
        <v>0</v>
      </c>
      <c r="CF247" s="824">
        <f t="shared" si="175"/>
        <v>0</v>
      </c>
      <c r="CG247" s="824">
        <f t="shared" si="175"/>
        <v>0</v>
      </c>
      <c r="CH247" s="824">
        <f t="shared" si="175"/>
        <v>0</v>
      </c>
      <c r="CI247" s="824">
        <f t="shared" si="175"/>
        <v>0</v>
      </c>
      <c r="CJ247" s="824">
        <f t="shared" si="175"/>
        <v>0</v>
      </c>
      <c r="CK247" s="824">
        <f t="shared" si="175"/>
        <v>0</v>
      </c>
      <c r="CL247" s="824">
        <f t="shared" si="175"/>
        <v>0</v>
      </c>
      <c r="CM247" s="824">
        <f t="shared" si="175"/>
        <v>0</v>
      </c>
      <c r="CN247" s="824">
        <f t="shared" si="175"/>
        <v>0</v>
      </c>
      <c r="CO247" s="824">
        <f t="shared" si="175"/>
        <v>0</v>
      </c>
      <c r="CP247" s="824">
        <f t="shared" si="175"/>
        <v>0</v>
      </c>
      <c r="CQ247" s="824">
        <f t="shared" si="175"/>
        <v>0</v>
      </c>
      <c r="CR247" s="824">
        <f t="shared" si="175"/>
        <v>0</v>
      </c>
      <c r="CS247" s="824">
        <f t="shared" si="175"/>
        <v>0</v>
      </c>
      <c r="CT247" s="824">
        <f t="shared" si="166"/>
        <v>0</v>
      </c>
      <c r="CU247" s="824">
        <f t="shared" si="166"/>
        <v>0</v>
      </c>
      <c r="CV247" s="824">
        <f t="shared" si="166"/>
        <v>0</v>
      </c>
      <c r="CW247" s="824">
        <f t="shared" si="166"/>
        <v>0</v>
      </c>
      <c r="CX247" s="824">
        <f t="shared" si="166"/>
        <v>0</v>
      </c>
      <c r="CY247" s="824">
        <f t="shared" si="166"/>
        <v>0</v>
      </c>
      <c r="CZ247" s="824">
        <f t="shared" si="166"/>
        <v>0</v>
      </c>
      <c r="DA247" s="824">
        <f t="shared" si="166"/>
        <v>0</v>
      </c>
      <c r="DB247" s="824">
        <f t="shared" si="166"/>
        <v>0</v>
      </c>
      <c r="DC247" s="824">
        <f t="shared" si="166"/>
        <v>0</v>
      </c>
      <c r="DD247" s="824">
        <f t="shared" si="166"/>
        <v>0</v>
      </c>
      <c r="DE247" s="824">
        <f t="shared" si="166"/>
        <v>0</v>
      </c>
      <c r="DF247" s="824">
        <f t="shared" si="166"/>
        <v>0</v>
      </c>
      <c r="DG247" s="824">
        <f t="shared" si="169"/>
        <v>0</v>
      </c>
      <c r="DH247" s="824">
        <f t="shared" si="169"/>
        <v>0</v>
      </c>
      <c r="DI247" s="824">
        <f t="shared" si="169"/>
        <v>0</v>
      </c>
      <c r="DJ247" s="824">
        <f t="shared" si="169"/>
        <v>0</v>
      </c>
      <c r="DK247" s="824">
        <f t="shared" si="169"/>
        <v>0</v>
      </c>
      <c r="DL247" s="824">
        <f t="shared" si="169"/>
        <v>0</v>
      </c>
    </row>
    <row r="248" spans="2:116" ht="15" customHeight="1" thickBot="1" x14ac:dyDescent="0.3">
      <c r="B248" s="1673"/>
      <c r="C248" s="1680"/>
      <c r="D248" s="15" t="s">
        <v>44</v>
      </c>
      <c r="E248" s="165"/>
      <c r="F248" s="116">
        <f>SUBTOTAL(109,'3.1 I&amp;W'!$X$130)</f>
        <v>0</v>
      </c>
      <c r="G248" s="116">
        <f>SUBTOTAL(109,'3.1 I&amp;W'!$Y$130)</f>
        <v>0</v>
      </c>
      <c r="H248" s="116">
        <f>SUBTOTAL(109,'3.1 I&amp;W'!$AD$130)</f>
        <v>0</v>
      </c>
      <c r="I248" s="116">
        <f>SUBTOTAL(109,'3.1 I&amp;W'!$AE$130)</f>
        <v>0</v>
      </c>
      <c r="J248" s="116"/>
      <c r="K248" s="116"/>
      <c r="L248" s="116"/>
      <c r="M248" s="116">
        <f>SUBTOTAL(109,'3.1 I&amp;W'!$AI$130)</f>
        <v>0</v>
      </c>
      <c r="N248" s="156">
        <f t="shared" si="128"/>
        <v>0</v>
      </c>
      <c r="O248" s="116">
        <f>SUBTOTAL(109,'3.1 I&amp;W'!$S$130)</f>
        <v>0</v>
      </c>
      <c r="P248" s="30">
        <f t="shared" si="176"/>
        <v>0</v>
      </c>
      <c r="Q248" s="31">
        <f t="shared" si="177"/>
        <v>0</v>
      </c>
      <c r="R248" s="31">
        <f t="shared" si="178"/>
        <v>0</v>
      </c>
      <c r="S248" s="31">
        <f t="shared" si="179"/>
        <v>0</v>
      </c>
      <c r="T248" s="32">
        <f t="shared" si="180"/>
        <v>0</v>
      </c>
      <c r="U248" s="37">
        <f t="shared" si="129"/>
        <v>0</v>
      </c>
      <c r="V248" s="40">
        <f t="shared" si="170"/>
        <v>0</v>
      </c>
      <c r="W248" s="41">
        <f t="shared" si="171"/>
        <v>0</v>
      </c>
      <c r="X248" s="43"/>
      <c r="Y248" s="46"/>
      <c r="Z248" s="126"/>
      <c r="AA248" s="136"/>
      <c r="AB248" s="131">
        <v>45</v>
      </c>
      <c r="AC248" s="168">
        <f>IF(AF247&lt;=1,0,'3.1 Fi&amp;Fo'!$I$25)</f>
        <v>0</v>
      </c>
      <c r="AD248" s="169">
        <f>IF(AF247&lt;=1,0,AF247*'3.1 Fi&amp;Fo'!$H$25)</f>
        <v>0</v>
      </c>
      <c r="AE248" s="169">
        <f t="shared" si="182"/>
        <v>0</v>
      </c>
      <c r="AF248" s="170">
        <f t="shared" si="183"/>
        <v>2.5029294192790985E-9</v>
      </c>
      <c r="AG248" s="168">
        <f>IF(AJ247&lt;=1,0,IF(AB248&lt;='3.1 Fi&amp;Fo'!$F$34,'3.1 Fi&amp;Fo'!$J$34,IF(AB248&lt;='3.1 Fi&amp;Fo'!$F$35,'3.1 Fi&amp;Fo'!$J$35,IF(AB248&lt;='3.1 Fi&amp;Fo'!$F$36,'3.1 Fi&amp;Fo'!$J$36,IF(AB248&lt;='3.1 Fi&amp;Fo'!$F$37,'3.1 Fi&amp;Fo'!$J$37,IF(AB248&lt;='3.1 Fi&amp;Fo'!$F$38,'3.1 Fi&amp;Fo'!$J$38,IF(AB248&lt;='3.1 Fi&amp;Fo'!$F$39,'3.1 Fi&amp;Fo'!$J$39,IF(AB248&lt;='3.1 Fi&amp;Fo'!$F$40,'3.1 Fi&amp;Fo'!$J$40))))))))</f>
        <v>0</v>
      </c>
      <c r="AH248" s="169">
        <f>IF(AJ247&lt;=1,0,AJ247*IF(AB248&lt;='3.1 Fi&amp;Fo'!$F$34,'3.1 Fi&amp;Fo'!$I$34,IF(AB248&lt;='3.1 Fi&amp;Fo'!$F$35,'3.1 Fi&amp;Fo'!$I$35,IF(AB248&lt;='3.1 Fi&amp;Fo'!$F$36,'3.1 Fi&amp;Fo'!$I$36,IF(AB248&lt;='3.1 Fi&amp;Fo'!$F$37,'3.1 Fi&amp;Fo'!$I$37,IF(AB248&lt;='3.1 Fi&amp;Fo'!$F$40,'3.1 Fi&amp;Fo'!$I$40))))))</f>
        <v>0</v>
      </c>
      <c r="AI248" s="169">
        <f t="shared" si="184"/>
        <v>0</v>
      </c>
      <c r="AJ248" s="170">
        <f t="shared" si="185"/>
        <v>0</v>
      </c>
      <c r="AK248" s="312">
        <f t="shared" si="186"/>
        <v>0</v>
      </c>
      <c r="AL248" s="169">
        <f>IF(AB248&lt;='3.1 Fi&amp;Fo'!$J$15,'3.1 Fi&amp;Fo'!$I$15,0)</f>
        <v>0</v>
      </c>
      <c r="AM248" s="169">
        <f t="shared" si="187"/>
        <v>0</v>
      </c>
      <c r="AN248" s="838" t="str">
        <f t="shared" si="146"/>
        <v/>
      </c>
      <c r="AO248" s="844">
        <f t="shared" si="134"/>
        <v>0</v>
      </c>
      <c r="AP248" s="839">
        <f>DG308</f>
        <v>0</v>
      </c>
      <c r="AQ248" s="844">
        <f t="shared" si="135"/>
        <v>0</v>
      </c>
      <c r="AR248" s="839" t="str">
        <f t="shared" si="147"/>
        <v/>
      </c>
      <c r="AS248" s="839">
        <f t="shared" si="142"/>
        <v>0</v>
      </c>
      <c r="AT248" s="839">
        <f t="shared" si="148"/>
        <v>0</v>
      </c>
      <c r="AU248" s="839">
        <f>'PV-Einspeisung'!AA64*-1</f>
        <v>0</v>
      </c>
      <c r="AV248" s="839">
        <f>'PV-Einspeisung'!AE64*-1</f>
        <v>0</v>
      </c>
      <c r="AW248" s="839"/>
      <c r="AX248" s="839" t="str">
        <f t="shared" si="149"/>
        <v/>
      </c>
      <c r="AY248" s="841" t="str">
        <f t="shared" si="136"/>
        <v/>
      </c>
      <c r="AZ248" s="842" t="str">
        <f t="shared" si="150"/>
        <v/>
      </c>
      <c r="BA248" s="842" t="str">
        <f t="shared" si="151"/>
        <v/>
      </c>
      <c r="BB248" s="842" t="str">
        <f t="shared" si="152"/>
        <v/>
      </c>
      <c r="BC248" s="842" t="str">
        <f t="shared" si="153"/>
        <v/>
      </c>
      <c r="BD248" s="842" t="str">
        <f t="shared" si="154"/>
        <v/>
      </c>
      <c r="BE248" s="842" t="str">
        <f t="shared" si="155"/>
        <v/>
      </c>
      <c r="BF248" s="842" t="str">
        <f t="shared" si="156"/>
        <v/>
      </c>
      <c r="BG248" s="842" t="str">
        <f t="shared" si="157"/>
        <v/>
      </c>
      <c r="BH248" s="858" t="str">
        <f t="shared" si="138"/>
        <v/>
      </c>
      <c r="BI248" s="857" t="str">
        <f t="shared" si="158"/>
        <v/>
      </c>
      <c r="BJ248" s="857" t="str">
        <f t="shared" si="159"/>
        <v/>
      </c>
      <c r="BK248" s="859">
        <f>'PV-Einspeisung'!AB64*-1</f>
        <v>0</v>
      </c>
      <c r="BL248" s="824">
        <f t="shared" si="172"/>
        <v>0</v>
      </c>
      <c r="BM248" s="824">
        <f t="shared" si="173"/>
        <v>0</v>
      </c>
      <c r="BN248" s="824">
        <f t="shared" si="174"/>
        <v>0</v>
      </c>
      <c r="BO248" s="824">
        <f t="shared" si="181"/>
        <v>0</v>
      </c>
      <c r="BP248" s="824">
        <f t="shared" si="181"/>
        <v>0</v>
      </c>
      <c r="BQ248" s="824">
        <f t="shared" si="181"/>
        <v>0</v>
      </c>
      <c r="BR248" s="824">
        <f t="shared" si="181"/>
        <v>0</v>
      </c>
      <c r="BS248" s="824">
        <f t="shared" si="181"/>
        <v>0</v>
      </c>
      <c r="BT248" s="824">
        <f t="shared" si="181"/>
        <v>0</v>
      </c>
      <c r="BU248" s="824">
        <f t="shared" si="181"/>
        <v>0</v>
      </c>
      <c r="BV248" s="824">
        <f t="shared" si="181"/>
        <v>0</v>
      </c>
      <c r="BW248" s="824">
        <f t="shared" si="181"/>
        <v>0</v>
      </c>
      <c r="BX248" s="824">
        <f t="shared" si="181"/>
        <v>0</v>
      </c>
      <c r="BY248" s="824">
        <f t="shared" si="181"/>
        <v>0</v>
      </c>
      <c r="BZ248" s="824">
        <f t="shared" si="181"/>
        <v>0</v>
      </c>
      <c r="CA248" s="824">
        <f t="shared" si="181"/>
        <v>0</v>
      </c>
      <c r="CB248" s="824">
        <f t="shared" si="181"/>
        <v>0</v>
      </c>
      <c r="CC248" s="824">
        <f t="shared" si="181"/>
        <v>0</v>
      </c>
      <c r="CD248" s="824">
        <f t="shared" si="181"/>
        <v>0</v>
      </c>
      <c r="CE248" s="824">
        <f t="shared" si="175"/>
        <v>0</v>
      </c>
      <c r="CF248" s="824">
        <f t="shared" si="175"/>
        <v>0</v>
      </c>
      <c r="CG248" s="824">
        <f t="shared" si="175"/>
        <v>0</v>
      </c>
      <c r="CH248" s="824">
        <f t="shared" si="175"/>
        <v>0</v>
      </c>
      <c r="CI248" s="824">
        <f t="shared" si="175"/>
        <v>0</v>
      </c>
      <c r="CJ248" s="824">
        <f t="shared" si="175"/>
        <v>0</v>
      </c>
      <c r="CK248" s="824">
        <f t="shared" si="175"/>
        <v>0</v>
      </c>
      <c r="CL248" s="824">
        <f t="shared" si="175"/>
        <v>0</v>
      </c>
      <c r="CM248" s="824">
        <f t="shared" si="175"/>
        <v>0</v>
      </c>
      <c r="CN248" s="824">
        <f t="shared" si="175"/>
        <v>0</v>
      </c>
      <c r="CO248" s="824">
        <f t="shared" si="175"/>
        <v>0</v>
      </c>
      <c r="CP248" s="824">
        <f t="shared" si="175"/>
        <v>0</v>
      </c>
      <c r="CQ248" s="824">
        <f t="shared" si="175"/>
        <v>0</v>
      </c>
      <c r="CR248" s="824">
        <f t="shared" si="175"/>
        <v>0</v>
      </c>
      <c r="CS248" s="824">
        <f t="shared" si="175"/>
        <v>0</v>
      </c>
      <c r="CT248" s="824">
        <f t="shared" si="166"/>
        <v>0</v>
      </c>
      <c r="CU248" s="824">
        <f t="shared" si="166"/>
        <v>0</v>
      </c>
      <c r="CV248" s="824">
        <f t="shared" si="166"/>
        <v>0</v>
      </c>
      <c r="CW248" s="824">
        <f t="shared" si="166"/>
        <v>0</v>
      </c>
      <c r="CX248" s="824">
        <f t="shared" si="166"/>
        <v>0</v>
      </c>
      <c r="CY248" s="824">
        <f t="shared" si="166"/>
        <v>0</v>
      </c>
      <c r="CZ248" s="824">
        <f t="shared" si="166"/>
        <v>0</v>
      </c>
      <c r="DA248" s="824">
        <f t="shared" si="166"/>
        <v>0</v>
      </c>
      <c r="DB248" s="824">
        <f t="shared" si="166"/>
        <v>0</v>
      </c>
      <c r="DC248" s="824">
        <f t="shared" si="166"/>
        <v>0</v>
      </c>
      <c r="DD248" s="824">
        <f t="shared" si="166"/>
        <v>0</v>
      </c>
      <c r="DE248" s="824">
        <f t="shared" si="166"/>
        <v>0</v>
      </c>
      <c r="DF248" s="824">
        <f t="shared" si="166"/>
        <v>0</v>
      </c>
      <c r="DG248" s="824">
        <f t="shared" si="169"/>
        <v>0</v>
      </c>
      <c r="DH248" s="824">
        <f t="shared" si="169"/>
        <v>0</v>
      </c>
      <c r="DI248" s="824">
        <f t="shared" si="169"/>
        <v>0</v>
      </c>
      <c r="DJ248" s="824">
        <f t="shared" si="169"/>
        <v>0</v>
      </c>
      <c r="DK248" s="824">
        <f t="shared" si="169"/>
        <v>0</v>
      </c>
      <c r="DL248" s="824">
        <f t="shared" si="169"/>
        <v>0</v>
      </c>
    </row>
    <row r="249" spans="2:116" ht="15" customHeight="1" thickBot="1" x14ac:dyDescent="0.3">
      <c r="B249" s="1673"/>
      <c r="C249" s="1680"/>
      <c r="D249" s="15" t="s">
        <v>44</v>
      </c>
      <c r="E249" s="116"/>
      <c r="F249" s="116">
        <f>SUBTOTAL(109,'3.1 I&amp;W'!$X$131)</f>
        <v>0</v>
      </c>
      <c r="G249" s="116">
        <f>SUBTOTAL(109,'3.1 I&amp;W'!$Y$131)</f>
        <v>0</v>
      </c>
      <c r="H249" s="116">
        <f>SUBTOTAL(109,'3.1 I&amp;W'!$AD$131)</f>
        <v>0</v>
      </c>
      <c r="I249" s="116">
        <f>SUBTOTAL(109,'3.1 I&amp;W'!$AE$131)</f>
        <v>0</v>
      </c>
      <c r="J249" s="116"/>
      <c r="K249" s="116"/>
      <c r="L249" s="116"/>
      <c r="M249" s="116">
        <f>SUBTOTAL(109,'3.1 I&amp;W'!$AI$131)</f>
        <v>0</v>
      </c>
      <c r="N249" s="156">
        <f t="shared" si="128"/>
        <v>0</v>
      </c>
      <c r="O249" s="116">
        <f>SUBTOTAL(109,'3.1 I&amp;W'!$S$131)</f>
        <v>0</v>
      </c>
      <c r="P249" s="30">
        <f t="shared" si="176"/>
        <v>0</v>
      </c>
      <c r="Q249" s="31">
        <f t="shared" si="177"/>
        <v>0</v>
      </c>
      <c r="R249" s="31">
        <f t="shared" si="178"/>
        <v>0</v>
      </c>
      <c r="S249" s="31">
        <f t="shared" si="179"/>
        <v>0</v>
      </c>
      <c r="T249" s="32">
        <f t="shared" si="180"/>
        <v>0</v>
      </c>
      <c r="U249" s="37">
        <f t="shared" si="129"/>
        <v>0</v>
      </c>
      <c r="V249" s="40">
        <f t="shared" si="170"/>
        <v>0</v>
      </c>
      <c r="W249" s="41">
        <f t="shared" si="171"/>
        <v>0</v>
      </c>
      <c r="X249" s="43"/>
      <c r="Y249" s="46"/>
      <c r="Z249" s="126"/>
      <c r="AA249" s="136"/>
      <c r="AB249" s="131">
        <v>46</v>
      </c>
      <c r="AC249" s="168">
        <f>IF(AF248&lt;=1,0,'3.1 Fi&amp;Fo'!$I$25)</f>
        <v>0</v>
      </c>
      <c r="AD249" s="169">
        <f>IF(AF248&lt;=1,0,AF248*'3.1 Fi&amp;Fo'!$H$25)</f>
        <v>0</v>
      </c>
      <c r="AE249" s="169">
        <f t="shared" si="182"/>
        <v>0</v>
      </c>
      <c r="AF249" s="170">
        <f t="shared" si="183"/>
        <v>2.5029294192790985E-9</v>
      </c>
      <c r="AG249" s="168">
        <f>IF(AJ248&lt;=1,0,IF(AB249&lt;='3.1 Fi&amp;Fo'!$F$34,'3.1 Fi&amp;Fo'!$J$34,IF(AB249&lt;='3.1 Fi&amp;Fo'!$F$35,'3.1 Fi&amp;Fo'!$J$35,IF(AB249&lt;='3.1 Fi&amp;Fo'!$F$36,'3.1 Fi&amp;Fo'!$J$36,IF(AB249&lt;='3.1 Fi&amp;Fo'!$F$37,'3.1 Fi&amp;Fo'!$J$37,IF(AB249&lt;='3.1 Fi&amp;Fo'!$F$38,'3.1 Fi&amp;Fo'!$J$38,IF(AB249&lt;='3.1 Fi&amp;Fo'!$F$39,'3.1 Fi&amp;Fo'!$J$39,IF(AB249&lt;='3.1 Fi&amp;Fo'!$F$40,'3.1 Fi&amp;Fo'!$J$40))))))))</f>
        <v>0</v>
      </c>
      <c r="AH249" s="169">
        <f>IF(AJ248&lt;=1,0,AJ248*IF(AB249&lt;='3.1 Fi&amp;Fo'!$F$34,'3.1 Fi&amp;Fo'!$I$34,IF(AB249&lt;='3.1 Fi&amp;Fo'!$F$35,'3.1 Fi&amp;Fo'!$I$35,IF(AB249&lt;='3.1 Fi&amp;Fo'!$F$36,'3.1 Fi&amp;Fo'!$I$36,IF(AB249&lt;='3.1 Fi&amp;Fo'!$F$37,'3.1 Fi&amp;Fo'!$I$37,IF(AB249&lt;='3.1 Fi&amp;Fo'!$F$40,'3.1 Fi&amp;Fo'!$I$40))))))</f>
        <v>0</v>
      </c>
      <c r="AI249" s="169">
        <f t="shared" si="184"/>
        <v>0</v>
      </c>
      <c r="AJ249" s="170">
        <f t="shared" si="185"/>
        <v>0</v>
      </c>
      <c r="AK249" s="312">
        <f t="shared" si="186"/>
        <v>0</v>
      </c>
      <c r="AL249" s="169">
        <f>IF(AB249&lt;='3.1 Fi&amp;Fo'!$J$15,'3.1 Fi&amp;Fo'!$I$15,0)</f>
        <v>0</v>
      </c>
      <c r="AM249" s="169">
        <f t="shared" si="187"/>
        <v>0</v>
      </c>
      <c r="AN249" s="838" t="str">
        <f t="shared" si="146"/>
        <v/>
      </c>
      <c r="AO249" s="844">
        <f t="shared" si="134"/>
        <v>0</v>
      </c>
      <c r="AP249" s="839">
        <f>DH308</f>
        <v>0</v>
      </c>
      <c r="AQ249" s="844">
        <f t="shared" si="135"/>
        <v>0</v>
      </c>
      <c r="AR249" s="839" t="str">
        <f t="shared" si="147"/>
        <v/>
      </c>
      <c r="AS249" s="839">
        <f t="shared" si="142"/>
        <v>0</v>
      </c>
      <c r="AT249" s="839">
        <f t="shared" si="148"/>
        <v>0</v>
      </c>
      <c r="AU249" s="839">
        <f>'PV-Einspeisung'!AA65*-1</f>
        <v>0</v>
      </c>
      <c r="AV249" s="839">
        <f>'PV-Einspeisung'!AE65*-1</f>
        <v>0</v>
      </c>
      <c r="AW249" s="839"/>
      <c r="AX249" s="839" t="str">
        <f t="shared" si="149"/>
        <v/>
      </c>
      <c r="AY249" s="841" t="str">
        <f t="shared" si="136"/>
        <v/>
      </c>
      <c r="AZ249" s="842" t="str">
        <f t="shared" si="150"/>
        <v/>
      </c>
      <c r="BA249" s="842" t="str">
        <f t="shared" si="151"/>
        <v/>
      </c>
      <c r="BB249" s="842" t="str">
        <f t="shared" si="152"/>
        <v/>
      </c>
      <c r="BC249" s="842" t="str">
        <f t="shared" si="153"/>
        <v/>
      </c>
      <c r="BD249" s="842" t="str">
        <f t="shared" si="154"/>
        <v/>
      </c>
      <c r="BE249" s="842" t="str">
        <f t="shared" si="155"/>
        <v/>
      </c>
      <c r="BF249" s="842" t="str">
        <f t="shared" si="156"/>
        <v/>
      </c>
      <c r="BG249" s="842" t="str">
        <f t="shared" si="157"/>
        <v/>
      </c>
      <c r="BH249" s="858" t="str">
        <f t="shared" si="138"/>
        <v/>
      </c>
      <c r="BI249" s="857" t="str">
        <f t="shared" si="158"/>
        <v/>
      </c>
      <c r="BJ249" s="857" t="str">
        <f t="shared" si="159"/>
        <v/>
      </c>
      <c r="BK249" s="859">
        <f>'PV-Einspeisung'!AB65*-1</f>
        <v>0</v>
      </c>
      <c r="BL249" s="824">
        <f t="shared" si="172"/>
        <v>0</v>
      </c>
      <c r="BM249" s="824">
        <f t="shared" si="173"/>
        <v>0</v>
      </c>
      <c r="BN249" s="824">
        <f t="shared" si="174"/>
        <v>0</v>
      </c>
      <c r="BO249" s="824">
        <f t="shared" si="181"/>
        <v>0</v>
      </c>
      <c r="BP249" s="824">
        <f t="shared" si="181"/>
        <v>0</v>
      </c>
      <c r="BQ249" s="824">
        <f t="shared" si="181"/>
        <v>0</v>
      </c>
      <c r="BR249" s="824">
        <f t="shared" si="181"/>
        <v>0</v>
      </c>
      <c r="BS249" s="824">
        <f t="shared" si="181"/>
        <v>0</v>
      </c>
      <c r="BT249" s="824">
        <f t="shared" si="181"/>
        <v>0</v>
      </c>
      <c r="BU249" s="824">
        <f t="shared" si="181"/>
        <v>0</v>
      </c>
      <c r="BV249" s="824">
        <f t="shared" si="181"/>
        <v>0</v>
      </c>
      <c r="BW249" s="824">
        <f t="shared" si="181"/>
        <v>0</v>
      </c>
      <c r="BX249" s="824">
        <f t="shared" si="181"/>
        <v>0</v>
      </c>
      <c r="BY249" s="824">
        <f t="shared" si="181"/>
        <v>0</v>
      </c>
      <c r="BZ249" s="824">
        <f t="shared" si="181"/>
        <v>0</v>
      </c>
      <c r="CA249" s="824">
        <f t="shared" si="181"/>
        <v>0</v>
      </c>
      <c r="CB249" s="824">
        <f t="shared" si="181"/>
        <v>0</v>
      </c>
      <c r="CC249" s="824">
        <f t="shared" si="181"/>
        <v>0</v>
      </c>
      <c r="CD249" s="824">
        <f t="shared" ref="CD249:CS264" si="188">IF(OR(IF($BL249*1&lt;$BL$196,$BL249*1=CD$198,FALSE),IF($BL249*2&lt;$BL$196,$BL249*2=CD$198,FALSE),IF($BL249*3&lt;$BL$196,$BL249*3=CD$198,FALSE),IF($BL249*4&lt;$BL$196,$BL249*4=CD$198,FALSE),IF($BL249*5&lt;$BL$196,$BL249*5=CD$198,FALSE)),$BN249*$BM$196^CD$198,0)</f>
        <v>0</v>
      </c>
      <c r="CE249" s="824">
        <f t="shared" si="188"/>
        <v>0</v>
      </c>
      <c r="CF249" s="824">
        <f t="shared" si="188"/>
        <v>0</v>
      </c>
      <c r="CG249" s="824">
        <f t="shared" si="188"/>
        <v>0</v>
      </c>
      <c r="CH249" s="824">
        <f t="shared" si="188"/>
        <v>0</v>
      </c>
      <c r="CI249" s="824">
        <f t="shared" si="188"/>
        <v>0</v>
      </c>
      <c r="CJ249" s="824">
        <f t="shared" si="188"/>
        <v>0</v>
      </c>
      <c r="CK249" s="824">
        <f t="shared" si="188"/>
        <v>0</v>
      </c>
      <c r="CL249" s="824">
        <f t="shared" si="188"/>
        <v>0</v>
      </c>
      <c r="CM249" s="824">
        <f t="shared" si="188"/>
        <v>0</v>
      </c>
      <c r="CN249" s="824">
        <f t="shared" si="188"/>
        <v>0</v>
      </c>
      <c r="CO249" s="824">
        <f t="shared" si="188"/>
        <v>0</v>
      </c>
      <c r="CP249" s="824">
        <f t="shared" si="188"/>
        <v>0</v>
      </c>
      <c r="CQ249" s="824">
        <f t="shared" si="188"/>
        <v>0</v>
      </c>
      <c r="CR249" s="824">
        <f t="shared" si="188"/>
        <v>0</v>
      </c>
      <c r="CS249" s="824">
        <f t="shared" si="188"/>
        <v>0</v>
      </c>
      <c r="CT249" s="824">
        <f t="shared" si="166"/>
        <v>0</v>
      </c>
      <c r="CU249" s="824">
        <f t="shared" si="166"/>
        <v>0</v>
      </c>
      <c r="CV249" s="824">
        <f t="shared" si="166"/>
        <v>0</v>
      </c>
      <c r="CW249" s="824">
        <f t="shared" si="166"/>
        <v>0</v>
      </c>
      <c r="CX249" s="824">
        <f t="shared" si="166"/>
        <v>0</v>
      </c>
      <c r="CY249" s="824">
        <f t="shared" si="166"/>
        <v>0</v>
      </c>
      <c r="CZ249" s="824">
        <f t="shared" si="166"/>
        <v>0</v>
      </c>
      <c r="DA249" s="824">
        <f t="shared" si="166"/>
        <v>0</v>
      </c>
      <c r="DB249" s="824">
        <f t="shared" si="166"/>
        <v>0</v>
      </c>
      <c r="DC249" s="824">
        <f t="shared" si="166"/>
        <v>0</v>
      </c>
      <c r="DD249" s="824">
        <f t="shared" si="166"/>
        <v>0</v>
      </c>
      <c r="DE249" s="824">
        <f t="shared" si="166"/>
        <v>0</v>
      </c>
      <c r="DF249" s="824">
        <f t="shared" si="166"/>
        <v>0</v>
      </c>
      <c r="DG249" s="824">
        <f t="shared" si="169"/>
        <v>0</v>
      </c>
      <c r="DH249" s="824">
        <f t="shared" si="169"/>
        <v>0</v>
      </c>
      <c r="DI249" s="824">
        <f t="shared" si="169"/>
        <v>0</v>
      </c>
      <c r="DJ249" s="824">
        <f t="shared" si="169"/>
        <v>0</v>
      </c>
      <c r="DK249" s="824">
        <f t="shared" si="169"/>
        <v>0</v>
      </c>
      <c r="DL249" s="824">
        <f t="shared" si="169"/>
        <v>0</v>
      </c>
    </row>
    <row r="250" spans="2:116" ht="15" customHeight="1" thickBot="1" x14ac:dyDescent="0.3">
      <c r="B250" s="1673"/>
      <c r="C250" s="1680"/>
      <c r="D250" s="15" t="s">
        <v>44</v>
      </c>
      <c r="E250" s="165"/>
      <c r="F250" s="116">
        <f>SUBTOTAL(109,'3.1 I&amp;W'!$X$132)</f>
        <v>0</v>
      </c>
      <c r="G250" s="116">
        <f>SUBTOTAL(109,'3.1 I&amp;W'!$Y$132)</f>
        <v>0</v>
      </c>
      <c r="H250" s="116">
        <f>SUBTOTAL(109,'3.1 I&amp;W'!$AD$132)</f>
        <v>0</v>
      </c>
      <c r="I250" s="116">
        <f>SUBTOTAL(109,'3.1 I&amp;W'!$AE$132)</f>
        <v>0</v>
      </c>
      <c r="J250" s="116"/>
      <c r="K250" s="116"/>
      <c r="L250" s="116"/>
      <c r="M250" s="116">
        <f>SUBTOTAL(109,'3.1 I&amp;W'!$AI$132)</f>
        <v>0</v>
      </c>
      <c r="N250" s="156">
        <f t="shared" si="128"/>
        <v>0</v>
      </c>
      <c r="O250" s="116">
        <f>SUBTOTAL(109,'3.1 I&amp;W'!$S$132)</f>
        <v>0</v>
      </c>
      <c r="P250" s="30">
        <f t="shared" si="176"/>
        <v>0</v>
      </c>
      <c r="Q250" s="31">
        <f t="shared" si="177"/>
        <v>0</v>
      </c>
      <c r="R250" s="31">
        <f t="shared" si="178"/>
        <v>0</v>
      </c>
      <c r="S250" s="31">
        <f t="shared" si="179"/>
        <v>0</v>
      </c>
      <c r="T250" s="32">
        <f t="shared" si="180"/>
        <v>0</v>
      </c>
      <c r="U250" s="37">
        <f t="shared" si="129"/>
        <v>0</v>
      </c>
      <c r="V250" s="40">
        <f t="shared" si="170"/>
        <v>0</v>
      </c>
      <c r="W250" s="41">
        <f t="shared" si="171"/>
        <v>0</v>
      </c>
      <c r="X250" s="43"/>
      <c r="Y250" s="46"/>
      <c r="Z250" s="126"/>
      <c r="AA250" s="136"/>
      <c r="AB250" s="131">
        <v>47</v>
      </c>
      <c r="AC250" s="168">
        <f>IF(AF249&lt;=1,0,'3.1 Fi&amp;Fo'!$I$25)</f>
        <v>0</v>
      </c>
      <c r="AD250" s="169">
        <f>IF(AF249&lt;=1,0,AF249*'3.1 Fi&amp;Fo'!$H$25)</f>
        <v>0</v>
      </c>
      <c r="AE250" s="169">
        <f t="shared" si="182"/>
        <v>0</v>
      </c>
      <c r="AF250" s="170">
        <f t="shared" si="183"/>
        <v>2.5029294192790985E-9</v>
      </c>
      <c r="AG250" s="168">
        <f>IF(AJ249&lt;=1,0,IF(AB250&lt;='3.1 Fi&amp;Fo'!$F$34,'3.1 Fi&amp;Fo'!$J$34,IF(AB250&lt;='3.1 Fi&amp;Fo'!$F$35,'3.1 Fi&amp;Fo'!$J$35,IF(AB250&lt;='3.1 Fi&amp;Fo'!$F$36,'3.1 Fi&amp;Fo'!$J$36,IF(AB250&lt;='3.1 Fi&amp;Fo'!$F$37,'3.1 Fi&amp;Fo'!$J$37,IF(AB250&lt;='3.1 Fi&amp;Fo'!$F$38,'3.1 Fi&amp;Fo'!$J$38,IF(AB250&lt;='3.1 Fi&amp;Fo'!$F$39,'3.1 Fi&amp;Fo'!$J$39,IF(AB250&lt;='3.1 Fi&amp;Fo'!$F$40,'3.1 Fi&amp;Fo'!$J$40))))))))</f>
        <v>0</v>
      </c>
      <c r="AH250" s="169">
        <f>IF(AJ249&lt;=1,0,AJ249*IF(AB250&lt;='3.1 Fi&amp;Fo'!$F$34,'3.1 Fi&amp;Fo'!$I$34,IF(AB250&lt;='3.1 Fi&amp;Fo'!$F$35,'3.1 Fi&amp;Fo'!$I$35,IF(AB250&lt;='3.1 Fi&amp;Fo'!$F$36,'3.1 Fi&amp;Fo'!$I$36,IF(AB250&lt;='3.1 Fi&amp;Fo'!$F$37,'3.1 Fi&amp;Fo'!$I$37,IF(AB250&lt;='3.1 Fi&amp;Fo'!$F$40,'3.1 Fi&amp;Fo'!$I$40))))))</f>
        <v>0</v>
      </c>
      <c r="AI250" s="169">
        <f t="shared" si="184"/>
        <v>0</v>
      </c>
      <c r="AJ250" s="170">
        <f t="shared" si="185"/>
        <v>0</v>
      </c>
      <c r="AK250" s="312">
        <f t="shared" si="186"/>
        <v>0</v>
      </c>
      <c r="AL250" s="169">
        <f>IF(AB250&lt;='3.1 Fi&amp;Fo'!$J$15,'3.1 Fi&amp;Fo'!$I$15,0)</f>
        <v>0</v>
      </c>
      <c r="AM250" s="169">
        <f t="shared" si="187"/>
        <v>0</v>
      </c>
      <c r="AN250" s="838" t="str">
        <f t="shared" si="146"/>
        <v/>
      </c>
      <c r="AO250" s="844">
        <f t="shared" si="134"/>
        <v>0</v>
      </c>
      <c r="AP250" s="839">
        <f>DI308</f>
        <v>0</v>
      </c>
      <c r="AQ250" s="844">
        <f t="shared" si="135"/>
        <v>0</v>
      </c>
      <c r="AR250" s="839" t="str">
        <f t="shared" si="147"/>
        <v/>
      </c>
      <c r="AS250" s="839">
        <f t="shared" si="142"/>
        <v>0</v>
      </c>
      <c r="AT250" s="839">
        <f t="shared" si="148"/>
        <v>0</v>
      </c>
      <c r="AU250" s="839">
        <f>'PV-Einspeisung'!AA66*-1</f>
        <v>0</v>
      </c>
      <c r="AV250" s="839">
        <f>'PV-Einspeisung'!AE66*-1</f>
        <v>0</v>
      </c>
      <c r="AW250" s="839"/>
      <c r="AX250" s="839" t="str">
        <f t="shared" si="149"/>
        <v/>
      </c>
      <c r="AY250" s="841" t="str">
        <f t="shared" si="136"/>
        <v/>
      </c>
      <c r="AZ250" s="842" t="str">
        <f t="shared" si="150"/>
        <v/>
      </c>
      <c r="BA250" s="842" t="str">
        <f t="shared" si="151"/>
        <v/>
      </c>
      <c r="BB250" s="842" t="str">
        <f t="shared" si="152"/>
        <v/>
      </c>
      <c r="BC250" s="842" t="str">
        <f t="shared" si="153"/>
        <v/>
      </c>
      <c r="BD250" s="842" t="str">
        <f t="shared" si="154"/>
        <v/>
      </c>
      <c r="BE250" s="842" t="str">
        <f t="shared" si="155"/>
        <v/>
      </c>
      <c r="BF250" s="842" t="str">
        <f t="shared" si="156"/>
        <v/>
      </c>
      <c r="BG250" s="842" t="str">
        <f t="shared" si="157"/>
        <v/>
      </c>
      <c r="BH250" s="858" t="str">
        <f t="shared" si="138"/>
        <v/>
      </c>
      <c r="BI250" s="857" t="str">
        <f t="shared" si="158"/>
        <v/>
      </c>
      <c r="BJ250" s="857" t="str">
        <f t="shared" si="159"/>
        <v/>
      </c>
      <c r="BK250" s="859">
        <f>'PV-Einspeisung'!AB66*-1</f>
        <v>0</v>
      </c>
      <c r="BL250" s="824">
        <f t="shared" si="172"/>
        <v>0</v>
      </c>
      <c r="BM250" s="824">
        <f t="shared" si="173"/>
        <v>0</v>
      </c>
      <c r="BN250" s="824">
        <f t="shared" si="174"/>
        <v>0</v>
      </c>
      <c r="BO250" s="824">
        <f t="shared" ref="BO250:CD265" si="189">IF(OR(IF($BL250*1&lt;$BL$196,$BL250*1=BO$198,FALSE),IF($BL250*2&lt;$BL$196,$BL250*2=BO$198,FALSE),IF($BL250*3&lt;$BL$196,$BL250*3=BO$198,FALSE),IF($BL250*4&lt;$BL$196,$BL250*4=BO$198,FALSE),IF($BL250*5&lt;$BL$196,$BL250*5=BO$198,FALSE)),$BN250*$BM$196^BO$198,0)</f>
        <v>0</v>
      </c>
      <c r="BP250" s="824">
        <f t="shared" si="189"/>
        <v>0</v>
      </c>
      <c r="BQ250" s="824">
        <f t="shared" si="189"/>
        <v>0</v>
      </c>
      <c r="BR250" s="824">
        <f t="shared" si="189"/>
        <v>0</v>
      </c>
      <c r="BS250" s="824">
        <f t="shared" si="189"/>
        <v>0</v>
      </c>
      <c r="BT250" s="824">
        <f t="shared" si="189"/>
        <v>0</v>
      </c>
      <c r="BU250" s="824">
        <f t="shared" si="189"/>
        <v>0</v>
      </c>
      <c r="BV250" s="824">
        <f t="shared" si="189"/>
        <v>0</v>
      </c>
      <c r="BW250" s="824">
        <f t="shared" si="189"/>
        <v>0</v>
      </c>
      <c r="BX250" s="824">
        <f t="shared" si="189"/>
        <v>0</v>
      </c>
      <c r="BY250" s="824">
        <f t="shared" si="189"/>
        <v>0</v>
      </c>
      <c r="BZ250" s="824">
        <f t="shared" si="189"/>
        <v>0</v>
      </c>
      <c r="CA250" s="824">
        <f t="shared" si="189"/>
        <v>0</v>
      </c>
      <c r="CB250" s="824">
        <f t="shared" si="189"/>
        <v>0</v>
      </c>
      <c r="CC250" s="824">
        <f t="shared" si="189"/>
        <v>0</v>
      </c>
      <c r="CD250" s="824">
        <f t="shared" si="189"/>
        <v>0</v>
      </c>
      <c r="CE250" s="824">
        <f t="shared" si="188"/>
        <v>0</v>
      </c>
      <c r="CF250" s="824">
        <f t="shared" si="188"/>
        <v>0</v>
      </c>
      <c r="CG250" s="824">
        <f t="shared" si="188"/>
        <v>0</v>
      </c>
      <c r="CH250" s="824">
        <f t="shared" si="188"/>
        <v>0</v>
      </c>
      <c r="CI250" s="824">
        <f t="shared" si="188"/>
        <v>0</v>
      </c>
      <c r="CJ250" s="824">
        <f t="shared" si="188"/>
        <v>0</v>
      </c>
      <c r="CK250" s="824">
        <f t="shared" si="188"/>
        <v>0</v>
      </c>
      <c r="CL250" s="824">
        <f t="shared" si="188"/>
        <v>0</v>
      </c>
      <c r="CM250" s="824">
        <f t="shared" si="188"/>
        <v>0</v>
      </c>
      <c r="CN250" s="824">
        <f t="shared" si="188"/>
        <v>0</v>
      </c>
      <c r="CO250" s="824">
        <f t="shared" si="188"/>
        <v>0</v>
      </c>
      <c r="CP250" s="824">
        <f t="shared" si="188"/>
        <v>0</v>
      </c>
      <c r="CQ250" s="824">
        <f t="shared" si="188"/>
        <v>0</v>
      </c>
      <c r="CR250" s="824">
        <f t="shared" si="188"/>
        <v>0</v>
      </c>
      <c r="CS250" s="824">
        <f t="shared" si="188"/>
        <v>0</v>
      </c>
      <c r="CT250" s="824">
        <f t="shared" si="166"/>
        <v>0</v>
      </c>
      <c r="CU250" s="824">
        <f t="shared" si="166"/>
        <v>0</v>
      </c>
      <c r="CV250" s="824">
        <f t="shared" si="166"/>
        <v>0</v>
      </c>
      <c r="CW250" s="824">
        <f t="shared" si="166"/>
        <v>0</v>
      </c>
      <c r="CX250" s="824">
        <f t="shared" si="166"/>
        <v>0</v>
      </c>
      <c r="CY250" s="824">
        <f t="shared" si="166"/>
        <v>0</v>
      </c>
      <c r="CZ250" s="824">
        <f t="shared" si="166"/>
        <v>0</v>
      </c>
      <c r="DA250" s="824">
        <f t="shared" si="166"/>
        <v>0</v>
      </c>
      <c r="DB250" s="824">
        <f t="shared" ref="DB250:DI250" si="190">IF(OR(IF($BL250*1&lt;$BL$196,$BL250*1=DB$198,FALSE),IF($BL250*2&lt;$BL$196,$BL250*2=DB$198,FALSE),IF($BL250*3&lt;$BL$196,$BL250*3=DB$198,FALSE),IF($BL250*4&lt;$BL$196,$BL250*4=DB$198,FALSE),IF($BL250*5&lt;$BL$196,$BL250*5=DB$198,FALSE)),$BN250*$BM$196^DB$198,0)</f>
        <v>0</v>
      </c>
      <c r="DC250" s="824">
        <f t="shared" si="190"/>
        <v>0</v>
      </c>
      <c r="DD250" s="824">
        <f t="shared" si="190"/>
        <v>0</v>
      </c>
      <c r="DE250" s="824">
        <f t="shared" si="190"/>
        <v>0</v>
      </c>
      <c r="DF250" s="824">
        <f t="shared" si="190"/>
        <v>0</v>
      </c>
      <c r="DG250" s="824">
        <f t="shared" si="190"/>
        <v>0</v>
      </c>
      <c r="DH250" s="824">
        <f t="shared" si="190"/>
        <v>0</v>
      </c>
      <c r="DI250" s="824">
        <f t="shared" si="190"/>
        <v>0</v>
      </c>
      <c r="DJ250" s="824">
        <f t="shared" si="169"/>
        <v>0</v>
      </c>
      <c r="DK250" s="824">
        <f t="shared" si="169"/>
        <v>0</v>
      </c>
      <c r="DL250" s="824">
        <f t="shared" si="169"/>
        <v>0</v>
      </c>
    </row>
    <row r="251" spans="2:116" ht="15" customHeight="1" thickBot="1" x14ac:dyDescent="0.3">
      <c r="B251" s="1673"/>
      <c r="C251" s="1680"/>
      <c r="D251" s="15" t="s">
        <v>44</v>
      </c>
      <c r="E251" s="116"/>
      <c r="F251" s="116">
        <f>SUBTOTAL(109,'3.1 I&amp;W'!$X$133)</f>
        <v>0</v>
      </c>
      <c r="G251" s="116">
        <f>SUBTOTAL(109,'3.1 I&amp;W'!$Y$133)</f>
        <v>0</v>
      </c>
      <c r="H251" s="116">
        <f>SUBTOTAL(109,'3.1 I&amp;W'!$AD$133)</f>
        <v>0</v>
      </c>
      <c r="I251" s="116">
        <f>SUBTOTAL(109,'3.1 I&amp;W'!$AE$133)</f>
        <v>0</v>
      </c>
      <c r="J251" s="116"/>
      <c r="K251" s="116"/>
      <c r="L251" s="116"/>
      <c r="M251" s="116">
        <f>SUBTOTAL(109,'3.1 I&amp;W'!$AI$133)</f>
        <v>0</v>
      </c>
      <c r="N251" s="156">
        <f t="shared" si="128"/>
        <v>0</v>
      </c>
      <c r="O251" s="116">
        <f>SUBTOTAL(109,'3.1 I&amp;W'!$S$133)</f>
        <v>0</v>
      </c>
      <c r="P251" s="30">
        <f t="shared" si="176"/>
        <v>0</v>
      </c>
      <c r="Q251" s="31">
        <f t="shared" si="177"/>
        <v>0</v>
      </c>
      <c r="R251" s="31">
        <f t="shared" si="178"/>
        <v>0</v>
      </c>
      <c r="S251" s="31">
        <f t="shared" si="179"/>
        <v>0</v>
      </c>
      <c r="T251" s="32">
        <f t="shared" si="180"/>
        <v>0</v>
      </c>
      <c r="U251" s="37">
        <f t="shared" si="129"/>
        <v>0</v>
      </c>
      <c r="V251" s="40">
        <f t="shared" si="170"/>
        <v>0</v>
      </c>
      <c r="W251" s="41">
        <f t="shared" si="171"/>
        <v>0</v>
      </c>
      <c r="X251" s="43"/>
      <c r="Y251" s="46"/>
      <c r="Z251" s="126"/>
      <c r="AA251" s="136"/>
      <c r="AB251" s="131">
        <v>48</v>
      </c>
      <c r="AC251" s="168">
        <f>IF(AF250&lt;=1,0,'3.1 Fi&amp;Fo'!$I$25)</f>
        <v>0</v>
      </c>
      <c r="AD251" s="169">
        <f>IF(AF250&lt;=1,0,AF250*'3.1 Fi&amp;Fo'!$H$25)</f>
        <v>0</v>
      </c>
      <c r="AE251" s="169">
        <f t="shared" si="182"/>
        <v>0</v>
      </c>
      <c r="AF251" s="170">
        <f t="shared" si="183"/>
        <v>2.5029294192790985E-9</v>
      </c>
      <c r="AG251" s="168">
        <f>IF(AJ250&lt;=1,0,IF(AB251&lt;='3.1 Fi&amp;Fo'!$F$34,'3.1 Fi&amp;Fo'!$J$34,IF(AB251&lt;='3.1 Fi&amp;Fo'!$F$35,'3.1 Fi&amp;Fo'!$J$35,IF(AB251&lt;='3.1 Fi&amp;Fo'!$F$36,'3.1 Fi&amp;Fo'!$J$36,IF(AB251&lt;='3.1 Fi&amp;Fo'!$F$37,'3.1 Fi&amp;Fo'!$J$37,IF(AB251&lt;='3.1 Fi&amp;Fo'!$F$38,'3.1 Fi&amp;Fo'!$J$38,IF(AB251&lt;='3.1 Fi&amp;Fo'!$F$39,'3.1 Fi&amp;Fo'!$J$39,IF(AB251&lt;='3.1 Fi&amp;Fo'!$F$40,'3.1 Fi&amp;Fo'!$J$40))))))))</f>
        <v>0</v>
      </c>
      <c r="AH251" s="169">
        <f>IF(AJ250&lt;=1,0,AJ250*IF(AB251&lt;='3.1 Fi&amp;Fo'!$F$34,'3.1 Fi&amp;Fo'!$I$34,IF(AB251&lt;='3.1 Fi&amp;Fo'!$F$35,'3.1 Fi&amp;Fo'!$I$35,IF(AB251&lt;='3.1 Fi&amp;Fo'!$F$36,'3.1 Fi&amp;Fo'!$I$36,IF(AB251&lt;='3.1 Fi&amp;Fo'!$F$37,'3.1 Fi&amp;Fo'!$I$37,IF(AB251&lt;='3.1 Fi&amp;Fo'!$F$40,'3.1 Fi&amp;Fo'!$I$40))))))</f>
        <v>0</v>
      </c>
      <c r="AI251" s="169">
        <f t="shared" si="184"/>
        <v>0</v>
      </c>
      <c r="AJ251" s="170">
        <f t="shared" si="185"/>
        <v>0</v>
      </c>
      <c r="AK251" s="312">
        <f t="shared" si="186"/>
        <v>0</v>
      </c>
      <c r="AL251" s="169">
        <f>IF(AB251&lt;='3.1 Fi&amp;Fo'!$J$15,'3.1 Fi&amp;Fo'!$I$15,0)</f>
        <v>0</v>
      </c>
      <c r="AM251" s="169">
        <f t="shared" si="187"/>
        <v>0</v>
      </c>
      <c r="AN251" s="838" t="str">
        <f t="shared" si="146"/>
        <v/>
      </c>
      <c r="AO251" s="844">
        <f t="shared" si="134"/>
        <v>0</v>
      </c>
      <c r="AP251" s="839">
        <f>DJ308</f>
        <v>0</v>
      </c>
      <c r="AQ251" s="844">
        <f t="shared" si="135"/>
        <v>0</v>
      </c>
      <c r="AR251" s="839" t="str">
        <f t="shared" si="147"/>
        <v/>
      </c>
      <c r="AS251" s="839">
        <f t="shared" si="142"/>
        <v>0</v>
      </c>
      <c r="AT251" s="839">
        <f t="shared" si="148"/>
        <v>0</v>
      </c>
      <c r="AU251" s="839">
        <f>'PV-Einspeisung'!AA67*-1</f>
        <v>0</v>
      </c>
      <c r="AV251" s="839">
        <f>'PV-Einspeisung'!AE67*-1</f>
        <v>0</v>
      </c>
      <c r="AW251" s="839"/>
      <c r="AX251" s="839" t="str">
        <f t="shared" si="149"/>
        <v/>
      </c>
      <c r="AY251" s="841" t="str">
        <f t="shared" si="136"/>
        <v/>
      </c>
      <c r="AZ251" s="842" t="str">
        <f t="shared" si="150"/>
        <v/>
      </c>
      <c r="BA251" s="842" t="str">
        <f t="shared" si="151"/>
        <v/>
      </c>
      <c r="BB251" s="842" t="str">
        <f t="shared" si="152"/>
        <v/>
      </c>
      <c r="BC251" s="842" t="str">
        <f t="shared" si="153"/>
        <v/>
      </c>
      <c r="BD251" s="842" t="str">
        <f t="shared" si="154"/>
        <v/>
      </c>
      <c r="BE251" s="842" t="str">
        <f t="shared" si="155"/>
        <v/>
      </c>
      <c r="BF251" s="842" t="str">
        <f t="shared" si="156"/>
        <v/>
      </c>
      <c r="BG251" s="842" t="str">
        <f t="shared" si="157"/>
        <v/>
      </c>
      <c r="BH251" s="858" t="str">
        <f t="shared" si="138"/>
        <v/>
      </c>
      <c r="BI251" s="857" t="str">
        <f t="shared" si="158"/>
        <v/>
      </c>
      <c r="BJ251" s="857" t="str">
        <f t="shared" si="159"/>
        <v/>
      </c>
      <c r="BK251" s="859">
        <f>'PV-Einspeisung'!AB67*-1</f>
        <v>0</v>
      </c>
      <c r="BL251" s="824">
        <f t="shared" si="172"/>
        <v>0</v>
      </c>
      <c r="BM251" s="824">
        <f t="shared" si="173"/>
        <v>0</v>
      </c>
      <c r="BN251" s="824">
        <f t="shared" si="174"/>
        <v>0</v>
      </c>
      <c r="BO251" s="824">
        <f t="shared" si="189"/>
        <v>0</v>
      </c>
      <c r="BP251" s="824">
        <f t="shared" si="189"/>
        <v>0</v>
      </c>
      <c r="BQ251" s="824">
        <f t="shared" si="189"/>
        <v>0</v>
      </c>
      <c r="BR251" s="824">
        <f t="shared" si="189"/>
        <v>0</v>
      </c>
      <c r="BS251" s="824">
        <f t="shared" si="189"/>
        <v>0</v>
      </c>
      <c r="BT251" s="824">
        <f t="shared" si="189"/>
        <v>0</v>
      </c>
      <c r="BU251" s="824">
        <f t="shared" si="189"/>
        <v>0</v>
      </c>
      <c r="BV251" s="824">
        <f t="shared" si="189"/>
        <v>0</v>
      </c>
      <c r="BW251" s="824">
        <f t="shared" si="189"/>
        <v>0</v>
      </c>
      <c r="BX251" s="824">
        <f t="shared" si="189"/>
        <v>0</v>
      </c>
      <c r="BY251" s="824">
        <f t="shared" si="189"/>
        <v>0</v>
      </c>
      <c r="BZ251" s="824">
        <f t="shared" si="189"/>
        <v>0</v>
      </c>
      <c r="CA251" s="824">
        <f t="shared" si="189"/>
        <v>0</v>
      </c>
      <c r="CB251" s="824">
        <f t="shared" si="189"/>
        <v>0</v>
      </c>
      <c r="CC251" s="824">
        <f t="shared" si="189"/>
        <v>0</v>
      </c>
      <c r="CD251" s="824">
        <f t="shared" si="189"/>
        <v>0</v>
      </c>
      <c r="CE251" s="824">
        <f t="shared" si="188"/>
        <v>0</v>
      </c>
      <c r="CF251" s="824">
        <f t="shared" si="188"/>
        <v>0</v>
      </c>
      <c r="CG251" s="824">
        <f t="shared" si="188"/>
        <v>0</v>
      </c>
      <c r="CH251" s="824">
        <f t="shared" si="188"/>
        <v>0</v>
      </c>
      <c r="CI251" s="824">
        <f t="shared" si="188"/>
        <v>0</v>
      </c>
      <c r="CJ251" s="824">
        <f t="shared" si="188"/>
        <v>0</v>
      </c>
      <c r="CK251" s="824">
        <f t="shared" si="188"/>
        <v>0</v>
      </c>
      <c r="CL251" s="824">
        <f t="shared" si="188"/>
        <v>0</v>
      </c>
      <c r="CM251" s="824">
        <f t="shared" si="188"/>
        <v>0</v>
      </c>
      <c r="CN251" s="824">
        <f t="shared" si="188"/>
        <v>0</v>
      </c>
      <c r="CO251" s="824">
        <f t="shared" si="188"/>
        <v>0</v>
      </c>
      <c r="CP251" s="824">
        <f t="shared" si="188"/>
        <v>0</v>
      </c>
      <c r="CQ251" s="824">
        <f t="shared" si="188"/>
        <v>0</v>
      </c>
      <c r="CR251" s="824">
        <f t="shared" si="188"/>
        <v>0</v>
      </c>
      <c r="CS251" s="824">
        <f t="shared" si="188"/>
        <v>0</v>
      </c>
      <c r="CT251" s="824">
        <f t="shared" ref="CT251:DI266" si="191">IF(OR(IF($BL251*1&lt;$BL$196,$BL251*1=CT$198,FALSE),IF($BL251*2&lt;$BL$196,$BL251*2=CT$198,FALSE),IF($BL251*3&lt;$BL$196,$BL251*3=CT$198,FALSE),IF($BL251*4&lt;$BL$196,$BL251*4=CT$198,FALSE),IF($BL251*5&lt;$BL$196,$BL251*5=CT$198,FALSE)),$BN251*$BM$196^CT$198,0)</f>
        <v>0</v>
      </c>
      <c r="CU251" s="824">
        <f t="shared" si="191"/>
        <v>0</v>
      </c>
      <c r="CV251" s="824">
        <f t="shared" si="191"/>
        <v>0</v>
      </c>
      <c r="CW251" s="824">
        <f t="shared" si="191"/>
        <v>0</v>
      </c>
      <c r="CX251" s="824">
        <f t="shared" si="191"/>
        <v>0</v>
      </c>
      <c r="CY251" s="824">
        <f t="shared" si="191"/>
        <v>0</v>
      </c>
      <c r="CZ251" s="824">
        <f t="shared" si="191"/>
        <v>0</v>
      </c>
      <c r="DA251" s="824">
        <f t="shared" si="191"/>
        <v>0</v>
      </c>
      <c r="DB251" s="824">
        <f t="shared" si="191"/>
        <v>0</v>
      </c>
      <c r="DC251" s="824">
        <f t="shared" si="191"/>
        <v>0</v>
      </c>
      <c r="DD251" s="824">
        <f t="shared" si="191"/>
        <v>0</v>
      </c>
      <c r="DE251" s="824">
        <f t="shared" si="191"/>
        <v>0</v>
      </c>
      <c r="DF251" s="824">
        <f t="shared" si="191"/>
        <v>0</v>
      </c>
      <c r="DG251" s="824">
        <f t="shared" si="191"/>
        <v>0</v>
      </c>
      <c r="DH251" s="824">
        <f t="shared" si="191"/>
        <v>0</v>
      </c>
      <c r="DI251" s="824">
        <f t="shared" si="191"/>
        <v>0</v>
      </c>
      <c r="DJ251" s="824">
        <f t="shared" si="169"/>
        <v>0</v>
      </c>
      <c r="DK251" s="824">
        <f t="shared" si="169"/>
        <v>0</v>
      </c>
      <c r="DL251" s="824">
        <f t="shared" si="169"/>
        <v>0</v>
      </c>
    </row>
    <row r="252" spans="2:116" ht="15" customHeight="1" thickBot="1" x14ac:dyDescent="0.3">
      <c r="B252" s="1673"/>
      <c r="C252" s="1680"/>
      <c r="D252" s="15" t="s">
        <v>42</v>
      </c>
      <c r="E252" s="165"/>
      <c r="F252" s="116">
        <f>SUBTOTAL(109,'3.1 I&amp;W'!$X$135)</f>
        <v>0</v>
      </c>
      <c r="G252" s="116">
        <f>SUBTOTAL(109,'3.1 I&amp;W'!$Y$135)</f>
        <v>0</v>
      </c>
      <c r="H252" s="116">
        <f>SUBTOTAL(109,'3.1 I&amp;W'!$AD$135)</f>
        <v>0</v>
      </c>
      <c r="I252" s="116">
        <f>SUBTOTAL(109,'3.1 I&amp;W'!$AE$135)</f>
        <v>0</v>
      </c>
      <c r="J252" s="116"/>
      <c r="K252" s="116"/>
      <c r="L252" s="116"/>
      <c r="M252" s="116">
        <f>SUBTOTAL(109,'3.1 I&amp;W'!$AI$135)</f>
        <v>50</v>
      </c>
      <c r="N252" s="156">
        <f t="shared" si="128"/>
        <v>0</v>
      </c>
      <c r="O252" s="116">
        <f>SUBTOTAL(109,'3.1 I&amp;W'!$S$135)</f>
        <v>21526.475999999999</v>
      </c>
      <c r="P252" s="30">
        <f t="shared" si="176"/>
        <v>0</v>
      </c>
      <c r="Q252" s="31">
        <f t="shared" si="177"/>
        <v>0</v>
      </c>
      <c r="R252" s="31">
        <f t="shared" si="178"/>
        <v>0</v>
      </c>
      <c r="S252" s="31">
        <f t="shared" si="179"/>
        <v>0</v>
      </c>
      <c r="T252" s="32">
        <f t="shared" si="180"/>
        <v>0</v>
      </c>
      <c r="U252" s="37">
        <f t="shared" si="129"/>
        <v>3229.1497254948576</v>
      </c>
      <c r="V252" s="40">
        <f t="shared" si="170"/>
        <v>0</v>
      </c>
      <c r="W252" s="41">
        <f t="shared" si="171"/>
        <v>0</v>
      </c>
      <c r="X252" s="43"/>
      <c r="Y252" s="46"/>
      <c r="Z252" s="126"/>
      <c r="AA252" s="136"/>
      <c r="AB252" s="131">
        <v>49</v>
      </c>
      <c r="AC252" s="168">
        <f>IF(AF251&lt;=1,0,'3.1 Fi&amp;Fo'!$I$25)</f>
        <v>0</v>
      </c>
      <c r="AD252" s="169">
        <f>IF(AF251&lt;=1,0,AF251*'3.1 Fi&amp;Fo'!$H$25)</f>
        <v>0</v>
      </c>
      <c r="AE252" s="169">
        <f t="shared" si="182"/>
        <v>0</v>
      </c>
      <c r="AF252" s="170">
        <f t="shared" si="183"/>
        <v>2.5029294192790985E-9</v>
      </c>
      <c r="AG252" s="168">
        <f>IF(AJ251&lt;=1,0,IF(AB252&lt;='3.1 Fi&amp;Fo'!$F$34,'3.1 Fi&amp;Fo'!$J$34,IF(AB252&lt;='3.1 Fi&amp;Fo'!$F$35,'3.1 Fi&amp;Fo'!$J$35,IF(AB252&lt;='3.1 Fi&amp;Fo'!$F$36,'3.1 Fi&amp;Fo'!$J$36,IF(AB252&lt;='3.1 Fi&amp;Fo'!$F$37,'3.1 Fi&amp;Fo'!$J$37,IF(AB252&lt;='3.1 Fi&amp;Fo'!$F$38,'3.1 Fi&amp;Fo'!$J$38,IF(AB252&lt;='3.1 Fi&amp;Fo'!$F$39,'3.1 Fi&amp;Fo'!$J$39,IF(AB252&lt;='3.1 Fi&amp;Fo'!$F$40,'3.1 Fi&amp;Fo'!$J$40))))))))</f>
        <v>0</v>
      </c>
      <c r="AH252" s="169">
        <f>IF(AJ251&lt;=1,0,AJ251*IF(AB252&lt;='3.1 Fi&amp;Fo'!$F$34,'3.1 Fi&amp;Fo'!$I$34,IF(AB252&lt;='3.1 Fi&amp;Fo'!$F$35,'3.1 Fi&amp;Fo'!$I$35,IF(AB252&lt;='3.1 Fi&amp;Fo'!$F$36,'3.1 Fi&amp;Fo'!$I$36,IF(AB252&lt;='3.1 Fi&amp;Fo'!$F$37,'3.1 Fi&amp;Fo'!$I$37,IF(AB252&lt;='3.1 Fi&amp;Fo'!$F$40,'3.1 Fi&amp;Fo'!$I$40))))))</f>
        <v>0</v>
      </c>
      <c r="AI252" s="169">
        <f t="shared" si="184"/>
        <v>0</v>
      </c>
      <c r="AJ252" s="170">
        <f t="shared" si="185"/>
        <v>0</v>
      </c>
      <c r="AK252" s="312">
        <f t="shared" si="186"/>
        <v>0</v>
      </c>
      <c r="AL252" s="169">
        <f>IF(AB252&lt;='3.1 Fi&amp;Fo'!$J$15,'3.1 Fi&amp;Fo'!$I$15,0)</f>
        <v>0</v>
      </c>
      <c r="AM252" s="169">
        <f t="shared" si="187"/>
        <v>0</v>
      </c>
      <c r="AN252" s="838" t="str">
        <f t="shared" si="146"/>
        <v/>
      </c>
      <c r="AO252" s="844">
        <f t="shared" si="134"/>
        <v>0</v>
      </c>
      <c r="AP252" s="839">
        <f>DK308</f>
        <v>0</v>
      </c>
      <c r="AQ252" s="844">
        <f t="shared" si="135"/>
        <v>0</v>
      </c>
      <c r="AR252" s="839" t="str">
        <f t="shared" si="147"/>
        <v/>
      </c>
      <c r="AS252" s="839">
        <f t="shared" si="142"/>
        <v>0</v>
      </c>
      <c r="AT252" s="839">
        <f t="shared" si="148"/>
        <v>0</v>
      </c>
      <c r="AU252" s="839">
        <f>'PV-Einspeisung'!AA68*-1</f>
        <v>0</v>
      </c>
      <c r="AV252" s="839">
        <f>'PV-Einspeisung'!AE68*-1</f>
        <v>0</v>
      </c>
      <c r="AW252" s="839"/>
      <c r="AX252" s="839" t="str">
        <f t="shared" si="149"/>
        <v/>
      </c>
      <c r="AY252" s="841" t="str">
        <f t="shared" si="136"/>
        <v/>
      </c>
      <c r="AZ252" s="842" t="str">
        <f t="shared" si="150"/>
        <v/>
      </c>
      <c r="BA252" s="842" t="str">
        <f t="shared" si="151"/>
        <v/>
      </c>
      <c r="BB252" s="842" t="str">
        <f t="shared" si="152"/>
        <v/>
      </c>
      <c r="BC252" s="842" t="str">
        <f t="shared" si="153"/>
        <v/>
      </c>
      <c r="BD252" s="842" t="str">
        <f t="shared" si="154"/>
        <v/>
      </c>
      <c r="BE252" s="842" t="str">
        <f t="shared" si="155"/>
        <v/>
      </c>
      <c r="BF252" s="842" t="str">
        <f t="shared" si="156"/>
        <v/>
      </c>
      <c r="BG252" s="842" t="str">
        <f t="shared" si="157"/>
        <v/>
      </c>
      <c r="BH252" s="858" t="str">
        <f t="shared" si="138"/>
        <v/>
      </c>
      <c r="BI252" s="857" t="str">
        <f t="shared" si="158"/>
        <v/>
      </c>
      <c r="BJ252" s="857" t="str">
        <f t="shared" si="159"/>
        <v/>
      </c>
      <c r="BK252" s="859">
        <f>'PV-Einspeisung'!AB68*-1</f>
        <v>0</v>
      </c>
      <c r="BL252" s="824">
        <f t="shared" si="172"/>
        <v>50</v>
      </c>
      <c r="BM252" s="824">
        <f t="shared" si="173"/>
        <v>0</v>
      </c>
      <c r="BN252" s="824">
        <f t="shared" si="174"/>
        <v>21526.475999999999</v>
      </c>
      <c r="BO252" s="824">
        <f t="shared" si="189"/>
        <v>0</v>
      </c>
      <c r="BP252" s="824">
        <f t="shared" si="189"/>
        <v>0</v>
      </c>
      <c r="BQ252" s="824">
        <f t="shared" si="189"/>
        <v>0</v>
      </c>
      <c r="BR252" s="824">
        <f t="shared" si="189"/>
        <v>0</v>
      </c>
      <c r="BS252" s="824">
        <f t="shared" si="189"/>
        <v>0</v>
      </c>
      <c r="BT252" s="824">
        <f t="shared" si="189"/>
        <v>0</v>
      </c>
      <c r="BU252" s="824">
        <f t="shared" si="189"/>
        <v>0</v>
      </c>
      <c r="BV252" s="824">
        <f t="shared" si="189"/>
        <v>0</v>
      </c>
      <c r="BW252" s="824">
        <f t="shared" si="189"/>
        <v>0</v>
      </c>
      <c r="BX252" s="824">
        <f t="shared" si="189"/>
        <v>0</v>
      </c>
      <c r="BY252" s="824">
        <f t="shared" si="189"/>
        <v>0</v>
      </c>
      <c r="BZ252" s="824">
        <f t="shared" si="189"/>
        <v>0</v>
      </c>
      <c r="CA252" s="824">
        <f t="shared" si="189"/>
        <v>0</v>
      </c>
      <c r="CB252" s="824">
        <f t="shared" si="189"/>
        <v>0</v>
      </c>
      <c r="CC252" s="824">
        <f t="shared" si="189"/>
        <v>0</v>
      </c>
      <c r="CD252" s="824">
        <f t="shared" si="189"/>
        <v>0</v>
      </c>
      <c r="CE252" s="824">
        <f t="shared" si="188"/>
        <v>0</v>
      </c>
      <c r="CF252" s="824">
        <f t="shared" si="188"/>
        <v>0</v>
      </c>
      <c r="CG252" s="824">
        <f t="shared" si="188"/>
        <v>0</v>
      </c>
      <c r="CH252" s="824">
        <f t="shared" si="188"/>
        <v>0</v>
      </c>
      <c r="CI252" s="824">
        <f t="shared" si="188"/>
        <v>0</v>
      </c>
      <c r="CJ252" s="824">
        <f t="shared" si="188"/>
        <v>0</v>
      </c>
      <c r="CK252" s="824">
        <f t="shared" si="188"/>
        <v>0</v>
      </c>
      <c r="CL252" s="824">
        <f t="shared" si="188"/>
        <v>0</v>
      </c>
      <c r="CM252" s="824">
        <f t="shared" si="188"/>
        <v>0</v>
      </c>
      <c r="CN252" s="824">
        <f t="shared" si="188"/>
        <v>0</v>
      </c>
      <c r="CO252" s="824">
        <f t="shared" si="188"/>
        <v>0</v>
      </c>
      <c r="CP252" s="824">
        <f t="shared" si="188"/>
        <v>0</v>
      </c>
      <c r="CQ252" s="824">
        <f t="shared" si="188"/>
        <v>0</v>
      </c>
      <c r="CR252" s="824">
        <f t="shared" si="188"/>
        <v>0</v>
      </c>
      <c r="CS252" s="824">
        <f t="shared" si="188"/>
        <v>0</v>
      </c>
      <c r="CT252" s="824">
        <f t="shared" si="191"/>
        <v>0</v>
      </c>
      <c r="CU252" s="824">
        <f t="shared" si="191"/>
        <v>0</v>
      </c>
      <c r="CV252" s="824">
        <f t="shared" si="191"/>
        <v>0</v>
      </c>
      <c r="CW252" s="824">
        <f t="shared" si="191"/>
        <v>0</v>
      </c>
      <c r="CX252" s="824">
        <f t="shared" si="191"/>
        <v>0</v>
      </c>
      <c r="CY252" s="824">
        <f t="shared" si="191"/>
        <v>0</v>
      </c>
      <c r="CZ252" s="824">
        <f t="shared" si="191"/>
        <v>0</v>
      </c>
      <c r="DA252" s="824">
        <f t="shared" si="191"/>
        <v>0</v>
      </c>
      <c r="DB252" s="824">
        <f t="shared" si="191"/>
        <v>0</v>
      </c>
      <c r="DC252" s="824">
        <f t="shared" si="191"/>
        <v>0</v>
      </c>
      <c r="DD252" s="824">
        <f t="shared" si="191"/>
        <v>0</v>
      </c>
      <c r="DE252" s="824">
        <f t="shared" si="191"/>
        <v>0</v>
      </c>
      <c r="DF252" s="824">
        <f t="shared" si="191"/>
        <v>0</v>
      </c>
      <c r="DG252" s="824">
        <f t="shared" si="191"/>
        <v>0</v>
      </c>
      <c r="DH252" s="824">
        <f t="shared" si="191"/>
        <v>0</v>
      </c>
      <c r="DI252" s="824">
        <f t="shared" si="191"/>
        <v>0</v>
      </c>
      <c r="DJ252" s="824">
        <f t="shared" si="169"/>
        <v>0</v>
      </c>
      <c r="DK252" s="824">
        <f t="shared" si="169"/>
        <v>0</v>
      </c>
      <c r="DL252" s="824">
        <f t="shared" si="169"/>
        <v>0</v>
      </c>
    </row>
    <row r="253" spans="2:116" ht="15" customHeight="1" thickBot="1" x14ac:dyDescent="0.3">
      <c r="B253" s="1673"/>
      <c r="C253" s="1680"/>
      <c r="D253" s="15" t="s">
        <v>40</v>
      </c>
      <c r="E253" s="116"/>
      <c r="F253" s="116">
        <f>SUBTOTAL(109,'3.1 I&amp;W'!$X$138)</f>
        <v>0</v>
      </c>
      <c r="G253" s="116">
        <f>SUBTOTAL(109,'3.1 I&amp;W'!$Y$138)</f>
        <v>0</v>
      </c>
      <c r="H253" s="116">
        <f>SUBTOTAL(109,'3.1 I&amp;W'!$AD$138)</f>
        <v>0</v>
      </c>
      <c r="I253" s="116">
        <f>SUBTOTAL(109,'3.1 I&amp;W'!$AE$138)</f>
        <v>0</v>
      </c>
      <c r="J253" s="116"/>
      <c r="K253" s="116"/>
      <c r="L253" s="116"/>
      <c r="M253" s="116">
        <f>SUBTOTAL(109,'3.1 I&amp;W'!$AI$138)</f>
        <v>0</v>
      </c>
      <c r="N253" s="156">
        <f t="shared" si="128"/>
        <v>0</v>
      </c>
      <c r="O253" s="116">
        <f>SUBTOTAL(109,'3.1 I&amp;W'!$S$138)</f>
        <v>0</v>
      </c>
      <c r="P253" s="30">
        <f t="shared" si="176"/>
        <v>0</v>
      </c>
      <c r="Q253" s="31">
        <f t="shared" si="177"/>
        <v>0</v>
      </c>
      <c r="R253" s="31">
        <f t="shared" si="178"/>
        <v>0</v>
      </c>
      <c r="S253" s="31">
        <f t="shared" si="179"/>
        <v>0</v>
      </c>
      <c r="T253" s="32">
        <f t="shared" si="180"/>
        <v>0</v>
      </c>
      <c r="U253" s="37">
        <f t="shared" si="129"/>
        <v>0</v>
      </c>
      <c r="V253" s="40">
        <f t="shared" si="170"/>
        <v>0</v>
      </c>
      <c r="W253" s="41">
        <f t="shared" si="171"/>
        <v>0</v>
      </c>
      <c r="X253" s="43"/>
      <c r="Y253" s="46"/>
      <c r="Z253" s="126"/>
      <c r="AA253" s="136"/>
      <c r="AB253" s="131">
        <v>50</v>
      </c>
      <c r="AC253" s="168">
        <f>IF(AF252&lt;=1,0,'3.1 Fi&amp;Fo'!$I$25)</f>
        <v>0</v>
      </c>
      <c r="AD253" s="169">
        <f>IF(AF252&lt;=1,0,AF252*'3.1 Fi&amp;Fo'!$H$25)</f>
        <v>0</v>
      </c>
      <c r="AE253" s="171">
        <f t="shared" si="182"/>
        <v>0</v>
      </c>
      <c r="AF253" s="172">
        <f t="shared" si="183"/>
        <v>2.5029294192790985E-9</v>
      </c>
      <c r="AG253" s="168">
        <f>IF(AJ252&lt;=1,0,IF(AB253&lt;='3.1 Fi&amp;Fo'!$F$34,'3.1 Fi&amp;Fo'!$J$34,IF(AB253&lt;='3.1 Fi&amp;Fo'!$F$35,'3.1 Fi&amp;Fo'!$J$35,IF(AB253&lt;='3.1 Fi&amp;Fo'!$F$36,'3.1 Fi&amp;Fo'!$J$36,IF(AB253&lt;='3.1 Fi&amp;Fo'!$F$37,'3.1 Fi&amp;Fo'!$J$37,IF(AB253&lt;='3.1 Fi&amp;Fo'!$F$38,'3.1 Fi&amp;Fo'!$J$38,IF(AB253&lt;='3.1 Fi&amp;Fo'!$F$39,'3.1 Fi&amp;Fo'!$J$39,IF(AB253&lt;='3.1 Fi&amp;Fo'!$F$40,'3.1 Fi&amp;Fo'!$J$40))))))))</f>
        <v>0</v>
      </c>
      <c r="AH253" s="171">
        <f>IF(AJ252&lt;=1,0,AJ252*IF(AB253&lt;='3.1 Fi&amp;Fo'!$F$34,'3.1 Fi&amp;Fo'!$I$34,IF(AB253&lt;='3.1 Fi&amp;Fo'!$F$35,'3.1 Fi&amp;Fo'!$I$35,IF(AB253&lt;='3.1 Fi&amp;Fo'!$F$36,'3.1 Fi&amp;Fo'!$I$36,IF(AB253&lt;='3.1 Fi&amp;Fo'!$F$37,'3.1 Fi&amp;Fo'!$I$37,IF(AB253&lt;='3.1 Fi&amp;Fo'!$F$40,'3.1 Fi&amp;Fo'!$I$40))))))</f>
        <v>0</v>
      </c>
      <c r="AI253" s="171">
        <f t="shared" si="184"/>
        <v>0</v>
      </c>
      <c r="AJ253" s="172">
        <f t="shared" si="185"/>
        <v>0</v>
      </c>
      <c r="AK253" s="312">
        <f t="shared" si="186"/>
        <v>0</v>
      </c>
      <c r="AL253" s="169">
        <f>IF(AB253&lt;='3.1 Fi&amp;Fo'!$J$15,'3.1 Fi&amp;Fo'!$I$15,0)</f>
        <v>0</v>
      </c>
      <c r="AM253" s="169">
        <f t="shared" si="187"/>
        <v>0</v>
      </c>
      <c r="AN253" s="838" t="str">
        <f t="shared" si="146"/>
        <v/>
      </c>
      <c r="AO253" s="844">
        <f t="shared" si="134"/>
        <v>0</v>
      </c>
      <c r="AP253" s="839">
        <f>DL308</f>
        <v>0</v>
      </c>
      <c r="AQ253" s="844">
        <f t="shared" si="135"/>
        <v>0</v>
      </c>
      <c r="AR253" s="839" t="str">
        <f t="shared" si="147"/>
        <v/>
      </c>
      <c r="AS253" s="839">
        <f t="shared" si="142"/>
        <v>0</v>
      </c>
      <c r="AT253" s="839">
        <f t="shared" si="148"/>
        <v>0</v>
      </c>
      <c r="AU253" s="839">
        <f>'PV-Einspeisung'!AA69*-1</f>
        <v>0</v>
      </c>
      <c r="AV253" s="839">
        <f>'PV-Einspeisung'!AE69*-1</f>
        <v>0</v>
      </c>
      <c r="AW253" s="839"/>
      <c r="AX253" s="839" t="str">
        <f t="shared" si="149"/>
        <v/>
      </c>
      <c r="AY253" s="841" t="str">
        <f t="shared" si="136"/>
        <v/>
      </c>
      <c r="AZ253" s="842" t="str">
        <f t="shared" si="150"/>
        <v/>
      </c>
      <c r="BA253" s="842" t="str">
        <f t="shared" si="151"/>
        <v/>
      </c>
      <c r="BB253" s="842" t="str">
        <f t="shared" si="152"/>
        <v/>
      </c>
      <c r="BC253" s="842" t="str">
        <f t="shared" si="153"/>
        <v/>
      </c>
      <c r="BD253" s="842" t="str">
        <f t="shared" si="154"/>
        <v/>
      </c>
      <c r="BE253" s="842" t="str">
        <f t="shared" si="155"/>
        <v/>
      </c>
      <c r="BF253" s="842" t="str">
        <f t="shared" si="156"/>
        <v/>
      </c>
      <c r="BG253" s="842" t="str">
        <f t="shared" si="157"/>
        <v/>
      </c>
      <c r="BH253" s="858" t="str">
        <f t="shared" si="138"/>
        <v/>
      </c>
      <c r="BI253" s="857" t="str">
        <f t="shared" si="158"/>
        <v/>
      </c>
      <c r="BJ253" s="857" t="str">
        <f t="shared" si="159"/>
        <v/>
      </c>
      <c r="BK253" s="859">
        <f>'PV-Einspeisung'!AB69*-1</f>
        <v>0</v>
      </c>
      <c r="BL253" s="824">
        <f t="shared" si="172"/>
        <v>0</v>
      </c>
      <c r="BM253" s="824">
        <f t="shared" si="173"/>
        <v>0</v>
      </c>
      <c r="BN253" s="824">
        <f t="shared" si="174"/>
        <v>0</v>
      </c>
      <c r="BO253" s="824">
        <f t="shared" si="189"/>
        <v>0</v>
      </c>
      <c r="BP253" s="824">
        <f t="shared" si="189"/>
        <v>0</v>
      </c>
      <c r="BQ253" s="824">
        <f t="shared" si="189"/>
        <v>0</v>
      </c>
      <c r="BR253" s="824">
        <f t="shared" si="189"/>
        <v>0</v>
      </c>
      <c r="BS253" s="824">
        <f t="shared" si="189"/>
        <v>0</v>
      </c>
      <c r="BT253" s="824">
        <f t="shared" si="189"/>
        <v>0</v>
      </c>
      <c r="BU253" s="824">
        <f t="shared" si="189"/>
        <v>0</v>
      </c>
      <c r="BV253" s="824">
        <f t="shared" si="189"/>
        <v>0</v>
      </c>
      <c r="BW253" s="824">
        <f t="shared" si="189"/>
        <v>0</v>
      </c>
      <c r="BX253" s="824">
        <f t="shared" si="189"/>
        <v>0</v>
      </c>
      <c r="BY253" s="824">
        <f t="shared" si="189"/>
        <v>0</v>
      </c>
      <c r="BZ253" s="824">
        <f t="shared" si="189"/>
        <v>0</v>
      </c>
      <c r="CA253" s="824">
        <f t="shared" si="189"/>
        <v>0</v>
      </c>
      <c r="CB253" s="824">
        <f t="shared" si="189"/>
        <v>0</v>
      </c>
      <c r="CC253" s="824">
        <f t="shared" si="189"/>
        <v>0</v>
      </c>
      <c r="CD253" s="824">
        <f t="shared" si="189"/>
        <v>0</v>
      </c>
      <c r="CE253" s="824">
        <f t="shared" si="188"/>
        <v>0</v>
      </c>
      <c r="CF253" s="824">
        <f t="shared" si="188"/>
        <v>0</v>
      </c>
      <c r="CG253" s="824">
        <f t="shared" si="188"/>
        <v>0</v>
      </c>
      <c r="CH253" s="824">
        <f t="shared" si="188"/>
        <v>0</v>
      </c>
      <c r="CI253" s="824">
        <f t="shared" si="188"/>
        <v>0</v>
      </c>
      <c r="CJ253" s="824">
        <f t="shared" si="188"/>
        <v>0</v>
      </c>
      <c r="CK253" s="824">
        <f t="shared" si="188"/>
        <v>0</v>
      </c>
      <c r="CL253" s="824">
        <f t="shared" si="188"/>
        <v>0</v>
      </c>
      <c r="CM253" s="824">
        <f t="shared" si="188"/>
        <v>0</v>
      </c>
      <c r="CN253" s="824">
        <f t="shared" si="188"/>
        <v>0</v>
      </c>
      <c r="CO253" s="824">
        <f t="shared" si="188"/>
        <v>0</v>
      </c>
      <c r="CP253" s="824">
        <f t="shared" si="188"/>
        <v>0</v>
      </c>
      <c r="CQ253" s="824">
        <f t="shared" si="188"/>
        <v>0</v>
      </c>
      <c r="CR253" s="824">
        <f t="shared" si="188"/>
        <v>0</v>
      </c>
      <c r="CS253" s="824">
        <f t="shared" si="188"/>
        <v>0</v>
      </c>
      <c r="CT253" s="824">
        <f t="shared" si="191"/>
        <v>0</v>
      </c>
      <c r="CU253" s="824">
        <f t="shared" si="191"/>
        <v>0</v>
      </c>
      <c r="CV253" s="824">
        <f t="shared" si="191"/>
        <v>0</v>
      </c>
      <c r="CW253" s="824">
        <f t="shared" si="191"/>
        <v>0</v>
      </c>
      <c r="CX253" s="824">
        <f t="shared" si="191"/>
        <v>0</v>
      </c>
      <c r="CY253" s="824">
        <f t="shared" si="191"/>
        <v>0</v>
      </c>
      <c r="CZ253" s="824">
        <f t="shared" si="191"/>
        <v>0</v>
      </c>
      <c r="DA253" s="824">
        <f t="shared" si="191"/>
        <v>0</v>
      </c>
      <c r="DB253" s="824">
        <f t="shared" si="191"/>
        <v>0</v>
      </c>
      <c r="DC253" s="824">
        <f t="shared" si="191"/>
        <v>0</v>
      </c>
      <c r="DD253" s="824">
        <f t="shared" si="191"/>
        <v>0</v>
      </c>
      <c r="DE253" s="824">
        <f t="shared" si="191"/>
        <v>0</v>
      </c>
      <c r="DF253" s="824">
        <f t="shared" si="191"/>
        <v>0</v>
      </c>
      <c r="DG253" s="824">
        <f t="shared" si="191"/>
        <v>0</v>
      </c>
      <c r="DH253" s="824">
        <f t="shared" si="191"/>
        <v>0</v>
      </c>
      <c r="DI253" s="824">
        <f t="shared" si="191"/>
        <v>0</v>
      </c>
      <c r="DJ253" s="824">
        <f t="shared" si="169"/>
        <v>0</v>
      </c>
      <c r="DK253" s="824">
        <f t="shared" si="169"/>
        <v>0</v>
      </c>
      <c r="DL253" s="824">
        <f t="shared" si="169"/>
        <v>0</v>
      </c>
    </row>
    <row r="254" spans="2:116" ht="15" customHeight="1" thickBot="1" x14ac:dyDescent="0.3">
      <c r="B254" s="1673"/>
      <c r="C254" s="1680"/>
      <c r="D254" s="15" t="s">
        <v>40</v>
      </c>
      <c r="E254" s="165"/>
      <c r="F254" s="116">
        <f>SUBTOTAL(109,'3.1 I&amp;W'!$X$139)</f>
        <v>0</v>
      </c>
      <c r="G254" s="116">
        <f>SUBTOTAL(109,'3.1 I&amp;W'!$Y$139)</f>
        <v>0</v>
      </c>
      <c r="H254" s="116">
        <f>SUBTOTAL(109,'3.1 I&amp;W'!$AD$139)</f>
        <v>0</v>
      </c>
      <c r="I254" s="116">
        <f>SUBTOTAL(109,'3.1 I&amp;W'!$AE$139)</f>
        <v>0</v>
      </c>
      <c r="J254" s="116"/>
      <c r="K254" s="116"/>
      <c r="L254" s="116"/>
      <c r="M254" s="116">
        <f>SUBTOTAL(109,'3.1 I&amp;W'!$AI$139)</f>
        <v>50</v>
      </c>
      <c r="N254" s="156">
        <f t="shared" si="128"/>
        <v>0</v>
      </c>
      <c r="O254" s="116">
        <f>SUBTOTAL(109,'3.1 I&amp;W'!$S$139)</f>
        <v>45014.400000000001</v>
      </c>
      <c r="P254" s="30">
        <f t="shared" si="176"/>
        <v>0</v>
      </c>
      <c r="Q254" s="31">
        <f t="shared" si="177"/>
        <v>0</v>
      </c>
      <c r="R254" s="31">
        <f t="shared" si="178"/>
        <v>0</v>
      </c>
      <c r="S254" s="31">
        <f t="shared" si="179"/>
        <v>0</v>
      </c>
      <c r="T254" s="32">
        <f t="shared" si="180"/>
        <v>0</v>
      </c>
      <c r="U254" s="37">
        <f t="shared" si="129"/>
        <v>6752.5328996402259</v>
      </c>
      <c r="V254" s="40">
        <f t="shared" si="170"/>
        <v>0</v>
      </c>
      <c r="W254" s="41">
        <f t="shared" si="171"/>
        <v>0</v>
      </c>
      <c r="X254" s="43"/>
      <c r="Y254" s="46"/>
      <c r="Z254" s="126"/>
      <c r="AA254" s="136"/>
      <c r="BK254" s="59"/>
      <c r="BL254" s="824">
        <f t="shared" si="172"/>
        <v>50</v>
      </c>
      <c r="BM254" s="824">
        <f t="shared" si="173"/>
        <v>0</v>
      </c>
      <c r="BN254" s="824">
        <f t="shared" si="174"/>
        <v>45014.400000000001</v>
      </c>
      <c r="BO254" s="824">
        <f t="shared" si="189"/>
        <v>0</v>
      </c>
      <c r="BP254" s="824">
        <f t="shared" si="189"/>
        <v>0</v>
      </c>
      <c r="BQ254" s="824">
        <f t="shared" si="189"/>
        <v>0</v>
      </c>
      <c r="BR254" s="824">
        <f t="shared" si="189"/>
        <v>0</v>
      </c>
      <c r="BS254" s="824">
        <f t="shared" si="189"/>
        <v>0</v>
      </c>
      <c r="BT254" s="824">
        <f t="shared" si="189"/>
        <v>0</v>
      </c>
      <c r="BU254" s="824">
        <f t="shared" si="189"/>
        <v>0</v>
      </c>
      <c r="BV254" s="824">
        <f t="shared" si="189"/>
        <v>0</v>
      </c>
      <c r="BW254" s="824">
        <f t="shared" si="189"/>
        <v>0</v>
      </c>
      <c r="BX254" s="824">
        <f t="shared" si="189"/>
        <v>0</v>
      </c>
      <c r="BY254" s="824">
        <f t="shared" si="189"/>
        <v>0</v>
      </c>
      <c r="BZ254" s="824">
        <f t="shared" si="189"/>
        <v>0</v>
      </c>
      <c r="CA254" s="824">
        <f t="shared" si="189"/>
        <v>0</v>
      </c>
      <c r="CB254" s="824">
        <f t="shared" si="189"/>
        <v>0</v>
      </c>
      <c r="CC254" s="824">
        <f t="shared" si="189"/>
        <v>0</v>
      </c>
      <c r="CD254" s="824">
        <f t="shared" si="189"/>
        <v>0</v>
      </c>
      <c r="CE254" s="824">
        <f t="shared" si="188"/>
        <v>0</v>
      </c>
      <c r="CF254" s="824">
        <f t="shared" si="188"/>
        <v>0</v>
      </c>
      <c r="CG254" s="824">
        <f t="shared" si="188"/>
        <v>0</v>
      </c>
      <c r="CH254" s="824">
        <f t="shared" si="188"/>
        <v>0</v>
      </c>
      <c r="CI254" s="824">
        <f t="shared" si="188"/>
        <v>0</v>
      </c>
      <c r="CJ254" s="824">
        <f t="shared" si="188"/>
        <v>0</v>
      </c>
      <c r="CK254" s="824">
        <f t="shared" si="188"/>
        <v>0</v>
      </c>
      <c r="CL254" s="824">
        <f t="shared" si="188"/>
        <v>0</v>
      </c>
      <c r="CM254" s="824">
        <f t="shared" si="188"/>
        <v>0</v>
      </c>
      <c r="CN254" s="824">
        <f t="shared" si="188"/>
        <v>0</v>
      </c>
      <c r="CO254" s="824">
        <f t="shared" si="188"/>
        <v>0</v>
      </c>
      <c r="CP254" s="824">
        <f t="shared" si="188"/>
        <v>0</v>
      </c>
      <c r="CQ254" s="824">
        <f t="shared" si="188"/>
        <v>0</v>
      </c>
      <c r="CR254" s="824">
        <f t="shared" si="188"/>
        <v>0</v>
      </c>
      <c r="CS254" s="824">
        <f t="shared" si="188"/>
        <v>0</v>
      </c>
      <c r="CT254" s="824">
        <f t="shared" si="191"/>
        <v>0</v>
      </c>
      <c r="CU254" s="824">
        <f t="shared" si="191"/>
        <v>0</v>
      </c>
      <c r="CV254" s="824">
        <f t="shared" si="191"/>
        <v>0</v>
      </c>
      <c r="CW254" s="824">
        <f t="shared" si="191"/>
        <v>0</v>
      </c>
      <c r="CX254" s="824">
        <f t="shared" si="191"/>
        <v>0</v>
      </c>
      <c r="CY254" s="824">
        <f t="shared" si="191"/>
        <v>0</v>
      </c>
      <c r="CZ254" s="824">
        <f t="shared" si="191"/>
        <v>0</v>
      </c>
      <c r="DA254" s="824">
        <f t="shared" si="191"/>
        <v>0</v>
      </c>
      <c r="DB254" s="824">
        <f t="shared" si="191"/>
        <v>0</v>
      </c>
      <c r="DC254" s="824">
        <f t="shared" si="191"/>
        <v>0</v>
      </c>
      <c r="DD254" s="824">
        <f t="shared" si="191"/>
        <v>0</v>
      </c>
      <c r="DE254" s="824">
        <f t="shared" si="191"/>
        <v>0</v>
      </c>
      <c r="DF254" s="824">
        <f t="shared" si="191"/>
        <v>0</v>
      </c>
      <c r="DG254" s="824">
        <f t="shared" si="191"/>
        <v>0</v>
      </c>
      <c r="DH254" s="824">
        <f t="shared" si="191"/>
        <v>0</v>
      </c>
      <c r="DI254" s="824">
        <f t="shared" si="191"/>
        <v>0</v>
      </c>
      <c r="DJ254" s="824">
        <f t="shared" si="169"/>
        <v>0</v>
      </c>
      <c r="DK254" s="824">
        <f t="shared" si="169"/>
        <v>0</v>
      </c>
      <c r="DL254" s="824">
        <f t="shared" si="169"/>
        <v>0</v>
      </c>
    </row>
    <row r="255" spans="2:116" ht="15" customHeight="1" thickBot="1" x14ac:dyDescent="0.3">
      <c r="B255" s="1673"/>
      <c r="C255" s="1680"/>
      <c r="D255" s="15" t="s">
        <v>40</v>
      </c>
      <c r="E255" s="116"/>
      <c r="F255" s="116">
        <f>SUBTOTAL(109,'3.1 I&amp;W'!$X$140)</f>
        <v>0</v>
      </c>
      <c r="G255" s="116">
        <f>SUBTOTAL(109,'3.1 I&amp;W'!$Y$140)</f>
        <v>0</v>
      </c>
      <c r="H255" s="116">
        <f>SUBTOTAL(109,'3.1 I&amp;W'!$AD$140)</f>
        <v>0</v>
      </c>
      <c r="I255" s="116">
        <f>SUBTOTAL(109,'3.1 I&amp;W'!$AE$140)</f>
        <v>0</v>
      </c>
      <c r="J255" s="116"/>
      <c r="K255" s="116"/>
      <c r="L255" s="116"/>
      <c r="M255" s="116">
        <f>SUBTOTAL(109,'3.1 I&amp;W'!$AI$140)</f>
        <v>0</v>
      </c>
      <c r="N255" s="156">
        <f t="shared" si="128"/>
        <v>0</v>
      </c>
      <c r="O255" s="116">
        <f>SUBTOTAL(109,'3.1 I&amp;W'!$S$140)</f>
        <v>0</v>
      </c>
      <c r="P255" s="30">
        <f t="shared" si="176"/>
        <v>0</v>
      </c>
      <c r="Q255" s="31">
        <f t="shared" si="177"/>
        <v>0</v>
      </c>
      <c r="R255" s="31">
        <f t="shared" si="178"/>
        <v>0</v>
      </c>
      <c r="S255" s="31">
        <f t="shared" si="179"/>
        <v>0</v>
      </c>
      <c r="T255" s="32">
        <f t="shared" si="180"/>
        <v>0</v>
      </c>
      <c r="U255" s="37">
        <f t="shared" si="129"/>
        <v>0</v>
      </c>
      <c r="V255" s="40">
        <f t="shared" si="170"/>
        <v>0</v>
      </c>
      <c r="W255" s="41">
        <f t="shared" si="171"/>
        <v>0</v>
      </c>
      <c r="X255" s="43"/>
      <c r="Y255" s="46"/>
      <c r="Z255" s="126"/>
      <c r="AA255" s="136"/>
      <c r="BK255" s="59"/>
      <c r="BL255" s="824">
        <f t="shared" si="172"/>
        <v>0</v>
      </c>
      <c r="BM255" s="824">
        <f t="shared" si="173"/>
        <v>0</v>
      </c>
      <c r="BN255" s="824">
        <f t="shared" si="174"/>
        <v>0</v>
      </c>
      <c r="BO255" s="824">
        <f t="shared" si="189"/>
        <v>0</v>
      </c>
      <c r="BP255" s="824">
        <f t="shared" si="189"/>
        <v>0</v>
      </c>
      <c r="BQ255" s="824">
        <f t="shared" si="189"/>
        <v>0</v>
      </c>
      <c r="BR255" s="824">
        <f t="shared" si="189"/>
        <v>0</v>
      </c>
      <c r="BS255" s="824">
        <f t="shared" si="189"/>
        <v>0</v>
      </c>
      <c r="BT255" s="824">
        <f t="shared" si="189"/>
        <v>0</v>
      </c>
      <c r="BU255" s="824">
        <f t="shared" si="189"/>
        <v>0</v>
      </c>
      <c r="BV255" s="824">
        <f t="shared" si="189"/>
        <v>0</v>
      </c>
      <c r="BW255" s="824">
        <f t="shared" si="189"/>
        <v>0</v>
      </c>
      <c r="BX255" s="824">
        <f t="shared" si="189"/>
        <v>0</v>
      </c>
      <c r="BY255" s="824">
        <f t="shared" si="189"/>
        <v>0</v>
      </c>
      <c r="BZ255" s="824">
        <f t="shared" si="189"/>
        <v>0</v>
      </c>
      <c r="CA255" s="824">
        <f t="shared" si="189"/>
        <v>0</v>
      </c>
      <c r="CB255" s="824">
        <f t="shared" si="189"/>
        <v>0</v>
      </c>
      <c r="CC255" s="824">
        <f t="shared" si="189"/>
        <v>0</v>
      </c>
      <c r="CD255" s="824">
        <f t="shared" si="189"/>
        <v>0</v>
      </c>
      <c r="CE255" s="824">
        <f t="shared" si="188"/>
        <v>0</v>
      </c>
      <c r="CF255" s="824">
        <f t="shared" si="188"/>
        <v>0</v>
      </c>
      <c r="CG255" s="824">
        <f t="shared" si="188"/>
        <v>0</v>
      </c>
      <c r="CH255" s="824">
        <f t="shared" si="188"/>
        <v>0</v>
      </c>
      <c r="CI255" s="824">
        <f t="shared" si="188"/>
        <v>0</v>
      </c>
      <c r="CJ255" s="824">
        <f t="shared" si="188"/>
        <v>0</v>
      </c>
      <c r="CK255" s="824">
        <f t="shared" si="188"/>
        <v>0</v>
      </c>
      <c r="CL255" s="824">
        <f t="shared" si="188"/>
        <v>0</v>
      </c>
      <c r="CM255" s="824">
        <f t="shared" si="188"/>
        <v>0</v>
      </c>
      <c r="CN255" s="824">
        <f t="shared" si="188"/>
        <v>0</v>
      </c>
      <c r="CO255" s="824">
        <f t="shared" si="188"/>
        <v>0</v>
      </c>
      <c r="CP255" s="824">
        <f t="shared" si="188"/>
        <v>0</v>
      </c>
      <c r="CQ255" s="824">
        <f t="shared" si="188"/>
        <v>0</v>
      </c>
      <c r="CR255" s="824">
        <f t="shared" si="188"/>
        <v>0</v>
      </c>
      <c r="CS255" s="824">
        <f t="shared" si="188"/>
        <v>0</v>
      </c>
      <c r="CT255" s="824">
        <f t="shared" si="191"/>
        <v>0</v>
      </c>
      <c r="CU255" s="824">
        <f t="shared" si="191"/>
        <v>0</v>
      </c>
      <c r="CV255" s="824">
        <f t="shared" si="191"/>
        <v>0</v>
      </c>
      <c r="CW255" s="824">
        <f t="shared" si="191"/>
        <v>0</v>
      </c>
      <c r="CX255" s="824">
        <f t="shared" si="191"/>
        <v>0</v>
      </c>
      <c r="CY255" s="824">
        <f t="shared" si="191"/>
        <v>0</v>
      </c>
      <c r="CZ255" s="824">
        <f t="shared" si="191"/>
        <v>0</v>
      </c>
      <c r="DA255" s="824">
        <f t="shared" si="191"/>
        <v>0</v>
      </c>
      <c r="DB255" s="824">
        <f t="shared" si="191"/>
        <v>0</v>
      </c>
      <c r="DC255" s="824">
        <f t="shared" si="191"/>
        <v>0</v>
      </c>
      <c r="DD255" s="824">
        <f t="shared" si="191"/>
        <v>0</v>
      </c>
      <c r="DE255" s="824">
        <f t="shared" si="191"/>
        <v>0</v>
      </c>
      <c r="DF255" s="824">
        <f t="shared" si="191"/>
        <v>0</v>
      </c>
      <c r="DG255" s="824">
        <f t="shared" si="191"/>
        <v>0</v>
      </c>
      <c r="DH255" s="824">
        <f t="shared" si="191"/>
        <v>0</v>
      </c>
      <c r="DI255" s="824">
        <f t="shared" si="191"/>
        <v>0</v>
      </c>
      <c r="DJ255" s="824">
        <f t="shared" si="169"/>
        <v>0</v>
      </c>
      <c r="DK255" s="824">
        <f t="shared" si="169"/>
        <v>0</v>
      </c>
      <c r="DL255" s="824">
        <f t="shared" si="169"/>
        <v>0</v>
      </c>
    </row>
    <row r="256" spans="2:116" ht="15" customHeight="1" thickBot="1" x14ac:dyDescent="0.3">
      <c r="B256" s="1673"/>
      <c r="C256" s="1680"/>
      <c r="D256" s="15" t="s">
        <v>40</v>
      </c>
      <c r="E256" s="165"/>
      <c r="F256" s="116">
        <f>SUBTOTAL(109,'3.1 I&amp;W'!$X$141)</f>
        <v>0</v>
      </c>
      <c r="G256" s="116">
        <f>SUBTOTAL(109,'3.1 I&amp;W'!$Y$141)</f>
        <v>0</v>
      </c>
      <c r="H256" s="116">
        <f>SUBTOTAL(109,'3.1 I&amp;W'!$AD$141)</f>
        <v>0</v>
      </c>
      <c r="I256" s="116">
        <f>SUBTOTAL(109,'3.1 I&amp;W'!$AE$141)</f>
        <v>0</v>
      </c>
      <c r="J256" s="116"/>
      <c r="K256" s="116"/>
      <c r="L256" s="116"/>
      <c r="M256" s="116">
        <f>SUBTOTAL(109,'3.1 I&amp;W'!$AI$141)</f>
        <v>0</v>
      </c>
      <c r="N256" s="156">
        <f t="shared" si="128"/>
        <v>0</v>
      </c>
      <c r="O256" s="116">
        <f>SUBTOTAL(109,'3.1 I&amp;W'!$S$141)</f>
        <v>0</v>
      </c>
      <c r="P256" s="30">
        <f t="shared" si="176"/>
        <v>0</v>
      </c>
      <c r="Q256" s="31">
        <f t="shared" si="177"/>
        <v>0</v>
      </c>
      <c r="R256" s="31">
        <f t="shared" si="178"/>
        <v>0</v>
      </c>
      <c r="S256" s="31">
        <f t="shared" si="179"/>
        <v>0</v>
      </c>
      <c r="T256" s="32">
        <f t="shared" si="180"/>
        <v>0</v>
      </c>
      <c r="U256" s="37">
        <f t="shared" si="129"/>
        <v>0</v>
      </c>
      <c r="V256" s="40">
        <f t="shared" si="170"/>
        <v>0</v>
      </c>
      <c r="W256" s="41">
        <f t="shared" si="171"/>
        <v>0</v>
      </c>
      <c r="X256" s="43"/>
      <c r="Y256" s="46"/>
      <c r="Z256" s="126"/>
      <c r="AA256" s="136"/>
      <c r="AB256" s="87"/>
      <c r="AC256" s="87"/>
      <c r="AD256" s="87"/>
      <c r="AE256" s="87"/>
      <c r="AF256" s="87"/>
      <c r="AG256" s="90"/>
      <c r="AH256" s="87"/>
      <c r="AI256" s="87"/>
      <c r="AJ256" s="87"/>
      <c r="AK256" s="87"/>
      <c r="AL256" s="87"/>
      <c r="AM256" s="91"/>
      <c r="AN256" s="72"/>
      <c r="AO256" s="72"/>
      <c r="AP256" s="72"/>
      <c r="AQ256" s="72"/>
      <c r="AR256" s="72"/>
      <c r="AS256" s="72"/>
      <c r="AT256" s="72"/>
      <c r="AU256" s="72"/>
      <c r="AV256" s="72"/>
      <c r="AW256" s="72"/>
      <c r="AX256" s="72"/>
      <c r="AY256" s="72"/>
      <c r="AZ256" s="72"/>
      <c r="BA256" s="72"/>
      <c r="BB256" s="72"/>
      <c r="BC256" s="72"/>
      <c r="BD256" s="72"/>
      <c r="BE256" s="72"/>
      <c r="BF256" s="72"/>
      <c r="BG256" s="72"/>
      <c r="BH256" s="72"/>
      <c r="BI256" s="72"/>
      <c r="BJ256" s="72"/>
      <c r="BK256" s="3"/>
      <c r="BL256" s="824">
        <f t="shared" si="172"/>
        <v>0</v>
      </c>
      <c r="BM256" s="824">
        <f t="shared" si="173"/>
        <v>0</v>
      </c>
      <c r="BN256" s="824">
        <f t="shared" si="174"/>
        <v>0</v>
      </c>
      <c r="BO256" s="824">
        <f t="shared" si="189"/>
        <v>0</v>
      </c>
      <c r="BP256" s="824">
        <f t="shared" si="189"/>
        <v>0</v>
      </c>
      <c r="BQ256" s="824">
        <f t="shared" si="189"/>
        <v>0</v>
      </c>
      <c r="BR256" s="824">
        <f t="shared" si="189"/>
        <v>0</v>
      </c>
      <c r="BS256" s="824">
        <f t="shared" si="189"/>
        <v>0</v>
      </c>
      <c r="BT256" s="824">
        <f t="shared" si="189"/>
        <v>0</v>
      </c>
      <c r="BU256" s="824">
        <f t="shared" si="189"/>
        <v>0</v>
      </c>
      <c r="BV256" s="824">
        <f t="shared" si="189"/>
        <v>0</v>
      </c>
      <c r="BW256" s="824">
        <f t="shared" si="189"/>
        <v>0</v>
      </c>
      <c r="BX256" s="824">
        <f t="shared" si="189"/>
        <v>0</v>
      </c>
      <c r="BY256" s="824">
        <f t="shared" si="189"/>
        <v>0</v>
      </c>
      <c r="BZ256" s="824">
        <f t="shared" si="189"/>
        <v>0</v>
      </c>
      <c r="CA256" s="824">
        <f t="shared" si="189"/>
        <v>0</v>
      </c>
      <c r="CB256" s="824">
        <f t="shared" si="189"/>
        <v>0</v>
      </c>
      <c r="CC256" s="824">
        <f t="shared" si="189"/>
        <v>0</v>
      </c>
      <c r="CD256" s="824">
        <f t="shared" si="189"/>
        <v>0</v>
      </c>
      <c r="CE256" s="824">
        <f t="shared" si="188"/>
        <v>0</v>
      </c>
      <c r="CF256" s="824">
        <f t="shared" si="188"/>
        <v>0</v>
      </c>
      <c r="CG256" s="824">
        <f t="shared" si="188"/>
        <v>0</v>
      </c>
      <c r="CH256" s="824">
        <f t="shared" si="188"/>
        <v>0</v>
      </c>
      <c r="CI256" s="824">
        <f t="shared" si="188"/>
        <v>0</v>
      </c>
      <c r="CJ256" s="824">
        <f t="shared" si="188"/>
        <v>0</v>
      </c>
      <c r="CK256" s="824">
        <f t="shared" si="188"/>
        <v>0</v>
      </c>
      <c r="CL256" s="824">
        <f t="shared" si="188"/>
        <v>0</v>
      </c>
      <c r="CM256" s="824">
        <f t="shared" si="188"/>
        <v>0</v>
      </c>
      <c r="CN256" s="824">
        <f t="shared" si="188"/>
        <v>0</v>
      </c>
      <c r="CO256" s="824">
        <f t="shared" si="188"/>
        <v>0</v>
      </c>
      <c r="CP256" s="824">
        <f t="shared" si="188"/>
        <v>0</v>
      </c>
      <c r="CQ256" s="824">
        <f t="shared" si="188"/>
        <v>0</v>
      </c>
      <c r="CR256" s="824">
        <f t="shared" si="188"/>
        <v>0</v>
      </c>
      <c r="CS256" s="824">
        <f t="shared" si="188"/>
        <v>0</v>
      </c>
      <c r="CT256" s="824">
        <f t="shared" si="191"/>
        <v>0</v>
      </c>
      <c r="CU256" s="824">
        <f t="shared" si="191"/>
        <v>0</v>
      </c>
      <c r="CV256" s="824">
        <f t="shared" si="191"/>
        <v>0</v>
      </c>
      <c r="CW256" s="824">
        <f t="shared" si="191"/>
        <v>0</v>
      </c>
      <c r="CX256" s="824">
        <f t="shared" si="191"/>
        <v>0</v>
      </c>
      <c r="CY256" s="824">
        <f t="shared" si="191"/>
        <v>0</v>
      </c>
      <c r="CZ256" s="824">
        <f t="shared" si="191"/>
        <v>0</v>
      </c>
      <c r="DA256" s="824">
        <f t="shared" si="191"/>
        <v>0</v>
      </c>
      <c r="DB256" s="824">
        <f t="shared" si="191"/>
        <v>0</v>
      </c>
      <c r="DC256" s="824">
        <f t="shared" si="191"/>
        <v>0</v>
      </c>
      <c r="DD256" s="824">
        <f t="shared" si="191"/>
        <v>0</v>
      </c>
      <c r="DE256" s="824">
        <f t="shared" si="191"/>
        <v>0</v>
      </c>
      <c r="DF256" s="824">
        <f t="shared" si="191"/>
        <v>0</v>
      </c>
      <c r="DG256" s="824">
        <f t="shared" si="191"/>
        <v>0</v>
      </c>
      <c r="DH256" s="824">
        <f t="shared" si="191"/>
        <v>0</v>
      </c>
      <c r="DI256" s="824">
        <f t="shared" si="191"/>
        <v>0</v>
      </c>
      <c r="DJ256" s="824">
        <f t="shared" si="169"/>
        <v>0</v>
      </c>
      <c r="DK256" s="824">
        <f t="shared" si="169"/>
        <v>0</v>
      </c>
      <c r="DL256" s="824">
        <f t="shared" si="169"/>
        <v>0</v>
      </c>
    </row>
    <row r="257" spans="2:116" ht="15" customHeight="1" thickBot="1" x14ac:dyDescent="0.3">
      <c r="B257" s="1673"/>
      <c r="C257" s="1680"/>
      <c r="D257" s="15" t="s">
        <v>36</v>
      </c>
      <c r="E257" s="116"/>
      <c r="F257" s="116">
        <f>SUBTOTAL(109,'3.1 I&amp;W'!$X$145)</f>
        <v>0</v>
      </c>
      <c r="G257" s="116">
        <f>SUBTOTAL(109,'3.1 I&amp;W'!$Y$145)</f>
        <v>0</v>
      </c>
      <c r="H257" s="116">
        <f>SUBTOTAL(109,'3.1 I&amp;W'!$AD$145)</f>
        <v>0</v>
      </c>
      <c r="I257" s="116">
        <f>SUBTOTAL(109,'3.1 I&amp;W'!$AE$145)</f>
        <v>0</v>
      </c>
      <c r="J257" s="116"/>
      <c r="K257" s="116"/>
      <c r="L257" s="116"/>
      <c r="M257" s="116">
        <f>SUBTOTAL(109,'3.1 I&amp;W'!$AI$145)</f>
        <v>15</v>
      </c>
      <c r="N257" s="156">
        <f t="shared" si="128"/>
        <v>2</v>
      </c>
      <c r="O257" s="116">
        <f>SUBTOTAL(109,'3.1 I&amp;W'!$S$145)</f>
        <v>6840</v>
      </c>
      <c r="P257" s="30">
        <f t="shared" si="176"/>
        <v>6448.5065382265002</v>
      </c>
      <c r="Q257" s="31">
        <f t="shared" si="177"/>
        <v>6079.4205516885831</v>
      </c>
      <c r="R257" s="31">
        <f t="shared" si="178"/>
        <v>0</v>
      </c>
      <c r="S257" s="31">
        <f t="shared" si="179"/>
        <v>0</v>
      </c>
      <c r="T257" s="32">
        <f t="shared" si="180"/>
        <v>0</v>
      </c>
      <c r="U257" s="37">
        <f t="shared" si="129"/>
        <v>3670.8789997183567</v>
      </c>
      <c r="V257" s="40">
        <f t="shared" si="170"/>
        <v>0</v>
      </c>
      <c r="W257" s="41">
        <f t="shared" si="171"/>
        <v>0</v>
      </c>
      <c r="X257" s="43"/>
      <c r="Y257" s="46"/>
      <c r="Z257" s="126"/>
      <c r="AA257" s="136"/>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824">
        <f t="shared" si="172"/>
        <v>15</v>
      </c>
      <c r="BM257" s="824">
        <f t="shared" si="173"/>
        <v>2</v>
      </c>
      <c r="BN257" s="824">
        <f t="shared" si="174"/>
        <v>6840</v>
      </c>
      <c r="BO257" s="824">
        <f t="shared" si="189"/>
        <v>0</v>
      </c>
      <c r="BP257" s="824">
        <f t="shared" si="189"/>
        <v>0</v>
      </c>
      <c r="BQ257" s="824">
        <f t="shared" si="189"/>
        <v>0</v>
      </c>
      <c r="BR257" s="824">
        <f t="shared" si="189"/>
        <v>0</v>
      </c>
      <c r="BS257" s="824">
        <f t="shared" si="189"/>
        <v>0</v>
      </c>
      <c r="BT257" s="824">
        <f t="shared" si="189"/>
        <v>0</v>
      </c>
      <c r="BU257" s="824">
        <f t="shared" si="189"/>
        <v>0</v>
      </c>
      <c r="BV257" s="824">
        <f t="shared" si="189"/>
        <v>0</v>
      </c>
      <c r="BW257" s="824">
        <f t="shared" si="189"/>
        <v>0</v>
      </c>
      <c r="BX257" s="824">
        <f t="shared" si="189"/>
        <v>0</v>
      </c>
      <c r="BY257" s="824">
        <f t="shared" si="189"/>
        <v>0</v>
      </c>
      <c r="BZ257" s="824">
        <f t="shared" si="189"/>
        <v>0</v>
      </c>
      <c r="CA257" s="824">
        <f t="shared" si="189"/>
        <v>0</v>
      </c>
      <c r="CB257" s="824">
        <f t="shared" si="189"/>
        <v>0</v>
      </c>
      <c r="CC257" s="824">
        <f t="shared" si="189"/>
        <v>8678.8407792751823</v>
      </c>
      <c r="CD257" s="824">
        <f t="shared" si="189"/>
        <v>0</v>
      </c>
      <c r="CE257" s="824">
        <f t="shared" si="188"/>
        <v>0</v>
      </c>
      <c r="CF257" s="824">
        <f t="shared" si="188"/>
        <v>0</v>
      </c>
      <c r="CG257" s="824">
        <f t="shared" si="188"/>
        <v>0</v>
      </c>
      <c r="CH257" s="824">
        <f t="shared" si="188"/>
        <v>0</v>
      </c>
      <c r="CI257" s="824">
        <f t="shared" si="188"/>
        <v>0</v>
      </c>
      <c r="CJ257" s="824">
        <f t="shared" si="188"/>
        <v>0</v>
      </c>
      <c r="CK257" s="824">
        <f t="shared" si="188"/>
        <v>0</v>
      </c>
      <c r="CL257" s="824">
        <f t="shared" si="188"/>
        <v>0</v>
      </c>
      <c r="CM257" s="824">
        <f t="shared" si="188"/>
        <v>0</v>
      </c>
      <c r="CN257" s="824">
        <f t="shared" si="188"/>
        <v>0</v>
      </c>
      <c r="CO257" s="824">
        <f t="shared" si="188"/>
        <v>0</v>
      </c>
      <c r="CP257" s="824">
        <f t="shared" si="188"/>
        <v>0</v>
      </c>
      <c r="CQ257" s="824">
        <f t="shared" si="188"/>
        <v>0</v>
      </c>
      <c r="CR257" s="824">
        <f t="shared" si="188"/>
        <v>11012.028840937115</v>
      </c>
      <c r="CS257" s="824">
        <f t="shared" si="188"/>
        <v>0</v>
      </c>
      <c r="CT257" s="824">
        <f t="shared" si="191"/>
        <v>0</v>
      </c>
      <c r="CU257" s="824">
        <f t="shared" si="191"/>
        <v>0</v>
      </c>
      <c r="CV257" s="824">
        <f t="shared" si="191"/>
        <v>0</v>
      </c>
      <c r="CW257" s="824">
        <f t="shared" si="191"/>
        <v>0</v>
      </c>
      <c r="CX257" s="824">
        <f t="shared" si="191"/>
        <v>0</v>
      </c>
      <c r="CY257" s="824">
        <f t="shared" si="191"/>
        <v>0</v>
      </c>
      <c r="CZ257" s="824">
        <f t="shared" si="191"/>
        <v>0</v>
      </c>
      <c r="DA257" s="824">
        <f t="shared" si="191"/>
        <v>0</v>
      </c>
      <c r="DB257" s="824">
        <f t="shared" si="191"/>
        <v>0</v>
      </c>
      <c r="DC257" s="824">
        <f t="shared" si="191"/>
        <v>0</v>
      </c>
      <c r="DD257" s="824">
        <f t="shared" si="191"/>
        <v>0</v>
      </c>
      <c r="DE257" s="824">
        <f t="shared" si="191"/>
        <v>0</v>
      </c>
      <c r="DF257" s="824">
        <f t="shared" si="191"/>
        <v>0</v>
      </c>
      <c r="DG257" s="824">
        <f t="shared" si="191"/>
        <v>0</v>
      </c>
      <c r="DH257" s="824">
        <f t="shared" si="191"/>
        <v>0</v>
      </c>
      <c r="DI257" s="824">
        <f t="shared" si="191"/>
        <v>0</v>
      </c>
      <c r="DJ257" s="824">
        <f t="shared" si="169"/>
        <v>0</v>
      </c>
      <c r="DK257" s="824">
        <f t="shared" si="169"/>
        <v>0</v>
      </c>
      <c r="DL257" s="824">
        <f t="shared" si="169"/>
        <v>0</v>
      </c>
    </row>
    <row r="258" spans="2:116" ht="15" customHeight="1" thickBot="1" x14ac:dyDescent="0.3">
      <c r="B258" s="1673"/>
      <c r="C258" s="1680"/>
      <c r="D258" s="15" t="s">
        <v>36</v>
      </c>
      <c r="E258" s="116"/>
      <c r="F258" s="116">
        <f>SUBTOTAL(109,'3.1 I&amp;W'!$X$146)</f>
        <v>0</v>
      </c>
      <c r="G258" s="116">
        <f>SUBTOTAL(109,'3.1 I&amp;W'!$Y$146)</f>
        <v>0</v>
      </c>
      <c r="H258" s="116">
        <f>SUBTOTAL(109,'3.1 I&amp;W'!$AD$146)</f>
        <v>3.117822279643985E-2</v>
      </c>
      <c r="I258" s="116">
        <f>SUBTOTAL(109,'3.1 I&amp;W'!$AE$146)</f>
        <v>1390</v>
      </c>
      <c r="J258" s="116"/>
      <c r="K258" s="116"/>
      <c r="L258" s="116"/>
      <c r="M258" s="116">
        <f>SUBTOTAL(109,'3.1 I&amp;W'!$AI$146)</f>
        <v>50</v>
      </c>
      <c r="N258" s="156">
        <f t="shared" si="128"/>
        <v>0</v>
      </c>
      <c r="O258" s="116">
        <f>SUBTOTAL(109,'3.1 I&amp;W'!$S$146)</f>
        <v>44582.400000000001</v>
      </c>
      <c r="P258" s="30">
        <f>IF(N258&gt;=1,O258*$G$158^(1*M258)/($G$157^(1*M258)),0)</f>
        <v>0</v>
      </c>
      <c r="Q258" s="31">
        <f>IF(N258&gt;=2,O258*$G$158^(2*M258)/($G$157^(2*M258)),0)</f>
        <v>0</v>
      </c>
      <c r="R258" s="31">
        <f>IF(N258&gt;=3,O258*$G$158^(3*M258)/($G$157^(3*M258)),0)</f>
        <v>0</v>
      </c>
      <c r="S258" s="31">
        <f>IF(N258&gt;=4,O258*$G$158^(4*M258)/($G$157^(4*M258)),0)</f>
        <v>0</v>
      </c>
      <c r="T258" s="32">
        <f>IF(N258&gt;=5,O258*$G$158^(5*M258)/($G$157^(5*M258)),0)</f>
        <v>0</v>
      </c>
      <c r="U258" s="37">
        <f>IF(M258=0,0,O258*$G$158^(N258*M258)*((N258+1)*M258-$G$154)/M258*(1/$G$157^$G$154))</f>
        <v>6687.7293209488607</v>
      </c>
      <c r="V258" s="40">
        <f t="shared" si="170"/>
        <v>0</v>
      </c>
      <c r="W258" s="41">
        <f t="shared" si="171"/>
        <v>44649.304449131145</v>
      </c>
      <c r="X258" s="43"/>
      <c r="Y258" s="46"/>
      <c r="Z258" s="126"/>
      <c r="AA258" s="136"/>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824">
        <f t="shared" si="172"/>
        <v>50</v>
      </c>
      <c r="BM258" s="824">
        <f t="shared" si="173"/>
        <v>0</v>
      </c>
      <c r="BN258" s="824">
        <f t="shared" si="174"/>
        <v>44582.400000000001</v>
      </c>
      <c r="BO258" s="824">
        <f t="shared" si="189"/>
        <v>0</v>
      </c>
      <c r="BP258" s="824">
        <f t="shared" si="189"/>
        <v>0</v>
      </c>
      <c r="BQ258" s="824">
        <f t="shared" si="189"/>
        <v>0</v>
      </c>
      <c r="BR258" s="824">
        <f t="shared" si="189"/>
        <v>0</v>
      </c>
      <c r="BS258" s="824">
        <f t="shared" si="189"/>
        <v>0</v>
      </c>
      <c r="BT258" s="824">
        <f t="shared" si="189"/>
        <v>0</v>
      </c>
      <c r="BU258" s="824">
        <f t="shared" si="189"/>
        <v>0</v>
      </c>
      <c r="BV258" s="824">
        <f t="shared" si="189"/>
        <v>0</v>
      </c>
      <c r="BW258" s="824">
        <f t="shared" si="189"/>
        <v>0</v>
      </c>
      <c r="BX258" s="824">
        <f t="shared" si="189"/>
        <v>0</v>
      </c>
      <c r="BY258" s="824">
        <f t="shared" si="189"/>
        <v>0</v>
      </c>
      <c r="BZ258" s="824">
        <f t="shared" si="189"/>
        <v>0</v>
      </c>
      <c r="CA258" s="824">
        <f t="shared" si="189"/>
        <v>0</v>
      </c>
      <c r="CB258" s="824">
        <f t="shared" si="189"/>
        <v>0</v>
      </c>
      <c r="CC258" s="824">
        <f t="shared" si="189"/>
        <v>0</v>
      </c>
      <c r="CD258" s="824">
        <f t="shared" si="189"/>
        <v>0</v>
      </c>
      <c r="CE258" s="824">
        <f t="shared" si="188"/>
        <v>0</v>
      </c>
      <c r="CF258" s="824">
        <f t="shared" si="188"/>
        <v>0</v>
      </c>
      <c r="CG258" s="824">
        <f t="shared" si="188"/>
        <v>0</v>
      </c>
      <c r="CH258" s="824">
        <f t="shared" si="188"/>
        <v>0</v>
      </c>
      <c r="CI258" s="824">
        <f t="shared" si="188"/>
        <v>0</v>
      </c>
      <c r="CJ258" s="824">
        <f t="shared" si="188"/>
        <v>0</v>
      </c>
      <c r="CK258" s="824">
        <f t="shared" si="188"/>
        <v>0</v>
      </c>
      <c r="CL258" s="824">
        <f t="shared" si="188"/>
        <v>0</v>
      </c>
      <c r="CM258" s="824">
        <f t="shared" si="188"/>
        <v>0</v>
      </c>
      <c r="CN258" s="824">
        <f t="shared" si="188"/>
        <v>0</v>
      </c>
      <c r="CO258" s="824">
        <f t="shared" si="188"/>
        <v>0</v>
      </c>
      <c r="CP258" s="824">
        <f t="shared" si="188"/>
        <v>0</v>
      </c>
      <c r="CQ258" s="824">
        <f t="shared" si="188"/>
        <v>0</v>
      </c>
      <c r="CR258" s="824">
        <f t="shared" si="188"/>
        <v>0</v>
      </c>
      <c r="CS258" s="824">
        <f t="shared" si="188"/>
        <v>0</v>
      </c>
      <c r="CT258" s="824">
        <f t="shared" si="191"/>
        <v>0</v>
      </c>
      <c r="CU258" s="824">
        <f t="shared" si="191"/>
        <v>0</v>
      </c>
      <c r="CV258" s="824">
        <f t="shared" si="191"/>
        <v>0</v>
      </c>
      <c r="CW258" s="824">
        <f t="shared" si="191"/>
        <v>0</v>
      </c>
      <c r="CX258" s="824">
        <f t="shared" si="191"/>
        <v>0</v>
      </c>
      <c r="CY258" s="824">
        <f t="shared" si="191"/>
        <v>0</v>
      </c>
      <c r="CZ258" s="824">
        <f t="shared" si="191"/>
        <v>0</v>
      </c>
      <c r="DA258" s="824">
        <f t="shared" si="191"/>
        <v>0</v>
      </c>
      <c r="DB258" s="824">
        <f t="shared" si="191"/>
        <v>0</v>
      </c>
      <c r="DC258" s="824">
        <f t="shared" si="191"/>
        <v>0</v>
      </c>
      <c r="DD258" s="824">
        <f t="shared" si="191"/>
        <v>0</v>
      </c>
      <c r="DE258" s="824">
        <f t="shared" si="191"/>
        <v>0</v>
      </c>
      <c r="DF258" s="824">
        <f t="shared" si="191"/>
        <v>0</v>
      </c>
      <c r="DG258" s="824">
        <f t="shared" si="191"/>
        <v>0</v>
      </c>
      <c r="DH258" s="824">
        <f t="shared" si="191"/>
        <v>0</v>
      </c>
      <c r="DI258" s="824">
        <f t="shared" si="191"/>
        <v>0</v>
      </c>
      <c r="DJ258" s="824">
        <f t="shared" si="169"/>
        <v>0</v>
      </c>
      <c r="DK258" s="824">
        <f t="shared" si="169"/>
        <v>0</v>
      </c>
      <c r="DL258" s="824">
        <f t="shared" si="169"/>
        <v>0</v>
      </c>
    </row>
    <row r="259" spans="2:116" ht="15" customHeight="1" thickBot="1" x14ac:dyDescent="0.3">
      <c r="B259" s="1673"/>
      <c r="C259" s="1680"/>
      <c r="D259" s="15" t="s">
        <v>194</v>
      </c>
      <c r="E259" s="165"/>
      <c r="F259" s="116">
        <f>SUBTOTAL(109,'3.1 I&amp;W'!$X$149)</f>
        <v>0</v>
      </c>
      <c r="G259" s="116">
        <f>SUBTOTAL(109,'3.1 I&amp;W'!$Y$149)</f>
        <v>0</v>
      </c>
      <c r="H259" s="116">
        <f>SUBTOTAL(109,'3.1 I&amp;W'!$AD$149)</f>
        <v>0</v>
      </c>
      <c r="I259" s="116">
        <f>SUBTOTAL(109,'3.1 I&amp;W'!$AE$149)</f>
        <v>0</v>
      </c>
      <c r="J259" s="116"/>
      <c r="K259" s="116"/>
      <c r="L259" s="116"/>
      <c r="M259" s="116">
        <f>SUBTOTAL(109,'3.1 I&amp;W'!$AI$149)</f>
        <v>0</v>
      </c>
      <c r="N259" s="156">
        <f t="shared" si="128"/>
        <v>0</v>
      </c>
      <c r="O259" s="116">
        <f>SUBTOTAL(109,'3.1 I&amp;W'!$S$149)</f>
        <v>0</v>
      </c>
      <c r="P259" s="30">
        <f t="shared" si="176"/>
        <v>0</v>
      </c>
      <c r="Q259" s="31">
        <f t="shared" si="177"/>
        <v>0</v>
      </c>
      <c r="R259" s="31">
        <f t="shared" si="178"/>
        <v>0</v>
      </c>
      <c r="S259" s="31">
        <f t="shared" si="179"/>
        <v>0</v>
      </c>
      <c r="T259" s="32">
        <f t="shared" si="180"/>
        <v>0</v>
      </c>
      <c r="U259" s="37">
        <f t="shared" si="129"/>
        <v>0</v>
      </c>
      <c r="V259" s="40">
        <f t="shared" si="170"/>
        <v>0</v>
      </c>
      <c r="W259" s="41">
        <f t="shared" si="171"/>
        <v>0</v>
      </c>
      <c r="X259" s="43"/>
      <c r="Y259" s="46"/>
      <c r="Z259" s="126"/>
      <c r="AA259" s="136"/>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824">
        <f t="shared" si="172"/>
        <v>0</v>
      </c>
      <c r="BM259" s="824">
        <f t="shared" si="173"/>
        <v>0</v>
      </c>
      <c r="BN259" s="824">
        <f t="shared" si="174"/>
        <v>0</v>
      </c>
      <c r="BO259" s="824">
        <f t="shared" si="189"/>
        <v>0</v>
      </c>
      <c r="BP259" s="824">
        <f t="shared" si="189"/>
        <v>0</v>
      </c>
      <c r="BQ259" s="824">
        <f t="shared" si="189"/>
        <v>0</v>
      </c>
      <c r="BR259" s="824">
        <f t="shared" si="189"/>
        <v>0</v>
      </c>
      <c r="BS259" s="824">
        <f t="shared" si="189"/>
        <v>0</v>
      </c>
      <c r="BT259" s="824">
        <f t="shared" si="189"/>
        <v>0</v>
      </c>
      <c r="BU259" s="824">
        <f t="shared" si="189"/>
        <v>0</v>
      </c>
      <c r="BV259" s="824">
        <f t="shared" si="189"/>
        <v>0</v>
      </c>
      <c r="BW259" s="824">
        <f t="shared" si="189"/>
        <v>0</v>
      </c>
      <c r="BX259" s="824">
        <f t="shared" si="189"/>
        <v>0</v>
      </c>
      <c r="BY259" s="824">
        <f t="shared" si="189"/>
        <v>0</v>
      </c>
      <c r="BZ259" s="824">
        <f t="shared" si="189"/>
        <v>0</v>
      </c>
      <c r="CA259" s="824">
        <f t="shared" si="189"/>
        <v>0</v>
      </c>
      <c r="CB259" s="824">
        <f t="shared" si="189"/>
        <v>0</v>
      </c>
      <c r="CC259" s="824">
        <f t="shared" si="189"/>
        <v>0</v>
      </c>
      <c r="CD259" s="824">
        <f t="shared" si="189"/>
        <v>0</v>
      </c>
      <c r="CE259" s="824">
        <f t="shared" si="188"/>
        <v>0</v>
      </c>
      <c r="CF259" s="824">
        <f t="shared" si="188"/>
        <v>0</v>
      </c>
      <c r="CG259" s="824">
        <f t="shared" si="188"/>
        <v>0</v>
      </c>
      <c r="CH259" s="824">
        <f t="shared" si="188"/>
        <v>0</v>
      </c>
      <c r="CI259" s="824">
        <f t="shared" si="188"/>
        <v>0</v>
      </c>
      <c r="CJ259" s="824">
        <f t="shared" si="188"/>
        <v>0</v>
      </c>
      <c r="CK259" s="824">
        <f t="shared" si="188"/>
        <v>0</v>
      </c>
      <c r="CL259" s="824">
        <f t="shared" si="188"/>
        <v>0</v>
      </c>
      <c r="CM259" s="824">
        <f t="shared" si="188"/>
        <v>0</v>
      </c>
      <c r="CN259" s="824">
        <f t="shared" si="188"/>
        <v>0</v>
      </c>
      <c r="CO259" s="824">
        <f t="shared" si="188"/>
        <v>0</v>
      </c>
      <c r="CP259" s="824">
        <f t="shared" si="188"/>
        <v>0</v>
      </c>
      <c r="CQ259" s="824">
        <f t="shared" si="188"/>
        <v>0</v>
      </c>
      <c r="CR259" s="824">
        <f t="shared" si="188"/>
        <v>0</v>
      </c>
      <c r="CS259" s="824">
        <f t="shared" si="188"/>
        <v>0</v>
      </c>
      <c r="CT259" s="824">
        <f t="shared" si="191"/>
        <v>0</v>
      </c>
      <c r="CU259" s="824">
        <f t="shared" si="191"/>
        <v>0</v>
      </c>
      <c r="CV259" s="824">
        <f t="shared" si="191"/>
        <v>0</v>
      </c>
      <c r="CW259" s="824">
        <f t="shared" si="191"/>
        <v>0</v>
      </c>
      <c r="CX259" s="824">
        <f t="shared" si="191"/>
        <v>0</v>
      </c>
      <c r="CY259" s="824">
        <f t="shared" si="191"/>
        <v>0</v>
      </c>
      <c r="CZ259" s="824">
        <f t="shared" si="191"/>
        <v>0</v>
      </c>
      <c r="DA259" s="824">
        <f t="shared" si="191"/>
        <v>0</v>
      </c>
      <c r="DB259" s="824">
        <f t="shared" si="191"/>
        <v>0</v>
      </c>
      <c r="DC259" s="824">
        <f t="shared" si="191"/>
        <v>0</v>
      </c>
      <c r="DD259" s="824">
        <f t="shared" si="191"/>
        <v>0</v>
      </c>
      <c r="DE259" s="824">
        <f t="shared" si="191"/>
        <v>0</v>
      </c>
      <c r="DF259" s="824">
        <f t="shared" si="191"/>
        <v>0</v>
      </c>
      <c r="DG259" s="824">
        <f t="shared" si="191"/>
        <v>0</v>
      </c>
      <c r="DH259" s="824">
        <f t="shared" si="191"/>
        <v>0</v>
      </c>
      <c r="DI259" s="824">
        <f t="shared" si="191"/>
        <v>0</v>
      </c>
      <c r="DJ259" s="824">
        <f t="shared" si="169"/>
        <v>0</v>
      </c>
      <c r="DK259" s="824">
        <f t="shared" si="169"/>
        <v>0</v>
      </c>
      <c r="DL259" s="824">
        <f t="shared" si="169"/>
        <v>0</v>
      </c>
    </row>
    <row r="260" spans="2:116" ht="15" customHeight="1" thickBot="1" x14ac:dyDescent="0.3">
      <c r="B260" s="1673"/>
      <c r="C260" s="1680"/>
      <c r="D260" s="15" t="s">
        <v>194</v>
      </c>
      <c r="E260" s="165"/>
      <c r="F260" s="116">
        <f>SUBTOTAL(109,'3.1 I&amp;W'!$X$150)</f>
        <v>0</v>
      </c>
      <c r="G260" s="116">
        <f>SUBTOTAL(109,'3.1 I&amp;W'!$Y$150)</f>
        <v>0</v>
      </c>
      <c r="H260" s="116">
        <f>SUBTOTAL(109,'3.1 I&amp;W'!$AD$150)</f>
        <v>0</v>
      </c>
      <c r="I260" s="116">
        <f>SUBTOTAL(109,'3.1 I&amp;W'!$AE$150)</f>
        <v>0</v>
      </c>
      <c r="J260" s="116"/>
      <c r="K260" s="116"/>
      <c r="L260" s="116"/>
      <c r="M260" s="116">
        <f>SUBTOTAL(109,'3.1 I&amp;W'!$AI$150)</f>
        <v>0</v>
      </c>
      <c r="N260" s="156">
        <f t="shared" si="128"/>
        <v>0</v>
      </c>
      <c r="O260" s="116">
        <f>SUBTOTAL(109,'3.1 I&amp;W'!$S$150)</f>
        <v>0</v>
      </c>
      <c r="P260" s="30">
        <f>IF(N260&gt;=1,O260*$G$158^(1*M260)/($G$157^(1*M260)),0)</f>
        <v>0</v>
      </c>
      <c r="Q260" s="31">
        <f>IF(N260&gt;=2,O260*$G$158^(2*M260)/($G$157^(2*M260)),0)</f>
        <v>0</v>
      </c>
      <c r="R260" s="31">
        <f>IF(N260&gt;=3,O260*$G$158^(3*M260)/($G$157^(3*M260)),0)</f>
        <v>0</v>
      </c>
      <c r="S260" s="31">
        <f>IF(N260&gt;=4,O260*$G$158^(4*M260)/($G$157^(4*M260)),0)</f>
        <v>0</v>
      </c>
      <c r="T260" s="32">
        <f>IF(N260&gt;=5,O260*$G$158^(5*M260)/($G$157^(5*M260)),0)</f>
        <v>0</v>
      </c>
      <c r="U260" s="37">
        <f>IF(M260=0,0,O260*$G$158^(N260*M260)*((N260+1)*M260-$G$154)/M260*(1/$G$157^$G$154))</f>
        <v>0</v>
      </c>
      <c r="V260" s="40">
        <f t="shared" si="170"/>
        <v>0</v>
      </c>
      <c r="W260" s="41">
        <f t="shared" si="171"/>
        <v>0</v>
      </c>
      <c r="X260" s="43"/>
      <c r="Y260" s="46"/>
      <c r="Z260" s="126"/>
      <c r="AA260" s="136"/>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824">
        <f t="shared" si="172"/>
        <v>0</v>
      </c>
      <c r="BM260" s="824">
        <f t="shared" si="173"/>
        <v>0</v>
      </c>
      <c r="BN260" s="824">
        <f t="shared" si="174"/>
        <v>0</v>
      </c>
      <c r="BO260" s="824">
        <f t="shared" si="189"/>
        <v>0</v>
      </c>
      <c r="BP260" s="824">
        <f t="shared" si="189"/>
        <v>0</v>
      </c>
      <c r="BQ260" s="824">
        <f t="shared" si="189"/>
        <v>0</v>
      </c>
      <c r="BR260" s="824">
        <f t="shared" si="189"/>
        <v>0</v>
      </c>
      <c r="BS260" s="824">
        <f t="shared" si="189"/>
        <v>0</v>
      </c>
      <c r="BT260" s="824">
        <f t="shared" si="189"/>
        <v>0</v>
      </c>
      <c r="BU260" s="824">
        <f t="shared" si="189"/>
        <v>0</v>
      </c>
      <c r="BV260" s="824">
        <f t="shared" si="189"/>
        <v>0</v>
      </c>
      <c r="BW260" s="824">
        <f t="shared" si="189"/>
        <v>0</v>
      </c>
      <c r="BX260" s="824">
        <f t="shared" si="189"/>
        <v>0</v>
      </c>
      <c r="BY260" s="824">
        <f t="shared" si="189"/>
        <v>0</v>
      </c>
      <c r="BZ260" s="824">
        <f t="shared" si="189"/>
        <v>0</v>
      </c>
      <c r="CA260" s="824">
        <f t="shared" si="189"/>
        <v>0</v>
      </c>
      <c r="CB260" s="824">
        <f t="shared" si="189"/>
        <v>0</v>
      </c>
      <c r="CC260" s="824">
        <f t="shared" si="189"/>
        <v>0</v>
      </c>
      <c r="CD260" s="824">
        <f t="shared" si="189"/>
        <v>0</v>
      </c>
      <c r="CE260" s="824">
        <f t="shared" si="188"/>
        <v>0</v>
      </c>
      <c r="CF260" s="824">
        <f t="shared" si="188"/>
        <v>0</v>
      </c>
      <c r="CG260" s="824">
        <f t="shared" si="188"/>
        <v>0</v>
      </c>
      <c r="CH260" s="824">
        <f t="shared" si="188"/>
        <v>0</v>
      </c>
      <c r="CI260" s="824">
        <f t="shared" si="188"/>
        <v>0</v>
      </c>
      <c r="CJ260" s="824">
        <f t="shared" si="188"/>
        <v>0</v>
      </c>
      <c r="CK260" s="824">
        <f t="shared" si="188"/>
        <v>0</v>
      </c>
      <c r="CL260" s="824">
        <f t="shared" si="188"/>
        <v>0</v>
      </c>
      <c r="CM260" s="824">
        <f t="shared" si="188"/>
        <v>0</v>
      </c>
      <c r="CN260" s="824">
        <f t="shared" si="188"/>
        <v>0</v>
      </c>
      <c r="CO260" s="824">
        <f t="shared" si="188"/>
        <v>0</v>
      </c>
      <c r="CP260" s="824">
        <f t="shared" si="188"/>
        <v>0</v>
      </c>
      <c r="CQ260" s="824">
        <f t="shared" si="188"/>
        <v>0</v>
      </c>
      <c r="CR260" s="824">
        <f t="shared" si="188"/>
        <v>0</v>
      </c>
      <c r="CS260" s="824">
        <f t="shared" si="188"/>
        <v>0</v>
      </c>
      <c r="CT260" s="824">
        <f t="shared" si="191"/>
        <v>0</v>
      </c>
      <c r="CU260" s="824">
        <f t="shared" si="191"/>
        <v>0</v>
      </c>
      <c r="CV260" s="824">
        <f t="shared" si="191"/>
        <v>0</v>
      </c>
      <c r="CW260" s="824">
        <f t="shared" si="191"/>
        <v>0</v>
      </c>
      <c r="CX260" s="824">
        <f t="shared" si="191"/>
        <v>0</v>
      </c>
      <c r="CY260" s="824">
        <f t="shared" si="191"/>
        <v>0</v>
      </c>
      <c r="CZ260" s="824">
        <f t="shared" si="191"/>
        <v>0</v>
      </c>
      <c r="DA260" s="824">
        <f t="shared" si="191"/>
        <v>0</v>
      </c>
      <c r="DB260" s="824">
        <f t="shared" si="191"/>
        <v>0</v>
      </c>
      <c r="DC260" s="824">
        <f t="shared" si="191"/>
        <v>0</v>
      </c>
      <c r="DD260" s="824">
        <f t="shared" si="191"/>
        <v>0</v>
      </c>
      <c r="DE260" s="824">
        <f t="shared" si="191"/>
        <v>0</v>
      </c>
      <c r="DF260" s="824">
        <f t="shared" si="191"/>
        <v>0</v>
      </c>
      <c r="DG260" s="824">
        <f t="shared" si="191"/>
        <v>0</v>
      </c>
      <c r="DH260" s="824">
        <f t="shared" si="191"/>
        <v>0</v>
      </c>
      <c r="DI260" s="824">
        <f t="shared" si="191"/>
        <v>0</v>
      </c>
      <c r="DJ260" s="824">
        <f t="shared" si="169"/>
        <v>0</v>
      </c>
      <c r="DK260" s="824">
        <f t="shared" si="169"/>
        <v>0</v>
      </c>
      <c r="DL260" s="824">
        <f t="shared" si="169"/>
        <v>0</v>
      </c>
    </row>
    <row r="261" spans="2:116" ht="15" customHeight="1" thickBot="1" x14ac:dyDescent="0.3">
      <c r="B261" s="1673"/>
      <c r="C261" s="1680"/>
      <c r="D261" s="15" t="s">
        <v>307</v>
      </c>
      <c r="E261" s="116"/>
      <c r="F261" s="116">
        <f>SUBTOTAL(109,'3.1 I&amp;W'!$X$153)</f>
        <v>0</v>
      </c>
      <c r="G261" s="116">
        <f>SUBTOTAL(109,'3.1 I&amp;W'!$Y$153)</f>
        <v>0</v>
      </c>
      <c r="H261" s="116">
        <f>SUBTOTAL(109,'3.1 I&amp;W'!$AD$153)</f>
        <v>0</v>
      </c>
      <c r="I261" s="116">
        <f>SUBTOTAL(109,'3.1 I&amp;W'!$AE$153)</f>
        <v>0</v>
      </c>
      <c r="J261" s="116"/>
      <c r="K261" s="116"/>
      <c r="L261" s="116"/>
      <c r="M261" s="116">
        <f>SUBTOTAL(109,'3.1 I&amp;W'!$AI$153)</f>
        <v>0</v>
      </c>
      <c r="N261" s="156">
        <f t="shared" si="128"/>
        <v>0</v>
      </c>
      <c r="O261" s="116">
        <f>SUBTOTAL(109,'3.1 I&amp;W'!$S$153)</f>
        <v>0</v>
      </c>
      <c r="P261" s="30">
        <f>IF(N261&gt;=1,O261*$G$158^(1*M261)/($G$157^(1*M261)),0)</f>
        <v>0</v>
      </c>
      <c r="Q261" s="31">
        <f>IF(N261&gt;=2,O261*$G$158^(2*M261)/($G$157^(2*M261)),0)</f>
        <v>0</v>
      </c>
      <c r="R261" s="31">
        <f>IF(N261&gt;=3,O261*$G$158^(3*M261)/($G$157^(3*M261)),0)</f>
        <v>0</v>
      </c>
      <c r="S261" s="31">
        <f>IF(N261&gt;=4,O261*$G$158^(4*M261)/($G$157^(4*M261)),0)</f>
        <v>0</v>
      </c>
      <c r="T261" s="32">
        <f>IF(N261&gt;=5,O261*$G$158^(5*M261)/($G$157^(5*M261)),0)</f>
        <v>0</v>
      </c>
      <c r="U261" s="37">
        <f t="shared" si="129"/>
        <v>0</v>
      </c>
      <c r="V261" s="40">
        <f t="shared" si="170"/>
        <v>0</v>
      </c>
      <c r="W261" s="41">
        <f t="shared" si="171"/>
        <v>0</v>
      </c>
      <c r="X261" s="43"/>
      <c r="Y261" s="46"/>
      <c r="Z261" s="126"/>
      <c r="AA261" s="136"/>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824">
        <f t="shared" si="172"/>
        <v>0</v>
      </c>
      <c r="BM261" s="824">
        <f t="shared" si="173"/>
        <v>0</v>
      </c>
      <c r="BN261" s="824">
        <f t="shared" si="174"/>
        <v>0</v>
      </c>
      <c r="BO261" s="824">
        <f t="shared" si="189"/>
        <v>0</v>
      </c>
      <c r="BP261" s="824">
        <f t="shared" si="189"/>
        <v>0</v>
      </c>
      <c r="BQ261" s="824">
        <f t="shared" si="189"/>
        <v>0</v>
      </c>
      <c r="BR261" s="824">
        <f t="shared" si="189"/>
        <v>0</v>
      </c>
      <c r="BS261" s="824">
        <f t="shared" si="189"/>
        <v>0</v>
      </c>
      <c r="BT261" s="824">
        <f t="shared" si="189"/>
        <v>0</v>
      </c>
      <c r="BU261" s="824">
        <f t="shared" si="189"/>
        <v>0</v>
      </c>
      <c r="BV261" s="824">
        <f t="shared" si="189"/>
        <v>0</v>
      </c>
      <c r="BW261" s="824">
        <f t="shared" si="189"/>
        <v>0</v>
      </c>
      <c r="BX261" s="824">
        <f t="shared" si="189"/>
        <v>0</v>
      </c>
      <c r="BY261" s="824">
        <f t="shared" si="189"/>
        <v>0</v>
      </c>
      <c r="BZ261" s="824">
        <f t="shared" si="189"/>
        <v>0</v>
      </c>
      <c r="CA261" s="824">
        <f t="shared" si="189"/>
        <v>0</v>
      </c>
      <c r="CB261" s="824">
        <f t="shared" si="189"/>
        <v>0</v>
      </c>
      <c r="CC261" s="824">
        <f t="shared" si="189"/>
        <v>0</v>
      </c>
      <c r="CD261" s="824">
        <f t="shared" si="189"/>
        <v>0</v>
      </c>
      <c r="CE261" s="824">
        <f t="shared" si="188"/>
        <v>0</v>
      </c>
      <c r="CF261" s="824">
        <f t="shared" si="188"/>
        <v>0</v>
      </c>
      <c r="CG261" s="824">
        <f t="shared" si="188"/>
        <v>0</v>
      </c>
      <c r="CH261" s="824">
        <f t="shared" si="188"/>
        <v>0</v>
      </c>
      <c r="CI261" s="824">
        <f t="shared" si="188"/>
        <v>0</v>
      </c>
      <c r="CJ261" s="824">
        <f t="shared" si="188"/>
        <v>0</v>
      </c>
      <c r="CK261" s="824">
        <f t="shared" si="188"/>
        <v>0</v>
      </c>
      <c r="CL261" s="824">
        <f t="shared" si="188"/>
        <v>0</v>
      </c>
      <c r="CM261" s="824">
        <f t="shared" si="188"/>
        <v>0</v>
      </c>
      <c r="CN261" s="824">
        <f t="shared" si="188"/>
        <v>0</v>
      </c>
      <c r="CO261" s="824">
        <f t="shared" si="188"/>
        <v>0</v>
      </c>
      <c r="CP261" s="824">
        <f t="shared" si="188"/>
        <v>0</v>
      </c>
      <c r="CQ261" s="824">
        <f t="shared" si="188"/>
        <v>0</v>
      </c>
      <c r="CR261" s="824">
        <f t="shared" si="188"/>
        <v>0</v>
      </c>
      <c r="CS261" s="824">
        <f t="shared" si="188"/>
        <v>0</v>
      </c>
      <c r="CT261" s="824">
        <f t="shared" si="191"/>
        <v>0</v>
      </c>
      <c r="CU261" s="824">
        <f t="shared" si="191"/>
        <v>0</v>
      </c>
      <c r="CV261" s="824">
        <f t="shared" si="191"/>
        <v>0</v>
      </c>
      <c r="CW261" s="824">
        <f t="shared" si="191"/>
        <v>0</v>
      </c>
      <c r="CX261" s="824">
        <f t="shared" si="191"/>
        <v>0</v>
      </c>
      <c r="CY261" s="824">
        <f t="shared" si="191"/>
        <v>0</v>
      </c>
      <c r="CZ261" s="824">
        <f t="shared" si="191"/>
        <v>0</v>
      </c>
      <c r="DA261" s="824">
        <f t="shared" si="191"/>
        <v>0</v>
      </c>
      <c r="DB261" s="824">
        <f t="shared" si="191"/>
        <v>0</v>
      </c>
      <c r="DC261" s="824">
        <f t="shared" si="191"/>
        <v>0</v>
      </c>
      <c r="DD261" s="824">
        <f t="shared" si="191"/>
        <v>0</v>
      </c>
      <c r="DE261" s="824">
        <f t="shared" si="191"/>
        <v>0</v>
      </c>
      <c r="DF261" s="824">
        <f t="shared" si="191"/>
        <v>0</v>
      </c>
      <c r="DG261" s="824">
        <f t="shared" si="191"/>
        <v>0</v>
      </c>
      <c r="DH261" s="824">
        <f t="shared" si="191"/>
        <v>0</v>
      </c>
      <c r="DI261" s="824">
        <f t="shared" si="191"/>
        <v>0</v>
      </c>
      <c r="DJ261" s="824">
        <f t="shared" si="169"/>
        <v>0</v>
      </c>
      <c r="DK261" s="824">
        <f t="shared" si="169"/>
        <v>0</v>
      </c>
      <c r="DL261" s="824">
        <f t="shared" si="169"/>
        <v>0</v>
      </c>
    </row>
    <row r="262" spans="2:116" ht="15" customHeight="1" thickBot="1" x14ac:dyDescent="0.3">
      <c r="B262" s="1673"/>
      <c r="C262" s="1680"/>
      <c r="D262" s="15" t="s">
        <v>307</v>
      </c>
      <c r="E262" s="116"/>
      <c r="F262" s="116">
        <f>SUBTOTAL(109,'3.1 I&amp;W'!$X$154)</f>
        <v>0</v>
      </c>
      <c r="G262" s="116">
        <f>SUBTOTAL(109,'3.1 I&amp;W'!$Y$154)</f>
        <v>0</v>
      </c>
      <c r="H262" s="116">
        <f>SUBTOTAL(109,'3.1 I&amp;W'!$AD$154)</f>
        <v>0</v>
      </c>
      <c r="I262" s="116">
        <f>SUBTOTAL(109,'3.1 I&amp;W'!$AE$154)</f>
        <v>0</v>
      </c>
      <c r="J262" s="116"/>
      <c r="K262" s="116"/>
      <c r="L262" s="116"/>
      <c r="M262" s="116">
        <f>SUBTOTAL(109,'3.1 I&amp;W'!$AI$154)</f>
        <v>0</v>
      </c>
      <c r="N262" s="156">
        <f t="shared" si="128"/>
        <v>0</v>
      </c>
      <c r="O262" s="116">
        <f>SUBTOTAL(109,'3.1 I&amp;W'!$S$154)</f>
        <v>0</v>
      </c>
      <c r="P262" s="30">
        <f>IF(N262&gt;=1,O262*$G$158^(1*M262)/($G$157^(1*M262)),0)</f>
        <v>0</v>
      </c>
      <c r="Q262" s="31">
        <f>IF(N262&gt;=2,O262*$G$158^(2*M262)/($G$157^(2*M262)),0)</f>
        <v>0</v>
      </c>
      <c r="R262" s="31">
        <f>IF(N262&gt;=3,O262*$G$158^(3*M262)/($G$157^(3*M262)),0)</f>
        <v>0</v>
      </c>
      <c r="S262" s="31">
        <f>IF(N262&gt;=4,O262*$G$158^(4*M262)/($G$157^(4*M262)),0)</f>
        <v>0</v>
      </c>
      <c r="T262" s="32">
        <f>IF(N262&gt;=5,O262*$G$158^(5*M262)/($G$157^(5*M262)),0)</f>
        <v>0</v>
      </c>
      <c r="U262" s="37">
        <f>IF(M262=0,0,O262*$G$158^(N262*M262)*((N262+1)*M262-$G$154)/M262*(1/$G$157^$G$154))</f>
        <v>0</v>
      </c>
      <c r="V262" s="40">
        <f t="shared" si="170"/>
        <v>0</v>
      </c>
      <c r="W262" s="41">
        <f t="shared" si="171"/>
        <v>0</v>
      </c>
      <c r="X262" s="43"/>
      <c r="Y262" s="46"/>
      <c r="Z262" s="126"/>
      <c r="AA262" s="136"/>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824">
        <f t="shared" si="172"/>
        <v>0</v>
      </c>
      <c r="BM262" s="824">
        <f t="shared" si="173"/>
        <v>0</v>
      </c>
      <c r="BN262" s="824">
        <f t="shared" si="174"/>
        <v>0</v>
      </c>
      <c r="BO262" s="824">
        <f t="shared" si="189"/>
        <v>0</v>
      </c>
      <c r="BP262" s="824">
        <f t="shared" si="189"/>
        <v>0</v>
      </c>
      <c r="BQ262" s="824">
        <f t="shared" si="189"/>
        <v>0</v>
      </c>
      <c r="BR262" s="824">
        <f t="shared" si="189"/>
        <v>0</v>
      </c>
      <c r="BS262" s="824">
        <f t="shared" si="189"/>
        <v>0</v>
      </c>
      <c r="BT262" s="824">
        <f t="shared" si="189"/>
        <v>0</v>
      </c>
      <c r="BU262" s="824">
        <f t="shared" si="189"/>
        <v>0</v>
      </c>
      <c r="BV262" s="824">
        <f t="shared" si="189"/>
        <v>0</v>
      </c>
      <c r="BW262" s="824">
        <f t="shared" si="189"/>
        <v>0</v>
      </c>
      <c r="BX262" s="824">
        <f t="shared" si="189"/>
        <v>0</v>
      </c>
      <c r="BY262" s="824">
        <f t="shared" si="189"/>
        <v>0</v>
      </c>
      <c r="BZ262" s="824">
        <f t="shared" si="189"/>
        <v>0</v>
      </c>
      <c r="CA262" s="824">
        <f t="shared" si="189"/>
        <v>0</v>
      </c>
      <c r="CB262" s="824">
        <f t="shared" si="189"/>
        <v>0</v>
      </c>
      <c r="CC262" s="824">
        <f t="shared" si="189"/>
        <v>0</v>
      </c>
      <c r="CD262" s="824">
        <f t="shared" si="189"/>
        <v>0</v>
      </c>
      <c r="CE262" s="824">
        <f t="shared" si="188"/>
        <v>0</v>
      </c>
      <c r="CF262" s="824">
        <f t="shared" si="188"/>
        <v>0</v>
      </c>
      <c r="CG262" s="824">
        <f t="shared" si="188"/>
        <v>0</v>
      </c>
      <c r="CH262" s="824">
        <f t="shared" si="188"/>
        <v>0</v>
      </c>
      <c r="CI262" s="824">
        <f t="shared" si="188"/>
        <v>0</v>
      </c>
      <c r="CJ262" s="824">
        <f t="shared" si="188"/>
        <v>0</v>
      </c>
      <c r="CK262" s="824">
        <f t="shared" si="188"/>
        <v>0</v>
      </c>
      <c r="CL262" s="824">
        <f t="shared" si="188"/>
        <v>0</v>
      </c>
      <c r="CM262" s="824">
        <f t="shared" si="188"/>
        <v>0</v>
      </c>
      <c r="CN262" s="824">
        <f t="shared" si="188"/>
        <v>0</v>
      </c>
      <c r="CO262" s="824">
        <f t="shared" si="188"/>
        <v>0</v>
      </c>
      <c r="CP262" s="824">
        <f t="shared" si="188"/>
        <v>0</v>
      </c>
      <c r="CQ262" s="824">
        <f t="shared" si="188"/>
        <v>0</v>
      </c>
      <c r="CR262" s="824">
        <f t="shared" si="188"/>
        <v>0</v>
      </c>
      <c r="CS262" s="824">
        <f t="shared" si="188"/>
        <v>0</v>
      </c>
      <c r="CT262" s="824">
        <f t="shared" si="191"/>
        <v>0</v>
      </c>
      <c r="CU262" s="824">
        <f t="shared" si="191"/>
        <v>0</v>
      </c>
      <c r="CV262" s="824">
        <f t="shared" si="191"/>
        <v>0</v>
      </c>
      <c r="CW262" s="824">
        <f t="shared" si="191"/>
        <v>0</v>
      </c>
      <c r="CX262" s="824">
        <f t="shared" si="191"/>
        <v>0</v>
      </c>
      <c r="CY262" s="824">
        <f t="shared" si="191"/>
        <v>0</v>
      </c>
      <c r="CZ262" s="824">
        <f t="shared" si="191"/>
        <v>0</v>
      </c>
      <c r="DA262" s="824">
        <f t="shared" si="191"/>
        <v>0</v>
      </c>
      <c r="DB262" s="824">
        <f t="shared" si="191"/>
        <v>0</v>
      </c>
      <c r="DC262" s="824">
        <f t="shared" si="191"/>
        <v>0</v>
      </c>
      <c r="DD262" s="824">
        <f t="shared" si="191"/>
        <v>0</v>
      </c>
      <c r="DE262" s="824">
        <f t="shared" si="191"/>
        <v>0</v>
      </c>
      <c r="DF262" s="824">
        <f t="shared" si="191"/>
        <v>0</v>
      </c>
      <c r="DG262" s="824">
        <f t="shared" si="191"/>
        <v>0</v>
      </c>
      <c r="DH262" s="824">
        <f t="shared" si="191"/>
        <v>0</v>
      </c>
      <c r="DI262" s="824">
        <f t="shared" si="191"/>
        <v>0</v>
      </c>
      <c r="DJ262" s="824">
        <f t="shared" si="169"/>
        <v>0</v>
      </c>
      <c r="DK262" s="824">
        <f t="shared" si="169"/>
        <v>0</v>
      </c>
      <c r="DL262" s="824">
        <f t="shared" si="169"/>
        <v>0</v>
      </c>
    </row>
    <row r="263" spans="2:116" ht="15" customHeight="1" thickBot="1" x14ac:dyDescent="0.3">
      <c r="B263" s="1673"/>
      <c r="C263" s="1680"/>
      <c r="D263" s="15" t="s">
        <v>31</v>
      </c>
      <c r="E263" s="165"/>
      <c r="F263" s="116">
        <f>SUBTOTAL(109,'3.1 I&amp;W'!$X$158)</f>
        <v>0</v>
      </c>
      <c r="G263" s="116">
        <f>SUBTOTAL(109,'3.1 I&amp;W'!$Y$158)</f>
        <v>0</v>
      </c>
      <c r="H263" s="116">
        <f>SUBTOTAL(109,'3.1 I&amp;W'!$AD$158)</f>
        <v>0</v>
      </c>
      <c r="I263" s="116">
        <f>SUBTOTAL(109,'3.1 I&amp;W'!$AE$158)</f>
        <v>0</v>
      </c>
      <c r="J263" s="116"/>
      <c r="K263" s="116"/>
      <c r="L263" s="116"/>
      <c r="M263" s="116">
        <f>SUBTOTAL(109,'3.1 I&amp;W'!$AI$158)</f>
        <v>0</v>
      </c>
      <c r="N263" s="156">
        <f t="shared" ref="N263:N305" si="192">IF(OR(M263=0,M263="",M263=$G$154),0,ROUNDDOWN($G$154/M263,0)+IF(MOD($G$154,M263)=0,-1))</f>
        <v>0</v>
      </c>
      <c r="O263" s="116">
        <f>SUBTOTAL(109,'3.1 I&amp;W'!$S$158)</f>
        <v>0</v>
      </c>
      <c r="P263" s="30">
        <f t="shared" si="176"/>
        <v>0</v>
      </c>
      <c r="Q263" s="31">
        <f t="shared" si="177"/>
        <v>0</v>
      </c>
      <c r="R263" s="31">
        <f t="shared" si="178"/>
        <v>0</v>
      </c>
      <c r="S263" s="31">
        <f t="shared" si="179"/>
        <v>0</v>
      </c>
      <c r="T263" s="32">
        <f t="shared" si="180"/>
        <v>0</v>
      </c>
      <c r="U263" s="37">
        <f t="shared" si="129"/>
        <v>0</v>
      </c>
      <c r="V263" s="40">
        <f t="shared" ref="V263:V296" si="193">G263*$I$169</f>
        <v>0</v>
      </c>
      <c r="W263" s="41">
        <f t="shared" ref="W263:W296" si="194">(I263+J263)*$I$167</f>
        <v>0</v>
      </c>
      <c r="X263" s="43"/>
      <c r="Y263" s="46"/>
      <c r="Z263" s="126"/>
      <c r="AA263" s="136"/>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824">
        <f t="shared" ref="BL263:BL294" si="195">M263</f>
        <v>0</v>
      </c>
      <c r="BM263" s="824">
        <f t="shared" ref="BM263:BM294" si="196">N263</f>
        <v>0</v>
      </c>
      <c r="BN263" s="824">
        <f t="shared" ref="BN263:BN294" si="197">O263</f>
        <v>0</v>
      </c>
      <c r="BO263" s="824">
        <f t="shared" si="189"/>
        <v>0</v>
      </c>
      <c r="BP263" s="824">
        <f t="shared" si="189"/>
        <v>0</v>
      </c>
      <c r="BQ263" s="824">
        <f t="shared" si="189"/>
        <v>0</v>
      </c>
      <c r="BR263" s="824">
        <f t="shared" si="189"/>
        <v>0</v>
      </c>
      <c r="BS263" s="824">
        <f t="shared" si="189"/>
        <v>0</v>
      </c>
      <c r="BT263" s="824">
        <f t="shared" si="189"/>
        <v>0</v>
      </c>
      <c r="BU263" s="824">
        <f t="shared" si="189"/>
        <v>0</v>
      </c>
      <c r="BV263" s="824">
        <f t="shared" si="189"/>
        <v>0</v>
      </c>
      <c r="BW263" s="824">
        <f t="shared" si="189"/>
        <v>0</v>
      </c>
      <c r="BX263" s="824">
        <f t="shared" si="189"/>
        <v>0</v>
      </c>
      <c r="BY263" s="824">
        <f t="shared" si="189"/>
        <v>0</v>
      </c>
      <c r="BZ263" s="824">
        <f t="shared" si="189"/>
        <v>0</v>
      </c>
      <c r="CA263" s="824">
        <f t="shared" si="189"/>
        <v>0</v>
      </c>
      <c r="CB263" s="824">
        <f t="shared" si="189"/>
        <v>0</v>
      </c>
      <c r="CC263" s="824">
        <f t="shared" si="189"/>
        <v>0</v>
      </c>
      <c r="CD263" s="824">
        <f t="shared" si="189"/>
        <v>0</v>
      </c>
      <c r="CE263" s="824">
        <f t="shared" si="188"/>
        <v>0</v>
      </c>
      <c r="CF263" s="824">
        <f t="shared" si="188"/>
        <v>0</v>
      </c>
      <c r="CG263" s="824">
        <f t="shared" si="188"/>
        <v>0</v>
      </c>
      <c r="CH263" s="824">
        <f t="shared" si="188"/>
        <v>0</v>
      </c>
      <c r="CI263" s="824">
        <f t="shared" si="188"/>
        <v>0</v>
      </c>
      <c r="CJ263" s="824">
        <f t="shared" si="188"/>
        <v>0</v>
      </c>
      <c r="CK263" s="824">
        <f t="shared" si="188"/>
        <v>0</v>
      </c>
      <c r="CL263" s="824">
        <f t="shared" si="188"/>
        <v>0</v>
      </c>
      <c r="CM263" s="824">
        <f t="shared" si="188"/>
        <v>0</v>
      </c>
      <c r="CN263" s="824">
        <f t="shared" si="188"/>
        <v>0</v>
      </c>
      <c r="CO263" s="824">
        <f t="shared" si="188"/>
        <v>0</v>
      </c>
      <c r="CP263" s="824">
        <f t="shared" si="188"/>
        <v>0</v>
      </c>
      <c r="CQ263" s="824">
        <f t="shared" si="188"/>
        <v>0</v>
      </c>
      <c r="CR263" s="824">
        <f t="shared" si="188"/>
        <v>0</v>
      </c>
      <c r="CS263" s="824">
        <f t="shared" si="188"/>
        <v>0</v>
      </c>
      <c r="CT263" s="824">
        <f t="shared" si="191"/>
        <v>0</v>
      </c>
      <c r="CU263" s="824">
        <f t="shared" si="191"/>
        <v>0</v>
      </c>
      <c r="CV263" s="824">
        <f t="shared" si="191"/>
        <v>0</v>
      </c>
      <c r="CW263" s="824">
        <f t="shared" si="191"/>
        <v>0</v>
      </c>
      <c r="CX263" s="824">
        <f t="shared" si="191"/>
        <v>0</v>
      </c>
      <c r="CY263" s="824">
        <f t="shared" si="191"/>
        <v>0</v>
      </c>
      <c r="CZ263" s="824">
        <f t="shared" si="191"/>
        <v>0</v>
      </c>
      <c r="DA263" s="824">
        <f t="shared" si="191"/>
        <v>0</v>
      </c>
      <c r="DB263" s="824">
        <f t="shared" si="191"/>
        <v>0</v>
      </c>
      <c r="DC263" s="824">
        <f t="shared" si="191"/>
        <v>0</v>
      </c>
      <c r="DD263" s="824">
        <f t="shared" si="191"/>
        <v>0</v>
      </c>
      <c r="DE263" s="824">
        <f t="shared" si="191"/>
        <v>0</v>
      </c>
      <c r="DF263" s="824">
        <f t="shared" si="191"/>
        <v>0</v>
      </c>
      <c r="DG263" s="824">
        <f t="shared" si="191"/>
        <v>0</v>
      </c>
      <c r="DH263" s="824">
        <f t="shared" si="191"/>
        <v>0</v>
      </c>
      <c r="DI263" s="824">
        <f t="shared" si="191"/>
        <v>0</v>
      </c>
      <c r="DJ263" s="824">
        <f t="shared" si="169"/>
        <v>0</v>
      </c>
      <c r="DK263" s="824">
        <f t="shared" si="169"/>
        <v>0</v>
      </c>
      <c r="DL263" s="824">
        <f t="shared" si="169"/>
        <v>0</v>
      </c>
    </row>
    <row r="264" spans="2:116" ht="15" customHeight="1" thickBot="1" x14ac:dyDescent="0.3">
      <c r="B264" s="1673"/>
      <c r="C264" s="1680"/>
      <c r="D264" s="15" t="s">
        <v>31</v>
      </c>
      <c r="E264" s="165"/>
      <c r="F264" s="116">
        <f>SUBTOTAL(109,'3.1 I&amp;W'!$X$159)</f>
        <v>0</v>
      </c>
      <c r="G264" s="116">
        <f>SUBTOTAL(109,'3.1 I&amp;W'!$Y$159)</f>
        <v>0</v>
      </c>
      <c r="H264" s="116">
        <f>SUBTOTAL(109,'3.1 I&amp;W'!$AD$159)</f>
        <v>0</v>
      </c>
      <c r="I264" s="116">
        <f>SUBTOTAL(109,'3.1 I&amp;W'!$AE$159)</f>
        <v>0</v>
      </c>
      <c r="J264" s="116"/>
      <c r="K264" s="116"/>
      <c r="L264" s="116"/>
      <c r="M264" s="116">
        <f>SUBTOTAL(109,'3.1 I&amp;W'!$AI$159)</f>
        <v>0</v>
      </c>
      <c r="N264" s="156">
        <f t="shared" si="192"/>
        <v>0</v>
      </c>
      <c r="O264" s="116">
        <f>SUBTOTAL(109,'3.1 I&amp;W'!$S$159)</f>
        <v>0</v>
      </c>
      <c r="P264" s="30">
        <f t="shared" ref="P264:P265" si="198">IF(N264&gt;=1,O264*$G$158^(1*M264)/($G$157^(1*M264)),0)</f>
        <v>0</v>
      </c>
      <c r="Q264" s="31">
        <f t="shared" ref="Q264:Q265" si="199">IF(N264&gt;=2,O264*$G$158^(2*M264)/($G$157^(2*M264)),0)</f>
        <v>0</v>
      </c>
      <c r="R264" s="31">
        <f t="shared" ref="R264:R265" si="200">IF(N264&gt;=3,O264*$G$158^(3*M264)/($G$157^(3*M264)),0)</f>
        <v>0</v>
      </c>
      <c r="S264" s="31">
        <f t="shared" ref="S264:S265" si="201">IF(N264&gt;=4,O264*$G$158^(4*M264)/($G$157^(4*M264)),0)</f>
        <v>0</v>
      </c>
      <c r="T264" s="32">
        <f t="shared" ref="T264:T265" si="202">IF(N264&gt;=5,O264*$G$158^(5*M264)/($G$157^(5*M264)),0)</f>
        <v>0</v>
      </c>
      <c r="U264" s="37">
        <f t="shared" ref="U264:U265" si="203">IF(M264=0,0,O264*$G$158^(N264*M264)*((N264+1)*M264-$G$154)/M264*(1/$G$157^$G$154))</f>
        <v>0</v>
      </c>
      <c r="V264" s="40">
        <f t="shared" ref="V264:V265" si="204">G264*$I$169</f>
        <v>0</v>
      </c>
      <c r="W264" s="41">
        <f t="shared" ref="W264:W265" si="205">(I264+J264)*$I$167</f>
        <v>0</v>
      </c>
      <c r="X264" s="43"/>
      <c r="Y264" s="46"/>
      <c r="Z264" s="126"/>
      <c r="AA264" s="136"/>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824">
        <f t="shared" si="195"/>
        <v>0</v>
      </c>
      <c r="BM264" s="824">
        <f t="shared" si="196"/>
        <v>0</v>
      </c>
      <c r="BN264" s="824">
        <f t="shared" si="197"/>
        <v>0</v>
      </c>
      <c r="BO264" s="824">
        <f t="shared" si="189"/>
        <v>0</v>
      </c>
      <c r="BP264" s="824">
        <f t="shared" si="189"/>
        <v>0</v>
      </c>
      <c r="BQ264" s="824">
        <f t="shared" si="189"/>
        <v>0</v>
      </c>
      <c r="BR264" s="824">
        <f t="shared" si="189"/>
        <v>0</v>
      </c>
      <c r="BS264" s="824">
        <f t="shared" si="189"/>
        <v>0</v>
      </c>
      <c r="BT264" s="824">
        <f t="shared" si="189"/>
        <v>0</v>
      </c>
      <c r="BU264" s="824">
        <f t="shared" si="189"/>
        <v>0</v>
      </c>
      <c r="BV264" s="824">
        <f t="shared" si="189"/>
        <v>0</v>
      </c>
      <c r="BW264" s="824">
        <f t="shared" si="189"/>
        <v>0</v>
      </c>
      <c r="BX264" s="824">
        <f t="shared" si="189"/>
        <v>0</v>
      </c>
      <c r="BY264" s="824">
        <f t="shared" si="189"/>
        <v>0</v>
      </c>
      <c r="BZ264" s="824">
        <f t="shared" si="189"/>
        <v>0</v>
      </c>
      <c r="CA264" s="824">
        <f t="shared" si="189"/>
        <v>0</v>
      </c>
      <c r="CB264" s="824">
        <f t="shared" si="189"/>
        <v>0</v>
      </c>
      <c r="CC264" s="824">
        <f t="shared" si="189"/>
        <v>0</v>
      </c>
      <c r="CD264" s="824">
        <f t="shared" si="189"/>
        <v>0</v>
      </c>
      <c r="CE264" s="824">
        <f t="shared" si="188"/>
        <v>0</v>
      </c>
      <c r="CF264" s="824">
        <f t="shared" si="188"/>
        <v>0</v>
      </c>
      <c r="CG264" s="824">
        <f t="shared" si="188"/>
        <v>0</v>
      </c>
      <c r="CH264" s="824">
        <f t="shared" si="188"/>
        <v>0</v>
      </c>
      <c r="CI264" s="824">
        <f t="shared" si="188"/>
        <v>0</v>
      </c>
      <c r="CJ264" s="824">
        <f t="shared" si="188"/>
        <v>0</v>
      </c>
      <c r="CK264" s="824">
        <f t="shared" si="188"/>
        <v>0</v>
      </c>
      <c r="CL264" s="824">
        <f t="shared" si="188"/>
        <v>0</v>
      </c>
      <c r="CM264" s="824">
        <f t="shared" si="188"/>
        <v>0</v>
      </c>
      <c r="CN264" s="824">
        <f t="shared" si="188"/>
        <v>0</v>
      </c>
      <c r="CO264" s="824">
        <f t="shared" si="188"/>
        <v>0</v>
      </c>
      <c r="CP264" s="824">
        <f t="shared" si="188"/>
        <v>0</v>
      </c>
      <c r="CQ264" s="824">
        <f t="shared" si="188"/>
        <v>0</v>
      </c>
      <c r="CR264" s="824">
        <f t="shared" si="188"/>
        <v>0</v>
      </c>
      <c r="CS264" s="824">
        <f t="shared" si="188"/>
        <v>0</v>
      </c>
      <c r="CT264" s="824">
        <f t="shared" si="191"/>
        <v>0</v>
      </c>
      <c r="CU264" s="824">
        <f t="shared" si="191"/>
        <v>0</v>
      </c>
      <c r="CV264" s="824">
        <f t="shared" si="191"/>
        <v>0</v>
      </c>
      <c r="CW264" s="824">
        <f t="shared" si="191"/>
        <v>0</v>
      </c>
      <c r="CX264" s="824">
        <f t="shared" si="191"/>
        <v>0</v>
      </c>
      <c r="CY264" s="824">
        <f t="shared" si="191"/>
        <v>0</v>
      </c>
      <c r="CZ264" s="824">
        <f t="shared" si="191"/>
        <v>0</v>
      </c>
      <c r="DA264" s="824">
        <f t="shared" si="191"/>
        <v>0</v>
      </c>
      <c r="DB264" s="824">
        <f t="shared" si="191"/>
        <v>0</v>
      </c>
      <c r="DC264" s="824">
        <f t="shared" si="191"/>
        <v>0</v>
      </c>
      <c r="DD264" s="824">
        <f t="shared" si="191"/>
        <v>0</v>
      </c>
      <c r="DE264" s="824">
        <f t="shared" si="191"/>
        <v>0</v>
      </c>
      <c r="DF264" s="824">
        <f t="shared" si="191"/>
        <v>0</v>
      </c>
      <c r="DG264" s="824">
        <f t="shared" si="191"/>
        <v>0</v>
      </c>
      <c r="DH264" s="824">
        <f t="shared" si="191"/>
        <v>0</v>
      </c>
      <c r="DI264" s="824">
        <f t="shared" si="191"/>
        <v>0</v>
      </c>
      <c r="DJ264" s="824">
        <f t="shared" si="169"/>
        <v>0</v>
      </c>
      <c r="DK264" s="824">
        <f t="shared" si="169"/>
        <v>0</v>
      </c>
      <c r="DL264" s="824">
        <f t="shared" si="169"/>
        <v>0</v>
      </c>
    </row>
    <row r="265" spans="2:116" ht="15" customHeight="1" thickBot="1" x14ac:dyDescent="0.3">
      <c r="B265" s="1673"/>
      <c r="C265" s="1680"/>
      <c r="D265" s="15" t="s">
        <v>31</v>
      </c>
      <c r="E265" s="165"/>
      <c r="F265" s="116">
        <f>SUBTOTAL(109,'3.1 I&amp;W'!$X$160)</f>
        <v>0</v>
      </c>
      <c r="G265" s="116">
        <f>SUBTOTAL(109,'3.1 I&amp;W'!$Y$160)</f>
        <v>0</v>
      </c>
      <c r="H265" s="116">
        <f>SUBTOTAL(109,'3.1 I&amp;W'!$AD$160)</f>
        <v>0</v>
      </c>
      <c r="I265" s="116">
        <f>SUBTOTAL(109,'3.1 I&amp;W'!$AE$160)</f>
        <v>0</v>
      </c>
      <c r="J265" s="116"/>
      <c r="K265" s="116"/>
      <c r="L265" s="116"/>
      <c r="M265" s="116">
        <f>SUBTOTAL(109,'3.1 I&amp;W'!$AI$160)</f>
        <v>0</v>
      </c>
      <c r="N265" s="156">
        <f t="shared" si="192"/>
        <v>0</v>
      </c>
      <c r="O265" s="116">
        <f>SUBTOTAL(109,'3.1 I&amp;W'!$S$160)</f>
        <v>0</v>
      </c>
      <c r="P265" s="30">
        <f t="shared" si="198"/>
        <v>0</v>
      </c>
      <c r="Q265" s="31">
        <f t="shared" si="199"/>
        <v>0</v>
      </c>
      <c r="R265" s="31">
        <f t="shared" si="200"/>
        <v>0</v>
      </c>
      <c r="S265" s="31">
        <f t="shared" si="201"/>
        <v>0</v>
      </c>
      <c r="T265" s="32">
        <f t="shared" si="202"/>
        <v>0</v>
      </c>
      <c r="U265" s="37">
        <f t="shared" si="203"/>
        <v>0</v>
      </c>
      <c r="V265" s="40">
        <f t="shared" si="204"/>
        <v>0</v>
      </c>
      <c r="W265" s="41">
        <f t="shared" si="205"/>
        <v>0</v>
      </c>
      <c r="X265" s="43"/>
      <c r="Y265" s="46"/>
      <c r="Z265" s="126"/>
      <c r="AA265" s="136"/>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824">
        <f t="shared" si="195"/>
        <v>0</v>
      </c>
      <c r="BM265" s="824">
        <f t="shared" si="196"/>
        <v>0</v>
      </c>
      <c r="BN265" s="824">
        <f t="shared" si="197"/>
        <v>0</v>
      </c>
      <c r="BO265" s="824">
        <f t="shared" si="189"/>
        <v>0</v>
      </c>
      <c r="BP265" s="824">
        <f t="shared" si="189"/>
        <v>0</v>
      </c>
      <c r="BQ265" s="824">
        <f t="shared" si="189"/>
        <v>0</v>
      </c>
      <c r="BR265" s="824">
        <f t="shared" si="189"/>
        <v>0</v>
      </c>
      <c r="BS265" s="824">
        <f t="shared" si="189"/>
        <v>0</v>
      </c>
      <c r="BT265" s="824">
        <f t="shared" si="189"/>
        <v>0</v>
      </c>
      <c r="BU265" s="824">
        <f t="shared" si="189"/>
        <v>0</v>
      </c>
      <c r="BV265" s="824">
        <f t="shared" si="189"/>
        <v>0</v>
      </c>
      <c r="BW265" s="824">
        <f t="shared" si="189"/>
        <v>0</v>
      </c>
      <c r="BX265" s="824">
        <f t="shared" si="189"/>
        <v>0</v>
      </c>
      <c r="BY265" s="824">
        <f t="shared" si="189"/>
        <v>0</v>
      </c>
      <c r="BZ265" s="824">
        <f t="shared" si="189"/>
        <v>0</v>
      </c>
      <c r="CA265" s="824">
        <f t="shared" si="189"/>
        <v>0</v>
      </c>
      <c r="CB265" s="824">
        <f t="shared" si="189"/>
        <v>0</v>
      </c>
      <c r="CC265" s="824">
        <f t="shared" si="189"/>
        <v>0</v>
      </c>
      <c r="CD265" s="824">
        <f t="shared" ref="CD265:CS280" si="206">IF(OR(IF($BL265*1&lt;$BL$196,$BL265*1=CD$198,FALSE),IF($BL265*2&lt;$BL$196,$BL265*2=CD$198,FALSE),IF($BL265*3&lt;$BL$196,$BL265*3=CD$198,FALSE),IF($BL265*4&lt;$BL$196,$BL265*4=CD$198,FALSE),IF($BL265*5&lt;$BL$196,$BL265*5=CD$198,FALSE)),$BN265*$BM$196^CD$198,0)</f>
        <v>0</v>
      </c>
      <c r="CE265" s="824">
        <f t="shared" si="206"/>
        <v>0</v>
      </c>
      <c r="CF265" s="824">
        <f t="shared" si="206"/>
        <v>0</v>
      </c>
      <c r="CG265" s="824">
        <f t="shared" si="206"/>
        <v>0</v>
      </c>
      <c r="CH265" s="824">
        <f t="shared" si="206"/>
        <v>0</v>
      </c>
      <c r="CI265" s="824">
        <f t="shared" si="206"/>
        <v>0</v>
      </c>
      <c r="CJ265" s="824">
        <f t="shared" si="206"/>
        <v>0</v>
      </c>
      <c r="CK265" s="824">
        <f t="shared" si="206"/>
        <v>0</v>
      </c>
      <c r="CL265" s="824">
        <f t="shared" si="206"/>
        <v>0</v>
      </c>
      <c r="CM265" s="824">
        <f t="shared" si="206"/>
        <v>0</v>
      </c>
      <c r="CN265" s="824">
        <f t="shared" si="206"/>
        <v>0</v>
      </c>
      <c r="CO265" s="824">
        <f t="shared" si="206"/>
        <v>0</v>
      </c>
      <c r="CP265" s="824">
        <f t="shared" si="206"/>
        <v>0</v>
      </c>
      <c r="CQ265" s="824">
        <f t="shared" si="206"/>
        <v>0</v>
      </c>
      <c r="CR265" s="824">
        <f t="shared" si="206"/>
        <v>0</v>
      </c>
      <c r="CS265" s="824">
        <f t="shared" si="206"/>
        <v>0</v>
      </c>
      <c r="CT265" s="824">
        <f t="shared" si="191"/>
        <v>0</v>
      </c>
      <c r="CU265" s="824">
        <f t="shared" si="191"/>
        <v>0</v>
      </c>
      <c r="CV265" s="824">
        <f t="shared" si="191"/>
        <v>0</v>
      </c>
      <c r="CW265" s="824">
        <f t="shared" si="191"/>
        <v>0</v>
      </c>
      <c r="CX265" s="824">
        <f t="shared" si="191"/>
        <v>0</v>
      </c>
      <c r="CY265" s="824">
        <f t="shared" si="191"/>
        <v>0</v>
      </c>
      <c r="CZ265" s="824">
        <f t="shared" si="191"/>
        <v>0</v>
      </c>
      <c r="DA265" s="824">
        <f t="shared" si="191"/>
        <v>0</v>
      </c>
      <c r="DB265" s="824">
        <f t="shared" si="191"/>
        <v>0</v>
      </c>
      <c r="DC265" s="824">
        <f t="shared" si="191"/>
        <v>0</v>
      </c>
      <c r="DD265" s="824">
        <f t="shared" si="191"/>
        <v>0</v>
      </c>
      <c r="DE265" s="824">
        <f t="shared" si="191"/>
        <v>0</v>
      </c>
      <c r="DF265" s="824">
        <f t="shared" si="191"/>
        <v>0</v>
      </c>
      <c r="DG265" s="824">
        <f t="shared" si="191"/>
        <v>0</v>
      </c>
      <c r="DH265" s="824">
        <f t="shared" si="191"/>
        <v>0</v>
      </c>
      <c r="DI265" s="824">
        <f t="shared" si="191"/>
        <v>0</v>
      </c>
      <c r="DJ265" s="824">
        <f t="shared" si="169"/>
        <v>0</v>
      </c>
      <c r="DK265" s="824">
        <f t="shared" si="169"/>
        <v>0</v>
      </c>
      <c r="DL265" s="824">
        <f t="shared" si="169"/>
        <v>0</v>
      </c>
    </row>
    <row r="266" spans="2:116" ht="15" customHeight="1" thickBot="1" x14ac:dyDescent="0.3">
      <c r="B266" s="1673"/>
      <c r="C266" s="1680"/>
      <c r="D266" s="15" t="s">
        <v>31</v>
      </c>
      <c r="E266" s="116"/>
      <c r="F266" s="116">
        <f>SUBTOTAL(109,'3.1 I&amp;W'!$X$161)</f>
        <v>0</v>
      </c>
      <c r="G266" s="116">
        <f>SUBTOTAL(109,'3.1 I&amp;W'!$Y$161)</f>
        <v>0</v>
      </c>
      <c r="H266" s="116">
        <f>SUBTOTAL(109,'3.1 I&amp;W'!$AD$161)</f>
        <v>0</v>
      </c>
      <c r="I266" s="116">
        <f>SUBTOTAL(109,'3.1 I&amp;W'!$AE$161)</f>
        <v>0</v>
      </c>
      <c r="J266" s="116"/>
      <c r="K266" s="116"/>
      <c r="L266" s="116"/>
      <c r="M266" s="116">
        <f>SUBTOTAL(109,'3.1 I&amp;W'!$AI$161)</f>
        <v>0</v>
      </c>
      <c r="N266" s="156">
        <f t="shared" si="192"/>
        <v>0</v>
      </c>
      <c r="O266" s="116">
        <f>SUBTOTAL(109,'3.1 I&amp;W'!$S$161)</f>
        <v>0</v>
      </c>
      <c r="P266" s="30">
        <f t="shared" si="176"/>
        <v>0</v>
      </c>
      <c r="Q266" s="31">
        <f t="shared" si="177"/>
        <v>0</v>
      </c>
      <c r="R266" s="31">
        <f t="shared" si="178"/>
        <v>0</v>
      </c>
      <c r="S266" s="31">
        <f t="shared" si="179"/>
        <v>0</v>
      </c>
      <c r="T266" s="32">
        <f t="shared" si="180"/>
        <v>0</v>
      </c>
      <c r="U266" s="37">
        <f t="shared" si="129"/>
        <v>0</v>
      </c>
      <c r="V266" s="40">
        <f t="shared" si="193"/>
        <v>0</v>
      </c>
      <c r="W266" s="41">
        <f t="shared" si="194"/>
        <v>0</v>
      </c>
      <c r="X266" s="43"/>
      <c r="Y266" s="46"/>
      <c r="Z266" s="126"/>
      <c r="AA266" s="136"/>
      <c r="AB266" s="3"/>
      <c r="AC266" s="3"/>
      <c r="AD266" s="3"/>
      <c r="AE266" s="94"/>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824">
        <f t="shared" si="195"/>
        <v>0</v>
      </c>
      <c r="BM266" s="824">
        <f t="shared" si="196"/>
        <v>0</v>
      </c>
      <c r="BN266" s="824">
        <f t="shared" si="197"/>
        <v>0</v>
      </c>
      <c r="BO266" s="824">
        <f t="shared" ref="BO266:CD281" si="207">IF(OR(IF($BL266*1&lt;$BL$196,$BL266*1=BO$198,FALSE),IF($BL266*2&lt;$BL$196,$BL266*2=BO$198,FALSE),IF($BL266*3&lt;$BL$196,$BL266*3=BO$198,FALSE),IF($BL266*4&lt;$BL$196,$BL266*4=BO$198,FALSE),IF($BL266*5&lt;$BL$196,$BL266*5=BO$198,FALSE)),$BN266*$BM$196^BO$198,0)</f>
        <v>0</v>
      </c>
      <c r="BP266" s="824">
        <f t="shared" si="207"/>
        <v>0</v>
      </c>
      <c r="BQ266" s="824">
        <f t="shared" si="207"/>
        <v>0</v>
      </c>
      <c r="BR266" s="824">
        <f t="shared" si="207"/>
        <v>0</v>
      </c>
      <c r="BS266" s="824">
        <f t="shared" si="207"/>
        <v>0</v>
      </c>
      <c r="BT266" s="824">
        <f t="shared" si="207"/>
        <v>0</v>
      </c>
      <c r="BU266" s="824">
        <f t="shared" si="207"/>
        <v>0</v>
      </c>
      <c r="BV266" s="824">
        <f t="shared" si="207"/>
        <v>0</v>
      </c>
      <c r="BW266" s="824">
        <f t="shared" si="207"/>
        <v>0</v>
      </c>
      <c r="BX266" s="824">
        <f t="shared" si="207"/>
        <v>0</v>
      </c>
      <c r="BY266" s="824">
        <f t="shared" si="207"/>
        <v>0</v>
      </c>
      <c r="BZ266" s="824">
        <f t="shared" si="207"/>
        <v>0</v>
      </c>
      <c r="CA266" s="824">
        <f t="shared" si="207"/>
        <v>0</v>
      </c>
      <c r="CB266" s="824">
        <f t="shared" si="207"/>
        <v>0</v>
      </c>
      <c r="CC266" s="824">
        <f t="shared" si="207"/>
        <v>0</v>
      </c>
      <c r="CD266" s="824">
        <f t="shared" si="207"/>
        <v>0</v>
      </c>
      <c r="CE266" s="824">
        <f t="shared" si="206"/>
        <v>0</v>
      </c>
      <c r="CF266" s="824">
        <f t="shared" si="206"/>
        <v>0</v>
      </c>
      <c r="CG266" s="824">
        <f t="shared" si="206"/>
        <v>0</v>
      </c>
      <c r="CH266" s="824">
        <f t="shared" si="206"/>
        <v>0</v>
      </c>
      <c r="CI266" s="824">
        <f t="shared" si="206"/>
        <v>0</v>
      </c>
      <c r="CJ266" s="824">
        <f t="shared" si="206"/>
        <v>0</v>
      </c>
      <c r="CK266" s="824">
        <f t="shared" si="206"/>
        <v>0</v>
      </c>
      <c r="CL266" s="824">
        <f t="shared" si="206"/>
        <v>0</v>
      </c>
      <c r="CM266" s="824">
        <f t="shared" si="206"/>
        <v>0</v>
      </c>
      <c r="CN266" s="824">
        <f t="shared" si="206"/>
        <v>0</v>
      </c>
      <c r="CO266" s="824">
        <f t="shared" si="206"/>
        <v>0</v>
      </c>
      <c r="CP266" s="824">
        <f t="shared" si="206"/>
        <v>0</v>
      </c>
      <c r="CQ266" s="824">
        <f t="shared" si="206"/>
        <v>0</v>
      </c>
      <c r="CR266" s="824">
        <f t="shared" si="206"/>
        <v>0</v>
      </c>
      <c r="CS266" s="824">
        <f t="shared" si="206"/>
        <v>0</v>
      </c>
      <c r="CT266" s="824">
        <f t="shared" si="191"/>
        <v>0</v>
      </c>
      <c r="CU266" s="824">
        <f t="shared" si="191"/>
        <v>0</v>
      </c>
      <c r="CV266" s="824">
        <f t="shared" si="191"/>
        <v>0</v>
      </c>
      <c r="CW266" s="824">
        <f t="shared" si="191"/>
        <v>0</v>
      </c>
      <c r="CX266" s="824">
        <f t="shared" si="191"/>
        <v>0</v>
      </c>
      <c r="CY266" s="824">
        <f t="shared" si="191"/>
        <v>0</v>
      </c>
      <c r="CZ266" s="824">
        <f t="shared" si="191"/>
        <v>0</v>
      </c>
      <c r="DA266" s="824">
        <f t="shared" si="191"/>
        <v>0</v>
      </c>
      <c r="DB266" s="824">
        <f t="shared" si="191"/>
        <v>0</v>
      </c>
      <c r="DC266" s="824">
        <f t="shared" si="191"/>
        <v>0</v>
      </c>
      <c r="DD266" s="824">
        <f t="shared" si="191"/>
        <v>0</v>
      </c>
      <c r="DE266" s="824">
        <f t="shared" si="191"/>
        <v>0</v>
      </c>
      <c r="DF266" s="824">
        <f t="shared" si="191"/>
        <v>0</v>
      </c>
      <c r="DG266" s="824">
        <f t="shared" si="191"/>
        <v>0</v>
      </c>
      <c r="DH266" s="824">
        <f t="shared" si="191"/>
        <v>0</v>
      </c>
      <c r="DI266" s="824">
        <f t="shared" ref="DI266" si="208">IF(OR(IF($BL266*1&lt;$BL$196,$BL266*1=DI$198,FALSE),IF($BL266*2&lt;$BL$196,$BL266*2=DI$198,FALSE),IF($BL266*3&lt;$BL$196,$BL266*3=DI$198,FALSE),IF($BL266*4&lt;$BL$196,$BL266*4=DI$198,FALSE),IF($BL266*5&lt;$BL$196,$BL266*5=DI$198,FALSE)),$BN266*$BM$196^DI$198,0)</f>
        <v>0</v>
      </c>
      <c r="DJ266" s="824">
        <f t="shared" si="169"/>
        <v>0</v>
      </c>
      <c r="DK266" s="824">
        <f t="shared" si="169"/>
        <v>0</v>
      </c>
      <c r="DL266" s="824">
        <f t="shared" si="169"/>
        <v>0</v>
      </c>
    </row>
    <row r="267" spans="2:116" ht="15.75" customHeight="1" thickBot="1" x14ac:dyDescent="0.3">
      <c r="B267" s="1673"/>
      <c r="C267" s="1680"/>
      <c r="D267" s="15" t="s">
        <v>29</v>
      </c>
      <c r="E267" s="165"/>
      <c r="F267" s="116">
        <f>SUBTOTAL(109,'3.1 I&amp;W'!$X$163)</f>
        <v>0</v>
      </c>
      <c r="G267" s="116">
        <f>SUBTOTAL(109,'3.1 I&amp;W'!$Y$163)</f>
        <v>0</v>
      </c>
      <c r="H267" s="116">
        <f>SUBTOTAL(109,'3.1 I&amp;W'!$AD$163)</f>
        <v>0</v>
      </c>
      <c r="I267" s="116">
        <f>SUBTOTAL(109,'3.1 I&amp;W'!$AE$163)</f>
        <v>0</v>
      </c>
      <c r="J267" s="116"/>
      <c r="K267" s="116"/>
      <c r="L267" s="116"/>
      <c r="M267" s="116">
        <f>SUBTOTAL(109,'3.1 I&amp;W'!$AI$163)</f>
        <v>0</v>
      </c>
      <c r="N267" s="156">
        <f t="shared" si="192"/>
        <v>0</v>
      </c>
      <c r="O267" s="116">
        <f>SUBTOTAL(109,'3.1 I&amp;W'!$S$163)</f>
        <v>0</v>
      </c>
      <c r="P267" s="30">
        <f t="shared" si="176"/>
        <v>0</v>
      </c>
      <c r="Q267" s="31">
        <f t="shared" si="177"/>
        <v>0</v>
      </c>
      <c r="R267" s="31">
        <f t="shared" si="178"/>
        <v>0</v>
      </c>
      <c r="S267" s="31">
        <f t="shared" si="179"/>
        <v>0</v>
      </c>
      <c r="T267" s="32">
        <f t="shared" si="180"/>
        <v>0</v>
      </c>
      <c r="U267" s="37">
        <f t="shared" si="129"/>
        <v>0</v>
      </c>
      <c r="V267" s="40">
        <f t="shared" si="193"/>
        <v>0</v>
      </c>
      <c r="W267" s="41">
        <f t="shared" si="194"/>
        <v>0</v>
      </c>
      <c r="X267" s="43"/>
      <c r="Y267" s="46"/>
      <c r="Z267" s="126"/>
      <c r="AA267" s="136"/>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824">
        <f t="shared" si="195"/>
        <v>0</v>
      </c>
      <c r="BM267" s="824">
        <f t="shared" si="196"/>
        <v>0</v>
      </c>
      <c r="BN267" s="824">
        <f t="shared" si="197"/>
        <v>0</v>
      </c>
      <c r="BO267" s="824">
        <f t="shared" si="207"/>
        <v>0</v>
      </c>
      <c r="BP267" s="824">
        <f t="shared" si="207"/>
        <v>0</v>
      </c>
      <c r="BQ267" s="824">
        <f t="shared" si="207"/>
        <v>0</v>
      </c>
      <c r="BR267" s="824">
        <f t="shared" si="207"/>
        <v>0</v>
      </c>
      <c r="BS267" s="824">
        <f t="shared" si="207"/>
        <v>0</v>
      </c>
      <c r="BT267" s="824">
        <f t="shared" si="207"/>
        <v>0</v>
      </c>
      <c r="BU267" s="824">
        <f t="shared" si="207"/>
        <v>0</v>
      </c>
      <c r="BV267" s="824">
        <f t="shared" si="207"/>
        <v>0</v>
      </c>
      <c r="BW267" s="824">
        <f t="shared" si="207"/>
        <v>0</v>
      </c>
      <c r="BX267" s="824">
        <f t="shared" si="207"/>
        <v>0</v>
      </c>
      <c r="BY267" s="824">
        <f t="shared" si="207"/>
        <v>0</v>
      </c>
      <c r="BZ267" s="824">
        <f t="shared" si="207"/>
        <v>0</v>
      </c>
      <c r="CA267" s="824">
        <f t="shared" si="207"/>
        <v>0</v>
      </c>
      <c r="CB267" s="824">
        <f t="shared" si="207"/>
        <v>0</v>
      </c>
      <c r="CC267" s="824">
        <f t="shared" si="207"/>
        <v>0</v>
      </c>
      <c r="CD267" s="824">
        <f t="shared" si="207"/>
        <v>0</v>
      </c>
      <c r="CE267" s="824">
        <f t="shared" si="206"/>
        <v>0</v>
      </c>
      <c r="CF267" s="824">
        <f t="shared" si="206"/>
        <v>0</v>
      </c>
      <c r="CG267" s="824">
        <f t="shared" si="206"/>
        <v>0</v>
      </c>
      <c r="CH267" s="824">
        <f t="shared" si="206"/>
        <v>0</v>
      </c>
      <c r="CI267" s="824">
        <f t="shared" si="206"/>
        <v>0</v>
      </c>
      <c r="CJ267" s="824">
        <f t="shared" si="206"/>
        <v>0</v>
      </c>
      <c r="CK267" s="824">
        <f t="shared" si="206"/>
        <v>0</v>
      </c>
      <c r="CL267" s="824">
        <f t="shared" si="206"/>
        <v>0</v>
      </c>
      <c r="CM267" s="824">
        <f t="shared" si="206"/>
        <v>0</v>
      </c>
      <c r="CN267" s="824">
        <f t="shared" si="206"/>
        <v>0</v>
      </c>
      <c r="CO267" s="824">
        <f t="shared" si="206"/>
        <v>0</v>
      </c>
      <c r="CP267" s="824">
        <f t="shared" si="206"/>
        <v>0</v>
      </c>
      <c r="CQ267" s="824">
        <f t="shared" si="206"/>
        <v>0</v>
      </c>
      <c r="CR267" s="824">
        <f t="shared" si="206"/>
        <v>0</v>
      </c>
      <c r="CS267" s="824">
        <f t="shared" si="206"/>
        <v>0</v>
      </c>
      <c r="CT267" s="824">
        <f t="shared" ref="CT267:DI282" si="209">IF(OR(IF($BL267*1&lt;$BL$196,$BL267*1=CT$198,FALSE),IF($BL267*2&lt;$BL$196,$BL267*2=CT$198,FALSE),IF($BL267*3&lt;$BL$196,$BL267*3=CT$198,FALSE),IF($BL267*4&lt;$BL$196,$BL267*4=CT$198,FALSE),IF($BL267*5&lt;$BL$196,$BL267*5=CT$198,FALSE)),$BN267*$BM$196^CT$198,0)</f>
        <v>0</v>
      </c>
      <c r="CU267" s="824">
        <f t="shared" si="209"/>
        <v>0</v>
      </c>
      <c r="CV267" s="824">
        <f t="shared" si="209"/>
        <v>0</v>
      </c>
      <c r="CW267" s="824">
        <f t="shared" si="209"/>
        <v>0</v>
      </c>
      <c r="CX267" s="824">
        <f t="shared" si="209"/>
        <v>0</v>
      </c>
      <c r="CY267" s="824">
        <f t="shared" si="209"/>
        <v>0</v>
      </c>
      <c r="CZ267" s="824">
        <f t="shared" si="209"/>
        <v>0</v>
      </c>
      <c r="DA267" s="824">
        <f t="shared" si="209"/>
        <v>0</v>
      </c>
      <c r="DB267" s="824">
        <f t="shared" si="209"/>
        <v>0</v>
      </c>
      <c r="DC267" s="824">
        <f t="shared" si="209"/>
        <v>0</v>
      </c>
      <c r="DD267" s="824">
        <f t="shared" si="209"/>
        <v>0</v>
      </c>
      <c r="DE267" s="824">
        <f t="shared" si="209"/>
        <v>0</v>
      </c>
      <c r="DF267" s="824">
        <f t="shared" si="209"/>
        <v>0</v>
      </c>
      <c r="DG267" s="824">
        <f t="shared" si="209"/>
        <v>0</v>
      </c>
      <c r="DH267" s="824">
        <f t="shared" si="209"/>
        <v>0</v>
      </c>
      <c r="DI267" s="824">
        <f t="shared" si="209"/>
        <v>0</v>
      </c>
      <c r="DJ267" s="824">
        <f t="shared" si="169"/>
        <v>0</v>
      </c>
      <c r="DK267" s="824">
        <f t="shared" si="169"/>
        <v>0</v>
      </c>
      <c r="DL267" s="824">
        <f t="shared" si="169"/>
        <v>0</v>
      </c>
    </row>
    <row r="268" spans="2:116" ht="12" thickBot="1" x14ac:dyDescent="0.3">
      <c r="B268" s="1673"/>
      <c r="C268" s="1680"/>
      <c r="D268" s="15" t="s">
        <v>25</v>
      </c>
      <c r="E268" s="116"/>
      <c r="F268" s="116">
        <f>SUBTOTAL(109,'3.1 I&amp;W'!$X$167)</f>
        <v>0</v>
      </c>
      <c r="G268" s="116">
        <f>SUBTOTAL(109,'3.1 I&amp;W'!$Y$167)</f>
        <v>0</v>
      </c>
      <c r="H268" s="116">
        <f>SUBTOTAL(109,'3.1 I&amp;W'!$AD$167)</f>
        <v>0</v>
      </c>
      <c r="I268" s="116">
        <f>SUBTOTAL(109,'3.1 I&amp;W'!$AE$167)</f>
        <v>0</v>
      </c>
      <c r="J268" s="116"/>
      <c r="K268" s="116"/>
      <c r="L268" s="116"/>
      <c r="M268" s="116">
        <f>SUBTOTAL(109,'3.1 I&amp;W'!$AI$167)</f>
        <v>0</v>
      </c>
      <c r="N268" s="156">
        <f t="shared" si="192"/>
        <v>0</v>
      </c>
      <c r="O268" s="116">
        <f>SUBTOTAL(109,'3.1 I&amp;W'!$S$167)</f>
        <v>0</v>
      </c>
      <c r="P268" s="30">
        <f t="shared" si="176"/>
        <v>0</v>
      </c>
      <c r="Q268" s="31">
        <f t="shared" si="177"/>
        <v>0</v>
      </c>
      <c r="R268" s="31">
        <f t="shared" si="178"/>
        <v>0</v>
      </c>
      <c r="S268" s="31">
        <f t="shared" si="179"/>
        <v>0</v>
      </c>
      <c r="T268" s="32">
        <f t="shared" si="180"/>
        <v>0</v>
      </c>
      <c r="U268" s="37">
        <f t="shared" si="129"/>
        <v>0</v>
      </c>
      <c r="V268" s="40">
        <f t="shared" si="193"/>
        <v>0</v>
      </c>
      <c r="W268" s="41">
        <f t="shared" si="194"/>
        <v>0</v>
      </c>
      <c r="X268" s="43"/>
      <c r="Y268" s="46"/>
      <c r="Z268" s="126"/>
      <c r="AA268" s="136"/>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824">
        <f t="shared" si="195"/>
        <v>0</v>
      </c>
      <c r="BM268" s="824">
        <f t="shared" si="196"/>
        <v>0</v>
      </c>
      <c r="BN268" s="824">
        <f t="shared" si="197"/>
        <v>0</v>
      </c>
      <c r="BO268" s="824">
        <f t="shared" si="207"/>
        <v>0</v>
      </c>
      <c r="BP268" s="824">
        <f t="shared" si="207"/>
        <v>0</v>
      </c>
      <c r="BQ268" s="824">
        <f t="shared" si="207"/>
        <v>0</v>
      </c>
      <c r="BR268" s="824">
        <f t="shared" si="207"/>
        <v>0</v>
      </c>
      <c r="BS268" s="824">
        <f t="shared" si="207"/>
        <v>0</v>
      </c>
      <c r="BT268" s="824">
        <f t="shared" si="207"/>
        <v>0</v>
      </c>
      <c r="BU268" s="824">
        <f t="shared" si="207"/>
        <v>0</v>
      </c>
      <c r="BV268" s="824">
        <f t="shared" si="207"/>
        <v>0</v>
      </c>
      <c r="BW268" s="824">
        <f t="shared" si="207"/>
        <v>0</v>
      </c>
      <c r="BX268" s="824">
        <f t="shared" si="207"/>
        <v>0</v>
      </c>
      <c r="BY268" s="824">
        <f t="shared" si="207"/>
        <v>0</v>
      </c>
      <c r="BZ268" s="824">
        <f t="shared" si="207"/>
        <v>0</v>
      </c>
      <c r="CA268" s="824">
        <f t="shared" si="207"/>
        <v>0</v>
      </c>
      <c r="CB268" s="824">
        <f t="shared" si="207"/>
        <v>0</v>
      </c>
      <c r="CC268" s="824">
        <f t="shared" si="207"/>
        <v>0</v>
      </c>
      <c r="CD268" s="824">
        <f t="shared" si="207"/>
        <v>0</v>
      </c>
      <c r="CE268" s="824">
        <f t="shared" si="206"/>
        <v>0</v>
      </c>
      <c r="CF268" s="824">
        <f t="shared" si="206"/>
        <v>0</v>
      </c>
      <c r="CG268" s="824">
        <f t="shared" si="206"/>
        <v>0</v>
      </c>
      <c r="CH268" s="824">
        <f t="shared" si="206"/>
        <v>0</v>
      </c>
      <c r="CI268" s="824">
        <f t="shared" si="206"/>
        <v>0</v>
      </c>
      <c r="CJ268" s="824">
        <f t="shared" si="206"/>
        <v>0</v>
      </c>
      <c r="CK268" s="824">
        <f t="shared" si="206"/>
        <v>0</v>
      </c>
      <c r="CL268" s="824">
        <f t="shared" si="206"/>
        <v>0</v>
      </c>
      <c r="CM268" s="824">
        <f t="shared" si="206"/>
        <v>0</v>
      </c>
      <c r="CN268" s="824">
        <f t="shared" si="206"/>
        <v>0</v>
      </c>
      <c r="CO268" s="824">
        <f t="shared" si="206"/>
        <v>0</v>
      </c>
      <c r="CP268" s="824">
        <f t="shared" si="206"/>
        <v>0</v>
      </c>
      <c r="CQ268" s="824">
        <f t="shared" si="206"/>
        <v>0</v>
      </c>
      <c r="CR268" s="824">
        <f t="shared" si="206"/>
        <v>0</v>
      </c>
      <c r="CS268" s="824">
        <f t="shared" si="206"/>
        <v>0</v>
      </c>
      <c r="CT268" s="824">
        <f t="shared" si="209"/>
        <v>0</v>
      </c>
      <c r="CU268" s="824">
        <f t="shared" si="209"/>
        <v>0</v>
      </c>
      <c r="CV268" s="824">
        <f t="shared" si="209"/>
        <v>0</v>
      </c>
      <c r="CW268" s="824">
        <f t="shared" si="209"/>
        <v>0</v>
      </c>
      <c r="CX268" s="824">
        <f t="shared" si="209"/>
        <v>0</v>
      </c>
      <c r="CY268" s="824">
        <f t="shared" si="209"/>
        <v>0</v>
      </c>
      <c r="CZ268" s="824">
        <f t="shared" si="209"/>
        <v>0</v>
      </c>
      <c r="DA268" s="824">
        <f t="shared" si="209"/>
        <v>0</v>
      </c>
      <c r="DB268" s="824">
        <f t="shared" si="209"/>
        <v>0</v>
      </c>
      <c r="DC268" s="824">
        <f t="shared" si="209"/>
        <v>0</v>
      </c>
      <c r="DD268" s="824">
        <f t="shared" si="209"/>
        <v>0</v>
      </c>
      <c r="DE268" s="824">
        <f t="shared" si="209"/>
        <v>0</v>
      </c>
      <c r="DF268" s="824">
        <f t="shared" si="209"/>
        <v>0</v>
      </c>
      <c r="DG268" s="824">
        <f t="shared" si="209"/>
        <v>0</v>
      </c>
      <c r="DH268" s="824">
        <f t="shared" si="209"/>
        <v>0</v>
      </c>
      <c r="DI268" s="824">
        <f t="shared" si="209"/>
        <v>0</v>
      </c>
      <c r="DJ268" s="824">
        <f t="shared" si="169"/>
        <v>0</v>
      </c>
      <c r="DK268" s="824">
        <f t="shared" si="169"/>
        <v>0</v>
      </c>
      <c r="DL268" s="824">
        <f t="shared" si="169"/>
        <v>0</v>
      </c>
    </row>
    <row r="269" spans="2:116" ht="12" thickBot="1" x14ac:dyDescent="0.3">
      <c r="B269" s="1673"/>
      <c r="C269" s="1680"/>
      <c r="D269" s="15" t="s">
        <v>25</v>
      </c>
      <c r="E269" s="165"/>
      <c r="F269" s="116">
        <f>SUBTOTAL(109,'3.1 I&amp;W'!$X$168)</f>
        <v>0</v>
      </c>
      <c r="G269" s="116">
        <f>SUBTOTAL(109,'3.1 I&amp;W'!$Y$168)</f>
        <v>0</v>
      </c>
      <c r="H269" s="116">
        <f>SUBTOTAL(109,'3.1 I&amp;W'!$AD$168)</f>
        <v>0</v>
      </c>
      <c r="I269" s="116">
        <f>SUBTOTAL(109,'3.1 I&amp;W'!$AE$168)</f>
        <v>0</v>
      </c>
      <c r="J269" s="116"/>
      <c r="K269" s="116"/>
      <c r="L269" s="116"/>
      <c r="M269" s="116">
        <f>SUBTOTAL(109,'3.1 I&amp;W'!$AI$168)</f>
        <v>0</v>
      </c>
      <c r="N269" s="156">
        <f t="shared" si="192"/>
        <v>0</v>
      </c>
      <c r="O269" s="116">
        <f>SUBTOTAL(109,'3.1 I&amp;W'!$S$168)</f>
        <v>0</v>
      </c>
      <c r="P269" s="30">
        <f t="shared" si="176"/>
        <v>0</v>
      </c>
      <c r="Q269" s="31">
        <f t="shared" si="177"/>
        <v>0</v>
      </c>
      <c r="R269" s="31">
        <f t="shared" si="178"/>
        <v>0</v>
      </c>
      <c r="S269" s="31">
        <f t="shared" si="179"/>
        <v>0</v>
      </c>
      <c r="T269" s="32">
        <f t="shared" si="180"/>
        <v>0</v>
      </c>
      <c r="U269" s="37">
        <f t="shared" si="129"/>
        <v>0</v>
      </c>
      <c r="V269" s="40">
        <f t="shared" si="193"/>
        <v>0</v>
      </c>
      <c r="W269" s="41">
        <f t="shared" si="194"/>
        <v>0</v>
      </c>
      <c r="X269" s="43"/>
      <c r="Y269" s="46"/>
      <c r="Z269" s="126"/>
      <c r="AA269" s="136"/>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824">
        <f t="shared" si="195"/>
        <v>0</v>
      </c>
      <c r="BM269" s="824">
        <f t="shared" si="196"/>
        <v>0</v>
      </c>
      <c r="BN269" s="824">
        <f t="shared" si="197"/>
        <v>0</v>
      </c>
      <c r="BO269" s="824">
        <f t="shared" si="207"/>
        <v>0</v>
      </c>
      <c r="BP269" s="824">
        <f t="shared" si="207"/>
        <v>0</v>
      </c>
      <c r="BQ269" s="824">
        <f t="shared" si="207"/>
        <v>0</v>
      </c>
      <c r="BR269" s="824">
        <f t="shared" si="207"/>
        <v>0</v>
      </c>
      <c r="BS269" s="824">
        <f t="shared" si="207"/>
        <v>0</v>
      </c>
      <c r="BT269" s="824">
        <f t="shared" si="207"/>
        <v>0</v>
      </c>
      <c r="BU269" s="824">
        <f t="shared" si="207"/>
        <v>0</v>
      </c>
      <c r="BV269" s="824">
        <f t="shared" si="207"/>
        <v>0</v>
      </c>
      <c r="BW269" s="824">
        <f t="shared" si="207"/>
        <v>0</v>
      </c>
      <c r="BX269" s="824">
        <f t="shared" si="207"/>
        <v>0</v>
      </c>
      <c r="BY269" s="824">
        <f t="shared" si="207"/>
        <v>0</v>
      </c>
      <c r="BZ269" s="824">
        <f t="shared" si="207"/>
        <v>0</v>
      </c>
      <c r="CA269" s="824">
        <f t="shared" si="207"/>
        <v>0</v>
      </c>
      <c r="CB269" s="824">
        <f t="shared" si="207"/>
        <v>0</v>
      </c>
      <c r="CC269" s="824">
        <f t="shared" si="207"/>
        <v>0</v>
      </c>
      <c r="CD269" s="824">
        <f t="shared" si="207"/>
        <v>0</v>
      </c>
      <c r="CE269" s="824">
        <f t="shared" si="206"/>
        <v>0</v>
      </c>
      <c r="CF269" s="824">
        <f t="shared" si="206"/>
        <v>0</v>
      </c>
      <c r="CG269" s="824">
        <f t="shared" si="206"/>
        <v>0</v>
      </c>
      <c r="CH269" s="824">
        <f t="shared" si="206"/>
        <v>0</v>
      </c>
      <c r="CI269" s="824">
        <f t="shared" si="206"/>
        <v>0</v>
      </c>
      <c r="CJ269" s="824">
        <f t="shared" si="206"/>
        <v>0</v>
      </c>
      <c r="CK269" s="824">
        <f t="shared" si="206"/>
        <v>0</v>
      </c>
      <c r="CL269" s="824">
        <f t="shared" si="206"/>
        <v>0</v>
      </c>
      <c r="CM269" s="824">
        <f t="shared" si="206"/>
        <v>0</v>
      </c>
      <c r="CN269" s="824">
        <f t="shared" si="206"/>
        <v>0</v>
      </c>
      <c r="CO269" s="824">
        <f t="shared" si="206"/>
        <v>0</v>
      </c>
      <c r="CP269" s="824">
        <f t="shared" si="206"/>
        <v>0</v>
      </c>
      <c r="CQ269" s="824">
        <f t="shared" si="206"/>
        <v>0</v>
      </c>
      <c r="CR269" s="824">
        <f t="shared" si="206"/>
        <v>0</v>
      </c>
      <c r="CS269" s="824">
        <f t="shared" si="206"/>
        <v>0</v>
      </c>
      <c r="CT269" s="824">
        <f t="shared" si="209"/>
        <v>0</v>
      </c>
      <c r="CU269" s="824">
        <f t="shared" si="209"/>
        <v>0</v>
      </c>
      <c r="CV269" s="824">
        <f t="shared" si="209"/>
        <v>0</v>
      </c>
      <c r="CW269" s="824">
        <f t="shared" si="209"/>
        <v>0</v>
      </c>
      <c r="CX269" s="824">
        <f t="shared" si="209"/>
        <v>0</v>
      </c>
      <c r="CY269" s="824">
        <f t="shared" si="209"/>
        <v>0</v>
      </c>
      <c r="CZ269" s="824">
        <f t="shared" si="209"/>
        <v>0</v>
      </c>
      <c r="DA269" s="824">
        <f t="shared" si="209"/>
        <v>0</v>
      </c>
      <c r="DB269" s="824">
        <f t="shared" si="209"/>
        <v>0</v>
      </c>
      <c r="DC269" s="824">
        <f t="shared" si="209"/>
        <v>0</v>
      </c>
      <c r="DD269" s="824">
        <f t="shared" si="209"/>
        <v>0</v>
      </c>
      <c r="DE269" s="824">
        <f t="shared" si="209"/>
        <v>0</v>
      </c>
      <c r="DF269" s="824">
        <f t="shared" si="209"/>
        <v>0</v>
      </c>
      <c r="DG269" s="824">
        <f t="shared" si="209"/>
        <v>0</v>
      </c>
      <c r="DH269" s="824">
        <f t="shared" si="209"/>
        <v>0</v>
      </c>
      <c r="DI269" s="824">
        <f t="shared" si="209"/>
        <v>0</v>
      </c>
      <c r="DJ269" s="824">
        <f t="shared" si="169"/>
        <v>0</v>
      </c>
      <c r="DK269" s="824">
        <f t="shared" si="169"/>
        <v>0</v>
      </c>
      <c r="DL269" s="824">
        <f t="shared" si="169"/>
        <v>0</v>
      </c>
    </row>
    <row r="270" spans="2:116" ht="12" thickBot="1" x14ac:dyDescent="0.3">
      <c r="B270" s="1673"/>
      <c r="C270" s="1680"/>
      <c r="D270" s="15" t="s">
        <v>25</v>
      </c>
      <c r="E270" s="116"/>
      <c r="F270" s="116">
        <f>SUBTOTAL(109,'3.1 I&amp;W'!$X$169)</f>
        <v>0</v>
      </c>
      <c r="G270" s="116">
        <f>SUBTOTAL(109,'3.1 I&amp;W'!$Y$169)</f>
        <v>0</v>
      </c>
      <c r="H270" s="116">
        <f>SUBTOTAL(109,'3.1 I&amp;W'!$AD$169)</f>
        <v>0</v>
      </c>
      <c r="I270" s="116">
        <f>SUBTOTAL(109,'3.1 I&amp;W'!$AE$169)</f>
        <v>0</v>
      </c>
      <c r="J270" s="116"/>
      <c r="K270" s="116"/>
      <c r="L270" s="116"/>
      <c r="M270" s="116">
        <f>SUBTOTAL(109,'3.1 I&amp;W'!$AI$169)</f>
        <v>0</v>
      </c>
      <c r="N270" s="156">
        <f t="shared" si="192"/>
        <v>0</v>
      </c>
      <c r="O270" s="116">
        <f>SUBTOTAL(109,'3.1 I&amp;W'!$S$169)</f>
        <v>0</v>
      </c>
      <c r="P270" s="30">
        <f t="shared" si="176"/>
        <v>0</v>
      </c>
      <c r="Q270" s="31">
        <f t="shared" si="177"/>
        <v>0</v>
      </c>
      <c r="R270" s="31">
        <f t="shared" si="178"/>
        <v>0</v>
      </c>
      <c r="S270" s="31">
        <f t="shared" si="179"/>
        <v>0</v>
      </c>
      <c r="T270" s="32">
        <f t="shared" si="180"/>
        <v>0</v>
      </c>
      <c r="U270" s="37">
        <f t="shared" si="129"/>
        <v>0</v>
      </c>
      <c r="V270" s="40">
        <f t="shared" si="193"/>
        <v>0</v>
      </c>
      <c r="W270" s="41">
        <f t="shared" si="194"/>
        <v>0</v>
      </c>
      <c r="X270" s="43"/>
      <c r="Y270" s="46"/>
      <c r="Z270" s="126"/>
      <c r="AA270" s="136"/>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824">
        <f t="shared" si="195"/>
        <v>0</v>
      </c>
      <c r="BM270" s="824">
        <f t="shared" si="196"/>
        <v>0</v>
      </c>
      <c r="BN270" s="824">
        <f t="shared" si="197"/>
        <v>0</v>
      </c>
      <c r="BO270" s="824">
        <f t="shared" si="207"/>
        <v>0</v>
      </c>
      <c r="BP270" s="824">
        <f t="shared" si="207"/>
        <v>0</v>
      </c>
      <c r="BQ270" s="824">
        <f t="shared" si="207"/>
        <v>0</v>
      </c>
      <c r="BR270" s="824">
        <f t="shared" si="207"/>
        <v>0</v>
      </c>
      <c r="BS270" s="824">
        <f t="shared" si="207"/>
        <v>0</v>
      </c>
      <c r="BT270" s="824">
        <f t="shared" si="207"/>
        <v>0</v>
      </c>
      <c r="BU270" s="824">
        <f t="shared" si="207"/>
        <v>0</v>
      </c>
      <c r="BV270" s="824">
        <f t="shared" si="207"/>
        <v>0</v>
      </c>
      <c r="BW270" s="824">
        <f t="shared" si="207"/>
        <v>0</v>
      </c>
      <c r="BX270" s="824">
        <f t="shared" si="207"/>
        <v>0</v>
      </c>
      <c r="BY270" s="824">
        <f t="shared" si="207"/>
        <v>0</v>
      </c>
      <c r="BZ270" s="824">
        <f t="shared" si="207"/>
        <v>0</v>
      </c>
      <c r="CA270" s="824">
        <f t="shared" si="207"/>
        <v>0</v>
      </c>
      <c r="CB270" s="824">
        <f t="shared" si="207"/>
        <v>0</v>
      </c>
      <c r="CC270" s="824">
        <f t="shared" si="207"/>
        <v>0</v>
      </c>
      <c r="CD270" s="824">
        <f t="shared" si="207"/>
        <v>0</v>
      </c>
      <c r="CE270" s="824">
        <f t="shared" si="206"/>
        <v>0</v>
      </c>
      <c r="CF270" s="824">
        <f t="shared" si="206"/>
        <v>0</v>
      </c>
      <c r="CG270" s="824">
        <f t="shared" si="206"/>
        <v>0</v>
      </c>
      <c r="CH270" s="824">
        <f t="shared" si="206"/>
        <v>0</v>
      </c>
      <c r="CI270" s="824">
        <f t="shared" si="206"/>
        <v>0</v>
      </c>
      <c r="CJ270" s="824">
        <f t="shared" si="206"/>
        <v>0</v>
      </c>
      <c r="CK270" s="824">
        <f t="shared" si="206"/>
        <v>0</v>
      </c>
      <c r="CL270" s="824">
        <f t="shared" si="206"/>
        <v>0</v>
      </c>
      <c r="CM270" s="824">
        <f t="shared" si="206"/>
        <v>0</v>
      </c>
      <c r="CN270" s="824">
        <f t="shared" si="206"/>
        <v>0</v>
      </c>
      <c r="CO270" s="824">
        <f t="shared" si="206"/>
        <v>0</v>
      </c>
      <c r="CP270" s="824">
        <f t="shared" si="206"/>
        <v>0</v>
      </c>
      <c r="CQ270" s="824">
        <f t="shared" si="206"/>
        <v>0</v>
      </c>
      <c r="CR270" s="824">
        <f t="shared" si="206"/>
        <v>0</v>
      </c>
      <c r="CS270" s="824">
        <f t="shared" si="206"/>
        <v>0</v>
      </c>
      <c r="CT270" s="824">
        <f t="shared" si="209"/>
        <v>0</v>
      </c>
      <c r="CU270" s="824">
        <f t="shared" si="209"/>
        <v>0</v>
      </c>
      <c r="CV270" s="824">
        <f t="shared" si="209"/>
        <v>0</v>
      </c>
      <c r="CW270" s="824">
        <f t="shared" si="209"/>
        <v>0</v>
      </c>
      <c r="CX270" s="824">
        <f t="shared" si="209"/>
        <v>0</v>
      </c>
      <c r="CY270" s="824">
        <f t="shared" si="209"/>
        <v>0</v>
      </c>
      <c r="CZ270" s="824">
        <f t="shared" si="209"/>
        <v>0</v>
      </c>
      <c r="DA270" s="824">
        <f t="shared" si="209"/>
        <v>0</v>
      </c>
      <c r="DB270" s="824">
        <f t="shared" si="209"/>
        <v>0</v>
      </c>
      <c r="DC270" s="824">
        <f t="shared" si="209"/>
        <v>0</v>
      </c>
      <c r="DD270" s="824">
        <f t="shared" si="209"/>
        <v>0</v>
      </c>
      <c r="DE270" s="824">
        <f t="shared" si="209"/>
        <v>0</v>
      </c>
      <c r="DF270" s="824">
        <f t="shared" si="209"/>
        <v>0</v>
      </c>
      <c r="DG270" s="824">
        <f t="shared" si="209"/>
        <v>0</v>
      </c>
      <c r="DH270" s="824">
        <f t="shared" si="209"/>
        <v>0</v>
      </c>
      <c r="DI270" s="824">
        <f t="shared" si="209"/>
        <v>0</v>
      </c>
      <c r="DJ270" s="824">
        <f t="shared" si="169"/>
        <v>0</v>
      </c>
      <c r="DK270" s="824">
        <f t="shared" si="169"/>
        <v>0</v>
      </c>
      <c r="DL270" s="824">
        <f t="shared" si="169"/>
        <v>0</v>
      </c>
    </row>
    <row r="271" spans="2:116" ht="12" thickBot="1" x14ac:dyDescent="0.3">
      <c r="B271" s="1673"/>
      <c r="C271" s="1680"/>
      <c r="D271" s="15" t="s">
        <v>25</v>
      </c>
      <c r="E271" s="165"/>
      <c r="F271" s="116">
        <f>SUBTOTAL(109,'3.1 I&amp;W'!$X$170)</f>
        <v>0</v>
      </c>
      <c r="G271" s="116">
        <f>SUBTOTAL(109,'3.1 I&amp;W'!$Y$170)</f>
        <v>0</v>
      </c>
      <c r="H271" s="116">
        <f>SUBTOTAL(109,'3.1 I&amp;W'!$AD$170)</f>
        <v>0</v>
      </c>
      <c r="I271" s="116">
        <f>SUBTOTAL(109,'3.1 I&amp;W'!$AE$170)</f>
        <v>0</v>
      </c>
      <c r="J271" s="116"/>
      <c r="K271" s="116"/>
      <c r="L271" s="116"/>
      <c r="M271" s="116">
        <f>SUBTOTAL(109,'3.1 I&amp;W'!$AI$170)</f>
        <v>0</v>
      </c>
      <c r="N271" s="156">
        <f t="shared" si="192"/>
        <v>0</v>
      </c>
      <c r="O271" s="116">
        <f>SUBTOTAL(109,'3.1 I&amp;W'!$S$170)</f>
        <v>0</v>
      </c>
      <c r="P271" s="30">
        <f t="shared" ref="P271:P308" si="210">IF(N271&gt;=1,O271*$G$158^(1*M271)/($G$157^(1*M271)),0)</f>
        <v>0</v>
      </c>
      <c r="Q271" s="31">
        <f t="shared" ref="Q271:Q308" si="211">IF(N271&gt;=2,O271*$G$158^(2*M271)/($G$157^(2*M271)),0)</f>
        <v>0</v>
      </c>
      <c r="R271" s="31">
        <f t="shared" ref="R271:R308" si="212">IF(N271&gt;=3,O271*$G$158^(3*M271)/($G$157^(3*M271)),0)</f>
        <v>0</v>
      </c>
      <c r="S271" s="31">
        <f t="shared" ref="S271:S308" si="213">IF(N271&gt;=4,O271*$G$158^(4*M271)/($G$157^(4*M271)),0)</f>
        <v>0</v>
      </c>
      <c r="T271" s="32">
        <f t="shared" ref="T271:T308" si="214">IF(N271&gt;=5,O271*$G$158^(5*M271)/($G$157^(5*M271)),0)</f>
        <v>0</v>
      </c>
      <c r="U271" s="37">
        <f t="shared" ref="U271:U336" si="215">IF(M271=0,0,O271*$G$158^(N271*M271)*((N271+1)*M271-$G$154)/M271*(1/$G$157^$G$154))</f>
        <v>0</v>
      </c>
      <c r="V271" s="40">
        <f t="shared" si="193"/>
        <v>0</v>
      </c>
      <c r="W271" s="41">
        <f t="shared" si="194"/>
        <v>0</v>
      </c>
      <c r="X271" s="43"/>
      <c r="Y271" s="46"/>
      <c r="Z271" s="126"/>
      <c r="AA271" s="136"/>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824">
        <f t="shared" si="195"/>
        <v>0</v>
      </c>
      <c r="BM271" s="824">
        <f t="shared" si="196"/>
        <v>0</v>
      </c>
      <c r="BN271" s="824">
        <f t="shared" si="197"/>
        <v>0</v>
      </c>
      <c r="BO271" s="824">
        <f t="shared" si="207"/>
        <v>0</v>
      </c>
      <c r="BP271" s="824">
        <f t="shared" si="207"/>
        <v>0</v>
      </c>
      <c r="BQ271" s="824">
        <f t="shared" si="207"/>
        <v>0</v>
      </c>
      <c r="BR271" s="824">
        <f t="shared" si="207"/>
        <v>0</v>
      </c>
      <c r="BS271" s="824">
        <f t="shared" si="207"/>
        <v>0</v>
      </c>
      <c r="BT271" s="824">
        <f t="shared" si="207"/>
        <v>0</v>
      </c>
      <c r="BU271" s="824">
        <f t="shared" si="207"/>
        <v>0</v>
      </c>
      <c r="BV271" s="824">
        <f t="shared" si="207"/>
        <v>0</v>
      </c>
      <c r="BW271" s="824">
        <f t="shared" si="207"/>
        <v>0</v>
      </c>
      <c r="BX271" s="824">
        <f t="shared" si="207"/>
        <v>0</v>
      </c>
      <c r="BY271" s="824">
        <f t="shared" si="207"/>
        <v>0</v>
      </c>
      <c r="BZ271" s="824">
        <f t="shared" si="207"/>
        <v>0</v>
      </c>
      <c r="CA271" s="824">
        <f t="shared" si="207"/>
        <v>0</v>
      </c>
      <c r="CB271" s="824">
        <f t="shared" si="207"/>
        <v>0</v>
      </c>
      <c r="CC271" s="824">
        <f t="shared" si="207"/>
        <v>0</v>
      </c>
      <c r="CD271" s="824">
        <f t="shared" si="207"/>
        <v>0</v>
      </c>
      <c r="CE271" s="824">
        <f t="shared" si="206"/>
        <v>0</v>
      </c>
      <c r="CF271" s="824">
        <f t="shared" si="206"/>
        <v>0</v>
      </c>
      <c r="CG271" s="824">
        <f t="shared" si="206"/>
        <v>0</v>
      </c>
      <c r="CH271" s="824">
        <f t="shared" si="206"/>
        <v>0</v>
      </c>
      <c r="CI271" s="824">
        <f t="shared" si="206"/>
        <v>0</v>
      </c>
      <c r="CJ271" s="824">
        <f t="shared" si="206"/>
        <v>0</v>
      </c>
      <c r="CK271" s="824">
        <f t="shared" si="206"/>
        <v>0</v>
      </c>
      <c r="CL271" s="824">
        <f t="shared" si="206"/>
        <v>0</v>
      </c>
      <c r="CM271" s="824">
        <f t="shared" si="206"/>
        <v>0</v>
      </c>
      <c r="CN271" s="824">
        <f t="shared" si="206"/>
        <v>0</v>
      </c>
      <c r="CO271" s="824">
        <f t="shared" si="206"/>
        <v>0</v>
      </c>
      <c r="CP271" s="824">
        <f t="shared" si="206"/>
        <v>0</v>
      </c>
      <c r="CQ271" s="824">
        <f t="shared" si="206"/>
        <v>0</v>
      </c>
      <c r="CR271" s="824">
        <f t="shared" si="206"/>
        <v>0</v>
      </c>
      <c r="CS271" s="824">
        <f t="shared" si="206"/>
        <v>0</v>
      </c>
      <c r="CT271" s="824">
        <f t="shared" si="209"/>
        <v>0</v>
      </c>
      <c r="CU271" s="824">
        <f t="shared" si="209"/>
        <v>0</v>
      </c>
      <c r="CV271" s="824">
        <f t="shared" si="209"/>
        <v>0</v>
      </c>
      <c r="CW271" s="824">
        <f t="shared" si="209"/>
        <v>0</v>
      </c>
      <c r="CX271" s="824">
        <f t="shared" si="209"/>
        <v>0</v>
      </c>
      <c r="CY271" s="824">
        <f t="shared" si="209"/>
        <v>0</v>
      </c>
      <c r="CZ271" s="824">
        <f t="shared" si="209"/>
        <v>0</v>
      </c>
      <c r="DA271" s="824">
        <f t="shared" si="209"/>
        <v>0</v>
      </c>
      <c r="DB271" s="824">
        <f t="shared" si="209"/>
        <v>0</v>
      </c>
      <c r="DC271" s="824">
        <f t="shared" si="209"/>
        <v>0</v>
      </c>
      <c r="DD271" s="824">
        <f t="shared" si="209"/>
        <v>0</v>
      </c>
      <c r="DE271" s="824">
        <f t="shared" si="209"/>
        <v>0</v>
      </c>
      <c r="DF271" s="824">
        <f t="shared" si="209"/>
        <v>0</v>
      </c>
      <c r="DG271" s="824">
        <f t="shared" si="209"/>
        <v>0</v>
      </c>
      <c r="DH271" s="824">
        <f t="shared" si="209"/>
        <v>0</v>
      </c>
      <c r="DI271" s="824">
        <f t="shared" si="209"/>
        <v>0</v>
      </c>
      <c r="DJ271" s="824">
        <f t="shared" si="169"/>
        <v>0</v>
      </c>
      <c r="DK271" s="824">
        <f t="shared" si="169"/>
        <v>0</v>
      </c>
      <c r="DL271" s="824">
        <f t="shared" si="169"/>
        <v>0</v>
      </c>
    </row>
    <row r="272" spans="2:116" ht="12" thickBot="1" x14ac:dyDescent="0.3">
      <c r="B272" s="1673"/>
      <c r="C272" s="1680"/>
      <c r="D272" s="15" t="s">
        <v>19</v>
      </c>
      <c r="E272" s="116"/>
      <c r="F272" s="116">
        <f>SUBTOTAL(109,'3.1 I&amp;W'!$X$178)</f>
        <v>0</v>
      </c>
      <c r="G272" s="116">
        <f>SUBTOTAL(109,'3.1 I&amp;W'!$Y$178)</f>
        <v>0</v>
      </c>
      <c r="H272" s="116">
        <f>SUBTOTAL(109,'3.1 I&amp;W'!$AD$178)</f>
        <v>0</v>
      </c>
      <c r="I272" s="116">
        <f>SUBTOTAL(109,'3.1 I&amp;W'!$AE$178)</f>
        <v>0</v>
      </c>
      <c r="J272" s="116"/>
      <c r="K272" s="116"/>
      <c r="L272" s="116"/>
      <c r="M272" s="116">
        <f>SUBTOTAL(109,'3.1 I&amp;W'!$AI$178)</f>
        <v>0</v>
      </c>
      <c r="N272" s="156">
        <f t="shared" si="192"/>
        <v>0</v>
      </c>
      <c r="O272" s="116">
        <f>SUBTOTAL(109,'3.1 I&amp;W'!$S$178)</f>
        <v>0</v>
      </c>
      <c r="P272" s="30">
        <f t="shared" si="210"/>
        <v>0</v>
      </c>
      <c r="Q272" s="31">
        <f t="shared" si="211"/>
        <v>0</v>
      </c>
      <c r="R272" s="31">
        <f t="shared" si="212"/>
        <v>0</v>
      </c>
      <c r="S272" s="31">
        <f t="shared" si="213"/>
        <v>0</v>
      </c>
      <c r="T272" s="32">
        <f t="shared" si="214"/>
        <v>0</v>
      </c>
      <c r="U272" s="37">
        <f t="shared" si="215"/>
        <v>0</v>
      </c>
      <c r="V272" s="40">
        <f t="shared" si="193"/>
        <v>0</v>
      </c>
      <c r="W272" s="41">
        <f t="shared" si="194"/>
        <v>0</v>
      </c>
      <c r="X272" s="43"/>
      <c r="Y272" s="46"/>
      <c r="Z272" s="126"/>
      <c r="AA272" s="136"/>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824">
        <f t="shared" si="195"/>
        <v>0</v>
      </c>
      <c r="BM272" s="824">
        <f t="shared" si="196"/>
        <v>0</v>
      </c>
      <c r="BN272" s="824">
        <f t="shared" si="197"/>
        <v>0</v>
      </c>
      <c r="BO272" s="824">
        <f t="shared" si="207"/>
        <v>0</v>
      </c>
      <c r="BP272" s="824">
        <f t="shared" si="207"/>
        <v>0</v>
      </c>
      <c r="BQ272" s="824">
        <f t="shared" si="207"/>
        <v>0</v>
      </c>
      <c r="BR272" s="824">
        <f t="shared" si="207"/>
        <v>0</v>
      </c>
      <c r="BS272" s="824">
        <f t="shared" si="207"/>
        <v>0</v>
      </c>
      <c r="BT272" s="824">
        <f t="shared" si="207"/>
        <v>0</v>
      </c>
      <c r="BU272" s="824">
        <f t="shared" si="207"/>
        <v>0</v>
      </c>
      <c r="BV272" s="824">
        <f t="shared" si="207"/>
        <v>0</v>
      </c>
      <c r="BW272" s="824">
        <f t="shared" si="207"/>
        <v>0</v>
      </c>
      <c r="BX272" s="824">
        <f t="shared" si="207"/>
        <v>0</v>
      </c>
      <c r="BY272" s="824">
        <f t="shared" si="207"/>
        <v>0</v>
      </c>
      <c r="BZ272" s="824">
        <f t="shared" si="207"/>
        <v>0</v>
      </c>
      <c r="CA272" s="824">
        <f t="shared" si="207"/>
        <v>0</v>
      </c>
      <c r="CB272" s="824">
        <f t="shared" si="207"/>
        <v>0</v>
      </c>
      <c r="CC272" s="824">
        <f t="shared" si="207"/>
        <v>0</v>
      </c>
      <c r="CD272" s="824">
        <f t="shared" si="207"/>
        <v>0</v>
      </c>
      <c r="CE272" s="824">
        <f t="shared" si="206"/>
        <v>0</v>
      </c>
      <c r="CF272" s="824">
        <f t="shared" si="206"/>
        <v>0</v>
      </c>
      <c r="CG272" s="824">
        <f t="shared" si="206"/>
        <v>0</v>
      </c>
      <c r="CH272" s="824">
        <f t="shared" si="206"/>
        <v>0</v>
      </c>
      <c r="CI272" s="824">
        <f t="shared" si="206"/>
        <v>0</v>
      </c>
      <c r="CJ272" s="824">
        <f t="shared" si="206"/>
        <v>0</v>
      </c>
      <c r="CK272" s="824">
        <f t="shared" si="206"/>
        <v>0</v>
      </c>
      <c r="CL272" s="824">
        <f t="shared" si="206"/>
        <v>0</v>
      </c>
      <c r="CM272" s="824">
        <f t="shared" si="206"/>
        <v>0</v>
      </c>
      <c r="CN272" s="824">
        <f t="shared" si="206"/>
        <v>0</v>
      </c>
      <c r="CO272" s="824">
        <f t="shared" si="206"/>
        <v>0</v>
      </c>
      <c r="CP272" s="824">
        <f t="shared" si="206"/>
        <v>0</v>
      </c>
      <c r="CQ272" s="824">
        <f t="shared" si="206"/>
        <v>0</v>
      </c>
      <c r="CR272" s="824">
        <f t="shared" si="206"/>
        <v>0</v>
      </c>
      <c r="CS272" s="824">
        <f t="shared" si="206"/>
        <v>0</v>
      </c>
      <c r="CT272" s="824">
        <f t="shared" si="209"/>
        <v>0</v>
      </c>
      <c r="CU272" s="824">
        <f t="shared" si="209"/>
        <v>0</v>
      </c>
      <c r="CV272" s="824">
        <f t="shared" si="209"/>
        <v>0</v>
      </c>
      <c r="CW272" s="824">
        <f t="shared" si="209"/>
        <v>0</v>
      </c>
      <c r="CX272" s="824">
        <f t="shared" si="209"/>
        <v>0</v>
      </c>
      <c r="CY272" s="824">
        <f t="shared" si="209"/>
        <v>0</v>
      </c>
      <c r="CZ272" s="824">
        <f t="shared" si="209"/>
        <v>0</v>
      </c>
      <c r="DA272" s="824">
        <f t="shared" si="209"/>
        <v>0</v>
      </c>
      <c r="DB272" s="824">
        <f t="shared" si="209"/>
        <v>0</v>
      </c>
      <c r="DC272" s="824">
        <f t="shared" si="209"/>
        <v>0</v>
      </c>
      <c r="DD272" s="824">
        <f t="shared" si="209"/>
        <v>0</v>
      </c>
      <c r="DE272" s="824">
        <f t="shared" si="209"/>
        <v>0</v>
      </c>
      <c r="DF272" s="824">
        <f t="shared" si="209"/>
        <v>0</v>
      </c>
      <c r="DG272" s="824">
        <f t="shared" si="209"/>
        <v>0</v>
      </c>
      <c r="DH272" s="824">
        <f t="shared" si="209"/>
        <v>0</v>
      </c>
      <c r="DI272" s="824">
        <f t="shared" si="209"/>
        <v>0</v>
      </c>
      <c r="DJ272" s="824">
        <f t="shared" si="169"/>
        <v>0</v>
      </c>
      <c r="DK272" s="824">
        <f t="shared" si="169"/>
        <v>0</v>
      </c>
      <c r="DL272" s="824">
        <f t="shared" si="169"/>
        <v>0</v>
      </c>
    </row>
    <row r="273" spans="2:116" ht="12" thickBot="1" x14ac:dyDescent="0.3">
      <c r="B273" s="1673"/>
      <c r="C273" s="1680"/>
      <c r="D273" s="15" t="s">
        <v>19</v>
      </c>
      <c r="E273" s="165"/>
      <c r="F273" s="116">
        <f>SUBTOTAL(109,'3.1 I&amp;W'!$X$179)</f>
        <v>0</v>
      </c>
      <c r="G273" s="116">
        <f>SUBTOTAL(109,'3.1 I&amp;W'!$Y$179)</f>
        <v>0</v>
      </c>
      <c r="H273" s="116">
        <f>SUBTOTAL(109,'3.1 I&amp;W'!$AD$179)</f>
        <v>0</v>
      </c>
      <c r="I273" s="116">
        <f>SUBTOTAL(109,'3.1 I&amp;W'!$AE$179)</f>
        <v>0</v>
      </c>
      <c r="J273" s="116"/>
      <c r="K273" s="116"/>
      <c r="L273" s="116"/>
      <c r="M273" s="116">
        <f>SUBTOTAL(109,'3.1 I&amp;W'!$AI$179)</f>
        <v>0</v>
      </c>
      <c r="N273" s="156">
        <f t="shared" si="192"/>
        <v>0</v>
      </c>
      <c r="O273" s="116">
        <f>SUBTOTAL(109,'3.1 I&amp;W'!$S$179)</f>
        <v>0</v>
      </c>
      <c r="P273" s="30">
        <f t="shared" si="210"/>
        <v>0</v>
      </c>
      <c r="Q273" s="31">
        <f t="shared" si="211"/>
        <v>0</v>
      </c>
      <c r="R273" s="31">
        <f t="shared" si="212"/>
        <v>0</v>
      </c>
      <c r="S273" s="31">
        <f t="shared" si="213"/>
        <v>0</v>
      </c>
      <c r="T273" s="32">
        <f t="shared" si="214"/>
        <v>0</v>
      </c>
      <c r="U273" s="37">
        <f t="shared" si="215"/>
        <v>0</v>
      </c>
      <c r="V273" s="40">
        <f t="shared" si="193"/>
        <v>0</v>
      </c>
      <c r="W273" s="41">
        <f t="shared" si="194"/>
        <v>0</v>
      </c>
      <c r="X273" s="43"/>
      <c r="Y273" s="46"/>
      <c r="Z273" s="126"/>
      <c r="AA273" s="136"/>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824">
        <f t="shared" si="195"/>
        <v>0</v>
      </c>
      <c r="BM273" s="824">
        <f t="shared" si="196"/>
        <v>0</v>
      </c>
      <c r="BN273" s="824">
        <f t="shared" si="197"/>
        <v>0</v>
      </c>
      <c r="BO273" s="824">
        <f t="shared" si="207"/>
        <v>0</v>
      </c>
      <c r="BP273" s="824">
        <f t="shared" si="207"/>
        <v>0</v>
      </c>
      <c r="BQ273" s="824">
        <f t="shared" si="207"/>
        <v>0</v>
      </c>
      <c r="BR273" s="824">
        <f t="shared" si="207"/>
        <v>0</v>
      </c>
      <c r="BS273" s="824">
        <f t="shared" si="207"/>
        <v>0</v>
      </c>
      <c r="BT273" s="824">
        <f t="shared" si="207"/>
        <v>0</v>
      </c>
      <c r="BU273" s="824">
        <f t="shared" si="207"/>
        <v>0</v>
      </c>
      <c r="BV273" s="824">
        <f t="shared" si="207"/>
        <v>0</v>
      </c>
      <c r="BW273" s="824">
        <f t="shared" si="207"/>
        <v>0</v>
      </c>
      <c r="BX273" s="824">
        <f t="shared" si="207"/>
        <v>0</v>
      </c>
      <c r="BY273" s="824">
        <f t="shared" si="207"/>
        <v>0</v>
      </c>
      <c r="BZ273" s="824">
        <f t="shared" si="207"/>
        <v>0</v>
      </c>
      <c r="CA273" s="824">
        <f t="shared" si="207"/>
        <v>0</v>
      </c>
      <c r="CB273" s="824">
        <f t="shared" si="207"/>
        <v>0</v>
      </c>
      <c r="CC273" s="824">
        <f t="shared" si="207"/>
        <v>0</v>
      </c>
      <c r="CD273" s="824">
        <f t="shared" si="207"/>
        <v>0</v>
      </c>
      <c r="CE273" s="824">
        <f t="shared" si="206"/>
        <v>0</v>
      </c>
      <c r="CF273" s="824">
        <f t="shared" si="206"/>
        <v>0</v>
      </c>
      <c r="CG273" s="824">
        <f t="shared" si="206"/>
        <v>0</v>
      </c>
      <c r="CH273" s="824">
        <f t="shared" si="206"/>
        <v>0</v>
      </c>
      <c r="CI273" s="824">
        <f t="shared" si="206"/>
        <v>0</v>
      </c>
      <c r="CJ273" s="824">
        <f t="shared" si="206"/>
        <v>0</v>
      </c>
      <c r="CK273" s="824">
        <f t="shared" si="206"/>
        <v>0</v>
      </c>
      <c r="CL273" s="824">
        <f t="shared" si="206"/>
        <v>0</v>
      </c>
      <c r="CM273" s="824">
        <f t="shared" si="206"/>
        <v>0</v>
      </c>
      <c r="CN273" s="824">
        <f t="shared" si="206"/>
        <v>0</v>
      </c>
      <c r="CO273" s="824">
        <f t="shared" si="206"/>
        <v>0</v>
      </c>
      <c r="CP273" s="824">
        <f t="shared" si="206"/>
        <v>0</v>
      </c>
      <c r="CQ273" s="824">
        <f t="shared" si="206"/>
        <v>0</v>
      </c>
      <c r="CR273" s="824">
        <f t="shared" si="206"/>
        <v>0</v>
      </c>
      <c r="CS273" s="824">
        <f t="shared" si="206"/>
        <v>0</v>
      </c>
      <c r="CT273" s="824">
        <f t="shared" si="209"/>
        <v>0</v>
      </c>
      <c r="CU273" s="824">
        <f t="shared" si="209"/>
        <v>0</v>
      </c>
      <c r="CV273" s="824">
        <f t="shared" si="209"/>
        <v>0</v>
      </c>
      <c r="CW273" s="824">
        <f t="shared" si="209"/>
        <v>0</v>
      </c>
      <c r="CX273" s="824">
        <f t="shared" si="209"/>
        <v>0</v>
      </c>
      <c r="CY273" s="824">
        <f t="shared" si="209"/>
        <v>0</v>
      </c>
      <c r="CZ273" s="824">
        <f t="shared" si="209"/>
        <v>0</v>
      </c>
      <c r="DA273" s="824">
        <f t="shared" si="209"/>
        <v>0</v>
      </c>
      <c r="DB273" s="824">
        <f t="shared" si="209"/>
        <v>0</v>
      </c>
      <c r="DC273" s="824">
        <f t="shared" si="209"/>
        <v>0</v>
      </c>
      <c r="DD273" s="824">
        <f t="shared" si="209"/>
        <v>0</v>
      </c>
      <c r="DE273" s="824">
        <f t="shared" si="209"/>
        <v>0</v>
      </c>
      <c r="DF273" s="824">
        <f t="shared" si="209"/>
        <v>0</v>
      </c>
      <c r="DG273" s="824">
        <f t="shared" si="209"/>
        <v>0</v>
      </c>
      <c r="DH273" s="824">
        <f t="shared" si="209"/>
        <v>0</v>
      </c>
      <c r="DI273" s="824">
        <f t="shared" si="209"/>
        <v>0</v>
      </c>
      <c r="DJ273" s="824">
        <f t="shared" si="169"/>
        <v>0</v>
      </c>
      <c r="DK273" s="824">
        <f t="shared" si="169"/>
        <v>0</v>
      </c>
      <c r="DL273" s="824">
        <f t="shared" si="169"/>
        <v>0</v>
      </c>
    </row>
    <row r="274" spans="2:116" ht="12" thickBot="1" x14ac:dyDescent="0.3">
      <c r="B274" s="1673"/>
      <c r="C274" s="1680"/>
      <c r="D274" s="15" t="s">
        <v>19</v>
      </c>
      <c r="E274" s="116"/>
      <c r="F274" s="116">
        <f>SUBTOTAL(109,'3.1 I&amp;W'!$X$180)</f>
        <v>0</v>
      </c>
      <c r="G274" s="116">
        <f>SUBTOTAL(109,'3.1 I&amp;W'!$Y$180)</f>
        <v>0</v>
      </c>
      <c r="H274" s="116">
        <f>SUBTOTAL(109,'3.1 I&amp;W'!$AD$180)</f>
        <v>0</v>
      </c>
      <c r="I274" s="116">
        <f>SUBTOTAL(109,'3.1 I&amp;W'!$AE$180)</f>
        <v>0</v>
      </c>
      <c r="J274" s="116"/>
      <c r="K274" s="116"/>
      <c r="L274" s="116"/>
      <c r="M274" s="116">
        <f>SUBTOTAL(109,'3.1 I&amp;W'!$AI$180)</f>
        <v>0</v>
      </c>
      <c r="N274" s="156">
        <f t="shared" si="192"/>
        <v>0</v>
      </c>
      <c r="O274" s="116">
        <f>SUBTOTAL(109,'3.1 I&amp;W'!$S$180)</f>
        <v>0</v>
      </c>
      <c r="P274" s="30">
        <f t="shared" si="210"/>
        <v>0</v>
      </c>
      <c r="Q274" s="31">
        <f t="shared" si="211"/>
        <v>0</v>
      </c>
      <c r="R274" s="31">
        <f t="shared" si="212"/>
        <v>0</v>
      </c>
      <c r="S274" s="31">
        <f t="shared" si="213"/>
        <v>0</v>
      </c>
      <c r="T274" s="32">
        <f t="shared" si="214"/>
        <v>0</v>
      </c>
      <c r="U274" s="37">
        <f t="shared" si="215"/>
        <v>0</v>
      </c>
      <c r="V274" s="40">
        <f t="shared" si="193"/>
        <v>0</v>
      </c>
      <c r="W274" s="41">
        <f t="shared" si="194"/>
        <v>0</v>
      </c>
      <c r="X274" s="43"/>
      <c r="Y274" s="46"/>
      <c r="Z274" s="126"/>
      <c r="AA274" s="136"/>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824">
        <f t="shared" si="195"/>
        <v>0</v>
      </c>
      <c r="BM274" s="824">
        <f t="shared" si="196"/>
        <v>0</v>
      </c>
      <c r="BN274" s="824">
        <f t="shared" si="197"/>
        <v>0</v>
      </c>
      <c r="BO274" s="824">
        <f t="shared" si="207"/>
        <v>0</v>
      </c>
      <c r="BP274" s="824">
        <f t="shared" si="207"/>
        <v>0</v>
      </c>
      <c r="BQ274" s="824">
        <f t="shared" si="207"/>
        <v>0</v>
      </c>
      <c r="BR274" s="824">
        <f t="shared" si="207"/>
        <v>0</v>
      </c>
      <c r="BS274" s="824">
        <f t="shared" si="207"/>
        <v>0</v>
      </c>
      <c r="BT274" s="824">
        <f t="shared" si="207"/>
        <v>0</v>
      </c>
      <c r="BU274" s="824">
        <f t="shared" si="207"/>
        <v>0</v>
      </c>
      <c r="BV274" s="824">
        <f t="shared" si="207"/>
        <v>0</v>
      </c>
      <c r="BW274" s="824">
        <f t="shared" si="207"/>
        <v>0</v>
      </c>
      <c r="BX274" s="824">
        <f t="shared" si="207"/>
        <v>0</v>
      </c>
      <c r="BY274" s="824">
        <f t="shared" si="207"/>
        <v>0</v>
      </c>
      <c r="BZ274" s="824">
        <f t="shared" si="207"/>
        <v>0</v>
      </c>
      <c r="CA274" s="824">
        <f t="shared" si="207"/>
        <v>0</v>
      </c>
      <c r="CB274" s="824">
        <f t="shared" si="207"/>
        <v>0</v>
      </c>
      <c r="CC274" s="824">
        <f t="shared" si="207"/>
        <v>0</v>
      </c>
      <c r="CD274" s="824">
        <f t="shared" si="207"/>
        <v>0</v>
      </c>
      <c r="CE274" s="824">
        <f t="shared" si="206"/>
        <v>0</v>
      </c>
      <c r="CF274" s="824">
        <f t="shared" si="206"/>
        <v>0</v>
      </c>
      <c r="CG274" s="824">
        <f t="shared" si="206"/>
        <v>0</v>
      </c>
      <c r="CH274" s="824">
        <f t="shared" si="206"/>
        <v>0</v>
      </c>
      <c r="CI274" s="824">
        <f t="shared" si="206"/>
        <v>0</v>
      </c>
      <c r="CJ274" s="824">
        <f t="shared" si="206"/>
        <v>0</v>
      </c>
      <c r="CK274" s="824">
        <f t="shared" si="206"/>
        <v>0</v>
      </c>
      <c r="CL274" s="824">
        <f t="shared" si="206"/>
        <v>0</v>
      </c>
      <c r="CM274" s="824">
        <f t="shared" si="206"/>
        <v>0</v>
      </c>
      <c r="CN274" s="824">
        <f t="shared" si="206"/>
        <v>0</v>
      </c>
      <c r="CO274" s="824">
        <f t="shared" si="206"/>
        <v>0</v>
      </c>
      <c r="CP274" s="824">
        <f t="shared" si="206"/>
        <v>0</v>
      </c>
      <c r="CQ274" s="824">
        <f t="shared" si="206"/>
        <v>0</v>
      </c>
      <c r="CR274" s="824">
        <f t="shared" si="206"/>
        <v>0</v>
      </c>
      <c r="CS274" s="824">
        <f t="shared" si="206"/>
        <v>0</v>
      </c>
      <c r="CT274" s="824">
        <f t="shared" si="209"/>
        <v>0</v>
      </c>
      <c r="CU274" s="824">
        <f t="shared" si="209"/>
        <v>0</v>
      </c>
      <c r="CV274" s="824">
        <f t="shared" si="209"/>
        <v>0</v>
      </c>
      <c r="CW274" s="824">
        <f t="shared" si="209"/>
        <v>0</v>
      </c>
      <c r="CX274" s="824">
        <f t="shared" si="209"/>
        <v>0</v>
      </c>
      <c r="CY274" s="824">
        <f t="shared" si="209"/>
        <v>0</v>
      </c>
      <c r="CZ274" s="824">
        <f t="shared" si="209"/>
        <v>0</v>
      </c>
      <c r="DA274" s="824">
        <f t="shared" si="209"/>
        <v>0</v>
      </c>
      <c r="DB274" s="824">
        <f t="shared" si="209"/>
        <v>0</v>
      </c>
      <c r="DC274" s="824">
        <f t="shared" si="209"/>
        <v>0</v>
      </c>
      <c r="DD274" s="824">
        <f t="shared" si="209"/>
        <v>0</v>
      </c>
      <c r="DE274" s="824">
        <f t="shared" si="209"/>
        <v>0</v>
      </c>
      <c r="DF274" s="824">
        <f t="shared" si="209"/>
        <v>0</v>
      </c>
      <c r="DG274" s="824">
        <f t="shared" si="209"/>
        <v>0</v>
      </c>
      <c r="DH274" s="824">
        <f t="shared" si="209"/>
        <v>0</v>
      </c>
      <c r="DI274" s="824">
        <f t="shared" si="209"/>
        <v>0</v>
      </c>
      <c r="DJ274" s="824">
        <f t="shared" si="169"/>
        <v>0</v>
      </c>
      <c r="DK274" s="824">
        <f t="shared" si="169"/>
        <v>0</v>
      </c>
      <c r="DL274" s="824">
        <f t="shared" si="169"/>
        <v>0</v>
      </c>
    </row>
    <row r="275" spans="2:116" ht="12" thickBot="1" x14ac:dyDescent="0.3">
      <c r="B275" s="1673"/>
      <c r="C275" s="1680"/>
      <c r="D275" s="15" t="s">
        <v>182</v>
      </c>
      <c r="E275" s="165"/>
      <c r="F275" s="116">
        <f>SUBTOTAL(109,'3.1 I&amp;W'!$X$184)</f>
        <v>0</v>
      </c>
      <c r="G275" s="116">
        <f>SUBTOTAL(109,'3.1 I&amp;W'!$Y$184)</f>
        <v>0</v>
      </c>
      <c r="H275" s="116">
        <f>SUBTOTAL(109,'3.1 I&amp;W'!$AD$184)</f>
        <v>0</v>
      </c>
      <c r="I275" s="116">
        <f>SUBTOTAL(109,'3.1 I&amp;W'!$AE$184)</f>
        <v>0</v>
      </c>
      <c r="J275" s="116"/>
      <c r="K275" s="116"/>
      <c r="L275" s="116"/>
      <c r="M275" s="116">
        <f>SUBTOTAL(109,'3.1 I&amp;W'!$AI$184)</f>
        <v>0</v>
      </c>
      <c r="N275" s="156">
        <f t="shared" si="192"/>
        <v>0</v>
      </c>
      <c r="O275" s="116">
        <f>SUBTOTAL(109,'3.1 I&amp;W'!$S$184)</f>
        <v>0</v>
      </c>
      <c r="P275" s="30">
        <f t="shared" si="210"/>
        <v>0</v>
      </c>
      <c r="Q275" s="31">
        <f t="shared" si="211"/>
        <v>0</v>
      </c>
      <c r="R275" s="31">
        <f t="shared" si="212"/>
        <v>0</v>
      </c>
      <c r="S275" s="31">
        <f t="shared" si="213"/>
        <v>0</v>
      </c>
      <c r="T275" s="32">
        <f t="shared" si="214"/>
        <v>0</v>
      </c>
      <c r="U275" s="37">
        <f t="shared" si="215"/>
        <v>0</v>
      </c>
      <c r="V275" s="40">
        <f t="shared" si="193"/>
        <v>0</v>
      </c>
      <c r="W275" s="41">
        <f t="shared" si="194"/>
        <v>0</v>
      </c>
      <c r="X275" s="43"/>
      <c r="Y275" s="46"/>
      <c r="Z275" s="126"/>
      <c r="AA275" s="136"/>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824">
        <f t="shared" si="195"/>
        <v>0</v>
      </c>
      <c r="BM275" s="824">
        <f t="shared" si="196"/>
        <v>0</v>
      </c>
      <c r="BN275" s="824">
        <f t="shared" si="197"/>
        <v>0</v>
      </c>
      <c r="BO275" s="824">
        <f t="shared" si="207"/>
        <v>0</v>
      </c>
      <c r="BP275" s="824">
        <f t="shared" si="207"/>
        <v>0</v>
      </c>
      <c r="BQ275" s="824">
        <f t="shared" si="207"/>
        <v>0</v>
      </c>
      <c r="BR275" s="824">
        <f t="shared" si="207"/>
        <v>0</v>
      </c>
      <c r="BS275" s="824">
        <f t="shared" si="207"/>
        <v>0</v>
      </c>
      <c r="BT275" s="824">
        <f t="shared" si="207"/>
        <v>0</v>
      </c>
      <c r="BU275" s="824">
        <f t="shared" si="207"/>
        <v>0</v>
      </c>
      <c r="BV275" s="824">
        <f t="shared" si="207"/>
        <v>0</v>
      </c>
      <c r="BW275" s="824">
        <f t="shared" si="207"/>
        <v>0</v>
      </c>
      <c r="BX275" s="824">
        <f t="shared" si="207"/>
        <v>0</v>
      </c>
      <c r="BY275" s="824">
        <f t="shared" si="207"/>
        <v>0</v>
      </c>
      <c r="BZ275" s="824">
        <f t="shared" si="207"/>
        <v>0</v>
      </c>
      <c r="CA275" s="824">
        <f t="shared" si="207"/>
        <v>0</v>
      </c>
      <c r="CB275" s="824">
        <f t="shared" si="207"/>
        <v>0</v>
      </c>
      <c r="CC275" s="824">
        <f t="shared" si="207"/>
        <v>0</v>
      </c>
      <c r="CD275" s="824">
        <f t="shared" si="207"/>
        <v>0</v>
      </c>
      <c r="CE275" s="824">
        <f t="shared" si="206"/>
        <v>0</v>
      </c>
      <c r="CF275" s="824">
        <f t="shared" si="206"/>
        <v>0</v>
      </c>
      <c r="CG275" s="824">
        <f t="shared" si="206"/>
        <v>0</v>
      </c>
      <c r="CH275" s="824">
        <f t="shared" si="206"/>
        <v>0</v>
      </c>
      <c r="CI275" s="824">
        <f t="shared" si="206"/>
        <v>0</v>
      </c>
      <c r="CJ275" s="824">
        <f t="shared" si="206"/>
        <v>0</v>
      </c>
      <c r="CK275" s="824">
        <f t="shared" si="206"/>
        <v>0</v>
      </c>
      <c r="CL275" s="824">
        <f t="shared" si="206"/>
        <v>0</v>
      </c>
      <c r="CM275" s="824">
        <f t="shared" si="206"/>
        <v>0</v>
      </c>
      <c r="CN275" s="824">
        <f t="shared" si="206"/>
        <v>0</v>
      </c>
      <c r="CO275" s="824">
        <f t="shared" si="206"/>
        <v>0</v>
      </c>
      <c r="CP275" s="824">
        <f t="shared" si="206"/>
        <v>0</v>
      </c>
      <c r="CQ275" s="824">
        <f t="shared" si="206"/>
        <v>0</v>
      </c>
      <c r="CR275" s="824">
        <f t="shared" si="206"/>
        <v>0</v>
      </c>
      <c r="CS275" s="824">
        <f t="shared" si="206"/>
        <v>0</v>
      </c>
      <c r="CT275" s="824">
        <f t="shared" si="209"/>
        <v>0</v>
      </c>
      <c r="CU275" s="824">
        <f t="shared" si="209"/>
        <v>0</v>
      </c>
      <c r="CV275" s="824">
        <f t="shared" si="209"/>
        <v>0</v>
      </c>
      <c r="CW275" s="824">
        <f t="shared" si="209"/>
        <v>0</v>
      </c>
      <c r="CX275" s="824">
        <f t="shared" si="209"/>
        <v>0</v>
      </c>
      <c r="CY275" s="824">
        <f t="shared" si="209"/>
        <v>0</v>
      </c>
      <c r="CZ275" s="824">
        <f t="shared" si="209"/>
        <v>0</v>
      </c>
      <c r="DA275" s="824">
        <f t="shared" si="209"/>
        <v>0</v>
      </c>
      <c r="DB275" s="824">
        <f t="shared" si="209"/>
        <v>0</v>
      </c>
      <c r="DC275" s="824">
        <f t="shared" si="209"/>
        <v>0</v>
      </c>
      <c r="DD275" s="824">
        <f t="shared" si="209"/>
        <v>0</v>
      </c>
      <c r="DE275" s="824">
        <f t="shared" si="209"/>
        <v>0</v>
      </c>
      <c r="DF275" s="824">
        <f t="shared" si="209"/>
        <v>0</v>
      </c>
      <c r="DG275" s="824">
        <f t="shared" si="209"/>
        <v>0</v>
      </c>
      <c r="DH275" s="824">
        <f t="shared" si="209"/>
        <v>0</v>
      </c>
      <c r="DI275" s="824">
        <f t="shared" si="209"/>
        <v>0</v>
      </c>
      <c r="DJ275" s="824">
        <f t="shared" si="169"/>
        <v>0</v>
      </c>
      <c r="DK275" s="824">
        <f t="shared" si="169"/>
        <v>0</v>
      </c>
      <c r="DL275" s="824">
        <f t="shared" si="169"/>
        <v>0</v>
      </c>
    </row>
    <row r="276" spans="2:116" ht="12" thickBot="1" x14ac:dyDescent="0.3">
      <c r="B276" s="1673"/>
      <c r="C276" s="1680"/>
      <c r="D276" s="15" t="s">
        <v>182</v>
      </c>
      <c r="E276" s="116"/>
      <c r="F276" s="116">
        <f>SUBTOTAL(109,'3.1 I&amp;W'!$X$185)</f>
        <v>0</v>
      </c>
      <c r="G276" s="116">
        <f>SUBTOTAL(109,'3.1 I&amp;W'!$Y$185)</f>
        <v>0</v>
      </c>
      <c r="H276" s="116">
        <f>SUBTOTAL(109,'3.1 I&amp;W'!$AD$185)</f>
        <v>0</v>
      </c>
      <c r="I276" s="116">
        <f>SUBTOTAL(109,'3.1 I&amp;W'!$AE$185)</f>
        <v>0</v>
      </c>
      <c r="J276" s="116"/>
      <c r="K276" s="116"/>
      <c r="L276" s="116"/>
      <c r="M276" s="116">
        <f>SUBTOTAL(109,'3.1 I&amp;W'!$AI$185)</f>
        <v>0</v>
      </c>
      <c r="N276" s="156">
        <f t="shared" si="192"/>
        <v>0</v>
      </c>
      <c r="O276" s="116">
        <f>SUBTOTAL(109,'3.1 I&amp;W'!$S$185)</f>
        <v>0</v>
      </c>
      <c r="P276" s="30">
        <f t="shared" si="210"/>
        <v>0</v>
      </c>
      <c r="Q276" s="31">
        <f t="shared" si="211"/>
        <v>0</v>
      </c>
      <c r="R276" s="31">
        <f t="shared" si="212"/>
        <v>0</v>
      </c>
      <c r="S276" s="31">
        <f t="shared" si="213"/>
        <v>0</v>
      </c>
      <c r="T276" s="32">
        <f t="shared" si="214"/>
        <v>0</v>
      </c>
      <c r="U276" s="37">
        <f t="shared" si="215"/>
        <v>0</v>
      </c>
      <c r="V276" s="40">
        <f t="shared" si="193"/>
        <v>0</v>
      </c>
      <c r="W276" s="41">
        <f t="shared" si="194"/>
        <v>0</v>
      </c>
      <c r="X276" s="43"/>
      <c r="Y276" s="46"/>
      <c r="Z276" s="126"/>
      <c r="AA276" s="136"/>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824">
        <f t="shared" si="195"/>
        <v>0</v>
      </c>
      <c r="BM276" s="824">
        <f t="shared" si="196"/>
        <v>0</v>
      </c>
      <c r="BN276" s="824">
        <f t="shared" si="197"/>
        <v>0</v>
      </c>
      <c r="BO276" s="824">
        <f t="shared" si="207"/>
        <v>0</v>
      </c>
      <c r="BP276" s="824">
        <f t="shared" si="207"/>
        <v>0</v>
      </c>
      <c r="BQ276" s="824">
        <f t="shared" si="207"/>
        <v>0</v>
      </c>
      <c r="BR276" s="824">
        <f t="shared" si="207"/>
        <v>0</v>
      </c>
      <c r="BS276" s="824">
        <f t="shared" si="207"/>
        <v>0</v>
      </c>
      <c r="BT276" s="824">
        <f t="shared" si="207"/>
        <v>0</v>
      </c>
      <c r="BU276" s="824">
        <f t="shared" si="207"/>
        <v>0</v>
      </c>
      <c r="BV276" s="824">
        <f t="shared" si="207"/>
        <v>0</v>
      </c>
      <c r="BW276" s="824">
        <f t="shared" si="207"/>
        <v>0</v>
      </c>
      <c r="BX276" s="824">
        <f t="shared" si="207"/>
        <v>0</v>
      </c>
      <c r="BY276" s="824">
        <f t="shared" si="207"/>
        <v>0</v>
      </c>
      <c r="BZ276" s="824">
        <f t="shared" si="207"/>
        <v>0</v>
      </c>
      <c r="CA276" s="824">
        <f t="shared" si="207"/>
        <v>0</v>
      </c>
      <c r="CB276" s="824">
        <f t="shared" si="207"/>
        <v>0</v>
      </c>
      <c r="CC276" s="824">
        <f t="shared" si="207"/>
        <v>0</v>
      </c>
      <c r="CD276" s="824">
        <f t="shared" si="207"/>
        <v>0</v>
      </c>
      <c r="CE276" s="824">
        <f t="shared" si="206"/>
        <v>0</v>
      </c>
      <c r="CF276" s="824">
        <f t="shared" si="206"/>
        <v>0</v>
      </c>
      <c r="CG276" s="824">
        <f t="shared" si="206"/>
        <v>0</v>
      </c>
      <c r="CH276" s="824">
        <f t="shared" si="206"/>
        <v>0</v>
      </c>
      <c r="CI276" s="824">
        <f t="shared" si="206"/>
        <v>0</v>
      </c>
      <c r="CJ276" s="824">
        <f t="shared" si="206"/>
        <v>0</v>
      </c>
      <c r="CK276" s="824">
        <f t="shared" si="206"/>
        <v>0</v>
      </c>
      <c r="CL276" s="824">
        <f t="shared" si="206"/>
        <v>0</v>
      </c>
      <c r="CM276" s="824">
        <f t="shared" si="206"/>
        <v>0</v>
      </c>
      <c r="CN276" s="824">
        <f t="shared" si="206"/>
        <v>0</v>
      </c>
      <c r="CO276" s="824">
        <f t="shared" si="206"/>
        <v>0</v>
      </c>
      <c r="CP276" s="824">
        <f t="shared" si="206"/>
        <v>0</v>
      </c>
      <c r="CQ276" s="824">
        <f t="shared" si="206"/>
        <v>0</v>
      </c>
      <c r="CR276" s="824">
        <f t="shared" si="206"/>
        <v>0</v>
      </c>
      <c r="CS276" s="824">
        <f t="shared" si="206"/>
        <v>0</v>
      </c>
      <c r="CT276" s="824">
        <f t="shared" si="209"/>
        <v>0</v>
      </c>
      <c r="CU276" s="824">
        <f t="shared" si="209"/>
        <v>0</v>
      </c>
      <c r="CV276" s="824">
        <f t="shared" si="209"/>
        <v>0</v>
      </c>
      <c r="CW276" s="824">
        <f t="shared" si="209"/>
        <v>0</v>
      </c>
      <c r="CX276" s="824">
        <f t="shared" si="209"/>
        <v>0</v>
      </c>
      <c r="CY276" s="824">
        <f t="shared" si="209"/>
        <v>0</v>
      </c>
      <c r="CZ276" s="824">
        <f t="shared" si="209"/>
        <v>0</v>
      </c>
      <c r="DA276" s="824">
        <f t="shared" si="209"/>
        <v>0</v>
      </c>
      <c r="DB276" s="824">
        <f t="shared" si="209"/>
        <v>0</v>
      </c>
      <c r="DC276" s="824">
        <f t="shared" si="209"/>
        <v>0</v>
      </c>
      <c r="DD276" s="824">
        <f t="shared" si="209"/>
        <v>0</v>
      </c>
      <c r="DE276" s="824">
        <f t="shared" si="209"/>
        <v>0</v>
      </c>
      <c r="DF276" s="824">
        <f t="shared" si="209"/>
        <v>0</v>
      </c>
      <c r="DG276" s="824">
        <f t="shared" si="209"/>
        <v>0</v>
      </c>
      <c r="DH276" s="824">
        <f t="shared" si="209"/>
        <v>0</v>
      </c>
      <c r="DI276" s="824">
        <f t="shared" si="209"/>
        <v>0</v>
      </c>
      <c r="DJ276" s="824">
        <f t="shared" si="169"/>
        <v>0</v>
      </c>
      <c r="DK276" s="824">
        <f t="shared" si="169"/>
        <v>0</v>
      </c>
      <c r="DL276" s="824">
        <f t="shared" si="169"/>
        <v>0</v>
      </c>
    </row>
    <row r="277" spans="2:116" ht="12" thickBot="1" x14ac:dyDescent="0.3">
      <c r="B277" s="1673"/>
      <c r="C277" s="1680"/>
      <c r="D277" s="15" t="s">
        <v>183</v>
      </c>
      <c r="E277" s="165"/>
      <c r="F277" s="116">
        <f>SUBTOTAL(109,'3.1 I&amp;W'!$X$188)</f>
        <v>0</v>
      </c>
      <c r="G277" s="116">
        <f>SUBTOTAL(109,'3.1 I&amp;W'!$Y$188)</f>
        <v>0</v>
      </c>
      <c r="H277" s="116">
        <f>SUBTOTAL(109,'3.1 I&amp;W'!$AD$188)</f>
        <v>2.4174391961489143E-3</v>
      </c>
      <c r="I277" s="116">
        <f>SUBTOTAL(109,'3.1 I&amp;W'!$AE$188)</f>
        <v>368</v>
      </c>
      <c r="J277" s="116"/>
      <c r="K277" s="116"/>
      <c r="L277" s="116"/>
      <c r="M277" s="116">
        <f>SUBTOTAL(109,'3.1 I&amp;W'!$AI$188)</f>
        <v>50</v>
      </c>
      <c r="N277" s="156">
        <f t="shared" si="192"/>
        <v>0</v>
      </c>
      <c r="O277" s="116">
        <f>SUBTOTAL(109,'3.1 I&amp;W'!$S$188)</f>
        <v>152227.19999999998</v>
      </c>
      <c r="P277" s="30">
        <f t="shared" si="210"/>
        <v>0</v>
      </c>
      <c r="Q277" s="31">
        <f t="shared" si="211"/>
        <v>0</v>
      </c>
      <c r="R277" s="31">
        <f t="shared" si="212"/>
        <v>0</v>
      </c>
      <c r="S277" s="31">
        <f t="shared" si="213"/>
        <v>0</v>
      </c>
      <c r="T277" s="32">
        <f t="shared" si="214"/>
        <v>0</v>
      </c>
      <c r="U277" s="37">
        <f t="shared" si="215"/>
        <v>22835.341051310523</v>
      </c>
      <c r="V277" s="40">
        <f t="shared" si="193"/>
        <v>0</v>
      </c>
      <c r="W277" s="41">
        <f t="shared" si="194"/>
        <v>11820.823048403066</v>
      </c>
      <c r="X277" s="43"/>
      <c r="Y277" s="46"/>
      <c r="Z277" s="126"/>
      <c r="AA277" s="136"/>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824">
        <f t="shared" si="195"/>
        <v>50</v>
      </c>
      <c r="BM277" s="824">
        <f t="shared" si="196"/>
        <v>0</v>
      </c>
      <c r="BN277" s="824">
        <f t="shared" si="197"/>
        <v>152227.19999999998</v>
      </c>
      <c r="BO277" s="824">
        <f t="shared" si="207"/>
        <v>0</v>
      </c>
      <c r="BP277" s="824">
        <f t="shared" si="207"/>
        <v>0</v>
      </c>
      <c r="BQ277" s="824">
        <f t="shared" si="207"/>
        <v>0</v>
      </c>
      <c r="BR277" s="824">
        <f t="shared" si="207"/>
        <v>0</v>
      </c>
      <c r="BS277" s="824">
        <f t="shared" si="207"/>
        <v>0</v>
      </c>
      <c r="BT277" s="824">
        <f t="shared" si="207"/>
        <v>0</v>
      </c>
      <c r="BU277" s="824">
        <f t="shared" si="207"/>
        <v>0</v>
      </c>
      <c r="BV277" s="824">
        <f t="shared" si="207"/>
        <v>0</v>
      </c>
      <c r="BW277" s="824">
        <f t="shared" si="207"/>
        <v>0</v>
      </c>
      <c r="BX277" s="824">
        <f t="shared" si="207"/>
        <v>0</v>
      </c>
      <c r="BY277" s="824">
        <f t="shared" si="207"/>
        <v>0</v>
      </c>
      <c r="BZ277" s="824">
        <f t="shared" si="207"/>
        <v>0</v>
      </c>
      <c r="CA277" s="824">
        <f t="shared" si="207"/>
        <v>0</v>
      </c>
      <c r="CB277" s="824">
        <f t="shared" si="207"/>
        <v>0</v>
      </c>
      <c r="CC277" s="824">
        <f t="shared" si="207"/>
        <v>0</v>
      </c>
      <c r="CD277" s="824">
        <f t="shared" si="207"/>
        <v>0</v>
      </c>
      <c r="CE277" s="824">
        <f t="shared" si="206"/>
        <v>0</v>
      </c>
      <c r="CF277" s="824">
        <f t="shared" si="206"/>
        <v>0</v>
      </c>
      <c r="CG277" s="824">
        <f t="shared" si="206"/>
        <v>0</v>
      </c>
      <c r="CH277" s="824">
        <f t="shared" si="206"/>
        <v>0</v>
      </c>
      <c r="CI277" s="824">
        <f t="shared" si="206"/>
        <v>0</v>
      </c>
      <c r="CJ277" s="824">
        <f t="shared" si="206"/>
        <v>0</v>
      </c>
      <c r="CK277" s="824">
        <f t="shared" si="206"/>
        <v>0</v>
      </c>
      <c r="CL277" s="824">
        <f t="shared" si="206"/>
        <v>0</v>
      </c>
      <c r="CM277" s="824">
        <f t="shared" si="206"/>
        <v>0</v>
      </c>
      <c r="CN277" s="824">
        <f t="shared" si="206"/>
        <v>0</v>
      </c>
      <c r="CO277" s="824">
        <f t="shared" si="206"/>
        <v>0</v>
      </c>
      <c r="CP277" s="824">
        <f t="shared" si="206"/>
        <v>0</v>
      </c>
      <c r="CQ277" s="824">
        <f t="shared" si="206"/>
        <v>0</v>
      </c>
      <c r="CR277" s="824">
        <f t="shared" si="206"/>
        <v>0</v>
      </c>
      <c r="CS277" s="824">
        <f t="shared" si="206"/>
        <v>0</v>
      </c>
      <c r="CT277" s="824">
        <f t="shared" si="209"/>
        <v>0</v>
      </c>
      <c r="CU277" s="824">
        <f t="shared" si="209"/>
        <v>0</v>
      </c>
      <c r="CV277" s="824">
        <f t="shared" si="209"/>
        <v>0</v>
      </c>
      <c r="CW277" s="824">
        <f t="shared" si="209"/>
        <v>0</v>
      </c>
      <c r="CX277" s="824">
        <f t="shared" si="209"/>
        <v>0</v>
      </c>
      <c r="CY277" s="824">
        <f t="shared" si="209"/>
        <v>0</v>
      </c>
      <c r="CZ277" s="824">
        <f t="shared" si="209"/>
        <v>0</v>
      </c>
      <c r="DA277" s="824">
        <f t="shared" si="209"/>
        <v>0</v>
      </c>
      <c r="DB277" s="824">
        <f t="shared" si="209"/>
        <v>0</v>
      </c>
      <c r="DC277" s="824">
        <f t="shared" si="209"/>
        <v>0</v>
      </c>
      <c r="DD277" s="824">
        <f t="shared" si="209"/>
        <v>0</v>
      </c>
      <c r="DE277" s="824">
        <f t="shared" si="209"/>
        <v>0</v>
      </c>
      <c r="DF277" s="824">
        <f t="shared" si="209"/>
        <v>0</v>
      </c>
      <c r="DG277" s="824">
        <f t="shared" si="209"/>
        <v>0</v>
      </c>
      <c r="DH277" s="824">
        <f t="shared" si="209"/>
        <v>0</v>
      </c>
      <c r="DI277" s="824">
        <f t="shared" si="209"/>
        <v>0</v>
      </c>
      <c r="DJ277" s="824">
        <f t="shared" si="169"/>
        <v>0</v>
      </c>
      <c r="DK277" s="824">
        <f t="shared" si="169"/>
        <v>0</v>
      </c>
      <c r="DL277" s="824">
        <f t="shared" si="169"/>
        <v>0</v>
      </c>
    </row>
    <row r="278" spans="2:116" ht="12" thickBot="1" x14ac:dyDescent="0.3">
      <c r="B278" s="1673"/>
      <c r="C278" s="1680"/>
      <c r="D278" s="15" t="s">
        <v>183</v>
      </c>
      <c r="E278" s="116"/>
      <c r="F278" s="116">
        <f>SUBTOTAL(109,'3.1 I&amp;W'!$X$189)</f>
        <v>0</v>
      </c>
      <c r="G278" s="116">
        <f>SUBTOTAL(109,'3.1 I&amp;W'!$Y$189)</f>
        <v>0</v>
      </c>
      <c r="H278" s="116">
        <f>SUBTOTAL(109,'3.1 I&amp;W'!$AD$189)</f>
        <v>0</v>
      </c>
      <c r="I278" s="116">
        <f>SUBTOTAL(109,'3.1 I&amp;W'!$AE$189)</f>
        <v>0</v>
      </c>
      <c r="J278" s="116"/>
      <c r="K278" s="116"/>
      <c r="L278" s="116"/>
      <c r="M278" s="116">
        <f>SUBTOTAL(109,'3.1 I&amp;W'!$AI$189)</f>
        <v>0</v>
      </c>
      <c r="N278" s="156">
        <f t="shared" si="192"/>
        <v>0</v>
      </c>
      <c r="O278" s="116">
        <f>SUBTOTAL(109,'3.1 I&amp;W'!$S$189)</f>
        <v>0</v>
      </c>
      <c r="P278" s="30">
        <f t="shared" si="210"/>
        <v>0</v>
      </c>
      <c r="Q278" s="31">
        <f t="shared" si="211"/>
        <v>0</v>
      </c>
      <c r="R278" s="31">
        <f t="shared" si="212"/>
        <v>0</v>
      </c>
      <c r="S278" s="31">
        <f t="shared" si="213"/>
        <v>0</v>
      </c>
      <c r="T278" s="32">
        <f t="shared" si="214"/>
        <v>0</v>
      </c>
      <c r="U278" s="37">
        <f t="shared" si="215"/>
        <v>0</v>
      </c>
      <c r="V278" s="40">
        <f t="shared" si="193"/>
        <v>0</v>
      </c>
      <c r="W278" s="41">
        <f t="shared" si="194"/>
        <v>0</v>
      </c>
      <c r="X278" s="43"/>
      <c r="Y278" s="46"/>
      <c r="Z278" s="126"/>
      <c r="AA278" s="136"/>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824">
        <f t="shared" si="195"/>
        <v>0</v>
      </c>
      <c r="BM278" s="824">
        <f t="shared" si="196"/>
        <v>0</v>
      </c>
      <c r="BN278" s="824">
        <f t="shared" si="197"/>
        <v>0</v>
      </c>
      <c r="BO278" s="824">
        <f t="shared" si="207"/>
        <v>0</v>
      </c>
      <c r="BP278" s="824">
        <f t="shared" si="207"/>
        <v>0</v>
      </c>
      <c r="BQ278" s="824">
        <f t="shared" si="207"/>
        <v>0</v>
      </c>
      <c r="BR278" s="824">
        <f t="shared" si="207"/>
        <v>0</v>
      </c>
      <c r="BS278" s="824">
        <f t="shared" si="207"/>
        <v>0</v>
      </c>
      <c r="BT278" s="824">
        <f t="shared" si="207"/>
        <v>0</v>
      </c>
      <c r="BU278" s="824">
        <f t="shared" si="207"/>
        <v>0</v>
      </c>
      <c r="BV278" s="824">
        <f t="shared" si="207"/>
        <v>0</v>
      </c>
      <c r="BW278" s="824">
        <f t="shared" si="207"/>
        <v>0</v>
      </c>
      <c r="BX278" s="824">
        <f t="shared" si="207"/>
        <v>0</v>
      </c>
      <c r="BY278" s="824">
        <f t="shared" si="207"/>
        <v>0</v>
      </c>
      <c r="BZ278" s="824">
        <f t="shared" si="207"/>
        <v>0</v>
      </c>
      <c r="CA278" s="824">
        <f t="shared" si="207"/>
        <v>0</v>
      </c>
      <c r="CB278" s="824">
        <f t="shared" si="207"/>
        <v>0</v>
      </c>
      <c r="CC278" s="824">
        <f t="shared" si="207"/>
        <v>0</v>
      </c>
      <c r="CD278" s="824">
        <f t="shared" si="207"/>
        <v>0</v>
      </c>
      <c r="CE278" s="824">
        <f t="shared" si="206"/>
        <v>0</v>
      </c>
      <c r="CF278" s="824">
        <f t="shared" si="206"/>
        <v>0</v>
      </c>
      <c r="CG278" s="824">
        <f t="shared" si="206"/>
        <v>0</v>
      </c>
      <c r="CH278" s="824">
        <f t="shared" si="206"/>
        <v>0</v>
      </c>
      <c r="CI278" s="824">
        <f t="shared" si="206"/>
        <v>0</v>
      </c>
      <c r="CJ278" s="824">
        <f t="shared" si="206"/>
        <v>0</v>
      </c>
      <c r="CK278" s="824">
        <f t="shared" si="206"/>
        <v>0</v>
      </c>
      <c r="CL278" s="824">
        <f t="shared" si="206"/>
        <v>0</v>
      </c>
      <c r="CM278" s="824">
        <f t="shared" si="206"/>
        <v>0</v>
      </c>
      <c r="CN278" s="824">
        <f t="shared" si="206"/>
        <v>0</v>
      </c>
      <c r="CO278" s="824">
        <f t="shared" si="206"/>
        <v>0</v>
      </c>
      <c r="CP278" s="824">
        <f t="shared" si="206"/>
        <v>0</v>
      </c>
      <c r="CQ278" s="824">
        <f t="shared" si="206"/>
        <v>0</v>
      </c>
      <c r="CR278" s="824">
        <f t="shared" si="206"/>
        <v>0</v>
      </c>
      <c r="CS278" s="824">
        <f t="shared" si="206"/>
        <v>0</v>
      </c>
      <c r="CT278" s="824">
        <f t="shared" si="209"/>
        <v>0</v>
      </c>
      <c r="CU278" s="824">
        <f t="shared" si="209"/>
        <v>0</v>
      </c>
      <c r="CV278" s="824">
        <f t="shared" si="209"/>
        <v>0</v>
      </c>
      <c r="CW278" s="824">
        <f t="shared" si="209"/>
        <v>0</v>
      </c>
      <c r="CX278" s="824">
        <f t="shared" si="209"/>
        <v>0</v>
      </c>
      <c r="CY278" s="824">
        <f t="shared" si="209"/>
        <v>0</v>
      </c>
      <c r="CZ278" s="824">
        <f t="shared" si="209"/>
        <v>0</v>
      </c>
      <c r="DA278" s="824">
        <f t="shared" si="209"/>
        <v>0</v>
      </c>
      <c r="DB278" s="824">
        <f t="shared" si="209"/>
        <v>0</v>
      </c>
      <c r="DC278" s="824">
        <f t="shared" si="209"/>
        <v>0</v>
      </c>
      <c r="DD278" s="824">
        <f t="shared" si="209"/>
        <v>0</v>
      </c>
      <c r="DE278" s="824">
        <f t="shared" si="209"/>
        <v>0</v>
      </c>
      <c r="DF278" s="824">
        <f t="shared" si="209"/>
        <v>0</v>
      </c>
      <c r="DG278" s="824">
        <f t="shared" si="209"/>
        <v>0</v>
      </c>
      <c r="DH278" s="824">
        <f t="shared" si="209"/>
        <v>0</v>
      </c>
      <c r="DI278" s="824">
        <f t="shared" si="209"/>
        <v>0</v>
      </c>
      <c r="DJ278" s="824">
        <f t="shared" si="169"/>
        <v>0</v>
      </c>
      <c r="DK278" s="824">
        <f t="shared" si="169"/>
        <v>0</v>
      </c>
      <c r="DL278" s="824">
        <f t="shared" si="169"/>
        <v>0</v>
      </c>
    </row>
    <row r="279" spans="2:116" ht="12" thickBot="1" x14ac:dyDescent="0.3">
      <c r="B279" s="1673"/>
      <c r="C279" s="1680"/>
      <c r="D279" s="15" t="s">
        <v>183</v>
      </c>
      <c r="E279" s="165"/>
      <c r="F279" s="116">
        <f>SUBTOTAL(109,'3.1 I&amp;W'!$X$190)</f>
        <v>0</v>
      </c>
      <c r="G279" s="116">
        <f>SUBTOTAL(109,'3.1 I&amp;W'!$Y$190)</f>
        <v>0</v>
      </c>
      <c r="H279" s="116">
        <f>SUBTOTAL(109,'3.1 I&amp;W'!$AD$190)</f>
        <v>0</v>
      </c>
      <c r="I279" s="116">
        <f>SUBTOTAL(109,'3.1 I&amp;W'!$AE$190)</f>
        <v>0</v>
      </c>
      <c r="J279" s="116"/>
      <c r="K279" s="116"/>
      <c r="L279" s="116"/>
      <c r="M279" s="116">
        <f>SUBTOTAL(109,'3.1 I&amp;W'!$AI$190)</f>
        <v>0</v>
      </c>
      <c r="N279" s="156">
        <f t="shared" si="192"/>
        <v>0</v>
      </c>
      <c r="O279" s="116">
        <f>SUBTOTAL(109,'3.1 I&amp;W'!$S$190)</f>
        <v>0</v>
      </c>
      <c r="P279" s="30">
        <f t="shared" si="210"/>
        <v>0</v>
      </c>
      <c r="Q279" s="31">
        <f t="shared" si="211"/>
        <v>0</v>
      </c>
      <c r="R279" s="31">
        <f t="shared" si="212"/>
        <v>0</v>
      </c>
      <c r="S279" s="31">
        <f t="shared" si="213"/>
        <v>0</v>
      </c>
      <c r="T279" s="32">
        <f t="shared" si="214"/>
        <v>0</v>
      </c>
      <c r="U279" s="37">
        <f t="shared" si="215"/>
        <v>0</v>
      </c>
      <c r="V279" s="40">
        <f t="shared" si="193"/>
        <v>0</v>
      </c>
      <c r="W279" s="41">
        <f t="shared" si="194"/>
        <v>0</v>
      </c>
      <c r="X279" s="43"/>
      <c r="Y279" s="46"/>
      <c r="Z279" s="126"/>
      <c r="AA279" s="136"/>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824">
        <f t="shared" si="195"/>
        <v>0</v>
      </c>
      <c r="BM279" s="824">
        <f t="shared" si="196"/>
        <v>0</v>
      </c>
      <c r="BN279" s="824">
        <f t="shared" si="197"/>
        <v>0</v>
      </c>
      <c r="BO279" s="824">
        <f t="shared" si="207"/>
        <v>0</v>
      </c>
      <c r="BP279" s="824">
        <f t="shared" si="207"/>
        <v>0</v>
      </c>
      <c r="BQ279" s="824">
        <f t="shared" si="207"/>
        <v>0</v>
      </c>
      <c r="BR279" s="824">
        <f t="shared" si="207"/>
        <v>0</v>
      </c>
      <c r="BS279" s="824">
        <f t="shared" si="207"/>
        <v>0</v>
      </c>
      <c r="BT279" s="824">
        <f t="shared" si="207"/>
        <v>0</v>
      </c>
      <c r="BU279" s="824">
        <f t="shared" si="207"/>
        <v>0</v>
      </c>
      <c r="BV279" s="824">
        <f t="shared" si="207"/>
        <v>0</v>
      </c>
      <c r="BW279" s="824">
        <f t="shared" si="207"/>
        <v>0</v>
      </c>
      <c r="BX279" s="824">
        <f t="shared" si="207"/>
        <v>0</v>
      </c>
      <c r="BY279" s="824">
        <f t="shared" si="207"/>
        <v>0</v>
      </c>
      <c r="BZ279" s="824">
        <f t="shared" si="207"/>
        <v>0</v>
      </c>
      <c r="CA279" s="824">
        <f t="shared" si="207"/>
        <v>0</v>
      </c>
      <c r="CB279" s="824">
        <f t="shared" si="207"/>
        <v>0</v>
      </c>
      <c r="CC279" s="824">
        <f t="shared" si="207"/>
        <v>0</v>
      </c>
      <c r="CD279" s="824">
        <f t="shared" si="207"/>
        <v>0</v>
      </c>
      <c r="CE279" s="824">
        <f t="shared" si="206"/>
        <v>0</v>
      </c>
      <c r="CF279" s="824">
        <f t="shared" si="206"/>
        <v>0</v>
      </c>
      <c r="CG279" s="824">
        <f t="shared" si="206"/>
        <v>0</v>
      </c>
      <c r="CH279" s="824">
        <f t="shared" si="206"/>
        <v>0</v>
      </c>
      <c r="CI279" s="824">
        <f t="shared" si="206"/>
        <v>0</v>
      </c>
      <c r="CJ279" s="824">
        <f t="shared" si="206"/>
        <v>0</v>
      </c>
      <c r="CK279" s="824">
        <f t="shared" si="206"/>
        <v>0</v>
      </c>
      <c r="CL279" s="824">
        <f t="shared" si="206"/>
        <v>0</v>
      </c>
      <c r="CM279" s="824">
        <f t="shared" si="206"/>
        <v>0</v>
      </c>
      <c r="CN279" s="824">
        <f t="shared" si="206"/>
        <v>0</v>
      </c>
      <c r="CO279" s="824">
        <f t="shared" si="206"/>
        <v>0</v>
      </c>
      <c r="CP279" s="824">
        <f t="shared" si="206"/>
        <v>0</v>
      </c>
      <c r="CQ279" s="824">
        <f t="shared" si="206"/>
        <v>0</v>
      </c>
      <c r="CR279" s="824">
        <f t="shared" si="206"/>
        <v>0</v>
      </c>
      <c r="CS279" s="824">
        <f t="shared" si="206"/>
        <v>0</v>
      </c>
      <c r="CT279" s="824">
        <f t="shared" si="209"/>
        <v>0</v>
      </c>
      <c r="CU279" s="824">
        <f t="shared" si="209"/>
        <v>0</v>
      </c>
      <c r="CV279" s="824">
        <f t="shared" si="209"/>
        <v>0</v>
      </c>
      <c r="CW279" s="824">
        <f t="shared" si="209"/>
        <v>0</v>
      </c>
      <c r="CX279" s="824">
        <f t="shared" si="209"/>
        <v>0</v>
      </c>
      <c r="CY279" s="824">
        <f t="shared" si="209"/>
        <v>0</v>
      </c>
      <c r="CZ279" s="824">
        <f t="shared" si="209"/>
        <v>0</v>
      </c>
      <c r="DA279" s="824">
        <f t="shared" si="209"/>
        <v>0</v>
      </c>
      <c r="DB279" s="824">
        <f t="shared" si="209"/>
        <v>0</v>
      </c>
      <c r="DC279" s="824">
        <f t="shared" si="209"/>
        <v>0</v>
      </c>
      <c r="DD279" s="824">
        <f t="shared" si="209"/>
        <v>0</v>
      </c>
      <c r="DE279" s="824">
        <f t="shared" si="209"/>
        <v>0</v>
      </c>
      <c r="DF279" s="824">
        <f t="shared" si="209"/>
        <v>0</v>
      </c>
      <c r="DG279" s="824">
        <f t="shared" si="209"/>
        <v>0</v>
      </c>
      <c r="DH279" s="824">
        <f t="shared" si="209"/>
        <v>0</v>
      </c>
      <c r="DI279" s="824">
        <f t="shared" si="209"/>
        <v>0</v>
      </c>
      <c r="DJ279" s="824">
        <f t="shared" si="169"/>
        <v>0</v>
      </c>
      <c r="DK279" s="824">
        <f t="shared" si="169"/>
        <v>0</v>
      </c>
      <c r="DL279" s="824">
        <f t="shared" si="169"/>
        <v>0</v>
      </c>
    </row>
    <row r="280" spans="2:116" ht="12" thickBot="1" x14ac:dyDescent="0.3">
      <c r="B280" s="1673"/>
      <c r="C280" s="1680"/>
      <c r="D280" s="15" t="s">
        <v>183</v>
      </c>
      <c r="E280" s="116"/>
      <c r="F280" s="116">
        <f>SUBTOTAL(109,'3.1 I&amp;W'!$X$191)</f>
        <v>0</v>
      </c>
      <c r="G280" s="116">
        <f>SUBTOTAL(109,'3.1 I&amp;W'!$Y$191)</f>
        <v>0</v>
      </c>
      <c r="H280" s="116">
        <f>SUBTOTAL(109,'3.1 I&amp;W'!$AD$191)</f>
        <v>0</v>
      </c>
      <c r="I280" s="116">
        <f>SUBTOTAL(109,'3.1 I&amp;W'!$AE$191)</f>
        <v>0</v>
      </c>
      <c r="J280" s="116"/>
      <c r="K280" s="116"/>
      <c r="L280" s="116"/>
      <c r="M280" s="116">
        <f>SUBTOTAL(109,'3.1 I&amp;W'!$AI$191)</f>
        <v>0</v>
      </c>
      <c r="N280" s="156">
        <f t="shared" si="192"/>
        <v>0</v>
      </c>
      <c r="O280" s="116">
        <f>SUBTOTAL(109,'3.1 I&amp;W'!$S$191)</f>
        <v>0</v>
      </c>
      <c r="P280" s="30">
        <f t="shared" si="210"/>
        <v>0</v>
      </c>
      <c r="Q280" s="31">
        <f t="shared" si="211"/>
        <v>0</v>
      </c>
      <c r="R280" s="31">
        <f t="shared" si="212"/>
        <v>0</v>
      </c>
      <c r="S280" s="31">
        <f t="shared" si="213"/>
        <v>0</v>
      </c>
      <c r="T280" s="32">
        <f t="shared" si="214"/>
        <v>0</v>
      </c>
      <c r="U280" s="37">
        <f t="shared" si="215"/>
        <v>0</v>
      </c>
      <c r="V280" s="40">
        <f t="shared" si="193"/>
        <v>0</v>
      </c>
      <c r="W280" s="41">
        <f t="shared" si="194"/>
        <v>0</v>
      </c>
      <c r="X280" s="43"/>
      <c r="Y280" s="46"/>
      <c r="Z280" s="126"/>
      <c r="AA280" s="136"/>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824">
        <f t="shared" si="195"/>
        <v>0</v>
      </c>
      <c r="BM280" s="824">
        <f t="shared" si="196"/>
        <v>0</v>
      </c>
      <c r="BN280" s="824">
        <f t="shared" si="197"/>
        <v>0</v>
      </c>
      <c r="BO280" s="824">
        <f t="shared" si="207"/>
        <v>0</v>
      </c>
      <c r="BP280" s="824">
        <f t="shared" si="207"/>
        <v>0</v>
      </c>
      <c r="BQ280" s="824">
        <f t="shared" si="207"/>
        <v>0</v>
      </c>
      <c r="BR280" s="824">
        <f t="shared" si="207"/>
        <v>0</v>
      </c>
      <c r="BS280" s="824">
        <f t="shared" si="207"/>
        <v>0</v>
      </c>
      <c r="BT280" s="824">
        <f t="shared" si="207"/>
        <v>0</v>
      </c>
      <c r="BU280" s="824">
        <f t="shared" si="207"/>
        <v>0</v>
      </c>
      <c r="BV280" s="824">
        <f t="shared" si="207"/>
        <v>0</v>
      </c>
      <c r="BW280" s="824">
        <f t="shared" si="207"/>
        <v>0</v>
      </c>
      <c r="BX280" s="824">
        <f t="shared" si="207"/>
        <v>0</v>
      </c>
      <c r="BY280" s="824">
        <f t="shared" si="207"/>
        <v>0</v>
      </c>
      <c r="BZ280" s="824">
        <f t="shared" si="207"/>
        <v>0</v>
      </c>
      <c r="CA280" s="824">
        <f t="shared" si="207"/>
        <v>0</v>
      </c>
      <c r="CB280" s="824">
        <f t="shared" si="207"/>
        <v>0</v>
      </c>
      <c r="CC280" s="824">
        <f t="shared" si="207"/>
        <v>0</v>
      </c>
      <c r="CD280" s="824">
        <f t="shared" si="207"/>
        <v>0</v>
      </c>
      <c r="CE280" s="824">
        <f t="shared" si="206"/>
        <v>0</v>
      </c>
      <c r="CF280" s="824">
        <f t="shared" si="206"/>
        <v>0</v>
      </c>
      <c r="CG280" s="824">
        <f t="shared" si="206"/>
        <v>0</v>
      </c>
      <c r="CH280" s="824">
        <f t="shared" si="206"/>
        <v>0</v>
      </c>
      <c r="CI280" s="824">
        <f t="shared" si="206"/>
        <v>0</v>
      </c>
      <c r="CJ280" s="824">
        <f t="shared" si="206"/>
        <v>0</v>
      </c>
      <c r="CK280" s="824">
        <f t="shared" si="206"/>
        <v>0</v>
      </c>
      <c r="CL280" s="824">
        <f t="shared" si="206"/>
        <v>0</v>
      </c>
      <c r="CM280" s="824">
        <f t="shared" si="206"/>
        <v>0</v>
      </c>
      <c r="CN280" s="824">
        <f t="shared" si="206"/>
        <v>0</v>
      </c>
      <c r="CO280" s="824">
        <f t="shared" si="206"/>
        <v>0</v>
      </c>
      <c r="CP280" s="824">
        <f t="shared" si="206"/>
        <v>0</v>
      </c>
      <c r="CQ280" s="824">
        <f t="shared" si="206"/>
        <v>0</v>
      </c>
      <c r="CR280" s="824">
        <f t="shared" si="206"/>
        <v>0</v>
      </c>
      <c r="CS280" s="824">
        <f t="shared" si="206"/>
        <v>0</v>
      </c>
      <c r="CT280" s="824">
        <f t="shared" si="209"/>
        <v>0</v>
      </c>
      <c r="CU280" s="824">
        <f t="shared" si="209"/>
        <v>0</v>
      </c>
      <c r="CV280" s="824">
        <f t="shared" si="209"/>
        <v>0</v>
      </c>
      <c r="CW280" s="824">
        <f t="shared" si="209"/>
        <v>0</v>
      </c>
      <c r="CX280" s="824">
        <f t="shared" si="209"/>
        <v>0</v>
      </c>
      <c r="CY280" s="824">
        <f t="shared" si="209"/>
        <v>0</v>
      </c>
      <c r="CZ280" s="824">
        <f t="shared" si="209"/>
        <v>0</v>
      </c>
      <c r="DA280" s="824">
        <f t="shared" si="209"/>
        <v>0</v>
      </c>
      <c r="DB280" s="824">
        <f t="shared" si="209"/>
        <v>0</v>
      </c>
      <c r="DC280" s="824">
        <f t="shared" si="209"/>
        <v>0</v>
      </c>
      <c r="DD280" s="824">
        <f t="shared" si="209"/>
        <v>0</v>
      </c>
      <c r="DE280" s="824">
        <f t="shared" si="209"/>
        <v>0</v>
      </c>
      <c r="DF280" s="824">
        <f t="shared" si="209"/>
        <v>0</v>
      </c>
      <c r="DG280" s="824">
        <f t="shared" si="209"/>
        <v>0</v>
      </c>
      <c r="DH280" s="824">
        <f t="shared" si="209"/>
        <v>0</v>
      </c>
      <c r="DI280" s="824">
        <f t="shared" si="209"/>
        <v>0</v>
      </c>
      <c r="DJ280" s="824">
        <f t="shared" si="169"/>
        <v>0</v>
      </c>
      <c r="DK280" s="824">
        <f t="shared" si="169"/>
        <v>0</v>
      </c>
      <c r="DL280" s="824">
        <f t="shared" si="169"/>
        <v>0</v>
      </c>
    </row>
    <row r="281" spans="2:116" ht="12" thickBot="1" x14ac:dyDescent="0.3">
      <c r="B281" s="1673"/>
      <c r="C281" s="1680"/>
      <c r="D281" s="15" t="s">
        <v>183</v>
      </c>
      <c r="E281" s="165"/>
      <c r="F281" s="116">
        <f>SUBTOTAL(109,'3.1 I&amp;W'!$X$192)</f>
        <v>0</v>
      </c>
      <c r="G281" s="116">
        <f>SUBTOTAL(109,'3.1 I&amp;W'!$Y$192)</f>
        <v>0</v>
      </c>
      <c r="H281" s="116">
        <f>SUBTOTAL(109,'3.1 I&amp;W'!$AD$192)</f>
        <v>0</v>
      </c>
      <c r="I281" s="116">
        <f>SUBTOTAL(109,'3.1 I&amp;W'!$AE$192)</f>
        <v>0</v>
      </c>
      <c r="J281" s="116"/>
      <c r="K281" s="116"/>
      <c r="L281" s="116"/>
      <c r="M281" s="116">
        <f>SUBTOTAL(109,'3.1 I&amp;W'!$AI$192)</f>
        <v>0</v>
      </c>
      <c r="N281" s="156">
        <f t="shared" si="192"/>
        <v>0</v>
      </c>
      <c r="O281" s="116">
        <f>SUBTOTAL(109,'3.1 I&amp;W'!$S$192)</f>
        <v>0</v>
      </c>
      <c r="P281" s="30">
        <f t="shared" si="210"/>
        <v>0</v>
      </c>
      <c r="Q281" s="31">
        <f t="shared" si="211"/>
        <v>0</v>
      </c>
      <c r="R281" s="31">
        <f t="shared" si="212"/>
        <v>0</v>
      </c>
      <c r="S281" s="31">
        <f t="shared" si="213"/>
        <v>0</v>
      </c>
      <c r="T281" s="32">
        <f t="shared" si="214"/>
        <v>0</v>
      </c>
      <c r="U281" s="37">
        <f t="shared" si="215"/>
        <v>0</v>
      </c>
      <c r="V281" s="40">
        <f t="shared" si="193"/>
        <v>0</v>
      </c>
      <c r="W281" s="41">
        <f t="shared" si="194"/>
        <v>0</v>
      </c>
      <c r="X281" s="43"/>
      <c r="Y281" s="46"/>
      <c r="Z281" s="126"/>
      <c r="AA281" s="136"/>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824">
        <f t="shared" si="195"/>
        <v>0</v>
      </c>
      <c r="BM281" s="824">
        <f t="shared" si="196"/>
        <v>0</v>
      </c>
      <c r="BN281" s="824">
        <f t="shared" si="197"/>
        <v>0</v>
      </c>
      <c r="BO281" s="824">
        <f t="shared" si="207"/>
        <v>0</v>
      </c>
      <c r="BP281" s="824">
        <f t="shared" si="207"/>
        <v>0</v>
      </c>
      <c r="BQ281" s="824">
        <f t="shared" si="207"/>
        <v>0</v>
      </c>
      <c r="BR281" s="824">
        <f t="shared" si="207"/>
        <v>0</v>
      </c>
      <c r="BS281" s="824">
        <f t="shared" si="207"/>
        <v>0</v>
      </c>
      <c r="BT281" s="824">
        <f t="shared" si="207"/>
        <v>0</v>
      </c>
      <c r="BU281" s="824">
        <f t="shared" si="207"/>
        <v>0</v>
      </c>
      <c r="BV281" s="824">
        <f t="shared" si="207"/>
        <v>0</v>
      </c>
      <c r="BW281" s="824">
        <f t="shared" si="207"/>
        <v>0</v>
      </c>
      <c r="BX281" s="824">
        <f t="shared" si="207"/>
        <v>0</v>
      </c>
      <c r="BY281" s="824">
        <f t="shared" si="207"/>
        <v>0</v>
      </c>
      <c r="BZ281" s="824">
        <f t="shared" si="207"/>
        <v>0</v>
      </c>
      <c r="CA281" s="824">
        <f t="shared" si="207"/>
        <v>0</v>
      </c>
      <c r="CB281" s="824">
        <f t="shared" si="207"/>
        <v>0</v>
      </c>
      <c r="CC281" s="824">
        <f t="shared" si="207"/>
        <v>0</v>
      </c>
      <c r="CD281" s="824">
        <f t="shared" ref="CD281:CS296" si="216">IF(OR(IF($BL281*1&lt;$BL$196,$BL281*1=CD$198,FALSE),IF($BL281*2&lt;$BL$196,$BL281*2=CD$198,FALSE),IF($BL281*3&lt;$BL$196,$BL281*3=CD$198,FALSE),IF($BL281*4&lt;$BL$196,$BL281*4=CD$198,FALSE),IF($BL281*5&lt;$BL$196,$BL281*5=CD$198,FALSE)),$BN281*$BM$196^CD$198,0)</f>
        <v>0</v>
      </c>
      <c r="CE281" s="824">
        <f t="shared" si="216"/>
        <v>0</v>
      </c>
      <c r="CF281" s="824">
        <f t="shared" si="216"/>
        <v>0</v>
      </c>
      <c r="CG281" s="824">
        <f t="shared" si="216"/>
        <v>0</v>
      </c>
      <c r="CH281" s="824">
        <f t="shared" si="216"/>
        <v>0</v>
      </c>
      <c r="CI281" s="824">
        <f t="shared" si="216"/>
        <v>0</v>
      </c>
      <c r="CJ281" s="824">
        <f t="shared" si="216"/>
        <v>0</v>
      </c>
      <c r="CK281" s="824">
        <f t="shared" si="216"/>
        <v>0</v>
      </c>
      <c r="CL281" s="824">
        <f t="shared" si="216"/>
        <v>0</v>
      </c>
      <c r="CM281" s="824">
        <f t="shared" si="216"/>
        <v>0</v>
      </c>
      <c r="CN281" s="824">
        <f t="shared" si="216"/>
        <v>0</v>
      </c>
      <c r="CO281" s="824">
        <f t="shared" si="216"/>
        <v>0</v>
      </c>
      <c r="CP281" s="824">
        <f t="shared" si="216"/>
        <v>0</v>
      </c>
      <c r="CQ281" s="824">
        <f t="shared" si="216"/>
        <v>0</v>
      </c>
      <c r="CR281" s="824">
        <f t="shared" si="216"/>
        <v>0</v>
      </c>
      <c r="CS281" s="824">
        <f t="shared" si="216"/>
        <v>0</v>
      </c>
      <c r="CT281" s="824">
        <f t="shared" si="209"/>
        <v>0</v>
      </c>
      <c r="CU281" s="824">
        <f t="shared" si="209"/>
        <v>0</v>
      </c>
      <c r="CV281" s="824">
        <f t="shared" si="209"/>
        <v>0</v>
      </c>
      <c r="CW281" s="824">
        <f t="shared" si="209"/>
        <v>0</v>
      </c>
      <c r="CX281" s="824">
        <f t="shared" si="209"/>
        <v>0</v>
      </c>
      <c r="CY281" s="824">
        <f t="shared" si="209"/>
        <v>0</v>
      </c>
      <c r="CZ281" s="824">
        <f t="shared" si="209"/>
        <v>0</v>
      </c>
      <c r="DA281" s="824">
        <f t="shared" si="209"/>
        <v>0</v>
      </c>
      <c r="DB281" s="824">
        <f t="shared" si="209"/>
        <v>0</v>
      </c>
      <c r="DC281" s="824">
        <f t="shared" si="209"/>
        <v>0</v>
      </c>
      <c r="DD281" s="824">
        <f t="shared" si="209"/>
        <v>0</v>
      </c>
      <c r="DE281" s="824">
        <f t="shared" si="209"/>
        <v>0</v>
      </c>
      <c r="DF281" s="824">
        <f t="shared" si="209"/>
        <v>0</v>
      </c>
      <c r="DG281" s="824">
        <f t="shared" si="209"/>
        <v>0</v>
      </c>
      <c r="DH281" s="824">
        <f t="shared" si="209"/>
        <v>0</v>
      </c>
      <c r="DI281" s="824">
        <f t="shared" si="209"/>
        <v>0</v>
      </c>
      <c r="DJ281" s="824">
        <f t="shared" si="169"/>
        <v>0</v>
      </c>
      <c r="DK281" s="824">
        <f t="shared" si="169"/>
        <v>0</v>
      </c>
      <c r="DL281" s="824">
        <f t="shared" si="169"/>
        <v>0</v>
      </c>
    </row>
    <row r="282" spans="2:116" ht="12" thickBot="1" x14ac:dyDescent="0.3">
      <c r="B282" s="1673"/>
      <c r="C282" s="1680"/>
      <c r="D282" s="15" t="s">
        <v>183</v>
      </c>
      <c r="E282" s="116"/>
      <c r="F282" s="116">
        <f>SUBTOTAL(109,'3.1 I&amp;W'!$X$193)</f>
        <v>0</v>
      </c>
      <c r="G282" s="116">
        <f>SUBTOTAL(109,'3.1 I&amp;W'!$Y$193)</f>
        <v>0</v>
      </c>
      <c r="H282" s="116">
        <f>SUBTOTAL(109,'3.1 I&amp;W'!$AD$193)</f>
        <v>0</v>
      </c>
      <c r="I282" s="116">
        <f>SUBTOTAL(109,'3.1 I&amp;W'!$AE$193)</f>
        <v>0</v>
      </c>
      <c r="J282" s="116"/>
      <c r="K282" s="116"/>
      <c r="L282" s="116"/>
      <c r="M282" s="116">
        <f>SUBTOTAL(109,'3.1 I&amp;W'!$AI$193)</f>
        <v>0</v>
      </c>
      <c r="N282" s="156">
        <f t="shared" si="192"/>
        <v>0</v>
      </c>
      <c r="O282" s="116">
        <f>SUBTOTAL(109,'3.1 I&amp;W'!$S$193)</f>
        <v>0</v>
      </c>
      <c r="P282" s="30">
        <f t="shared" si="210"/>
        <v>0</v>
      </c>
      <c r="Q282" s="31">
        <f t="shared" si="211"/>
        <v>0</v>
      </c>
      <c r="R282" s="31">
        <f t="shared" si="212"/>
        <v>0</v>
      </c>
      <c r="S282" s="31">
        <f t="shared" si="213"/>
        <v>0</v>
      </c>
      <c r="T282" s="32">
        <f t="shared" si="214"/>
        <v>0</v>
      </c>
      <c r="U282" s="37">
        <f t="shared" si="215"/>
        <v>0</v>
      </c>
      <c r="V282" s="40">
        <f t="shared" si="193"/>
        <v>0</v>
      </c>
      <c r="W282" s="41">
        <f t="shared" si="194"/>
        <v>0</v>
      </c>
      <c r="X282" s="43"/>
      <c r="Y282" s="46"/>
      <c r="Z282" s="126"/>
      <c r="AA282" s="136"/>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824">
        <f t="shared" si="195"/>
        <v>0</v>
      </c>
      <c r="BM282" s="824">
        <f t="shared" si="196"/>
        <v>0</v>
      </c>
      <c r="BN282" s="824">
        <f t="shared" si="197"/>
        <v>0</v>
      </c>
      <c r="BO282" s="824">
        <f t="shared" ref="BO282:CD297" si="217">IF(OR(IF($BL282*1&lt;$BL$196,$BL282*1=BO$198,FALSE),IF($BL282*2&lt;$BL$196,$BL282*2=BO$198,FALSE),IF($BL282*3&lt;$BL$196,$BL282*3=BO$198,FALSE),IF($BL282*4&lt;$BL$196,$BL282*4=BO$198,FALSE),IF($BL282*5&lt;$BL$196,$BL282*5=BO$198,FALSE)),$BN282*$BM$196^BO$198,0)</f>
        <v>0</v>
      </c>
      <c r="BP282" s="824">
        <f t="shared" si="217"/>
        <v>0</v>
      </c>
      <c r="BQ282" s="824">
        <f t="shared" si="217"/>
        <v>0</v>
      </c>
      <c r="BR282" s="824">
        <f t="shared" si="217"/>
        <v>0</v>
      </c>
      <c r="BS282" s="824">
        <f t="shared" si="217"/>
        <v>0</v>
      </c>
      <c r="BT282" s="824">
        <f t="shared" si="217"/>
        <v>0</v>
      </c>
      <c r="BU282" s="824">
        <f t="shared" si="217"/>
        <v>0</v>
      </c>
      <c r="BV282" s="824">
        <f t="shared" si="217"/>
        <v>0</v>
      </c>
      <c r="BW282" s="824">
        <f t="shared" si="217"/>
        <v>0</v>
      </c>
      <c r="BX282" s="824">
        <f t="shared" si="217"/>
        <v>0</v>
      </c>
      <c r="BY282" s="824">
        <f t="shared" si="217"/>
        <v>0</v>
      </c>
      <c r="BZ282" s="824">
        <f t="shared" si="217"/>
        <v>0</v>
      </c>
      <c r="CA282" s="824">
        <f t="shared" si="217"/>
        <v>0</v>
      </c>
      <c r="CB282" s="824">
        <f t="shared" si="217"/>
        <v>0</v>
      </c>
      <c r="CC282" s="824">
        <f t="shared" si="217"/>
        <v>0</v>
      </c>
      <c r="CD282" s="824">
        <f t="shared" si="217"/>
        <v>0</v>
      </c>
      <c r="CE282" s="824">
        <f t="shared" si="216"/>
        <v>0</v>
      </c>
      <c r="CF282" s="824">
        <f t="shared" si="216"/>
        <v>0</v>
      </c>
      <c r="CG282" s="824">
        <f t="shared" si="216"/>
        <v>0</v>
      </c>
      <c r="CH282" s="824">
        <f t="shared" si="216"/>
        <v>0</v>
      </c>
      <c r="CI282" s="824">
        <f t="shared" si="216"/>
        <v>0</v>
      </c>
      <c r="CJ282" s="824">
        <f t="shared" si="216"/>
        <v>0</v>
      </c>
      <c r="CK282" s="824">
        <f t="shared" si="216"/>
        <v>0</v>
      </c>
      <c r="CL282" s="824">
        <f t="shared" si="216"/>
        <v>0</v>
      </c>
      <c r="CM282" s="824">
        <f t="shared" si="216"/>
        <v>0</v>
      </c>
      <c r="CN282" s="824">
        <f t="shared" si="216"/>
        <v>0</v>
      </c>
      <c r="CO282" s="824">
        <f t="shared" si="216"/>
        <v>0</v>
      </c>
      <c r="CP282" s="824">
        <f t="shared" si="216"/>
        <v>0</v>
      </c>
      <c r="CQ282" s="824">
        <f t="shared" si="216"/>
        <v>0</v>
      </c>
      <c r="CR282" s="824">
        <f t="shared" si="216"/>
        <v>0</v>
      </c>
      <c r="CS282" s="824">
        <f t="shared" si="216"/>
        <v>0</v>
      </c>
      <c r="CT282" s="824">
        <f t="shared" si="209"/>
        <v>0</v>
      </c>
      <c r="CU282" s="824">
        <f t="shared" si="209"/>
        <v>0</v>
      </c>
      <c r="CV282" s="824">
        <f t="shared" si="209"/>
        <v>0</v>
      </c>
      <c r="CW282" s="824">
        <f t="shared" si="209"/>
        <v>0</v>
      </c>
      <c r="CX282" s="824">
        <f t="shared" si="209"/>
        <v>0</v>
      </c>
      <c r="CY282" s="824">
        <f t="shared" si="209"/>
        <v>0</v>
      </c>
      <c r="CZ282" s="824">
        <f t="shared" si="209"/>
        <v>0</v>
      </c>
      <c r="DA282" s="824">
        <f t="shared" si="209"/>
        <v>0</v>
      </c>
      <c r="DB282" s="824">
        <f t="shared" si="209"/>
        <v>0</v>
      </c>
      <c r="DC282" s="824">
        <f t="shared" si="209"/>
        <v>0</v>
      </c>
      <c r="DD282" s="824">
        <f t="shared" si="209"/>
        <v>0</v>
      </c>
      <c r="DE282" s="824">
        <f t="shared" si="209"/>
        <v>0</v>
      </c>
      <c r="DF282" s="824">
        <f t="shared" si="209"/>
        <v>0</v>
      </c>
      <c r="DG282" s="824">
        <f t="shared" si="209"/>
        <v>0</v>
      </c>
      <c r="DH282" s="824">
        <f t="shared" si="209"/>
        <v>0</v>
      </c>
      <c r="DI282" s="824">
        <f t="shared" ref="DI282" si="218">IF(OR(IF($BL282*1&lt;$BL$196,$BL282*1=DI$198,FALSE),IF($BL282*2&lt;$BL$196,$BL282*2=DI$198,FALSE),IF($BL282*3&lt;$BL$196,$BL282*3=DI$198,FALSE),IF($BL282*4&lt;$BL$196,$BL282*4=DI$198,FALSE),IF($BL282*5&lt;$BL$196,$BL282*5=DI$198,FALSE)),$BN282*$BM$196^DI$198,0)</f>
        <v>0</v>
      </c>
      <c r="DJ282" s="824">
        <f t="shared" si="169"/>
        <v>0</v>
      </c>
      <c r="DK282" s="824">
        <f t="shared" si="169"/>
        <v>0</v>
      </c>
      <c r="DL282" s="824">
        <f t="shared" si="169"/>
        <v>0</v>
      </c>
    </row>
    <row r="283" spans="2:116" ht="12" thickBot="1" x14ac:dyDescent="0.3">
      <c r="B283" s="1673"/>
      <c r="C283" s="1680"/>
      <c r="D283" s="15" t="s">
        <v>183</v>
      </c>
      <c r="E283" s="165"/>
      <c r="F283" s="116">
        <f>SUBTOTAL(109,'3.1 I&amp;W'!$X$194)</f>
        <v>0</v>
      </c>
      <c r="G283" s="116">
        <f>SUBTOTAL(109,'3.1 I&amp;W'!$Y$194)</f>
        <v>0</v>
      </c>
      <c r="H283" s="116">
        <f>SUBTOTAL(109,'3.1 I&amp;W'!$AD$194)</f>
        <v>0</v>
      </c>
      <c r="I283" s="116">
        <f>SUBTOTAL(109,'3.1 I&amp;W'!$AE$194)</f>
        <v>0</v>
      </c>
      <c r="J283" s="116"/>
      <c r="K283" s="116"/>
      <c r="L283" s="116"/>
      <c r="M283" s="116">
        <f>SUBTOTAL(109,'3.1 I&amp;W'!$AI$194)</f>
        <v>0</v>
      </c>
      <c r="N283" s="156">
        <f t="shared" si="192"/>
        <v>0</v>
      </c>
      <c r="O283" s="116">
        <f>SUBTOTAL(109,'3.1 I&amp;W'!$S$194)</f>
        <v>0</v>
      </c>
      <c r="P283" s="30">
        <f t="shared" si="210"/>
        <v>0</v>
      </c>
      <c r="Q283" s="31">
        <f t="shared" si="211"/>
        <v>0</v>
      </c>
      <c r="R283" s="31">
        <f t="shared" si="212"/>
        <v>0</v>
      </c>
      <c r="S283" s="31">
        <f t="shared" si="213"/>
        <v>0</v>
      </c>
      <c r="T283" s="32">
        <f t="shared" si="214"/>
        <v>0</v>
      </c>
      <c r="U283" s="37">
        <f t="shared" si="215"/>
        <v>0</v>
      </c>
      <c r="V283" s="40">
        <f t="shared" si="193"/>
        <v>0</v>
      </c>
      <c r="W283" s="41">
        <f t="shared" si="194"/>
        <v>0</v>
      </c>
      <c r="X283" s="43"/>
      <c r="Y283" s="46"/>
      <c r="Z283" s="126"/>
      <c r="AA283" s="136"/>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824">
        <f t="shared" si="195"/>
        <v>0</v>
      </c>
      <c r="BM283" s="824">
        <f t="shared" si="196"/>
        <v>0</v>
      </c>
      <c r="BN283" s="824">
        <f t="shared" si="197"/>
        <v>0</v>
      </c>
      <c r="BO283" s="824">
        <f t="shared" si="217"/>
        <v>0</v>
      </c>
      <c r="BP283" s="824">
        <f t="shared" si="217"/>
        <v>0</v>
      </c>
      <c r="BQ283" s="824">
        <f t="shared" si="217"/>
        <v>0</v>
      </c>
      <c r="BR283" s="824">
        <f t="shared" si="217"/>
        <v>0</v>
      </c>
      <c r="BS283" s="824">
        <f t="shared" si="217"/>
        <v>0</v>
      </c>
      <c r="BT283" s="824">
        <f t="shared" si="217"/>
        <v>0</v>
      </c>
      <c r="BU283" s="824">
        <f t="shared" si="217"/>
        <v>0</v>
      </c>
      <c r="BV283" s="824">
        <f t="shared" si="217"/>
        <v>0</v>
      </c>
      <c r="BW283" s="824">
        <f t="shared" si="217"/>
        <v>0</v>
      </c>
      <c r="BX283" s="824">
        <f t="shared" si="217"/>
        <v>0</v>
      </c>
      <c r="BY283" s="824">
        <f t="shared" si="217"/>
        <v>0</v>
      </c>
      <c r="BZ283" s="824">
        <f t="shared" si="217"/>
        <v>0</v>
      </c>
      <c r="CA283" s="824">
        <f t="shared" si="217"/>
        <v>0</v>
      </c>
      <c r="CB283" s="824">
        <f t="shared" si="217"/>
        <v>0</v>
      </c>
      <c r="CC283" s="824">
        <f t="shared" si="217"/>
        <v>0</v>
      </c>
      <c r="CD283" s="824">
        <f t="shared" si="217"/>
        <v>0</v>
      </c>
      <c r="CE283" s="824">
        <f t="shared" si="216"/>
        <v>0</v>
      </c>
      <c r="CF283" s="824">
        <f t="shared" si="216"/>
        <v>0</v>
      </c>
      <c r="CG283" s="824">
        <f t="shared" si="216"/>
        <v>0</v>
      </c>
      <c r="CH283" s="824">
        <f t="shared" si="216"/>
        <v>0</v>
      </c>
      <c r="CI283" s="824">
        <f t="shared" si="216"/>
        <v>0</v>
      </c>
      <c r="CJ283" s="824">
        <f t="shared" si="216"/>
        <v>0</v>
      </c>
      <c r="CK283" s="824">
        <f t="shared" si="216"/>
        <v>0</v>
      </c>
      <c r="CL283" s="824">
        <f t="shared" si="216"/>
        <v>0</v>
      </c>
      <c r="CM283" s="824">
        <f t="shared" si="216"/>
        <v>0</v>
      </c>
      <c r="CN283" s="824">
        <f t="shared" si="216"/>
        <v>0</v>
      </c>
      <c r="CO283" s="824">
        <f t="shared" si="216"/>
        <v>0</v>
      </c>
      <c r="CP283" s="824">
        <f t="shared" si="216"/>
        <v>0</v>
      </c>
      <c r="CQ283" s="824">
        <f t="shared" si="216"/>
        <v>0</v>
      </c>
      <c r="CR283" s="824">
        <f t="shared" si="216"/>
        <v>0</v>
      </c>
      <c r="CS283" s="824">
        <f t="shared" si="216"/>
        <v>0</v>
      </c>
      <c r="CT283" s="824">
        <f t="shared" ref="CT283:DI298" si="219">IF(OR(IF($BL283*1&lt;$BL$196,$BL283*1=CT$198,FALSE),IF($BL283*2&lt;$BL$196,$BL283*2=CT$198,FALSE),IF($BL283*3&lt;$BL$196,$BL283*3=CT$198,FALSE),IF($BL283*4&lt;$BL$196,$BL283*4=CT$198,FALSE),IF($BL283*5&lt;$BL$196,$BL283*5=CT$198,FALSE)),$BN283*$BM$196^CT$198,0)</f>
        <v>0</v>
      </c>
      <c r="CU283" s="824">
        <f t="shared" si="219"/>
        <v>0</v>
      </c>
      <c r="CV283" s="824">
        <f t="shared" si="219"/>
        <v>0</v>
      </c>
      <c r="CW283" s="824">
        <f t="shared" si="219"/>
        <v>0</v>
      </c>
      <c r="CX283" s="824">
        <f t="shared" si="219"/>
        <v>0</v>
      </c>
      <c r="CY283" s="824">
        <f t="shared" si="219"/>
        <v>0</v>
      </c>
      <c r="CZ283" s="824">
        <f t="shared" si="219"/>
        <v>0</v>
      </c>
      <c r="DA283" s="824">
        <f t="shared" si="219"/>
        <v>0</v>
      </c>
      <c r="DB283" s="824">
        <f t="shared" si="219"/>
        <v>0</v>
      </c>
      <c r="DC283" s="824">
        <f t="shared" si="219"/>
        <v>0</v>
      </c>
      <c r="DD283" s="824">
        <f t="shared" si="219"/>
        <v>0</v>
      </c>
      <c r="DE283" s="824">
        <f t="shared" si="219"/>
        <v>0</v>
      </c>
      <c r="DF283" s="824">
        <f t="shared" si="219"/>
        <v>0</v>
      </c>
      <c r="DG283" s="824">
        <f t="shared" si="219"/>
        <v>0</v>
      </c>
      <c r="DH283" s="824">
        <f t="shared" si="219"/>
        <v>0</v>
      </c>
      <c r="DI283" s="824">
        <f t="shared" si="219"/>
        <v>0</v>
      </c>
      <c r="DJ283" s="824">
        <f t="shared" si="169"/>
        <v>0</v>
      </c>
      <c r="DK283" s="824">
        <f t="shared" si="169"/>
        <v>0</v>
      </c>
      <c r="DL283" s="824">
        <f t="shared" si="169"/>
        <v>0</v>
      </c>
    </row>
    <row r="284" spans="2:116" ht="12" thickBot="1" x14ac:dyDescent="0.3">
      <c r="B284" s="1673"/>
      <c r="C284" s="1680"/>
      <c r="D284" s="15" t="s">
        <v>15</v>
      </c>
      <c r="E284" s="116"/>
      <c r="F284" s="116">
        <f>SUBTOTAL(109,'3.1 I&amp;W'!$X$197)</f>
        <v>0</v>
      </c>
      <c r="G284" s="116">
        <f>SUBTOTAL(109,'3.1 I&amp;W'!$Y$197)</f>
        <v>0</v>
      </c>
      <c r="H284" s="116">
        <f>SUBTOTAL(109,'3.1 I&amp;W'!$AD$197)</f>
        <v>1.1005135730007337E-2</v>
      </c>
      <c r="I284" s="116">
        <f>SUBTOTAL(109,'3.1 I&amp;W'!$AE$197)</f>
        <v>360</v>
      </c>
      <c r="J284" s="116"/>
      <c r="K284" s="116"/>
      <c r="L284" s="116"/>
      <c r="M284" s="116">
        <f>SUBTOTAL(109,'3.1 I&amp;W'!$AI$197)</f>
        <v>25</v>
      </c>
      <c r="N284" s="156">
        <f t="shared" si="192"/>
        <v>1</v>
      </c>
      <c r="O284" s="116">
        <f>SUBTOTAL(109,'3.1 I&amp;W'!$S$197)</f>
        <v>32712</v>
      </c>
      <c r="P284" s="30">
        <f t="shared" si="210"/>
        <v>29651.420391219595</v>
      </c>
      <c r="Q284" s="31">
        <f t="shared" si="211"/>
        <v>0</v>
      </c>
      <c r="R284" s="31">
        <f t="shared" si="212"/>
        <v>0</v>
      </c>
      <c r="S284" s="31">
        <f t="shared" si="213"/>
        <v>0</v>
      </c>
      <c r="T284" s="32">
        <f t="shared" si="214"/>
        <v>0</v>
      </c>
      <c r="U284" s="37">
        <f t="shared" si="215"/>
        <v>14594.695384092305</v>
      </c>
      <c r="V284" s="40">
        <f t="shared" si="193"/>
        <v>0</v>
      </c>
      <c r="W284" s="41">
        <f t="shared" si="194"/>
        <v>11563.848634307347</v>
      </c>
      <c r="X284" s="43"/>
      <c r="Y284" s="46"/>
      <c r="Z284" s="126"/>
      <c r="AA284" s="136"/>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824">
        <f t="shared" si="195"/>
        <v>25</v>
      </c>
      <c r="BM284" s="824">
        <f t="shared" si="196"/>
        <v>1</v>
      </c>
      <c r="BN284" s="824">
        <f t="shared" si="197"/>
        <v>32712</v>
      </c>
      <c r="BO284" s="824">
        <f t="shared" si="217"/>
        <v>0</v>
      </c>
      <c r="BP284" s="824">
        <f t="shared" si="217"/>
        <v>0</v>
      </c>
      <c r="BQ284" s="824">
        <f t="shared" si="217"/>
        <v>0</v>
      </c>
      <c r="BR284" s="824">
        <f t="shared" si="217"/>
        <v>0</v>
      </c>
      <c r="BS284" s="824">
        <f t="shared" si="217"/>
        <v>0</v>
      </c>
      <c r="BT284" s="824">
        <f t="shared" si="217"/>
        <v>0</v>
      </c>
      <c r="BU284" s="824">
        <f t="shared" si="217"/>
        <v>0</v>
      </c>
      <c r="BV284" s="824">
        <f t="shared" si="217"/>
        <v>0</v>
      </c>
      <c r="BW284" s="824">
        <f t="shared" si="217"/>
        <v>0</v>
      </c>
      <c r="BX284" s="824">
        <f t="shared" si="217"/>
        <v>0</v>
      </c>
      <c r="BY284" s="824">
        <f t="shared" si="217"/>
        <v>0</v>
      </c>
      <c r="BZ284" s="824">
        <f t="shared" si="217"/>
        <v>0</v>
      </c>
      <c r="CA284" s="824">
        <f t="shared" si="217"/>
        <v>0</v>
      </c>
      <c r="CB284" s="824">
        <f t="shared" si="217"/>
        <v>0</v>
      </c>
      <c r="CC284" s="824">
        <f t="shared" si="217"/>
        <v>0</v>
      </c>
      <c r="CD284" s="824">
        <f t="shared" si="217"/>
        <v>0</v>
      </c>
      <c r="CE284" s="824">
        <f t="shared" si="216"/>
        <v>0</v>
      </c>
      <c r="CF284" s="824">
        <f t="shared" si="216"/>
        <v>0</v>
      </c>
      <c r="CG284" s="824">
        <f t="shared" si="216"/>
        <v>0</v>
      </c>
      <c r="CH284" s="824">
        <f t="shared" si="216"/>
        <v>0</v>
      </c>
      <c r="CI284" s="824">
        <f t="shared" si="216"/>
        <v>0</v>
      </c>
      <c r="CJ284" s="824">
        <f t="shared" si="216"/>
        <v>0</v>
      </c>
      <c r="CK284" s="824">
        <f t="shared" si="216"/>
        <v>0</v>
      </c>
      <c r="CL284" s="824">
        <f t="shared" si="216"/>
        <v>0</v>
      </c>
      <c r="CM284" s="824">
        <f t="shared" si="216"/>
        <v>48646.298038228582</v>
      </c>
      <c r="CN284" s="824">
        <f t="shared" si="216"/>
        <v>0</v>
      </c>
      <c r="CO284" s="824">
        <f t="shared" si="216"/>
        <v>0</v>
      </c>
      <c r="CP284" s="824">
        <f t="shared" si="216"/>
        <v>0</v>
      </c>
      <c r="CQ284" s="824">
        <f t="shared" si="216"/>
        <v>0</v>
      </c>
      <c r="CR284" s="824">
        <f t="shared" si="216"/>
        <v>0</v>
      </c>
      <c r="CS284" s="824">
        <f t="shared" si="216"/>
        <v>0</v>
      </c>
      <c r="CT284" s="824">
        <f t="shared" si="219"/>
        <v>0</v>
      </c>
      <c r="CU284" s="824">
        <f t="shared" si="219"/>
        <v>0</v>
      </c>
      <c r="CV284" s="824">
        <f t="shared" si="219"/>
        <v>0</v>
      </c>
      <c r="CW284" s="824">
        <f t="shared" si="219"/>
        <v>0</v>
      </c>
      <c r="CX284" s="824">
        <f t="shared" si="219"/>
        <v>0</v>
      </c>
      <c r="CY284" s="824">
        <f t="shared" si="219"/>
        <v>0</v>
      </c>
      <c r="CZ284" s="824">
        <f t="shared" si="219"/>
        <v>0</v>
      </c>
      <c r="DA284" s="824">
        <f t="shared" si="219"/>
        <v>0</v>
      </c>
      <c r="DB284" s="824">
        <f t="shared" si="219"/>
        <v>0</v>
      </c>
      <c r="DC284" s="824">
        <f t="shared" si="219"/>
        <v>0</v>
      </c>
      <c r="DD284" s="824">
        <f t="shared" si="219"/>
        <v>0</v>
      </c>
      <c r="DE284" s="824">
        <f t="shared" si="219"/>
        <v>0</v>
      </c>
      <c r="DF284" s="824">
        <f t="shared" si="219"/>
        <v>0</v>
      </c>
      <c r="DG284" s="824">
        <f t="shared" si="219"/>
        <v>0</v>
      </c>
      <c r="DH284" s="824">
        <f t="shared" si="219"/>
        <v>0</v>
      </c>
      <c r="DI284" s="824">
        <f t="shared" si="219"/>
        <v>0</v>
      </c>
      <c r="DJ284" s="824">
        <f t="shared" si="169"/>
        <v>0</v>
      </c>
      <c r="DK284" s="824">
        <f t="shared" si="169"/>
        <v>0</v>
      </c>
      <c r="DL284" s="824">
        <f t="shared" si="169"/>
        <v>0</v>
      </c>
    </row>
    <row r="285" spans="2:116" ht="12" thickBot="1" x14ac:dyDescent="0.3">
      <c r="B285" s="1673"/>
      <c r="C285" s="1680"/>
      <c r="D285" s="15" t="s">
        <v>15</v>
      </c>
      <c r="E285" s="165"/>
      <c r="F285" s="116">
        <f>SUBTOTAL(109,'3.1 I&amp;W'!$X$198)</f>
        <v>0</v>
      </c>
      <c r="G285" s="116">
        <f>SUBTOTAL(109,'3.1 I&amp;W'!$Y$198)</f>
        <v>0</v>
      </c>
      <c r="H285" s="116">
        <f>SUBTOTAL(109,'3.1 I&amp;W'!$AD$198)</f>
        <v>0</v>
      </c>
      <c r="I285" s="116">
        <f>SUBTOTAL(109,'3.1 I&amp;W'!$AE$198)</f>
        <v>0</v>
      </c>
      <c r="J285" s="116"/>
      <c r="K285" s="116"/>
      <c r="L285" s="116"/>
      <c r="M285" s="116">
        <f>SUBTOTAL(109,'3.1 I&amp;W'!$AI$198)</f>
        <v>0</v>
      </c>
      <c r="N285" s="156">
        <f t="shared" si="192"/>
        <v>0</v>
      </c>
      <c r="O285" s="116">
        <f>SUBTOTAL(109,'3.1 I&amp;W'!$S$198)</f>
        <v>0</v>
      </c>
      <c r="P285" s="30">
        <f t="shared" si="210"/>
        <v>0</v>
      </c>
      <c r="Q285" s="31">
        <f t="shared" si="211"/>
        <v>0</v>
      </c>
      <c r="R285" s="31">
        <f t="shared" si="212"/>
        <v>0</v>
      </c>
      <c r="S285" s="31">
        <f t="shared" si="213"/>
        <v>0</v>
      </c>
      <c r="T285" s="32">
        <f t="shared" si="214"/>
        <v>0</v>
      </c>
      <c r="U285" s="37">
        <f t="shared" si="215"/>
        <v>0</v>
      </c>
      <c r="V285" s="40">
        <f t="shared" si="193"/>
        <v>0</v>
      </c>
      <c r="W285" s="41">
        <f t="shared" si="194"/>
        <v>0</v>
      </c>
      <c r="X285" s="43"/>
      <c r="Y285" s="46"/>
      <c r="Z285" s="126"/>
      <c r="AA285" s="136"/>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824">
        <f t="shared" si="195"/>
        <v>0</v>
      </c>
      <c r="BM285" s="824">
        <f t="shared" si="196"/>
        <v>0</v>
      </c>
      <c r="BN285" s="824">
        <f t="shared" si="197"/>
        <v>0</v>
      </c>
      <c r="BO285" s="824">
        <f t="shared" si="217"/>
        <v>0</v>
      </c>
      <c r="BP285" s="824">
        <f t="shared" si="217"/>
        <v>0</v>
      </c>
      <c r="BQ285" s="824">
        <f t="shared" si="217"/>
        <v>0</v>
      </c>
      <c r="BR285" s="824">
        <f t="shared" si="217"/>
        <v>0</v>
      </c>
      <c r="BS285" s="824">
        <f t="shared" si="217"/>
        <v>0</v>
      </c>
      <c r="BT285" s="824">
        <f t="shared" si="217"/>
        <v>0</v>
      </c>
      <c r="BU285" s="824">
        <f t="shared" si="217"/>
        <v>0</v>
      </c>
      <c r="BV285" s="824">
        <f t="shared" si="217"/>
        <v>0</v>
      </c>
      <c r="BW285" s="824">
        <f t="shared" si="217"/>
        <v>0</v>
      </c>
      <c r="BX285" s="824">
        <f t="shared" si="217"/>
        <v>0</v>
      </c>
      <c r="BY285" s="824">
        <f t="shared" si="217"/>
        <v>0</v>
      </c>
      <c r="BZ285" s="824">
        <f t="shared" si="217"/>
        <v>0</v>
      </c>
      <c r="CA285" s="824">
        <f t="shared" si="217"/>
        <v>0</v>
      </c>
      <c r="CB285" s="824">
        <f t="shared" si="217"/>
        <v>0</v>
      </c>
      <c r="CC285" s="824">
        <f t="shared" si="217"/>
        <v>0</v>
      </c>
      <c r="CD285" s="824">
        <f t="shared" si="217"/>
        <v>0</v>
      </c>
      <c r="CE285" s="824">
        <f t="shared" si="216"/>
        <v>0</v>
      </c>
      <c r="CF285" s="824">
        <f t="shared" si="216"/>
        <v>0</v>
      </c>
      <c r="CG285" s="824">
        <f t="shared" si="216"/>
        <v>0</v>
      </c>
      <c r="CH285" s="824">
        <f t="shared" si="216"/>
        <v>0</v>
      </c>
      <c r="CI285" s="824">
        <f t="shared" si="216"/>
        <v>0</v>
      </c>
      <c r="CJ285" s="824">
        <f t="shared" si="216"/>
        <v>0</v>
      </c>
      <c r="CK285" s="824">
        <f t="shared" si="216"/>
        <v>0</v>
      </c>
      <c r="CL285" s="824">
        <f t="shared" si="216"/>
        <v>0</v>
      </c>
      <c r="CM285" s="824">
        <f t="shared" si="216"/>
        <v>0</v>
      </c>
      <c r="CN285" s="824">
        <f t="shared" si="216"/>
        <v>0</v>
      </c>
      <c r="CO285" s="824">
        <f t="shared" si="216"/>
        <v>0</v>
      </c>
      <c r="CP285" s="824">
        <f t="shared" si="216"/>
        <v>0</v>
      </c>
      <c r="CQ285" s="824">
        <f t="shared" si="216"/>
        <v>0</v>
      </c>
      <c r="CR285" s="824">
        <f t="shared" si="216"/>
        <v>0</v>
      </c>
      <c r="CS285" s="824">
        <f t="shared" si="216"/>
        <v>0</v>
      </c>
      <c r="CT285" s="824">
        <f t="shared" si="219"/>
        <v>0</v>
      </c>
      <c r="CU285" s="824">
        <f t="shared" si="219"/>
        <v>0</v>
      </c>
      <c r="CV285" s="824">
        <f t="shared" si="219"/>
        <v>0</v>
      </c>
      <c r="CW285" s="824">
        <f t="shared" si="219"/>
        <v>0</v>
      </c>
      <c r="CX285" s="824">
        <f t="shared" si="219"/>
        <v>0</v>
      </c>
      <c r="CY285" s="824">
        <f t="shared" si="219"/>
        <v>0</v>
      </c>
      <c r="CZ285" s="824">
        <f t="shared" si="219"/>
        <v>0</v>
      </c>
      <c r="DA285" s="824">
        <f t="shared" si="219"/>
        <v>0</v>
      </c>
      <c r="DB285" s="824">
        <f t="shared" si="219"/>
        <v>0</v>
      </c>
      <c r="DC285" s="824">
        <f t="shared" si="219"/>
        <v>0</v>
      </c>
      <c r="DD285" s="824">
        <f t="shared" si="219"/>
        <v>0</v>
      </c>
      <c r="DE285" s="824">
        <f t="shared" si="219"/>
        <v>0</v>
      </c>
      <c r="DF285" s="824">
        <f t="shared" si="219"/>
        <v>0</v>
      </c>
      <c r="DG285" s="824">
        <f t="shared" si="219"/>
        <v>0</v>
      </c>
      <c r="DH285" s="824">
        <f t="shared" si="219"/>
        <v>0</v>
      </c>
      <c r="DI285" s="824">
        <f t="shared" si="219"/>
        <v>0</v>
      </c>
      <c r="DJ285" s="824">
        <f t="shared" si="169"/>
        <v>0</v>
      </c>
      <c r="DK285" s="824">
        <f t="shared" si="169"/>
        <v>0</v>
      </c>
      <c r="DL285" s="824">
        <f t="shared" si="169"/>
        <v>0</v>
      </c>
    </row>
    <row r="286" spans="2:116" ht="12" thickBot="1" x14ac:dyDescent="0.3">
      <c r="B286" s="1673"/>
      <c r="C286" s="1680"/>
      <c r="D286" s="15" t="s">
        <v>15</v>
      </c>
      <c r="E286" s="116"/>
      <c r="F286" s="116">
        <f>SUBTOTAL(109,'3.1 I&amp;W'!$X$199)</f>
        <v>0</v>
      </c>
      <c r="G286" s="116">
        <f>SUBTOTAL(109,'3.1 I&amp;W'!$Y$199)</f>
        <v>0</v>
      </c>
      <c r="H286" s="116">
        <f>SUBTOTAL(109,'3.1 I&amp;W'!$AD$199)</f>
        <v>0</v>
      </c>
      <c r="I286" s="116">
        <f>SUBTOTAL(109,'3.1 I&amp;W'!$AE$199)</f>
        <v>0</v>
      </c>
      <c r="J286" s="116"/>
      <c r="K286" s="116"/>
      <c r="L286" s="116"/>
      <c r="M286" s="116">
        <f>SUBTOTAL(109,'3.1 I&amp;W'!$AI$199)</f>
        <v>0</v>
      </c>
      <c r="N286" s="156">
        <f t="shared" si="192"/>
        <v>0</v>
      </c>
      <c r="O286" s="116">
        <f>SUBTOTAL(109,'3.1 I&amp;W'!$S$199)</f>
        <v>0</v>
      </c>
      <c r="P286" s="30">
        <f t="shared" si="210"/>
        <v>0</v>
      </c>
      <c r="Q286" s="31">
        <f t="shared" si="211"/>
        <v>0</v>
      </c>
      <c r="R286" s="31">
        <f t="shared" si="212"/>
        <v>0</v>
      </c>
      <c r="S286" s="31">
        <f t="shared" si="213"/>
        <v>0</v>
      </c>
      <c r="T286" s="32">
        <f t="shared" si="214"/>
        <v>0</v>
      </c>
      <c r="U286" s="37">
        <f t="shared" si="215"/>
        <v>0</v>
      </c>
      <c r="V286" s="40">
        <f t="shared" si="193"/>
        <v>0</v>
      </c>
      <c r="W286" s="41">
        <f t="shared" si="194"/>
        <v>0</v>
      </c>
      <c r="X286" s="43"/>
      <c r="Y286" s="46"/>
      <c r="Z286" s="126"/>
      <c r="AA286" s="136"/>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824">
        <f t="shared" si="195"/>
        <v>0</v>
      </c>
      <c r="BM286" s="824">
        <f t="shared" si="196"/>
        <v>0</v>
      </c>
      <c r="BN286" s="824">
        <f t="shared" si="197"/>
        <v>0</v>
      </c>
      <c r="BO286" s="824">
        <f t="shared" si="217"/>
        <v>0</v>
      </c>
      <c r="BP286" s="824">
        <f t="shared" si="217"/>
        <v>0</v>
      </c>
      <c r="BQ286" s="824">
        <f t="shared" si="217"/>
        <v>0</v>
      </c>
      <c r="BR286" s="824">
        <f t="shared" si="217"/>
        <v>0</v>
      </c>
      <c r="BS286" s="824">
        <f t="shared" si="217"/>
        <v>0</v>
      </c>
      <c r="BT286" s="824">
        <f t="shared" si="217"/>
        <v>0</v>
      </c>
      <c r="BU286" s="824">
        <f t="shared" si="217"/>
        <v>0</v>
      </c>
      <c r="BV286" s="824">
        <f t="shared" si="217"/>
        <v>0</v>
      </c>
      <c r="BW286" s="824">
        <f t="shared" si="217"/>
        <v>0</v>
      </c>
      <c r="BX286" s="824">
        <f t="shared" si="217"/>
        <v>0</v>
      </c>
      <c r="BY286" s="824">
        <f t="shared" si="217"/>
        <v>0</v>
      </c>
      <c r="BZ286" s="824">
        <f t="shared" si="217"/>
        <v>0</v>
      </c>
      <c r="CA286" s="824">
        <f t="shared" si="217"/>
        <v>0</v>
      </c>
      <c r="CB286" s="824">
        <f t="shared" si="217"/>
        <v>0</v>
      </c>
      <c r="CC286" s="824">
        <f t="shared" si="217"/>
        <v>0</v>
      </c>
      <c r="CD286" s="824">
        <f t="shared" si="217"/>
        <v>0</v>
      </c>
      <c r="CE286" s="824">
        <f t="shared" si="216"/>
        <v>0</v>
      </c>
      <c r="CF286" s="824">
        <f t="shared" si="216"/>
        <v>0</v>
      </c>
      <c r="CG286" s="824">
        <f t="shared" si="216"/>
        <v>0</v>
      </c>
      <c r="CH286" s="824">
        <f t="shared" si="216"/>
        <v>0</v>
      </c>
      <c r="CI286" s="824">
        <f t="shared" si="216"/>
        <v>0</v>
      </c>
      <c r="CJ286" s="824">
        <f t="shared" si="216"/>
        <v>0</v>
      </c>
      <c r="CK286" s="824">
        <f t="shared" si="216"/>
        <v>0</v>
      </c>
      <c r="CL286" s="824">
        <f t="shared" si="216"/>
        <v>0</v>
      </c>
      <c r="CM286" s="824">
        <f t="shared" si="216"/>
        <v>0</v>
      </c>
      <c r="CN286" s="824">
        <f t="shared" si="216"/>
        <v>0</v>
      </c>
      <c r="CO286" s="824">
        <f t="shared" si="216"/>
        <v>0</v>
      </c>
      <c r="CP286" s="824">
        <f t="shared" si="216"/>
        <v>0</v>
      </c>
      <c r="CQ286" s="824">
        <f t="shared" si="216"/>
        <v>0</v>
      </c>
      <c r="CR286" s="824">
        <f t="shared" si="216"/>
        <v>0</v>
      </c>
      <c r="CS286" s="824">
        <f t="shared" si="216"/>
        <v>0</v>
      </c>
      <c r="CT286" s="824">
        <f t="shared" si="219"/>
        <v>0</v>
      </c>
      <c r="CU286" s="824">
        <f t="shared" si="219"/>
        <v>0</v>
      </c>
      <c r="CV286" s="824">
        <f t="shared" si="219"/>
        <v>0</v>
      </c>
      <c r="CW286" s="824">
        <f t="shared" si="219"/>
        <v>0</v>
      </c>
      <c r="CX286" s="824">
        <f t="shared" si="219"/>
        <v>0</v>
      </c>
      <c r="CY286" s="824">
        <f t="shared" si="219"/>
        <v>0</v>
      </c>
      <c r="CZ286" s="824">
        <f t="shared" si="219"/>
        <v>0</v>
      </c>
      <c r="DA286" s="824">
        <f t="shared" si="219"/>
        <v>0</v>
      </c>
      <c r="DB286" s="824">
        <f t="shared" si="219"/>
        <v>0</v>
      </c>
      <c r="DC286" s="824">
        <f t="shared" si="219"/>
        <v>0</v>
      </c>
      <c r="DD286" s="824">
        <f t="shared" si="219"/>
        <v>0</v>
      </c>
      <c r="DE286" s="824">
        <f t="shared" si="219"/>
        <v>0</v>
      </c>
      <c r="DF286" s="824">
        <f t="shared" si="219"/>
        <v>0</v>
      </c>
      <c r="DG286" s="824">
        <f t="shared" si="219"/>
        <v>0</v>
      </c>
      <c r="DH286" s="824">
        <f t="shared" si="219"/>
        <v>0</v>
      </c>
      <c r="DI286" s="824">
        <f t="shared" si="219"/>
        <v>0</v>
      </c>
      <c r="DJ286" s="824">
        <f t="shared" si="169"/>
        <v>0</v>
      </c>
      <c r="DK286" s="824">
        <f t="shared" si="169"/>
        <v>0</v>
      </c>
      <c r="DL286" s="824">
        <f t="shared" si="169"/>
        <v>0</v>
      </c>
    </row>
    <row r="287" spans="2:116" ht="12" thickBot="1" x14ac:dyDescent="0.3">
      <c r="B287" s="1673"/>
      <c r="C287" s="1680"/>
      <c r="D287" s="15" t="s">
        <v>15</v>
      </c>
      <c r="E287" s="165"/>
      <c r="F287" s="116">
        <f>SUBTOTAL(109,'3.1 I&amp;W'!$X$200)</f>
        <v>0</v>
      </c>
      <c r="G287" s="116">
        <f>SUBTOTAL(109,'3.1 I&amp;W'!$Y$200)</f>
        <v>0</v>
      </c>
      <c r="H287" s="116">
        <f>SUBTOTAL(109,'3.1 I&amp;W'!$AD$200)</f>
        <v>0</v>
      </c>
      <c r="I287" s="116">
        <f>SUBTOTAL(109,'3.1 I&amp;W'!$AE$200)</f>
        <v>0</v>
      </c>
      <c r="J287" s="116"/>
      <c r="K287" s="116"/>
      <c r="L287" s="116"/>
      <c r="M287" s="116">
        <f>SUBTOTAL(109,'3.1 I&amp;W'!$AI$200)</f>
        <v>0</v>
      </c>
      <c r="N287" s="156">
        <f t="shared" si="192"/>
        <v>0</v>
      </c>
      <c r="O287" s="116">
        <f>SUBTOTAL(109,'3.1 I&amp;W'!$S$200)</f>
        <v>0</v>
      </c>
      <c r="P287" s="30">
        <f t="shared" si="210"/>
        <v>0</v>
      </c>
      <c r="Q287" s="31">
        <f t="shared" si="211"/>
        <v>0</v>
      </c>
      <c r="R287" s="31">
        <f t="shared" si="212"/>
        <v>0</v>
      </c>
      <c r="S287" s="31">
        <f t="shared" si="213"/>
        <v>0</v>
      </c>
      <c r="T287" s="32">
        <f t="shared" si="214"/>
        <v>0</v>
      </c>
      <c r="U287" s="37">
        <f t="shared" si="215"/>
        <v>0</v>
      </c>
      <c r="V287" s="40">
        <f t="shared" si="193"/>
        <v>0</v>
      </c>
      <c r="W287" s="41">
        <f t="shared" si="194"/>
        <v>0</v>
      </c>
      <c r="X287" s="43"/>
      <c r="Y287" s="46"/>
      <c r="Z287" s="126"/>
      <c r="AA287" s="136"/>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824">
        <f t="shared" si="195"/>
        <v>0</v>
      </c>
      <c r="BM287" s="824">
        <f t="shared" si="196"/>
        <v>0</v>
      </c>
      <c r="BN287" s="824">
        <f t="shared" si="197"/>
        <v>0</v>
      </c>
      <c r="BO287" s="824">
        <f t="shared" si="217"/>
        <v>0</v>
      </c>
      <c r="BP287" s="824">
        <f t="shared" si="217"/>
        <v>0</v>
      </c>
      <c r="BQ287" s="824">
        <f t="shared" si="217"/>
        <v>0</v>
      </c>
      <c r="BR287" s="824">
        <f t="shared" si="217"/>
        <v>0</v>
      </c>
      <c r="BS287" s="824">
        <f t="shared" si="217"/>
        <v>0</v>
      </c>
      <c r="BT287" s="824">
        <f t="shared" si="217"/>
        <v>0</v>
      </c>
      <c r="BU287" s="824">
        <f t="shared" si="217"/>
        <v>0</v>
      </c>
      <c r="BV287" s="824">
        <f t="shared" si="217"/>
        <v>0</v>
      </c>
      <c r="BW287" s="824">
        <f t="shared" si="217"/>
        <v>0</v>
      </c>
      <c r="BX287" s="824">
        <f t="shared" si="217"/>
        <v>0</v>
      </c>
      <c r="BY287" s="824">
        <f t="shared" si="217"/>
        <v>0</v>
      </c>
      <c r="BZ287" s="824">
        <f t="shared" si="217"/>
        <v>0</v>
      </c>
      <c r="CA287" s="824">
        <f t="shared" si="217"/>
        <v>0</v>
      </c>
      <c r="CB287" s="824">
        <f t="shared" si="217"/>
        <v>0</v>
      </c>
      <c r="CC287" s="824">
        <f t="shared" si="217"/>
        <v>0</v>
      </c>
      <c r="CD287" s="824">
        <f t="shared" si="217"/>
        <v>0</v>
      </c>
      <c r="CE287" s="824">
        <f t="shared" si="216"/>
        <v>0</v>
      </c>
      <c r="CF287" s="824">
        <f t="shared" si="216"/>
        <v>0</v>
      </c>
      <c r="CG287" s="824">
        <f t="shared" si="216"/>
        <v>0</v>
      </c>
      <c r="CH287" s="824">
        <f t="shared" si="216"/>
        <v>0</v>
      </c>
      <c r="CI287" s="824">
        <f t="shared" si="216"/>
        <v>0</v>
      </c>
      <c r="CJ287" s="824">
        <f t="shared" si="216"/>
        <v>0</v>
      </c>
      <c r="CK287" s="824">
        <f t="shared" si="216"/>
        <v>0</v>
      </c>
      <c r="CL287" s="824">
        <f t="shared" si="216"/>
        <v>0</v>
      </c>
      <c r="CM287" s="824">
        <f t="shared" si="216"/>
        <v>0</v>
      </c>
      <c r="CN287" s="824">
        <f t="shared" si="216"/>
        <v>0</v>
      </c>
      <c r="CO287" s="824">
        <f t="shared" si="216"/>
        <v>0</v>
      </c>
      <c r="CP287" s="824">
        <f t="shared" si="216"/>
        <v>0</v>
      </c>
      <c r="CQ287" s="824">
        <f t="shared" si="216"/>
        <v>0</v>
      </c>
      <c r="CR287" s="824">
        <f t="shared" si="216"/>
        <v>0</v>
      </c>
      <c r="CS287" s="824">
        <f t="shared" si="216"/>
        <v>0</v>
      </c>
      <c r="CT287" s="824">
        <f t="shared" si="219"/>
        <v>0</v>
      </c>
      <c r="CU287" s="824">
        <f t="shared" si="219"/>
        <v>0</v>
      </c>
      <c r="CV287" s="824">
        <f t="shared" si="219"/>
        <v>0</v>
      </c>
      <c r="CW287" s="824">
        <f t="shared" si="219"/>
        <v>0</v>
      </c>
      <c r="CX287" s="824">
        <f t="shared" si="219"/>
        <v>0</v>
      </c>
      <c r="CY287" s="824">
        <f t="shared" si="219"/>
        <v>0</v>
      </c>
      <c r="CZ287" s="824">
        <f t="shared" si="219"/>
        <v>0</v>
      </c>
      <c r="DA287" s="824">
        <f t="shared" si="219"/>
        <v>0</v>
      </c>
      <c r="DB287" s="824">
        <f t="shared" si="219"/>
        <v>0</v>
      </c>
      <c r="DC287" s="824">
        <f t="shared" si="219"/>
        <v>0</v>
      </c>
      <c r="DD287" s="824">
        <f t="shared" si="219"/>
        <v>0</v>
      </c>
      <c r="DE287" s="824">
        <f t="shared" si="219"/>
        <v>0</v>
      </c>
      <c r="DF287" s="824">
        <f t="shared" si="219"/>
        <v>0</v>
      </c>
      <c r="DG287" s="824">
        <f t="shared" si="219"/>
        <v>0</v>
      </c>
      <c r="DH287" s="824">
        <f t="shared" si="219"/>
        <v>0</v>
      </c>
      <c r="DI287" s="824">
        <f t="shared" si="219"/>
        <v>0</v>
      </c>
      <c r="DJ287" s="824">
        <f t="shared" si="169"/>
        <v>0</v>
      </c>
      <c r="DK287" s="824">
        <f t="shared" si="169"/>
        <v>0</v>
      </c>
      <c r="DL287" s="824">
        <f t="shared" si="169"/>
        <v>0</v>
      </c>
    </row>
    <row r="288" spans="2:116" ht="12" thickBot="1" x14ac:dyDescent="0.3">
      <c r="B288" s="1673"/>
      <c r="C288" s="1680"/>
      <c r="D288" s="15" t="s">
        <v>11</v>
      </c>
      <c r="E288" s="116"/>
      <c r="F288" s="116">
        <f>SUBTOTAL(109,'3.1 I&amp;W'!$X$207)</f>
        <v>0</v>
      </c>
      <c r="G288" s="116">
        <f>SUBTOTAL(109,'3.1 I&amp;W'!$Y$207)</f>
        <v>0</v>
      </c>
      <c r="H288" s="116">
        <f>SUBTOTAL(109,'3.1 I&amp;W'!$AD$207)</f>
        <v>0</v>
      </c>
      <c r="I288" s="116">
        <f>SUBTOTAL(109,'3.1 I&amp;W'!$AE$207)</f>
        <v>0</v>
      </c>
      <c r="J288" s="116"/>
      <c r="K288" s="116"/>
      <c r="L288" s="116"/>
      <c r="M288" s="116">
        <f>SUBTOTAL(109,'3.1 I&amp;W'!$AI$207)</f>
        <v>50</v>
      </c>
      <c r="N288" s="156">
        <f t="shared" si="192"/>
        <v>0</v>
      </c>
      <c r="O288" s="116">
        <f>SUBTOTAL(109,'3.1 I&amp;W'!$S$207)</f>
        <v>158175.552</v>
      </c>
      <c r="P288" s="30">
        <f t="shared" si="210"/>
        <v>0</v>
      </c>
      <c r="Q288" s="31">
        <f t="shared" si="211"/>
        <v>0</v>
      </c>
      <c r="R288" s="31">
        <f t="shared" si="212"/>
        <v>0</v>
      </c>
      <c r="S288" s="31">
        <f t="shared" si="213"/>
        <v>0</v>
      </c>
      <c r="T288" s="32">
        <f t="shared" si="214"/>
        <v>0</v>
      </c>
      <c r="U288" s="37">
        <f t="shared" si="215"/>
        <v>23727.643127504827</v>
      </c>
      <c r="V288" s="40">
        <f t="shared" si="193"/>
        <v>0</v>
      </c>
      <c r="W288" s="41">
        <f t="shared" si="194"/>
        <v>0</v>
      </c>
      <c r="X288" s="43"/>
      <c r="Y288" s="46"/>
      <c r="Z288" s="126"/>
      <c r="AA288" s="136"/>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824">
        <f t="shared" si="195"/>
        <v>50</v>
      </c>
      <c r="BM288" s="824">
        <f t="shared" si="196"/>
        <v>0</v>
      </c>
      <c r="BN288" s="824">
        <f t="shared" si="197"/>
        <v>158175.552</v>
      </c>
      <c r="BO288" s="824">
        <f t="shared" si="217"/>
        <v>0</v>
      </c>
      <c r="BP288" s="824">
        <f t="shared" si="217"/>
        <v>0</v>
      </c>
      <c r="BQ288" s="824">
        <f t="shared" si="217"/>
        <v>0</v>
      </c>
      <c r="BR288" s="824">
        <f t="shared" si="217"/>
        <v>0</v>
      </c>
      <c r="BS288" s="824">
        <f t="shared" si="217"/>
        <v>0</v>
      </c>
      <c r="BT288" s="824">
        <f t="shared" si="217"/>
        <v>0</v>
      </c>
      <c r="BU288" s="824">
        <f t="shared" si="217"/>
        <v>0</v>
      </c>
      <c r="BV288" s="824">
        <f t="shared" si="217"/>
        <v>0</v>
      </c>
      <c r="BW288" s="824">
        <f t="shared" si="217"/>
        <v>0</v>
      </c>
      <c r="BX288" s="824">
        <f t="shared" si="217"/>
        <v>0</v>
      </c>
      <c r="BY288" s="824">
        <f t="shared" si="217"/>
        <v>0</v>
      </c>
      <c r="BZ288" s="824">
        <f t="shared" si="217"/>
        <v>0</v>
      </c>
      <c r="CA288" s="824">
        <f t="shared" si="217"/>
        <v>0</v>
      </c>
      <c r="CB288" s="824">
        <f t="shared" si="217"/>
        <v>0</v>
      </c>
      <c r="CC288" s="824">
        <f t="shared" si="217"/>
        <v>0</v>
      </c>
      <c r="CD288" s="824">
        <f t="shared" si="217"/>
        <v>0</v>
      </c>
      <c r="CE288" s="824">
        <f t="shared" si="216"/>
        <v>0</v>
      </c>
      <c r="CF288" s="824">
        <f t="shared" si="216"/>
        <v>0</v>
      </c>
      <c r="CG288" s="824">
        <f t="shared" si="216"/>
        <v>0</v>
      </c>
      <c r="CH288" s="824">
        <f t="shared" si="216"/>
        <v>0</v>
      </c>
      <c r="CI288" s="824">
        <f t="shared" si="216"/>
        <v>0</v>
      </c>
      <c r="CJ288" s="824">
        <f t="shared" si="216"/>
        <v>0</v>
      </c>
      <c r="CK288" s="824">
        <f t="shared" si="216"/>
        <v>0</v>
      </c>
      <c r="CL288" s="824">
        <f t="shared" si="216"/>
        <v>0</v>
      </c>
      <c r="CM288" s="824">
        <f t="shared" si="216"/>
        <v>0</v>
      </c>
      <c r="CN288" s="824">
        <f t="shared" si="216"/>
        <v>0</v>
      </c>
      <c r="CO288" s="824">
        <f t="shared" si="216"/>
        <v>0</v>
      </c>
      <c r="CP288" s="824">
        <f t="shared" si="216"/>
        <v>0</v>
      </c>
      <c r="CQ288" s="824">
        <f t="shared" si="216"/>
        <v>0</v>
      </c>
      <c r="CR288" s="824">
        <f t="shared" si="216"/>
        <v>0</v>
      </c>
      <c r="CS288" s="824">
        <f t="shared" si="216"/>
        <v>0</v>
      </c>
      <c r="CT288" s="824">
        <f t="shared" si="219"/>
        <v>0</v>
      </c>
      <c r="CU288" s="824">
        <f t="shared" si="219"/>
        <v>0</v>
      </c>
      <c r="CV288" s="824">
        <f t="shared" si="219"/>
        <v>0</v>
      </c>
      <c r="CW288" s="824">
        <f t="shared" si="219"/>
        <v>0</v>
      </c>
      <c r="CX288" s="824">
        <f t="shared" si="219"/>
        <v>0</v>
      </c>
      <c r="CY288" s="824">
        <f t="shared" si="219"/>
        <v>0</v>
      </c>
      <c r="CZ288" s="824">
        <f t="shared" si="219"/>
        <v>0</v>
      </c>
      <c r="DA288" s="824">
        <f t="shared" si="219"/>
        <v>0</v>
      </c>
      <c r="DB288" s="824">
        <f t="shared" si="219"/>
        <v>0</v>
      </c>
      <c r="DC288" s="824">
        <f t="shared" si="219"/>
        <v>0</v>
      </c>
      <c r="DD288" s="824">
        <f t="shared" si="219"/>
        <v>0</v>
      </c>
      <c r="DE288" s="824">
        <f t="shared" si="219"/>
        <v>0</v>
      </c>
      <c r="DF288" s="824">
        <f t="shared" si="219"/>
        <v>0</v>
      </c>
      <c r="DG288" s="824">
        <f t="shared" si="219"/>
        <v>0</v>
      </c>
      <c r="DH288" s="824">
        <f t="shared" si="219"/>
        <v>0</v>
      </c>
      <c r="DI288" s="824">
        <f t="shared" si="219"/>
        <v>0</v>
      </c>
      <c r="DJ288" s="824">
        <f t="shared" si="169"/>
        <v>0</v>
      </c>
      <c r="DK288" s="824">
        <f t="shared" si="169"/>
        <v>0</v>
      </c>
      <c r="DL288" s="824">
        <f t="shared" si="169"/>
        <v>0</v>
      </c>
    </row>
    <row r="289" spans="2:116" ht="11.25" customHeight="1" thickBot="1" x14ac:dyDescent="0.3">
      <c r="B289" s="1673"/>
      <c r="C289" s="1680"/>
      <c r="D289" s="15" t="s">
        <v>11</v>
      </c>
      <c r="E289" s="165"/>
      <c r="F289" s="116">
        <f>SUBTOTAL(109,'3.1 I&amp;W'!$X$208)</f>
        <v>0</v>
      </c>
      <c r="G289" s="116">
        <f>SUBTOTAL(109,'3.1 I&amp;W'!$Y$208)</f>
        <v>0</v>
      </c>
      <c r="H289" s="116">
        <f>SUBTOTAL(109,'3.1 I&amp;W'!$AD$208)</f>
        <v>0</v>
      </c>
      <c r="I289" s="116">
        <f>SUBTOTAL(109,'3.1 I&amp;W'!$AE$208)</f>
        <v>0</v>
      </c>
      <c r="J289" s="116"/>
      <c r="K289" s="116"/>
      <c r="L289" s="116"/>
      <c r="M289" s="116">
        <f>SUBTOTAL(109,'3.1 I&amp;W'!$AI$208)</f>
        <v>0</v>
      </c>
      <c r="N289" s="156">
        <f t="shared" si="192"/>
        <v>0</v>
      </c>
      <c r="O289" s="116">
        <f>SUBTOTAL(109,'3.1 I&amp;W'!$S$208)</f>
        <v>0</v>
      </c>
      <c r="P289" s="30">
        <f t="shared" si="210"/>
        <v>0</v>
      </c>
      <c r="Q289" s="31">
        <f t="shared" si="211"/>
        <v>0</v>
      </c>
      <c r="R289" s="31">
        <f t="shared" si="212"/>
        <v>0</v>
      </c>
      <c r="S289" s="31">
        <f t="shared" si="213"/>
        <v>0</v>
      </c>
      <c r="T289" s="32">
        <f t="shared" si="214"/>
        <v>0</v>
      </c>
      <c r="U289" s="37">
        <f t="shared" si="215"/>
        <v>0</v>
      </c>
      <c r="V289" s="40">
        <f t="shared" si="193"/>
        <v>0</v>
      </c>
      <c r="W289" s="41">
        <f t="shared" si="194"/>
        <v>0</v>
      </c>
      <c r="X289" s="43"/>
      <c r="Y289" s="46"/>
      <c r="Z289" s="126"/>
      <c r="AA289" s="136"/>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824">
        <f t="shared" si="195"/>
        <v>0</v>
      </c>
      <c r="BM289" s="824">
        <f t="shared" si="196"/>
        <v>0</v>
      </c>
      <c r="BN289" s="824">
        <f t="shared" si="197"/>
        <v>0</v>
      </c>
      <c r="BO289" s="824">
        <f t="shared" si="217"/>
        <v>0</v>
      </c>
      <c r="BP289" s="824">
        <f t="shared" si="217"/>
        <v>0</v>
      </c>
      <c r="BQ289" s="824">
        <f t="shared" si="217"/>
        <v>0</v>
      </c>
      <c r="BR289" s="824">
        <f t="shared" si="217"/>
        <v>0</v>
      </c>
      <c r="BS289" s="824">
        <f t="shared" si="217"/>
        <v>0</v>
      </c>
      <c r="BT289" s="824">
        <f t="shared" si="217"/>
        <v>0</v>
      </c>
      <c r="BU289" s="824">
        <f t="shared" si="217"/>
        <v>0</v>
      </c>
      <c r="BV289" s="824">
        <f t="shared" si="217"/>
        <v>0</v>
      </c>
      <c r="BW289" s="824">
        <f t="shared" si="217"/>
        <v>0</v>
      </c>
      <c r="BX289" s="824">
        <f t="shared" si="217"/>
        <v>0</v>
      </c>
      <c r="BY289" s="824">
        <f t="shared" si="217"/>
        <v>0</v>
      </c>
      <c r="BZ289" s="824">
        <f t="shared" si="217"/>
        <v>0</v>
      </c>
      <c r="CA289" s="824">
        <f t="shared" si="217"/>
        <v>0</v>
      </c>
      <c r="CB289" s="824">
        <f t="shared" si="217"/>
        <v>0</v>
      </c>
      <c r="CC289" s="824">
        <f t="shared" si="217"/>
        <v>0</v>
      </c>
      <c r="CD289" s="824">
        <f t="shared" si="217"/>
        <v>0</v>
      </c>
      <c r="CE289" s="824">
        <f t="shared" si="216"/>
        <v>0</v>
      </c>
      <c r="CF289" s="824">
        <f t="shared" si="216"/>
        <v>0</v>
      </c>
      <c r="CG289" s="824">
        <f t="shared" si="216"/>
        <v>0</v>
      </c>
      <c r="CH289" s="824">
        <f t="shared" si="216"/>
        <v>0</v>
      </c>
      <c r="CI289" s="824">
        <f t="shared" si="216"/>
        <v>0</v>
      </c>
      <c r="CJ289" s="824">
        <f t="shared" si="216"/>
        <v>0</v>
      </c>
      <c r="CK289" s="824">
        <f t="shared" si="216"/>
        <v>0</v>
      </c>
      <c r="CL289" s="824">
        <f t="shared" si="216"/>
        <v>0</v>
      </c>
      <c r="CM289" s="824">
        <f t="shared" si="216"/>
        <v>0</v>
      </c>
      <c r="CN289" s="824">
        <f t="shared" si="216"/>
        <v>0</v>
      </c>
      <c r="CO289" s="824">
        <f t="shared" si="216"/>
        <v>0</v>
      </c>
      <c r="CP289" s="824">
        <f t="shared" si="216"/>
        <v>0</v>
      </c>
      <c r="CQ289" s="824">
        <f t="shared" si="216"/>
        <v>0</v>
      </c>
      <c r="CR289" s="824">
        <f t="shared" si="216"/>
        <v>0</v>
      </c>
      <c r="CS289" s="824">
        <f t="shared" si="216"/>
        <v>0</v>
      </c>
      <c r="CT289" s="824">
        <f t="shared" si="219"/>
        <v>0</v>
      </c>
      <c r="CU289" s="824">
        <f t="shared" si="219"/>
        <v>0</v>
      </c>
      <c r="CV289" s="824">
        <f t="shared" si="219"/>
        <v>0</v>
      </c>
      <c r="CW289" s="824">
        <f t="shared" si="219"/>
        <v>0</v>
      </c>
      <c r="CX289" s="824">
        <f t="shared" si="219"/>
        <v>0</v>
      </c>
      <c r="CY289" s="824">
        <f t="shared" si="219"/>
        <v>0</v>
      </c>
      <c r="CZ289" s="824">
        <f t="shared" si="219"/>
        <v>0</v>
      </c>
      <c r="DA289" s="824">
        <f t="shared" si="219"/>
        <v>0</v>
      </c>
      <c r="DB289" s="824">
        <f t="shared" si="219"/>
        <v>0</v>
      </c>
      <c r="DC289" s="824">
        <f t="shared" si="219"/>
        <v>0</v>
      </c>
      <c r="DD289" s="824">
        <f t="shared" si="219"/>
        <v>0</v>
      </c>
      <c r="DE289" s="824">
        <f t="shared" si="219"/>
        <v>0</v>
      </c>
      <c r="DF289" s="824">
        <f t="shared" si="219"/>
        <v>0</v>
      </c>
      <c r="DG289" s="824">
        <f t="shared" si="219"/>
        <v>0</v>
      </c>
      <c r="DH289" s="824">
        <f t="shared" si="219"/>
        <v>0</v>
      </c>
      <c r="DI289" s="824">
        <f t="shared" si="219"/>
        <v>0</v>
      </c>
      <c r="DJ289" s="824">
        <f t="shared" si="169"/>
        <v>0</v>
      </c>
      <c r="DK289" s="824">
        <f t="shared" si="169"/>
        <v>0</v>
      </c>
      <c r="DL289" s="824">
        <f t="shared" si="169"/>
        <v>0</v>
      </c>
    </row>
    <row r="290" spans="2:116" ht="12" thickBot="1" x14ac:dyDescent="0.3">
      <c r="B290" s="1673"/>
      <c r="C290" s="1680"/>
      <c r="D290" s="15" t="s">
        <v>11</v>
      </c>
      <c r="E290" s="116"/>
      <c r="F290" s="116">
        <f>SUBTOTAL(109,'3.1 I&amp;W'!$X$209)</f>
        <v>0</v>
      </c>
      <c r="G290" s="116">
        <f>SUBTOTAL(109,'3.1 I&amp;W'!$Y$209)</f>
        <v>0</v>
      </c>
      <c r="H290" s="116">
        <f>SUBTOTAL(109,'3.1 I&amp;W'!$AD$209)</f>
        <v>0</v>
      </c>
      <c r="I290" s="116">
        <f>SUBTOTAL(109,'3.1 I&amp;W'!$AE$209)</f>
        <v>0</v>
      </c>
      <c r="J290" s="116"/>
      <c r="K290" s="116"/>
      <c r="L290" s="116"/>
      <c r="M290" s="116">
        <f>SUBTOTAL(109,'3.1 I&amp;W'!$AI$209)</f>
        <v>0</v>
      </c>
      <c r="N290" s="156">
        <f t="shared" si="192"/>
        <v>0</v>
      </c>
      <c r="O290" s="116">
        <f>SUBTOTAL(109,'3.1 I&amp;W'!$S$209)</f>
        <v>0</v>
      </c>
      <c r="P290" s="30">
        <f t="shared" si="210"/>
        <v>0</v>
      </c>
      <c r="Q290" s="31">
        <f t="shared" si="211"/>
        <v>0</v>
      </c>
      <c r="R290" s="31">
        <f t="shared" si="212"/>
        <v>0</v>
      </c>
      <c r="S290" s="31">
        <f t="shared" si="213"/>
        <v>0</v>
      </c>
      <c r="T290" s="32">
        <f t="shared" si="214"/>
        <v>0</v>
      </c>
      <c r="U290" s="37">
        <f t="shared" si="215"/>
        <v>0</v>
      </c>
      <c r="V290" s="40">
        <f t="shared" si="193"/>
        <v>0</v>
      </c>
      <c r="W290" s="41">
        <f t="shared" si="194"/>
        <v>0</v>
      </c>
      <c r="X290" s="43"/>
      <c r="Y290" s="46"/>
      <c r="Z290" s="126"/>
      <c r="AA290" s="136"/>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824">
        <f t="shared" si="195"/>
        <v>0</v>
      </c>
      <c r="BM290" s="824">
        <f t="shared" si="196"/>
        <v>0</v>
      </c>
      <c r="BN290" s="824">
        <f t="shared" si="197"/>
        <v>0</v>
      </c>
      <c r="BO290" s="824">
        <f t="shared" si="217"/>
        <v>0</v>
      </c>
      <c r="BP290" s="824">
        <f t="shared" si="217"/>
        <v>0</v>
      </c>
      <c r="BQ290" s="824">
        <f t="shared" si="217"/>
        <v>0</v>
      </c>
      <c r="BR290" s="824">
        <f t="shared" si="217"/>
        <v>0</v>
      </c>
      <c r="BS290" s="824">
        <f t="shared" si="217"/>
        <v>0</v>
      </c>
      <c r="BT290" s="824">
        <f t="shared" si="217"/>
        <v>0</v>
      </c>
      <c r="BU290" s="824">
        <f t="shared" si="217"/>
        <v>0</v>
      </c>
      <c r="BV290" s="824">
        <f t="shared" si="217"/>
        <v>0</v>
      </c>
      <c r="BW290" s="824">
        <f t="shared" si="217"/>
        <v>0</v>
      </c>
      <c r="BX290" s="824">
        <f t="shared" si="217"/>
        <v>0</v>
      </c>
      <c r="BY290" s="824">
        <f t="shared" si="217"/>
        <v>0</v>
      </c>
      <c r="BZ290" s="824">
        <f t="shared" si="217"/>
        <v>0</v>
      </c>
      <c r="CA290" s="824">
        <f t="shared" si="217"/>
        <v>0</v>
      </c>
      <c r="CB290" s="824">
        <f t="shared" si="217"/>
        <v>0</v>
      </c>
      <c r="CC290" s="824">
        <f t="shared" si="217"/>
        <v>0</v>
      </c>
      <c r="CD290" s="824">
        <f t="shared" si="217"/>
        <v>0</v>
      </c>
      <c r="CE290" s="824">
        <f t="shared" si="216"/>
        <v>0</v>
      </c>
      <c r="CF290" s="824">
        <f t="shared" si="216"/>
        <v>0</v>
      </c>
      <c r="CG290" s="824">
        <f t="shared" si="216"/>
        <v>0</v>
      </c>
      <c r="CH290" s="824">
        <f t="shared" si="216"/>
        <v>0</v>
      </c>
      <c r="CI290" s="824">
        <f t="shared" si="216"/>
        <v>0</v>
      </c>
      <c r="CJ290" s="824">
        <f t="shared" si="216"/>
        <v>0</v>
      </c>
      <c r="CK290" s="824">
        <f t="shared" si="216"/>
        <v>0</v>
      </c>
      <c r="CL290" s="824">
        <f t="shared" si="216"/>
        <v>0</v>
      </c>
      <c r="CM290" s="824">
        <f t="shared" si="216"/>
        <v>0</v>
      </c>
      <c r="CN290" s="824">
        <f t="shared" si="216"/>
        <v>0</v>
      </c>
      <c r="CO290" s="824">
        <f t="shared" si="216"/>
        <v>0</v>
      </c>
      <c r="CP290" s="824">
        <f t="shared" si="216"/>
        <v>0</v>
      </c>
      <c r="CQ290" s="824">
        <f t="shared" si="216"/>
        <v>0</v>
      </c>
      <c r="CR290" s="824">
        <f t="shared" si="216"/>
        <v>0</v>
      </c>
      <c r="CS290" s="824">
        <f t="shared" si="216"/>
        <v>0</v>
      </c>
      <c r="CT290" s="824">
        <f t="shared" si="219"/>
        <v>0</v>
      </c>
      <c r="CU290" s="824">
        <f t="shared" si="219"/>
        <v>0</v>
      </c>
      <c r="CV290" s="824">
        <f t="shared" si="219"/>
        <v>0</v>
      </c>
      <c r="CW290" s="824">
        <f t="shared" si="219"/>
        <v>0</v>
      </c>
      <c r="CX290" s="824">
        <f t="shared" si="219"/>
        <v>0</v>
      </c>
      <c r="CY290" s="824">
        <f t="shared" si="219"/>
        <v>0</v>
      </c>
      <c r="CZ290" s="824">
        <f t="shared" si="219"/>
        <v>0</v>
      </c>
      <c r="DA290" s="824">
        <f t="shared" si="219"/>
        <v>0</v>
      </c>
      <c r="DB290" s="824">
        <f t="shared" si="219"/>
        <v>0</v>
      </c>
      <c r="DC290" s="824">
        <f t="shared" si="219"/>
        <v>0</v>
      </c>
      <c r="DD290" s="824">
        <f t="shared" si="219"/>
        <v>0</v>
      </c>
      <c r="DE290" s="824">
        <f t="shared" si="219"/>
        <v>0</v>
      </c>
      <c r="DF290" s="824">
        <f t="shared" si="219"/>
        <v>0</v>
      </c>
      <c r="DG290" s="824">
        <f t="shared" si="219"/>
        <v>0</v>
      </c>
      <c r="DH290" s="824">
        <f t="shared" si="219"/>
        <v>0</v>
      </c>
      <c r="DI290" s="824">
        <f t="shared" si="219"/>
        <v>0</v>
      </c>
      <c r="DJ290" s="824">
        <f t="shared" si="169"/>
        <v>0</v>
      </c>
      <c r="DK290" s="824">
        <f t="shared" si="169"/>
        <v>0</v>
      </c>
      <c r="DL290" s="824">
        <f t="shared" si="169"/>
        <v>0</v>
      </c>
    </row>
    <row r="291" spans="2:116" ht="12" thickBot="1" x14ac:dyDescent="0.3">
      <c r="B291" s="1673"/>
      <c r="C291" s="1680"/>
      <c r="D291" s="15" t="s">
        <v>11</v>
      </c>
      <c r="E291" s="165"/>
      <c r="F291" s="116">
        <f>SUBTOTAL(109,'3.1 I&amp;W'!$X$210)</f>
        <v>0</v>
      </c>
      <c r="G291" s="116">
        <f>SUBTOTAL(109,'3.1 I&amp;W'!$Y$210)</f>
        <v>0</v>
      </c>
      <c r="H291" s="116">
        <f>SUBTOTAL(109,'3.1 I&amp;W'!$AD$210)</f>
        <v>0</v>
      </c>
      <c r="I291" s="116">
        <f>SUBTOTAL(109,'3.1 I&amp;W'!$AE$210)</f>
        <v>0</v>
      </c>
      <c r="J291" s="116"/>
      <c r="K291" s="116"/>
      <c r="L291" s="116"/>
      <c r="M291" s="116">
        <f>SUBTOTAL(109,'3.1 I&amp;W'!$AI$210)</f>
        <v>0</v>
      </c>
      <c r="N291" s="156">
        <f t="shared" si="192"/>
        <v>0</v>
      </c>
      <c r="O291" s="116">
        <f>SUBTOTAL(109,'3.1 I&amp;W'!$S$210)</f>
        <v>0</v>
      </c>
      <c r="P291" s="30">
        <f t="shared" si="210"/>
        <v>0</v>
      </c>
      <c r="Q291" s="31">
        <f t="shared" si="211"/>
        <v>0</v>
      </c>
      <c r="R291" s="31">
        <f t="shared" si="212"/>
        <v>0</v>
      </c>
      <c r="S291" s="31">
        <f t="shared" si="213"/>
        <v>0</v>
      </c>
      <c r="T291" s="32">
        <f t="shared" si="214"/>
        <v>0</v>
      </c>
      <c r="U291" s="37">
        <f t="shared" si="215"/>
        <v>0</v>
      </c>
      <c r="V291" s="40">
        <f t="shared" si="193"/>
        <v>0</v>
      </c>
      <c r="W291" s="41">
        <f t="shared" si="194"/>
        <v>0</v>
      </c>
      <c r="X291" s="43"/>
      <c r="Y291" s="46"/>
      <c r="Z291" s="126"/>
      <c r="AA291" s="136"/>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824">
        <f t="shared" si="195"/>
        <v>0</v>
      </c>
      <c r="BM291" s="824">
        <f t="shared" si="196"/>
        <v>0</v>
      </c>
      <c r="BN291" s="824">
        <f t="shared" si="197"/>
        <v>0</v>
      </c>
      <c r="BO291" s="824">
        <f t="shared" si="217"/>
        <v>0</v>
      </c>
      <c r="BP291" s="824">
        <f t="shared" si="217"/>
        <v>0</v>
      </c>
      <c r="BQ291" s="824">
        <f t="shared" si="217"/>
        <v>0</v>
      </c>
      <c r="BR291" s="824">
        <f t="shared" si="217"/>
        <v>0</v>
      </c>
      <c r="BS291" s="824">
        <f t="shared" si="217"/>
        <v>0</v>
      </c>
      <c r="BT291" s="824">
        <f t="shared" si="217"/>
        <v>0</v>
      </c>
      <c r="BU291" s="824">
        <f t="shared" si="217"/>
        <v>0</v>
      </c>
      <c r="BV291" s="824">
        <f t="shared" si="217"/>
        <v>0</v>
      </c>
      <c r="BW291" s="824">
        <f t="shared" si="217"/>
        <v>0</v>
      </c>
      <c r="BX291" s="824">
        <f t="shared" si="217"/>
        <v>0</v>
      </c>
      <c r="BY291" s="824">
        <f t="shared" si="217"/>
        <v>0</v>
      </c>
      <c r="BZ291" s="824">
        <f t="shared" si="217"/>
        <v>0</v>
      </c>
      <c r="CA291" s="824">
        <f t="shared" si="217"/>
        <v>0</v>
      </c>
      <c r="CB291" s="824">
        <f t="shared" si="217"/>
        <v>0</v>
      </c>
      <c r="CC291" s="824">
        <f t="shared" si="217"/>
        <v>0</v>
      </c>
      <c r="CD291" s="824">
        <f t="shared" si="217"/>
        <v>0</v>
      </c>
      <c r="CE291" s="824">
        <f t="shared" si="216"/>
        <v>0</v>
      </c>
      <c r="CF291" s="824">
        <f t="shared" si="216"/>
        <v>0</v>
      </c>
      <c r="CG291" s="824">
        <f t="shared" si="216"/>
        <v>0</v>
      </c>
      <c r="CH291" s="824">
        <f t="shared" si="216"/>
        <v>0</v>
      </c>
      <c r="CI291" s="824">
        <f t="shared" si="216"/>
        <v>0</v>
      </c>
      <c r="CJ291" s="824">
        <f t="shared" si="216"/>
        <v>0</v>
      </c>
      <c r="CK291" s="824">
        <f t="shared" si="216"/>
        <v>0</v>
      </c>
      <c r="CL291" s="824">
        <f t="shared" si="216"/>
        <v>0</v>
      </c>
      <c r="CM291" s="824">
        <f t="shared" si="216"/>
        <v>0</v>
      </c>
      <c r="CN291" s="824">
        <f t="shared" si="216"/>
        <v>0</v>
      </c>
      <c r="CO291" s="824">
        <f t="shared" si="216"/>
        <v>0</v>
      </c>
      <c r="CP291" s="824">
        <f t="shared" si="216"/>
        <v>0</v>
      </c>
      <c r="CQ291" s="824">
        <f t="shared" si="216"/>
        <v>0</v>
      </c>
      <c r="CR291" s="824">
        <f t="shared" si="216"/>
        <v>0</v>
      </c>
      <c r="CS291" s="824">
        <f t="shared" si="216"/>
        <v>0</v>
      </c>
      <c r="CT291" s="824">
        <f t="shared" si="219"/>
        <v>0</v>
      </c>
      <c r="CU291" s="824">
        <f t="shared" si="219"/>
        <v>0</v>
      </c>
      <c r="CV291" s="824">
        <f t="shared" si="219"/>
        <v>0</v>
      </c>
      <c r="CW291" s="824">
        <f t="shared" si="219"/>
        <v>0</v>
      </c>
      <c r="CX291" s="824">
        <f t="shared" si="219"/>
        <v>0</v>
      </c>
      <c r="CY291" s="824">
        <f t="shared" si="219"/>
        <v>0</v>
      </c>
      <c r="CZ291" s="824">
        <f t="shared" si="219"/>
        <v>0</v>
      </c>
      <c r="DA291" s="824">
        <f t="shared" si="219"/>
        <v>0</v>
      </c>
      <c r="DB291" s="824">
        <f t="shared" si="219"/>
        <v>0</v>
      </c>
      <c r="DC291" s="824">
        <f t="shared" si="219"/>
        <v>0</v>
      </c>
      <c r="DD291" s="824">
        <f t="shared" si="219"/>
        <v>0</v>
      </c>
      <c r="DE291" s="824">
        <f t="shared" si="219"/>
        <v>0</v>
      </c>
      <c r="DF291" s="824">
        <f t="shared" si="219"/>
        <v>0</v>
      </c>
      <c r="DG291" s="824">
        <f t="shared" si="219"/>
        <v>0</v>
      </c>
      <c r="DH291" s="824">
        <f t="shared" si="219"/>
        <v>0</v>
      </c>
      <c r="DI291" s="824">
        <f t="shared" si="219"/>
        <v>0</v>
      </c>
      <c r="DJ291" s="824">
        <f t="shared" ref="DJ291:DL305" si="220">IF(OR(IF($BL291*1&lt;$BL$196,$BL291*1=DJ$198,FALSE),IF($BL291*2&lt;$BL$196,$BL291*2=DJ$198,FALSE),IF($BL291*3&lt;$BL$196,$BL291*3=DJ$198,FALSE),IF($BL291*4&lt;$BL$196,$BL291*4=DJ$198,FALSE),IF($BL291*5&lt;$BL$196,$BL291*5=DJ$198,FALSE)),$BN291*$BM$196^DJ$198,0)</f>
        <v>0</v>
      </c>
      <c r="DK291" s="824">
        <f t="shared" si="220"/>
        <v>0</v>
      </c>
      <c r="DL291" s="824">
        <f t="shared" si="220"/>
        <v>0</v>
      </c>
    </row>
    <row r="292" spans="2:116" ht="11.25" customHeight="1" thickBot="1" x14ac:dyDescent="0.3">
      <c r="B292" s="1673"/>
      <c r="C292" s="1680"/>
      <c r="D292" s="15" t="s">
        <v>11</v>
      </c>
      <c r="E292" s="116"/>
      <c r="F292" s="116">
        <f>SUBTOTAL(109,'3.1 I&amp;W'!$X$211)</f>
        <v>0</v>
      </c>
      <c r="G292" s="116">
        <f>SUBTOTAL(109,'3.1 I&amp;W'!$Y$211)</f>
        <v>0</v>
      </c>
      <c r="H292" s="116">
        <f>SUBTOTAL(109,'3.1 I&amp;W'!$AD$211)</f>
        <v>0</v>
      </c>
      <c r="I292" s="116">
        <f>SUBTOTAL(109,'3.1 I&amp;W'!$AE$211)</f>
        <v>0</v>
      </c>
      <c r="J292" s="116"/>
      <c r="K292" s="116"/>
      <c r="L292" s="116"/>
      <c r="M292" s="116">
        <f>SUBTOTAL(109,'3.1 I&amp;W'!$AI$211)</f>
        <v>0</v>
      </c>
      <c r="N292" s="156">
        <f t="shared" si="192"/>
        <v>0</v>
      </c>
      <c r="O292" s="116">
        <f>SUBTOTAL(109,'3.1 I&amp;W'!$S$211)</f>
        <v>0</v>
      </c>
      <c r="P292" s="30">
        <f t="shared" si="210"/>
        <v>0</v>
      </c>
      <c r="Q292" s="31">
        <f t="shared" si="211"/>
        <v>0</v>
      </c>
      <c r="R292" s="31">
        <f t="shared" si="212"/>
        <v>0</v>
      </c>
      <c r="S292" s="31">
        <f t="shared" si="213"/>
        <v>0</v>
      </c>
      <c r="T292" s="32">
        <f t="shared" si="214"/>
        <v>0</v>
      </c>
      <c r="U292" s="37">
        <f t="shared" si="215"/>
        <v>0</v>
      </c>
      <c r="V292" s="40">
        <f t="shared" si="193"/>
        <v>0</v>
      </c>
      <c r="W292" s="41">
        <f t="shared" si="194"/>
        <v>0</v>
      </c>
      <c r="X292" s="43"/>
      <c r="Y292" s="46"/>
      <c r="Z292" s="126"/>
      <c r="AA292" s="136"/>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824">
        <f t="shared" si="195"/>
        <v>0</v>
      </c>
      <c r="BM292" s="824">
        <f t="shared" si="196"/>
        <v>0</v>
      </c>
      <c r="BN292" s="824">
        <f t="shared" si="197"/>
        <v>0</v>
      </c>
      <c r="BO292" s="824">
        <f t="shared" si="217"/>
        <v>0</v>
      </c>
      <c r="BP292" s="824">
        <f t="shared" si="217"/>
        <v>0</v>
      </c>
      <c r="BQ292" s="824">
        <f t="shared" si="217"/>
        <v>0</v>
      </c>
      <c r="BR292" s="824">
        <f t="shared" si="217"/>
        <v>0</v>
      </c>
      <c r="BS292" s="824">
        <f t="shared" si="217"/>
        <v>0</v>
      </c>
      <c r="BT292" s="824">
        <f t="shared" si="217"/>
        <v>0</v>
      </c>
      <c r="BU292" s="824">
        <f t="shared" si="217"/>
        <v>0</v>
      </c>
      <c r="BV292" s="824">
        <f t="shared" si="217"/>
        <v>0</v>
      </c>
      <c r="BW292" s="824">
        <f t="shared" si="217"/>
        <v>0</v>
      </c>
      <c r="BX292" s="824">
        <f t="shared" si="217"/>
        <v>0</v>
      </c>
      <c r="BY292" s="824">
        <f t="shared" si="217"/>
        <v>0</v>
      </c>
      <c r="BZ292" s="824">
        <f t="shared" si="217"/>
        <v>0</v>
      </c>
      <c r="CA292" s="824">
        <f t="shared" si="217"/>
        <v>0</v>
      </c>
      <c r="CB292" s="824">
        <f t="shared" si="217"/>
        <v>0</v>
      </c>
      <c r="CC292" s="824">
        <f t="shared" si="217"/>
        <v>0</v>
      </c>
      <c r="CD292" s="824">
        <f t="shared" si="217"/>
        <v>0</v>
      </c>
      <c r="CE292" s="824">
        <f t="shared" si="216"/>
        <v>0</v>
      </c>
      <c r="CF292" s="824">
        <f t="shared" si="216"/>
        <v>0</v>
      </c>
      <c r="CG292" s="824">
        <f t="shared" si="216"/>
        <v>0</v>
      </c>
      <c r="CH292" s="824">
        <f t="shared" si="216"/>
        <v>0</v>
      </c>
      <c r="CI292" s="824">
        <f t="shared" si="216"/>
        <v>0</v>
      </c>
      <c r="CJ292" s="824">
        <f t="shared" si="216"/>
        <v>0</v>
      </c>
      <c r="CK292" s="824">
        <f t="shared" si="216"/>
        <v>0</v>
      </c>
      <c r="CL292" s="824">
        <f t="shared" si="216"/>
        <v>0</v>
      </c>
      <c r="CM292" s="824">
        <f t="shared" si="216"/>
        <v>0</v>
      </c>
      <c r="CN292" s="824">
        <f t="shared" si="216"/>
        <v>0</v>
      </c>
      <c r="CO292" s="824">
        <f t="shared" si="216"/>
        <v>0</v>
      </c>
      <c r="CP292" s="824">
        <f t="shared" si="216"/>
        <v>0</v>
      </c>
      <c r="CQ292" s="824">
        <f t="shared" si="216"/>
        <v>0</v>
      </c>
      <c r="CR292" s="824">
        <f t="shared" si="216"/>
        <v>0</v>
      </c>
      <c r="CS292" s="824">
        <f t="shared" si="216"/>
        <v>0</v>
      </c>
      <c r="CT292" s="824">
        <f t="shared" si="219"/>
        <v>0</v>
      </c>
      <c r="CU292" s="824">
        <f t="shared" si="219"/>
        <v>0</v>
      </c>
      <c r="CV292" s="824">
        <f t="shared" si="219"/>
        <v>0</v>
      </c>
      <c r="CW292" s="824">
        <f t="shared" si="219"/>
        <v>0</v>
      </c>
      <c r="CX292" s="824">
        <f t="shared" si="219"/>
        <v>0</v>
      </c>
      <c r="CY292" s="824">
        <f t="shared" si="219"/>
        <v>0</v>
      </c>
      <c r="CZ292" s="824">
        <f t="shared" si="219"/>
        <v>0</v>
      </c>
      <c r="DA292" s="824">
        <f t="shared" si="219"/>
        <v>0</v>
      </c>
      <c r="DB292" s="824">
        <f t="shared" si="219"/>
        <v>0</v>
      </c>
      <c r="DC292" s="824">
        <f t="shared" si="219"/>
        <v>0</v>
      </c>
      <c r="DD292" s="824">
        <f t="shared" si="219"/>
        <v>0</v>
      </c>
      <c r="DE292" s="824">
        <f t="shared" si="219"/>
        <v>0</v>
      </c>
      <c r="DF292" s="824">
        <f t="shared" si="219"/>
        <v>0</v>
      </c>
      <c r="DG292" s="824">
        <f t="shared" si="219"/>
        <v>0</v>
      </c>
      <c r="DH292" s="824">
        <f t="shared" si="219"/>
        <v>0</v>
      </c>
      <c r="DI292" s="824">
        <f t="shared" si="219"/>
        <v>0</v>
      </c>
      <c r="DJ292" s="824">
        <f t="shared" si="220"/>
        <v>0</v>
      </c>
      <c r="DK292" s="824">
        <f t="shared" si="220"/>
        <v>0</v>
      </c>
      <c r="DL292" s="824">
        <f t="shared" si="220"/>
        <v>0</v>
      </c>
    </row>
    <row r="293" spans="2:116" ht="12" thickBot="1" x14ac:dyDescent="0.3">
      <c r="B293" s="1673"/>
      <c r="C293" s="1680"/>
      <c r="D293" s="15" t="s">
        <v>265</v>
      </c>
      <c r="E293" s="165"/>
      <c r="F293" s="116">
        <f>SUBTOTAL(109,'3.1 I&amp;W'!$X$216)</f>
        <v>0</v>
      </c>
      <c r="G293" s="116">
        <f>SUBTOTAL(109,'3.1 I&amp;W'!$Y$216)</f>
        <v>0</v>
      </c>
      <c r="H293" s="116">
        <f>SUBTOTAL(109,'3.1 I&amp;W'!$AD$216)</f>
        <v>0</v>
      </c>
      <c r="I293" s="116">
        <f>SUBTOTAL(109,'3.1 I&amp;W'!$AE$216)</f>
        <v>0</v>
      </c>
      <c r="J293" s="116"/>
      <c r="K293" s="116"/>
      <c r="L293" s="116"/>
      <c r="M293" s="116">
        <f>SUBTOTAL(109,'3.1 I&amp;W'!$AI$216)</f>
        <v>0</v>
      </c>
      <c r="N293" s="156">
        <f t="shared" si="192"/>
        <v>0</v>
      </c>
      <c r="O293" s="116">
        <f>SUBTOTAL(109,'3.1 I&amp;W'!$S$216)</f>
        <v>0</v>
      </c>
      <c r="P293" s="30">
        <f t="shared" si="210"/>
        <v>0</v>
      </c>
      <c r="Q293" s="31">
        <f t="shared" si="211"/>
        <v>0</v>
      </c>
      <c r="R293" s="31">
        <f t="shared" si="212"/>
        <v>0</v>
      </c>
      <c r="S293" s="31">
        <f t="shared" si="213"/>
        <v>0</v>
      </c>
      <c r="T293" s="32">
        <f t="shared" si="214"/>
        <v>0</v>
      </c>
      <c r="U293" s="37">
        <f t="shared" si="215"/>
        <v>0</v>
      </c>
      <c r="V293" s="40">
        <f t="shared" si="193"/>
        <v>0</v>
      </c>
      <c r="W293" s="41">
        <f t="shared" si="194"/>
        <v>0</v>
      </c>
      <c r="X293" s="43"/>
      <c r="Y293" s="46"/>
      <c r="Z293" s="126"/>
      <c r="AA293" s="136"/>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824">
        <f t="shared" si="195"/>
        <v>0</v>
      </c>
      <c r="BM293" s="824">
        <f t="shared" si="196"/>
        <v>0</v>
      </c>
      <c r="BN293" s="824">
        <f t="shared" si="197"/>
        <v>0</v>
      </c>
      <c r="BO293" s="824">
        <f t="shared" si="217"/>
        <v>0</v>
      </c>
      <c r="BP293" s="824">
        <f t="shared" si="217"/>
        <v>0</v>
      </c>
      <c r="BQ293" s="824">
        <f t="shared" si="217"/>
        <v>0</v>
      </c>
      <c r="BR293" s="824">
        <f t="shared" si="217"/>
        <v>0</v>
      </c>
      <c r="BS293" s="824">
        <f t="shared" si="217"/>
        <v>0</v>
      </c>
      <c r="BT293" s="824">
        <f t="shared" si="217"/>
        <v>0</v>
      </c>
      <c r="BU293" s="824">
        <f t="shared" si="217"/>
        <v>0</v>
      </c>
      <c r="BV293" s="824">
        <f t="shared" si="217"/>
        <v>0</v>
      </c>
      <c r="BW293" s="824">
        <f t="shared" si="217"/>
        <v>0</v>
      </c>
      <c r="BX293" s="824">
        <f t="shared" si="217"/>
        <v>0</v>
      </c>
      <c r="BY293" s="824">
        <f t="shared" si="217"/>
        <v>0</v>
      </c>
      <c r="BZ293" s="824">
        <f t="shared" si="217"/>
        <v>0</v>
      </c>
      <c r="CA293" s="824">
        <f t="shared" si="217"/>
        <v>0</v>
      </c>
      <c r="CB293" s="824">
        <f t="shared" si="217"/>
        <v>0</v>
      </c>
      <c r="CC293" s="824">
        <f t="shared" si="217"/>
        <v>0</v>
      </c>
      <c r="CD293" s="824">
        <f t="shared" si="217"/>
        <v>0</v>
      </c>
      <c r="CE293" s="824">
        <f t="shared" si="216"/>
        <v>0</v>
      </c>
      <c r="CF293" s="824">
        <f t="shared" si="216"/>
        <v>0</v>
      </c>
      <c r="CG293" s="824">
        <f t="shared" si="216"/>
        <v>0</v>
      </c>
      <c r="CH293" s="824">
        <f t="shared" si="216"/>
        <v>0</v>
      </c>
      <c r="CI293" s="824">
        <f t="shared" si="216"/>
        <v>0</v>
      </c>
      <c r="CJ293" s="824">
        <f t="shared" si="216"/>
        <v>0</v>
      </c>
      <c r="CK293" s="824">
        <f t="shared" si="216"/>
        <v>0</v>
      </c>
      <c r="CL293" s="824">
        <f t="shared" si="216"/>
        <v>0</v>
      </c>
      <c r="CM293" s="824">
        <f t="shared" si="216"/>
        <v>0</v>
      </c>
      <c r="CN293" s="824">
        <f t="shared" si="216"/>
        <v>0</v>
      </c>
      <c r="CO293" s="824">
        <f t="shared" si="216"/>
        <v>0</v>
      </c>
      <c r="CP293" s="824">
        <f t="shared" si="216"/>
        <v>0</v>
      </c>
      <c r="CQ293" s="824">
        <f t="shared" si="216"/>
        <v>0</v>
      </c>
      <c r="CR293" s="824">
        <f t="shared" si="216"/>
        <v>0</v>
      </c>
      <c r="CS293" s="824">
        <f t="shared" si="216"/>
        <v>0</v>
      </c>
      <c r="CT293" s="824">
        <f t="shared" si="219"/>
        <v>0</v>
      </c>
      <c r="CU293" s="824">
        <f t="shared" si="219"/>
        <v>0</v>
      </c>
      <c r="CV293" s="824">
        <f t="shared" si="219"/>
        <v>0</v>
      </c>
      <c r="CW293" s="824">
        <f t="shared" si="219"/>
        <v>0</v>
      </c>
      <c r="CX293" s="824">
        <f t="shared" si="219"/>
        <v>0</v>
      </c>
      <c r="CY293" s="824">
        <f t="shared" si="219"/>
        <v>0</v>
      </c>
      <c r="CZ293" s="824">
        <f t="shared" si="219"/>
        <v>0</v>
      </c>
      <c r="DA293" s="824">
        <f t="shared" si="219"/>
        <v>0</v>
      </c>
      <c r="DB293" s="824">
        <f t="shared" si="219"/>
        <v>0</v>
      </c>
      <c r="DC293" s="824">
        <f t="shared" si="219"/>
        <v>0</v>
      </c>
      <c r="DD293" s="824">
        <f t="shared" si="219"/>
        <v>0</v>
      </c>
      <c r="DE293" s="824">
        <f t="shared" si="219"/>
        <v>0</v>
      </c>
      <c r="DF293" s="824">
        <f t="shared" si="219"/>
        <v>0</v>
      </c>
      <c r="DG293" s="824">
        <f t="shared" si="219"/>
        <v>0</v>
      </c>
      <c r="DH293" s="824">
        <f t="shared" si="219"/>
        <v>0</v>
      </c>
      <c r="DI293" s="824">
        <f t="shared" si="219"/>
        <v>0</v>
      </c>
      <c r="DJ293" s="824">
        <f t="shared" si="220"/>
        <v>0</v>
      </c>
      <c r="DK293" s="824">
        <f t="shared" si="220"/>
        <v>0</v>
      </c>
      <c r="DL293" s="824">
        <f t="shared" si="220"/>
        <v>0</v>
      </c>
    </row>
    <row r="294" spans="2:116" ht="12" thickBot="1" x14ac:dyDescent="0.3">
      <c r="B294" s="1673"/>
      <c r="C294" s="1680"/>
      <c r="D294" s="335" t="s">
        <v>418</v>
      </c>
      <c r="E294" s="116"/>
      <c r="F294" s="116"/>
      <c r="G294" s="116"/>
      <c r="H294" s="116"/>
      <c r="I294" s="116"/>
      <c r="J294" s="116"/>
      <c r="K294" s="116"/>
      <c r="L294" s="116"/>
      <c r="M294" s="116"/>
      <c r="N294" s="156">
        <f t="shared" si="192"/>
        <v>0</v>
      </c>
      <c r="O294" s="116">
        <f>SUBTOTAL(109,'3.1 I&amp;W'!$S$220)</f>
        <v>526746</v>
      </c>
      <c r="P294" s="30">
        <f t="shared" si="210"/>
        <v>0</v>
      </c>
      <c r="Q294" s="31">
        <f t="shared" si="211"/>
        <v>0</v>
      </c>
      <c r="R294" s="31">
        <f t="shared" si="212"/>
        <v>0</v>
      </c>
      <c r="S294" s="31">
        <f t="shared" si="213"/>
        <v>0</v>
      </c>
      <c r="T294" s="32">
        <f t="shared" si="214"/>
        <v>0</v>
      </c>
      <c r="U294" s="37">
        <f t="shared" si="215"/>
        <v>0</v>
      </c>
      <c r="V294" s="40">
        <f t="shared" si="193"/>
        <v>0</v>
      </c>
      <c r="W294" s="41">
        <f t="shared" si="194"/>
        <v>0</v>
      </c>
      <c r="X294" s="43"/>
      <c r="Y294" s="46"/>
      <c r="Z294" s="126"/>
      <c r="AA294" s="136"/>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824">
        <f t="shared" si="195"/>
        <v>0</v>
      </c>
      <c r="BM294" s="824">
        <f t="shared" si="196"/>
        <v>0</v>
      </c>
      <c r="BN294" s="824">
        <f t="shared" si="197"/>
        <v>526746</v>
      </c>
      <c r="BO294" s="824">
        <f t="shared" si="217"/>
        <v>0</v>
      </c>
      <c r="BP294" s="824">
        <f t="shared" si="217"/>
        <v>0</v>
      </c>
      <c r="BQ294" s="824">
        <f t="shared" si="217"/>
        <v>0</v>
      </c>
      <c r="BR294" s="824">
        <f t="shared" si="217"/>
        <v>0</v>
      </c>
      <c r="BS294" s="824">
        <f t="shared" si="217"/>
        <v>0</v>
      </c>
      <c r="BT294" s="824">
        <f t="shared" si="217"/>
        <v>0</v>
      </c>
      <c r="BU294" s="824">
        <f t="shared" si="217"/>
        <v>0</v>
      </c>
      <c r="BV294" s="824">
        <f t="shared" si="217"/>
        <v>0</v>
      </c>
      <c r="BW294" s="824">
        <f t="shared" si="217"/>
        <v>0</v>
      </c>
      <c r="BX294" s="824">
        <f t="shared" si="217"/>
        <v>0</v>
      </c>
      <c r="BY294" s="824">
        <f t="shared" si="217"/>
        <v>0</v>
      </c>
      <c r="BZ294" s="824">
        <f t="shared" si="217"/>
        <v>0</v>
      </c>
      <c r="CA294" s="824">
        <f t="shared" si="217"/>
        <v>0</v>
      </c>
      <c r="CB294" s="824">
        <f t="shared" si="217"/>
        <v>0</v>
      </c>
      <c r="CC294" s="824">
        <f t="shared" si="217"/>
        <v>0</v>
      </c>
      <c r="CD294" s="824">
        <f t="shared" si="217"/>
        <v>0</v>
      </c>
      <c r="CE294" s="824">
        <f t="shared" si="216"/>
        <v>0</v>
      </c>
      <c r="CF294" s="824">
        <f t="shared" si="216"/>
        <v>0</v>
      </c>
      <c r="CG294" s="824">
        <f t="shared" si="216"/>
        <v>0</v>
      </c>
      <c r="CH294" s="824">
        <f t="shared" si="216"/>
        <v>0</v>
      </c>
      <c r="CI294" s="824">
        <f t="shared" si="216"/>
        <v>0</v>
      </c>
      <c r="CJ294" s="824">
        <f t="shared" si="216"/>
        <v>0</v>
      </c>
      <c r="CK294" s="824">
        <f t="shared" si="216"/>
        <v>0</v>
      </c>
      <c r="CL294" s="824">
        <f t="shared" si="216"/>
        <v>0</v>
      </c>
      <c r="CM294" s="824">
        <f t="shared" si="216"/>
        <v>0</v>
      </c>
      <c r="CN294" s="824">
        <f t="shared" si="216"/>
        <v>0</v>
      </c>
      <c r="CO294" s="824">
        <f t="shared" si="216"/>
        <v>0</v>
      </c>
      <c r="CP294" s="824">
        <f t="shared" si="216"/>
        <v>0</v>
      </c>
      <c r="CQ294" s="824">
        <f t="shared" si="216"/>
        <v>0</v>
      </c>
      <c r="CR294" s="824">
        <f t="shared" si="216"/>
        <v>0</v>
      </c>
      <c r="CS294" s="824">
        <f t="shared" si="216"/>
        <v>0</v>
      </c>
      <c r="CT294" s="824">
        <f t="shared" si="219"/>
        <v>0</v>
      </c>
      <c r="CU294" s="824">
        <f t="shared" si="219"/>
        <v>0</v>
      </c>
      <c r="CV294" s="824">
        <f t="shared" si="219"/>
        <v>0</v>
      </c>
      <c r="CW294" s="824">
        <f t="shared" si="219"/>
        <v>0</v>
      </c>
      <c r="CX294" s="824">
        <f t="shared" si="219"/>
        <v>0</v>
      </c>
      <c r="CY294" s="824">
        <f t="shared" si="219"/>
        <v>0</v>
      </c>
      <c r="CZ294" s="824">
        <f t="shared" si="219"/>
        <v>0</v>
      </c>
      <c r="DA294" s="824">
        <f t="shared" si="219"/>
        <v>0</v>
      </c>
      <c r="DB294" s="824">
        <f t="shared" si="219"/>
        <v>0</v>
      </c>
      <c r="DC294" s="824">
        <f t="shared" si="219"/>
        <v>0</v>
      </c>
      <c r="DD294" s="824">
        <f t="shared" si="219"/>
        <v>0</v>
      </c>
      <c r="DE294" s="824">
        <f t="shared" si="219"/>
        <v>0</v>
      </c>
      <c r="DF294" s="824">
        <f t="shared" si="219"/>
        <v>0</v>
      </c>
      <c r="DG294" s="824">
        <f t="shared" si="219"/>
        <v>0</v>
      </c>
      <c r="DH294" s="824">
        <f t="shared" si="219"/>
        <v>0</v>
      </c>
      <c r="DI294" s="824">
        <f t="shared" si="219"/>
        <v>0</v>
      </c>
      <c r="DJ294" s="824">
        <f t="shared" si="220"/>
        <v>0</v>
      </c>
      <c r="DK294" s="824">
        <f t="shared" si="220"/>
        <v>0</v>
      </c>
      <c r="DL294" s="824">
        <f t="shared" si="220"/>
        <v>0</v>
      </c>
    </row>
    <row r="295" spans="2:116" ht="12" thickBot="1" x14ac:dyDescent="0.3">
      <c r="B295" s="1673"/>
      <c r="C295" s="1680"/>
      <c r="D295" s="15" t="s">
        <v>3</v>
      </c>
      <c r="E295" s="165"/>
      <c r="F295" s="116">
        <f>SUBTOTAL(109,'3.1 I&amp;W'!$X$233)</f>
        <v>0</v>
      </c>
      <c r="G295" s="116">
        <f>SUBTOTAL(109,'3.1 I&amp;W'!$Y$233)</f>
        <v>0</v>
      </c>
      <c r="H295" s="116">
        <f>SUBTOTAL(109,'3.1 I&amp;W'!$AD$233)</f>
        <v>0</v>
      </c>
      <c r="I295" s="116">
        <f>SUBTOTAL(109,'3.1 I&amp;W'!$AE$233)</f>
        <v>0</v>
      </c>
      <c r="J295" s="116"/>
      <c r="K295" s="116"/>
      <c r="L295" s="116"/>
      <c r="M295" s="116">
        <f>SUBTOTAL(109,'3.1 I&amp;W'!$AI$233)</f>
        <v>0</v>
      </c>
      <c r="N295" s="156">
        <f t="shared" si="192"/>
        <v>0</v>
      </c>
      <c r="O295" s="116">
        <f>SUBTOTAL(109,'3.1 I&amp;W'!$S$233)</f>
        <v>0</v>
      </c>
      <c r="P295" s="30">
        <f t="shared" si="210"/>
        <v>0</v>
      </c>
      <c r="Q295" s="31">
        <f t="shared" si="211"/>
        <v>0</v>
      </c>
      <c r="R295" s="31">
        <f t="shared" si="212"/>
        <v>0</v>
      </c>
      <c r="S295" s="31">
        <f t="shared" si="213"/>
        <v>0</v>
      </c>
      <c r="T295" s="32">
        <f t="shared" si="214"/>
        <v>0</v>
      </c>
      <c r="U295" s="37">
        <f t="shared" si="215"/>
        <v>0</v>
      </c>
      <c r="V295" s="40">
        <f t="shared" si="193"/>
        <v>0</v>
      </c>
      <c r="W295" s="41">
        <f t="shared" si="194"/>
        <v>0</v>
      </c>
      <c r="X295" s="43"/>
      <c r="Y295" s="46"/>
      <c r="Z295" s="126"/>
      <c r="AA295" s="136"/>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824">
        <f t="shared" ref="BL295:BL305" si="221">M295</f>
        <v>0</v>
      </c>
      <c r="BM295" s="824">
        <f t="shared" ref="BM295:BM305" si="222">N295</f>
        <v>0</v>
      </c>
      <c r="BN295" s="824">
        <f t="shared" ref="BN295:BN305" si="223">O295</f>
        <v>0</v>
      </c>
      <c r="BO295" s="824">
        <f t="shared" si="217"/>
        <v>0</v>
      </c>
      <c r="BP295" s="824">
        <f t="shared" si="217"/>
        <v>0</v>
      </c>
      <c r="BQ295" s="824">
        <f t="shared" si="217"/>
        <v>0</v>
      </c>
      <c r="BR295" s="824">
        <f t="shared" si="217"/>
        <v>0</v>
      </c>
      <c r="BS295" s="824">
        <f t="shared" si="217"/>
        <v>0</v>
      </c>
      <c r="BT295" s="824">
        <f t="shared" si="217"/>
        <v>0</v>
      </c>
      <c r="BU295" s="824">
        <f t="shared" si="217"/>
        <v>0</v>
      </c>
      <c r="BV295" s="824">
        <f t="shared" si="217"/>
        <v>0</v>
      </c>
      <c r="BW295" s="824">
        <f t="shared" si="217"/>
        <v>0</v>
      </c>
      <c r="BX295" s="824">
        <f t="shared" si="217"/>
        <v>0</v>
      </c>
      <c r="BY295" s="824">
        <f t="shared" si="217"/>
        <v>0</v>
      </c>
      <c r="BZ295" s="824">
        <f t="shared" si="217"/>
        <v>0</v>
      </c>
      <c r="CA295" s="824">
        <f t="shared" si="217"/>
        <v>0</v>
      </c>
      <c r="CB295" s="824">
        <f t="shared" si="217"/>
        <v>0</v>
      </c>
      <c r="CC295" s="824">
        <f t="shared" si="217"/>
        <v>0</v>
      </c>
      <c r="CD295" s="824">
        <f t="shared" si="217"/>
        <v>0</v>
      </c>
      <c r="CE295" s="824">
        <f t="shared" si="216"/>
        <v>0</v>
      </c>
      <c r="CF295" s="824">
        <f t="shared" si="216"/>
        <v>0</v>
      </c>
      <c r="CG295" s="824">
        <f t="shared" si="216"/>
        <v>0</v>
      </c>
      <c r="CH295" s="824">
        <f t="shared" si="216"/>
        <v>0</v>
      </c>
      <c r="CI295" s="824">
        <f t="shared" si="216"/>
        <v>0</v>
      </c>
      <c r="CJ295" s="824">
        <f t="shared" si="216"/>
        <v>0</v>
      </c>
      <c r="CK295" s="824">
        <f t="shared" si="216"/>
        <v>0</v>
      </c>
      <c r="CL295" s="824">
        <f t="shared" si="216"/>
        <v>0</v>
      </c>
      <c r="CM295" s="824">
        <f t="shared" si="216"/>
        <v>0</v>
      </c>
      <c r="CN295" s="824">
        <f t="shared" si="216"/>
        <v>0</v>
      </c>
      <c r="CO295" s="824">
        <f t="shared" si="216"/>
        <v>0</v>
      </c>
      <c r="CP295" s="824">
        <f t="shared" si="216"/>
        <v>0</v>
      </c>
      <c r="CQ295" s="824">
        <f t="shared" si="216"/>
        <v>0</v>
      </c>
      <c r="CR295" s="824">
        <f t="shared" si="216"/>
        <v>0</v>
      </c>
      <c r="CS295" s="824">
        <f t="shared" si="216"/>
        <v>0</v>
      </c>
      <c r="CT295" s="824">
        <f t="shared" si="219"/>
        <v>0</v>
      </c>
      <c r="CU295" s="824">
        <f t="shared" si="219"/>
        <v>0</v>
      </c>
      <c r="CV295" s="824">
        <f t="shared" si="219"/>
        <v>0</v>
      </c>
      <c r="CW295" s="824">
        <f t="shared" si="219"/>
        <v>0</v>
      </c>
      <c r="CX295" s="824">
        <f t="shared" si="219"/>
        <v>0</v>
      </c>
      <c r="CY295" s="824">
        <f t="shared" si="219"/>
        <v>0</v>
      </c>
      <c r="CZ295" s="824">
        <f t="shared" si="219"/>
        <v>0</v>
      </c>
      <c r="DA295" s="824">
        <f t="shared" si="219"/>
        <v>0</v>
      </c>
      <c r="DB295" s="824">
        <f t="shared" si="219"/>
        <v>0</v>
      </c>
      <c r="DC295" s="824">
        <f t="shared" si="219"/>
        <v>0</v>
      </c>
      <c r="DD295" s="824">
        <f t="shared" si="219"/>
        <v>0</v>
      </c>
      <c r="DE295" s="824">
        <f t="shared" si="219"/>
        <v>0</v>
      </c>
      <c r="DF295" s="824">
        <f t="shared" si="219"/>
        <v>0</v>
      </c>
      <c r="DG295" s="824">
        <f t="shared" si="219"/>
        <v>0</v>
      </c>
      <c r="DH295" s="824">
        <f t="shared" si="219"/>
        <v>0</v>
      </c>
      <c r="DI295" s="824">
        <f t="shared" si="219"/>
        <v>0</v>
      </c>
      <c r="DJ295" s="824">
        <f t="shared" si="220"/>
        <v>0</v>
      </c>
      <c r="DK295" s="824">
        <f t="shared" si="220"/>
        <v>0</v>
      </c>
      <c r="DL295" s="824">
        <f t="shared" si="220"/>
        <v>0</v>
      </c>
    </row>
    <row r="296" spans="2:116" ht="12" thickBot="1" x14ac:dyDescent="0.3">
      <c r="B296" s="1673"/>
      <c r="C296" s="1680"/>
      <c r="D296" s="15" t="s">
        <v>1</v>
      </c>
      <c r="E296" s="116"/>
      <c r="F296" s="116">
        <f>SUBTOTAL(109,'3.1 I&amp;W'!$X$234)</f>
        <v>0</v>
      </c>
      <c r="G296" s="116">
        <f>SUBTOTAL(109,'3.1 I&amp;W'!$Y$234)</f>
        <v>0</v>
      </c>
      <c r="H296" s="116">
        <f>SUBTOTAL(109,'3.1 I&amp;W'!$AD$234)</f>
        <v>0</v>
      </c>
      <c r="I296" s="116">
        <f>SUBTOTAL(109,'3.1 I&amp;W'!$AE$234)</f>
        <v>0</v>
      </c>
      <c r="J296" s="116"/>
      <c r="K296" s="116"/>
      <c r="L296" s="116"/>
      <c r="M296" s="116">
        <f>SUBTOTAL(109,'3.1 I&amp;W'!$AI$234)</f>
        <v>0</v>
      </c>
      <c r="N296" s="156">
        <f t="shared" si="192"/>
        <v>0</v>
      </c>
      <c r="O296" s="116">
        <f>SUBTOTAL(109,'3.1 I&amp;W'!$S$234)</f>
        <v>0</v>
      </c>
      <c r="P296" s="30">
        <f t="shared" si="210"/>
        <v>0</v>
      </c>
      <c r="Q296" s="31">
        <f t="shared" si="211"/>
        <v>0</v>
      </c>
      <c r="R296" s="31">
        <f t="shared" si="212"/>
        <v>0</v>
      </c>
      <c r="S296" s="31">
        <f t="shared" si="213"/>
        <v>0</v>
      </c>
      <c r="T296" s="32">
        <f t="shared" si="214"/>
        <v>0</v>
      </c>
      <c r="U296" s="37">
        <f t="shared" si="215"/>
        <v>0</v>
      </c>
      <c r="V296" s="40">
        <f t="shared" si="193"/>
        <v>0</v>
      </c>
      <c r="W296" s="41">
        <f t="shared" si="194"/>
        <v>0</v>
      </c>
      <c r="X296" s="43"/>
      <c r="Y296" s="46"/>
      <c r="Z296" s="126"/>
      <c r="AA296" s="136"/>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824">
        <f t="shared" si="221"/>
        <v>0</v>
      </c>
      <c r="BM296" s="824">
        <f t="shared" si="222"/>
        <v>0</v>
      </c>
      <c r="BN296" s="824">
        <f t="shared" si="223"/>
        <v>0</v>
      </c>
      <c r="BO296" s="824">
        <f t="shared" si="217"/>
        <v>0</v>
      </c>
      <c r="BP296" s="824">
        <f t="shared" si="217"/>
        <v>0</v>
      </c>
      <c r="BQ296" s="824">
        <f t="shared" si="217"/>
        <v>0</v>
      </c>
      <c r="BR296" s="824">
        <f t="shared" si="217"/>
        <v>0</v>
      </c>
      <c r="BS296" s="824">
        <f t="shared" si="217"/>
        <v>0</v>
      </c>
      <c r="BT296" s="824">
        <f t="shared" si="217"/>
        <v>0</v>
      </c>
      <c r="BU296" s="824">
        <f t="shared" si="217"/>
        <v>0</v>
      </c>
      <c r="BV296" s="824">
        <f t="shared" si="217"/>
        <v>0</v>
      </c>
      <c r="BW296" s="824">
        <f t="shared" si="217"/>
        <v>0</v>
      </c>
      <c r="BX296" s="824">
        <f t="shared" si="217"/>
        <v>0</v>
      </c>
      <c r="BY296" s="824">
        <f t="shared" si="217"/>
        <v>0</v>
      </c>
      <c r="BZ296" s="824">
        <f t="shared" si="217"/>
        <v>0</v>
      </c>
      <c r="CA296" s="824">
        <f t="shared" si="217"/>
        <v>0</v>
      </c>
      <c r="CB296" s="824">
        <f t="shared" si="217"/>
        <v>0</v>
      </c>
      <c r="CC296" s="824">
        <f t="shared" si="217"/>
        <v>0</v>
      </c>
      <c r="CD296" s="824">
        <f t="shared" si="217"/>
        <v>0</v>
      </c>
      <c r="CE296" s="824">
        <f t="shared" si="216"/>
        <v>0</v>
      </c>
      <c r="CF296" s="824">
        <f t="shared" si="216"/>
        <v>0</v>
      </c>
      <c r="CG296" s="824">
        <f t="shared" si="216"/>
        <v>0</v>
      </c>
      <c r="CH296" s="824">
        <f t="shared" si="216"/>
        <v>0</v>
      </c>
      <c r="CI296" s="824">
        <f t="shared" si="216"/>
        <v>0</v>
      </c>
      <c r="CJ296" s="824">
        <f t="shared" si="216"/>
        <v>0</v>
      </c>
      <c r="CK296" s="824">
        <f t="shared" si="216"/>
        <v>0</v>
      </c>
      <c r="CL296" s="824">
        <f t="shared" si="216"/>
        <v>0</v>
      </c>
      <c r="CM296" s="824">
        <f t="shared" si="216"/>
        <v>0</v>
      </c>
      <c r="CN296" s="824">
        <f t="shared" si="216"/>
        <v>0</v>
      </c>
      <c r="CO296" s="824">
        <f t="shared" si="216"/>
        <v>0</v>
      </c>
      <c r="CP296" s="824">
        <f t="shared" si="216"/>
        <v>0</v>
      </c>
      <c r="CQ296" s="824">
        <f t="shared" si="216"/>
        <v>0</v>
      </c>
      <c r="CR296" s="824">
        <f t="shared" si="216"/>
        <v>0</v>
      </c>
      <c r="CS296" s="824">
        <f t="shared" si="216"/>
        <v>0</v>
      </c>
      <c r="CT296" s="824">
        <f t="shared" si="219"/>
        <v>0</v>
      </c>
      <c r="CU296" s="824">
        <f t="shared" si="219"/>
        <v>0</v>
      </c>
      <c r="CV296" s="824">
        <f t="shared" si="219"/>
        <v>0</v>
      </c>
      <c r="CW296" s="824">
        <f t="shared" si="219"/>
        <v>0</v>
      </c>
      <c r="CX296" s="824">
        <f t="shared" si="219"/>
        <v>0</v>
      </c>
      <c r="CY296" s="824">
        <f t="shared" si="219"/>
        <v>0</v>
      </c>
      <c r="CZ296" s="824">
        <f t="shared" si="219"/>
        <v>0</v>
      </c>
      <c r="DA296" s="824">
        <f t="shared" si="219"/>
        <v>0</v>
      </c>
      <c r="DB296" s="824">
        <f t="shared" si="219"/>
        <v>0</v>
      </c>
      <c r="DC296" s="824">
        <f t="shared" si="219"/>
        <v>0</v>
      </c>
      <c r="DD296" s="824">
        <f t="shared" si="219"/>
        <v>0</v>
      </c>
      <c r="DE296" s="824">
        <f t="shared" si="219"/>
        <v>0</v>
      </c>
      <c r="DF296" s="824">
        <f t="shared" si="219"/>
        <v>0</v>
      </c>
      <c r="DG296" s="824">
        <f t="shared" si="219"/>
        <v>0</v>
      </c>
      <c r="DH296" s="824">
        <f t="shared" si="219"/>
        <v>0</v>
      </c>
      <c r="DI296" s="824">
        <f t="shared" si="219"/>
        <v>0</v>
      </c>
      <c r="DJ296" s="824">
        <f t="shared" si="220"/>
        <v>0</v>
      </c>
      <c r="DK296" s="824">
        <f t="shared" si="220"/>
        <v>0</v>
      </c>
      <c r="DL296" s="824">
        <f t="shared" si="220"/>
        <v>0</v>
      </c>
    </row>
    <row r="297" spans="2:116" ht="11.25" customHeight="1" thickBot="1" x14ac:dyDescent="0.3">
      <c r="B297" s="1673"/>
      <c r="C297" s="1680"/>
      <c r="D297" s="183" t="s">
        <v>0</v>
      </c>
      <c r="E297" s="182"/>
      <c r="F297" s="11">
        <f>SUBTOTAL(109,'3.1 I&amp;W'!$X$238)</f>
        <v>0</v>
      </c>
      <c r="G297" s="11">
        <f>SUBTOTAL(109,'3.1 I&amp;W'!$Y$238)</f>
        <v>0</v>
      </c>
      <c r="H297" s="11">
        <f>SUBTOTAL(109,'3.1 I&amp;W'!$AD$238)</f>
        <v>0</v>
      </c>
      <c r="I297" s="11">
        <f>SUBTOTAL(109,'3.1 I&amp;W'!$AE$238)</f>
        <v>0</v>
      </c>
      <c r="J297" s="11"/>
      <c r="K297" s="11"/>
      <c r="L297" s="11"/>
      <c r="M297" s="11">
        <f>SUBTOTAL(109,'3.1 I&amp;W'!$AI$238)</f>
        <v>0</v>
      </c>
      <c r="N297" s="156">
        <f t="shared" si="192"/>
        <v>0</v>
      </c>
      <c r="O297" s="11">
        <f>SUBTOTAL(109,'3.1 I&amp;W'!$S$239)</f>
        <v>0</v>
      </c>
      <c r="P297" s="65">
        <f t="shared" si="210"/>
        <v>0</v>
      </c>
      <c r="Q297" s="66">
        <f t="shared" si="211"/>
        <v>0</v>
      </c>
      <c r="R297" s="66">
        <f t="shared" si="212"/>
        <v>0</v>
      </c>
      <c r="S297" s="66">
        <f t="shared" si="213"/>
        <v>0</v>
      </c>
      <c r="T297" s="67">
        <f t="shared" si="214"/>
        <v>0</v>
      </c>
      <c r="U297" s="37">
        <f t="shared" si="215"/>
        <v>0</v>
      </c>
      <c r="V297" s="40">
        <f t="shared" ref="V297:V313" si="224">G297*$I$169</f>
        <v>0</v>
      </c>
      <c r="W297" s="41">
        <f t="shared" ref="W297:W313" si="225">(I297+J297)*$I$167</f>
        <v>0</v>
      </c>
      <c r="X297" s="184"/>
      <c r="Y297" s="185"/>
      <c r="Z297" s="198"/>
      <c r="AA297" s="186"/>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824">
        <f t="shared" si="221"/>
        <v>0</v>
      </c>
      <c r="BM297" s="824">
        <f t="shared" si="222"/>
        <v>0</v>
      </c>
      <c r="BN297" s="824">
        <f t="shared" si="223"/>
        <v>0</v>
      </c>
      <c r="BO297" s="824">
        <f t="shared" si="217"/>
        <v>0</v>
      </c>
      <c r="BP297" s="824">
        <f t="shared" si="217"/>
        <v>0</v>
      </c>
      <c r="BQ297" s="824">
        <f t="shared" si="217"/>
        <v>0</v>
      </c>
      <c r="BR297" s="824">
        <f t="shared" si="217"/>
        <v>0</v>
      </c>
      <c r="BS297" s="824">
        <f t="shared" si="217"/>
        <v>0</v>
      </c>
      <c r="BT297" s="824">
        <f t="shared" si="217"/>
        <v>0</v>
      </c>
      <c r="BU297" s="824">
        <f t="shared" si="217"/>
        <v>0</v>
      </c>
      <c r="BV297" s="824">
        <f t="shared" si="217"/>
        <v>0</v>
      </c>
      <c r="BW297" s="824">
        <f t="shared" si="217"/>
        <v>0</v>
      </c>
      <c r="BX297" s="824">
        <f t="shared" si="217"/>
        <v>0</v>
      </c>
      <c r="BY297" s="824">
        <f t="shared" si="217"/>
        <v>0</v>
      </c>
      <c r="BZ297" s="824">
        <f t="shared" si="217"/>
        <v>0</v>
      </c>
      <c r="CA297" s="824">
        <f t="shared" si="217"/>
        <v>0</v>
      </c>
      <c r="CB297" s="824">
        <f t="shared" si="217"/>
        <v>0</v>
      </c>
      <c r="CC297" s="824">
        <f t="shared" si="217"/>
        <v>0</v>
      </c>
      <c r="CD297" s="824">
        <f t="shared" ref="CD297:CS305" si="226">IF(OR(IF($BL297*1&lt;$BL$196,$BL297*1=CD$198,FALSE),IF($BL297*2&lt;$BL$196,$BL297*2=CD$198,FALSE),IF($BL297*3&lt;$BL$196,$BL297*3=CD$198,FALSE),IF($BL297*4&lt;$BL$196,$BL297*4=CD$198,FALSE),IF($BL297*5&lt;$BL$196,$BL297*5=CD$198,FALSE)),$BN297*$BM$196^CD$198,0)</f>
        <v>0</v>
      </c>
      <c r="CE297" s="824">
        <f t="shared" si="226"/>
        <v>0</v>
      </c>
      <c r="CF297" s="824">
        <f t="shared" si="226"/>
        <v>0</v>
      </c>
      <c r="CG297" s="824">
        <f t="shared" si="226"/>
        <v>0</v>
      </c>
      <c r="CH297" s="824">
        <f t="shared" si="226"/>
        <v>0</v>
      </c>
      <c r="CI297" s="824">
        <f t="shared" si="226"/>
        <v>0</v>
      </c>
      <c r="CJ297" s="824">
        <f t="shared" si="226"/>
        <v>0</v>
      </c>
      <c r="CK297" s="824">
        <f t="shared" si="226"/>
        <v>0</v>
      </c>
      <c r="CL297" s="824">
        <f t="shared" si="226"/>
        <v>0</v>
      </c>
      <c r="CM297" s="824">
        <f t="shared" si="226"/>
        <v>0</v>
      </c>
      <c r="CN297" s="824">
        <f t="shared" si="226"/>
        <v>0</v>
      </c>
      <c r="CO297" s="824">
        <f t="shared" si="226"/>
        <v>0</v>
      </c>
      <c r="CP297" s="824">
        <f t="shared" si="226"/>
        <v>0</v>
      </c>
      <c r="CQ297" s="824">
        <f t="shared" si="226"/>
        <v>0</v>
      </c>
      <c r="CR297" s="824">
        <f t="shared" si="226"/>
        <v>0</v>
      </c>
      <c r="CS297" s="824">
        <f t="shared" si="226"/>
        <v>0</v>
      </c>
      <c r="CT297" s="824">
        <f t="shared" si="219"/>
        <v>0</v>
      </c>
      <c r="CU297" s="824">
        <f t="shared" si="219"/>
        <v>0</v>
      </c>
      <c r="CV297" s="824">
        <f t="shared" si="219"/>
        <v>0</v>
      </c>
      <c r="CW297" s="824">
        <f t="shared" si="219"/>
        <v>0</v>
      </c>
      <c r="CX297" s="824">
        <f t="shared" si="219"/>
        <v>0</v>
      </c>
      <c r="CY297" s="824">
        <f t="shared" si="219"/>
        <v>0</v>
      </c>
      <c r="CZ297" s="824">
        <f t="shared" si="219"/>
        <v>0</v>
      </c>
      <c r="DA297" s="824">
        <f t="shared" si="219"/>
        <v>0</v>
      </c>
      <c r="DB297" s="824">
        <f t="shared" si="219"/>
        <v>0</v>
      </c>
      <c r="DC297" s="824">
        <f t="shared" si="219"/>
        <v>0</v>
      </c>
      <c r="DD297" s="824">
        <f t="shared" si="219"/>
        <v>0</v>
      </c>
      <c r="DE297" s="824">
        <f t="shared" si="219"/>
        <v>0</v>
      </c>
      <c r="DF297" s="824">
        <f t="shared" si="219"/>
        <v>0</v>
      </c>
      <c r="DG297" s="824">
        <f t="shared" si="219"/>
        <v>0</v>
      </c>
      <c r="DH297" s="824">
        <f t="shared" si="219"/>
        <v>0</v>
      </c>
      <c r="DI297" s="824">
        <f t="shared" si="219"/>
        <v>0</v>
      </c>
      <c r="DJ297" s="824">
        <f t="shared" si="220"/>
        <v>0</v>
      </c>
      <c r="DK297" s="824">
        <f t="shared" si="220"/>
        <v>0</v>
      </c>
      <c r="DL297" s="824">
        <f t="shared" si="220"/>
        <v>0</v>
      </c>
    </row>
    <row r="298" spans="2:116" ht="11.25" customHeight="1" thickBot="1" x14ac:dyDescent="0.3">
      <c r="B298" s="1673"/>
      <c r="C298" s="1060"/>
      <c r="D298" s="199" t="s">
        <v>272</v>
      </c>
      <c r="E298" s="116"/>
      <c r="F298" s="11">
        <f>SUBTOTAL(109,'3.1 I&amp;W'!$X$246)</f>
        <v>0</v>
      </c>
      <c r="G298" s="11">
        <f>SUBTOTAL(109,'3.1 I&amp;W'!$Y$246)</f>
        <v>0</v>
      </c>
      <c r="H298" s="11">
        <f>SUBTOTAL(109,'3.1 I&amp;W'!$AD$246)</f>
        <v>0</v>
      </c>
      <c r="I298" s="11">
        <f>SUBTOTAL(109,'3.1 I&amp;W'!$AE$246)</f>
        <v>0</v>
      </c>
      <c r="J298" s="116"/>
      <c r="K298" s="116"/>
      <c r="L298" s="116"/>
      <c r="M298" s="11">
        <f>SUBTOTAL(109,'3.1 I&amp;W'!$AI$246)</f>
        <v>100</v>
      </c>
      <c r="N298" s="156">
        <f t="shared" si="192"/>
        <v>0</v>
      </c>
      <c r="O298" s="200">
        <f>SUBTOTAL(109,'3.1 I&amp;W'!$S$246)</f>
        <v>1116603.8639999998</v>
      </c>
      <c r="P298" s="65">
        <f>IF(N298&gt;=1,O298*$G$158^(1*M298)/($G$157^(1*M298)),0)</f>
        <v>0</v>
      </c>
      <c r="Q298" s="66">
        <f>IF(N298&gt;=2,O298*$G$158^(2*M298)/($G$157^(2*M298)),0)</f>
        <v>0</v>
      </c>
      <c r="R298" s="66">
        <f>IF(N298&gt;=3,O298*$G$158^(3*M298)/($G$157^(3*M298)),0)</f>
        <v>0</v>
      </c>
      <c r="S298" s="66">
        <f>IF(N298&gt;=4,O298*$G$158^(4*M298)/($G$157^(4*M298)),0)</f>
        <v>0</v>
      </c>
      <c r="T298" s="67">
        <f>IF(N298&gt;=5,O298*$G$158^(5*M298)/($G$157^(5*M298)),0)</f>
        <v>0</v>
      </c>
      <c r="U298" s="37">
        <f>IF(M298=0,0,O298*$G$158^(N298*M298)*((N298+1)*M298-$G$154)/M298*(1/$G$157^$G$154))</f>
        <v>362916.29736939806</v>
      </c>
      <c r="V298" s="40">
        <f t="shared" si="224"/>
        <v>0</v>
      </c>
      <c r="W298" s="41">
        <f t="shared" si="225"/>
        <v>0</v>
      </c>
      <c r="X298" s="197"/>
      <c r="Y298" s="193"/>
      <c r="Z298" s="48"/>
      <c r="AA298" s="194"/>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824">
        <f t="shared" si="221"/>
        <v>100</v>
      </c>
      <c r="BM298" s="824">
        <f t="shared" si="222"/>
        <v>0</v>
      </c>
      <c r="BN298" s="824">
        <f t="shared" si="223"/>
        <v>1116603.8639999998</v>
      </c>
      <c r="BO298" s="824">
        <f t="shared" ref="BO298:CD305" si="227">IF(OR(IF($BL298*1&lt;$BL$196,$BL298*1=BO$198,FALSE),IF($BL298*2&lt;$BL$196,$BL298*2=BO$198,FALSE),IF($BL298*3&lt;$BL$196,$BL298*3=BO$198,FALSE),IF($BL298*4&lt;$BL$196,$BL298*4=BO$198,FALSE),IF($BL298*5&lt;$BL$196,$BL298*5=BO$198,FALSE)),$BN298*$BM$196^BO$198,0)</f>
        <v>0</v>
      </c>
      <c r="BP298" s="824">
        <f t="shared" si="227"/>
        <v>0</v>
      </c>
      <c r="BQ298" s="824">
        <f t="shared" si="227"/>
        <v>0</v>
      </c>
      <c r="BR298" s="824">
        <f t="shared" si="227"/>
        <v>0</v>
      </c>
      <c r="BS298" s="824">
        <f t="shared" si="227"/>
        <v>0</v>
      </c>
      <c r="BT298" s="824">
        <f t="shared" si="227"/>
        <v>0</v>
      </c>
      <c r="BU298" s="824">
        <f t="shared" si="227"/>
        <v>0</v>
      </c>
      <c r="BV298" s="824">
        <f t="shared" si="227"/>
        <v>0</v>
      </c>
      <c r="BW298" s="824">
        <f t="shared" si="227"/>
        <v>0</v>
      </c>
      <c r="BX298" s="824">
        <f t="shared" si="227"/>
        <v>0</v>
      </c>
      <c r="BY298" s="824">
        <f t="shared" si="227"/>
        <v>0</v>
      </c>
      <c r="BZ298" s="824">
        <f t="shared" si="227"/>
        <v>0</v>
      </c>
      <c r="CA298" s="824">
        <f t="shared" si="227"/>
        <v>0</v>
      </c>
      <c r="CB298" s="824">
        <f t="shared" si="227"/>
        <v>0</v>
      </c>
      <c r="CC298" s="824">
        <f t="shared" si="227"/>
        <v>0</v>
      </c>
      <c r="CD298" s="824">
        <f t="shared" si="227"/>
        <v>0</v>
      </c>
      <c r="CE298" s="824">
        <f t="shared" si="226"/>
        <v>0</v>
      </c>
      <c r="CF298" s="824">
        <f t="shared" si="226"/>
        <v>0</v>
      </c>
      <c r="CG298" s="824">
        <f t="shared" si="226"/>
        <v>0</v>
      </c>
      <c r="CH298" s="824">
        <f t="shared" si="226"/>
        <v>0</v>
      </c>
      <c r="CI298" s="824">
        <f t="shared" si="226"/>
        <v>0</v>
      </c>
      <c r="CJ298" s="824">
        <f t="shared" si="226"/>
        <v>0</v>
      </c>
      <c r="CK298" s="824">
        <f t="shared" si="226"/>
        <v>0</v>
      </c>
      <c r="CL298" s="824">
        <f t="shared" si="226"/>
        <v>0</v>
      </c>
      <c r="CM298" s="824">
        <f t="shared" si="226"/>
        <v>0</v>
      </c>
      <c r="CN298" s="824">
        <f t="shared" si="226"/>
        <v>0</v>
      </c>
      <c r="CO298" s="824">
        <f t="shared" si="226"/>
        <v>0</v>
      </c>
      <c r="CP298" s="824">
        <f t="shared" si="226"/>
        <v>0</v>
      </c>
      <c r="CQ298" s="824">
        <f t="shared" si="226"/>
        <v>0</v>
      </c>
      <c r="CR298" s="824">
        <f t="shared" si="226"/>
        <v>0</v>
      </c>
      <c r="CS298" s="824">
        <f t="shared" si="226"/>
        <v>0</v>
      </c>
      <c r="CT298" s="824">
        <f t="shared" si="219"/>
        <v>0</v>
      </c>
      <c r="CU298" s="824">
        <f t="shared" si="219"/>
        <v>0</v>
      </c>
      <c r="CV298" s="824">
        <f t="shared" si="219"/>
        <v>0</v>
      </c>
      <c r="CW298" s="824">
        <f t="shared" si="219"/>
        <v>0</v>
      </c>
      <c r="CX298" s="824">
        <f t="shared" si="219"/>
        <v>0</v>
      </c>
      <c r="CY298" s="824">
        <f t="shared" si="219"/>
        <v>0</v>
      </c>
      <c r="CZ298" s="824">
        <f t="shared" si="219"/>
        <v>0</v>
      </c>
      <c r="DA298" s="824">
        <f t="shared" si="219"/>
        <v>0</v>
      </c>
      <c r="DB298" s="824">
        <f t="shared" si="219"/>
        <v>0</v>
      </c>
      <c r="DC298" s="824">
        <f t="shared" si="219"/>
        <v>0</v>
      </c>
      <c r="DD298" s="824">
        <f t="shared" si="219"/>
        <v>0</v>
      </c>
      <c r="DE298" s="824">
        <f t="shared" si="219"/>
        <v>0</v>
      </c>
      <c r="DF298" s="824">
        <f t="shared" si="219"/>
        <v>0</v>
      </c>
      <c r="DG298" s="824">
        <f t="shared" si="219"/>
        <v>0</v>
      </c>
      <c r="DH298" s="824">
        <f t="shared" si="219"/>
        <v>0</v>
      </c>
      <c r="DI298" s="824">
        <f t="shared" ref="DI298" si="228">IF(OR(IF($BL298*1&lt;$BL$196,$BL298*1=DI$198,FALSE),IF($BL298*2&lt;$BL$196,$BL298*2=DI$198,FALSE),IF($BL298*3&lt;$BL$196,$BL298*3=DI$198,FALSE),IF($BL298*4&lt;$BL$196,$BL298*4=DI$198,FALSE),IF($BL298*5&lt;$BL$196,$BL298*5=DI$198,FALSE)),$BN298*$BM$196^DI$198,0)</f>
        <v>0</v>
      </c>
      <c r="DJ298" s="824">
        <f t="shared" si="220"/>
        <v>0</v>
      </c>
      <c r="DK298" s="824">
        <f t="shared" si="220"/>
        <v>0</v>
      </c>
      <c r="DL298" s="824">
        <f t="shared" si="220"/>
        <v>0</v>
      </c>
    </row>
    <row r="299" spans="2:116" ht="11.25" customHeight="1" thickBot="1" x14ac:dyDescent="0.3">
      <c r="B299" s="1673"/>
      <c r="C299" s="1060"/>
      <c r="D299" s="199" t="s">
        <v>272</v>
      </c>
      <c r="E299" s="116"/>
      <c r="F299" s="11">
        <f>SUBTOTAL(109,'3.1 I&amp;W'!$X$247)</f>
        <v>0</v>
      </c>
      <c r="G299" s="11">
        <f>SUBTOTAL(109,'3.1 I&amp;W'!$Y$247)</f>
        <v>0</v>
      </c>
      <c r="H299" s="11">
        <f>SUBTOTAL(109,'3.1 I&amp;W'!$AD$247)</f>
        <v>0</v>
      </c>
      <c r="I299" s="11">
        <f>SUBTOTAL(109,'3.1 I&amp;W'!$AE$247)</f>
        <v>0</v>
      </c>
      <c r="J299" s="116"/>
      <c r="K299" s="116"/>
      <c r="L299" s="116"/>
      <c r="M299" s="11">
        <f>SUBTOTAL(109,'3.1 I&amp;W'!$AI$247)</f>
        <v>50</v>
      </c>
      <c r="N299" s="156">
        <f t="shared" si="192"/>
        <v>0</v>
      </c>
      <c r="O299" s="200">
        <f>SUBTOTAL(109,'3.1 I&amp;W'!$S$247)</f>
        <v>22720.5</v>
      </c>
      <c r="P299" s="65">
        <f>IF(N299&gt;=1,O299*$G$158^(1*M299)/($G$157^(1*M299)),0)</f>
        <v>0</v>
      </c>
      <c r="Q299" s="66">
        <f>IF(N299&gt;=2,O299*$G$158^(2*M299)/($G$157^(2*M299)),0)</f>
        <v>0</v>
      </c>
      <c r="R299" s="66">
        <f>IF(N299&gt;=3,O299*$G$158^(3*M299)/($G$157^(3*M299)),0)</f>
        <v>0</v>
      </c>
      <c r="S299" s="66">
        <f>IF(N299&gt;=4,O299*$G$158^(4*M299)/($G$157^(4*M299)),0)</f>
        <v>0</v>
      </c>
      <c r="T299" s="67">
        <f>IF(N299&gt;=5,O299*$G$158^(5*M299)/($G$157^(5*M299)),0)</f>
        <v>0</v>
      </c>
      <c r="U299" s="37">
        <f>IF(M299=0,0,O299*$G$158^(N299*M299)*((N299+1)*M299-$G$154)/M299*(1/$G$157^$G$154))</f>
        <v>3408.2632167989746</v>
      </c>
      <c r="V299" s="40">
        <f t="shared" si="224"/>
        <v>0</v>
      </c>
      <c r="W299" s="41">
        <f t="shared" si="225"/>
        <v>0</v>
      </c>
      <c r="X299" s="191"/>
      <c r="Y299" s="193"/>
      <c r="Z299" s="48"/>
      <c r="AA299" s="194"/>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824">
        <f t="shared" si="221"/>
        <v>50</v>
      </c>
      <c r="BM299" s="824">
        <f t="shared" si="222"/>
        <v>0</v>
      </c>
      <c r="BN299" s="824">
        <f t="shared" si="223"/>
        <v>22720.5</v>
      </c>
      <c r="BO299" s="824">
        <f t="shared" si="227"/>
        <v>0</v>
      </c>
      <c r="BP299" s="824">
        <f t="shared" si="227"/>
        <v>0</v>
      </c>
      <c r="BQ299" s="824">
        <f t="shared" si="227"/>
        <v>0</v>
      </c>
      <c r="BR299" s="824">
        <f t="shared" si="227"/>
        <v>0</v>
      </c>
      <c r="BS299" s="824">
        <f t="shared" si="227"/>
        <v>0</v>
      </c>
      <c r="BT299" s="824">
        <f t="shared" si="227"/>
        <v>0</v>
      </c>
      <c r="BU299" s="824">
        <f t="shared" si="227"/>
        <v>0</v>
      </c>
      <c r="BV299" s="824">
        <f t="shared" si="227"/>
        <v>0</v>
      </c>
      <c r="BW299" s="824">
        <f t="shared" si="227"/>
        <v>0</v>
      </c>
      <c r="BX299" s="824">
        <f t="shared" si="227"/>
        <v>0</v>
      </c>
      <c r="BY299" s="824">
        <f t="shared" si="227"/>
        <v>0</v>
      </c>
      <c r="BZ299" s="824">
        <f t="shared" si="227"/>
        <v>0</v>
      </c>
      <c r="CA299" s="824">
        <f t="shared" si="227"/>
        <v>0</v>
      </c>
      <c r="CB299" s="824">
        <f t="shared" si="227"/>
        <v>0</v>
      </c>
      <c r="CC299" s="824">
        <f t="shared" si="227"/>
        <v>0</v>
      </c>
      <c r="CD299" s="824">
        <f t="shared" si="227"/>
        <v>0</v>
      </c>
      <c r="CE299" s="824">
        <f t="shared" si="226"/>
        <v>0</v>
      </c>
      <c r="CF299" s="824">
        <f t="shared" si="226"/>
        <v>0</v>
      </c>
      <c r="CG299" s="824">
        <f t="shared" si="226"/>
        <v>0</v>
      </c>
      <c r="CH299" s="824">
        <f t="shared" si="226"/>
        <v>0</v>
      </c>
      <c r="CI299" s="824">
        <f t="shared" si="226"/>
        <v>0</v>
      </c>
      <c r="CJ299" s="824">
        <f t="shared" si="226"/>
        <v>0</v>
      </c>
      <c r="CK299" s="824">
        <f t="shared" si="226"/>
        <v>0</v>
      </c>
      <c r="CL299" s="824">
        <f t="shared" si="226"/>
        <v>0</v>
      </c>
      <c r="CM299" s="824">
        <f t="shared" si="226"/>
        <v>0</v>
      </c>
      <c r="CN299" s="824">
        <f t="shared" si="226"/>
        <v>0</v>
      </c>
      <c r="CO299" s="824">
        <f t="shared" si="226"/>
        <v>0</v>
      </c>
      <c r="CP299" s="824">
        <f t="shared" si="226"/>
        <v>0</v>
      </c>
      <c r="CQ299" s="824">
        <f t="shared" si="226"/>
        <v>0</v>
      </c>
      <c r="CR299" s="824">
        <f t="shared" si="226"/>
        <v>0</v>
      </c>
      <c r="CS299" s="824">
        <f t="shared" si="226"/>
        <v>0</v>
      </c>
      <c r="CT299" s="824">
        <f t="shared" ref="CT299:DI305" si="229">IF(OR(IF($BL299*1&lt;$BL$196,$BL299*1=CT$198,FALSE),IF($BL299*2&lt;$BL$196,$BL299*2=CT$198,FALSE),IF($BL299*3&lt;$BL$196,$BL299*3=CT$198,FALSE),IF($BL299*4&lt;$BL$196,$BL299*4=CT$198,FALSE),IF($BL299*5&lt;$BL$196,$BL299*5=CT$198,FALSE)),$BN299*$BM$196^CT$198,0)</f>
        <v>0</v>
      </c>
      <c r="CU299" s="824">
        <f t="shared" si="229"/>
        <v>0</v>
      </c>
      <c r="CV299" s="824">
        <f t="shared" si="229"/>
        <v>0</v>
      </c>
      <c r="CW299" s="824">
        <f t="shared" si="229"/>
        <v>0</v>
      </c>
      <c r="CX299" s="824">
        <f t="shared" si="229"/>
        <v>0</v>
      </c>
      <c r="CY299" s="824">
        <f t="shared" si="229"/>
        <v>0</v>
      </c>
      <c r="CZ299" s="824">
        <f t="shared" si="229"/>
        <v>0</v>
      </c>
      <c r="DA299" s="824">
        <f t="shared" si="229"/>
        <v>0</v>
      </c>
      <c r="DB299" s="824">
        <f t="shared" si="229"/>
        <v>0</v>
      </c>
      <c r="DC299" s="824">
        <f t="shared" si="229"/>
        <v>0</v>
      </c>
      <c r="DD299" s="824">
        <f t="shared" si="229"/>
        <v>0</v>
      </c>
      <c r="DE299" s="824">
        <f t="shared" si="229"/>
        <v>0</v>
      </c>
      <c r="DF299" s="824">
        <f t="shared" si="229"/>
        <v>0</v>
      </c>
      <c r="DG299" s="824">
        <f t="shared" si="229"/>
        <v>0</v>
      </c>
      <c r="DH299" s="824">
        <f t="shared" si="229"/>
        <v>0</v>
      </c>
      <c r="DI299" s="824">
        <f t="shared" si="229"/>
        <v>0</v>
      </c>
      <c r="DJ299" s="824">
        <f t="shared" si="220"/>
        <v>0</v>
      </c>
      <c r="DK299" s="824">
        <f t="shared" si="220"/>
        <v>0</v>
      </c>
      <c r="DL299" s="824">
        <f t="shared" si="220"/>
        <v>0</v>
      </c>
    </row>
    <row r="300" spans="2:116" ht="11.25" customHeight="1" thickBot="1" x14ac:dyDescent="0.3">
      <c r="B300" s="1673"/>
      <c r="C300" s="1060"/>
      <c r="D300" s="199" t="s">
        <v>272</v>
      </c>
      <c r="E300" s="116"/>
      <c r="F300" s="11">
        <f>SUBTOTAL(109,'3.1 I&amp;W'!$X$248)</f>
        <v>0</v>
      </c>
      <c r="G300" s="11">
        <f>SUBTOTAL(109,'3.1 I&amp;W'!$Y$248)</f>
        <v>0</v>
      </c>
      <c r="H300" s="11">
        <f>SUBTOTAL(109,'3.1 I&amp;W'!$AD$248)</f>
        <v>0</v>
      </c>
      <c r="I300" s="11">
        <f>SUBTOTAL(109,'3.1 I&amp;W'!$AE$248)</f>
        <v>0</v>
      </c>
      <c r="J300" s="116"/>
      <c r="K300" s="116"/>
      <c r="L300" s="116"/>
      <c r="M300" s="11">
        <f>SUBTOTAL(109,'3.1 I&amp;W'!$AI$248)</f>
        <v>100</v>
      </c>
      <c r="N300" s="156">
        <f t="shared" si="192"/>
        <v>0</v>
      </c>
      <c r="O300" s="200">
        <f>SUBTOTAL(109,'3.1 I&amp;W'!$S$248)</f>
        <v>507862.68</v>
      </c>
      <c r="P300" s="65">
        <f>IF(N300&gt;=1,O300*$G$158^(1*M300)/($G$157^(1*M300)),0)</f>
        <v>0</v>
      </c>
      <c r="Q300" s="66">
        <f>IF(N300&gt;=2,O300*$G$158^(2*M300)/($G$157^(2*M300)),0)</f>
        <v>0</v>
      </c>
      <c r="R300" s="66">
        <f>IF(N300&gt;=3,O300*$G$158^(3*M300)/($G$157^(3*M300)),0)</f>
        <v>0</v>
      </c>
      <c r="S300" s="66">
        <f>IF(N300&gt;=4,O300*$G$158^(4*M300)/($G$157^(4*M300)),0)</f>
        <v>0</v>
      </c>
      <c r="T300" s="67">
        <f>IF(N300&gt;=5,O300*$G$158^(5*M300)/($G$157^(5*M300)),0)</f>
        <v>0</v>
      </c>
      <c r="U300" s="37">
        <f>IF(M300=0,0,O300*$G$158^(N300*M300)*((N300+1)*M300-$G$154)/M300*(1/$G$157^$G$154))</f>
        <v>165064.48646652675</v>
      </c>
      <c r="V300" s="40">
        <f t="shared" si="224"/>
        <v>0</v>
      </c>
      <c r="W300" s="41">
        <f t="shared" si="225"/>
        <v>0</v>
      </c>
      <c r="X300" s="191"/>
      <c r="Y300" s="193"/>
      <c r="Z300" s="48"/>
      <c r="AA300" s="194"/>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824">
        <f t="shared" si="221"/>
        <v>100</v>
      </c>
      <c r="BM300" s="824">
        <f t="shared" si="222"/>
        <v>0</v>
      </c>
      <c r="BN300" s="824">
        <f t="shared" si="223"/>
        <v>507862.68</v>
      </c>
      <c r="BO300" s="824">
        <f t="shared" si="227"/>
        <v>0</v>
      </c>
      <c r="BP300" s="824">
        <f t="shared" si="227"/>
        <v>0</v>
      </c>
      <c r="BQ300" s="824">
        <f t="shared" si="227"/>
        <v>0</v>
      </c>
      <c r="BR300" s="824">
        <f t="shared" si="227"/>
        <v>0</v>
      </c>
      <c r="BS300" s="824">
        <f t="shared" si="227"/>
        <v>0</v>
      </c>
      <c r="BT300" s="824">
        <f t="shared" si="227"/>
        <v>0</v>
      </c>
      <c r="BU300" s="824">
        <f t="shared" si="227"/>
        <v>0</v>
      </c>
      <c r="BV300" s="824">
        <f t="shared" si="227"/>
        <v>0</v>
      </c>
      <c r="BW300" s="824">
        <f t="shared" si="227"/>
        <v>0</v>
      </c>
      <c r="BX300" s="824">
        <f t="shared" si="227"/>
        <v>0</v>
      </c>
      <c r="BY300" s="824">
        <f t="shared" si="227"/>
        <v>0</v>
      </c>
      <c r="BZ300" s="824">
        <f t="shared" si="227"/>
        <v>0</v>
      </c>
      <c r="CA300" s="824">
        <f t="shared" si="227"/>
        <v>0</v>
      </c>
      <c r="CB300" s="824">
        <f t="shared" si="227"/>
        <v>0</v>
      </c>
      <c r="CC300" s="824">
        <f t="shared" si="227"/>
        <v>0</v>
      </c>
      <c r="CD300" s="824">
        <f t="shared" si="227"/>
        <v>0</v>
      </c>
      <c r="CE300" s="824">
        <f t="shared" si="226"/>
        <v>0</v>
      </c>
      <c r="CF300" s="824">
        <f t="shared" si="226"/>
        <v>0</v>
      </c>
      <c r="CG300" s="824">
        <f t="shared" si="226"/>
        <v>0</v>
      </c>
      <c r="CH300" s="824">
        <f t="shared" si="226"/>
        <v>0</v>
      </c>
      <c r="CI300" s="824">
        <f t="shared" si="226"/>
        <v>0</v>
      </c>
      <c r="CJ300" s="824">
        <f t="shared" si="226"/>
        <v>0</v>
      </c>
      <c r="CK300" s="824">
        <f t="shared" si="226"/>
        <v>0</v>
      </c>
      <c r="CL300" s="824">
        <f t="shared" si="226"/>
        <v>0</v>
      </c>
      <c r="CM300" s="824">
        <f t="shared" si="226"/>
        <v>0</v>
      </c>
      <c r="CN300" s="824">
        <f t="shared" si="226"/>
        <v>0</v>
      </c>
      <c r="CO300" s="824">
        <f t="shared" si="226"/>
        <v>0</v>
      </c>
      <c r="CP300" s="824">
        <f t="shared" si="226"/>
        <v>0</v>
      </c>
      <c r="CQ300" s="824">
        <f t="shared" si="226"/>
        <v>0</v>
      </c>
      <c r="CR300" s="824">
        <f t="shared" si="226"/>
        <v>0</v>
      </c>
      <c r="CS300" s="824">
        <f t="shared" si="226"/>
        <v>0</v>
      </c>
      <c r="CT300" s="824">
        <f t="shared" si="229"/>
        <v>0</v>
      </c>
      <c r="CU300" s="824">
        <f t="shared" si="229"/>
        <v>0</v>
      </c>
      <c r="CV300" s="824">
        <f t="shared" si="229"/>
        <v>0</v>
      </c>
      <c r="CW300" s="824">
        <f t="shared" si="229"/>
        <v>0</v>
      </c>
      <c r="CX300" s="824">
        <f t="shared" si="229"/>
        <v>0</v>
      </c>
      <c r="CY300" s="824">
        <f t="shared" si="229"/>
        <v>0</v>
      </c>
      <c r="CZ300" s="824">
        <f t="shared" si="229"/>
        <v>0</v>
      </c>
      <c r="DA300" s="824">
        <f t="shared" si="229"/>
        <v>0</v>
      </c>
      <c r="DB300" s="824">
        <f t="shared" si="229"/>
        <v>0</v>
      </c>
      <c r="DC300" s="824">
        <f t="shared" si="229"/>
        <v>0</v>
      </c>
      <c r="DD300" s="824">
        <f t="shared" si="229"/>
        <v>0</v>
      </c>
      <c r="DE300" s="824">
        <f t="shared" si="229"/>
        <v>0</v>
      </c>
      <c r="DF300" s="824">
        <f t="shared" si="229"/>
        <v>0</v>
      </c>
      <c r="DG300" s="824">
        <f t="shared" si="229"/>
        <v>0</v>
      </c>
      <c r="DH300" s="824">
        <f t="shared" si="229"/>
        <v>0</v>
      </c>
      <c r="DI300" s="824">
        <f t="shared" si="229"/>
        <v>0</v>
      </c>
      <c r="DJ300" s="824">
        <f t="shared" si="220"/>
        <v>0</v>
      </c>
      <c r="DK300" s="824">
        <f t="shared" si="220"/>
        <v>0</v>
      </c>
      <c r="DL300" s="824">
        <f t="shared" si="220"/>
        <v>0</v>
      </c>
    </row>
    <row r="301" spans="2:116" ht="11.25" customHeight="1" thickBot="1" x14ac:dyDescent="0.3">
      <c r="B301" s="1673"/>
      <c r="C301" s="1060"/>
      <c r="D301" s="199" t="s">
        <v>272</v>
      </c>
      <c r="E301" s="116"/>
      <c r="F301" s="11">
        <f>SUBTOTAL(109,'3.1 I&amp;W'!$X$249)</f>
        <v>0</v>
      </c>
      <c r="G301" s="11">
        <f>SUBTOTAL(109,'3.1 I&amp;W'!$Y$249)</f>
        <v>0</v>
      </c>
      <c r="H301" s="11">
        <f>SUBTOTAL(109,'3.1 I&amp;W'!$AD$249)</f>
        <v>0</v>
      </c>
      <c r="I301" s="11">
        <f>SUBTOTAL(109,'3.1 I&amp;W'!$AE$249)</f>
        <v>0</v>
      </c>
      <c r="J301" s="116"/>
      <c r="K301" s="116"/>
      <c r="L301" s="116"/>
      <c r="M301" s="11">
        <f>SUBTOTAL(109,'3.1 I&amp;W'!$AI$249)</f>
        <v>50</v>
      </c>
      <c r="N301" s="156">
        <f t="shared" si="192"/>
        <v>0</v>
      </c>
      <c r="O301" s="200">
        <f>SUBTOTAL(109,'3.1 I&amp;W'!$S$249)</f>
        <v>138950.43599999999</v>
      </c>
      <c r="P301" s="65">
        <f>IF(N301&gt;=1,O301*$G$158^(1*M301)/($G$157^(1*M301)),0)</f>
        <v>0</v>
      </c>
      <c r="Q301" s="66">
        <f>IF(N301&gt;=2,O301*$G$158^(2*M301)/($G$157^(2*M301)),0)</f>
        <v>0</v>
      </c>
      <c r="R301" s="66">
        <f>IF(N301&gt;=3,O301*$G$158^(3*M301)/($G$157^(3*M301)),0)</f>
        <v>0</v>
      </c>
      <c r="S301" s="66">
        <f>IF(N301&gt;=4,O301*$G$158^(4*M301)/($G$157^(4*M301)),0)</f>
        <v>0</v>
      </c>
      <c r="T301" s="67">
        <f>IF(N301&gt;=5,O301*$G$158^(5*M301)/($G$157^(5*M301)),0)</f>
        <v>0</v>
      </c>
      <c r="U301" s="37">
        <f>IF(M301=0,0,O301*$G$158^(N301*M301)*((N301+1)*M301-$G$154)/M301*(1/$G$157^$G$154))</f>
        <v>20843.716466494137</v>
      </c>
      <c r="V301" s="40">
        <f t="shared" si="224"/>
        <v>0</v>
      </c>
      <c r="W301" s="41">
        <f t="shared" si="225"/>
        <v>0</v>
      </c>
      <c r="X301" s="191"/>
      <c r="Y301" s="193"/>
      <c r="Z301" s="48"/>
      <c r="AA301" s="194"/>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824">
        <f t="shared" si="221"/>
        <v>50</v>
      </c>
      <c r="BM301" s="824">
        <f t="shared" si="222"/>
        <v>0</v>
      </c>
      <c r="BN301" s="824">
        <f t="shared" si="223"/>
        <v>138950.43599999999</v>
      </c>
      <c r="BO301" s="824">
        <f t="shared" si="227"/>
        <v>0</v>
      </c>
      <c r="BP301" s="824">
        <f t="shared" si="227"/>
        <v>0</v>
      </c>
      <c r="BQ301" s="824">
        <f t="shared" si="227"/>
        <v>0</v>
      </c>
      <c r="BR301" s="824">
        <f t="shared" si="227"/>
        <v>0</v>
      </c>
      <c r="BS301" s="824">
        <f t="shared" si="227"/>
        <v>0</v>
      </c>
      <c r="BT301" s="824">
        <f t="shared" si="227"/>
        <v>0</v>
      </c>
      <c r="BU301" s="824">
        <f t="shared" si="227"/>
        <v>0</v>
      </c>
      <c r="BV301" s="824">
        <f t="shared" si="227"/>
        <v>0</v>
      </c>
      <c r="BW301" s="824">
        <f t="shared" si="227"/>
        <v>0</v>
      </c>
      <c r="BX301" s="824">
        <f t="shared" si="227"/>
        <v>0</v>
      </c>
      <c r="BY301" s="824">
        <f t="shared" si="227"/>
        <v>0</v>
      </c>
      <c r="BZ301" s="824">
        <f t="shared" si="227"/>
        <v>0</v>
      </c>
      <c r="CA301" s="824">
        <f t="shared" si="227"/>
        <v>0</v>
      </c>
      <c r="CB301" s="824">
        <f t="shared" si="227"/>
        <v>0</v>
      </c>
      <c r="CC301" s="824">
        <f t="shared" si="227"/>
        <v>0</v>
      </c>
      <c r="CD301" s="824">
        <f t="shared" si="227"/>
        <v>0</v>
      </c>
      <c r="CE301" s="824">
        <f t="shared" si="226"/>
        <v>0</v>
      </c>
      <c r="CF301" s="824">
        <f t="shared" si="226"/>
        <v>0</v>
      </c>
      <c r="CG301" s="824">
        <f t="shared" si="226"/>
        <v>0</v>
      </c>
      <c r="CH301" s="824">
        <f t="shared" si="226"/>
        <v>0</v>
      </c>
      <c r="CI301" s="824">
        <f t="shared" si="226"/>
        <v>0</v>
      </c>
      <c r="CJ301" s="824">
        <f t="shared" si="226"/>
        <v>0</v>
      </c>
      <c r="CK301" s="824">
        <f t="shared" si="226"/>
        <v>0</v>
      </c>
      <c r="CL301" s="824">
        <f t="shared" si="226"/>
        <v>0</v>
      </c>
      <c r="CM301" s="824">
        <f t="shared" si="226"/>
        <v>0</v>
      </c>
      <c r="CN301" s="824">
        <f t="shared" si="226"/>
        <v>0</v>
      </c>
      <c r="CO301" s="824">
        <f t="shared" si="226"/>
        <v>0</v>
      </c>
      <c r="CP301" s="824">
        <f t="shared" si="226"/>
        <v>0</v>
      </c>
      <c r="CQ301" s="824">
        <f t="shared" si="226"/>
        <v>0</v>
      </c>
      <c r="CR301" s="824">
        <f t="shared" si="226"/>
        <v>0</v>
      </c>
      <c r="CS301" s="824">
        <f t="shared" si="226"/>
        <v>0</v>
      </c>
      <c r="CT301" s="824">
        <f t="shared" si="229"/>
        <v>0</v>
      </c>
      <c r="CU301" s="824">
        <f t="shared" si="229"/>
        <v>0</v>
      </c>
      <c r="CV301" s="824">
        <f t="shared" si="229"/>
        <v>0</v>
      </c>
      <c r="CW301" s="824">
        <f t="shared" si="229"/>
        <v>0</v>
      </c>
      <c r="CX301" s="824">
        <f t="shared" si="229"/>
        <v>0</v>
      </c>
      <c r="CY301" s="824">
        <f t="shared" si="229"/>
        <v>0</v>
      </c>
      <c r="CZ301" s="824">
        <f t="shared" si="229"/>
        <v>0</v>
      </c>
      <c r="DA301" s="824">
        <f t="shared" si="229"/>
        <v>0</v>
      </c>
      <c r="DB301" s="824">
        <f t="shared" si="229"/>
        <v>0</v>
      </c>
      <c r="DC301" s="824">
        <f t="shared" si="229"/>
        <v>0</v>
      </c>
      <c r="DD301" s="824">
        <f t="shared" si="229"/>
        <v>0</v>
      </c>
      <c r="DE301" s="824">
        <f t="shared" si="229"/>
        <v>0</v>
      </c>
      <c r="DF301" s="824">
        <f t="shared" si="229"/>
        <v>0</v>
      </c>
      <c r="DG301" s="824">
        <f t="shared" si="229"/>
        <v>0</v>
      </c>
      <c r="DH301" s="824">
        <f t="shared" si="229"/>
        <v>0</v>
      </c>
      <c r="DI301" s="824">
        <f t="shared" si="229"/>
        <v>0</v>
      </c>
      <c r="DJ301" s="824">
        <f t="shared" si="220"/>
        <v>0</v>
      </c>
      <c r="DK301" s="824">
        <f t="shared" si="220"/>
        <v>0</v>
      </c>
      <c r="DL301" s="824">
        <f t="shared" si="220"/>
        <v>0</v>
      </c>
    </row>
    <row r="302" spans="2:116" ht="11.25" customHeight="1" thickBot="1" x14ac:dyDescent="0.3">
      <c r="B302" s="1673"/>
      <c r="C302" s="1060"/>
      <c r="D302" s="199" t="s">
        <v>272</v>
      </c>
      <c r="E302" s="116"/>
      <c r="F302" s="11">
        <f>SUBTOTAL(109,'3.1 I&amp;W'!$X$250)</f>
        <v>0</v>
      </c>
      <c r="G302" s="11">
        <f>SUBTOTAL(109,'3.1 I&amp;W'!$Y$250)</f>
        <v>0</v>
      </c>
      <c r="H302" s="11">
        <f>SUBTOTAL(109,'3.1 I&amp;W'!$AD$250)</f>
        <v>0</v>
      </c>
      <c r="I302" s="11">
        <f>SUBTOTAL(109,'3.1 I&amp;W'!$AE$250)</f>
        <v>0</v>
      </c>
      <c r="J302" s="116"/>
      <c r="K302" s="116"/>
      <c r="L302" s="116"/>
      <c r="M302" s="11">
        <f>SUBTOTAL(109,'3.1 I&amp;W'!$AI$250)</f>
        <v>100</v>
      </c>
      <c r="N302" s="156">
        <f t="shared" si="192"/>
        <v>0</v>
      </c>
      <c r="O302" s="200">
        <f>SUBTOTAL(109,'3.1 I&amp;W'!$S$250)</f>
        <v>59679.18</v>
      </c>
      <c r="P302" s="65">
        <f>IF(N302&gt;=1,O302*$G$158^(1*M302)/($G$157^(1*M302)),0)</f>
        <v>0</v>
      </c>
      <c r="Q302" s="66">
        <f>IF(N302&gt;=2,O302*$G$158^(2*M302)/($G$157^(2*M302)),0)</f>
        <v>0</v>
      </c>
      <c r="R302" s="66">
        <f>IF(N302&gt;=3,O302*$G$158^(3*M302)/($G$157^(3*M302)),0)</f>
        <v>0</v>
      </c>
      <c r="S302" s="66">
        <f>IF(N302&gt;=4,O302*$G$158^(4*M302)/($G$157^(4*M302)),0)</f>
        <v>0</v>
      </c>
      <c r="T302" s="67">
        <f>IF(N302&gt;=5,O302*$G$158^(5*M302)/($G$157^(5*M302)),0)</f>
        <v>0</v>
      </c>
      <c r="U302" s="37">
        <f>IF(M302=0,0,O302*$G$158^(N302*M302)*((N302+1)*M302-$G$154)/M302*(1/$G$157^$G$154))</f>
        <v>19396.804662715946</v>
      </c>
      <c r="V302" s="40">
        <f t="shared" si="224"/>
        <v>0</v>
      </c>
      <c r="W302" s="41">
        <f t="shared" si="225"/>
        <v>0</v>
      </c>
      <c r="X302" s="191"/>
      <c r="Y302" s="193"/>
      <c r="Z302" s="48"/>
      <c r="AA302" s="194"/>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824">
        <f t="shared" si="221"/>
        <v>100</v>
      </c>
      <c r="BM302" s="824">
        <f t="shared" si="222"/>
        <v>0</v>
      </c>
      <c r="BN302" s="824">
        <f t="shared" si="223"/>
        <v>59679.18</v>
      </c>
      <c r="BO302" s="824">
        <f t="shared" si="227"/>
        <v>0</v>
      </c>
      <c r="BP302" s="824">
        <f t="shared" si="227"/>
        <v>0</v>
      </c>
      <c r="BQ302" s="824">
        <f t="shared" si="227"/>
        <v>0</v>
      </c>
      <c r="BR302" s="824">
        <f t="shared" si="227"/>
        <v>0</v>
      </c>
      <c r="BS302" s="824">
        <f t="shared" si="227"/>
        <v>0</v>
      </c>
      <c r="BT302" s="824">
        <f t="shared" si="227"/>
        <v>0</v>
      </c>
      <c r="BU302" s="824">
        <f t="shared" si="227"/>
        <v>0</v>
      </c>
      <c r="BV302" s="824">
        <f t="shared" si="227"/>
        <v>0</v>
      </c>
      <c r="BW302" s="824">
        <f t="shared" si="227"/>
        <v>0</v>
      </c>
      <c r="BX302" s="824">
        <f t="shared" si="227"/>
        <v>0</v>
      </c>
      <c r="BY302" s="824">
        <f t="shared" si="227"/>
        <v>0</v>
      </c>
      <c r="BZ302" s="824">
        <f t="shared" si="227"/>
        <v>0</v>
      </c>
      <c r="CA302" s="824">
        <f t="shared" si="227"/>
        <v>0</v>
      </c>
      <c r="CB302" s="824">
        <f t="shared" si="227"/>
        <v>0</v>
      </c>
      <c r="CC302" s="824">
        <f t="shared" si="227"/>
        <v>0</v>
      </c>
      <c r="CD302" s="824">
        <f t="shared" si="227"/>
        <v>0</v>
      </c>
      <c r="CE302" s="824">
        <f t="shared" si="226"/>
        <v>0</v>
      </c>
      <c r="CF302" s="824">
        <f t="shared" si="226"/>
        <v>0</v>
      </c>
      <c r="CG302" s="824">
        <f t="shared" si="226"/>
        <v>0</v>
      </c>
      <c r="CH302" s="824">
        <f t="shared" si="226"/>
        <v>0</v>
      </c>
      <c r="CI302" s="824">
        <f t="shared" si="226"/>
        <v>0</v>
      </c>
      <c r="CJ302" s="824">
        <f t="shared" si="226"/>
        <v>0</v>
      </c>
      <c r="CK302" s="824">
        <f t="shared" si="226"/>
        <v>0</v>
      </c>
      <c r="CL302" s="824">
        <f t="shared" si="226"/>
        <v>0</v>
      </c>
      <c r="CM302" s="824">
        <f t="shared" si="226"/>
        <v>0</v>
      </c>
      <c r="CN302" s="824">
        <f t="shared" si="226"/>
        <v>0</v>
      </c>
      <c r="CO302" s="824">
        <f t="shared" si="226"/>
        <v>0</v>
      </c>
      <c r="CP302" s="824">
        <f t="shared" si="226"/>
        <v>0</v>
      </c>
      <c r="CQ302" s="824">
        <f t="shared" si="226"/>
        <v>0</v>
      </c>
      <c r="CR302" s="824">
        <f t="shared" si="226"/>
        <v>0</v>
      </c>
      <c r="CS302" s="824">
        <f t="shared" si="226"/>
        <v>0</v>
      </c>
      <c r="CT302" s="824">
        <f t="shared" si="229"/>
        <v>0</v>
      </c>
      <c r="CU302" s="824">
        <f t="shared" si="229"/>
        <v>0</v>
      </c>
      <c r="CV302" s="824">
        <f t="shared" si="229"/>
        <v>0</v>
      </c>
      <c r="CW302" s="824">
        <f t="shared" si="229"/>
        <v>0</v>
      </c>
      <c r="CX302" s="824">
        <f t="shared" si="229"/>
        <v>0</v>
      </c>
      <c r="CY302" s="824">
        <f t="shared" si="229"/>
        <v>0</v>
      </c>
      <c r="CZ302" s="824">
        <f t="shared" si="229"/>
        <v>0</v>
      </c>
      <c r="DA302" s="824">
        <f t="shared" si="229"/>
        <v>0</v>
      </c>
      <c r="DB302" s="824">
        <f t="shared" si="229"/>
        <v>0</v>
      </c>
      <c r="DC302" s="824">
        <f t="shared" si="229"/>
        <v>0</v>
      </c>
      <c r="DD302" s="824">
        <f t="shared" si="229"/>
        <v>0</v>
      </c>
      <c r="DE302" s="824">
        <f t="shared" si="229"/>
        <v>0</v>
      </c>
      <c r="DF302" s="824">
        <f t="shared" si="229"/>
        <v>0</v>
      </c>
      <c r="DG302" s="824">
        <f t="shared" si="229"/>
        <v>0</v>
      </c>
      <c r="DH302" s="824">
        <f t="shared" si="229"/>
        <v>0</v>
      </c>
      <c r="DI302" s="824">
        <f t="shared" si="229"/>
        <v>0</v>
      </c>
      <c r="DJ302" s="824">
        <f t="shared" si="220"/>
        <v>0</v>
      </c>
      <c r="DK302" s="824">
        <f t="shared" si="220"/>
        <v>0</v>
      </c>
      <c r="DL302" s="824">
        <f t="shared" si="220"/>
        <v>0</v>
      </c>
    </row>
    <row r="303" spans="2:116" ht="11.25" customHeight="1" thickBot="1" x14ac:dyDescent="0.3">
      <c r="B303" s="1673"/>
      <c r="C303" s="1060"/>
      <c r="D303" s="199" t="s">
        <v>365</v>
      </c>
      <c r="E303" s="116"/>
      <c r="F303" s="116"/>
      <c r="G303" s="116"/>
      <c r="H303" s="116"/>
      <c r="I303" s="116"/>
      <c r="J303" s="116"/>
      <c r="K303" s="116"/>
      <c r="L303" s="116"/>
      <c r="M303" s="116"/>
      <c r="N303" s="156">
        <f t="shared" si="192"/>
        <v>0</v>
      </c>
      <c r="O303" s="200">
        <f>IF(E303="j",0,IF('3.1 I&amp;W'!$S$254="",0,'3.1 I&amp;W'!$S$254))</f>
        <v>0</v>
      </c>
      <c r="P303" s="30"/>
      <c r="Q303" s="31"/>
      <c r="R303" s="31"/>
      <c r="S303" s="31"/>
      <c r="T303" s="188"/>
      <c r="U303" s="190"/>
      <c r="V303" s="40">
        <f t="shared" si="224"/>
        <v>0</v>
      </c>
      <c r="W303" s="41">
        <f t="shared" si="225"/>
        <v>0</v>
      </c>
      <c r="X303" s="191"/>
      <c r="Y303" s="193"/>
      <c r="Z303" s="48"/>
      <c r="AA303" s="194"/>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824">
        <f t="shared" si="221"/>
        <v>0</v>
      </c>
      <c r="BM303" s="824">
        <f t="shared" si="222"/>
        <v>0</v>
      </c>
      <c r="BN303" s="824">
        <f t="shared" si="223"/>
        <v>0</v>
      </c>
      <c r="BO303" s="824">
        <f t="shared" si="227"/>
        <v>0</v>
      </c>
      <c r="BP303" s="824">
        <f t="shared" si="227"/>
        <v>0</v>
      </c>
      <c r="BQ303" s="824">
        <f t="shared" si="227"/>
        <v>0</v>
      </c>
      <c r="BR303" s="824">
        <f t="shared" si="227"/>
        <v>0</v>
      </c>
      <c r="BS303" s="824">
        <f t="shared" si="227"/>
        <v>0</v>
      </c>
      <c r="BT303" s="824">
        <f t="shared" si="227"/>
        <v>0</v>
      </c>
      <c r="BU303" s="824">
        <f t="shared" si="227"/>
        <v>0</v>
      </c>
      <c r="BV303" s="824">
        <f t="shared" si="227"/>
        <v>0</v>
      </c>
      <c r="BW303" s="824">
        <f t="shared" si="227"/>
        <v>0</v>
      </c>
      <c r="BX303" s="824">
        <f t="shared" si="227"/>
        <v>0</v>
      </c>
      <c r="BY303" s="824">
        <f t="shared" si="227"/>
        <v>0</v>
      </c>
      <c r="BZ303" s="824">
        <f t="shared" si="227"/>
        <v>0</v>
      </c>
      <c r="CA303" s="824">
        <f t="shared" si="227"/>
        <v>0</v>
      </c>
      <c r="CB303" s="824">
        <f t="shared" si="227"/>
        <v>0</v>
      </c>
      <c r="CC303" s="824">
        <f t="shared" si="227"/>
        <v>0</v>
      </c>
      <c r="CD303" s="824">
        <f t="shared" si="227"/>
        <v>0</v>
      </c>
      <c r="CE303" s="824">
        <f t="shared" si="226"/>
        <v>0</v>
      </c>
      <c r="CF303" s="824">
        <f t="shared" si="226"/>
        <v>0</v>
      </c>
      <c r="CG303" s="824">
        <f t="shared" si="226"/>
        <v>0</v>
      </c>
      <c r="CH303" s="824">
        <f t="shared" si="226"/>
        <v>0</v>
      </c>
      <c r="CI303" s="824">
        <f t="shared" si="226"/>
        <v>0</v>
      </c>
      <c r="CJ303" s="824">
        <f t="shared" si="226"/>
        <v>0</v>
      </c>
      <c r="CK303" s="824">
        <f t="shared" si="226"/>
        <v>0</v>
      </c>
      <c r="CL303" s="824">
        <f t="shared" si="226"/>
        <v>0</v>
      </c>
      <c r="CM303" s="824">
        <f t="shared" si="226"/>
        <v>0</v>
      </c>
      <c r="CN303" s="824">
        <f t="shared" si="226"/>
        <v>0</v>
      </c>
      <c r="CO303" s="824">
        <f t="shared" si="226"/>
        <v>0</v>
      </c>
      <c r="CP303" s="824">
        <f t="shared" si="226"/>
        <v>0</v>
      </c>
      <c r="CQ303" s="824">
        <f t="shared" si="226"/>
        <v>0</v>
      </c>
      <c r="CR303" s="824">
        <f t="shared" si="226"/>
        <v>0</v>
      </c>
      <c r="CS303" s="824">
        <f t="shared" si="226"/>
        <v>0</v>
      </c>
      <c r="CT303" s="824">
        <f t="shared" si="229"/>
        <v>0</v>
      </c>
      <c r="CU303" s="824">
        <f t="shared" si="229"/>
        <v>0</v>
      </c>
      <c r="CV303" s="824">
        <f t="shared" si="229"/>
        <v>0</v>
      </c>
      <c r="CW303" s="824">
        <f t="shared" si="229"/>
        <v>0</v>
      </c>
      <c r="CX303" s="824">
        <f t="shared" si="229"/>
        <v>0</v>
      </c>
      <c r="CY303" s="824">
        <f t="shared" si="229"/>
        <v>0</v>
      </c>
      <c r="CZ303" s="824">
        <f t="shared" si="229"/>
        <v>0</v>
      </c>
      <c r="DA303" s="824">
        <f t="shared" si="229"/>
        <v>0</v>
      </c>
      <c r="DB303" s="824">
        <f t="shared" si="229"/>
        <v>0</v>
      </c>
      <c r="DC303" s="824">
        <f t="shared" si="229"/>
        <v>0</v>
      </c>
      <c r="DD303" s="824">
        <f t="shared" si="229"/>
        <v>0</v>
      </c>
      <c r="DE303" s="824">
        <f t="shared" si="229"/>
        <v>0</v>
      </c>
      <c r="DF303" s="824">
        <f t="shared" si="229"/>
        <v>0</v>
      </c>
      <c r="DG303" s="824">
        <f t="shared" si="229"/>
        <v>0</v>
      </c>
      <c r="DH303" s="824">
        <f t="shared" si="229"/>
        <v>0</v>
      </c>
      <c r="DI303" s="824">
        <f t="shared" si="229"/>
        <v>0</v>
      </c>
      <c r="DJ303" s="824">
        <f t="shared" si="220"/>
        <v>0</v>
      </c>
      <c r="DK303" s="824">
        <f t="shared" si="220"/>
        <v>0</v>
      </c>
      <c r="DL303" s="824">
        <f t="shared" si="220"/>
        <v>0</v>
      </c>
    </row>
    <row r="304" spans="2:116" ht="11.25" customHeight="1" thickBot="1" x14ac:dyDescent="0.3">
      <c r="B304" s="1673"/>
      <c r="C304" s="1060"/>
      <c r="D304" s="199"/>
      <c r="E304" s="116"/>
      <c r="F304" s="116"/>
      <c r="G304" s="116"/>
      <c r="H304" s="116"/>
      <c r="I304" s="116"/>
      <c r="J304" s="116"/>
      <c r="K304" s="116"/>
      <c r="L304" s="116"/>
      <c r="M304" s="116"/>
      <c r="N304" s="156">
        <f t="shared" si="192"/>
        <v>0</v>
      </c>
      <c r="O304" s="200"/>
      <c r="P304" s="30"/>
      <c r="Q304" s="31"/>
      <c r="R304" s="31"/>
      <c r="S304" s="31"/>
      <c r="T304" s="188"/>
      <c r="U304" s="190"/>
      <c r="V304" s="40">
        <f t="shared" si="224"/>
        <v>0</v>
      </c>
      <c r="W304" s="41">
        <f t="shared" si="225"/>
        <v>0</v>
      </c>
      <c r="X304" s="191"/>
      <c r="Y304" s="193"/>
      <c r="Z304" s="48"/>
      <c r="AA304" s="194"/>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824">
        <f t="shared" si="221"/>
        <v>0</v>
      </c>
      <c r="BM304" s="824">
        <f t="shared" si="222"/>
        <v>0</v>
      </c>
      <c r="BN304" s="824">
        <f t="shared" si="223"/>
        <v>0</v>
      </c>
      <c r="BO304" s="824">
        <f t="shared" si="227"/>
        <v>0</v>
      </c>
      <c r="BP304" s="824">
        <f t="shared" si="227"/>
        <v>0</v>
      </c>
      <c r="BQ304" s="824">
        <f t="shared" si="227"/>
        <v>0</v>
      </c>
      <c r="BR304" s="824">
        <f t="shared" si="227"/>
        <v>0</v>
      </c>
      <c r="BS304" s="824">
        <f t="shared" si="227"/>
        <v>0</v>
      </c>
      <c r="BT304" s="824">
        <f t="shared" si="227"/>
        <v>0</v>
      </c>
      <c r="BU304" s="824">
        <f t="shared" si="227"/>
        <v>0</v>
      </c>
      <c r="BV304" s="824">
        <f t="shared" si="227"/>
        <v>0</v>
      </c>
      <c r="BW304" s="824">
        <f t="shared" si="227"/>
        <v>0</v>
      </c>
      <c r="BX304" s="824">
        <f t="shared" si="227"/>
        <v>0</v>
      </c>
      <c r="BY304" s="824">
        <f t="shared" si="227"/>
        <v>0</v>
      </c>
      <c r="BZ304" s="824">
        <f t="shared" si="227"/>
        <v>0</v>
      </c>
      <c r="CA304" s="824">
        <f t="shared" si="227"/>
        <v>0</v>
      </c>
      <c r="CB304" s="824">
        <f t="shared" si="227"/>
        <v>0</v>
      </c>
      <c r="CC304" s="824">
        <f t="shared" si="227"/>
        <v>0</v>
      </c>
      <c r="CD304" s="824">
        <f t="shared" si="227"/>
        <v>0</v>
      </c>
      <c r="CE304" s="824">
        <f t="shared" si="226"/>
        <v>0</v>
      </c>
      <c r="CF304" s="824">
        <f t="shared" si="226"/>
        <v>0</v>
      </c>
      <c r="CG304" s="824">
        <f t="shared" si="226"/>
        <v>0</v>
      </c>
      <c r="CH304" s="824">
        <f t="shared" si="226"/>
        <v>0</v>
      </c>
      <c r="CI304" s="824">
        <f t="shared" si="226"/>
        <v>0</v>
      </c>
      <c r="CJ304" s="824">
        <f t="shared" si="226"/>
        <v>0</v>
      </c>
      <c r="CK304" s="824">
        <f t="shared" si="226"/>
        <v>0</v>
      </c>
      <c r="CL304" s="824">
        <f t="shared" si="226"/>
        <v>0</v>
      </c>
      <c r="CM304" s="824">
        <f t="shared" si="226"/>
        <v>0</v>
      </c>
      <c r="CN304" s="824">
        <f t="shared" si="226"/>
        <v>0</v>
      </c>
      <c r="CO304" s="824">
        <f t="shared" si="226"/>
        <v>0</v>
      </c>
      <c r="CP304" s="824">
        <f t="shared" si="226"/>
        <v>0</v>
      </c>
      <c r="CQ304" s="824">
        <f t="shared" si="226"/>
        <v>0</v>
      </c>
      <c r="CR304" s="824">
        <f t="shared" si="226"/>
        <v>0</v>
      </c>
      <c r="CS304" s="824">
        <f t="shared" si="226"/>
        <v>0</v>
      </c>
      <c r="CT304" s="824">
        <f t="shared" si="229"/>
        <v>0</v>
      </c>
      <c r="CU304" s="824">
        <f t="shared" si="229"/>
        <v>0</v>
      </c>
      <c r="CV304" s="824">
        <f t="shared" si="229"/>
        <v>0</v>
      </c>
      <c r="CW304" s="824">
        <f t="shared" si="229"/>
        <v>0</v>
      </c>
      <c r="CX304" s="824">
        <f t="shared" si="229"/>
        <v>0</v>
      </c>
      <c r="CY304" s="824">
        <f t="shared" si="229"/>
        <v>0</v>
      </c>
      <c r="CZ304" s="824">
        <f t="shared" si="229"/>
        <v>0</v>
      </c>
      <c r="DA304" s="824">
        <f t="shared" si="229"/>
        <v>0</v>
      </c>
      <c r="DB304" s="824">
        <f t="shared" si="229"/>
        <v>0</v>
      </c>
      <c r="DC304" s="824">
        <f t="shared" si="229"/>
        <v>0</v>
      </c>
      <c r="DD304" s="824">
        <f t="shared" si="229"/>
        <v>0</v>
      </c>
      <c r="DE304" s="824">
        <f t="shared" si="229"/>
        <v>0</v>
      </c>
      <c r="DF304" s="824">
        <f t="shared" si="229"/>
        <v>0</v>
      </c>
      <c r="DG304" s="824">
        <f t="shared" si="229"/>
        <v>0</v>
      </c>
      <c r="DH304" s="824">
        <f t="shared" si="229"/>
        <v>0</v>
      </c>
      <c r="DI304" s="824">
        <f t="shared" si="229"/>
        <v>0</v>
      </c>
      <c r="DJ304" s="824">
        <f t="shared" si="220"/>
        <v>0</v>
      </c>
      <c r="DK304" s="824">
        <f t="shared" si="220"/>
        <v>0</v>
      </c>
      <c r="DL304" s="824">
        <f t="shared" si="220"/>
        <v>0</v>
      </c>
    </row>
    <row r="305" spans="2:116" ht="11.25" customHeight="1" thickBot="1" x14ac:dyDescent="0.3">
      <c r="B305" s="1673"/>
      <c r="C305" s="1060"/>
      <c r="D305" s="199"/>
      <c r="E305" s="116"/>
      <c r="F305" s="11"/>
      <c r="G305" s="17"/>
      <c r="H305" s="11"/>
      <c r="I305" s="11"/>
      <c r="J305" s="11"/>
      <c r="K305" s="11"/>
      <c r="L305" s="11"/>
      <c r="M305" s="11"/>
      <c r="N305" s="156">
        <f t="shared" si="192"/>
        <v>0</v>
      </c>
      <c r="O305" s="200"/>
      <c r="P305" s="33"/>
      <c r="Q305" s="34"/>
      <c r="R305" s="34"/>
      <c r="S305" s="34"/>
      <c r="T305" s="189"/>
      <c r="U305" s="190"/>
      <c r="V305" s="40">
        <f t="shared" si="224"/>
        <v>0</v>
      </c>
      <c r="W305" s="41">
        <f t="shared" si="225"/>
        <v>0</v>
      </c>
      <c r="X305" s="192"/>
      <c r="Y305" s="195"/>
      <c r="Z305" s="49"/>
      <c r="AA305" s="196"/>
      <c r="AB305" s="823"/>
      <c r="AC305" s="823"/>
      <c r="AD305" s="823"/>
      <c r="AE305" s="823"/>
      <c r="AF305" s="823"/>
      <c r="AG305" s="823"/>
      <c r="AH305" s="823"/>
      <c r="AI305" s="823"/>
      <c r="AJ305" s="823"/>
      <c r="AK305" s="823"/>
      <c r="AL305" s="823"/>
      <c r="AM305" s="823"/>
      <c r="AN305" s="823"/>
      <c r="AO305" s="823"/>
      <c r="AP305" s="823"/>
      <c r="AQ305" s="823"/>
      <c r="AR305" s="823"/>
      <c r="AS305" s="823"/>
      <c r="AT305" s="823"/>
      <c r="AU305" s="823"/>
      <c r="AV305" s="823"/>
      <c r="AW305" s="823"/>
      <c r="AX305" s="823"/>
      <c r="AY305" s="823"/>
      <c r="AZ305" s="823"/>
      <c r="BA305" s="823"/>
      <c r="BB305" s="823"/>
      <c r="BC305" s="823"/>
      <c r="BD305" s="823"/>
      <c r="BE305" s="823"/>
      <c r="BF305" s="823"/>
      <c r="BG305" s="823"/>
      <c r="BH305" s="823"/>
      <c r="BI305" s="823"/>
      <c r="BJ305" s="823"/>
      <c r="BK305" s="823"/>
      <c r="BL305" s="824">
        <f t="shared" si="221"/>
        <v>0</v>
      </c>
      <c r="BM305" s="824">
        <f t="shared" si="222"/>
        <v>0</v>
      </c>
      <c r="BN305" s="824">
        <f t="shared" si="223"/>
        <v>0</v>
      </c>
      <c r="BO305" s="824">
        <f t="shared" si="227"/>
        <v>0</v>
      </c>
      <c r="BP305" s="824">
        <f t="shared" si="227"/>
        <v>0</v>
      </c>
      <c r="BQ305" s="824">
        <f t="shared" si="227"/>
        <v>0</v>
      </c>
      <c r="BR305" s="824">
        <f t="shared" si="227"/>
        <v>0</v>
      </c>
      <c r="BS305" s="824">
        <f t="shared" si="227"/>
        <v>0</v>
      </c>
      <c r="BT305" s="824">
        <f t="shared" si="227"/>
        <v>0</v>
      </c>
      <c r="BU305" s="824">
        <f t="shared" si="227"/>
        <v>0</v>
      </c>
      <c r="BV305" s="824">
        <f t="shared" si="227"/>
        <v>0</v>
      </c>
      <c r="BW305" s="824">
        <f t="shared" si="227"/>
        <v>0</v>
      </c>
      <c r="BX305" s="824">
        <f t="shared" si="227"/>
        <v>0</v>
      </c>
      <c r="BY305" s="824">
        <f t="shared" si="227"/>
        <v>0</v>
      </c>
      <c r="BZ305" s="824">
        <f t="shared" si="227"/>
        <v>0</v>
      </c>
      <c r="CA305" s="824">
        <f t="shared" si="227"/>
        <v>0</v>
      </c>
      <c r="CB305" s="824">
        <f t="shared" si="227"/>
        <v>0</v>
      </c>
      <c r="CC305" s="824">
        <f t="shared" si="227"/>
        <v>0</v>
      </c>
      <c r="CD305" s="824">
        <f t="shared" si="227"/>
        <v>0</v>
      </c>
      <c r="CE305" s="824">
        <f t="shared" si="226"/>
        <v>0</v>
      </c>
      <c r="CF305" s="824">
        <f t="shared" si="226"/>
        <v>0</v>
      </c>
      <c r="CG305" s="824">
        <f t="shared" si="226"/>
        <v>0</v>
      </c>
      <c r="CH305" s="824">
        <f t="shared" si="226"/>
        <v>0</v>
      </c>
      <c r="CI305" s="824">
        <f t="shared" si="226"/>
        <v>0</v>
      </c>
      <c r="CJ305" s="824">
        <f t="shared" si="226"/>
        <v>0</v>
      </c>
      <c r="CK305" s="824">
        <f t="shared" si="226"/>
        <v>0</v>
      </c>
      <c r="CL305" s="824">
        <f t="shared" si="226"/>
        <v>0</v>
      </c>
      <c r="CM305" s="824">
        <f t="shared" si="226"/>
        <v>0</v>
      </c>
      <c r="CN305" s="824">
        <f t="shared" si="226"/>
        <v>0</v>
      </c>
      <c r="CO305" s="824">
        <f t="shared" si="226"/>
        <v>0</v>
      </c>
      <c r="CP305" s="824">
        <f t="shared" si="226"/>
        <v>0</v>
      </c>
      <c r="CQ305" s="824">
        <f t="shared" si="226"/>
        <v>0</v>
      </c>
      <c r="CR305" s="824">
        <f t="shared" si="226"/>
        <v>0</v>
      </c>
      <c r="CS305" s="824">
        <f t="shared" si="226"/>
        <v>0</v>
      </c>
      <c r="CT305" s="824">
        <f t="shared" si="229"/>
        <v>0</v>
      </c>
      <c r="CU305" s="824">
        <f t="shared" si="229"/>
        <v>0</v>
      </c>
      <c r="CV305" s="824">
        <f t="shared" si="229"/>
        <v>0</v>
      </c>
      <c r="CW305" s="824">
        <f t="shared" si="229"/>
        <v>0</v>
      </c>
      <c r="CX305" s="824">
        <f t="shared" si="229"/>
        <v>0</v>
      </c>
      <c r="CY305" s="824">
        <f t="shared" si="229"/>
        <v>0</v>
      </c>
      <c r="CZ305" s="824">
        <f t="shared" si="229"/>
        <v>0</v>
      </c>
      <c r="DA305" s="824">
        <f t="shared" si="229"/>
        <v>0</v>
      </c>
      <c r="DB305" s="824">
        <f t="shared" si="229"/>
        <v>0</v>
      </c>
      <c r="DC305" s="824">
        <f t="shared" si="229"/>
        <v>0</v>
      </c>
      <c r="DD305" s="824">
        <f t="shared" si="229"/>
        <v>0</v>
      </c>
      <c r="DE305" s="824">
        <f t="shared" si="229"/>
        <v>0</v>
      </c>
      <c r="DF305" s="824">
        <f t="shared" si="229"/>
        <v>0</v>
      </c>
      <c r="DG305" s="824">
        <f t="shared" si="229"/>
        <v>0</v>
      </c>
      <c r="DH305" s="824">
        <f t="shared" si="229"/>
        <v>0</v>
      </c>
      <c r="DI305" s="824">
        <f t="shared" si="229"/>
        <v>0</v>
      </c>
      <c r="DJ305" s="824">
        <f t="shared" si="220"/>
        <v>0</v>
      </c>
      <c r="DK305" s="824">
        <f t="shared" si="220"/>
        <v>0</v>
      </c>
      <c r="DL305" s="824">
        <f t="shared" si="220"/>
        <v>0</v>
      </c>
    </row>
    <row r="306" spans="2:116" ht="12" thickBot="1" x14ac:dyDescent="0.3">
      <c r="B306" s="1673"/>
      <c r="C306" s="1680" t="s">
        <v>275</v>
      </c>
      <c r="D306" s="18" t="str">
        <f>'3.2 Fi&amp;Fo'!$D$47</f>
        <v>Verwaltung und Management</v>
      </c>
      <c r="E306" s="166"/>
      <c r="F306" s="13"/>
      <c r="G306" s="11"/>
      <c r="H306" s="13"/>
      <c r="I306" s="13"/>
      <c r="J306" s="64">
        <f>SUBTOTAL(109,'3.1 Fi&amp;Fo'!$K$47)</f>
        <v>0</v>
      </c>
      <c r="K306" s="12"/>
      <c r="L306" s="12"/>
      <c r="M306" s="13"/>
      <c r="N306" s="178"/>
      <c r="O306" s="21"/>
      <c r="P306" s="65">
        <f t="shared" si="210"/>
        <v>0</v>
      </c>
      <c r="Q306" s="66">
        <f t="shared" si="211"/>
        <v>0</v>
      </c>
      <c r="R306" s="66">
        <f t="shared" si="212"/>
        <v>0</v>
      </c>
      <c r="S306" s="66">
        <f t="shared" si="213"/>
        <v>0</v>
      </c>
      <c r="T306" s="67">
        <f t="shared" si="214"/>
        <v>0</v>
      </c>
      <c r="U306" s="37">
        <f t="shared" si="215"/>
        <v>0</v>
      </c>
      <c r="V306" s="40">
        <f t="shared" si="224"/>
        <v>0</v>
      </c>
      <c r="W306" s="41">
        <f t="shared" si="225"/>
        <v>0</v>
      </c>
      <c r="X306" s="42"/>
      <c r="Y306" s="45"/>
      <c r="Z306" s="127"/>
      <c r="AA306" s="135"/>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824"/>
      <c r="BM306" s="824"/>
      <c r="BN306" s="824"/>
      <c r="BO306" s="824"/>
      <c r="BP306" s="824"/>
      <c r="BQ306" s="824"/>
      <c r="BR306" s="824"/>
      <c r="BS306" s="824"/>
      <c r="BT306" s="824"/>
      <c r="BU306" s="824"/>
      <c r="BV306" s="824"/>
      <c r="BW306" s="824"/>
      <c r="BX306" s="824"/>
      <c r="BY306" s="824"/>
      <c r="BZ306" s="824"/>
      <c r="CA306" s="824"/>
      <c r="CB306" s="824"/>
      <c r="CC306" s="824"/>
      <c r="CD306" s="824"/>
      <c r="CE306" s="824"/>
      <c r="CF306" s="824"/>
      <c r="CG306" s="824"/>
      <c r="CH306" s="824"/>
      <c r="CI306" s="824"/>
      <c r="CJ306" s="824"/>
      <c r="CK306" s="824"/>
      <c r="CL306" s="824"/>
      <c r="CM306" s="824"/>
      <c r="CN306" s="824"/>
      <c r="CO306" s="824"/>
      <c r="CP306" s="824"/>
      <c r="CQ306" s="824"/>
      <c r="CR306" s="824"/>
      <c r="CS306" s="824"/>
      <c r="CT306" s="824"/>
      <c r="CU306" s="824"/>
      <c r="CV306" s="824"/>
      <c r="CW306" s="824"/>
      <c r="CX306" s="824"/>
      <c r="CY306" s="824"/>
      <c r="CZ306" s="824"/>
      <c r="DA306" s="824"/>
      <c r="DB306" s="824"/>
      <c r="DC306" s="824"/>
      <c r="DD306" s="824"/>
      <c r="DE306" s="824"/>
      <c r="DF306" s="824"/>
      <c r="DG306" s="824"/>
      <c r="DH306" s="824"/>
      <c r="DI306" s="824"/>
      <c r="DJ306" s="824"/>
      <c r="DK306" s="824"/>
      <c r="DL306" s="824"/>
    </row>
    <row r="307" spans="2:116" ht="12" thickBot="1" x14ac:dyDescent="0.3">
      <c r="B307" s="1673"/>
      <c r="C307" s="1680"/>
      <c r="D307" s="16" t="str">
        <f>'3.2 Fi&amp;Fo'!$D$48</f>
        <v>Gebühren, Steuern und Abgaben</v>
      </c>
      <c r="E307" s="97"/>
      <c r="F307" s="9"/>
      <c r="G307" s="116"/>
      <c r="H307" s="9"/>
      <c r="I307" s="9"/>
      <c r="J307" s="5">
        <f ca="1">SUBTOTAL(109,'3.1 Fi&amp;Fo'!$K$48)-'PV-Einspeisung'!AB20</f>
        <v>2996.3999999999996</v>
      </c>
      <c r="K307" s="116"/>
      <c r="L307" s="116"/>
      <c r="M307" s="9"/>
      <c r="N307" s="179"/>
      <c r="O307" s="22"/>
      <c r="P307" s="30">
        <f t="shared" si="210"/>
        <v>0</v>
      </c>
      <c r="Q307" s="31">
        <f t="shared" si="211"/>
        <v>0</v>
      </c>
      <c r="R307" s="31">
        <f t="shared" si="212"/>
        <v>0</v>
      </c>
      <c r="S307" s="31">
        <f t="shared" si="213"/>
        <v>0</v>
      </c>
      <c r="T307" s="32">
        <f t="shared" si="214"/>
        <v>0</v>
      </c>
      <c r="U307" s="37">
        <f t="shared" si="215"/>
        <v>0</v>
      </c>
      <c r="V307" s="40">
        <f t="shared" si="224"/>
        <v>0</v>
      </c>
      <c r="W307" s="41">
        <f ca="1">(I307+J307)*$I$167</f>
        <v>96249.766799551478</v>
      </c>
      <c r="X307" s="43"/>
      <c r="Y307" s="46"/>
      <c r="Z307" s="126"/>
      <c r="AA307" s="136"/>
      <c r="AB307" s="3"/>
      <c r="AC307" s="1665" t="s">
        <v>328</v>
      </c>
      <c r="AD307" s="1665"/>
      <c r="AE307" s="1665"/>
      <c r="AF307" s="850" t="str">
        <f>LISTEN!$B$3</f>
        <v>Heizöl</v>
      </c>
      <c r="AG307" s="850" t="str">
        <f>LISTEN!$C$3</f>
        <v>Erdgas</v>
      </c>
      <c r="AH307" s="850" t="str">
        <f>LISTEN!$D$3</f>
        <v>Kohle</v>
      </c>
      <c r="AI307" s="850" t="str">
        <f>LISTEN!$E$3</f>
        <v>Fernwärme ne.</v>
      </c>
      <c r="AJ307" s="850" t="str">
        <f>LISTEN!$F$3</f>
        <v>Fernwärme e.</v>
      </c>
      <c r="AK307" s="850" t="str">
        <f>LISTEN!$G$3</f>
        <v>Biomasse</v>
      </c>
      <c r="AL307" s="850" t="str">
        <f>LISTEN!$H$3</f>
        <v>Strom</v>
      </c>
      <c r="AM307" s="850" t="str">
        <f>LISTEN!$I$3</f>
        <v>Wärmepumpenstrom</v>
      </c>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824"/>
      <c r="BM307" s="824"/>
      <c r="BN307" s="827" t="s">
        <v>580</v>
      </c>
      <c r="BO307" s="827">
        <v>1</v>
      </c>
      <c r="BP307" s="827">
        <v>2</v>
      </c>
      <c r="BQ307" s="827">
        <v>3</v>
      </c>
      <c r="BR307" s="827">
        <v>4</v>
      </c>
      <c r="BS307" s="827">
        <v>5</v>
      </c>
      <c r="BT307" s="827">
        <v>6</v>
      </c>
      <c r="BU307" s="827">
        <v>7</v>
      </c>
      <c r="BV307" s="827">
        <v>8</v>
      </c>
      <c r="BW307" s="827">
        <v>9</v>
      </c>
      <c r="BX307" s="827">
        <v>10</v>
      </c>
      <c r="BY307" s="827">
        <v>11</v>
      </c>
      <c r="BZ307" s="827">
        <v>12</v>
      </c>
      <c r="CA307" s="827">
        <v>13</v>
      </c>
      <c r="CB307" s="827">
        <v>14</v>
      </c>
      <c r="CC307" s="827">
        <v>15</v>
      </c>
      <c r="CD307" s="827">
        <v>16</v>
      </c>
      <c r="CE307" s="827">
        <v>17</v>
      </c>
      <c r="CF307" s="827">
        <v>18</v>
      </c>
      <c r="CG307" s="827">
        <v>19</v>
      </c>
      <c r="CH307" s="827">
        <v>20</v>
      </c>
      <c r="CI307" s="827">
        <v>21</v>
      </c>
      <c r="CJ307" s="827">
        <v>22</v>
      </c>
      <c r="CK307" s="827">
        <v>23</v>
      </c>
      <c r="CL307" s="827">
        <v>24</v>
      </c>
      <c r="CM307" s="827">
        <v>25</v>
      </c>
      <c r="CN307" s="827">
        <v>26</v>
      </c>
      <c r="CO307" s="827">
        <v>27</v>
      </c>
      <c r="CP307" s="827">
        <v>28</v>
      </c>
      <c r="CQ307" s="827">
        <v>29</v>
      </c>
      <c r="CR307" s="827">
        <v>30</v>
      </c>
      <c r="CS307" s="827">
        <v>31</v>
      </c>
      <c r="CT307" s="827">
        <v>32</v>
      </c>
      <c r="CU307" s="827">
        <v>33</v>
      </c>
      <c r="CV307" s="827">
        <v>34</v>
      </c>
      <c r="CW307" s="827">
        <v>35</v>
      </c>
      <c r="CX307" s="827">
        <v>36</v>
      </c>
      <c r="CY307" s="827">
        <v>37</v>
      </c>
      <c r="CZ307" s="827">
        <v>38</v>
      </c>
      <c r="DA307" s="827">
        <v>39</v>
      </c>
      <c r="DB307" s="827">
        <v>40</v>
      </c>
      <c r="DC307" s="827">
        <v>41</v>
      </c>
      <c r="DD307" s="827">
        <v>42</v>
      </c>
      <c r="DE307" s="827">
        <v>43</v>
      </c>
      <c r="DF307" s="827">
        <v>44</v>
      </c>
      <c r="DG307" s="827">
        <v>45</v>
      </c>
      <c r="DH307" s="827">
        <v>46</v>
      </c>
      <c r="DI307" s="827">
        <v>47</v>
      </c>
      <c r="DJ307" s="827">
        <v>48</v>
      </c>
      <c r="DK307" s="827">
        <v>49</v>
      </c>
      <c r="DL307" s="827">
        <v>50</v>
      </c>
    </row>
    <row r="308" spans="2:116" ht="12" thickBot="1" x14ac:dyDescent="0.3">
      <c r="B308" s="1673"/>
      <c r="C308" s="1680"/>
      <c r="D308" s="16" t="str">
        <f>'3.2 Fi&amp;Fo'!$D$56</f>
        <v>Technisches Gebäudemanagement</v>
      </c>
      <c r="E308" s="97"/>
      <c r="F308" s="9"/>
      <c r="G308" s="116"/>
      <c r="H308" s="9"/>
      <c r="I308" s="9"/>
      <c r="J308" s="5">
        <f>SUBTOTAL(109,'3.1 Fi&amp;Fo'!$K$56)</f>
        <v>0</v>
      </c>
      <c r="K308" s="116"/>
      <c r="L308" s="116"/>
      <c r="M308" s="9"/>
      <c r="N308" s="179"/>
      <c r="O308" s="22"/>
      <c r="P308" s="30">
        <f t="shared" si="210"/>
        <v>0</v>
      </c>
      <c r="Q308" s="31">
        <f t="shared" si="211"/>
        <v>0</v>
      </c>
      <c r="R308" s="31">
        <f t="shared" si="212"/>
        <v>0</v>
      </c>
      <c r="S308" s="31">
        <f t="shared" si="213"/>
        <v>0</v>
      </c>
      <c r="T308" s="32">
        <f t="shared" si="214"/>
        <v>0</v>
      </c>
      <c r="U308" s="37">
        <f t="shared" si="215"/>
        <v>0</v>
      </c>
      <c r="V308" s="40">
        <f t="shared" si="224"/>
        <v>0</v>
      </c>
      <c r="W308" s="41">
        <f t="shared" si="225"/>
        <v>0</v>
      </c>
      <c r="X308" s="43"/>
      <c r="Y308" s="46"/>
      <c r="Z308" s="128"/>
      <c r="AA308" s="136"/>
      <c r="AB308" s="3"/>
      <c r="AC308" s="156" t="s">
        <v>329</v>
      </c>
      <c r="AD308" s="156" t="s">
        <v>199</v>
      </c>
      <c r="AE308" s="156" t="s">
        <v>198</v>
      </c>
      <c r="AF308" s="850">
        <f>SUMIF($L$309:$L$327,AF307,$K$309:$K$327)</f>
        <v>0</v>
      </c>
      <c r="AG308" s="850">
        <f t="shared" ref="AG308:AL308" si="230">SUMIF($L$309:$L$327,AG307,$K$309:$K$327)</f>
        <v>0</v>
      </c>
      <c r="AH308" s="850">
        <f t="shared" si="230"/>
        <v>0</v>
      </c>
      <c r="AI308" s="850">
        <f t="shared" si="230"/>
        <v>0</v>
      </c>
      <c r="AJ308" s="850">
        <f t="shared" si="230"/>
        <v>0</v>
      </c>
      <c r="AK308" s="850">
        <f t="shared" si="230"/>
        <v>0</v>
      </c>
      <c r="AL308" s="850">
        <f t="shared" si="230"/>
        <v>6110.0965094399999</v>
      </c>
      <c r="AM308" s="850">
        <f>SUMIF($L$309:$L$327,AM307,$K$309:$K$327)</f>
        <v>7114.0923480000001</v>
      </c>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824"/>
      <c r="BM308" s="824"/>
      <c r="BN308" s="828"/>
      <c r="BO308" s="828">
        <f>SUM(BO199:BO305)</f>
        <v>0</v>
      </c>
      <c r="BP308" s="828">
        <f>SUM(BP199:BP305)</f>
        <v>0</v>
      </c>
      <c r="BQ308" s="828">
        <f>SUM(BQ199:BQ305)</f>
        <v>0</v>
      </c>
      <c r="BR308" s="828">
        <f>SUM(BR199:BR305)</f>
        <v>0</v>
      </c>
      <c r="BS308" s="828">
        <f t="shared" ref="BS308:DL308" si="231">SUM(BS199:BS305)</f>
        <v>0</v>
      </c>
      <c r="BT308" s="828">
        <f t="shared" si="231"/>
        <v>0</v>
      </c>
      <c r="BU308" s="828">
        <f t="shared" si="231"/>
        <v>0</v>
      </c>
      <c r="BV308" s="828">
        <f t="shared" si="231"/>
        <v>0</v>
      </c>
      <c r="BW308" s="828">
        <f t="shared" si="231"/>
        <v>0</v>
      </c>
      <c r="BX308" s="828">
        <f t="shared" si="231"/>
        <v>0</v>
      </c>
      <c r="BY308" s="828">
        <f t="shared" si="231"/>
        <v>0</v>
      </c>
      <c r="BZ308" s="828">
        <f t="shared" si="231"/>
        <v>0</v>
      </c>
      <c r="CA308" s="828">
        <f t="shared" si="231"/>
        <v>0</v>
      </c>
      <c r="CB308" s="828">
        <f t="shared" si="231"/>
        <v>0</v>
      </c>
      <c r="CC308" s="828">
        <f t="shared" si="231"/>
        <v>27819.795727419776</v>
      </c>
      <c r="CD308" s="828">
        <f t="shared" si="231"/>
        <v>0</v>
      </c>
      <c r="CE308" s="828">
        <f t="shared" si="231"/>
        <v>0</v>
      </c>
      <c r="CF308" s="828">
        <f t="shared" si="231"/>
        <v>0</v>
      </c>
      <c r="CG308" s="828">
        <f t="shared" si="231"/>
        <v>0</v>
      </c>
      <c r="CH308" s="828">
        <f t="shared" si="231"/>
        <v>39628.527331267935</v>
      </c>
      <c r="CI308" s="828">
        <f t="shared" si="231"/>
        <v>0</v>
      </c>
      <c r="CJ308" s="828">
        <f t="shared" si="231"/>
        <v>0</v>
      </c>
      <c r="CK308" s="828">
        <f t="shared" si="231"/>
        <v>0</v>
      </c>
      <c r="CL308" s="828">
        <f t="shared" si="231"/>
        <v>0</v>
      </c>
      <c r="CM308" s="828">
        <f t="shared" si="231"/>
        <v>52712.350498980741</v>
      </c>
      <c r="CN308" s="828">
        <f t="shared" si="231"/>
        <v>0</v>
      </c>
      <c r="CO308" s="828">
        <f t="shared" si="231"/>
        <v>0</v>
      </c>
      <c r="CP308" s="828">
        <f t="shared" si="231"/>
        <v>0</v>
      </c>
      <c r="CQ308" s="828">
        <f t="shared" si="231"/>
        <v>0</v>
      </c>
      <c r="CR308" s="828">
        <f t="shared" si="231"/>
        <v>150514.72851978976</v>
      </c>
      <c r="CS308" s="828">
        <f t="shared" si="231"/>
        <v>0</v>
      </c>
      <c r="CT308" s="828">
        <f t="shared" si="231"/>
        <v>0</v>
      </c>
      <c r="CU308" s="828">
        <f t="shared" si="231"/>
        <v>0</v>
      </c>
      <c r="CV308" s="828">
        <f t="shared" si="231"/>
        <v>0</v>
      </c>
      <c r="CW308" s="828">
        <f t="shared" si="231"/>
        <v>0</v>
      </c>
      <c r="CX308" s="828">
        <f t="shared" si="231"/>
        <v>0</v>
      </c>
      <c r="CY308" s="828">
        <f t="shared" si="231"/>
        <v>0</v>
      </c>
      <c r="CZ308" s="828">
        <f t="shared" si="231"/>
        <v>0</v>
      </c>
      <c r="DA308" s="828">
        <f t="shared" si="231"/>
        <v>0</v>
      </c>
      <c r="DB308" s="828">
        <f t="shared" si="231"/>
        <v>0</v>
      </c>
      <c r="DC308" s="828">
        <f t="shared" si="231"/>
        <v>0</v>
      </c>
      <c r="DD308" s="828">
        <f t="shared" si="231"/>
        <v>0</v>
      </c>
      <c r="DE308" s="828">
        <f t="shared" si="231"/>
        <v>0</v>
      </c>
      <c r="DF308" s="828">
        <f t="shared" si="231"/>
        <v>0</v>
      </c>
      <c r="DG308" s="828">
        <f t="shared" si="231"/>
        <v>0</v>
      </c>
      <c r="DH308" s="828">
        <f t="shared" si="231"/>
        <v>0</v>
      </c>
      <c r="DI308" s="828">
        <f t="shared" si="231"/>
        <v>0</v>
      </c>
      <c r="DJ308" s="828">
        <f t="shared" si="231"/>
        <v>0</v>
      </c>
      <c r="DK308" s="828">
        <f t="shared" si="231"/>
        <v>0</v>
      </c>
      <c r="DL308" s="828">
        <f t="shared" si="231"/>
        <v>0</v>
      </c>
    </row>
    <row r="309" spans="2:116" ht="12" thickBot="1" x14ac:dyDescent="0.3">
      <c r="B309" s="1673"/>
      <c r="C309" s="1680"/>
      <c r="D309" s="97" t="str">
        <f>'3.2 Fi&amp;Fo'!$E$63</f>
        <v>Heizung</v>
      </c>
      <c r="E309" s="97"/>
      <c r="F309" s="9"/>
      <c r="G309" s="116"/>
      <c r="H309" s="9"/>
      <c r="I309" s="9"/>
      <c r="J309" s="116"/>
      <c r="K309" s="5">
        <f>SUBTOTAL(109,'3.1 Fi&amp;Fo'!$K$63)</f>
        <v>3982.1774757600001</v>
      </c>
      <c r="L309" s="5" t="str">
        <f>'2. Energie KW.'!F15</f>
        <v>Wärmepumpenstrom</v>
      </c>
      <c r="M309" s="9"/>
      <c r="N309" s="179"/>
      <c r="O309" s="22"/>
      <c r="P309" s="30">
        <f t="shared" ref="P309:P332" si="232">IF(N309&gt;=1,O309*$G$158^(1*M309)/($G$157^(1*M309)),0)</f>
        <v>0</v>
      </c>
      <c r="Q309" s="31">
        <f t="shared" ref="Q309:Q332" si="233">IF(N309&gt;=2,O309*$G$158^(2*M309)/($G$157^(2*M309)),0)</f>
        <v>0</v>
      </c>
      <c r="R309" s="31">
        <f t="shared" ref="R309:R332" si="234">IF(N309&gt;=3,O309*$G$158^(3*M309)/($G$157^(3*M309)),0)</f>
        <v>0</v>
      </c>
      <c r="S309" s="31">
        <f t="shared" ref="S309:S332" si="235">IF(N309&gt;=4,O309*$G$158^(4*M309)/($G$157^(4*M309)),0)</f>
        <v>0</v>
      </c>
      <c r="T309" s="32">
        <f t="shared" ref="T309:T332" si="236">IF(N309&gt;=5,O309*$G$158^(5*M309)/($G$157^(5*M309)),0)</f>
        <v>0</v>
      </c>
      <c r="U309" s="37">
        <f t="shared" si="215"/>
        <v>0</v>
      </c>
      <c r="V309" s="40">
        <f t="shared" si="224"/>
        <v>0</v>
      </c>
      <c r="W309" s="41">
        <f t="shared" si="225"/>
        <v>0</v>
      </c>
      <c r="X309" s="43">
        <f>IFERROR(K309*VLOOKUP(L309,$A$159:$I$166,9,FALSE),0)</f>
        <v>177044.23224061046</v>
      </c>
      <c r="Y309" s="755"/>
      <c r="Z309" s="756"/>
      <c r="AA309" s="136">
        <f>K309*$O$151</f>
        <v>0</v>
      </c>
      <c r="AB309" s="3"/>
      <c r="AC309" s="156">
        <f>IF(L309="f",K309,0)</f>
        <v>0</v>
      </c>
      <c r="AD309" s="156">
        <f>IF(L309="s",K309,0)</f>
        <v>0</v>
      </c>
      <c r="AE309" s="156">
        <f>IF(L309="b",K309,0)</f>
        <v>0</v>
      </c>
      <c r="AF309" s="3"/>
      <c r="AG309" s="59"/>
      <c r="AH309" s="59"/>
      <c r="AI309" s="59"/>
      <c r="AJ309" s="59"/>
      <c r="AK309" s="59"/>
      <c r="AL309" s="59"/>
      <c r="AM309" s="59"/>
      <c r="AN309" s="59"/>
      <c r="AO309" s="59"/>
      <c r="AP309" s="3"/>
      <c r="AQ309" s="3"/>
      <c r="AR309" s="3"/>
      <c r="AS309" s="3"/>
      <c r="AT309" s="3"/>
      <c r="AU309" s="3"/>
      <c r="AV309" s="3"/>
      <c r="AW309" s="3"/>
      <c r="AX309" s="3"/>
      <c r="AY309" s="3"/>
      <c r="AZ309" s="3"/>
      <c r="BA309" s="3"/>
      <c r="BB309" s="3"/>
      <c r="BC309" s="3"/>
      <c r="BD309" s="3"/>
      <c r="BE309" s="3"/>
      <c r="BF309" s="3"/>
      <c r="BG309" s="3"/>
      <c r="BH309" s="3"/>
      <c r="BI309" s="3"/>
      <c r="BJ309" s="3"/>
      <c r="BK309" s="3"/>
      <c r="BL309" s="824"/>
      <c r="BM309" s="824"/>
      <c r="BN309" s="824"/>
      <c r="BO309" s="824"/>
      <c r="BP309" s="824"/>
      <c r="BQ309" s="824"/>
      <c r="BR309" s="824"/>
      <c r="BS309" s="824"/>
      <c r="BT309" s="824"/>
      <c r="BU309" s="824"/>
      <c r="BV309" s="824"/>
      <c r="BW309" s="824"/>
      <c r="BX309" s="824"/>
      <c r="BY309" s="824"/>
      <c r="BZ309" s="824"/>
      <c r="CA309" s="824"/>
      <c r="CB309" s="824"/>
      <c r="CC309" s="824"/>
      <c r="CD309" s="824"/>
      <c r="CE309" s="824"/>
      <c r="CF309" s="824"/>
      <c r="CG309" s="824"/>
      <c r="CH309" s="824"/>
      <c r="CI309" s="824"/>
      <c r="CJ309" s="824"/>
      <c r="CK309" s="824"/>
      <c r="CL309" s="824"/>
      <c r="CM309" s="824"/>
      <c r="CN309" s="824"/>
      <c r="CO309" s="824"/>
      <c r="CP309" s="824"/>
      <c r="CQ309" s="824"/>
      <c r="CR309" s="824"/>
      <c r="CS309" s="824"/>
      <c r="CT309" s="824"/>
      <c r="CU309" s="824"/>
      <c r="CV309" s="824"/>
      <c r="CW309" s="824"/>
      <c r="CX309" s="824"/>
      <c r="CY309" s="824"/>
      <c r="CZ309" s="824"/>
      <c r="DA309" s="824"/>
      <c r="DB309" s="824"/>
      <c r="DC309" s="824"/>
      <c r="DD309" s="824"/>
      <c r="DE309" s="824"/>
      <c r="DF309" s="824"/>
      <c r="DG309" s="824"/>
      <c r="DH309" s="824"/>
      <c r="DI309" s="824"/>
      <c r="DJ309" s="824"/>
      <c r="DK309" s="824"/>
      <c r="DL309" s="824"/>
    </row>
    <row r="310" spans="2:116" ht="12" thickBot="1" x14ac:dyDescent="0.3">
      <c r="B310" s="1673"/>
      <c r="C310" s="1680"/>
      <c r="D310" s="97" t="str">
        <f>'3.2 Fi&amp;Fo'!$E$64</f>
        <v>Heizung 2</v>
      </c>
      <c r="E310" s="97"/>
      <c r="F310" s="9"/>
      <c r="G310" s="116"/>
      <c r="H310" s="9"/>
      <c r="I310" s="9"/>
      <c r="J310" s="116"/>
      <c r="K310" s="5">
        <f>SUBTOTAL(109,'3.1 Fi&amp;Fo'!$K$64)</f>
        <v>0</v>
      </c>
      <c r="L310" s="5">
        <f>'2. Energie KW.'!F16</f>
        <v>0</v>
      </c>
      <c r="M310" s="9"/>
      <c r="N310" s="179"/>
      <c r="O310" s="22"/>
      <c r="P310" s="30">
        <f>IF(N310&gt;=1,O310*$G$158^(1*M310)/($G$157^(1*M310)),0)</f>
        <v>0</v>
      </c>
      <c r="Q310" s="31">
        <f t="shared" si="233"/>
        <v>0</v>
      </c>
      <c r="R310" s="31">
        <f t="shared" si="234"/>
        <v>0</v>
      </c>
      <c r="S310" s="31">
        <f t="shared" si="235"/>
        <v>0</v>
      </c>
      <c r="T310" s="32">
        <f t="shared" si="236"/>
        <v>0</v>
      </c>
      <c r="U310" s="37">
        <f>IF(M310=0,0,O310*$G$158^(N310*M310)*((N310+1)*M310-$G$154)/M310*(1/$G$157^$G$154))</f>
        <v>0</v>
      </c>
      <c r="V310" s="40">
        <f t="shared" si="224"/>
        <v>0</v>
      </c>
      <c r="W310" s="41">
        <f t="shared" si="225"/>
        <v>0</v>
      </c>
      <c r="X310" s="43">
        <f t="shared" ref="X310:X329" si="237">IFERROR(K310*VLOOKUP(L310,$A$159:$I$166,9,FALSE),0)</f>
        <v>0</v>
      </c>
      <c r="Y310" s="755"/>
      <c r="Z310" s="756"/>
      <c r="AA310" s="136">
        <f>K310*$O$151</f>
        <v>0</v>
      </c>
      <c r="AB310" s="3"/>
      <c r="AC310" s="156">
        <f t="shared" ref="AC310:AC330" si="238">IF(L310="f",K310,0)</f>
        <v>0</v>
      </c>
      <c r="AD310" s="156">
        <f t="shared" ref="AD310:AD330" si="239">IF(L310="s",K310,0)</f>
        <v>0</v>
      </c>
      <c r="AE310" s="156">
        <f t="shared" ref="AE310:AE330" si="240">IF(L310="b",K310,0)</f>
        <v>0</v>
      </c>
      <c r="AF310" s="3"/>
      <c r="AG310" s="59"/>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824"/>
      <c r="BM310" s="824"/>
      <c r="BN310" s="824"/>
      <c r="BO310" s="824"/>
      <c r="BP310" s="824"/>
      <c r="BQ310" s="824"/>
      <c r="BR310" s="824"/>
      <c r="BS310" s="824"/>
      <c r="BT310" s="824"/>
      <c r="BU310" s="824"/>
      <c r="BV310" s="824"/>
      <c r="BW310" s="824"/>
      <c r="BX310" s="824"/>
      <c r="BY310" s="824"/>
      <c r="BZ310" s="824"/>
      <c r="CA310" s="824"/>
      <c r="CB310" s="824"/>
      <c r="CC310" s="824"/>
      <c r="CD310" s="824"/>
      <c r="CE310" s="824"/>
      <c r="CF310" s="824"/>
      <c r="CG310" s="824"/>
      <c r="CH310" s="824"/>
      <c r="CI310" s="824"/>
      <c r="CJ310" s="824"/>
      <c r="CK310" s="824"/>
      <c r="CL310" s="824"/>
      <c r="CM310" s="824"/>
      <c r="CN310" s="824"/>
      <c r="CO310" s="824"/>
      <c r="CP310" s="824"/>
      <c r="CQ310" s="824"/>
      <c r="CR310" s="824"/>
      <c r="CS310" s="824"/>
      <c r="CT310" s="824"/>
      <c r="CU310" s="824"/>
      <c r="CV310" s="824"/>
      <c r="CW310" s="824"/>
      <c r="CX310" s="824"/>
      <c r="CY310" s="824"/>
      <c r="CZ310" s="824"/>
      <c r="DA310" s="824"/>
      <c r="DB310" s="824"/>
      <c r="DC310" s="824"/>
      <c r="DD310" s="824"/>
      <c r="DE310" s="824"/>
      <c r="DF310" s="824"/>
      <c r="DG310" s="824"/>
      <c r="DH310" s="824"/>
      <c r="DI310" s="824"/>
      <c r="DJ310" s="824"/>
      <c r="DK310" s="824"/>
      <c r="DL310" s="824"/>
    </row>
    <row r="311" spans="2:116" ht="12" thickBot="1" x14ac:dyDescent="0.3">
      <c r="B311" s="1673"/>
      <c r="C311" s="1680"/>
      <c r="D311" s="97" t="str">
        <f>'3.2 Fi&amp;Fo'!$E$65</f>
        <v>Warmwasser</v>
      </c>
      <c r="E311" s="97"/>
      <c r="F311" s="9"/>
      <c r="G311" s="116"/>
      <c r="H311" s="9"/>
      <c r="I311" s="9"/>
      <c r="J311" s="116"/>
      <c r="K311" s="5">
        <f>SUBTOTAL(109,'3.1 Fi&amp;Fo'!$K$65)</f>
        <v>3131.9148722400005</v>
      </c>
      <c r="L311" s="5" t="str">
        <f>'2. Energie KW.'!F17</f>
        <v>Wärmepumpenstrom</v>
      </c>
      <c r="M311" s="9"/>
      <c r="N311" s="179"/>
      <c r="O311" s="22"/>
      <c r="P311" s="30">
        <f t="shared" si="232"/>
        <v>0</v>
      </c>
      <c r="Q311" s="31">
        <f t="shared" si="233"/>
        <v>0</v>
      </c>
      <c r="R311" s="31">
        <f t="shared" si="234"/>
        <v>0</v>
      </c>
      <c r="S311" s="31">
        <f t="shared" si="235"/>
        <v>0</v>
      </c>
      <c r="T311" s="32">
        <f t="shared" si="236"/>
        <v>0</v>
      </c>
      <c r="U311" s="37">
        <f t="shared" si="215"/>
        <v>0</v>
      </c>
      <c r="V311" s="40">
        <f t="shared" si="224"/>
        <v>0</v>
      </c>
      <c r="W311" s="41">
        <f t="shared" si="225"/>
        <v>0</v>
      </c>
      <c r="X311" s="43">
        <f t="shared" si="237"/>
        <v>139242.2782193695</v>
      </c>
      <c r="Y311" s="755"/>
      <c r="Z311" s="756"/>
      <c r="AA311" s="136">
        <f>K311*$O$151</f>
        <v>0</v>
      </c>
      <c r="AB311" s="3"/>
      <c r="AC311" s="156">
        <f t="shared" si="238"/>
        <v>0</v>
      </c>
      <c r="AD311" s="156">
        <f t="shared" si="239"/>
        <v>0</v>
      </c>
      <c r="AE311" s="156">
        <f t="shared" si="240"/>
        <v>0</v>
      </c>
      <c r="AF311" s="3"/>
      <c r="AG311" s="59"/>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row>
    <row r="312" spans="2:116" ht="12" thickBot="1" x14ac:dyDescent="0.3">
      <c r="B312" s="1673"/>
      <c r="C312" s="1680"/>
      <c r="D312" s="97" t="str">
        <f>'3.2 Fi&amp;Fo'!$E$66</f>
        <v>Warmwasser 2</v>
      </c>
      <c r="E312" s="97"/>
      <c r="F312" s="9"/>
      <c r="G312" s="116"/>
      <c r="H312" s="9"/>
      <c r="I312" s="9"/>
      <c r="J312" s="116"/>
      <c r="K312" s="5">
        <f>SUBTOTAL(109,'3.1 Fi&amp;Fo'!$K$66)</f>
        <v>0</v>
      </c>
      <c r="L312" s="5">
        <f>'2. Energie KW.'!F18</f>
        <v>0</v>
      </c>
      <c r="M312" s="9"/>
      <c r="N312" s="179"/>
      <c r="O312" s="22"/>
      <c r="P312" s="30">
        <f t="shared" si="232"/>
        <v>0</v>
      </c>
      <c r="Q312" s="31">
        <f t="shared" si="233"/>
        <v>0</v>
      </c>
      <c r="R312" s="31">
        <f t="shared" si="234"/>
        <v>0</v>
      </c>
      <c r="S312" s="31">
        <f t="shared" si="235"/>
        <v>0</v>
      </c>
      <c r="T312" s="32">
        <f t="shared" si="236"/>
        <v>0</v>
      </c>
      <c r="U312" s="37">
        <f t="shared" si="215"/>
        <v>0</v>
      </c>
      <c r="V312" s="40">
        <f t="shared" si="224"/>
        <v>0</v>
      </c>
      <c r="W312" s="41">
        <f t="shared" si="225"/>
        <v>0</v>
      </c>
      <c r="X312" s="43">
        <f t="shared" si="237"/>
        <v>0</v>
      </c>
      <c r="Y312" s="755"/>
      <c r="Z312" s="756"/>
      <c r="AA312" s="136">
        <f>K312*$O$151</f>
        <v>0</v>
      </c>
      <c r="AB312" s="3"/>
      <c r="AC312" s="156">
        <f t="shared" ref="AC312:AC313" si="241">IF(L312="f",K312,0)</f>
        <v>0</v>
      </c>
      <c r="AD312" s="156">
        <f t="shared" ref="AD312:AD313" si="242">IF(L312="s",K312,0)</f>
        <v>0</v>
      </c>
      <c r="AE312" s="156">
        <f t="shared" ref="AE312:AE313" si="243">IF(L312="b",K312,0)</f>
        <v>0</v>
      </c>
      <c r="AF312" s="3"/>
      <c r="AG312" s="59"/>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row>
    <row r="313" spans="2:116" ht="12" thickBot="1" x14ac:dyDescent="0.3">
      <c r="B313" s="1673"/>
      <c r="C313" s="1680"/>
      <c r="D313" s="97" t="str">
        <f>'3.2 Fi&amp;Fo'!$E$67</f>
        <v>Klimatisierung</v>
      </c>
      <c r="E313" s="97"/>
      <c r="F313" s="9"/>
      <c r="G313" s="116"/>
      <c r="H313" s="9"/>
      <c r="I313" s="9"/>
      <c r="J313" s="116"/>
      <c r="K313" s="5">
        <f>SUBTOTAL(109,'3.1 Fi&amp;Fo'!$K$67)</f>
        <v>0</v>
      </c>
      <c r="L313" s="5">
        <f>'2. Energie KW.'!F19</f>
        <v>0</v>
      </c>
      <c r="M313" s="9"/>
      <c r="N313" s="179"/>
      <c r="O313" s="22"/>
      <c r="P313" s="30">
        <f t="shared" si="232"/>
        <v>0</v>
      </c>
      <c r="Q313" s="31">
        <f t="shared" si="233"/>
        <v>0</v>
      </c>
      <c r="R313" s="31">
        <f t="shared" si="234"/>
        <v>0</v>
      </c>
      <c r="S313" s="31">
        <f t="shared" si="235"/>
        <v>0</v>
      </c>
      <c r="T313" s="32">
        <f t="shared" si="236"/>
        <v>0</v>
      </c>
      <c r="U313" s="37">
        <f t="shared" si="215"/>
        <v>0</v>
      </c>
      <c r="V313" s="40">
        <f t="shared" si="224"/>
        <v>0</v>
      </c>
      <c r="W313" s="41">
        <f t="shared" si="225"/>
        <v>0</v>
      </c>
      <c r="X313" s="43">
        <f t="shared" si="237"/>
        <v>0</v>
      </c>
      <c r="Y313" s="755"/>
      <c r="Z313" s="756"/>
      <c r="AA313" s="136">
        <f>K313*$O$151</f>
        <v>0</v>
      </c>
      <c r="AB313" s="3"/>
      <c r="AC313" s="156">
        <f t="shared" si="241"/>
        <v>0</v>
      </c>
      <c r="AD313" s="156">
        <f t="shared" si="242"/>
        <v>0</v>
      </c>
      <c r="AE313" s="156">
        <f t="shared" si="243"/>
        <v>0</v>
      </c>
      <c r="AF313" s="3"/>
      <c r="AG313" s="59"/>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row>
    <row r="314" spans="2:116" ht="12" thickBot="1" x14ac:dyDescent="0.3">
      <c r="B314" s="1673"/>
      <c r="C314" s="1680"/>
      <c r="D314" s="97"/>
      <c r="E314" s="97"/>
      <c r="F314" s="9"/>
      <c r="G314" s="116"/>
      <c r="H314" s="9"/>
      <c r="I314" s="9"/>
      <c r="J314" s="116"/>
      <c r="K314" s="5"/>
      <c r="L314" s="5"/>
      <c r="M314" s="9"/>
      <c r="N314" s="179"/>
      <c r="O314" s="22"/>
      <c r="P314" s="30"/>
      <c r="Q314" s="31"/>
      <c r="R314" s="31"/>
      <c r="S314" s="31"/>
      <c r="T314" s="32"/>
      <c r="U314" s="37"/>
      <c r="V314" s="40"/>
      <c r="W314" s="41"/>
      <c r="X314" s="43"/>
      <c r="Y314" s="755"/>
      <c r="Z314" s="756"/>
      <c r="AA314" s="136"/>
      <c r="AB314" s="3"/>
      <c r="AC314" s="156"/>
      <c r="AD314" s="156"/>
      <c r="AE314" s="156"/>
      <c r="AF314" s="3"/>
      <c r="AG314" s="59"/>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row>
    <row r="315" spans="2:116" ht="12" thickBot="1" x14ac:dyDescent="0.3">
      <c r="B315" s="1673"/>
      <c r="C315" s="1680"/>
      <c r="D315" s="97" t="str">
        <f>'3.2 Fi&amp;Fo'!$E$68</f>
        <v>Kühlung</v>
      </c>
      <c r="E315" s="97"/>
      <c r="F315" s="9"/>
      <c r="G315" s="116"/>
      <c r="H315" s="9"/>
      <c r="I315" s="9"/>
      <c r="J315" s="116"/>
      <c r="K315" s="5">
        <f>SUBTOTAL(109,'3.1 Fi&amp;Fo'!$K$68)</f>
        <v>0</v>
      </c>
      <c r="L315" s="5">
        <f>'2. Energie KW.'!F20</f>
        <v>0</v>
      </c>
      <c r="M315" s="9"/>
      <c r="N315" s="179"/>
      <c r="O315" s="22"/>
      <c r="P315" s="30">
        <f>IF(N315&gt;=1,O315*$G$158^(1*M315)/($G$157^(1*M315)),0)</f>
        <v>0</v>
      </c>
      <c r="Q315" s="31">
        <f>IF(N315&gt;=2,O315*$G$158^(2*M315)/($G$157^(2*M315)),0)</f>
        <v>0</v>
      </c>
      <c r="R315" s="31">
        <f>IF(N315&gt;=3,O315*$G$158^(3*M315)/($G$157^(3*M315)),0)</f>
        <v>0</v>
      </c>
      <c r="S315" s="31">
        <f>IF(N315&gt;=4,O315*$G$158^(4*M315)/($G$157^(4*M315)),0)</f>
        <v>0</v>
      </c>
      <c r="T315" s="32">
        <f>IF(N315&gt;=5,O315*$G$158^(5*M315)/($G$157^(5*M315)),0)</f>
        <v>0</v>
      </c>
      <c r="U315" s="37">
        <f t="shared" si="215"/>
        <v>0</v>
      </c>
      <c r="V315" s="40">
        <f t="shared" ref="V315:V336" si="244">G315*$I$169</f>
        <v>0</v>
      </c>
      <c r="W315" s="41">
        <f t="shared" ref="W315:W336" si="245">(I315+J315)*$I$167</f>
        <v>0</v>
      </c>
      <c r="X315" s="43">
        <f t="shared" si="237"/>
        <v>0</v>
      </c>
      <c r="Y315" s="757" t="s">
        <v>530</v>
      </c>
      <c r="Z315" s="756"/>
      <c r="AA315" s="136">
        <f t="shared" ref="AA315:AA330" si="246">K315*$O$151</f>
        <v>0</v>
      </c>
      <c r="AB315" s="3"/>
      <c r="AC315" s="156">
        <f t="shared" ref="AC315:AC327" si="247">IF(L315="f",K315,0)</f>
        <v>0</v>
      </c>
      <c r="AD315" s="156">
        <f t="shared" ref="AD315:AD327" si="248">IF(L315="s",K315,0)</f>
        <v>0</v>
      </c>
      <c r="AE315" s="156">
        <f t="shared" ref="AE315:AE327" si="249">IF(L315="b",K315,0)</f>
        <v>0</v>
      </c>
      <c r="AF315" s="3"/>
      <c r="AG315" s="59"/>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row>
    <row r="316" spans="2:116" ht="12" thickBot="1" x14ac:dyDescent="0.3">
      <c r="B316" s="1673"/>
      <c r="C316" s="1680"/>
      <c r="D316" s="97" t="str">
        <f>'3.2 Fi&amp;Fo'!$E$69</f>
        <v>Hilfstrom Heizung</v>
      </c>
      <c r="E316" s="97"/>
      <c r="F316" s="9"/>
      <c r="G316" s="116"/>
      <c r="H316" s="9"/>
      <c r="I316" s="9"/>
      <c r="J316" s="116"/>
      <c r="K316" s="5">
        <f>SUBTOTAL(109,'3.1 Fi&amp;Fo'!$K$69)</f>
        <v>210.54173183999998</v>
      </c>
      <c r="L316" s="5" t="str">
        <f>'2. Energie KW.'!F21</f>
        <v>Strom</v>
      </c>
      <c r="M316" s="9"/>
      <c r="N316" s="179"/>
      <c r="O316" s="22"/>
      <c r="P316" s="30">
        <f>IF(N316&gt;=1,O316*$G$158^(1*M316)/($G$157^(1*M316)),0)</f>
        <v>0</v>
      </c>
      <c r="Q316" s="31">
        <f>IF(N316&gt;=2,O316*$G$158^(2*M316)/($G$157^(2*M316)),0)</f>
        <v>0</v>
      </c>
      <c r="R316" s="31">
        <f>IF(N316&gt;=3,O316*$G$158^(3*M316)/($G$157^(3*M316)),0)</f>
        <v>0</v>
      </c>
      <c r="S316" s="31">
        <f>IF(N316&gt;=4,O316*$G$158^(4*M316)/($G$157^(4*M316)),0)</f>
        <v>0</v>
      </c>
      <c r="T316" s="32">
        <f>IF(N316&gt;=5,O316*$G$158^(5*M316)/($G$157^(5*M316)),0)</f>
        <v>0</v>
      </c>
      <c r="U316" s="37">
        <f t="shared" si="215"/>
        <v>0</v>
      </c>
      <c r="V316" s="40">
        <f t="shared" si="244"/>
        <v>0</v>
      </c>
      <c r="W316" s="41">
        <f t="shared" si="245"/>
        <v>0</v>
      </c>
      <c r="X316" s="43">
        <f t="shared" si="237"/>
        <v>7860.2860718127058</v>
      </c>
      <c r="Y316" s="755"/>
      <c r="Z316" s="756"/>
      <c r="AA316" s="136">
        <f t="shared" si="246"/>
        <v>0</v>
      </c>
      <c r="AB316" s="3"/>
      <c r="AC316" s="156">
        <f t="shared" si="247"/>
        <v>0</v>
      </c>
      <c r="AD316" s="156">
        <f t="shared" si="248"/>
        <v>0</v>
      </c>
      <c r="AE316" s="156">
        <f t="shared" si="249"/>
        <v>0</v>
      </c>
      <c r="AF316" s="3"/>
      <c r="AG316" s="59"/>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row>
    <row r="317" spans="2:116" ht="12" thickBot="1" x14ac:dyDescent="0.3">
      <c r="B317" s="1673"/>
      <c r="C317" s="1680"/>
      <c r="D317" s="97" t="str">
        <f>'3.2 Fi&amp;Fo'!$E$70</f>
        <v>Hilfsstrom Warmwasser</v>
      </c>
      <c r="E317" s="97"/>
      <c r="F317" s="9"/>
      <c r="G317" s="116"/>
      <c r="H317" s="9"/>
      <c r="I317" s="9"/>
      <c r="J317" s="116"/>
      <c r="K317" s="5">
        <f>SUBTOTAL(109,'3.1 Fi&amp;Fo'!$K$70)</f>
        <v>109.657152</v>
      </c>
      <c r="L317" s="5" t="str">
        <f>'2. Energie KW.'!F22</f>
        <v>Strom</v>
      </c>
      <c r="M317" s="9"/>
      <c r="N317" s="179"/>
      <c r="O317" s="22"/>
      <c r="P317" s="30">
        <f>IF(N317&gt;=1,O317*$G$158^(1*M317)/($G$157^(1*M317)),0)</f>
        <v>0</v>
      </c>
      <c r="Q317" s="31">
        <f>IF(N317&gt;=2,O317*$G$158^(2*M317)/($G$157^(2*M317)),0)</f>
        <v>0</v>
      </c>
      <c r="R317" s="31">
        <f>IF(N317&gt;=3,O317*$G$158^(3*M317)/($G$157^(3*M317)),0)</f>
        <v>0</v>
      </c>
      <c r="S317" s="31">
        <f>IF(N317&gt;=4,O317*$G$158^(4*M317)/($G$157^(4*M317)),0)</f>
        <v>0</v>
      </c>
      <c r="T317" s="32">
        <f>IF(N317&gt;=5,O317*$G$158^(5*M317)/($G$157^(5*M317)),0)</f>
        <v>0</v>
      </c>
      <c r="U317" s="37">
        <f t="shared" si="215"/>
        <v>0</v>
      </c>
      <c r="V317" s="40">
        <f t="shared" si="244"/>
        <v>0</v>
      </c>
      <c r="W317" s="41">
        <f t="shared" si="245"/>
        <v>0</v>
      </c>
      <c r="X317" s="43">
        <f t="shared" si="237"/>
        <v>4093.8989957357844</v>
      </c>
      <c r="Y317" s="755"/>
      <c r="Z317" s="756"/>
      <c r="AA317" s="136">
        <f t="shared" si="246"/>
        <v>0</v>
      </c>
      <c r="AB317" s="3"/>
      <c r="AC317" s="156">
        <f t="shared" si="247"/>
        <v>0</v>
      </c>
      <c r="AD317" s="156">
        <f t="shared" si="248"/>
        <v>0</v>
      </c>
      <c r="AE317" s="156">
        <f t="shared" si="249"/>
        <v>0</v>
      </c>
      <c r="AF317" s="3"/>
      <c r="AG317" s="59"/>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row>
    <row r="318" spans="2:116" ht="12" thickBot="1" x14ac:dyDescent="0.3">
      <c r="B318" s="1673"/>
      <c r="C318" s="1680"/>
      <c r="D318" s="97" t="str">
        <f>'3.2 Fi&amp;Fo'!$E$71</f>
        <v>Hilfsstrom Solaranlage</v>
      </c>
      <c r="E318" s="97"/>
      <c r="F318" s="9"/>
      <c r="G318" s="116"/>
      <c r="H318" s="9"/>
      <c r="I318" s="9"/>
      <c r="J318" s="116"/>
      <c r="K318" s="5">
        <f>SUBTOTAL(109,'3.1 Fi&amp;Fo'!$K$71)</f>
        <v>0</v>
      </c>
      <c r="L318" s="5" t="str">
        <f>'2. Energie KW.'!F23</f>
        <v>Strom</v>
      </c>
      <c r="M318" s="9"/>
      <c r="N318" s="179"/>
      <c r="O318" s="22"/>
      <c r="P318" s="30">
        <f t="shared" si="232"/>
        <v>0</v>
      </c>
      <c r="Q318" s="31">
        <f t="shared" si="233"/>
        <v>0</v>
      </c>
      <c r="R318" s="31">
        <f t="shared" si="234"/>
        <v>0</v>
      </c>
      <c r="S318" s="31">
        <f t="shared" si="235"/>
        <v>0</v>
      </c>
      <c r="T318" s="32">
        <f t="shared" si="236"/>
        <v>0</v>
      </c>
      <c r="U318" s="37">
        <f t="shared" si="215"/>
        <v>0</v>
      </c>
      <c r="V318" s="40">
        <f t="shared" si="244"/>
        <v>0</v>
      </c>
      <c r="W318" s="41">
        <f t="shared" si="245"/>
        <v>0</v>
      </c>
      <c r="X318" s="43">
        <f t="shared" si="237"/>
        <v>0</v>
      </c>
      <c r="Y318" s="755"/>
      <c r="Z318" s="756"/>
      <c r="AA318" s="136">
        <f t="shared" si="246"/>
        <v>0</v>
      </c>
      <c r="AB318" s="3"/>
      <c r="AC318" s="156">
        <f t="shared" si="247"/>
        <v>0</v>
      </c>
      <c r="AD318" s="156">
        <f t="shared" si="248"/>
        <v>0</v>
      </c>
      <c r="AE318" s="156">
        <f t="shared" si="249"/>
        <v>0</v>
      </c>
      <c r="AF318" s="3"/>
      <c r="AG318" s="59"/>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row>
    <row r="319" spans="2:116" ht="12" thickBot="1" x14ac:dyDescent="0.3">
      <c r="B319" s="1673"/>
      <c r="C319" s="1680"/>
      <c r="D319" s="97" t="str">
        <f>'3.2 Fi&amp;Fo'!$E$72</f>
        <v>Hilfsstrom Klimatisierung</v>
      </c>
      <c r="E319" s="97"/>
      <c r="F319" s="9"/>
      <c r="G319" s="116"/>
      <c r="H319" s="9"/>
      <c r="I319" s="9"/>
      <c r="J319" s="116"/>
      <c r="K319" s="5">
        <f>SUBTOTAL(109,'3.1 Fi&amp;Fo'!$K$72)</f>
        <v>0</v>
      </c>
      <c r="L319" s="5" t="str">
        <f>'2. Energie KW.'!F24</f>
        <v>Strom</v>
      </c>
      <c r="M319" s="9"/>
      <c r="N319" s="179"/>
      <c r="O319" s="22"/>
      <c r="P319" s="30">
        <f t="shared" si="232"/>
        <v>0</v>
      </c>
      <c r="Q319" s="31">
        <f t="shared" si="233"/>
        <v>0</v>
      </c>
      <c r="R319" s="31">
        <f t="shared" si="234"/>
        <v>0</v>
      </c>
      <c r="S319" s="31">
        <f t="shared" si="235"/>
        <v>0</v>
      </c>
      <c r="T319" s="32">
        <f t="shared" si="236"/>
        <v>0</v>
      </c>
      <c r="U319" s="37">
        <f t="shared" si="215"/>
        <v>0</v>
      </c>
      <c r="V319" s="40">
        <f t="shared" si="244"/>
        <v>0</v>
      </c>
      <c r="W319" s="41">
        <f t="shared" si="245"/>
        <v>0</v>
      </c>
      <c r="X319" s="43">
        <f t="shared" si="237"/>
        <v>0</v>
      </c>
      <c r="Y319" s="755"/>
      <c r="Z319" s="756"/>
      <c r="AA319" s="136">
        <f t="shared" si="246"/>
        <v>0</v>
      </c>
      <c r="AB319" s="3"/>
      <c r="AC319" s="156">
        <f t="shared" si="247"/>
        <v>0</v>
      </c>
      <c r="AD319" s="156">
        <f t="shared" si="248"/>
        <v>0</v>
      </c>
      <c r="AE319" s="156">
        <f t="shared" si="249"/>
        <v>0</v>
      </c>
      <c r="AF319" s="3"/>
      <c r="AG319" s="59"/>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row>
    <row r="320" spans="2:116" ht="12" thickBot="1" x14ac:dyDescent="0.3">
      <c r="B320" s="1673"/>
      <c r="C320" s="1680"/>
      <c r="D320" s="97" t="str">
        <f>'3.2 Fi&amp;Fo'!$E$73</f>
        <v>Hilfsstrom Lüftung</v>
      </c>
      <c r="E320" s="97"/>
      <c r="F320" s="9"/>
      <c r="G320" s="116"/>
      <c r="H320" s="9"/>
      <c r="I320" s="9"/>
      <c r="J320" s="116"/>
      <c r="K320" s="5">
        <f>SUBTOTAL(109,'3.1 Fi&amp;Fo'!$K$73)</f>
        <v>307.04002559999998</v>
      </c>
      <c r="L320" s="5" t="str">
        <f>'2. Energie KW.'!F25</f>
        <v>Strom</v>
      </c>
      <c r="M320" s="9"/>
      <c r="N320" s="179"/>
      <c r="O320" s="22"/>
      <c r="P320" s="30">
        <f t="shared" si="232"/>
        <v>0</v>
      </c>
      <c r="Q320" s="31">
        <f t="shared" si="233"/>
        <v>0</v>
      </c>
      <c r="R320" s="31">
        <f t="shared" si="234"/>
        <v>0</v>
      </c>
      <c r="S320" s="31">
        <f t="shared" si="235"/>
        <v>0</v>
      </c>
      <c r="T320" s="32">
        <f t="shared" si="236"/>
        <v>0</v>
      </c>
      <c r="U320" s="37">
        <f t="shared" si="215"/>
        <v>0</v>
      </c>
      <c r="V320" s="40">
        <f t="shared" si="244"/>
        <v>0</v>
      </c>
      <c r="W320" s="41">
        <f t="shared" si="245"/>
        <v>0</v>
      </c>
      <c r="X320" s="43">
        <f t="shared" si="237"/>
        <v>11462.917188060195</v>
      </c>
      <c r="Y320" s="755"/>
      <c r="Z320" s="756"/>
      <c r="AA320" s="136">
        <f t="shared" si="246"/>
        <v>0</v>
      </c>
      <c r="AB320" s="3"/>
      <c r="AC320" s="156">
        <f t="shared" si="247"/>
        <v>0</v>
      </c>
      <c r="AD320" s="156">
        <f t="shared" si="248"/>
        <v>0</v>
      </c>
      <c r="AE320" s="156">
        <f t="shared" si="249"/>
        <v>0</v>
      </c>
      <c r="AF320" s="3"/>
      <c r="AG320" s="59"/>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row>
    <row r="321" spans="2:63" ht="12" thickBot="1" x14ac:dyDescent="0.3">
      <c r="B321" s="1673"/>
      <c r="C321" s="1680"/>
      <c r="D321" s="97" t="str">
        <f>'3.2 Fi&amp;Fo'!$E$74</f>
        <v>Hilfsstrom Kühlung</v>
      </c>
      <c r="E321" s="97"/>
      <c r="F321" s="9"/>
      <c r="G321" s="116"/>
      <c r="H321" s="9"/>
      <c r="I321" s="9"/>
      <c r="J321" s="116"/>
      <c r="K321" s="5">
        <f>SUBTOTAL(109,'3.1 Fi&amp;Fo'!$K$74)</f>
        <v>0</v>
      </c>
      <c r="L321" s="5" t="str">
        <f>'2. Energie KW.'!F26</f>
        <v>Strom</v>
      </c>
      <c r="M321" s="9"/>
      <c r="N321" s="179"/>
      <c r="O321" s="22"/>
      <c r="P321" s="30">
        <f t="shared" si="232"/>
        <v>0</v>
      </c>
      <c r="Q321" s="31">
        <f t="shared" si="233"/>
        <v>0</v>
      </c>
      <c r="R321" s="31">
        <f t="shared" si="234"/>
        <v>0</v>
      </c>
      <c r="S321" s="31">
        <f t="shared" si="235"/>
        <v>0</v>
      </c>
      <c r="T321" s="32">
        <f t="shared" si="236"/>
        <v>0</v>
      </c>
      <c r="U321" s="37">
        <f t="shared" si="215"/>
        <v>0</v>
      </c>
      <c r="V321" s="40">
        <f t="shared" si="244"/>
        <v>0</v>
      </c>
      <c r="W321" s="41">
        <f t="shared" si="245"/>
        <v>0</v>
      </c>
      <c r="X321" s="43">
        <f t="shared" si="237"/>
        <v>0</v>
      </c>
      <c r="Y321" s="755"/>
      <c r="Z321" s="756"/>
      <c r="AA321" s="136">
        <f t="shared" si="246"/>
        <v>0</v>
      </c>
      <c r="AB321" s="3"/>
      <c r="AC321" s="156">
        <f t="shared" si="247"/>
        <v>0</v>
      </c>
      <c r="AD321" s="156">
        <f t="shared" si="248"/>
        <v>0</v>
      </c>
      <c r="AE321" s="156">
        <f t="shared" si="249"/>
        <v>0</v>
      </c>
      <c r="AF321" s="3"/>
      <c r="AG321" s="59"/>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row>
    <row r="322" spans="2:63" ht="12" thickBot="1" x14ac:dyDescent="0.3">
      <c r="B322" s="1673"/>
      <c r="C322" s="1680"/>
      <c r="D322" s="97" t="str">
        <f>'3.2 Fi&amp;Fo'!$E$75</f>
        <v>Beleuchtung</v>
      </c>
      <c r="E322" s="97"/>
      <c r="F322" s="9"/>
      <c r="G322" s="116"/>
      <c r="H322" s="9"/>
      <c r="I322" s="9"/>
      <c r="J322" s="116"/>
      <c r="K322" s="5">
        <f>SUBTOTAL(109,'3.1 Fi&amp;Fo'!$K$75)</f>
        <v>0</v>
      </c>
      <c r="L322" s="5" t="str">
        <f>'2. Energie KW.'!F27</f>
        <v>Strom</v>
      </c>
      <c r="M322" s="9"/>
      <c r="N322" s="179"/>
      <c r="O322" s="22"/>
      <c r="P322" s="30">
        <f t="shared" si="232"/>
        <v>0</v>
      </c>
      <c r="Q322" s="31">
        <f t="shared" si="233"/>
        <v>0</v>
      </c>
      <c r="R322" s="31">
        <f t="shared" si="234"/>
        <v>0</v>
      </c>
      <c r="S322" s="31">
        <f t="shared" si="235"/>
        <v>0</v>
      </c>
      <c r="T322" s="32">
        <f t="shared" si="236"/>
        <v>0</v>
      </c>
      <c r="U322" s="37">
        <f t="shared" si="215"/>
        <v>0</v>
      </c>
      <c r="V322" s="40">
        <f t="shared" si="244"/>
        <v>0</v>
      </c>
      <c r="W322" s="41">
        <f t="shared" si="245"/>
        <v>0</v>
      </c>
      <c r="X322" s="43">
        <f t="shared" si="237"/>
        <v>0</v>
      </c>
      <c r="Y322" s="755"/>
      <c r="Z322" s="756"/>
      <c r="AA322" s="136">
        <f t="shared" si="246"/>
        <v>0</v>
      </c>
      <c r="AB322" s="3"/>
      <c r="AC322" s="156">
        <f t="shared" si="247"/>
        <v>0</v>
      </c>
      <c r="AD322" s="156">
        <f t="shared" si="248"/>
        <v>0</v>
      </c>
      <c r="AE322" s="156">
        <f t="shared" si="249"/>
        <v>0</v>
      </c>
      <c r="AF322" s="3"/>
      <c r="AG322" s="59"/>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row>
    <row r="323" spans="2:63" ht="12" thickBot="1" x14ac:dyDescent="0.3">
      <c r="B323" s="1673"/>
      <c r="C323" s="1680"/>
      <c r="D323" s="97" t="str">
        <f>'3.2 Fi&amp;Fo'!$E$76</f>
        <v>EDV</v>
      </c>
      <c r="E323" s="97"/>
      <c r="F323" s="9"/>
      <c r="G323" s="116"/>
      <c r="H323" s="9"/>
      <c r="I323" s="9"/>
      <c r="J323" s="116"/>
      <c r="K323" s="5">
        <f>SUBTOTAL(109,'3.1 Fi&amp;Fo'!$K$76)</f>
        <v>0</v>
      </c>
      <c r="L323" s="5" t="str">
        <f>'2. Energie KW.'!F28</f>
        <v>Strom</v>
      </c>
      <c r="M323" s="9"/>
      <c r="N323" s="179"/>
      <c r="O323" s="22"/>
      <c r="P323" s="30">
        <f t="shared" si="232"/>
        <v>0</v>
      </c>
      <c r="Q323" s="31">
        <f t="shared" si="233"/>
        <v>0</v>
      </c>
      <c r="R323" s="31">
        <f t="shared" si="234"/>
        <v>0</v>
      </c>
      <c r="S323" s="31">
        <f t="shared" si="235"/>
        <v>0</v>
      </c>
      <c r="T323" s="32">
        <f t="shared" si="236"/>
        <v>0</v>
      </c>
      <c r="U323" s="37">
        <f t="shared" si="215"/>
        <v>0</v>
      </c>
      <c r="V323" s="40">
        <f t="shared" si="244"/>
        <v>0</v>
      </c>
      <c r="W323" s="41">
        <f t="shared" si="245"/>
        <v>0</v>
      </c>
      <c r="X323" s="43">
        <f t="shared" si="237"/>
        <v>0</v>
      </c>
      <c r="Y323" s="755"/>
      <c r="Z323" s="756"/>
      <c r="AA323" s="136">
        <f t="shared" si="246"/>
        <v>0</v>
      </c>
      <c r="AB323" s="3"/>
      <c r="AC323" s="156">
        <f t="shared" si="247"/>
        <v>0</v>
      </c>
      <c r="AD323" s="156">
        <f t="shared" si="248"/>
        <v>0</v>
      </c>
      <c r="AE323" s="156">
        <f t="shared" si="249"/>
        <v>0</v>
      </c>
      <c r="AF323" s="3"/>
      <c r="AG323" s="59"/>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row>
    <row r="324" spans="2:63" ht="12" thickBot="1" x14ac:dyDescent="0.3">
      <c r="B324" s="1673"/>
      <c r="C324" s="1680"/>
      <c r="D324" s="97" t="str">
        <f>'3.2 Fi&amp;Fo'!$E$77</f>
        <v>Haushaltsstrom</v>
      </c>
      <c r="E324" s="97"/>
      <c r="F324" s="9"/>
      <c r="G324" s="116"/>
      <c r="H324" s="9"/>
      <c r="I324" s="9"/>
      <c r="J324" s="116"/>
      <c r="K324" s="5">
        <f>SUBTOTAL(109,'3.1 Fi&amp;Fo'!$K$77)</f>
        <v>5482.8576000000003</v>
      </c>
      <c r="L324" s="5" t="str">
        <f>'2. Energie KW.'!F29</f>
        <v>Strom</v>
      </c>
      <c r="M324" s="9"/>
      <c r="N324" s="179"/>
      <c r="O324" s="22"/>
      <c r="P324" s="30">
        <f t="shared" si="232"/>
        <v>0</v>
      </c>
      <c r="Q324" s="31">
        <f t="shared" si="233"/>
        <v>0</v>
      </c>
      <c r="R324" s="31">
        <f t="shared" si="234"/>
        <v>0</v>
      </c>
      <c r="S324" s="31">
        <f t="shared" si="235"/>
        <v>0</v>
      </c>
      <c r="T324" s="32">
        <f t="shared" si="236"/>
        <v>0</v>
      </c>
      <c r="U324" s="37">
        <f t="shared" si="215"/>
        <v>0</v>
      </c>
      <c r="V324" s="40">
        <f t="shared" si="244"/>
        <v>0</v>
      </c>
      <c r="W324" s="41">
        <f t="shared" si="245"/>
        <v>0</v>
      </c>
      <c r="X324" s="43">
        <f t="shared" si="237"/>
        <v>204694.94978678922</v>
      </c>
      <c r="Y324" s="755"/>
      <c r="Z324" s="756"/>
      <c r="AA324" s="136">
        <f t="shared" si="246"/>
        <v>0</v>
      </c>
      <c r="AB324" s="3"/>
      <c r="AC324" s="156">
        <f t="shared" si="247"/>
        <v>0</v>
      </c>
      <c r="AD324" s="156">
        <f t="shared" si="248"/>
        <v>0</v>
      </c>
      <c r="AE324" s="156">
        <f t="shared" si="249"/>
        <v>0</v>
      </c>
      <c r="AF324" s="3"/>
      <c r="AG324" s="59"/>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row>
    <row r="325" spans="2:63" ht="12" thickBot="1" x14ac:dyDescent="0.3">
      <c r="B325" s="1673"/>
      <c r="C325" s="1680"/>
      <c r="D325" s="97" t="str">
        <f>'3.2 Fi&amp;Fo'!$E$78</f>
        <v>Befeuchten</v>
      </c>
      <c r="E325" s="97"/>
      <c r="F325" s="9"/>
      <c r="G325" s="116"/>
      <c r="H325" s="9"/>
      <c r="I325" s="9"/>
      <c r="J325" s="116"/>
      <c r="K325" s="5">
        <f>SUBTOTAL(109,'3.1 Fi&amp;Fo'!$K$78)</f>
        <v>0</v>
      </c>
      <c r="L325" s="5">
        <f>'2. Energie KW.'!F30</f>
        <v>0</v>
      </c>
      <c r="M325" s="9"/>
      <c r="N325" s="179"/>
      <c r="O325" s="22"/>
      <c r="P325" s="30">
        <f t="shared" si="232"/>
        <v>0</v>
      </c>
      <c r="Q325" s="31">
        <f t="shared" si="233"/>
        <v>0</v>
      </c>
      <c r="R325" s="31">
        <f t="shared" si="234"/>
        <v>0</v>
      </c>
      <c r="S325" s="31">
        <f t="shared" si="235"/>
        <v>0</v>
      </c>
      <c r="T325" s="32">
        <f t="shared" si="236"/>
        <v>0</v>
      </c>
      <c r="U325" s="37">
        <f t="shared" si="215"/>
        <v>0</v>
      </c>
      <c r="V325" s="40">
        <f t="shared" si="244"/>
        <v>0</v>
      </c>
      <c r="W325" s="41">
        <f t="shared" si="245"/>
        <v>0</v>
      </c>
      <c r="X325" s="43">
        <f t="shared" si="237"/>
        <v>0</v>
      </c>
      <c r="Y325" s="755"/>
      <c r="Z325" s="756"/>
      <c r="AA325" s="136">
        <f t="shared" si="246"/>
        <v>0</v>
      </c>
      <c r="AB325" s="3"/>
      <c r="AC325" s="156">
        <f t="shared" si="247"/>
        <v>0</v>
      </c>
      <c r="AD325" s="156">
        <f t="shared" si="248"/>
        <v>0</v>
      </c>
      <c r="AE325" s="156">
        <f t="shared" si="249"/>
        <v>0</v>
      </c>
      <c r="AF325" s="3"/>
      <c r="AG325" s="59"/>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row>
    <row r="326" spans="2:63" ht="12" thickBot="1" x14ac:dyDescent="0.3">
      <c r="B326" s="1673"/>
      <c r="C326" s="1680"/>
      <c r="D326" s="97" t="str">
        <f>'3.2 Fi&amp;Fo'!$E$79</f>
        <v>Entfeuchten</v>
      </c>
      <c r="E326" s="97"/>
      <c r="F326" s="9"/>
      <c r="G326" s="116"/>
      <c r="H326" s="9"/>
      <c r="I326" s="9"/>
      <c r="J326" s="116"/>
      <c r="K326" s="5">
        <f>SUBTOTAL(109,'3.1 Fi&amp;Fo'!$K$79)</f>
        <v>0</v>
      </c>
      <c r="L326" s="5">
        <f>'2. Energie KW.'!F31</f>
        <v>0</v>
      </c>
      <c r="M326" s="9"/>
      <c r="N326" s="179"/>
      <c r="O326" s="22"/>
      <c r="P326" s="30">
        <f t="shared" si="232"/>
        <v>0</v>
      </c>
      <c r="Q326" s="31">
        <f t="shared" si="233"/>
        <v>0</v>
      </c>
      <c r="R326" s="31">
        <f t="shared" si="234"/>
        <v>0</v>
      </c>
      <c r="S326" s="31">
        <f t="shared" si="235"/>
        <v>0</v>
      </c>
      <c r="T326" s="32">
        <f t="shared" si="236"/>
        <v>0</v>
      </c>
      <c r="U326" s="37">
        <f t="shared" si="215"/>
        <v>0</v>
      </c>
      <c r="V326" s="40">
        <f t="shared" si="244"/>
        <v>0</v>
      </c>
      <c r="W326" s="41">
        <f t="shared" si="245"/>
        <v>0</v>
      </c>
      <c r="X326" s="43">
        <f t="shared" si="237"/>
        <v>0</v>
      </c>
      <c r="Y326" s="755"/>
      <c r="Z326" s="756"/>
      <c r="AA326" s="136">
        <f t="shared" si="246"/>
        <v>0</v>
      </c>
      <c r="AB326" s="3"/>
      <c r="AC326" s="156">
        <f t="shared" si="247"/>
        <v>0</v>
      </c>
      <c r="AD326" s="156">
        <f t="shared" si="248"/>
        <v>0</v>
      </c>
      <c r="AE326" s="156">
        <f t="shared" si="249"/>
        <v>0</v>
      </c>
      <c r="AF326" s="3"/>
      <c r="AG326" s="59"/>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row>
    <row r="327" spans="2:63" ht="12" thickBot="1" x14ac:dyDescent="0.3">
      <c r="B327" s="1673"/>
      <c r="C327" s="1680"/>
      <c r="D327" s="97" t="str">
        <f>'3.2 Fi&amp;Fo'!$E$80</f>
        <v>Sonstiges</v>
      </c>
      <c r="E327" s="97"/>
      <c r="F327" s="9"/>
      <c r="G327" s="116"/>
      <c r="H327" s="9"/>
      <c r="I327" s="9"/>
      <c r="J327" s="116"/>
      <c r="K327" s="5">
        <f>SUBTOTAL(109,'3.1 Fi&amp;Fo'!$K$80)</f>
        <v>0</v>
      </c>
      <c r="L327" s="5">
        <f>'2. Energie KW.'!F32</f>
        <v>0</v>
      </c>
      <c r="M327" s="9"/>
      <c r="N327" s="179"/>
      <c r="O327" s="22"/>
      <c r="P327" s="30">
        <f t="shared" si="232"/>
        <v>0</v>
      </c>
      <c r="Q327" s="31">
        <f t="shared" si="233"/>
        <v>0</v>
      </c>
      <c r="R327" s="31">
        <f t="shared" si="234"/>
        <v>0</v>
      </c>
      <c r="S327" s="31">
        <f t="shared" si="235"/>
        <v>0</v>
      </c>
      <c r="T327" s="32">
        <f t="shared" si="236"/>
        <v>0</v>
      </c>
      <c r="U327" s="37">
        <f t="shared" si="215"/>
        <v>0</v>
      </c>
      <c r="V327" s="40">
        <f t="shared" si="244"/>
        <v>0</v>
      </c>
      <c r="W327" s="41">
        <f t="shared" si="245"/>
        <v>0</v>
      </c>
      <c r="X327" s="43">
        <f>IFERROR(K327*VLOOKUP(L327,$A$159:$I$166,9,FALSE),0)</f>
        <v>0</v>
      </c>
      <c r="Y327" s="755"/>
      <c r="Z327" s="756"/>
      <c r="AA327" s="136">
        <f t="shared" si="246"/>
        <v>0</v>
      </c>
      <c r="AB327" s="3"/>
      <c r="AC327" s="156">
        <f t="shared" si="247"/>
        <v>0</v>
      </c>
      <c r="AD327" s="156">
        <f t="shared" si="248"/>
        <v>0</v>
      </c>
      <c r="AE327" s="156">
        <f t="shared" si="249"/>
        <v>0</v>
      </c>
      <c r="AF327" s="3"/>
      <c r="AG327" s="59"/>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row>
    <row r="328" spans="2:63" ht="12" thickBot="1" x14ac:dyDescent="0.3">
      <c r="B328" s="1673"/>
      <c r="C328" s="1680"/>
      <c r="D328" s="97"/>
      <c r="E328" s="97"/>
      <c r="F328" s="9"/>
      <c r="G328" s="116"/>
      <c r="H328" s="9"/>
      <c r="I328" s="9"/>
      <c r="J328" s="116"/>
      <c r="K328" s="5"/>
      <c r="L328" s="5"/>
      <c r="M328" s="9"/>
      <c r="N328" s="179"/>
      <c r="O328" s="22"/>
      <c r="P328" s="30">
        <f t="shared" si="232"/>
        <v>0</v>
      </c>
      <c r="Q328" s="31">
        <f t="shared" si="233"/>
        <v>0</v>
      </c>
      <c r="R328" s="31">
        <f t="shared" si="234"/>
        <v>0</v>
      </c>
      <c r="S328" s="31">
        <f t="shared" si="235"/>
        <v>0</v>
      </c>
      <c r="T328" s="32">
        <f t="shared" si="236"/>
        <v>0</v>
      </c>
      <c r="U328" s="37">
        <f t="shared" si="215"/>
        <v>0</v>
      </c>
      <c r="V328" s="40">
        <f t="shared" si="244"/>
        <v>0</v>
      </c>
      <c r="W328" s="41">
        <f t="shared" si="245"/>
        <v>0</v>
      </c>
      <c r="X328" s="43">
        <f t="shared" si="237"/>
        <v>0</v>
      </c>
      <c r="Y328" s="755"/>
      <c r="Z328" s="756"/>
      <c r="AA328" s="136">
        <f t="shared" si="246"/>
        <v>0</v>
      </c>
      <c r="AB328" s="3"/>
      <c r="AC328" s="156">
        <f t="shared" si="238"/>
        <v>0</v>
      </c>
      <c r="AD328" s="156">
        <f t="shared" si="239"/>
        <v>0</v>
      </c>
      <c r="AE328" s="156">
        <f t="shared" si="240"/>
        <v>0</v>
      </c>
      <c r="AF328" s="3"/>
      <c r="AG328" s="59"/>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row>
    <row r="329" spans="2:63" ht="12" thickBot="1" x14ac:dyDescent="0.3">
      <c r="B329" s="1673"/>
      <c r="C329" s="1680"/>
      <c r="D329" s="97"/>
      <c r="E329" s="97"/>
      <c r="F329" s="9"/>
      <c r="G329" s="116"/>
      <c r="H329" s="9"/>
      <c r="I329" s="9"/>
      <c r="J329" s="116"/>
      <c r="K329" s="5"/>
      <c r="L329" s="5"/>
      <c r="M329" s="9"/>
      <c r="N329" s="179"/>
      <c r="O329" s="22"/>
      <c r="P329" s="30">
        <f t="shared" si="232"/>
        <v>0</v>
      </c>
      <c r="Q329" s="31">
        <f t="shared" si="233"/>
        <v>0</v>
      </c>
      <c r="R329" s="31">
        <f t="shared" si="234"/>
        <v>0</v>
      </c>
      <c r="S329" s="31">
        <f t="shared" si="235"/>
        <v>0</v>
      </c>
      <c r="T329" s="32">
        <f t="shared" si="236"/>
        <v>0</v>
      </c>
      <c r="U329" s="37">
        <f t="shared" si="215"/>
        <v>0</v>
      </c>
      <c r="V329" s="40">
        <f t="shared" si="244"/>
        <v>0</v>
      </c>
      <c r="W329" s="41">
        <f t="shared" si="245"/>
        <v>0</v>
      </c>
      <c r="X329" s="43">
        <f t="shared" si="237"/>
        <v>0</v>
      </c>
      <c r="Y329" s="755"/>
      <c r="Z329" s="756"/>
      <c r="AA329" s="136">
        <f t="shared" si="246"/>
        <v>0</v>
      </c>
      <c r="AB329" s="3"/>
      <c r="AC329" s="156">
        <f t="shared" si="238"/>
        <v>0</v>
      </c>
      <c r="AD329" s="156">
        <f t="shared" si="239"/>
        <v>0</v>
      </c>
      <c r="AE329" s="156">
        <f t="shared" si="240"/>
        <v>0</v>
      </c>
      <c r="AF329" s="3"/>
      <c r="AG329" s="59"/>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row>
    <row r="330" spans="2:63" ht="12" thickBot="1" x14ac:dyDescent="0.3">
      <c r="B330" s="1673"/>
      <c r="C330" s="1680"/>
      <c r="D330" s="16" t="str">
        <f>'3.2 Fi&amp;Fo'!$D$89</f>
        <v>Wasser und Abwasser</v>
      </c>
      <c r="E330" s="97"/>
      <c r="F330" s="9"/>
      <c r="G330" s="116"/>
      <c r="H330" s="9"/>
      <c r="I330" s="9"/>
      <c r="J330" s="5">
        <f>SUBTOTAL(109,'3.1 Fi&amp;Fo'!$K$89)</f>
        <v>0</v>
      </c>
      <c r="K330" s="5"/>
      <c r="L330" s="5"/>
      <c r="M330" s="9"/>
      <c r="N330" s="179"/>
      <c r="O330" s="22"/>
      <c r="P330" s="30">
        <f t="shared" si="232"/>
        <v>0</v>
      </c>
      <c r="Q330" s="31">
        <f t="shared" si="233"/>
        <v>0</v>
      </c>
      <c r="R330" s="31">
        <f t="shared" si="234"/>
        <v>0</v>
      </c>
      <c r="S330" s="31">
        <f t="shared" si="235"/>
        <v>0</v>
      </c>
      <c r="T330" s="32">
        <f t="shared" si="236"/>
        <v>0</v>
      </c>
      <c r="U330" s="37">
        <f t="shared" si="215"/>
        <v>0</v>
      </c>
      <c r="V330" s="40">
        <f t="shared" si="244"/>
        <v>0</v>
      </c>
      <c r="W330" s="41">
        <f t="shared" si="245"/>
        <v>0</v>
      </c>
      <c r="X330" s="43"/>
      <c r="Y330" s="46"/>
      <c r="Z330" s="128"/>
      <c r="AA330" s="136">
        <f t="shared" si="246"/>
        <v>0</v>
      </c>
      <c r="AB330" s="3"/>
      <c r="AC330" s="157">
        <f t="shared" si="238"/>
        <v>0</v>
      </c>
      <c r="AD330" s="157">
        <f t="shared" si="239"/>
        <v>0</v>
      </c>
      <c r="AE330" s="157">
        <f t="shared" si="240"/>
        <v>0</v>
      </c>
      <c r="AF330" s="3"/>
      <c r="AG330" s="59"/>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row>
    <row r="331" spans="2:63" ht="12" thickBot="1" x14ac:dyDescent="0.3">
      <c r="B331" s="1673"/>
      <c r="C331" s="1680"/>
      <c r="D331" s="16" t="s">
        <v>84</v>
      </c>
      <c r="E331" s="97"/>
      <c r="F331" s="9"/>
      <c r="G331" s="116"/>
      <c r="H331" s="9"/>
      <c r="I331" s="9"/>
      <c r="J331" s="5">
        <f>SUBTOTAL(109,'3.1 Fi&amp;Fo'!$K$93)</f>
        <v>0</v>
      </c>
      <c r="K331" s="116"/>
      <c r="L331" s="116"/>
      <c r="M331" s="9"/>
      <c r="N331" s="179"/>
      <c r="O331" s="22"/>
      <c r="P331" s="30">
        <f t="shared" si="232"/>
        <v>0</v>
      </c>
      <c r="Q331" s="31">
        <f t="shared" si="233"/>
        <v>0</v>
      </c>
      <c r="R331" s="31">
        <f t="shared" si="234"/>
        <v>0</v>
      </c>
      <c r="S331" s="31">
        <f t="shared" si="235"/>
        <v>0</v>
      </c>
      <c r="T331" s="32">
        <f t="shared" si="236"/>
        <v>0</v>
      </c>
      <c r="U331" s="37">
        <f t="shared" si="215"/>
        <v>0</v>
      </c>
      <c r="V331" s="40">
        <f t="shared" si="244"/>
        <v>0</v>
      </c>
      <c r="W331" s="41">
        <f t="shared" si="245"/>
        <v>0</v>
      </c>
      <c r="X331" s="43"/>
      <c r="Y331" s="46"/>
      <c r="Z331" s="129"/>
      <c r="AA331" s="155"/>
      <c r="AB331" s="161" t="s">
        <v>285</v>
      </c>
      <c r="AC331" s="158">
        <f>SUM(AC309:AC330)</f>
        <v>0</v>
      </c>
      <c r="AD331" s="159">
        <f>SUM(AD309:AD330)</f>
        <v>0</v>
      </c>
      <c r="AE331" s="160">
        <f>SUM(AE309:AE330)</f>
        <v>0</v>
      </c>
      <c r="AF331" s="3"/>
      <c r="AG331" s="59"/>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row>
    <row r="332" spans="2:63" ht="12" thickBot="1" x14ac:dyDescent="0.3">
      <c r="B332" s="1673"/>
      <c r="C332" s="1680"/>
      <c r="D332" s="16" t="s">
        <v>344</v>
      </c>
      <c r="E332" s="97"/>
      <c r="F332" s="9"/>
      <c r="G332" s="116"/>
      <c r="H332" s="9"/>
      <c r="I332" s="9"/>
      <c r="J332" s="5">
        <f>SUBTOTAL(109,'3.1 Fi&amp;Fo'!$K$100)</f>
        <v>0</v>
      </c>
      <c r="K332" s="116"/>
      <c r="L332" s="116"/>
      <c r="M332" s="9"/>
      <c r="N332" s="179"/>
      <c r="O332" s="22"/>
      <c r="P332" s="30">
        <f t="shared" si="232"/>
        <v>0</v>
      </c>
      <c r="Q332" s="31">
        <f t="shared" si="233"/>
        <v>0</v>
      </c>
      <c r="R332" s="31">
        <f t="shared" si="234"/>
        <v>0</v>
      </c>
      <c r="S332" s="31">
        <f t="shared" si="235"/>
        <v>0</v>
      </c>
      <c r="T332" s="32">
        <f t="shared" si="236"/>
        <v>0</v>
      </c>
      <c r="U332" s="37">
        <f t="shared" si="215"/>
        <v>0</v>
      </c>
      <c r="V332" s="40">
        <f t="shared" si="244"/>
        <v>0</v>
      </c>
      <c r="W332" s="41">
        <f t="shared" si="245"/>
        <v>0</v>
      </c>
      <c r="X332" s="43"/>
      <c r="Y332" s="46"/>
      <c r="Z332" s="129"/>
      <c r="AA332" s="136"/>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row>
    <row r="333" spans="2:63" ht="12" thickBot="1" x14ac:dyDescent="0.3">
      <c r="B333" s="1673"/>
      <c r="C333" s="1680"/>
      <c r="D333" s="97" t="s">
        <v>272</v>
      </c>
      <c r="E333" s="97"/>
      <c r="F333" s="9"/>
      <c r="G333" s="116"/>
      <c r="H333" s="9"/>
      <c r="I333" s="9"/>
      <c r="J333" s="5">
        <f>SUBTOTAL(109,'3.1 Fi&amp;Fo'!$K$104)</f>
        <v>0</v>
      </c>
      <c r="K333" s="116"/>
      <c r="L333" s="116"/>
      <c r="M333" s="9"/>
      <c r="N333" s="179"/>
      <c r="O333" s="22"/>
      <c r="P333" s="30">
        <f>IF(N333&gt;=1,O333*$G$158^(1*M333)/($G$157^(1*M333)),0)</f>
        <v>0</v>
      </c>
      <c r="Q333" s="31">
        <f>IF(N333&gt;=2,O333*$G$158^(2*M333)/($G$157^(2*M333)),0)</f>
        <v>0</v>
      </c>
      <c r="R333" s="31">
        <f>IF(N333&gt;=3,O333*$G$158^(3*M333)/($G$157^(3*M333)),0)</f>
        <v>0</v>
      </c>
      <c r="S333" s="31">
        <f>IF(N333&gt;=4,O333*$G$158^(4*M333)/($G$157^(4*M333)),0)</f>
        <v>0</v>
      </c>
      <c r="T333" s="32">
        <f>IF(N333&gt;=5,O333*$G$158^(5*M333)/($G$157^(5*M333)),0)</f>
        <v>0</v>
      </c>
      <c r="U333" s="37">
        <f t="shared" si="215"/>
        <v>0</v>
      </c>
      <c r="V333" s="40">
        <f t="shared" si="244"/>
        <v>0</v>
      </c>
      <c r="W333" s="41">
        <f t="shared" si="245"/>
        <v>0</v>
      </c>
      <c r="X333" s="43"/>
      <c r="Y333" s="46"/>
      <c r="Z333" s="129"/>
      <c r="AA333" s="136"/>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row>
    <row r="334" spans="2:63" ht="12" thickBot="1" x14ac:dyDescent="0.3">
      <c r="B334" s="1673"/>
      <c r="C334" s="1680"/>
      <c r="D334" s="97" t="s">
        <v>272</v>
      </c>
      <c r="E334" s="97"/>
      <c r="F334" s="9"/>
      <c r="G334" s="116"/>
      <c r="H334" s="9"/>
      <c r="I334" s="9"/>
      <c r="J334" s="5">
        <f>SUBTOTAL(109,'3.1 Fi&amp;Fo'!$K$105)</f>
        <v>0</v>
      </c>
      <c r="K334" s="116"/>
      <c r="L334" s="116"/>
      <c r="M334" s="9"/>
      <c r="N334" s="179"/>
      <c r="O334" s="22"/>
      <c r="P334" s="30">
        <f>IF(N334&gt;=1,O334*$G$158^(1*M334)/($G$157^(1*M334)),0)</f>
        <v>0</v>
      </c>
      <c r="Q334" s="31">
        <f>IF(N334&gt;=2,O334*$G$158^(2*M334)/($G$157^(2*M334)),0)</f>
        <v>0</v>
      </c>
      <c r="R334" s="31">
        <f>IF(N334&gt;=3,O334*$G$158^(3*M334)/($G$157^(3*M334)),0)</f>
        <v>0</v>
      </c>
      <c r="S334" s="31">
        <f>IF(N334&gt;=4,O334*$G$158^(4*M334)/($G$157^(4*M334)),0)</f>
        <v>0</v>
      </c>
      <c r="T334" s="32">
        <f>IF(N334&gt;=5,O334*$G$158^(5*M334)/($G$157^(5*M334)),0)</f>
        <v>0</v>
      </c>
      <c r="U334" s="37">
        <f t="shared" si="215"/>
        <v>0</v>
      </c>
      <c r="V334" s="40">
        <f t="shared" si="244"/>
        <v>0</v>
      </c>
      <c r="W334" s="41">
        <f t="shared" si="245"/>
        <v>0</v>
      </c>
      <c r="X334" s="43"/>
      <c r="Y334" s="46"/>
      <c r="Z334" s="129"/>
      <c r="AA334" s="136"/>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row>
    <row r="335" spans="2:63" ht="12" thickBot="1" x14ac:dyDescent="0.3">
      <c r="B335" s="1673"/>
      <c r="C335" s="1680"/>
      <c r="D335" s="98" t="s">
        <v>272</v>
      </c>
      <c r="E335" s="97"/>
      <c r="F335" s="19"/>
      <c r="G335" s="63"/>
      <c r="H335" s="19"/>
      <c r="I335" s="19"/>
      <c r="J335" s="5">
        <f>SUBTOTAL(109,'3.1 Fi&amp;Fo'!$K$106)</f>
        <v>0</v>
      </c>
      <c r="K335" s="116"/>
      <c r="L335" s="116"/>
      <c r="M335" s="9"/>
      <c r="N335" s="179"/>
      <c r="O335" s="22"/>
      <c r="P335" s="30">
        <f>IF(N335&gt;=1,O335*$G$158^(1*M335)/($G$157^(1*M335)),0)</f>
        <v>0</v>
      </c>
      <c r="Q335" s="31">
        <f>IF(N335&gt;=2,O335*$G$158^(2*M335)/($G$157^(2*M335)),0)</f>
        <v>0</v>
      </c>
      <c r="R335" s="31">
        <f>IF(N335&gt;=3,O335*$G$158^(3*M335)/($G$157^(3*M335)),0)</f>
        <v>0</v>
      </c>
      <c r="S335" s="31">
        <f>IF(N335&gt;=4,O335*$G$158^(4*M335)/($G$157^(4*M335)),0)</f>
        <v>0</v>
      </c>
      <c r="T335" s="32">
        <f>IF(N335&gt;=5,O335*$G$158^(5*M335)/($G$157^(5*M335)),0)</f>
        <v>0</v>
      </c>
      <c r="U335" s="37">
        <f t="shared" si="215"/>
        <v>0</v>
      </c>
      <c r="V335" s="40">
        <f t="shared" si="244"/>
        <v>0</v>
      </c>
      <c r="W335" s="41">
        <f t="shared" si="245"/>
        <v>0</v>
      </c>
      <c r="X335" s="43"/>
      <c r="Y335" s="46"/>
      <c r="Z335" s="129"/>
      <c r="AA335" s="136"/>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row>
    <row r="336" spans="2:63" ht="12" thickBot="1" x14ac:dyDescent="0.3">
      <c r="B336" s="1674"/>
      <c r="C336" s="1681"/>
      <c r="D336" s="330" t="s">
        <v>406</v>
      </c>
      <c r="E336" s="97"/>
      <c r="F336" s="17"/>
      <c r="G336" s="17"/>
      <c r="H336" s="17"/>
      <c r="I336" s="17"/>
      <c r="J336" s="5">
        <f>-SUBTOTAL(109,'3.1 Fi&amp;Fo'!$K$110)</f>
        <v>0</v>
      </c>
      <c r="K336" s="17"/>
      <c r="L336" s="17"/>
      <c r="M336" s="19"/>
      <c r="N336" s="180"/>
      <c r="O336" s="23"/>
      <c r="P336" s="30">
        <f>IF(N336&gt;=1,O336*$G$158^(1*M336)/($G$157^(1*M336)),0)</f>
        <v>0</v>
      </c>
      <c r="Q336" s="31">
        <f>IF(N336&gt;=2,O336*$G$158^(2*M336)/($G$157^(2*M336)),0)</f>
        <v>0</v>
      </c>
      <c r="R336" s="31">
        <f>IF(N336&gt;=3,O336*$G$158^(3*M336)/($G$157^(3*M336)),0)</f>
        <v>0</v>
      </c>
      <c r="S336" s="31">
        <f>IF(N336&gt;=4,O336*$G$158^(4*M336)/($G$157^(4*M336)),0)</f>
        <v>0</v>
      </c>
      <c r="T336" s="32">
        <f>IF(N336&gt;=5,O336*$G$158^(5*M336)/($G$157^(5*M336)),0)</f>
        <v>0</v>
      </c>
      <c r="U336" s="37">
        <f t="shared" si="215"/>
        <v>0</v>
      </c>
      <c r="V336" s="40">
        <f t="shared" si="244"/>
        <v>0</v>
      </c>
      <c r="W336" s="41">
        <f t="shared" si="245"/>
        <v>0</v>
      </c>
      <c r="X336" s="44"/>
      <c r="Y336" s="47"/>
      <c r="Z336" s="130"/>
      <c r="AA336" s="134"/>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row>
    <row r="337" spans="2:64" x14ac:dyDescent="0.25">
      <c r="G337" s="300" t="str">
        <f t="shared" ref="G337:K337" si="250">G197</f>
        <v>Kosten für Instandsetzung</v>
      </c>
      <c r="I337" s="300" t="str">
        <f t="shared" si="250"/>
        <v>Kosten für Wartung</v>
      </c>
      <c r="J337" s="300" t="str">
        <f t="shared" si="250"/>
        <v>Betriebsgebundene Kosten</v>
      </c>
      <c r="K337" s="300" t="str">
        <f t="shared" si="250"/>
        <v>Verbrauchsgebunden Kosten</v>
      </c>
    </row>
    <row r="338" spans="2:64" x14ac:dyDescent="0.25">
      <c r="D338" s="300" t="s">
        <v>581</v>
      </c>
      <c r="G338" s="300">
        <f t="shared" ref="G338:K338" si="251">SUM(G199:G336)</f>
        <v>0</v>
      </c>
      <c r="I338" s="300">
        <f t="shared" si="251"/>
        <v>3365.9</v>
      </c>
      <c r="J338" s="300">
        <f t="shared" ca="1" si="251"/>
        <v>2996.3999999999996</v>
      </c>
      <c r="K338" s="868">
        <f t="shared" si="251"/>
        <v>13224.18885744</v>
      </c>
    </row>
    <row r="341" spans="2:64" ht="11.25" customHeight="1" x14ac:dyDescent="0.25"/>
    <row r="343" spans="2:64" ht="11.25" customHeight="1" x14ac:dyDescent="0.25"/>
    <row r="347" spans="2:64" ht="12" thickBot="1" x14ac:dyDescent="0.3"/>
    <row r="348" spans="2:64" x14ac:dyDescent="0.25">
      <c r="B348" s="1672" t="str">
        <f>D8</f>
        <v>PH</v>
      </c>
      <c r="C348" s="1675"/>
      <c r="D348" s="1676"/>
      <c r="E348" s="1676"/>
      <c r="F348" s="1676"/>
      <c r="G348" s="1676"/>
      <c r="H348" s="1676"/>
      <c r="I348" s="1676"/>
      <c r="J348" s="1676"/>
      <c r="K348" s="1676"/>
      <c r="L348" s="1676"/>
      <c r="M348" s="1676"/>
      <c r="N348" s="1676"/>
      <c r="O348" s="1676"/>
      <c r="P348" s="1676"/>
      <c r="Q348" s="1676"/>
      <c r="R348" s="1676"/>
      <c r="S348" s="1676"/>
      <c r="T348" s="1676"/>
      <c r="U348" s="1676"/>
      <c r="V348" s="1676"/>
      <c r="W348" s="1676"/>
      <c r="X348" s="1676"/>
      <c r="Y348" s="1676"/>
      <c r="Z348" s="1676"/>
      <c r="AA348" s="1676"/>
      <c r="AB348" s="1676"/>
      <c r="AC348" s="1676"/>
      <c r="AD348" s="1676"/>
      <c r="AE348" s="1676"/>
      <c r="AF348" s="1676"/>
      <c r="AG348" s="1676"/>
      <c r="AH348" s="1676"/>
      <c r="AI348" s="1676"/>
      <c r="AJ348" s="1676"/>
      <c r="AK348" s="1676"/>
      <c r="AL348" s="1676"/>
      <c r="AM348" s="1676"/>
      <c r="AN348" s="1676"/>
      <c r="AO348" s="1676"/>
      <c r="AP348" s="1676"/>
      <c r="AQ348" s="1676"/>
      <c r="AR348" s="1676"/>
      <c r="AS348" s="1676"/>
      <c r="AT348" s="1676"/>
      <c r="AU348" s="1676"/>
      <c r="AV348" s="1676"/>
      <c r="AW348" s="1676"/>
      <c r="AX348" s="1676"/>
      <c r="AY348" s="1676"/>
      <c r="AZ348" s="1676"/>
      <c r="BA348" s="1676"/>
      <c r="BB348" s="1676"/>
      <c r="BC348" s="1676"/>
      <c r="BD348" s="1676"/>
      <c r="BE348" s="1676"/>
      <c r="BF348" s="1676"/>
      <c r="BG348" s="1676"/>
      <c r="BH348" s="1676"/>
      <c r="BI348" s="1676"/>
      <c r="BJ348" s="1676"/>
      <c r="BK348" s="1676"/>
      <c r="BL348" s="1676"/>
    </row>
    <row r="349" spans="2:64" x14ac:dyDescent="0.25">
      <c r="B349" s="1673"/>
      <c r="C349" s="3"/>
      <c r="D349" s="3"/>
      <c r="E349" s="3"/>
      <c r="F349" s="3"/>
      <c r="G349" s="3"/>
      <c r="H349" s="3"/>
      <c r="I349" s="3"/>
      <c r="J349" s="3"/>
      <c r="K349" s="3"/>
      <c r="L349" s="3"/>
      <c r="M349" s="3"/>
      <c r="N349" s="3"/>
      <c r="O349" s="3"/>
      <c r="P349" s="3"/>
      <c r="Q349" s="3"/>
      <c r="R349" s="3"/>
      <c r="S349" s="3"/>
      <c r="T349" s="3"/>
      <c r="U349" s="3"/>
      <c r="V349" s="3"/>
      <c r="W349" s="96"/>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row>
    <row r="350" spans="2:64" x14ac:dyDescent="0.25">
      <c r="B350" s="1673"/>
      <c r="C350" s="3"/>
      <c r="D350" s="3"/>
      <c r="E350" s="3"/>
      <c r="F350" s="3"/>
      <c r="G350" s="3"/>
      <c r="H350" s="3"/>
      <c r="I350" s="3"/>
      <c r="J350" s="3"/>
      <c r="K350" s="3"/>
      <c r="L350" s="3"/>
      <c r="M350" s="3"/>
      <c r="N350" s="3"/>
      <c r="O350" s="3"/>
      <c r="P350" s="3"/>
      <c r="Q350" s="3"/>
      <c r="R350" s="3"/>
      <c r="S350" s="3"/>
      <c r="T350" s="3"/>
      <c r="U350" s="3"/>
      <c r="V350" s="96"/>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row>
    <row r="351" spans="2:64" x14ac:dyDescent="0.25">
      <c r="B351" s="1673"/>
      <c r="C351" s="3"/>
      <c r="D351" s="3"/>
      <c r="E351" s="3"/>
      <c r="F351" s="3"/>
      <c r="G351" s="3"/>
      <c r="H351" s="3"/>
      <c r="I351" s="3"/>
      <c r="J351" s="3"/>
      <c r="K351" s="3"/>
      <c r="L351" s="3"/>
      <c r="M351" s="3"/>
      <c r="N351" s="3"/>
      <c r="O351" s="3"/>
      <c r="P351" s="3"/>
      <c r="Q351" s="3"/>
      <c r="R351" s="3"/>
      <c r="S351" s="3"/>
      <c r="T351" s="3"/>
      <c r="U351" s="3"/>
      <c r="V351" s="96"/>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row>
    <row r="352" spans="2:64" x14ac:dyDescent="0.25">
      <c r="B352" s="1673"/>
      <c r="C352" s="3"/>
      <c r="D352" s="3"/>
      <c r="E352" s="3"/>
      <c r="F352" s="3"/>
      <c r="G352" s="3"/>
      <c r="H352" s="3"/>
      <c r="I352" s="3"/>
      <c r="J352" s="3"/>
      <c r="K352" s="3"/>
      <c r="L352" s="3"/>
      <c r="M352" s="3"/>
      <c r="N352" s="3"/>
      <c r="O352" s="3"/>
      <c r="P352" s="3"/>
      <c r="Q352" s="3"/>
      <c r="R352" s="3"/>
      <c r="S352" s="3"/>
      <c r="T352" s="3"/>
      <c r="U352" s="3"/>
      <c r="V352" s="96"/>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row>
    <row r="353" spans="2:116" x14ac:dyDescent="0.25">
      <c r="B353" s="1673"/>
      <c r="C353" s="3"/>
      <c r="D353" s="3"/>
      <c r="E353" s="3"/>
      <c r="F353" s="3"/>
      <c r="G353" s="3"/>
      <c r="H353" s="3"/>
      <c r="I353" s="3"/>
      <c r="J353" s="3"/>
      <c r="K353" s="3"/>
      <c r="L353" s="3"/>
      <c r="M353" s="3"/>
      <c r="N353" s="3"/>
      <c r="O353" s="3"/>
      <c r="P353" s="3"/>
      <c r="Q353" s="3"/>
      <c r="R353" s="3"/>
      <c r="S353" s="3"/>
      <c r="T353" s="3"/>
      <c r="U353" s="3"/>
      <c r="V353" s="96"/>
      <c r="W353" s="3"/>
      <c r="X353" s="3"/>
      <c r="Y353" s="3"/>
      <c r="Z353" s="59"/>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row>
    <row r="354" spans="2:116" x14ac:dyDescent="0.25">
      <c r="B354" s="1673"/>
      <c r="C354" s="3"/>
      <c r="D354" s="3"/>
      <c r="E354" s="3"/>
      <c r="F354" s="3"/>
      <c r="G354" s="3"/>
      <c r="H354" s="3"/>
      <c r="I354" s="3"/>
      <c r="J354" s="3"/>
      <c r="K354" s="3"/>
      <c r="L354" s="3"/>
      <c r="M354" s="3"/>
      <c r="N354" s="3"/>
      <c r="O354" s="3"/>
      <c r="P354" s="3"/>
      <c r="Q354" s="3"/>
      <c r="R354" s="3"/>
      <c r="S354" s="3"/>
      <c r="T354" s="3"/>
      <c r="U354" s="3"/>
      <c r="V354" s="96"/>
      <c r="W354" s="3"/>
      <c r="X354" s="3"/>
      <c r="Y354" s="3"/>
      <c r="Z354" s="3"/>
      <c r="AA354" s="59"/>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row>
    <row r="355" spans="2:116" x14ac:dyDescent="0.25">
      <c r="B355" s="1673"/>
      <c r="C355" s="3"/>
      <c r="D355" s="3"/>
      <c r="E355" s="3"/>
      <c r="F355" s="3"/>
      <c r="G355" s="3"/>
      <c r="H355" s="3"/>
      <c r="I355" s="3"/>
      <c r="J355" s="3"/>
      <c r="K355" s="3"/>
      <c r="L355" s="3"/>
      <c r="M355" s="3"/>
      <c r="N355" s="3"/>
      <c r="O355" s="3"/>
      <c r="P355" s="3"/>
      <c r="Q355" s="3"/>
      <c r="R355" s="3"/>
      <c r="S355" s="3"/>
      <c r="T355" s="3"/>
      <c r="U355" s="3"/>
      <c r="V355" s="96"/>
      <c r="W355" s="3"/>
      <c r="X355" s="3"/>
      <c r="Y355" s="3"/>
      <c r="Z355" s="3"/>
      <c r="AA355" s="59"/>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row>
    <row r="356" spans="2:116" x14ac:dyDescent="0.25">
      <c r="B356" s="1673"/>
      <c r="C356" s="3"/>
      <c r="D356" s="3"/>
      <c r="E356" s="3"/>
      <c r="F356" s="3"/>
      <c r="G356" s="3"/>
      <c r="H356" s="3"/>
      <c r="I356" s="3"/>
      <c r="J356" s="3"/>
      <c r="K356" s="3"/>
      <c r="L356" s="3"/>
      <c r="M356" s="3"/>
      <c r="N356" s="3"/>
      <c r="O356" s="3"/>
      <c r="P356" s="3"/>
      <c r="Q356" s="3"/>
      <c r="R356" s="3"/>
      <c r="S356" s="3"/>
      <c r="T356" s="3"/>
      <c r="U356" s="3"/>
      <c r="V356" s="96"/>
      <c r="W356" s="3"/>
      <c r="X356" s="3"/>
      <c r="Y356" s="3"/>
      <c r="Z356" s="59"/>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row>
    <row r="357" spans="2:116" x14ac:dyDescent="0.25">
      <c r="B357" s="1673"/>
      <c r="C357" s="3"/>
      <c r="D357" s="3"/>
      <c r="E357" s="3"/>
      <c r="F357" s="3"/>
      <c r="G357" s="3"/>
      <c r="H357" s="3"/>
      <c r="I357" s="3"/>
      <c r="J357" s="3"/>
      <c r="K357" s="3"/>
      <c r="L357" s="3"/>
      <c r="M357" s="3"/>
      <c r="N357" s="3"/>
      <c r="O357" s="3"/>
      <c r="P357" s="3"/>
      <c r="Q357" s="3"/>
      <c r="R357" s="3"/>
      <c r="S357" s="3"/>
      <c r="T357" s="3"/>
      <c r="U357" s="3"/>
      <c r="V357" s="96"/>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row>
    <row r="358" spans="2:116" x14ac:dyDescent="0.25">
      <c r="B358" s="1673"/>
      <c r="C358" s="3"/>
      <c r="D358" s="3"/>
      <c r="E358" s="3"/>
      <c r="F358" s="3"/>
      <c r="G358" s="3"/>
      <c r="H358" s="3"/>
      <c r="I358" s="3"/>
      <c r="J358" s="3"/>
      <c r="K358" s="3"/>
      <c r="L358" s="3"/>
      <c r="M358" s="3"/>
      <c r="N358" s="3"/>
      <c r="O358" s="3"/>
      <c r="P358" s="3"/>
      <c r="Q358" s="3"/>
      <c r="R358" s="3"/>
      <c r="S358" s="3"/>
      <c r="T358" s="3"/>
      <c r="U358" s="3"/>
      <c r="V358" s="96"/>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row>
    <row r="359" spans="2:116" x14ac:dyDescent="0.25">
      <c r="B359" s="1673"/>
      <c r="C359" s="3"/>
      <c r="D359" s="3"/>
      <c r="E359" s="3"/>
      <c r="F359" s="3"/>
      <c r="G359" s="3"/>
      <c r="H359" s="3"/>
      <c r="I359" s="3"/>
      <c r="J359" s="3"/>
      <c r="K359" s="3"/>
      <c r="L359" s="3"/>
      <c r="M359" s="3"/>
      <c r="N359" s="3"/>
      <c r="O359" s="3"/>
      <c r="P359" s="3"/>
      <c r="Q359" s="3"/>
      <c r="R359" s="3"/>
      <c r="S359" s="3"/>
      <c r="T359" s="3"/>
      <c r="U359" s="3"/>
      <c r="V359" s="96"/>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row>
    <row r="360" spans="2:116" x14ac:dyDescent="0.25">
      <c r="B360" s="1673"/>
      <c r="C360" s="3"/>
      <c r="D360" s="3"/>
      <c r="E360" s="3"/>
      <c r="F360" s="3"/>
      <c r="G360" s="3"/>
      <c r="H360" s="3"/>
      <c r="I360" s="3"/>
      <c r="J360" s="3"/>
      <c r="K360" s="3"/>
      <c r="L360" s="3"/>
      <c r="M360" s="3"/>
      <c r="N360" s="3"/>
      <c r="O360" s="3"/>
      <c r="P360" s="3"/>
      <c r="Q360" s="3"/>
      <c r="R360" s="3"/>
      <c r="S360" s="3"/>
      <c r="T360" s="3"/>
      <c r="U360" s="3"/>
      <c r="V360" s="96"/>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row>
    <row r="361" spans="2:116" x14ac:dyDescent="0.25">
      <c r="B361" s="1673"/>
      <c r="C361" s="3"/>
      <c r="D361" s="3"/>
      <c r="E361" s="3"/>
      <c r="F361" s="3"/>
      <c r="G361" s="3"/>
      <c r="H361" s="3"/>
      <c r="I361" s="3"/>
      <c r="J361" s="3"/>
      <c r="K361" s="3"/>
      <c r="L361" s="3"/>
      <c r="M361" s="3"/>
      <c r="N361" s="3"/>
      <c r="O361" s="3"/>
      <c r="P361" s="3"/>
      <c r="Q361" s="3"/>
      <c r="R361" s="3"/>
      <c r="S361" s="3"/>
      <c r="T361" s="3"/>
      <c r="U361" s="3"/>
      <c r="V361" s="96"/>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row>
    <row r="362" spans="2:116" x14ac:dyDescent="0.25">
      <c r="B362" s="1673"/>
      <c r="C362" s="3"/>
      <c r="D362" s="3"/>
      <c r="E362" s="3"/>
      <c r="F362" s="3"/>
      <c r="G362" s="3"/>
      <c r="H362" s="3"/>
      <c r="I362" s="3"/>
      <c r="J362" s="3"/>
      <c r="K362" s="3"/>
      <c r="L362" s="3"/>
      <c r="M362" s="3"/>
      <c r="N362" s="3"/>
      <c r="O362" s="3"/>
      <c r="P362" s="3"/>
      <c r="Q362" s="3"/>
      <c r="R362" s="3"/>
      <c r="S362" s="3"/>
      <c r="T362" s="3"/>
      <c r="U362" s="3"/>
      <c r="V362" s="96"/>
      <c r="W362" s="3"/>
      <c r="X362" s="3"/>
      <c r="Y362" s="3"/>
      <c r="Z362" s="3"/>
      <c r="AA362" s="3"/>
      <c r="AB362" s="3"/>
      <c r="AC362" s="3"/>
      <c r="AD362" s="3"/>
      <c r="AE362" s="3"/>
      <c r="AF362" s="3"/>
      <c r="AG362" s="3"/>
      <c r="AH362" s="3"/>
      <c r="AI362" s="3"/>
      <c r="AJ362" s="3"/>
      <c r="AK362" s="61"/>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row>
    <row r="363" spans="2:116" x14ac:dyDescent="0.25">
      <c r="B363" s="1673"/>
      <c r="C363" s="3"/>
      <c r="D363" s="3"/>
      <c r="E363" s="3"/>
      <c r="F363" s="3"/>
      <c r="G363" s="3"/>
      <c r="H363" s="3"/>
      <c r="I363" s="3"/>
      <c r="J363" s="3"/>
      <c r="K363" s="3"/>
      <c r="L363" s="3"/>
      <c r="M363" s="3"/>
      <c r="N363" s="3"/>
      <c r="O363" s="3"/>
      <c r="P363" s="3"/>
      <c r="Q363" s="3"/>
      <c r="R363" s="3"/>
      <c r="S363" s="3"/>
      <c r="T363" s="3"/>
      <c r="U363" s="3"/>
      <c r="V363" s="96"/>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row>
    <row r="364" spans="2:116" x14ac:dyDescent="0.25">
      <c r="B364" s="1673"/>
      <c r="C364" s="3"/>
      <c r="D364" s="3"/>
      <c r="E364" s="3"/>
      <c r="F364" s="3"/>
      <c r="G364" s="3"/>
      <c r="H364" s="3"/>
      <c r="I364" s="3"/>
      <c r="J364" s="3"/>
      <c r="K364" s="3"/>
      <c r="L364" s="3"/>
      <c r="M364" s="3"/>
      <c r="N364" s="3"/>
      <c r="O364" s="3"/>
      <c r="P364" s="3"/>
      <c r="Q364" s="3"/>
      <c r="R364" s="3"/>
      <c r="S364" s="3"/>
      <c r="T364" s="3"/>
      <c r="U364" s="3"/>
      <c r="V364" s="96"/>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row>
    <row r="365" spans="2:116" x14ac:dyDescent="0.25">
      <c r="B365" s="1673"/>
      <c r="C365" s="3"/>
      <c r="D365" s="3"/>
      <c r="E365" s="3"/>
      <c r="F365" s="3"/>
      <c r="G365" s="3"/>
      <c r="H365" s="3"/>
      <c r="I365" s="3"/>
      <c r="J365" s="3"/>
      <c r="K365" s="3"/>
      <c r="L365" s="3"/>
      <c r="M365" s="3"/>
      <c r="N365" s="3"/>
      <c r="O365" s="3"/>
      <c r="P365" s="3"/>
      <c r="Q365" s="3"/>
      <c r="R365" s="3"/>
      <c r="S365" s="3"/>
      <c r="T365" s="3"/>
      <c r="U365" s="3"/>
      <c r="V365" s="96"/>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row>
    <row r="366" spans="2:116" ht="11.25" customHeight="1" x14ac:dyDescent="0.25">
      <c r="B366" s="1673"/>
      <c r="C366" s="3"/>
      <c r="D366" s="3"/>
      <c r="E366" s="3"/>
      <c r="F366" s="3"/>
      <c r="G366" s="3"/>
      <c r="H366" s="3"/>
      <c r="I366" s="3"/>
      <c r="J366" s="3"/>
      <c r="K366" s="3"/>
      <c r="L366" s="3"/>
      <c r="M366" s="3"/>
      <c r="N366" s="3"/>
      <c r="O366" s="99"/>
      <c r="P366" s="3"/>
      <c r="Q366" s="3"/>
      <c r="R366" s="3"/>
      <c r="S366" s="3"/>
      <c r="T366" s="3"/>
      <c r="U366" s="3"/>
      <c r="V366" s="96"/>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row>
    <row r="367" spans="2:116" ht="12" thickBot="1" x14ac:dyDescent="0.3">
      <c r="B367" s="1673"/>
      <c r="C367" s="3"/>
      <c r="D367" s="3"/>
      <c r="E367" s="3"/>
      <c r="F367" s="3"/>
      <c r="G367" s="3"/>
      <c r="H367" s="3"/>
      <c r="I367" s="3"/>
      <c r="J367" s="3"/>
      <c r="K367" s="3"/>
      <c r="L367" s="3"/>
      <c r="M367" s="3"/>
      <c r="N367" s="3"/>
      <c r="O367" s="3"/>
      <c r="P367" s="3"/>
      <c r="Q367" s="3"/>
      <c r="R367" s="3"/>
      <c r="S367" s="3"/>
      <c r="T367" s="3"/>
      <c r="U367" s="3"/>
      <c r="V367" s="96"/>
      <c r="W367" s="3"/>
      <c r="X367" s="3"/>
      <c r="Y367" s="3"/>
      <c r="Z367" s="3"/>
      <c r="AA367" s="3"/>
      <c r="AB367" s="3"/>
      <c r="AC367" s="3"/>
      <c r="AD367" s="3"/>
      <c r="AE367" s="3"/>
      <c r="AF367" s="3"/>
      <c r="AG367" s="3"/>
      <c r="AH367" s="3"/>
      <c r="AI367" s="59"/>
      <c r="AJ367" s="59"/>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row>
    <row r="368" spans="2:116" ht="11.25" customHeight="1" x14ac:dyDescent="0.25">
      <c r="B368" s="1673"/>
      <c r="C368" s="3"/>
      <c r="D368" s="3"/>
      <c r="E368" s="3"/>
      <c r="F368" s="3"/>
      <c r="G368" s="3"/>
      <c r="H368" s="3"/>
      <c r="I368" s="3"/>
      <c r="J368" s="3"/>
      <c r="K368" s="3"/>
      <c r="L368" s="3"/>
      <c r="M368" s="3"/>
      <c r="N368" s="3"/>
      <c r="O368" s="3"/>
      <c r="P368" s="3"/>
      <c r="Q368" s="3"/>
      <c r="R368" s="3"/>
      <c r="S368" s="3"/>
      <c r="T368" s="3"/>
      <c r="U368" s="3"/>
      <c r="V368" s="96"/>
      <c r="W368" s="3"/>
      <c r="X368" s="3"/>
      <c r="Y368" s="3"/>
      <c r="Z368" s="3"/>
      <c r="AA368" s="3"/>
      <c r="AB368" s="71"/>
      <c r="AC368" s="72"/>
      <c r="AD368" s="72"/>
      <c r="AE368" s="72"/>
      <c r="AF368" s="72"/>
      <c r="AG368" s="72"/>
      <c r="AH368" s="68"/>
      <c r="AI368" s="68"/>
      <c r="AJ368" s="69"/>
      <c r="AK368" s="68"/>
      <c r="AL368" s="68"/>
      <c r="AM368" s="70"/>
      <c r="AN368" s="830"/>
      <c r="AO368" s="830"/>
      <c r="AP368" s="830"/>
      <c r="AQ368" s="830"/>
      <c r="AR368" s="830"/>
      <c r="AS368" s="830"/>
      <c r="AT368" s="830"/>
      <c r="AU368" s="830"/>
      <c r="AV368" s="830"/>
      <c r="AW368" s="830"/>
      <c r="AX368" s="830"/>
      <c r="AY368" s="830"/>
      <c r="AZ368" s="830"/>
      <c r="BA368" s="830"/>
      <c r="BB368" s="830"/>
      <c r="BC368" s="830"/>
      <c r="BD368" s="830"/>
      <c r="BE368" s="830"/>
      <c r="BF368" s="830"/>
      <c r="BG368" s="830"/>
      <c r="BH368" s="830"/>
      <c r="BI368" s="830"/>
      <c r="BJ368" s="830"/>
      <c r="BK368" s="3"/>
      <c r="BL368" s="826" t="s">
        <v>576</v>
      </c>
      <c r="BM368" s="824"/>
      <c r="BN368" s="824"/>
      <c r="BO368" s="824"/>
      <c r="BP368" s="824"/>
      <c r="BQ368" s="824"/>
      <c r="BR368" s="824"/>
      <c r="BS368" s="824"/>
      <c r="BT368" s="824"/>
      <c r="BU368" s="824"/>
      <c r="BV368" s="824"/>
      <c r="BW368" s="824"/>
      <c r="BX368" s="824"/>
      <c r="BY368" s="824"/>
      <c r="BZ368" s="824"/>
      <c r="CA368" s="824"/>
      <c r="CB368" s="824"/>
      <c r="CC368" s="824"/>
      <c r="CD368" s="824"/>
      <c r="CE368" s="824"/>
      <c r="CF368" s="824"/>
      <c r="CG368" s="824"/>
      <c r="CH368" s="824"/>
      <c r="CI368" s="824"/>
      <c r="CJ368" s="824"/>
      <c r="CK368" s="824"/>
      <c r="CL368" s="824"/>
      <c r="CM368" s="824"/>
      <c r="CN368" s="824"/>
      <c r="CO368" s="824"/>
      <c r="CP368" s="824"/>
      <c r="CQ368" s="824"/>
      <c r="CR368" s="824"/>
      <c r="CS368" s="824"/>
      <c r="CT368" s="824"/>
      <c r="CU368" s="824"/>
      <c r="CV368" s="824"/>
      <c r="CW368" s="824"/>
      <c r="CX368" s="824"/>
      <c r="CY368" s="824"/>
      <c r="CZ368" s="824"/>
      <c r="DA368" s="824"/>
      <c r="DB368" s="824"/>
      <c r="DC368" s="824"/>
      <c r="DD368" s="824"/>
      <c r="DE368" s="824"/>
      <c r="DF368" s="824"/>
      <c r="DG368" s="824"/>
      <c r="DH368" s="824"/>
      <c r="DI368" s="824"/>
      <c r="DJ368" s="824"/>
      <c r="DK368" s="824"/>
      <c r="DL368" s="824"/>
    </row>
    <row r="369" spans="2:116" ht="26.25" thickBot="1" x14ac:dyDescent="0.3">
      <c r="B369" s="1673"/>
      <c r="C369" s="3"/>
      <c r="D369" s="3"/>
      <c r="E369" s="3"/>
      <c r="F369" s="96"/>
      <c r="G369" s="96"/>
      <c r="H369" s="96"/>
      <c r="I369" s="96"/>
      <c r="J369" s="96"/>
      <c r="K369" s="96"/>
      <c r="L369" s="96"/>
      <c r="M369" s="96"/>
      <c r="N369" s="96"/>
      <c r="O369" s="96"/>
      <c r="P369" s="96"/>
      <c r="Q369" s="96"/>
      <c r="R369" s="96"/>
      <c r="S369" s="96"/>
      <c r="T369" s="96"/>
      <c r="U369" s="96"/>
      <c r="V369" s="96"/>
      <c r="W369" s="3"/>
      <c r="X369" s="3"/>
      <c r="Y369" s="3"/>
      <c r="Z369" s="3"/>
      <c r="AA369" s="3"/>
      <c r="AB369" s="92" t="s">
        <v>287</v>
      </c>
      <c r="AC369" s="72"/>
      <c r="AD369" s="72"/>
      <c r="AE369" s="72"/>
      <c r="AF369" s="72"/>
      <c r="AG369" s="72"/>
      <c r="AH369" s="72"/>
      <c r="AI369" s="72"/>
      <c r="AJ369" s="72"/>
      <c r="AK369" s="73"/>
      <c r="AL369" s="72"/>
      <c r="AM369" s="74"/>
      <c r="AN369" s="831"/>
      <c r="AO369" s="831"/>
      <c r="AP369" s="831"/>
      <c r="AQ369" s="831"/>
      <c r="AR369" s="831"/>
      <c r="AS369" s="831"/>
      <c r="AT369" s="831"/>
      <c r="AU369" s="831"/>
      <c r="AV369" s="831"/>
      <c r="AW369" s="831"/>
      <c r="AX369" s="831"/>
      <c r="AY369" s="831"/>
      <c r="AZ369" s="831"/>
      <c r="BA369" s="831"/>
      <c r="BB369" s="831"/>
      <c r="BC369" s="831"/>
      <c r="BD369" s="831"/>
      <c r="BE369" s="831"/>
      <c r="BF369" s="831"/>
      <c r="BG369" s="831"/>
      <c r="BH369" s="831"/>
      <c r="BI369" s="831"/>
      <c r="BJ369" s="831"/>
      <c r="BK369" s="3"/>
      <c r="BL369" s="824" t="s">
        <v>200</v>
      </c>
      <c r="BM369" s="824" t="s">
        <v>579</v>
      </c>
      <c r="BN369" s="824"/>
      <c r="BO369" s="824"/>
      <c r="BP369" s="824"/>
      <c r="BQ369" s="824"/>
      <c r="BR369" s="824"/>
      <c r="BS369" s="824"/>
      <c r="BT369" s="824"/>
      <c r="BU369" s="824"/>
      <c r="BV369" s="824"/>
      <c r="BW369" s="824"/>
      <c r="BX369" s="824"/>
      <c r="BY369" s="824"/>
      <c r="BZ369" s="824"/>
      <c r="CA369" s="824"/>
      <c r="CB369" s="824"/>
      <c r="CC369" s="824"/>
      <c r="CD369" s="824"/>
      <c r="CE369" s="824"/>
      <c r="CF369" s="824"/>
      <c r="CG369" s="824"/>
      <c r="CH369" s="824"/>
      <c r="CI369" s="824"/>
      <c r="CJ369" s="824"/>
      <c r="CK369" s="824"/>
      <c r="CL369" s="824"/>
      <c r="CM369" s="824"/>
      <c r="CN369" s="824"/>
      <c r="CO369" s="824"/>
      <c r="CP369" s="824"/>
      <c r="CQ369" s="824"/>
      <c r="CR369" s="824"/>
      <c r="CS369" s="824"/>
      <c r="CT369" s="824"/>
      <c r="CU369" s="824"/>
      <c r="CV369" s="824"/>
      <c r="CW369" s="824"/>
      <c r="CX369" s="824"/>
      <c r="CY369" s="824"/>
      <c r="CZ369" s="824"/>
      <c r="DA369" s="824"/>
      <c r="DB369" s="824"/>
      <c r="DC369" s="824"/>
      <c r="DD369" s="824"/>
      <c r="DE369" s="824"/>
      <c r="DF369" s="824"/>
      <c r="DG369" s="824"/>
      <c r="DH369" s="824"/>
      <c r="DI369" s="824"/>
      <c r="DJ369" s="824"/>
      <c r="DK369" s="824"/>
      <c r="DL369" s="824"/>
    </row>
    <row r="370" spans="2:116" ht="12" thickBot="1" x14ac:dyDescent="0.3">
      <c r="B370" s="1673"/>
      <c r="C370" s="3"/>
      <c r="D370" s="3"/>
      <c r="E370" s="3"/>
      <c r="F370" s="96"/>
      <c r="G370" s="96"/>
      <c r="H370" s="1669" t="s">
        <v>273</v>
      </c>
      <c r="I370" s="1670"/>
      <c r="J370" s="1671"/>
      <c r="K370" s="96"/>
      <c r="L370" s="96"/>
      <c r="M370" s="96"/>
      <c r="N370" s="96"/>
      <c r="O370" s="96"/>
      <c r="P370" s="96"/>
      <c r="Q370" s="96"/>
      <c r="R370" s="96"/>
      <c r="S370" s="96"/>
      <c r="T370" s="96"/>
      <c r="U370" s="96"/>
      <c r="V370" s="96"/>
      <c r="W370" s="3"/>
      <c r="X370" s="3"/>
      <c r="Y370" s="1677" t="s">
        <v>278</v>
      </c>
      <c r="Z370" s="1678"/>
      <c r="AA370" s="3"/>
      <c r="AB370" s="71"/>
      <c r="AC370" s="73"/>
      <c r="AD370" s="72"/>
      <c r="AE370" s="72"/>
      <c r="AF370" s="72"/>
      <c r="AG370" s="73"/>
      <c r="AH370" s="75" t="s">
        <v>250</v>
      </c>
      <c r="AI370" s="76">
        <f ca="1">IRR(AK377:AK427)</f>
        <v>3.3302403950220549E-2</v>
      </c>
      <c r="AJ370" s="72"/>
      <c r="AK370" s="72"/>
      <c r="AL370" s="72"/>
      <c r="AM370" s="77"/>
      <c r="AN370" s="832"/>
      <c r="AO370" s="832"/>
      <c r="AP370" s="832"/>
      <c r="AQ370" s="832"/>
      <c r="AR370" s="832"/>
      <c r="AS370" s="832"/>
      <c r="AT370" s="832"/>
      <c r="AU370" s="832"/>
      <c r="AV370" s="832"/>
      <c r="AW370" s="832"/>
      <c r="AX370" s="832"/>
      <c r="AY370" s="832"/>
      <c r="AZ370" s="832"/>
      <c r="BA370" s="832"/>
      <c r="BB370" s="832"/>
      <c r="BC370" s="832"/>
      <c r="BD370" s="832"/>
      <c r="BE370" s="832"/>
      <c r="BF370" s="832"/>
      <c r="BG370" s="832"/>
      <c r="BH370" s="832"/>
      <c r="BI370" s="832"/>
      <c r="BJ370" s="832"/>
      <c r="BK370" s="93"/>
      <c r="BL370" s="824">
        <f>$G$154</f>
        <v>35</v>
      </c>
      <c r="BM370" s="825">
        <f>$G$158</f>
        <v>1.016</v>
      </c>
      <c r="BN370" s="824"/>
      <c r="BO370" s="824"/>
      <c r="BP370" s="824"/>
      <c r="BQ370" s="824"/>
      <c r="BR370" s="824"/>
      <c r="BS370" s="824"/>
      <c r="BT370" s="824"/>
      <c r="BU370" s="824"/>
      <c r="BV370" s="824"/>
      <c r="BW370" s="824"/>
      <c r="BX370" s="824"/>
      <c r="BY370" s="824"/>
      <c r="BZ370" s="824"/>
      <c r="CA370" s="824"/>
      <c r="CB370" s="824"/>
      <c r="CC370" s="824"/>
      <c r="CD370" s="824"/>
      <c r="CE370" s="824"/>
      <c r="CF370" s="824"/>
      <c r="CG370" s="824"/>
      <c r="CH370" s="824"/>
      <c r="CI370" s="824"/>
      <c r="CJ370" s="824"/>
      <c r="CK370" s="824"/>
      <c r="CL370" s="824"/>
      <c r="CM370" s="824"/>
      <c r="CN370" s="824"/>
      <c r="CO370" s="824"/>
      <c r="CP370" s="824"/>
      <c r="CQ370" s="824"/>
      <c r="CR370" s="824"/>
      <c r="CS370" s="824"/>
      <c r="CT370" s="824"/>
      <c r="CU370" s="824"/>
      <c r="CV370" s="824"/>
      <c r="CW370" s="824"/>
      <c r="CX370" s="824"/>
      <c r="CY370" s="824"/>
      <c r="CZ370" s="824"/>
      <c r="DA370" s="824"/>
      <c r="DB370" s="824"/>
      <c r="DC370" s="824"/>
      <c r="DD370" s="824"/>
      <c r="DE370" s="824"/>
      <c r="DF370" s="824"/>
      <c r="DG370" s="824"/>
      <c r="DH370" s="824"/>
      <c r="DI370" s="824"/>
      <c r="DJ370" s="824"/>
      <c r="DK370" s="824"/>
      <c r="DL370" s="824"/>
    </row>
    <row r="371" spans="2:116" ht="12" thickBot="1" x14ac:dyDescent="0.3">
      <c r="B371" s="1673"/>
      <c r="C371" s="3"/>
      <c r="D371" s="3"/>
      <c r="E371" s="3"/>
      <c r="F371" s="116" t="s">
        <v>252</v>
      </c>
      <c r="G371" s="116" t="s">
        <v>257</v>
      </c>
      <c r="H371" s="116" t="s">
        <v>251</v>
      </c>
      <c r="I371" s="116" t="s">
        <v>258</v>
      </c>
      <c r="J371" s="116" t="s">
        <v>273</v>
      </c>
      <c r="K371" s="116" t="s">
        <v>268</v>
      </c>
      <c r="L371" s="116" t="s">
        <v>197</v>
      </c>
      <c r="M371" s="116" t="s">
        <v>189</v>
      </c>
      <c r="N371" s="156" t="s">
        <v>210</v>
      </c>
      <c r="O371" s="1061" t="s">
        <v>62</v>
      </c>
      <c r="P371" s="1666" t="s">
        <v>241</v>
      </c>
      <c r="Q371" s="1667"/>
      <c r="R371" s="1667"/>
      <c r="S371" s="1667"/>
      <c r="T371" s="1668"/>
      <c r="U371" s="35" t="s">
        <v>242</v>
      </c>
      <c r="V371" s="38" t="s">
        <v>254</v>
      </c>
      <c r="W371" s="52" t="s">
        <v>277</v>
      </c>
      <c r="X371" s="53" t="s">
        <v>288</v>
      </c>
      <c r="Y371" s="54" t="s">
        <v>289</v>
      </c>
      <c r="Z371" s="50" t="s">
        <v>290</v>
      </c>
      <c r="AA371" s="133" t="s">
        <v>298</v>
      </c>
      <c r="AB371" s="72"/>
      <c r="AC371" s="78"/>
      <c r="AD371" s="78"/>
      <c r="AE371" s="72"/>
      <c r="AF371" s="72"/>
      <c r="AG371" s="72"/>
      <c r="AH371" s="72"/>
      <c r="AI371" s="72"/>
      <c r="AJ371" s="72"/>
      <c r="AK371" s="73"/>
      <c r="AL371" s="72"/>
      <c r="AM371" s="79"/>
      <c r="AN371" s="830"/>
      <c r="AO371" s="830"/>
      <c r="AP371" s="830"/>
      <c r="AQ371" s="830"/>
      <c r="AR371" s="830"/>
      <c r="AS371" s="830"/>
      <c r="AT371" s="830"/>
      <c r="AU371" s="830"/>
      <c r="AV371" s="830"/>
      <c r="AW371" s="830"/>
      <c r="AX371" s="848"/>
      <c r="AY371" s="848"/>
      <c r="AZ371" s="848"/>
      <c r="BA371" s="848"/>
      <c r="BB371" s="848"/>
      <c r="BC371" s="848"/>
      <c r="BD371" s="848"/>
      <c r="BE371" s="848"/>
      <c r="BF371" s="848"/>
      <c r="BG371" s="848"/>
      <c r="BH371" s="848"/>
      <c r="BI371" s="848"/>
      <c r="BJ371" s="848"/>
      <c r="BK371" s="61"/>
      <c r="BL371" s="824"/>
      <c r="BM371" s="824"/>
      <c r="BN371" s="824"/>
      <c r="BO371" s="824" t="s">
        <v>481</v>
      </c>
      <c r="BP371" s="824"/>
      <c r="BQ371" s="824"/>
      <c r="BR371" s="824"/>
      <c r="BS371" s="824"/>
      <c r="BT371" s="824"/>
      <c r="BU371" s="824"/>
      <c r="BV371" s="824"/>
      <c r="BW371" s="824"/>
      <c r="BX371" s="824"/>
      <c r="BY371" s="824"/>
      <c r="BZ371" s="824"/>
      <c r="CA371" s="824"/>
      <c r="CB371" s="824"/>
      <c r="CC371" s="824"/>
      <c r="CD371" s="824"/>
      <c r="CE371" s="824"/>
      <c r="CF371" s="824"/>
      <c r="CG371" s="824"/>
      <c r="CH371" s="824"/>
      <c r="CI371" s="824"/>
      <c r="CJ371" s="824"/>
      <c r="CK371" s="824"/>
      <c r="CL371" s="824"/>
      <c r="CM371" s="824"/>
      <c r="CN371" s="824"/>
      <c r="CO371" s="824"/>
      <c r="CP371" s="824"/>
      <c r="CQ371" s="824"/>
      <c r="CR371" s="824"/>
      <c r="CS371" s="824"/>
      <c r="CT371" s="824"/>
      <c r="CU371" s="824"/>
      <c r="CV371" s="824"/>
      <c r="CW371" s="824"/>
      <c r="CX371" s="824"/>
      <c r="CY371" s="824"/>
      <c r="CZ371" s="824"/>
      <c r="DA371" s="824"/>
      <c r="DB371" s="824"/>
      <c r="DC371" s="824"/>
      <c r="DD371" s="824"/>
      <c r="DE371" s="824"/>
      <c r="DF371" s="824"/>
      <c r="DG371" s="824"/>
      <c r="DH371" s="824"/>
      <c r="DI371" s="824"/>
      <c r="DJ371" s="824"/>
      <c r="DK371" s="824"/>
      <c r="DL371" s="824"/>
    </row>
    <row r="372" spans="2:116" ht="12" thickBot="1" x14ac:dyDescent="0.3">
      <c r="B372" s="1673"/>
      <c r="C372" s="95" t="s">
        <v>266</v>
      </c>
      <c r="D372" s="10" t="s">
        <v>235</v>
      </c>
      <c r="E372" s="11" t="s">
        <v>356</v>
      </c>
      <c r="F372" s="11" t="s">
        <v>262</v>
      </c>
      <c r="G372" s="11" t="s">
        <v>261</v>
      </c>
      <c r="H372" s="11" t="s">
        <v>259</v>
      </c>
      <c r="I372" s="11" t="s">
        <v>260</v>
      </c>
      <c r="J372" s="11" t="s">
        <v>274</v>
      </c>
      <c r="K372" s="11" t="s">
        <v>271</v>
      </c>
      <c r="L372" s="11"/>
      <c r="M372" s="11" t="s">
        <v>211</v>
      </c>
      <c r="N372" s="157" t="s">
        <v>212</v>
      </c>
      <c r="O372" s="20" t="s">
        <v>291</v>
      </c>
      <c r="P372" s="24" t="s">
        <v>236</v>
      </c>
      <c r="Q372" s="25" t="s">
        <v>237</v>
      </c>
      <c r="R372" s="25" t="s">
        <v>238</v>
      </c>
      <c r="S372" s="25" t="s">
        <v>239</v>
      </c>
      <c r="T372" s="26" t="s">
        <v>240</v>
      </c>
      <c r="U372" s="36" t="s">
        <v>243</v>
      </c>
      <c r="V372" s="39" t="s">
        <v>253</v>
      </c>
      <c r="W372" s="55" t="s">
        <v>354</v>
      </c>
      <c r="X372" s="56" t="s">
        <v>353</v>
      </c>
      <c r="Y372" s="57"/>
      <c r="Z372" s="58"/>
      <c r="AA372" s="134"/>
      <c r="AB372" s="72"/>
      <c r="AC372" s="72"/>
      <c r="AD372" s="80"/>
      <c r="AE372" s="72"/>
      <c r="AF372" s="72"/>
      <c r="AG372" s="72"/>
      <c r="AH372" s="72"/>
      <c r="AI372" s="72"/>
      <c r="AJ372" s="72"/>
      <c r="AK372" s="73"/>
      <c r="AL372" s="72"/>
      <c r="AM372" s="81"/>
      <c r="AN372" s="833" t="s">
        <v>200</v>
      </c>
      <c r="AO372" s="847">
        <f>$G$154</f>
        <v>35</v>
      </c>
      <c r="AP372" s="833"/>
      <c r="AQ372" s="833"/>
      <c r="AR372" s="833"/>
      <c r="AS372" s="833"/>
      <c r="AT372" s="833"/>
      <c r="AU372" s="833"/>
      <c r="AV372" s="833"/>
      <c r="AW372" s="833"/>
      <c r="AX372" s="833"/>
      <c r="AY372" s="833"/>
      <c r="AZ372" s="833"/>
      <c r="BA372" s="833"/>
      <c r="BB372" s="833"/>
      <c r="BC372" s="833"/>
      <c r="BD372" s="833"/>
      <c r="BE372" s="833"/>
      <c r="BF372" s="833"/>
      <c r="BG372" s="833"/>
      <c r="BH372" s="833"/>
      <c r="BI372" s="833"/>
      <c r="BJ372" s="833"/>
      <c r="BK372" s="61"/>
      <c r="BL372" s="824" t="s">
        <v>577</v>
      </c>
      <c r="BM372" s="824" t="s">
        <v>210</v>
      </c>
      <c r="BN372" s="824" t="s">
        <v>578</v>
      </c>
      <c r="BO372" s="824">
        <v>1</v>
      </c>
      <c r="BP372" s="824">
        <v>2</v>
      </c>
      <c r="BQ372" s="824">
        <v>3</v>
      </c>
      <c r="BR372" s="824">
        <v>4</v>
      </c>
      <c r="BS372" s="824">
        <v>5</v>
      </c>
      <c r="BT372" s="824">
        <v>6</v>
      </c>
      <c r="BU372" s="824">
        <v>7</v>
      </c>
      <c r="BV372" s="824">
        <v>8</v>
      </c>
      <c r="BW372" s="824">
        <v>9</v>
      </c>
      <c r="BX372" s="824">
        <v>10</v>
      </c>
      <c r="BY372" s="824">
        <v>11</v>
      </c>
      <c r="BZ372" s="824">
        <v>12</v>
      </c>
      <c r="CA372" s="824">
        <v>13</v>
      </c>
      <c r="CB372" s="824">
        <v>14</v>
      </c>
      <c r="CC372" s="824">
        <v>15</v>
      </c>
      <c r="CD372" s="824">
        <v>16</v>
      </c>
      <c r="CE372" s="824">
        <v>17</v>
      </c>
      <c r="CF372" s="824">
        <v>18</v>
      </c>
      <c r="CG372" s="824">
        <v>19</v>
      </c>
      <c r="CH372" s="824">
        <v>20</v>
      </c>
      <c r="CI372" s="824">
        <v>21</v>
      </c>
      <c r="CJ372" s="824">
        <v>22</v>
      </c>
      <c r="CK372" s="824">
        <v>23</v>
      </c>
      <c r="CL372" s="824">
        <v>24</v>
      </c>
      <c r="CM372" s="824">
        <v>25</v>
      </c>
      <c r="CN372" s="824">
        <v>26</v>
      </c>
      <c r="CO372" s="824">
        <v>27</v>
      </c>
      <c r="CP372" s="824">
        <v>28</v>
      </c>
      <c r="CQ372" s="824">
        <v>29</v>
      </c>
      <c r="CR372" s="824">
        <v>30</v>
      </c>
      <c r="CS372" s="824">
        <v>31</v>
      </c>
      <c r="CT372" s="824">
        <v>32</v>
      </c>
      <c r="CU372" s="824">
        <v>33</v>
      </c>
      <c r="CV372" s="824">
        <v>34</v>
      </c>
      <c r="CW372" s="824">
        <v>35</v>
      </c>
      <c r="CX372" s="824">
        <v>36</v>
      </c>
      <c r="CY372" s="824">
        <v>37</v>
      </c>
      <c r="CZ372" s="824">
        <v>38</v>
      </c>
      <c r="DA372" s="824">
        <v>39</v>
      </c>
      <c r="DB372" s="824">
        <v>40</v>
      </c>
      <c r="DC372" s="824">
        <v>41</v>
      </c>
      <c r="DD372" s="824">
        <v>42</v>
      </c>
      <c r="DE372" s="824">
        <v>43</v>
      </c>
      <c r="DF372" s="824">
        <v>44</v>
      </c>
      <c r="DG372" s="824">
        <v>45</v>
      </c>
      <c r="DH372" s="824">
        <v>46</v>
      </c>
      <c r="DI372" s="824">
        <v>47</v>
      </c>
      <c r="DJ372" s="824">
        <v>48</v>
      </c>
      <c r="DK372" s="824">
        <v>49</v>
      </c>
      <c r="DL372" s="824">
        <v>50</v>
      </c>
    </row>
    <row r="373" spans="2:116" ht="12" thickBot="1" x14ac:dyDescent="0.3">
      <c r="B373" s="1673"/>
      <c r="C373" s="1679" t="s">
        <v>267</v>
      </c>
      <c r="D373" s="14" t="s">
        <v>61</v>
      </c>
      <c r="E373" s="12"/>
      <c r="F373" s="12">
        <f>SUBTOTAL(109,'3.2 I&amp;W'!$U$27)</f>
        <v>0</v>
      </c>
      <c r="G373" s="12">
        <f>SUBTOTAL(109,'3.2 I&amp;W'!$V$27)</f>
        <v>0</v>
      </c>
      <c r="H373" s="12">
        <f>SUBTOTAL(109,'3.2 I&amp;W'!$AA$27)</f>
        <v>0</v>
      </c>
      <c r="I373" s="12">
        <f>SUBTOTAL(109,'3.2 I&amp;W'!$AB$27)</f>
        <v>0</v>
      </c>
      <c r="J373" s="12"/>
      <c r="K373" s="12"/>
      <c r="L373" s="12"/>
      <c r="M373" s="12">
        <f ca="1">SUBTOTAL(109,'3.2 I&amp;W'!$AI$27)</f>
        <v>0</v>
      </c>
      <c r="N373" s="156">
        <f ca="1">IF(OR(M373=0,M373="",M373=$G$154),0,ROUNDDOWN($G$154/M373,0)+IF(MOD($G$154,M373)=0,-1))</f>
        <v>0</v>
      </c>
      <c r="O373" s="397">
        <f ca="1">SUBTOTAL(109,'3.2 I&amp;W'!$S$27)</f>
        <v>432000</v>
      </c>
      <c r="P373" s="27">
        <f ca="1">IF(N373&gt;=1,O373*$G$158^(1*M373)/($G$157^(1*M373)),0)</f>
        <v>0</v>
      </c>
      <c r="Q373" s="28">
        <f t="shared" ref="Q373:Q390" ca="1" si="252">IF(N373&gt;=2,O373*$G$158^(2*M373)/($G$157^(2*M373)),0)</f>
        <v>0</v>
      </c>
      <c r="R373" s="28">
        <f t="shared" ref="R373:R390" ca="1" si="253">IF(N373&gt;=3,O373*$G$158^(3*M373)/($G$157^(3*M373)),0)</f>
        <v>0</v>
      </c>
      <c r="S373" s="28">
        <f t="shared" ref="S373:S390" ca="1" si="254">IF(N373&gt;=4,O373*$G$158^(4*M373)/($G$157^(4*M373)),0)</f>
        <v>0</v>
      </c>
      <c r="T373" s="29">
        <f t="shared" ref="T373:T390" ca="1" si="255">IF(N373&gt;=5,O373*$G$158^(5*M373)/($G$157^(5*M373)),0)</f>
        <v>0</v>
      </c>
      <c r="U373" s="37">
        <f ca="1">IF(M373=0,0,O373*$G$158^(N373*M373)*((N373+1)*M373-$G$154)/M373*(1/$G$157^$G$154))</f>
        <v>0</v>
      </c>
      <c r="V373" s="40">
        <f t="shared" ref="V373:V404" si="256">G373*$I$169</f>
        <v>0</v>
      </c>
      <c r="W373" s="41">
        <f t="shared" ref="W373:W404" si="257">(I373+J373)*$I$167</f>
        <v>0</v>
      </c>
      <c r="X373" s="42"/>
      <c r="Y373" s="45"/>
      <c r="Z373" s="124"/>
      <c r="AA373" s="135"/>
      <c r="AB373" s="72"/>
      <c r="AC373" s="72"/>
      <c r="AD373" s="72"/>
      <c r="AE373" s="72"/>
      <c r="AF373" s="72"/>
      <c r="AG373" s="72"/>
      <c r="AH373" s="72"/>
      <c r="AI373" s="72"/>
      <c r="AJ373" s="72"/>
      <c r="AK373" s="72"/>
      <c r="AL373" s="72"/>
      <c r="AM373" s="79"/>
      <c r="AN373" s="830"/>
      <c r="AO373" s="830"/>
      <c r="AP373" s="830"/>
      <c r="AQ373" s="830"/>
      <c r="AR373" s="830"/>
      <c r="AS373" s="830"/>
      <c r="AT373" s="830"/>
      <c r="AU373" s="830"/>
      <c r="AV373" s="830"/>
      <c r="AW373" s="830"/>
      <c r="AX373" s="830"/>
      <c r="AY373" s="830"/>
      <c r="AZ373" s="830"/>
      <c r="BA373" s="830"/>
      <c r="BB373" s="830"/>
      <c r="BC373" s="830"/>
      <c r="BD373" s="830"/>
      <c r="BE373" s="830"/>
      <c r="BF373" s="830"/>
      <c r="BG373" s="830"/>
      <c r="BH373" s="830"/>
      <c r="BI373" s="830"/>
      <c r="BJ373" s="830"/>
      <c r="BK373" s="3"/>
      <c r="BL373" s="824">
        <f t="shared" ref="BL373:BL404" ca="1" si="258">M373</f>
        <v>0</v>
      </c>
      <c r="BM373" s="824">
        <f t="shared" ref="BM373:BM404" ca="1" si="259">N373</f>
        <v>0</v>
      </c>
      <c r="BN373" s="824">
        <f t="shared" ref="BN373:BN404" ca="1" si="260">O373</f>
        <v>432000</v>
      </c>
      <c r="BO373" s="824">
        <f ca="1">IF(OR(IF($BL373*1&lt;$BL$196,$BL373*1=BO$198,FALSE),IF($BL373*2&lt;$BL$196,$BL373*2=BO$198,FALSE),IF($BL373*3&lt;$BL$196,$BL373*3=BO$198,FALSE),IF($BL373*4&lt;$BL$196,$BL373*4=BO$198,FALSE),IF($BL373*5&lt;$BL$196,$BL373*5=BO$198,FALSE)),$BN373*$BM$196^BO$198,0)</f>
        <v>0</v>
      </c>
      <c r="BP373" s="824">
        <f t="shared" ref="BP373:DL379" ca="1" si="261">IF(OR(IF($BL373*1&lt;$BL$196,$BL373*1=BP$198,FALSE),IF($BL373*2&lt;$BL$196,$BL373*2=BP$198,FALSE),IF($BL373*3&lt;$BL$196,$BL373*3=BP$198,FALSE),IF($BL373*4&lt;$BL$196,$BL373*4=BP$198,FALSE),IF($BL373*5&lt;$BL$196,$BL373*5=BP$198,FALSE)),$BN373*$BM$196^BP$198,0)</f>
        <v>0</v>
      </c>
      <c r="BQ373" s="824">
        <f t="shared" ca="1" si="261"/>
        <v>0</v>
      </c>
      <c r="BR373" s="824">
        <f t="shared" ca="1" si="261"/>
        <v>0</v>
      </c>
      <c r="BS373" s="824">
        <f t="shared" ca="1" si="261"/>
        <v>0</v>
      </c>
      <c r="BT373" s="824">
        <f t="shared" ca="1" si="261"/>
        <v>0</v>
      </c>
      <c r="BU373" s="824">
        <f t="shared" ca="1" si="261"/>
        <v>0</v>
      </c>
      <c r="BV373" s="824">
        <f t="shared" ca="1" si="261"/>
        <v>0</v>
      </c>
      <c r="BW373" s="824">
        <f t="shared" ca="1" si="261"/>
        <v>0</v>
      </c>
      <c r="BX373" s="824">
        <f t="shared" ca="1" si="261"/>
        <v>0</v>
      </c>
      <c r="BY373" s="824">
        <f t="shared" ca="1" si="261"/>
        <v>0</v>
      </c>
      <c r="BZ373" s="824">
        <f t="shared" ca="1" si="261"/>
        <v>0</v>
      </c>
      <c r="CA373" s="824">
        <f t="shared" ca="1" si="261"/>
        <v>0</v>
      </c>
      <c r="CB373" s="824">
        <f t="shared" ca="1" si="261"/>
        <v>0</v>
      </c>
      <c r="CC373" s="824">
        <f t="shared" ca="1" si="261"/>
        <v>0</v>
      </c>
      <c r="CD373" s="824">
        <f t="shared" ca="1" si="261"/>
        <v>0</v>
      </c>
      <c r="CE373" s="824">
        <f t="shared" ca="1" si="261"/>
        <v>0</v>
      </c>
      <c r="CF373" s="824">
        <f t="shared" ca="1" si="261"/>
        <v>0</v>
      </c>
      <c r="CG373" s="824">
        <f t="shared" ca="1" si="261"/>
        <v>0</v>
      </c>
      <c r="CH373" s="824">
        <f t="shared" ca="1" si="261"/>
        <v>0</v>
      </c>
      <c r="CI373" s="824">
        <f t="shared" ca="1" si="261"/>
        <v>0</v>
      </c>
      <c r="CJ373" s="824">
        <f t="shared" ca="1" si="261"/>
        <v>0</v>
      </c>
      <c r="CK373" s="824">
        <f t="shared" ca="1" si="261"/>
        <v>0</v>
      </c>
      <c r="CL373" s="824">
        <f t="shared" ca="1" si="261"/>
        <v>0</v>
      </c>
      <c r="CM373" s="824">
        <f t="shared" ca="1" si="261"/>
        <v>0</v>
      </c>
      <c r="CN373" s="824">
        <f t="shared" ca="1" si="261"/>
        <v>0</v>
      </c>
      <c r="CO373" s="824">
        <f t="shared" ca="1" si="261"/>
        <v>0</v>
      </c>
      <c r="CP373" s="824">
        <f t="shared" ca="1" si="261"/>
        <v>0</v>
      </c>
      <c r="CQ373" s="824">
        <f t="shared" ca="1" si="261"/>
        <v>0</v>
      </c>
      <c r="CR373" s="824">
        <f t="shared" ca="1" si="261"/>
        <v>0</v>
      </c>
      <c r="CS373" s="824">
        <f t="shared" ca="1" si="261"/>
        <v>0</v>
      </c>
      <c r="CT373" s="824">
        <f t="shared" ca="1" si="261"/>
        <v>0</v>
      </c>
      <c r="CU373" s="824">
        <f t="shared" ca="1" si="261"/>
        <v>0</v>
      </c>
      <c r="CV373" s="824">
        <f t="shared" ca="1" si="261"/>
        <v>0</v>
      </c>
      <c r="CW373" s="824">
        <f t="shared" ca="1" si="261"/>
        <v>0</v>
      </c>
      <c r="CX373" s="824">
        <f t="shared" ca="1" si="261"/>
        <v>0</v>
      </c>
      <c r="CY373" s="824">
        <f t="shared" ca="1" si="261"/>
        <v>0</v>
      </c>
      <c r="CZ373" s="824">
        <f t="shared" ca="1" si="261"/>
        <v>0</v>
      </c>
      <c r="DA373" s="824">
        <f t="shared" ca="1" si="261"/>
        <v>0</v>
      </c>
      <c r="DB373" s="824">
        <f t="shared" ca="1" si="261"/>
        <v>0</v>
      </c>
      <c r="DC373" s="824">
        <f t="shared" ca="1" si="261"/>
        <v>0</v>
      </c>
      <c r="DD373" s="824">
        <f t="shared" ca="1" si="261"/>
        <v>0</v>
      </c>
      <c r="DE373" s="824">
        <f t="shared" ca="1" si="261"/>
        <v>0</v>
      </c>
      <c r="DF373" s="824">
        <f t="shared" ca="1" si="261"/>
        <v>0</v>
      </c>
      <c r="DG373" s="824">
        <f t="shared" ca="1" si="261"/>
        <v>0</v>
      </c>
      <c r="DH373" s="824">
        <f t="shared" ca="1" si="261"/>
        <v>0</v>
      </c>
      <c r="DI373" s="824">
        <f t="shared" ca="1" si="261"/>
        <v>0</v>
      </c>
      <c r="DJ373" s="824">
        <f t="shared" ca="1" si="261"/>
        <v>0</v>
      </c>
      <c r="DK373" s="824">
        <f t="shared" ca="1" si="261"/>
        <v>0</v>
      </c>
      <c r="DL373" s="824">
        <f t="shared" ca="1" si="261"/>
        <v>0</v>
      </c>
    </row>
    <row r="374" spans="2:116" ht="13.5" thickBot="1" x14ac:dyDescent="0.3">
      <c r="B374" s="1673"/>
      <c r="C374" s="1680"/>
      <c r="D374" s="15" t="s">
        <v>50</v>
      </c>
      <c r="E374" s="116"/>
      <c r="F374" s="116">
        <f>SUBTOTAL(109,'3.2 I&amp;W'!$U$34)</f>
        <v>0</v>
      </c>
      <c r="G374" s="116">
        <f>SUBTOTAL(109,'3.2 I&amp;W'!$V$34)</f>
        <v>0</v>
      </c>
      <c r="H374" s="116">
        <f>SUBTOTAL(109,'3.2 I&amp;W'!$AA$34)</f>
        <v>0</v>
      </c>
      <c r="I374" s="116">
        <f>SUBTOTAL(109,'3.2 I&amp;W'!$AB$34)</f>
        <v>0</v>
      </c>
      <c r="J374" s="116"/>
      <c r="K374" s="116"/>
      <c r="L374" s="116"/>
      <c r="M374" s="116">
        <f ca="1">SUBTOTAL(109,'3.2 I&amp;W'!$AI$34)</f>
        <v>100</v>
      </c>
      <c r="N374" s="156">
        <f t="shared" ref="N374:N437" ca="1" si="262">IF(OR(M374=0,M374="",M374=$G$154),0,ROUNDDOWN($G$154/M374,0)+IF(MOD($G$154,M374)=0,-1))</f>
        <v>0</v>
      </c>
      <c r="O374" s="116">
        <f ca="1">SUBTOTAL(109,'3.2 I&amp;W'!$S$34)</f>
        <v>89427.599999999991</v>
      </c>
      <c r="P374" s="30">
        <f ca="1">IF(N374&gt;=1,O374*$G$158^(1*M374)/($G$157^(1*M374)),0)</f>
        <v>0</v>
      </c>
      <c r="Q374" s="31">
        <f t="shared" ca="1" si="252"/>
        <v>0</v>
      </c>
      <c r="R374" s="31">
        <f t="shared" ca="1" si="253"/>
        <v>0</v>
      </c>
      <c r="S374" s="31">
        <f t="shared" ca="1" si="254"/>
        <v>0</v>
      </c>
      <c r="T374" s="32">
        <f t="shared" ca="1" si="255"/>
        <v>0</v>
      </c>
      <c r="U374" s="37">
        <f t="shared" ref="U374:U444" ca="1" si="263">IF(M374=0,0,O374*$G$158^(N374*M374)*((N374+1)*M374-$G$154)/M374*(1/$G$157^$G$154))</f>
        <v>29065.575107692428</v>
      </c>
      <c r="V374" s="40">
        <f t="shared" si="256"/>
        <v>0</v>
      </c>
      <c r="W374" s="41">
        <f t="shared" si="257"/>
        <v>0</v>
      </c>
      <c r="X374" s="43"/>
      <c r="Y374" s="46"/>
      <c r="Z374" s="126"/>
      <c r="AA374" s="136"/>
      <c r="AB374" s="72"/>
      <c r="AC374" s="72"/>
      <c r="AD374" s="72"/>
      <c r="AE374" s="72"/>
      <c r="AF374" s="72"/>
      <c r="AG374" s="72"/>
      <c r="AH374" s="72"/>
      <c r="AI374" s="72"/>
      <c r="AJ374" s="72"/>
      <c r="AK374" s="72"/>
      <c r="AL374" s="72"/>
      <c r="AM374" s="82"/>
      <c r="AN374" s="834"/>
      <c r="AO374" s="834"/>
      <c r="AP374" s="834"/>
      <c r="AQ374" s="834"/>
      <c r="AR374" s="834"/>
      <c r="AS374" s="834"/>
      <c r="AT374" s="834"/>
      <c r="AU374" s="834"/>
      <c r="AV374" s="834"/>
      <c r="AW374" s="834"/>
      <c r="AX374" s="854"/>
      <c r="AY374" s="851" t="s">
        <v>582</v>
      </c>
      <c r="AZ374" s="840"/>
      <c r="BA374" s="840"/>
      <c r="BB374" s="840"/>
      <c r="BC374" s="840"/>
      <c r="BD374" s="840"/>
      <c r="BE374" s="840"/>
      <c r="BF374" s="840"/>
      <c r="BG374" s="840"/>
      <c r="BH374" s="855" t="s">
        <v>276</v>
      </c>
      <c r="BI374" s="855"/>
      <c r="BJ374" s="855"/>
      <c r="BK374" s="856"/>
      <c r="BL374" s="824">
        <f t="shared" ca="1" si="258"/>
        <v>100</v>
      </c>
      <c r="BM374" s="824">
        <f t="shared" ca="1" si="259"/>
        <v>0</v>
      </c>
      <c r="BN374" s="824">
        <f t="shared" ca="1" si="260"/>
        <v>89427.599999999991</v>
      </c>
      <c r="BO374" s="824">
        <f t="shared" ref="BO374:CD391" ca="1" si="264">IF(OR(IF($BL374*1&lt;$BL$196,$BL374*1=BO$198,FALSE),IF($BL374*2&lt;$BL$196,$BL374*2=BO$198,FALSE),IF($BL374*3&lt;$BL$196,$BL374*3=BO$198,FALSE),IF($BL374*4&lt;$BL$196,$BL374*4=BO$198,FALSE),IF($BL374*5&lt;$BL$196,$BL374*5=BO$198,FALSE)),$BN374*$BM$196^BO$198,0)</f>
        <v>0</v>
      </c>
      <c r="BP374" s="824">
        <f t="shared" ca="1" si="261"/>
        <v>0</v>
      </c>
      <c r="BQ374" s="824">
        <f t="shared" ca="1" si="261"/>
        <v>0</v>
      </c>
      <c r="BR374" s="824">
        <f t="shared" ca="1" si="261"/>
        <v>0</v>
      </c>
      <c r="BS374" s="824">
        <f t="shared" ca="1" si="261"/>
        <v>0</v>
      </c>
      <c r="BT374" s="824">
        <f t="shared" ca="1" si="261"/>
        <v>0</v>
      </c>
      <c r="BU374" s="824">
        <f t="shared" ca="1" si="261"/>
        <v>0</v>
      </c>
      <c r="BV374" s="824">
        <f t="shared" ca="1" si="261"/>
        <v>0</v>
      </c>
      <c r="BW374" s="824">
        <f t="shared" ca="1" si="261"/>
        <v>0</v>
      </c>
      <c r="BX374" s="824">
        <f t="shared" ca="1" si="261"/>
        <v>0</v>
      </c>
      <c r="BY374" s="824">
        <f t="shared" ca="1" si="261"/>
        <v>0</v>
      </c>
      <c r="BZ374" s="824">
        <f t="shared" ca="1" si="261"/>
        <v>0</v>
      </c>
      <c r="CA374" s="824">
        <f t="shared" ca="1" si="261"/>
        <v>0</v>
      </c>
      <c r="CB374" s="824">
        <f t="shared" ca="1" si="261"/>
        <v>0</v>
      </c>
      <c r="CC374" s="824">
        <f t="shared" ca="1" si="261"/>
        <v>0</v>
      </c>
      <c r="CD374" s="824">
        <f t="shared" ca="1" si="261"/>
        <v>0</v>
      </c>
      <c r="CE374" s="824">
        <f t="shared" ca="1" si="261"/>
        <v>0</v>
      </c>
      <c r="CF374" s="824">
        <f t="shared" ca="1" si="261"/>
        <v>0</v>
      </c>
      <c r="CG374" s="824">
        <f t="shared" ca="1" si="261"/>
        <v>0</v>
      </c>
      <c r="CH374" s="824">
        <f t="shared" ca="1" si="261"/>
        <v>0</v>
      </c>
      <c r="CI374" s="824">
        <f t="shared" ca="1" si="261"/>
        <v>0</v>
      </c>
      <c r="CJ374" s="824">
        <f t="shared" ca="1" si="261"/>
        <v>0</v>
      </c>
      <c r="CK374" s="824">
        <f t="shared" ca="1" si="261"/>
        <v>0</v>
      </c>
      <c r="CL374" s="824">
        <f t="shared" ca="1" si="261"/>
        <v>0</v>
      </c>
      <c r="CM374" s="824">
        <f t="shared" ca="1" si="261"/>
        <v>0</v>
      </c>
      <c r="CN374" s="824">
        <f t="shared" ca="1" si="261"/>
        <v>0</v>
      </c>
      <c r="CO374" s="824">
        <f t="shared" ca="1" si="261"/>
        <v>0</v>
      </c>
      <c r="CP374" s="824">
        <f t="shared" ca="1" si="261"/>
        <v>0</v>
      </c>
      <c r="CQ374" s="824">
        <f t="shared" ca="1" si="261"/>
        <v>0</v>
      </c>
      <c r="CR374" s="824">
        <f t="shared" ca="1" si="261"/>
        <v>0</v>
      </c>
      <c r="CS374" s="824">
        <f t="shared" ca="1" si="261"/>
        <v>0</v>
      </c>
      <c r="CT374" s="824">
        <f t="shared" ca="1" si="261"/>
        <v>0</v>
      </c>
      <c r="CU374" s="824">
        <f t="shared" ca="1" si="261"/>
        <v>0</v>
      </c>
      <c r="CV374" s="824">
        <f t="shared" ca="1" si="261"/>
        <v>0</v>
      </c>
      <c r="CW374" s="824">
        <f t="shared" ca="1" si="261"/>
        <v>0</v>
      </c>
      <c r="CX374" s="824">
        <f t="shared" ca="1" si="261"/>
        <v>0</v>
      </c>
      <c r="CY374" s="824">
        <f t="shared" ca="1" si="261"/>
        <v>0</v>
      </c>
      <c r="CZ374" s="824">
        <f t="shared" ca="1" si="261"/>
        <v>0</v>
      </c>
      <c r="DA374" s="824">
        <f t="shared" ca="1" si="261"/>
        <v>0</v>
      </c>
      <c r="DB374" s="824">
        <f t="shared" ca="1" si="261"/>
        <v>0</v>
      </c>
      <c r="DC374" s="824">
        <f t="shared" ca="1" si="261"/>
        <v>0</v>
      </c>
      <c r="DD374" s="824">
        <f t="shared" ca="1" si="261"/>
        <v>0</v>
      </c>
      <c r="DE374" s="824">
        <f t="shared" ca="1" si="261"/>
        <v>0</v>
      </c>
      <c r="DF374" s="824">
        <f t="shared" ca="1" si="261"/>
        <v>0</v>
      </c>
      <c r="DG374" s="824">
        <f t="shared" ca="1" si="261"/>
        <v>0</v>
      </c>
      <c r="DH374" s="824">
        <f t="shared" ca="1" si="261"/>
        <v>0</v>
      </c>
      <c r="DI374" s="824">
        <f t="shared" ca="1" si="261"/>
        <v>0</v>
      </c>
      <c r="DJ374" s="824">
        <f t="shared" ca="1" si="261"/>
        <v>0</v>
      </c>
      <c r="DK374" s="824">
        <f t="shared" ca="1" si="261"/>
        <v>0</v>
      </c>
      <c r="DL374" s="824">
        <f t="shared" ca="1" si="261"/>
        <v>0</v>
      </c>
    </row>
    <row r="375" spans="2:116" ht="12" thickBot="1" x14ac:dyDescent="0.3">
      <c r="B375" s="1673"/>
      <c r="C375" s="1680"/>
      <c r="D375" s="15" t="s">
        <v>125</v>
      </c>
      <c r="E375" s="116"/>
      <c r="F375" s="116">
        <f ca="1">SUBTOTAL(109,'3.2 I&amp;W'!$X$43)</f>
        <v>0</v>
      </c>
      <c r="G375" s="116">
        <f ca="1">SUBTOTAL(109,'3.2 I&amp;W'!$Y$43)</f>
        <v>0</v>
      </c>
      <c r="H375" s="116">
        <f ca="1">SUBTOTAL(109,'3.2 I&amp;W'!$AD$43)</f>
        <v>5.9945403570901585E-4</v>
      </c>
      <c r="I375" s="116">
        <f ca="1">SUBTOTAL(109,'3.2 I&amp;W'!$AE$43)</f>
        <v>42.9</v>
      </c>
      <c r="J375" s="116"/>
      <c r="K375" s="116"/>
      <c r="L375" s="116"/>
      <c r="M375" s="116">
        <f ca="1">SUBTOTAL(109,'3.2 I&amp;W'!$AI$43)</f>
        <v>30</v>
      </c>
      <c r="N375" s="156">
        <f t="shared" ca="1" si="262"/>
        <v>1</v>
      </c>
      <c r="O375" s="116">
        <f ca="1">SUBTOTAL(109,'3.2 I&amp;W'!$S$43)</f>
        <v>71565.119999999995</v>
      </c>
      <c r="P375" s="30">
        <f t="shared" ref="P375:P390" ca="1" si="265">IF(N375&gt;=1,O375*$G$158^(1*M375)/($G$157^(1*M375)),0)</f>
        <v>63607.377384804036</v>
      </c>
      <c r="Q375" s="31">
        <f t="shared" ca="1" si="252"/>
        <v>0</v>
      </c>
      <c r="R375" s="31">
        <f t="shared" ca="1" si="253"/>
        <v>0</v>
      </c>
      <c r="S375" s="31">
        <f t="shared" ca="1" si="254"/>
        <v>0</v>
      </c>
      <c r="T375" s="32">
        <f t="shared" ca="1" si="255"/>
        <v>0</v>
      </c>
      <c r="U375" s="37">
        <f t="shared" ca="1" si="263"/>
        <v>48009.301191579703</v>
      </c>
      <c r="V375" s="40">
        <f t="shared" ca="1" si="256"/>
        <v>0</v>
      </c>
      <c r="W375" s="41">
        <f t="shared" ca="1" si="257"/>
        <v>1378.0252955882922</v>
      </c>
      <c r="X375" s="43"/>
      <c r="Y375" s="46"/>
      <c r="Z375" s="126"/>
      <c r="AA375" s="136"/>
      <c r="AB375" s="71"/>
      <c r="AC375" s="1660" t="s">
        <v>191</v>
      </c>
      <c r="AD375" s="1661"/>
      <c r="AE375" s="1661"/>
      <c r="AF375" s="1662"/>
      <c r="AG375" s="1660" t="s">
        <v>112</v>
      </c>
      <c r="AH375" s="1661"/>
      <c r="AI375" s="1661"/>
      <c r="AJ375" s="1662"/>
      <c r="AK375" s="72" t="s">
        <v>249</v>
      </c>
      <c r="AL375" s="72" t="s">
        <v>269</v>
      </c>
      <c r="AM375" s="79" t="s">
        <v>402</v>
      </c>
      <c r="AN375" s="835"/>
      <c r="AO375" s="835"/>
      <c r="AP375" s="835"/>
      <c r="AQ375" s="853"/>
      <c r="AR375" s="839">
        <f>$G$169</f>
        <v>1.016</v>
      </c>
      <c r="AS375" s="839">
        <f>$G$167</f>
        <v>1.016</v>
      </c>
      <c r="AT375" s="835"/>
      <c r="AU375" s="853"/>
      <c r="AV375" s="853"/>
      <c r="AW375" s="835"/>
      <c r="AX375" s="839">
        <f>G332</f>
        <v>0</v>
      </c>
      <c r="AY375" s="842"/>
      <c r="AZ375" s="842">
        <f>$G$159</f>
        <v>1</v>
      </c>
      <c r="BA375" s="842">
        <f>$G$160</f>
        <v>1</v>
      </c>
      <c r="BB375" s="842">
        <f>$G$161</f>
        <v>1</v>
      </c>
      <c r="BC375" s="842">
        <f>$G$162</f>
        <v>1</v>
      </c>
      <c r="BD375" s="842">
        <f>$G$163</f>
        <v>1</v>
      </c>
      <c r="BE375" s="842">
        <f>$G$164</f>
        <v>1</v>
      </c>
      <c r="BF375" s="842">
        <f>$G$165</f>
        <v>1.0249999999999999</v>
      </c>
      <c r="BG375" s="842">
        <f>$G$166</f>
        <v>1.0349999999999999</v>
      </c>
      <c r="BH375" s="857"/>
      <c r="BI375" s="857">
        <f>$G$167</f>
        <v>1.016</v>
      </c>
      <c r="BJ375" s="857">
        <f>$G$167</f>
        <v>1.016</v>
      </c>
      <c r="BK375" s="856"/>
      <c r="BL375" s="824">
        <f t="shared" ca="1" si="258"/>
        <v>30</v>
      </c>
      <c r="BM375" s="824">
        <f t="shared" ca="1" si="259"/>
        <v>1</v>
      </c>
      <c r="BN375" s="824">
        <f t="shared" ca="1" si="260"/>
        <v>71565.119999999995</v>
      </c>
      <c r="BO375" s="824">
        <f t="shared" ca="1" si="264"/>
        <v>0</v>
      </c>
      <c r="BP375" s="824">
        <f t="shared" ca="1" si="261"/>
        <v>0</v>
      </c>
      <c r="BQ375" s="824">
        <f t="shared" ca="1" si="261"/>
        <v>0</v>
      </c>
      <c r="BR375" s="824">
        <f t="shared" ca="1" si="261"/>
        <v>0</v>
      </c>
      <c r="BS375" s="824">
        <f t="shared" ca="1" si="261"/>
        <v>0</v>
      </c>
      <c r="BT375" s="824">
        <f t="shared" ca="1" si="261"/>
        <v>0</v>
      </c>
      <c r="BU375" s="824">
        <f t="shared" ca="1" si="261"/>
        <v>0</v>
      </c>
      <c r="BV375" s="824">
        <f t="shared" ca="1" si="261"/>
        <v>0</v>
      </c>
      <c r="BW375" s="824">
        <f t="shared" ca="1" si="261"/>
        <v>0</v>
      </c>
      <c r="BX375" s="824">
        <f t="shared" ca="1" si="261"/>
        <v>0</v>
      </c>
      <c r="BY375" s="824">
        <f t="shared" ca="1" si="261"/>
        <v>0</v>
      </c>
      <c r="BZ375" s="824">
        <f t="shared" ca="1" si="261"/>
        <v>0</v>
      </c>
      <c r="CA375" s="824">
        <f t="shared" ca="1" si="261"/>
        <v>0</v>
      </c>
      <c r="CB375" s="824">
        <f t="shared" ca="1" si="261"/>
        <v>0</v>
      </c>
      <c r="CC375" s="824">
        <f t="shared" ca="1" si="261"/>
        <v>0</v>
      </c>
      <c r="CD375" s="824">
        <f t="shared" ca="1" si="261"/>
        <v>0</v>
      </c>
      <c r="CE375" s="824">
        <f t="shared" ca="1" si="261"/>
        <v>0</v>
      </c>
      <c r="CF375" s="824">
        <f t="shared" ca="1" si="261"/>
        <v>0</v>
      </c>
      <c r="CG375" s="824">
        <f t="shared" ca="1" si="261"/>
        <v>0</v>
      </c>
      <c r="CH375" s="824">
        <f t="shared" ca="1" si="261"/>
        <v>0</v>
      </c>
      <c r="CI375" s="824">
        <f t="shared" ca="1" si="261"/>
        <v>0</v>
      </c>
      <c r="CJ375" s="824">
        <f t="shared" ca="1" si="261"/>
        <v>0</v>
      </c>
      <c r="CK375" s="824">
        <f t="shared" ca="1" si="261"/>
        <v>0</v>
      </c>
      <c r="CL375" s="824">
        <f t="shared" ca="1" si="261"/>
        <v>0</v>
      </c>
      <c r="CM375" s="824">
        <f t="shared" ca="1" si="261"/>
        <v>0</v>
      </c>
      <c r="CN375" s="824">
        <f t="shared" ca="1" si="261"/>
        <v>0</v>
      </c>
      <c r="CO375" s="824">
        <f t="shared" ca="1" si="261"/>
        <v>0</v>
      </c>
      <c r="CP375" s="824">
        <f t="shared" ca="1" si="261"/>
        <v>0</v>
      </c>
      <c r="CQ375" s="824">
        <f t="shared" ca="1" si="261"/>
        <v>0</v>
      </c>
      <c r="CR375" s="824">
        <f t="shared" ca="1" si="261"/>
        <v>115215.95986039846</v>
      </c>
      <c r="CS375" s="824">
        <f t="shared" ca="1" si="261"/>
        <v>0</v>
      </c>
      <c r="CT375" s="824">
        <f t="shared" ca="1" si="261"/>
        <v>0</v>
      </c>
      <c r="CU375" s="824">
        <f t="shared" ca="1" si="261"/>
        <v>0</v>
      </c>
      <c r="CV375" s="824">
        <f t="shared" ca="1" si="261"/>
        <v>0</v>
      </c>
      <c r="CW375" s="824">
        <f t="shared" ca="1" si="261"/>
        <v>0</v>
      </c>
      <c r="CX375" s="824">
        <f t="shared" ca="1" si="261"/>
        <v>0</v>
      </c>
      <c r="CY375" s="824">
        <f t="shared" ca="1" si="261"/>
        <v>0</v>
      </c>
      <c r="CZ375" s="824">
        <f t="shared" ca="1" si="261"/>
        <v>0</v>
      </c>
      <c r="DA375" s="824">
        <f t="shared" ca="1" si="261"/>
        <v>0</v>
      </c>
      <c r="DB375" s="824">
        <f t="shared" ca="1" si="261"/>
        <v>0</v>
      </c>
      <c r="DC375" s="824">
        <f t="shared" ca="1" si="261"/>
        <v>0</v>
      </c>
      <c r="DD375" s="824">
        <f t="shared" ca="1" si="261"/>
        <v>0</v>
      </c>
      <c r="DE375" s="824">
        <f t="shared" ca="1" si="261"/>
        <v>0</v>
      </c>
      <c r="DF375" s="824">
        <f t="shared" ca="1" si="261"/>
        <v>0</v>
      </c>
      <c r="DG375" s="824">
        <f t="shared" ca="1" si="261"/>
        <v>0</v>
      </c>
      <c r="DH375" s="824">
        <f t="shared" ca="1" si="261"/>
        <v>0</v>
      </c>
      <c r="DI375" s="824">
        <f t="shared" ca="1" si="261"/>
        <v>0</v>
      </c>
      <c r="DJ375" s="824">
        <f t="shared" ca="1" si="261"/>
        <v>0</v>
      </c>
      <c r="DK375" s="824">
        <f t="shared" ca="1" si="261"/>
        <v>0</v>
      </c>
      <c r="DL375" s="824">
        <f t="shared" ca="1" si="261"/>
        <v>0</v>
      </c>
    </row>
    <row r="376" spans="2:116" ht="12" thickBot="1" x14ac:dyDescent="0.3">
      <c r="B376" s="1673"/>
      <c r="C376" s="1680"/>
      <c r="D376" s="15" t="s">
        <v>125</v>
      </c>
      <c r="E376" s="165"/>
      <c r="F376" s="116">
        <f ca="1">SUBTOTAL(109,'3.2 I&amp;W'!$X$44)</f>
        <v>0</v>
      </c>
      <c r="G376" s="116">
        <f ca="1">SUBTOTAL(109,'3.2 I&amp;W'!$Y$44)</f>
        <v>0</v>
      </c>
      <c r="H376" s="116">
        <f ca="1">SUBTOTAL(109,'3.2 I&amp;W'!$AD$44)</f>
        <v>0</v>
      </c>
      <c r="I376" s="116">
        <f ca="1">SUBTOTAL(109,'3.2 I&amp;W'!$AE$44)</f>
        <v>0</v>
      </c>
      <c r="J376" s="116"/>
      <c r="K376" s="116"/>
      <c r="L376" s="116"/>
      <c r="M376" s="116">
        <f ca="1">SUBTOTAL(109,'3.2 I&amp;W'!$AI$44)</f>
        <v>0</v>
      </c>
      <c r="N376" s="156">
        <f t="shared" ca="1" si="262"/>
        <v>0</v>
      </c>
      <c r="O376" s="116">
        <f ca="1">SUBTOTAL(109,'3.2 I&amp;W'!$S$44)</f>
        <v>0</v>
      </c>
      <c r="P376" s="30">
        <f t="shared" ca="1" si="265"/>
        <v>0</v>
      </c>
      <c r="Q376" s="31">
        <f t="shared" ca="1" si="252"/>
        <v>0</v>
      </c>
      <c r="R376" s="31">
        <f t="shared" ca="1" si="253"/>
        <v>0</v>
      </c>
      <c r="S376" s="31">
        <f t="shared" ca="1" si="254"/>
        <v>0</v>
      </c>
      <c r="T376" s="32">
        <f t="shared" ca="1" si="255"/>
        <v>0</v>
      </c>
      <c r="U376" s="37">
        <f t="shared" ca="1" si="263"/>
        <v>0</v>
      </c>
      <c r="V376" s="40">
        <f t="shared" ca="1" si="256"/>
        <v>0</v>
      </c>
      <c r="W376" s="41">
        <f t="shared" ca="1" si="257"/>
        <v>0</v>
      </c>
      <c r="X376" s="43"/>
      <c r="Y376" s="46"/>
      <c r="Z376" s="126"/>
      <c r="AA376" s="136"/>
      <c r="AB376" s="83" t="s">
        <v>248</v>
      </c>
      <c r="AC376" s="71" t="s">
        <v>245</v>
      </c>
      <c r="AD376" s="72" t="s">
        <v>246</v>
      </c>
      <c r="AE376" s="72" t="s">
        <v>205</v>
      </c>
      <c r="AF376" s="79" t="s">
        <v>247</v>
      </c>
      <c r="AG376" s="71" t="s">
        <v>245</v>
      </c>
      <c r="AH376" s="207" t="s">
        <v>246</v>
      </c>
      <c r="AI376" s="207" t="s">
        <v>205</v>
      </c>
      <c r="AJ376" s="208" t="s">
        <v>247</v>
      </c>
      <c r="AK376" s="72"/>
      <c r="AL376" s="72"/>
      <c r="AM376" s="79"/>
      <c r="AN376" s="843" t="s">
        <v>248</v>
      </c>
      <c r="AO376" s="836" t="s">
        <v>192</v>
      </c>
      <c r="AP376" s="836" t="s">
        <v>280</v>
      </c>
      <c r="AQ376" s="836" t="s">
        <v>284</v>
      </c>
      <c r="AR376" s="836" t="s">
        <v>332</v>
      </c>
      <c r="AS376" s="836" t="s">
        <v>281</v>
      </c>
      <c r="AT376" s="836" t="s">
        <v>282</v>
      </c>
      <c r="AU376" s="837" t="s">
        <v>544</v>
      </c>
      <c r="AV376" s="837" t="s">
        <v>542</v>
      </c>
      <c r="AW376" s="836" t="s">
        <v>396</v>
      </c>
      <c r="AX376" s="836" t="s">
        <v>414</v>
      </c>
      <c r="AY376" s="842" t="s">
        <v>481</v>
      </c>
      <c r="AZ376" s="852" t="str">
        <f>$AF$307</f>
        <v>Heizöl</v>
      </c>
      <c r="BA376" s="852" t="str">
        <f>$AG$307</f>
        <v>Erdgas</v>
      </c>
      <c r="BB376" s="852" t="str">
        <f>$AH$307</f>
        <v>Kohle</v>
      </c>
      <c r="BC376" s="852" t="str">
        <f>$AI$307</f>
        <v>Fernwärme ne.</v>
      </c>
      <c r="BD376" s="852" t="str">
        <f>$AJ$307</f>
        <v>Fernwärme e.</v>
      </c>
      <c r="BE376" s="852" t="str">
        <f>$AK$307</f>
        <v>Biomasse</v>
      </c>
      <c r="BF376" s="852" t="str">
        <f>$AL$307</f>
        <v>Strom</v>
      </c>
      <c r="BG376" s="852" t="str">
        <f>$AM$307</f>
        <v>Wärmepumpenstrom</v>
      </c>
      <c r="BH376" s="857" t="s">
        <v>481</v>
      </c>
      <c r="BI376" s="857" t="s">
        <v>63</v>
      </c>
      <c r="BJ376" s="857" t="s">
        <v>583</v>
      </c>
      <c r="BK376" s="856" t="s">
        <v>584</v>
      </c>
      <c r="BL376" s="824">
        <f t="shared" ca="1" si="258"/>
        <v>0</v>
      </c>
      <c r="BM376" s="824">
        <f t="shared" ca="1" si="259"/>
        <v>0</v>
      </c>
      <c r="BN376" s="824">
        <f t="shared" ca="1" si="260"/>
        <v>0</v>
      </c>
      <c r="BO376" s="824">
        <f t="shared" ca="1" si="264"/>
        <v>0</v>
      </c>
      <c r="BP376" s="824">
        <f t="shared" ca="1" si="264"/>
        <v>0</v>
      </c>
      <c r="BQ376" s="824">
        <f t="shared" ca="1" si="264"/>
        <v>0</v>
      </c>
      <c r="BR376" s="824">
        <f t="shared" ca="1" si="264"/>
        <v>0</v>
      </c>
      <c r="BS376" s="824">
        <f t="shared" ca="1" si="264"/>
        <v>0</v>
      </c>
      <c r="BT376" s="824">
        <f t="shared" ca="1" si="264"/>
        <v>0</v>
      </c>
      <c r="BU376" s="824">
        <f t="shared" ca="1" si="264"/>
        <v>0</v>
      </c>
      <c r="BV376" s="824">
        <f t="shared" ca="1" si="264"/>
        <v>0</v>
      </c>
      <c r="BW376" s="824">
        <f t="shared" ca="1" si="264"/>
        <v>0</v>
      </c>
      <c r="BX376" s="824">
        <f t="shared" ca="1" si="264"/>
        <v>0</v>
      </c>
      <c r="BY376" s="824">
        <f t="shared" ca="1" si="264"/>
        <v>0</v>
      </c>
      <c r="BZ376" s="824">
        <f t="shared" ca="1" si="264"/>
        <v>0</v>
      </c>
      <c r="CA376" s="824">
        <f t="shared" ca="1" si="264"/>
        <v>0</v>
      </c>
      <c r="CB376" s="824">
        <f t="shared" ca="1" si="264"/>
        <v>0</v>
      </c>
      <c r="CC376" s="824">
        <f t="shared" ca="1" si="264"/>
        <v>0</v>
      </c>
      <c r="CD376" s="824">
        <f t="shared" ca="1" si="264"/>
        <v>0</v>
      </c>
      <c r="CE376" s="824">
        <f t="shared" ca="1" si="261"/>
        <v>0</v>
      </c>
      <c r="CF376" s="824">
        <f t="shared" ca="1" si="261"/>
        <v>0</v>
      </c>
      <c r="CG376" s="824">
        <f t="shared" ca="1" si="261"/>
        <v>0</v>
      </c>
      <c r="CH376" s="824">
        <f t="shared" ca="1" si="261"/>
        <v>0</v>
      </c>
      <c r="CI376" s="824">
        <f t="shared" ca="1" si="261"/>
        <v>0</v>
      </c>
      <c r="CJ376" s="824">
        <f t="shared" ca="1" si="261"/>
        <v>0</v>
      </c>
      <c r="CK376" s="824">
        <f t="shared" ca="1" si="261"/>
        <v>0</v>
      </c>
      <c r="CL376" s="824">
        <f t="shared" ca="1" si="261"/>
        <v>0</v>
      </c>
      <c r="CM376" s="824">
        <f t="shared" ca="1" si="261"/>
        <v>0</v>
      </c>
      <c r="CN376" s="824">
        <f t="shared" ca="1" si="261"/>
        <v>0</v>
      </c>
      <c r="CO376" s="824">
        <f t="shared" ca="1" si="261"/>
        <v>0</v>
      </c>
      <c r="CP376" s="824">
        <f t="shared" ca="1" si="261"/>
        <v>0</v>
      </c>
      <c r="CQ376" s="824">
        <f t="shared" ca="1" si="261"/>
        <v>0</v>
      </c>
      <c r="CR376" s="824">
        <f t="shared" ca="1" si="261"/>
        <v>0</v>
      </c>
      <c r="CS376" s="824">
        <f t="shared" ca="1" si="261"/>
        <v>0</v>
      </c>
      <c r="CT376" s="824">
        <f t="shared" ca="1" si="261"/>
        <v>0</v>
      </c>
      <c r="CU376" s="824">
        <f t="shared" ca="1" si="261"/>
        <v>0</v>
      </c>
      <c r="CV376" s="824">
        <f t="shared" ca="1" si="261"/>
        <v>0</v>
      </c>
      <c r="CW376" s="824">
        <f t="shared" ca="1" si="261"/>
        <v>0</v>
      </c>
      <c r="CX376" s="824">
        <f t="shared" ca="1" si="261"/>
        <v>0</v>
      </c>
      <c r="CY376" s="824">
        <f t="shared" ca="1" si="261"/>
        <v>0</v>
      </c>
      <c r="CZ376" s="824">
        <f t="shared" ca="1" si="261"/>
        <v>0</v>
      </c>
      <c r="DA376" s="824">
        <f t="shared" ca="1" si="261"/>
        <v>0</v>
      </c>
      <c r="DB376" s="824">
        <f t="shared" ca="1" si="261"/>
        <v>0</v>
      </c>
      <c r="DC376" s="824">
        <f t="shared" ca="1" si="261"/>
        <v>0</v>
      </c>
      <c r="DD376" s="824">
        <f t="shared" ca="1" si="261"/>
        <v>0</v>
      </c>
      <c r="DE376" s="824">
        <f t="shared" ca="1" si="261"/>
        <v>0</v>
      </c>
      <c r="DF376" s="824">
        <f t="shared" ca="1" si="261"/>
        <v>0</v>
      </c>
      <c r="DG376" s="824">
        <f t="shared" ca="1" si="261"/>
        <v>0</v>
      </c>
      <c r="DH376" s="824">
        <f t="shared" ca="1" si="261"/>
        <v>0</v>
      </c>
      <c r="DI376" s="824">
        <f t="shared" ca="1" si="261"/>
        <v>0</v>
      </c>
      <c r="DJ376" s="824">
        <f t="shared" ca="1" si="261"/>
        <v>0</v>
      </c>
      <c r="DK376" s="824">
        <f t="shared" ca="1" si="261"/>
        <v>0</v>
      </c>
      <c r="DL376" s="824">
        <f t="shared" ca="1" si="261"/>
        <v>0</v>
      </c>
    </row>
    <row r="377" spans="2:116" ht="12" thickBot="1" x14ac:dyDescent="0.3">
      <c r="B377" s="1673"/>
      <c r="C377" s="1680"/>
      <c r="D377" s="15" t="s">
        <v>125</v>
      </c>
      <c r="E377" s="116"/>
      <c r="F377" s="116">
        <f ca="1">SUBTOTAL(109,'3.2 I&amp;W'!$X$45)</f>
        <v>0</v>
      </c>
      <c r="G377" s="116">
        <f ca="1">SUBTOTAL(109,'3.2 I&amp;W'!$Y$45)</f>
        <v>0</v>
      </c>
      <c r="H377" s="116">
        <f ca="1">SUBTOTAL(109,'3.2 I&amp;W'!$AD$45)</f>
        <v>0</v>
      </c>
      <c r="I377" s="116">
        <f ca="1">SUBTOTAL(109,'3.2 I&amp;W'!$AE$45)</f>
        <v>0</v>
      </c>
      <c r="J377" s="116"/>
      <c r="K377" s="116"/>
      <c r="L377" s="116"/>
      <c r="M377" s="116">
        <f ca="1">SUBTOTAL(109,'3.2 I&amp;W'!$AI$45)</f>
        <v>50</v>
      </c>
      <c r="N377" s="156">
        <f t="shared" ca="1" si="262"/>
        <v>0</v>
      </c>
      <c r="O377" s="116">
        <f>SUBTOTAL(109,'3.2 I&amp;W'!$S$45)</f>
        <v>93488.099999999991</v>
      </c>
      <c r="P377" s="30">
        <f t="shared" ca="1" si="265"/>
        <v>0</v>
      </c>
      <c r="Q377" s="31">
        <f t="shared" ca="1" si="252"/>
        <v>0</v>
      </c>
      <c r="R377" s="31">
        <f t="shared" ca="1" si="253"/>
        <v>0</v>
      </c>
      <c r="S377" s="31">
        <f t="shared" ca="1" si="254"/>
        <v>0</v>
      </c>
      <c r="T377" s="32">
        <f t="shared" ca="1" si="255"/>
        <v>0</v>
      </c>
      <c r="U377" s="37">
        <f t="shared" ca="1" si="263"/>
        <v>14023.989456148596</v>
      </c>
      <c r="V377" s="40">
        <f t="shared" ca="1" si="256"/>
        <v>0</v>
      </c>
      <c r="W377" s="41">
        <f t="shared" ca="1" si="257"/>
        <v>0</v>
      </c>
      <c r="X377" s="43"/>
      <c r="Y377" s="46"/>
      <c r="Z377" s="126"/>
      <c r="AA377" s="136"/>
      <c r="AB377" s="83">
        <v>0</v>
      </c>
      <c r="AC377" s="84"/>
      <c r="AD377" s="72"/>
      <c r="AE377" s="72"/>
      <c r="AF377" s="85">
        <f ca="1">'3.2 Fi&amp;Fo'!$F$25</f>
        <v>1324756.2600000002</v>
      </c>
      <c r="AG377" s="71"/>
      <c r="AH377" s="207"/>
      <c r="AI377" s="207"/>
      <c r="AJ377" s="209">
        <f>'3.2 Fi&amp;Fo'!$G$19</f>
        <v>1574689.6</v>
      </c>
      <c r="AK377" s="86">
        <f ca="1">AF377+AJ377</f>
        <v>2899445.8600000003</v>
      </c>
      <c r="AL377" s="80">
        <f>'3.2 Fi&amp;Fo'!$G$14</f>
        <v>10250</v>
      </c>
      <c r="AM377" s="85">
        <f>'3.2 Fi&amp;Fo'!$G$17</f>
        <v>1114633.632</v>
      </c>
      <c r="AN377" s="838">
        <v>0</v>
      </c>
      <c r="AO377" s="844">
        <v>0</v>
      </c>
      <c r="AP377" s="844">
        <f>BN482</f>
        <v>0</v>
      </c>
      <c r="AQ377" s="844">
        <f>IF(AN377=$AO$198,$D$16*$G$157^AN377,0)</f>
        <v>0</v>
      </c>
      <c r="AR377" s="844">
        <v>0</v>
      </c>
      <c r="AS377" s="844">
        <v>0</v>
      </c>
      <c r="AT377" s="844">
        <v>0</v>
      </c>
      <c r="AU377" s="844">
        <v>0</v>
      </c>
      <c r="AV377" s="844">
        <v>0</v>
      </c>
      <c r="AW377" s="844">
        <f>IF(ISNA(VLOOKUP(B348,$N$6:$O$10,2,FALSE)),0,VLOOKUP(B348,$N$6:$O$10,2,FALSE))</f>
        <v>0</v>
      </c>
      <c r="AX377" s="844">
        <v>0</v>
      </c>
      <c r="AY377" s="841">
        <f>AN377</f>
        <v>0</v>
      </c>
      <c r="AZ377" s="842">
        <v>0</v>
      </c>
      <c r="BA377" s="842">
        <v>0</v>
      </c>
      <c r="BB377" s="842">
        <v>0</v>
      </c>
      <c r="BC377" s="842">
        <v>0</v>
      </c>
      <c r="BD377" s="842">
        <v>0</v>
      </c>
      <c r="BE377" s="842">
        <v>0</v>
      </c>
      <c r="BF377" s="842">
        <v>0</v>
      </c>
      <c r="BG377" s="842">
        <v>0</v>
      </c>
      <c r="BH377" s="858">
        <f>AN377</f>
        <v>0</v>
      </c>
      <c r="BI377" s="858">
        <v>0</v>
      </c>
      <c r="BJ377" s="858">
        <v>0</v>
      </c>
      <c r="BK377" s="859">
        <v>0</v>
      </c>
      <c r="BL377" s="824">
        <f t="shared" ca="1" si="258"/>
        <v>50</v>
      </c>
      <c r="BM377" s="824">
        <f t="shared" ca="1" si="259"/>
        <v>0</v>
      </c>
      <c r="BN377" s="824">
        <f t="shared" si="260"/>
        <v>93488.099999999991</v>
      </c>
      <c r="BO377" s="824">
        <f t="shared" ca="1" si="264"/>
        <v>0</v>
      </c>
      <c r="BP377" s="824">
        <f t="shared" ca="1" si="264"/>
        <v>0</v>
      </c>
      <c r="BQ377" s="824">
        <f t="shared" ca="1" si="264"/>
        <v>0</v>
      </c>
      <c r="BR377" s="824">
        <f t="shared" ca="1" si="264"/>
        <v>0</v>
      </c>
      <c r="BS377" s="824">
        <f t="shared" ca="1" si="264"/>
        <v>0</v>
      </c>
      <c r="BT377" s="824">
        <f t="shared" ca="1" si="264"/>
        <v>0</v>
      </c>
      <c r="BU377" s="824">
        <f t="shared" ca="1" si="264"/>
        <v>0</v>
      </c>
      <c r="BV377" s="824">
        <f t="shared" ca="1" si="264"/>
        <v>0</v>
      </c>
      <c r="BW377" s="824">
        <f t="shared" ca="1" si="264"/>
        <v>0</v>
      </c>
      <c r="BX377" s="824">
        <f t="shared" ca="1" si="264"/>
        <v>0</v>
      </c>
      <c r="BY377" s="824">
        <f t="shared" ca="1" si="264"/>
        <v>0</v>
      </c>
      <c r="BZ377" s="824">
        <f t="shared" ca="1" si="264"/>
        <v>0</v>
      </c>
      <c r="CA377" s="824">
        <f t="shared" ca="1" si="264"/>
        <v>0</v>
      </c>
      <c r="CB377" s="824">
        <f t="shared" ca="1" si="264"/>
        <v>0</v>
      </c>
      <c r="CC377" s="824">
        <f t="shared" ca="1" si="264"/>
        <v>0</v>
      </c>
      <c r="CD377" s="824">
        <f t="shared" ca="1" si="264"/>
        <v>0</v>
      </c>
      <c r="CE377" s="824">
        <f t="shared" ca="1" si="261"/>
        <v>0</v>
      </c>
      <c r="CF377" s="824">
        <f t="shared" ca="1" si="261"/>
        <v>0</v>
      </c>
      <c r="CG377" s="824">
        <f t="shared" ca="1" si="261"/>
        <v>0</v>
      </c>
      <c r="CH377" s="824">
        <f t="shared" ca="1" si="261"/>
        <v>0</v>
      </c>
      <c r="CI377" s="824">
        <f t="shared" ca="1" si="261"/>
        <v>0</v>
      </c>
      <c r="CJ377" s="824">
        <f t="shared" ca="1" si="261"/>
        <v>0</v>
      </c>
      <c r="CK377" s="824">
        <f t="shared" ca="1" si="261"/>
        <v>0</v>
      </c>
      <c r="CL377" s="824">
        <f t="shared" ca="1" si="261"/>
        <v>0</v>
      </c>
      <c r="CM377" s="824">
        <f t="shared" ca="1" si="261"/>
        <v>0</v>
      </c>
      <c r="CN377" s="824">
        <f t="shared" ca="1" si="261"/>
        <v>0</v>
      </c>
      <c r="CO377" s="824">
        <f t="shared" ca="1" si="261"/>
        <v>0</v>
      </c>
      <c r="CP377" s="824">
        <f t="shared" ca="1" si="261"/>
        <v>0</v>
      </c>
      <c r="CQ377" s="824">
        <f t="shared" ca="1" si="261"/>
        <v>0</v>
      </c>
      <c r="CR377" s="824">
        <f t="shared" ca="1" si="261"/>
        <v>0</v>
      </c>
      <c r="CS377" s="824">
        <f t="shared" ca="1" si="261"/>
        <v>0</v>
      </c>
      <c r="CT377" s="824">
        <f t="shared" ca="1" si="261"/>
        <v>0</v>
      </c>
      <c r="CU377" s="824">
        <f t="shared" ca="1" si="261"/>
        <v>0</v>
      </c>
      <c r="CV377" s="824">
        <f t="shared" ca="1" si="261"/>
        <v>0</v>
      </c>
      <c r="CW377" s="824">
        <f t="shared" ca="1" si="261"/>
        <v>0</v>
      </c>
      <c r="CX377" s="824">
        <f t="shared" ca="1" si="261"/>
        <v>0</v>
      </c>
      <c r="CY377" s="824">
        <f t="shared" ca="1" si="261"/>
        <v>0</v>
      </c>
      <c r="CZ377" s="824">
        <f t="shared" ca="1" si="261"/>
        <v>0</v>
      </c>
      <c r="DA377" s="824">
        <f t="shared" ca="1" si="261"/>
        <v>0</v>
      </c>
      <c r="DB377" s="824">
        <f t="shared" ca="1" si="261"/>
        <v>0</v>
      </c>
      <c r="DC377" s="824">
        <f t="shared" ca="1" si="261"/>
        <v>0</v>
      </c>
      <c r="DD377" s="824">
        <f t="shared" ca="1" si="261"/>
        <v>0</v>
      </c>
      <c r="DE377" s="824">
        <f t="shared" ca="1" si="261"/>
        <v>0</v>
      </c>
      <c r="DF377" s="824">
        <f t="shared" ca="1" si="261"/>
        <v>0</v>
      </c>
      <c r="DG377" s="824">
        <f t="shared" ca="1" si="261"/>
        <v>0</v>
      </c>
      <c r="DH377" s="824">
        <f t="shared" ca="1" si="261"/>
        <v>0</v>
      </c>
      <c r="DI377" s="824">
        <f t="shared" ca="1" si="261"/>
        <v>0</v>
      </c>
      <c r="DJ377" s="824">
        <f t="shared" ca="1" si="261"/>
        <v>0</v>
      </c>
      <c r="DK377" s="824">
        <f t="shared" ca="1" si="261"/>
        <v>0</v>
      </c>
      <c r="DL377" s="824">
        <f t="shared" ca="1" si="261"/>
        <v>0</v>
      </c>
    </row>
    <row r="378" spans="2:116" ht="12" thickBot="1" x14ac:dyDescent="0.3">
      <c r="B378" s="1673"/>
      <c r="C378" s="1680"/>
      <c r="D378" s="15" t="s">
        <v>125</v>
      </c>
      <c r="E378" s="165"/>
      <c r="F378" s="116">
        <f ca="1">SUBTOTAL(109,'3.2 I&amp;W'!$X$46)</f>
        <v>0</v>
      </c>
      <c r="G378" s="116">
        <f ca="1">SUBTOTAL(109,'3.2 I&amp;W'!$Y$46)</f>
        <v>0</v>
      </c>
      <c r="H378" s="116">
        <f ca="1">SUBTOTAL(109,'3.2 I&amp;W'!$AD$46)</f>
        <v>0</v>
      </c>
      <c r="I378" s="116">
        <f ca="1">SUBTOTAL(109,'3.2 I&amp;W'!$AE$46)</f>
        <v>0</v>
      </c>
      <c r="J378" s="116"/>
      <c r="K378" s="116"/>
      <c r="L378" s="116"/>
      <c r="M378" s="116">
        <f ca="1">SUBTOTAL(109,'3.2 I&amp;W'!$AI$46)</f>
        <v>0</v>
      </c>
      <c r="N378" s="156">
        <f t="shared" ca="1" si="262"/>
        <v>0</v>
      </c>
      <c r="O378" s="116">
        <f ca="1">SUBTOTAL(109,'3.2 I&amp;W'!$S$46)</f>
        <v>0</v>
      </c>
      <c r="P378" s="30">
        <f t="shared" ca="1" si="265"/>
        <v>0</v>
      </c>
      <c r="Q378" s="31">
        <f t="shared" ca="1" si="252"/>
        <v>0</v>
      </c>
      <c r="R378" s="31">
        <f t="shared" ca="1" si="253"/>
        <v>0</v>
      </c>
      <c r="S378" s="31">
        <f t="shared" ca="1" si="254"/>
        <v>0</v>
      </c>
      <c r="T378" s="32">
        <f t="shared" ca="1" si="255"/>
        <v>0</v>
      </c>
      <c r="U378" s="37">
        <f t="shared" ca="1" si="263"/>
        <v>0</v>
      </c>
      <c r="V378" s="40">
        <f t="shared" ca="1" si="256"/>
        <v>0</v>
      </c>
      <c r="W378" s="41">
        <f t="shared" ca="1" si="257"/>
        <v>0</v>
      </c>
      <c r="X378" s="43"/>
      <c r="Y378" s="46"/>
      <c r="Z378" s="126"/>
      <c r="AA378" s="136"/>
      <c r="AB378" s="83">
        <v>1</v>
      </c>
      <c r="AC378" s="84">
        <f ca="1">IF(AF377&lt;=1,0,'3.2 Fi&amp;Fo'!$I$25)</f>
        <v>52993.177039275775</v>
      </c>
      <c r="AD378" s="72">
        <f ca="1">IF(AF377&lt;=1,0,AF377*'3.2 Fi&amp;Fo'!$H$25)</f>
        <v>26495.125200000006</v>
      </c>
      <c r="AE378" s="78">
        <f t="shared" ref="AE378:AE391" ca="1" si="266">AC378-AD378</f>
        <v>26498.051839275769</v>
      </c>
      <c r="AF378" s="85">
        <f t="shared" ref="AF378:AF391" ca="1" si="267">AF377-AE378</f>
        <v>1298258.2081607245</v>
      </c>
      <c r="AG378" s="168">
        <f>IF(AJ377&lt;=1,0,IF(AB378&lt;='3.2 Fi&amp;Fo'!$F$34,'3.2 Fi&amp;Fo'!$J$34,IF(AB378&lt;='3.2 Fi&amp;Fo'!$F$35,'3.2 Fi&amp;Fo'!$J$35,IF(AB378&lt;='3.2 Fi&amp;Fo'!$F$36,'3.2 Fi&amp;Fo'!$J$36,IF(AB378&lt;='3.2 Fi&amp;Fo'!$F$37,'3.2 Fi&amp;Fo'!$J$37,IF(AB378&lt;='3.2 Fi&amp;Fo'!$F$38,'3.2 Fi&amp;Fo'!$J$38,IF(AB378&lt;='3.2 Fi&amp;Fo'!$F$39,'3.2 Fi&amp;Fo'!$J$39,IF(AB378&lt;='3.2 Fi&amp;Fo'!$F$40,'3.2 Fi&amp;Fo'!$J$40))))))))</f>
        <v>23632.344000000001</v>
      </c>
      <c r="AH378" s="207">
        <f>IF(AJ377&lt;=1,0,AJ377*IF(AB378&lt;='3.2 Fi&amp;Fo'!$F$34,'3.2 Fi&amp;Fo'!$I$34,IF(AB378&lt;='3.2 Fi&amp;Fo'!$F$35,'3.2 Fi&amp;Fo'!$I$35,IF(AB378&lt;='3.2 Fi&amp;Fo'!$F$36,'3.2 Fi&amp;Fo'!$I$36,IF(AB378&lt;='3.2 Fi&amp;Fo'!$F$39,'3.2 Fi&amp;Fo'!$I$39,IF(AB378&lt;='3.2 Fi&amp;Fo'!$F$40,'3.2 Fi&amp;Fo'!$I$40))))))</f>
        <v>23620.344000000001</v>
      </c>
      <c r="AI378" s="210">
        <f t="shared" ref="AI378:AI409" si="268">AG378-AH378</f>
        <v>12</v>
      </c>
      <c r="AJ378" s="209">
        <f t="shared" ref="AJ378:AJ391" si="269">AJ377-AI378</f>
        <v>1574677.6</v>
      </c>
      <c r="AK378" s="312">
        <f t="shared" ref="AK378:AK409" ca="1" si="270">-AC378-AG378+AL378-AM378</f>
        <v>-98918.193679275777</v>
      </c>
      <c r="AL378" s="169">
        <f>IF(AB378&lt;='3.2 Fi&amp;Fo'!$J$15,'3.2 Fi&amp;Fo'!$I$15,0)</f>
        <v>0</v>
      </c>
      <c r="AM378" s="169">
        <f>IF(AB378&lt;=$G$154,($AM$377*(1+$D$152)^AB378-$AM$377*(1+$D$152)^AB377),0)</f>
        <v>22292.672640000004</v>
      </c>
      <c r="AN378" s="838">
        <f>IF($AO$198&gt;1,1,"")</f>
        <v>1</v>
      </c>
      <c r="AO378" s="844">
        <f t="shared" ref="AO378:AO427" ca="1" si="271">AK378*-1</f>
        <v>98918.193679275777</v>
      </c>
      <c r="AP378" s="839">
        <f ca="1">BO482</f>
        <v>0</v>
      </c>
      <c r="AQ378" s="844">
        <f t="shared" ref="AQ378:AQ427" si="272">IF(AN378=$AO$198,$D$16*$G$157^AN378,0)</f>
        <v>0</v>
      </c>
      <c r="AR378" s="839">
        <f ca="1">G512</f>
        <v>0</v>
      </c>
      <c r="AS378" s="839">
        <f ca="1">SUM(BI378:BK378)</f>
        <v>6362.2999999999993</v>
      </c>
      <c r="AT378" s="839">
        <f ca="1">SUM(AZ378:BG378)</f>
        <v>11460.111577200001</v>
      </c>
      <c r="AU378" s="839">
        <f ca="1">'PV-Einspeisung'!AA83*-1</f>
        <v>0</v>
      </c>
      <c r="AV378" s="839">
        <f ca="1">'PV-Einspeisung'!AE83*-1</f>
        <v>0</v>
      </c>
      <c r="AW378" s="839"/>
      <c r="AX378" s="839">
        <f ca="1">IF(-$U$108*$G$152&lt;=0,-$U$108*$G$152,0)*-1</f>
        <v>0</v>
      </c>
      <c r="AY378" s="841">
        <f t="shared" ref="AY378:AY427" si="273">AN378</f>
        <v>1</v>
      </c>
      <c r="AZ378" s="842">
        <f ca="1">AF482</f>
        <v>0</v>
      </c>
      <c r="BA378" s="842">
        <f t="shared" ref="BA378" ca="1" si="274">AG482</f>
        <v>0</v>
      </c>
      <c r="BB378" s="842">
        <f t="shared" ref="BB378" ca="1" si="275">AH482</f>
        <v>0</v>
      </c>
      <c r="BC378" s="842">
        <f t="shared" ref="BC378" ca="1" si="276">AI482</f>
        <v>0</v>
      </c>
      <c r="BD378" s="842">
        <f t="shared" ref="BD378" ca="1" si="277">AJ482</f>
        <v>0</v>
      </c>
      <c r="BE378" s="842">
        <f t="shared" ref="BE378" ca="1" si="278">AK482</f>
        <v>0</v>
      </c>
      <c r="BF378" s="842">
        <f t="shared" ref="BF378" ca="1" si="279">AL482</f>
        <v>6085.9719359999999</v>
      </c>
      <c r="BG378" s="842">
        <f t="shared" ref="BG378" ca="1" si="280">AM482</f>
        <v>5374.1396412000004</v>
      </c>
      <c r="BH378" s="858">
        <f t="shared" ref="BH378:BH427" si="281">AN378</f>
        <v>1</v>
      </c>
      <c r="BI378" s="858">
        <f ca="1">J512</f>
        <v>2996.3999999999996</v>
      </c>
      <c r="BJ378" s="858">
        <f ca="1">I512</f>
        <v>3365.9</v>
      </c>
      <c r="BK378" s="859">
        <f ca="1">'PV-Einspeisung'!AB83*-1</f>
        <v>0</v>
      </c>
      <c r="BL378" s="824">
        <f t="shared" ca="1" si="258"/>
        <v>0</v>
      </c>
      <c r="BM378" s="824">
        <f t="shared" ca="1" si="259"/>
        <v>0</v>
      </c>
      <c r="BN378" s="824">
        <f t="shared" ca="1" si="260"/>
        <v>0</v>
      </c>
      <c r="BO378" s="824">
        <f t="shared" ca="1" si="264"/>
        <v>0</v>
      </c>
      <c r="BP378" s="824">
        <f t="shared" ca="1" si="264"/>
        <v>0</v>
      </c>
      <c r="BQ378" s="824">
        <f t="shared" ca="1" si="264"/>
        <v>0</v>
      </c>
      <c r="BR378" s="824">
        <f t="shared" ca="1" si="264"/>
        <v>0</v>
      </c>
      <c r="BS378" s="824">
        <f t="shared" ca="1" si="264"/>
        <v>0</v>
      </c>
      <c r="BT378" s="824">
        <f t="shared" ca="1" si="264"/>
        <v>0</v>
      </c>
      <c r="BU378" s="824">
        <f t="shared" ca="1" si="264"/>
        <v>0</v>
      </c>
      <c r="BV378" s="824">
        <f t="shared" ca="1" si="264"/>
        <v>0</v>
      </c>
      <c r="BW378" s="824">
        <f t="shared" ca="1" si="264"/>
        <v>0</v>
      </c>
      <c r="BX378" s="824">
        <f t="shared" ca="1" si="264"/>
        <v>0</v>
      </c>
      <c r="BY378" s="824">
        <f t="shared" ca="1" si="264"/>
        <v>0</v>
      </c>
      <c r="BZ378" s="824">
        <f t="shared" ca="1" si="264"/>
        <v>0</v>
      </c>
      <c r="CA378" s="824">
        <f t="shared" ca="1" si="264"/>
        <v>0</v>
      </c>
      <c r="CB378" s="824">
        <f t="shared" ca="1" si="264"/>
        <v>0</v>
      </c>
      <c r="CC378" s="824">
        <f t="shared" ca="1" si="264"/>
        <v>0</v>
      </c>
      <c r="CD378" s="824">
        <f t="shared" ca="1" si="264"/>
        <v>0</v>
      </c>
      <c r="CE378" s="824">
        <f t="shared" ca="1" si="261"/>
        <v>0</v>
      </c>
      <c r="CF378" s="824">
        <f t="shared" ca="1" si="261"/>
        <v>0</v>
      </c>
      <c r="CG378" s="824">
        <f t="shared" ca="1" si="261"/>
        <v>0</v>
      </c>
      <c r="CH378" s="824">
        <f t="shared" ca="1" si="261"/>
        <v>0</v>
      </c>
      <c r="CI378" s="824">
        <f t="shared" ca="1" si="261"/>
        <v>0</v>
      </c>
      <c r="CJ378" s="824">
        <f t="shared" ca="1" si="261"/>
        <v>0</v>
      </c>
      <c r="CK378" s="824">
        <f t="shared" ca="1" si="261"/>
        <v>0</v>
      </c>
      <c r="CL378" s="824">
        <f t="shared" ca="1" si="261"/>
        <v>0</v>
      </c>
      <c r="CM378" s="824">
        <f t="shared" ca="1" si="261"/>
        <v>0</v>
      </c>
      <c r="CN378" s="824">
        <f t="shared" ca="1" si="261"/>
        <v>0</v>
      </c>
      <c r="CO378" s="824">
        <f t="shared" ca="1" si="261"/>
        <v>0</v>
      </c>
      <c r="CP378" s="824">
        <f t="shared" ca="1" si="261"/>
        <v>0</v>
      </c>
      <c r="CQ378" s="824">
        <f t="shared" ca="1" si="261"/>
        <v>0</v>
      </c>
      <c r="CR378" s="824">
        <f t="shared" ca="1" si="261"/>
        <v>0</v>
      </c>
      <c r="CS378" s="824">
        <f t="shared" ca="1" si="261"/>
        <v>0</v>
      </c>
      <c r="CT378" s="824">
        <f t="shared" ca="1" si="261"/>
        <v>0</v>
      </c>
      <c r="CU378" s="824">
        <f t="shared" ca="1" si="261"/>
        <v>0</v>
      </c>
      <c r="CV378" s="824">
        <f t="shared" ca="1" si="261"/>
        <v>0</v>
      </c>
      <c r="CW378" s="824">
        <f t="shared" ca="1" si="261"/>
        <v>0</v>
      </c>
      <c r="CX378" s="824">
        <f t="shared" ca="1" si="261"/>
        <v>0</v>
      </c>
      <c r="CY378" s="824">
        <f t="shared" ca="1" si="261"/>
        <v>0</v>
      </c>
      <c r="CZ378" s="824">
        <f t="shared" ca="1" si="261"/>
        <v>0</v>
      </c>
      <c r="DA378" s="824">
        <f t="shared" ca="1" si="261"/>
        <v>0</v>
      </c>
      <c r="DB378" s="824">
        <f t="shared" ca="1" si="261"/>
        <v>0</v>
      </c>
      <c r="DC378" s="824">
        <f t="shared" ca="1" si="261"/>
        <v>0</v>
      </c>
      <c r="DD378" s="824">
        <f t="shared" ca="1" si="261"/>
        <v>0</v>
      </c>
      <c r="DE378" s="824">
        <f t="shared" ca="1" si="261"/>
        <v>0</v>
      </c>
      <c r="DF378" s="824">
        <f t="shared" ca="1" si="261"/>
        <v>0</v>
      </c>
      <c r="DG378" s="824">
        <f t="shared" ca="1" si="261"/>
        <v>0</v>
      </c>
      <c r="DH378" s="824">
        <f t="shared" ca="1" si="261"/>
        <v>0</v>
      </c>
      <c r="DI378" s="824">
        <f t="shared" ca="1" si="261"/>
        <v>0</v>
      </c>
      <c r="DJ378" s="824">
        <f t="shared" ca="1" si="261"/>
        <v>0</v>
      </c>
      <c r="DK378" s="824">
        <f t="shared" ca="1" si="261"/>
        <v>0</v>
      </c>
      <c r="DL378" s="824">
        <f t="shared" ca="1" si="261"/>
        <v>0</v>
      </c>
    </row>
    <row r="379" spans="2:116" ht="12" thickBot="1" x14ac:dyDescent="0.3">
      <c r="B379" s="1673"/>
      <c r="C379" s="1680"/>
      <c r="D379" s="15" t="s">
        <v>126</v>
      </c>
      <c r="E379" s="116"/>
      <c r="F379" s="116">
        <f ca="1">SUBTOTAL(109,'3.2 I&amp;W'!$X$49)</f>
        <v>0</v>
      </c>
      <c r="G379" s="116">
        <f ca="1">SUBTOTAL(109,'3.2 I&amp;W'!$Y$49)</f>
        <v>0</v>
      </c>
      <c r="H379" s="116">
        <f ca="1">SUBTOTAL(109,'3.2 I&amp;W'!$AD$49)</f>
        <v>0</v>
      </c>
      <c r="I379" s="116">
        <f ca="1">SUBTOTAL(109,'3.2 I&amp;W'!$AE$49)</f>
        <v>0</v>
      </c>
      <c r="J379" s="116"/>
      <c r="K379" s="116"/>
      <c r="L379" s="116"/>
      <c r="M379" s="116">
        <f ca="1">SUBTOTAL(109,'3.2 I&amp;W'!$AI$49)</f>
        <v>0</v>
      </c>
      <c r="N379" s="156">
        <f t="shared" ca="1" si="262"/>
        <v>0</v>
      </c>
      <c r="O379" s="116">
        <f ca="1">SUBTOTAL(109,'3.2 I&amp;W'!$S$49)</f>
        <v>0</v>
      </c>
      <c r="P379" s="30">
        <f t="shared" ca="1" si="265"/>
        <v>0</v>
      </c>
      <c r="Q379" s="31">
        <f t="shared" ca="1" si="252"/>
        <v>0</v>
      </c>
      <c r="R379" s="31">
        <f t="shared" ca="1" si="253"/>
        <v>0</v>
      </c>
      <c r="S379" s="31">
        <f t="shared" ca="1" si="254"/>
        <v>0</v>
      </c>
      <c r="T379" s="32">
        <f t="shared" ca="1" si="255"/>
        <v>0</v>
      </c>
      <c r="U379" s="37">
        <f t="shared" ca="1" si="263"/>
        <v>0</v>
      </c>
      <c r="V379" s="40">
        <f t="shared" ca="1" si="256"/>
        <v>0</v>
      </c>
      <c r="W379" s="41">
        <f t="shared" ca="1" si="257"/>
        <v>0</v>
      </c>
      <c r="X379" s="43"/>
      <c r="Y379" s="46"/>
      <c r="Z379" s="126"/>
      <c r="AA379" s="136"/>
      <c r="AB379" s="83">
        <v>2</v>
      </c>
      <c r="AC379" s="84">
        <f ca="1">IF(AF378&lt;=1,0,'3.2 Fi&amp;Fo'!$I$25)</f>
        <v>52993.177039275775</v>
      </c>
      <c r="AD379" s="72">
        <f ca="1">IF(AF378&lt;=1,0,AF378*'3.2 Fi&amp;Fo'!$H$25)</f>
        <v>25965.164163214489</v>
      </c>
      <c r="AE379" s="78">
        <f t="shared" ca="1" si="266"/>
        <v>27028.012876061286</v>
      </c>
      <c r="AF379" s="85">
        <f t="shared" ca="1" si="267"/>
        <v>1271230.1952846632</v>
      </c>
      <c r="AG379" s="168">
        <f>IF(AJ378&lt;=1,0,IF(AB379&lt;='3.2 Fi&amp;Fo'!$F$34,'3.2 Fi&amp;Fo'!$J$34,IF(AB379&lt;='3.2 Fi&amp;Fo'!$F$35,'3.2 Fi&amp;Fo'!$J$35,IF(AB379&lt;='3.2 Fi&amp;Fo'!$F$36,'3.2 Fi&amp;Fo'!$J$36,IF(AB379&lt;='3.2 Fi&amp;Fo'!$F$37,'3.2 Fi&amp;Fo'!$J$37,IF(AB379&lt;='3.2 Fi&amp;Fo'!$F$38,'3.2 Fi&amp;Fo'!$J$38,IF(AB379&lt;='3.2 Fi&amp;Fo'!$F$39,'3.2 Fi&amp;Fo'!$J$39,IF(AB379&lt;='3.2 Fi&amp;Fo'!$F$40,'3.2 Fi&amp;Fo'!$J$40))))))))</f>
        <v>23632.344000000001</v>
      </c>
      <c r="AH379" s="207">
        <f>IF(AJ378&lt;=1,0,AJ378*IF(AB379&lt;='3.2 Fi&amp;Fo'!$F$34,'3.2 Fi&amp;Fo'!$I$34,IF(AB379&lt;='3.2 Fi&amp;Fo'!$F$35,'3.2 Fi&amp;Fo'!$I$35,IF(AB379&lt;='3.2 Fi&amp;Fo'!$F$36,'3.2 Fi&amp;Fo'!$I$36,IF(AB379&lt;='3.2 Fi&amp;Fo'!$F$39,'3.2 Fi&amp;Fo'!$I$39,IF(AB379&lt;='3.2 Fi&amp;Fo'!$F$40,'3.2 Fi&amp;Fo'!$I$40))))))</f>
        <v>23620.164000000001</v>
      </c>
      <c r="AI379" s="210">
        <f t="shared" si="268"/>
        <v>12.180000000000291</v>
      </c>
      <c r="AJ379" s="209">
        <f t="shared" si="269"/>
        <v>1574665.4200000002</v>
      </c>
      <c r="AK379" s="312">
        <f t="shared" ca="1" si="270"/>
        <v>-99364.047132075852</v>
      </c>
      <c r="AL379" s="169">
        <f>IF(AB379&lt;='3.2 Fi&amp;Fo'!$J$15,'3.2 Fi&amp;Fo'!$I$15,0)</f>
        <v>0</v>
      </c>
      <c r="AM379" s="169">
        <f t="shared" ref="AM379:AM409" si="282">IF(AB379&lt;=$G$154,($AM$377*(1+$D$152)^AB379-$AM$377*(1+$D$152)^AB378),0)</f>
        <v>22738.526092800079</v>
      </c>
      <c r="AN379" s="838">
        <f>IF($AO$198&gt;AN378,AN378+1,"")</f>
        <v>2</v>
      </c>
      <c r="AO379" s="844">
        <f t="shared" ca="1" si="271"/>
        <v>99364.047132075852</v>
      </c>
      <c r="AP379" s="839">
        <f ca="1">BP482</f>
        <v>0</v>
      </c>
      <c r="AQ379" s="844">
        <f t="shared" si="272"/>
        <v>0</v>
      </c>
      <c r="AR379" s="839">
        <f ca="1">IF(AN379="","",AR378*$AR$201)</f>
        <v>0</v>
      </c>
      <c r="AS379" s="839">
        <f t="shared" ref="AS379:AS427" ca="1" si="283">SUM(BI379:BK379)</f>
        <v>6464.0967999999993</v>
      </c>
      <c r="AT379" s="839">
        <f t="shared" ref="AT379:AT427" ca="1" si="284">SUM(AZ379:BG379)</f>
        <v>11800.355763042</v>
      </c>
      <c r="AU379" s="839">
        <f ca="1">'PV-Einspeisung'!AA84*-1</f>
        <v>0</v>
      </c>
      <c r="AV379" s="839">
        <f ca="1">'PV-Einspeisung'!AE84*-1</f>
        <v>0</v>
      </c>
      <c r="AW379" s="839"/>
      <c r="AX379" s="839">
        <f ca="1">IF(AN379="","",AX378*$AX$201)</f>
        <v>0</v>
      </c>
      <c r="AY379" s="841">
        <f t="shared" si="273"/>
        <v>2</v>
      </c>
      <c r="AZ379" s="842">
        <f ca="1">IF($AN379="","",AZ378*$AZ$201)</f>
        <v>0</v>
      </c>
      <c r="BA379" s="842">
        <f ca="1">IF($AN379="","",BA378*$BA$201)</f>
        <v>0</v>
      </c>
      <c r="BB379" s="842">
        <f ca="1">IF($AN379="","",BB378*$BB$201)</f>
        <v>0</v>
      </c>
      <c r="BC379" s="842">
        <f ca="1">IF($AN379="","",BC378*$BC$201)</f>
        <v>0</v>
      </c>
      <c r="BD379" s="842">
        <f ca="1">IF($AN379="","",BD378*$BD$201)</f>
        <v>0</v>
      </c>
      <c r="BE379" s="842">
        <f ca="1">IF($AN379="","",BE378*$BE$201)</f>
        <v>0</v>
      </c>
      <c r="BF379" s="842">
        <f ca="1">IF($AN379="","",BF378*$BF$201)</f>
        <v>6238.1212343999996</v>
      </c>
      <c r="BG379" s="842">
        <f ca="1">IF($AN379="","",BG378*$BG$201)</f>
        <v>5562.2345286419995</v>
      </c>
      <c r="BH379" s="858">
        <f t="shared" si="281"/>
        <v>2</v>
      </c>
      <c r="BI379" s="857">
        <f ca="1">IF($AN379="","",BI378*$BI$201)</f>
        <v>3044.3423999999995</v>
      </c>
      <c r="BJ379" s="857">
        <f ca="1">IF($AN379="","",BJ378*$BJ$201)</f>
        <v>3419.7544000000003</v>
      </c>
      <c r="BK379" s="859">
        <f ca="1">'PV-Einspeisung'!AB84*-1</f>
        <v>0</v>
      </c>
      <c r="BL379" s="824">
        <f t="shared" ca="1" si="258"/>
        <v>0</v>
      </c>
      <c r="BM379" s="824">
        <f t="shared" ca="1" si="259"/>
        <v>0</v>
      </c>
      <c r="BN379" s="824">
        <f t="shared" ca="1" si="260"/>
        <v>0</v>
      </c>
      <c r="BO379" s="824">
        <f t="shared" ca="1" si="264"/>
        <v>0</v>
      </c>
      <c r="BP379" s="824">
        <f t="shared" ca="1" si="264"/>
        <v>0</v>
      </c>
      <c r="BQ379" s="824">
        <f t="shared" ca="1" si="264"/>
        <v>0</v>
      </c>
      <c r="BR379" s="824">
        <f t="shared" ca="1" si="264"/>
        <v>0</v>
      </c>
      <c r="BS379" s="824">
        <f t="shared" ca="1" si="264"/>
        <v>0</v>
      </c>
      <c r="BT379" s="824">
        <f t="shared" ca="1" si="264"/>
        <v>0</v>
      </c>
      <c r="BU379" s="824">
        <f t="shared" ca="1" si="264"/>
        <v>0</v>
      </c>
      <c r="BV379" s="824">
        <f t="shared" ca="1" si="264"/>
        <v>0</v>
      </c>
      <c r="BW379" s="824">
        <f t="shared" ca="1" si="264"/>
        <v>0</v>
      </c>
      <c r="BX379" s="824">
        <f t="shared" ca="1" si="264"/>
        <v>0</v>
      </c>
      <c r="BY379" s="824">
        <f t="shared" ca="1" si="264"/>
        <v>0</v>
      </c>
      <c r="BZ379" s="824">
        <f t="shared" ca="1" si="264"/>
        <v>0</v>
      </c>
      <c r="CA379" s="824">
        <f t="shared" ca="1" si="264"/>
        <v>0</v>
      </c>
      <c r="CB379" s="824">
        <f t="shared" ca="1" si="264"/>
        <v>0</v>
      </c>
      <c r="CC379" s="824">
        <f t="shared" ca="1" si="264"/>
        <v>0</v>
      </c>
      <c r="CD379" s="824">
        <f t="shared" ca="1" si="264"/>
        <v>0</v>
      </c>
      <c r="CE379" s="824">
        <f t="shared" ca="1" si="261"/>
        <v>0</v>
      </c>
      <c r="CF379" s="824">
        <f t="shared" ca="1" si="261"/>
        <v>0</v>
      </c>
      <c r="CG379" s="824">
        <f t="shared" ca="1" si="261"/>
        <v>0</v>
      </c>
      <c r="CH379" s="824">
        <f t="shared" ca="1" si="261"/>
        <v>0</v>
      </c>
      <c r="CI379" s="824">
        <f t="shared" ca="1" si="261"/>
        <v>0</v>
      </c>
      <c r="CJ379" s="824">
        <f t="shared" ca="1" si="261"/>
        <v>0</v>
      </c>
      <c r="CK379" s="824">
        <f t="shared" ref="CK379:CZ405" ca="1" si="285">IF(OR(IF($BL379*1&lt;$BL$196,$BL379*1=CK$198,FALSE),IF($BL379*2&lt;$BL$196,$BL379*2=CK$198,FALSE),IF($BL379*3&lt;$BL$196,$BL379*3=CK$198,FALSE),IF($BL379*4&lt;$BL$196,$BL379*4=CK$198,FALSE),IF($BL379*5&lt;$BL$196,$BL379*5=CK$198,FALSE)),$BN379*$BM$196^CK$198,0)</f>
        <v>0</v>
      </c>
      <c r="CL379" s="824">
        <f t="shared" ca="1" si="285"/>
        <v>0</v>
      </c>
      <c r="CM379" s="824">
        <f t="shared" ca="1" si="285"/>
        <v>0</v>
      </c>
      <c r="CN379" s="824">
        <f t="shared" ca="1" si="285"/>
        <v>0</v>
      </c>
      <c r="CO379" s="824">
        <f t="shared" ca="1" si="285"/>
        <v>0</v>
      </c>
      <c r="CP379" s="824">
        <f t="shared" ca="1" si="285"/>
        <v>0</v>
      </c>
      <c r="CQ379" s="824">
        <f t="shared" ca="1" si="285"/>
        <v>0</v>
      </c>
      <c r="CR379" s="824">
        <f t="shared" ca="1" si="285"/>
        <v>0</v>
      </c>
      <c r="CS379" s="824">
        <f t="shared" ca="1" si="285"/>
        <v>0</v>
      </c>
      <c r="CT379" s="824">
        <f t="shared" ca="1" si="285"/>
        <v>0</v>
      </c>
      <c r="CU379" s="824">
        <f t="shared" ca="1" si="285"/>
        <v>0</v>
      </c>
      <c r="CV379" s="824">
        <f t="shared" ca="1" si="285"/>
        <v>0</v>
      </c>
      <c r="CW379" s="824">
        <f t="shared" ca="1" si="285"/>
        <v>0</v>
      </c>
      <c r="CX379" s="824">
        <f t="shared" ca="1" si="285"/>
        <v>0</v>
      </c>
      <c r="CY379" s="824">
        <f t="shared" ca="1" si="285"/>
        <v>0</v>
      </c>
      <c r="CZ379" s="824">
        <f t="shared" ca="1" si="285"/>
        <v>0</v>
      </c>
      <c r="DA379" s="824">
        <f t="shared" ref="DA379:DL400" ca="1" si="286">IF(OR(IF($BL379*1&lt;$BL$196,$BL379*1=DA$198,FALSE),IF($BL379*2&lt;$BL$196,$BL379*2=DA$198,FALSE),IF($BL379*3&lt;$BL$196,$BL379*3=DA$198,FALSE),IF($BL379*4&lt;$BL$196,$BL379*4=DA$198,FALSE),IF($BL379*5&lt;$BL$196,$BL379*5=DA$198,FALSE)),$BN379*$BM$196^DA$198,0)</f>
        <v>0</v>
      </c>
      <c r="DB379" s="824">
        <f t="shared" ca="1" si="286"/>
        <v>0</v>
      </c>
      <c r="DC379" s="824">
        <f t="shared" ca="1" si="286"/>
        <v>0</v>
      </c>
      <c r="DD379" s="824">
        <f t="shared" ca="1" si="286"/>
        <v>0</v>
      </c>
      <c r="DE379" s="824">
        <f t="shared" ca="1" si="286"/>
        <v>0</v>
      </c>
      <c r="DF379" s="824">
        <f t="shared" ca="1" si="286"/>
        <v>0</v>
      </c>
      <c r="DG379" s="824">
        <f t="shared" ca="1" si="286"/>
        <v>0</v>
      </c>
      <c r="DH379" s="824">
        <f t="shared" ca="1" si="286"/>
        <v>0</v>
      </c>
      <c r="DI379" s="824">
        <f t="shared" ca="1" si="286"/>
        <v>0</v>
      </c>
      <c r="DJ379" s="824">
        <f t="shared" ca="1" si="286"/>
        <v>0</v>
      </c>
      <c r="DK379" s="824">
        <f t="shared" ca="1" si="286"/>
        <v>0</v>
      </c>
      <c r="DL379" s="824">
        <f t="shared" ca="1" si="286"/>
        <v>0</v>
      </c>
    </row>
    <row r="380" spans="2:116" ht="12" thickBot="1" x14ac:dyDescent="0.3">
      <c r="B380" s="1673"/>
      <c r="C380" s="1680"/>
      <c r="D380" s="15" t="s">
        <v>126</v>
      </c>
      <c r="E380" s="165"/>
      <c r="F380" s="116">
        <f ca="1">SUBTOTAL(109,'3.2 I&amp;W'!$X$50)</f>
        <v>0</v>
      </c>
      <c r="G380" s="116">
        <f ca="1">SUBTOTAL(109,'3.2 I&amp;W'!$Y$50)</f>
        <v>0</v>
      </c>
      <c r="H380" s="116">
        <f ca="1">SUBTOTAL(109,'3.2 I&amp;W'!$AD$50)</f>
        <v>0</v>
      </c>
      <c r="I380" s="116">
        <f ca="1">SUBTOTAL(109,'3.2 I&amp;W'!$AE$50)</f>
        <v>0</v>
      </c>
      <c r="J380" s="116"/>
      <c r="K380" s="116"/>
      <c r="L380" s="116"/>
      <c r="M380" s="116">
        <f ca="1">SUBTOTAL(109,'3.2 I&amp;W'!$AI$50)</f>
        <v>0</v>
      </c>
      <c r="N380" s="156">
        <f t="shared" ca="1" si="262"/>
        <v>0</v>
      </c>
      <c r="O380" s="116">
        <f ca="1">SUBTOTAL(109,'3.2 I&amp;W'!$S$50)</f>
        <v>0</v>
      </c>
      <c r="P380" s="30">
        <f t="shared" ca="1" si="265"/>
        <v>0</v>
      </c>
      <c r="Q380" s="31">
        <f t="shared" ca="1" si="252"/>
        <v>0</v>
      </c>
      <c r="R380" s="31">
        <f t="shared" ca="1" si="253"/>
        <v>0</v>
      </c>
      <c r="S380" s="31">
        <f t="shared" ca="1" si="254"/>
        <v>0</v>
      </c>
      <c r="T380" s="32">
        <f t="shared" ca="1" si="255"/>
        <v>0</v>
      </c>
      <c r="U380" s="37">
        <f t="shared" ca="1" si="263"/>
        <v>0</v>
      </c>
      <c r="V380" s="40">
        <f t="shared" ca="1" si="256"/>
        <v>0</v>
      </c>
      <c r="W380" s="41">
        <f t="shared" ca="1" si="257"/>
        <v>0</v>
      </c>
      <c r="X380" s="43"/>
      <c r="Y380" s="46"/>
      <c r="Z380" s="126"/>
      <c r="AA380" s="136"/>
      <c r="AB380" s="83">
        <v>3</v>
      </c>
      <c r="AC380" s="84">
        <f ca="1">IF(AF379&lt;=1,0,'3.2 Fi&amp;Fo'!$I$25)</f>
        <v>52993.177039275775</v>
      </c>
      <c r="AD380" s="72">
        <f ca="1">IF(AF379&lt;=1,0,AF379*'3.2 Fi&amp;Fo'!$H$25)</f>
        <v>25424.603905693264</v>
      </c>
      <c r="AE380" s="78">
        <f t="shared" ca="1" si="266"/>
        <v>27568.573133582511</v>
      </c>
      <c r="AF380" s="85">
        <f t="shared" ca="1" si="267"/>
        <v>1243661.6221510808</v>
      </c>
      <c r="AG380" s="168">
        <f>IF(AJ379&lt;=1,0,IF(AB380&lt;='3.2 Fi&amp;Fo'!$F$34,'3.2 Fi&amp;Fo'!$J$34,IF(AB380&lt;='3.2 Fi&amp;Fo'!$F$35,'3.2 Fi&amp;Fo'!$J$35,IF(AB380&lt;='3.2 Fi&amp;Fo'!$F$36,'3.2 Fi&amp;Fo'!$J$36,IF(AB380&lt;='3.2 Fi&amp;Fo'!$F$37,'3.2 Fi&amp;Fo'!$J$37,IF(AB380&lt;='3.2 Fi&amp;Fo'!$F$38,'3.2 Fi&amp;Fo'!$J$38,IF(AB380&lt;='3.2 Fi&amp;Fo'!$F$39,'3.2 Fi&amp;Fo'!$J$39,IF(AB380&lt;='3.2 Fi&amp;Fo'!$F$40,'3.2 Fi&amp;Fo'!$J$40))))))))</f>
        <v>23632.344000000001</v>
      </c>
      <c r="AH380" s="207">
        <f>IF(AJ379&lt;=1,0,AJ379*IF(AB380&lt;='3.2 Fi&amp;Fo'!$F$34,'3.2 Fi&amp;Fo'!$I$34,IF(AB380&lt;='3.2 Fi&amp;Fo'!$F$35,'3.2 Fi&amp;Fo'!$I$35,IF(AB380&lt;='3.2 Fi&amp;Fo'!$F$36,'3.2 Fi&amp;Fo'!$I$36,IF(AB380&lt;='3.2 Fi&amp;Fo'!$F$39,'3.2 Fi&amp;Fo'!$I$39,IF(AB380&lt;='3.2 Fi&amp;Fo'!$F$40,'3.2 Fi&amp;Fo'!$I$40))))))</f>
        <v>23619.981300000003</v>
      </c>
      <c r="AI380" s="210">
        <f t="shared" si="268"/>
        <v>12.362699999997858</v>
      </c>
      <c r="AJ380" s="209">
        <f t="shared" si="269"/>
        <v>1574653.0573000002</v>
      </c>
      <c r="AK380" s="312">
        <f t="shared" ca="1" si="270"/>
        <v>-99818.817653931532</v>
      </c>
      <c r="AL380" s="169">
        <f>IF(AB380&lt;='3.2 Fi&amp;Fo'!$J$15,'3.2 Fi&amp;Fo'!$I$15,0)</f>
        <v>0</v>
      </c>
      <c r="AM380" s="169">
        <f t="shared" si="282"/>
        <v>23193.296614655759</v>
      </c>
      <c r="AN380" s="838">
        <f t="shared" ref="AN380:AN427" si="287">IF($AO$198&gt;AN379,AN379+1,"")</f>
        <v>3</v>
      </c>
      <c r="AO380" s="844">
        <f t="shared" ca="1" si="271"/>
        <v>99818.817653931532</v>
      </c>
      <c r="AP380" s="839">
        <f ca="1">BQ482</f>
        <v>0</v>
      </c>
      <c r="AQ380" s="844">
        <f t="shared" si="272"/>
        <v>0</v>
      </c>
      <c r="AR380" s="839">
        <f t="shared" ref="AR380:AR427" ca="1" si="288">IF(AN380="","",AR379*$AR$201)</f>
        <v>0</v>
      </c>
      <c r="AS380" s="839">
        <f t="shared" ca="1" si="283"/>
        <v>6567.5223488000001</v>
      </c>
      <c r="AT380" s="839">
        <f t="shared" ca="1" si="284"/>
        <v>12150.987002404469</v>
      </c>
      <c r="AU380" s="839">
        <f ca="1">'PV-Einspeisung'!AA85*-1</f>
        <v>0</v>
      </c>
      <c r="AV380" s="839">
        <f ca="1">'PV-Einspeisung'!AE85*-1</f>
        <v>0</v>
      </c>
      <c r="AW380" s="839"/>
      <c r="AX380" s="839">
        <f t="shared" ref="AX380:AX427" ca="1" si="289">IF(AN380="","",AX379*$AX$201)</f>
        <v>0</v>
      </c>
      <c r="AY380" s="841">
        <f t="shared" si="273"/>
        <v>3</v>
      </c>
      <c r="AZ380" s="842">
        <f t="shared" ref="AZ380:AZ417" ca="1" si="290">IF($AN380="","",AZ379*$AZ$201)</f>
        <v>0</v>
      </c>
      <c r="BA380" s="842">
        <f t="shared" ref="BA380:BA427" ca="1" si="291">IF($AN380="","",BA379*$BA$201)</f>
        <v>0</v>
      </c>
      <c r="BB380" s="842">
        <f t="shared" ref="BB380:BB427" ca="1" si="292">IF($AN380="","",BB379*$BB$201)</f>
        <v>0</v>
      </c>
      <c r="BC380" s="842">
        <f t="shared" ref="BC380:BC427" ca="1" si="293">IF($AN380="","",BC379*$BC$201)</f>
        <v>0</v>
      </c>
      <c r="BD380" s="842">
        <f t="shared" ref="BD380:BD427" ca="1" si="294">IF($AN380="","",BD379*$BD$201)</f>
        <v>0</v>
      </c>
      <c r="BE380" s="842">
        <f t="shared" ref="BE380:BE427" ca="1" si="295">IF($AN380="","",BE379*$BE$201)</f>
        <v>0</v>
      </c>
      <c r="BF380" s="842">
        <f t="shared" ref="BF380:BF427" ca="1" si="296">IF($AN380="","",BF379*$BF$201)</f>
        <v>6394.0742652599993</v>
      </c>
      <c r="BG380" s="842">
        <f t="shared" ref="BG380:BG427" ca="1" si="297">IF($AN380="","",BG379*$BG$201)</f>
        <v>5756.9127371444692</v>
      </c>
      <c r="BH380" s="858">
        <f t="shared" si="281"/>
        <v>3</v>
      </c>
      <c r="BI380" s="857">
        <f t="shared" ref="BI380:BI427" ca="1" si="298">IF($AN380="","",BI379*$BI$201)</f>
        <v>3093.0518783999996</v>
      </c>
      <c r="BJ380" s="857">
        <f t="shared" ref="BJ380:BJ427" ca="1" si="299">IF($AN380="","",BJ379*$BJ$201)</f>
        <v>3474.4704704000005</v>
      </c>
      <c r="BK380" s="859">
        <f ca="1">'PV-Einspeisung'!AB85*-1</f>
        <v>0</v>
      </c>
      <c r="BL380" s="824">
        <f t="shared" ca="1" si="258"/>
        <v>0</v>
      </c>
      <c r="BM380" s="824">
        <f t="shared" ca="1" si="259"/>
        <v>0</v>
      </c>
      <c r="BN380" s="824">
        <f t="shared" ca="1" si="260"/>
        <v>0</v>
      </c>
      <c r="BO380" s="824">
        <f t="shared" ca="1" si="264"/>
        <v>0</v>
      </c>
      <c r="BP380" s="824">
        <f t="shared" ca="1" si="264"/>
        <v>0</v>
      </c>
      <c r="BQ380" s="824">
        <f t="shared" ca="1" si="264"/>
        <v>0</v>
      </c>
      <c r="BR380" s="824">
        <f t="shared" ca="1" si="264"/>
        <v>0</v>
      </c>
      <c r="BS380" s="824">
        <f t="shared" ca="1" si="264"/>
        <v>0</v>
      </c>
      <c r="BT380" s="824">
        <f t="shared" ca="1" si="264"/>
        <v>0</v>
      </c>
      <c r="BU380" s="824">
        <f t="shared" ca="1" si="264"/>
        <v>0</v>
      </c>
      <c r="BV380" s="824">
        <f t="shared" ca="1" si="264"/>
        <v>0</v>
      </c>
      <c r="BW380" s="824">
        <f t="shared" ca="1" si="264"/>
        <v>0</v>
      </c>
      <c r="BX380" s="824">
        <f t="shared" ca="1" si="264"/>
        <v>0</v>
      </c>
      <c r="BY380" s="824">
        <f t="shared" ca="1" si="264"/>
        <v>0</v>
      </c>
      <c r="BZ380" s="824">
        <f t="shared" ca="1" si="264"/>
        <v>0</v>
      </c>
      <c r="CA380" s="824">
        <f t="shared" ca="1" si="264"/>
        <v>0</v>
      </c>
      <c r="CB380" s="824">
        <f t="shared" ca="1" si="264"/>
        <v>0</v>
      </c>
      <c r="CC380" s="824">
        <f t="shared" ca="1" si="264"/>
        <v>0</v>
      </c>
      <c r="CD380" s="824">
        <f t="shared" ca="1" si="264"/>
        <v>0</v>
      </c>
      <c r="CE380" s="824">
        <f t="shared" ref="CE380:CT396" ca="1" si="300">IF(OR(IF($BL380*1&lt;$BL$196,$BL380*1=CE$198,FALSE),IF($BL380*2&lt;$BL$196,$BL380*2=CE$198,FALSE),IF($BL380*3&lt;$BL$196,$BL380*3=CE$198,FALSE),IF($BL380*4&lt;$BL$196,$BL380*4=CE$198,FALSE),IF($BL380*5&lt;$BL$196,$BL380*5=CE$198,FALSE)),$BN380*$BM$196^CE$198,0)</f>
        <v>0</v>
      </c>
      <c r="CF380" s="824">
        <f t="shared" ca="1" si="300"/>
        <v>0</v>
      </c>
      <c r="CG380" s="824">
        <f t="shared" ca="1" si="300"/>
        <v>0</v>
      </c>
      <c r="CH380" s="824">
        <f t="shared" ca="1" si="300"/>
        <v>0</v>
      </c>
      <c r="CI380" s="824">
        <f t="shared" ca="1" si="300"/>
        <v>0</v>
      </c>
      <c r="CJ380" s="824">
        <f t="shared" ca="1" si="300"/>
        <v>0</v>
      </c>
      <c r="CK380" s="824">
        <f t="shared" ca="1" si="300"/>
        <v>0</v>
      </c>
      <c r="CL380" s="824">
        <f t="shared" ca="1" si="300"/>
        <v>0</v>
      </c>
      <c r="CM380" s="824">
        <f t="shared" ca="1" si="300"/>
        <v>0</v>
      </c>
      <c r="CN380" s="824">
        <f t="shared" ca="1" si="300"/>
        <v>0</v>
      </c>
      <c r="CO380" s="824">
        <f t="shared" ca="1" si="300"/>
        <v>0</v>
      </c>
      <c r="CP380" s="824">
        <f t="shared" ca="1" si="300"/>
        <v>0</v>
      </c>
      <c r="CQ380" s="824">
        <f t="shared" ca="1" si="300"/>
        <v>0</v>
      </c>
      <c r="CR380" s="824">
        <f t="shared" ca="1" si="300"/>
        <v>0</v>
      </c>
      <c r="CS380" s="824">
        <f t="shared" ca="1" si="300"/>
        <v>0</v>
      </c>
      <c r="CT380" s="824">
        <f t="shared" ca="1" si="300"/>
        <v>0</v>
      </c>
      <c r="CU380" s="824">
        <f t="shared" ca="1" si="285"/>
        <v>0</v>
      </c>
      <c r="CV380" s="824">
        <f t="shared" ca="1" si="285"/>
        <v>0</v>
      </c>
      <c r="CW380" s="824">
        <f t="shared" ca="1" si="285"/>
        <v>0</v>
      </c>
      <c r="CX380" s="824">
        <f t="shared" ca="1" si="285"/>
        <v>0</v>
      </c>
      <c r="CY380" s="824">
        <f t="shared" ca="1" si="285"/>
        <v>0</v>
      </c>
      <c r="CZ380" s="824">
        <f t="shared" ca="1" si="285"/>
        <v>0</v>
      </c>
      <c r="DA380" s="824">
        <f t="shared" ca="1" si="286"/>
        <v>0</v>
      </c>
      <c r="DB380" s="824">
        <f t="shared" ca="1" si="286"/>
        <v>0</v>
      </c>
      <c r="DC380" s="824">
        <f t="shared" ca="1" si="286"/>
        <v>0</v>
      </c>
      <c r="DD380" s="824">
        <f t="shared" ca="1" si="286"/>
        <v>0</v>
      </c>
      <c r="DE380" s="824">
        <f t="shared" ca="1" si="286"/>
        <v>0</v>
      </c>
      <c r="DF380" s="824">
        <f t="shared" ca="1" si="286"/>
        <v>0</v>
      </c>
      <c r="DG380" s="824">
        <f t="shared" ca="1" si="286"/>
        <v>0</v>
      </c>
      <c r="DH380" s="824">
        <f t="shared" ca="1" si="286"/>
        <v>0</v>
      </c>
      <c r="DI380" s="824">
        <f t="shared" ca="1" si="286"/>
        <v>0</v>
      </c>
      <c r="DJ380" s="824">
        <f t="shared" ca="1" si="286"/>
        <v>0</v>
      </c>
      <c r="DK380" s="824">
        <f t="shared" ca="1" si="286"/>
        <v>0</v>
      </c>
      <c r="DL380" s="824">
        <f t="shared" ca="1" si="286"/>
        <v>0</v>
      </c>
    </row>
    <row r="381" spans="2:116" ht="12" thickBot="1" x14ac:dyDescent="0.3">
      <c r="B381" s="1673"/>
      <c r="C381" s="1680"/>
      <c r="D381" s="15" t="s">
        <v>126</v>
      </c>
      <c r="E381" s="116"/>
      <c r="F381" s="116">
        <f ca="1">SUBTOTAL(109,'3.2 I&amp;W'!$X$51)</f>
        <v>0</v>
      </c>
      <c r="G381" s="116">
        <f ca="1">SUBTOTAL(109,'3.2 I&amp;W'!$Y$51)</f>
        <v>0</v>
      </c>
      <c r="H381" s="116">
        <f ca="1">SUBTOTAL(109,'3.2 I&amp;W'!$AD$51)</f>
        <v>0</v>
      </c>
      <c r="I381" s="116">
        <f ca="1">SUBTOTAL(109,'3.2 I&amp;W'!$AE$51)</f>
        <v>0</v>
      </c>
      <c r="J381" s="116"/>
      <c r="K381" s="116"/>
      <c r="L381" s="116"/>
      <c r="M381" s="116">
        <f ca="1">SUBTOTAL(109,'3.2 I&amp;W'!$AI$51)</f>
        <v>0</v>
      </c>
      <c r="N381" s="156">
        <f t="shared" ca="1" si="262"/>
        <v>0</v>
      </c>
      <c r="O381" s="116">
        <f ca="1">SUBTOTAL(109,'3.2 I&amp;W'!$S$51)</f>
        <v>0</v>
      </c>
      <c r="P381" s="30">
        <f t="shared" ca="1" si="265"/>
        <v>0</v>
      </c>
      <c r="Q381" s="31">
        <f t="shared" ca="1" si="252"/>
        <v>0</v>
      </c>
      <c r="R381" s="31">
        <f t="shared" ca="1" si="253"/>
        <v>0</v>
      </c>
      <c r="S381" s="31">
        <f t="shared" ca="1" si="254"/>
        <v>0</v>
      </c>
      <c r="T381" s="32">
        <f t="shared" ca="1" si="255"/>
        <v>0</v>
      </c>
      <c r="U381" s="37">
        <f t="shared" ca="1" si="263"/>
        <v>0</v>
      </c>
      <c r="V381" s="40">
        <f t="shared" ca="1" si="256"/>
        <v>0</v>
      </c>
      <c r="W381" s="41">
        <f t="shared" ca="1" si="257"/>
        <v>0</v>
      </c>
      <c r="X381" s="43"/>
      <c r="Y381" s="46"/>
      <c r="Z381" s="126"/>
      <c r="AA381" s="136"/>
      <c r="AB381" s="83">
        <v>4</v>
      </c>
      <c r="AC381" s="84">
        <f ca="1">IF(AF380&lt;=1,0,'3.2 Fi&amp;Fo'!$I$25)</f>
        <v>52993.177039275775</v>
      </c>
      <c r="AD381" s="72">
        <f ca="1">IF(AF380&lt;=1,0,AF380*'3.2 Fi&amp;Fo'!$H$25)</f>
        <v>24873.232443021614</v>
      </c>
      <c r="AE381" s="78">
        <f t="shared" ca="1" si="266"/>
        <v>28119.944596254161</v>
      </c>
      <c r="AF381" s="85">
        <f t="shared" ca="1" si="267"/>
        <v>1215541.6775548265</v>
      </c>
      <c r="AG381" s="168">
        <f>IF(AJ380&lt;=1,0,IF(AB381&lt;='3.2 Fi&amp;Fo'!$F$34,'3.2 Fi&amp;Fo'!$J$34,IF(AB381&lt;='3.2 Fi&amp;Fo'!$F$35,'3.2 Fi&amp;Fo'!$J$35,IF(AB381&lt;='3.2 Fi&amp;Fo'!$F$36,'3.2 Fi&amp;Fo'!$J$36,IF(AB381&lt;='3.2 Fi&amp;Fo'!$F$37,'3.2 Fi&amp;Fo'!$J$37,IF(AB381&lt;='3.2 Fi&amp;Fo'!$F$38,'3.2 Fi&amp;Fo'!$J$38,IF(AB381&lt;='3.2 Fi&amp;Fo'!$F$39,'3.2 Fi&amp;Fo'!$J$39,IF(AB381&lt;='3.2 Fi&amp;Fo'!$F$40,'3.2 Fi&amp;Fo'!$J$40))))))))</f>
        <v>23632.344000000001</v>
      </c>
      <c r="AH381" s="207">
        <f>IF(AJ380&lt;=1,0,AJ380*IF(AB381&lt;='3.2 Fi&amp;Fo'!$F$34,'3.2 Fi&amp;Fo'!$I$34,IF(AB381&lt;='3.2 Fi&amp;Fo'!$F$35,'3.2 Fi&amp;Fo'!$I$35,IF(AB381&lt;='3.2 Fi&amp;Fo'!$F$36,'3.2 Fi&amp;Fo'!$I$36,IF(AB381&lt;='3.2 Fi&amp;Fo'!$F$39,'3.2 Fi&amp;Fo'!$I$39,IF(AB381&lt;='3.2 Fi&amp;Fo'!$F$40,'3.2 Fi&amp;Fo'!$I$40))))))</f>
        <v>23619.795859500002</v>
      </c>
      <c r="AI381" s="210">
        <f t="shared" si="268"/>
        <v>12.548140499999135</v>
      </c>
      <c r="AJ381" s="209">
        <f t="shared" si="269"/>
        <v>1574640.5091595002</v>
      </c>
      <c r="AK381" s="312">
        <f t="shared" ca="1" si="270"/>
        <v>-100282.683586225</v>
      </c>
      <c r="AL381" s="169">
        <f>IF(AB381&lt;='3.2 Fi&amp;Fo'!$J$15,'3.2 Fi&amp;Fo'!$I$15,0)</f>
        <v>0</v>
      </c>
      <c r="AM381" s="169">
        <f t="shared" si="282"/>
        <v>23657.162546949228</v>
      </c>
      <c r="AN381" s="838">
        <f t="shared" si="287"/>
        <v>4</v>
      </c>
      <c r="AO381" s="844">
        <f t="shared" ca="1" si="271"/>
        <v>100282.683586225</v>
      </c>
      <c r="AP381" s="839">
        <f ca="1">BR482</f>
        <v>0</v>
      </c>
      <c r="AQ381" s="844">
        <f t="shared" si="272"/>
        <v>0</v>
      </c>
      <c r="AR381" s="839">
        <f t="shared" ca="1" si="288"/>
        <v>0</v>
      </c>
      <c r="AS381" s="839">
        <f t="shared" ca="1" si="283"/>
        <v>6672.6027063807996</v>
      </c>
      <c r="AT381" s="839">
        <f t="shared" ca="1" si="284"/>
        <v>12512.330804836023</v>
      </c>
      <c r="AU381" s="839">
        <f ca="1">'PV-Einspeisung'!AA86*-1</f>
        <v>0</v>
      </c>
      <c r="AV381" s="839">
        <f ca="1">'PV-Einspeisung'!AE86*-1</f>
        <v>0</v>
      </c>
      <c r="AW381" s="839"/>
      <c r="AX381" s="839">
        <f t="shared" ca="1" si="289"/>
        <v>0</v>
      </c>
      <c r="AY381" s="841">
        <f t="shared" si="273"/>
        <v>4</v>
      </c>
      <c r="AZ381" s="842">
        <f t="shared" ca="1" si="290"/>
        <v>0</v>
      </c>
      <c r="BA381" s="842">
        <f t="shared" ca="1" si="291"/>
        <v>0</v>
      </c>
      <c r="BB381" s="842">
        <f t="shared" ca="1" si="292"/>
        <v>0</v>
      </c>
      <c r="BC381" s="842">
        <f t="shared" ca="1" si="293"/>
        <v>0</v>
      </c>
      <c r="BD381" s="842">
        <f t="shared" ca="1" si="294"/>
        <v>0</v>
      </c>
      <c r="BE381" s="842">
        <f t="shared" ca="1" si="295"/>
        <v>0</v>
      </c>
      <c r="BF381" s="842">
        <f t="shared" ca="1" si="296"/>
        <v>6553.926121891499</v>
      </c>
      <c r="BG381" s="842">
        <f t="shared" ca="1" si="297"/>
        <v>5958.4046829445251</v>
      </c>
      <c r="BH381" s="858">
        <f t="shared" si="281"/>
        <v>4</v>
      </c>
      <c r="BI381" s="857">
        <f t="shared" ca="1" si="298"/>
        <v>3142.5407084543995</v>
      </c>
      <c r="BJ381" s="857">
        <f t="shared" ca="1" si="299"/>
        <v>3530.0619979264006</v>
      </c>
      <c r="BK381" s="859">
        <f ca="1">'PV-Einspeisung'!AB86*-1</f>
        <v>0</v>
      </c>
      <c r="BL381" s="824">
        <f t="shared" ca="1" si="258"/>
        <v>0</v>
      </c>
      <c r="BM381" s="824">
        <f t="shared" ca="1" si="259"/>
        <v>0</v>
      </c>
      <c r="BN381" s="824">
        <f t="shared" ca="1" si="260"/>
        <v>0</v>
      </c>
      <c r="BO381" s="824">
        <f t="shared" ca="1" si="264"/>
        <v>0</v>
      </c>
      <c r="BP381" s="824">
        <f t="shared" ca="1" si="264"/>
        <v>0</v>
      </c>
      <c r="BQ381" s="824">
        <f t="shared" ca="1" si="264"/>
        <v>0</v>
      </c>
      <c r="BR381" s="824">
        <f t="shared" ca="1" si="264"/>
        <v>0</v>
      </c>
      <c r="BS381" s="824">
        <f t="shared" ca="1" si="264"/>
        <v>0</v>
      </c>
      <c r="BT381" s="824">
        <f t="shared" ca="1" si="264"/>
        <v>0</v>
      </c>
      <c r="BU381" s="824">
        <f t="shared" ca="1" si="264"/>
        <v>0</v>
      </c>
      <c r="BV381" s="824">
        <f t="shared" ca="1" si="264"/>
        <v>0</v>
      </c>
      <c r="BW381" s="824">
        <f t="shared" ca="1" si="264"/>
        <v>0</v>
      </c>
      <c r="BX381" s="824">
        <f t="shared" ca="1" si="264"/>
        <v>0</v>
      </c>
      <c r="BY381" s="824">
        <f t="shared" ca="1" si="264"/>
        <v>0</v>
      </c>
      <c r="BZ381" s="824">
        <f t="shared" ca="1" si="264"/>
        <v>0</v>
      </c>
      <c r="CA381" s="824">
        <f t="shared" ca="1" si="264"/>
        <v>0</v>
      </c>
      <c r="CB381" s="824">
        <f t="shared" ca="1" si="264"/>
        <v>0</v>
      </c>
      <c r="CC381" s="824">
        <f t="shared" ca="1" si="264"/>
        <v>0</v>
      </c>
      <c r="CD381" s="824">
        <f t="shared" ca="1" si="264"/>
        <v>0</v>
      </c>
      <c r="CE381" s="824">
        <f t="shared" ca="1" si="300"/>
        <v>0</v>
      </c>
      <c r="CF381" s="824">
        <f t="shared" ca="1" si="300"/>
        <v>0</v>
      </c>
      <c r="CG381" s="824">
        <f t="shared" ca="1" si="300"/>
        <v>0</v>
      </c>
      <c r="CH381" s="824">
        <f t="shared" ca="1" si="300"/>
        <v>0</v>
      </c>
      <c r="CI381" s="824">
        <f t="shared" ca="1" si="300"/>
        <v>0</v>
      </c>
      <c r="CJ381" s="824">
        <f t="shared" ca="1" si="300"/>
        <v>0</v>
      </c>
      <c r="CK381" s="824">
        <f t="shared" ca="1" si="300"/>
        <v>0</v>
      </c>
      <c r="CL381" s="824">
        <f t="shared" ca="1" si="300"/>
        <v>0</v>
      </c>
      <c r="CM381" s="824">
        <f t="shared" ca="1" si="300"/>
        <v>0</v>
      </c>
      <c r="CN381" s="824">
        <f t="shared" ca="1" si="300"/>
        <v>0</v>
      </c>
      <c r="CO381" s="824">
        <f t="shared" ca="1" si="300"/>
        <v>0</v>
      </c>
      <c r="CP381" s="824">
        <f t="shared" ca="1" si="300"/>
        <v>0</v>
      </c>
      <c r="CQ381" s="824">
        <f t="shared" ca="1" si="300"/>
        <v>0</v>
      </c>
      <c r="CR381" s="824">
        <f t="shared" ca="1" si="300"/>
        <v>0</v>
      </c>
      <c r="CS381" s="824">
        <f t="shared" ca="1" si="300"/>
        <v>0</v>
      </c>
      <c r="CT381" s="824">
        <f t="shared" ca="1" si="300"/>
        <v>0</v>
      </c>
      <c r="CU381" s="824">
        <f t="shared" ca="1" si="285"/>
        <v>0</v>
      </c>
      <c r="CV381" s="824">
        <f t="shared" ca="1" si="285"/>
        <v>0</v>
      </c>
      <c r="CW381" s="824">
        <f t="shared" ca="1" si="285"/>
        <v>0</v>
      </c>
      <c r="CX381" s="824">
        <f t="shared" ca="1" si="285"/>
        <v>0</v>
      </c>
      <c r="CY381" s="824">
        <f t="shared" ca="1" si="285"/>
        <v>0</v>
      </c>
      <c r="CZ381" s="824">
        <f t="shared" ca="1" si="285"/>
        <v>0</v>
      </c>
      <c r="DA381" s="824">
        <f t="shared" ca="1" si="286"/>
        <v>0</v>
      </c>
      <c r="DB381" s="824">
        <f t="shared" ca="1" si="286"/>
        <v>0</v>
      </c>
      <c r="DC381" s="824">
        <f t="shared" ca="1" si="286"/>
        <v>0</v>
      </c>
      <c r="DD381" s="824">
        <f t="shared" ca="1" si="286"/>
        <v>0</v>
      </c>
      <c r="DE381" s="824">
        <f t="shared" ca="1" si="286"/>
        <v>0</v>
      </c>
      <c r="DF381" s="824">
        <f t="shared" ca="1" si="286"/>
        <v>0</v>
      </c>
      <c r="DG381" s="824">
        <f t="shared" ca="1" si="286"/>
        <v>0</v>
      </c>
      <c r="DH381" s="824">
        <f t="shared" ca="1" si="286"/>
        <v>0</v>
      </c>
      <c r="DI381" s="824">
        <f t="shared" ca="1" si="286"/>
        <v>0</v>
      </c>
      <c r="DJ381" s="824">
        <f t="shared" ca="1" si="286"/>
        <v>0</v>
      </c>
      <c r="DK381" s="824">
        <f t="shared" ca="1" si="286"/>
        <v>0</v>
      </c>
      <c r="DL381" s="824">
        <f t="shared" ca="1" si="286"/>
        <v>0</v>
      </c>
    </row>
    <row r="382" spans="2:116" ht="12" thickBot="1" x14ac:dyDescent="0.3">
      <c r="B382" s="1673"/>
      <c r="C382" s="1680"/>
      <c r="D382" s="15" t="s">
        <v>126</v>
      </c>
      <c r="E382" s="165"/>
      <c r="F382" s="116">
        <f ca="1">SUBTOTAL(109,'3.2 I&amp;W'!$X$52)</f>
        <v>0</v>
      </c>
      <c r="G382" s="116">
        <f ca="1">SUBTOTAL(109,'3.2 I&amp;W'!$Y$52)</f>
        <v>0</v>
      </c>
      <c r="H382" s="116">
        <f ca="1">SUBTOTAL(109,'3.2 I&amp;W'!$AD$52)</f>
        <v>0</v>
      </c>
      <c r="I382" s="116">
        <f ca="1">SUBTOTAL(109,'3.2 I&amp;W'!$AE$52)</f>
        <v>0</v>
      </c>
      <c r="J382" s="116"/>
      <c r="K382" s="116"/>
      <c r="L382" s="116"/>
      <c r="M382" s="116">
        <f ca="1">SUBTOTAL(109,'3.2 I&amp;W'!$AI$52)</f>
        <v>0</v>
      </c>
      <c r="N382" s="156">
        <f t="shared" ca="1" si="262"/>
        <v>0</v>
      </c>
      <c r="O382" s="116">
        <f ca="1">SUBTOTAL(109,'3.2 I&amp;W'!$S$52)</f>
        <v>0</v>
      </c>
      <c r="P382" s="30">
        <f t="shared" ca="1" si="265"/>
        <v>0</v>
      </c>
      <c r="Q382" s="31">
        <f t="shared" ca="1" si="252"/>
        <v>0</v>
      </c>
      <c r="R382" s="31">
        <f t="shared" ca="1" si="253"/>
        <v>0</v>
      </c>
      <c r="S382" s="31">
        <f t="shared" ca="1" si="254"/>
        <v>0</v>
      </c>
      <c r="T382" s="32">
        <f t="shared" ca="1" si="255"/>
        <v>0</v>
      </c>
      <c r="U382" s="37">
        <f t="shared" ca="1" si="263"/>
        <v>0</v>
      </c>
      <c r="V382" s="40">
        <f t="shared" ca="1" si="256"/>
        <v>0</v>
      </c>
      <c r="W382" s="41">
        <f t="shared" ca="1" si="257"/>
        <v>0</v>
      </c>
      <c r="X382" s="43"/>
      <c r="Y382" s="46"/>
      <c r="Z382" s="126"/>
      <c r="AA382" s="136"/>
      <c r="AB382" s="83">
        <v>5</v>
      </c>
      <c r="AC382" s="84">
        <f ca="1">IF(AF381&lt;=1,0,'3.2 Fi&amp;Fo'!$I$25)</f>
        <v>52993.177039275775</v>
      </c>
      <c r="AD382" s="72">
        <f ca="1">IF(AF381&lt;=1,0,AF381*'3.2 Fi&amp;Fo'!$H$25)</f>
        <v>24310.83355109653</v>
      </c>
      <c r="AE382" s="78">
        <f t="shared" ca="1" si="266"/>
        <v>28682.343488179245</v>
      </c>
      <c r="AF382" s="85">
        <f t="shared" ca="1" si="267"/>
        <v>1186859.3340666473</v>
      </c>
      <c r="AG382" s="168">
        <f>IF(AJ381&lt;=1,0,IF(AB382&lt;='3.2 Fi&amp;Fo'!$F$34,'3.2 Fi&amp;Fo'!$J$34,IF(AB382&lt;='3.2 Fi&amp;Fo'!$F$35,'3.2 Fi&amp;Fo'!$J$35,IF(AB382&lt;='3.2 Fi&amp;Fo'!$F$36,'3.2 Fi&amp;Fo'!$J$36,IF(AB382&lt;='3.2 Fi&amp;Fo'!$F$37,'3.2 Fi&amp;Fo'!$J$37,IF(AB382&lt;='3.2 Fi&amp;Fo'!$F$38,'3.2 Fi&amp;Fo'!$J$38,IF(AB382&lt;='3.2 Fi&amp;Fo'!$F$39,'3.2 Fi&amp;Fo'!$J$39,IF(AB382&lt;='3.2 Fi&amp;Fo'!$F$40,'3.2 Fi&amp;Fo'!$J$40))))))))</f>
        <v>23632.344000000001</v>
      </c>
      <c r="AH382" s="207">
        <f>IF(AJ381&lt;=1,0,AJ381*IF(AB382&lt;='3.2 Fi&amp;Fo'!$F$34,'3.2 Fi&amp;Fo'!$I$34,IF(AB382&lt;='3.2 Fi&amp;Fo'!$F$35,'3.2 Fi&amp;Fo'!$I$35,IF(AB382&lt;='3.2 Fi&amp;Fo'!$F$36,'3.2 Fi&amp;Fo'!$I$36,IF(AB382&lt;='3.2 Fi&amp;Fo'!$F$39,'3.2 Fi&amp;Fo'!$I$39,IF(AB382&lt;='3.2 Fi&amp;Fo'!$F$40,'3.2 Fi&amp;Fo'!$I$40))))))</f>
        <v>23619.607637392503</v>
      </c>
      <c r="AI382" s="210">
        <f t="shared" si="268"/>
        <v>12.73636260749845</v>
      </c>
      <c r="AJ382" s="209">
        <f t="shared" si="269"/>
        <v>1574627.7727968928</v>
      </c>
      <c r="AK382" s="312">
        <f t="shared" ca="1" si="270"/>
        <v>-100755.82683716397</v>
      </c>
      <c r="AL382" s="169">
        <f>IF(AB382&lt;='3.2 Fi&amp;Fo'!$J$15,'3.2 Fi&amp;Fo'!$I$15,0)</f>
        <v>0</v>
      </c>
      <c r="AM382" s="169">
        <f t="shared" si="282"/>
        <v>24130.305797888199</v>
      </c>
      <c r="AN382" s="838">
        <f t="shared" si="287"/>
        <v>5</v>
      </c>
      <c r="AO382" s="844">
        <f t="shared" ca="1" si="271"/>
        <v>100755.82683716397</v>
      </c>
      <c r="AP382" s="839">
        <f ca="1">BS482</f>
        <v>0</v>
      </c>
      <c r="AQ382" s="844">
        <f t="shared" si="272"/>
        <v>0</v>
      </c>
      <c r="AR382" s="839">
        <f t="shared" ca="1" si="288"/>
        <v>0</v>
      </c>
      <c r="AS382" s="839">
        <f t="shared" ca="1" si="283"/>
        <v>6779.3643496828927</v>
      </c>
      <c r="AT382" s="839">
        <f t="shared" ca="1" si="284"/>
        <v>12884.72312178637</v>
      </c>
      <c r="AU382" s="839">
        <f ca="1">'PV-Einspeisung'!AA87*-1</f>
        <v>0</v>
      </c>
      <c r="AV382" s="839">
        <f ca="1">'PV-Einspeisung'!AE87*-1</f>
        <v>0</v>
      </c>
      <c r="AW382" s="839"/>
      <c r="AX382" s="839">
        <f t="shared" ca="1" si="289"/>
        <v>0</v>
      </c>
      <c r="AY382" s="841">
        <f t="shared" si="273"/>
        <v>5</v>
      </c>
      <c r="AZ382" s="842">
        <f t="shared" ca="1" si="290"/>
        <v>0</v>
      </c>
      <c r="BA382" s="842">
        <f t="shared" ca="1" si="291"/>
        <v>0</v>
      </c>
      <c r="BB382" s="842">
        <f t="shared" ca="1" si="292"/>
        <v>0</v>
      </c>
      <c r="BC382" s="842">
        <f t="shared" ca="1" si="293"/>
        <v>0</v>
      </c>
      <c r="BD382" s="842">
        <f t="shared" ca="1" si="294"/>
        <v>0</v>
      </c>
      <c r="BE382" s="842">
        <f t="shared" ca="1" si="295"/>
        <v>0</v>
      </c>
      <c r="BF382" s="842">
        <f t="shared" ca="1" si="296"/>
        <v>6717.7742749387862</v>
      </c>
      <c r="BG382" s="842">
        <f t="shared" ca="1" si="297"/>
        <v>6166.9488468475829</v>
      </c>
      <c r="BH382" s="858">
        <f t="shared" si="281"/>
        <v>5</v>
      </c>
      <c r="BI382" s="857">
        <f t="shared" ca="1" si="298"/>
        <v>3192.8213597896697</v>
      </c>
      <c r="BJ382" s="857">
        <f t="shared" ca="1" si="299"/>
        <v>3586.542989893223</v>
      </c>
      <c r="BK382" s="859">
        <f ca="1">'PV-Einspeisung'!AB87*-1</f>
        <v>0</v>
      </c>
      <c r="BL382" s="824">
        <f t="shared" ca="1" si="258"/>
        <v>0</v>
      </c>
      <c r="BM382" s="824">
        <f t="shared" ca="1" si="259"/>
        <v>0</v>
      </c>
      <c r="BN382" s="824">
        <f t="shared" ca="1" si="260"/>
        <v>0</v>
      </c>
      <c r="BO382" s="824">
        <f t="shared" ca="1" si="264"/>
        <v>0</v>
      </c>
      <c r="BP382" s="824">
        <f t="shared" ca="1" si="264"/>
        <v>0</v>
      </c>
      <c r="BQ382" s="824">
        <f t="shared" ca="1" si="264"/>
        <v>0</v>
      </c>
      <c r="BR382" s="824">
        <f t="shared" ca="1" si="264"/>
        <v>0</v>
      </c>
      <c r="BS382" s="824">
        <f t="shared" ca="1" si="264"/>
        <v>0</v>
      </c>
      <c r="BT382" s="824">
        <f t="shared" ca="1" si="264"/>
        <v>0</v>
      </c>
      <c r="BU382" s="824">
        <f t="shared" ca="1" si="264"/>
        <v>0</v>
      </c>
      <c r="BV382" s="824">
        <f t="shared" ca="1" si="264"/>
        <v>0</v>
      </c>
      <c r="BW382" s="824">
        <f t="shared" ca="1" si="264"/>
        <v>0</v>
      </c>
      <c r="BX382" s="824">
        <f t="shared" ca="1" si="264"/>
        <v>0</v>
      </c>
      <c r="BY382" s="824">
        <f t="shared" ca="1" si="264"/>
        <v>0</v>
      </c>
      <c r="BZ382" s="824">
        <f t="shared" ca="1" si="264"/>
        <v>0</v>
      </c>
      <c r="CA382" s="824">
        <f t="shared" ca="1" si="264"/>
        <v>0</v>
      </c>
      <c r="CB382" s="824">
        <f t="shared" ca="1" si="264"/>
        <v>0</v>
      </c>
      <c r="CC382" s="824">
        <f t="shared" ca="1" si="264"/>
        <v>0</v>
      </c>
      <c r="CD382" s="824">
        <f t="shared" ca="1" si="264"/>
        <v>0</v>
      </c>
      <c r="CE382" s="824">
        <f t="shared" ca="1" si="300"/>
        <v>0</v>
      </c>
      <c r="CF382" s="824">
        <f t="shared" ca="1" si="300"/>
        <v>0</v>
      </c>
      <c r="CG382" s="824">
        <f t="shared" ca="1" si="300"/>
        <v>0</v>
      </c>
      <c r="CH382" s="824">
        <f t="shared" ca="1" si="300"/>
        <v>0</v>
      </c>
      <c r="CI382" s="824">
        <f t="shared" ca="1" si="300"/>
        <v>0</v>
      </c>
      <c r="CJ382" s="824">
        <f t="shared" ca="1" si="300"/>
        <v>0</v>
      </c>
      <c r="CK382" s="824">
        <f t="shared" ca="1" si="300"/>
        <v>0</v>
      </c>
      <c r="CL382" s="824">
        <f t="shared" ca="1" si="300"/>
        <v>0</v>
      </c>
      <c r="CM382" s="824">
        <f t="shared" ca="1" si="300"/>
        <v>0</v>
      </c>
      <c r="CN382" s="824">
        <f t="shared" ca="1" si="300"/>
        <v>0</v>
      </c>
      <c r="CO382" s="824">
        <f t="shared" ca="1" si="300"/>
        <v>0</v>
      </c>
      <c r="CP382" s="824">
        <f t="shared" ca="1" si="300"/>
        <v>0</v>
      </c>
      <c r="CQ382" s="824">
        <f t="shared" ca="1" si="300"/>
        <v>0</v>
      </c>
      <c r="CR382" s="824">
        <f t="shared" ca="1" si="300"/>
        <v>0</v>
      </c>
      <c r="CS382" s="824">
        <f t="shared" ca="1" si="300"/>
        <v>0</v>
      </c>
      <c r="CT382" s="824">
        <f t="shared" ca="1" si="300"/>
        <v>0</v>
      </c>
      <c r="CU382" s="824">
        <f t="shared" ca="1" si="285"/>
        <v>0</v>
      </c>
      <c r="CV382" s="824">
        <f t="shared" ca="1" si="285"/>
        <v>0</v>
      </c>
      <c r="CW382" s="824">
        <f t="shared" ca="1" si="285"/>
        <v>0</v>
      </c>
      <c r="CX382" s="824">
        <f t="shared" ca="1" si="285"/>
        <v>0</v>
      </c>
      <c r="CY382" s="824">
        <f t="shared" ca="1" si="285"/>
        <v>0</v>
      </c>
      <c r="CZ382" s="824">
        <f t="shared" ca="1" si="285"/>
        <v>0</v>
      </c>
      <c r="DA382" s="824">
        <f t="shared" ca="1" si="286"/>
        <v>0</v>
      </c>
      <c r="DB382" s="824">
        <f t="shared" ca="1" si="286"/>
        <v>0</v>
      </c>
      <c r="DC382" s="824">
        <f t="shared" ca="1" si="286"/>
        <v>0</v>
      </c>
      <c r="DD382" s="824">
        <f t="shared" ca="1" si="286"/>
        <v>0</v>
      </c>
      <c r="DE382" s="824">
        <f t="shared" ca="1" si="286"/>
        <v>0</v>
      </c>
      <c r="DF382" s="824">
        <f t="shared" ca="1" si="286"/>
        <v>0</v>
      </c>
      <c r="DG382" s="824">
        <f t="shared" ca="1" si="286"/>
        <v>0</v>
      </c>
      <c r="DH382" s="824">
        <f t="shared" ca="1" si="286"/>
        <v>0</v>
      </c>
      <c r="DI382" s="824">
        <f t="shared" ca="1" si="286"/>
        <v>0</v>
      </c>
      <c r="DJ382" s="824">
        <f t="shared" ca="1" si="286"/>
        <v>0</v>
      </c>
      <c r="DK382" s="824">
        <f t="shared" ca="1" si="286"/>
        <v>0</v>
      </c>
      <c r="DL382" s="824">
        <f t="shared" ca="1" si="286"/>
        <v>0</v>
      </c>
    </row>
    <row r="383" spans="2:116" ht="12" thickBot="1" x14ac:dyDescent="0.3">
      <c r="B383" s="1673"/>
      <c r="C383" s="1680"/>
      <c r="D383" s="15" t="s">
        <v>127</v>
      </c>
      <c r="E383" s="116"/>
      <c r="F383" s="116">
        <f ca="1">SUBTOTAL(109,'3.2 I&amp;W'!$X$56)</f>
        <v>0</v>
      </c>
      <c r="G383" s="116">
        <f ca="1">SUBTOTAL(109,'3.2 I&amp;W'!$Y$56)</f>
        <v>0</v>
      </c>
      <c r="H383" s="116">
        <f ca="1">SUBTOTAL(109,'3.2 I&amp;W'!$AD$56)</f>
        <v>0</v>
      </c>
      <c r="I383" s="116">
        <f ca="1">SUBTOTAL(109,'3.2 I&amp;W'!$AE$56)</f>
        <v>0</v>
      </c>
      <c r="J383" s="116"/>
      <c r="K383" s="116"/>
      <c r="L383" s="116"/>
      <c r="M383" s="116">
        <f ca="1">SUBTOTAL(109,'3.2 I&amp;W'!$AI$56)</f>
        <v>0</v>
      </c>
      <c r="N383" s="156">
        <f t="shared" ca="1" si="262"/>
        <v>0</v>
      </c>
      <c r="O383" s="116">
        <f ca="1">SUBTOTAL(109,'3.2 I&amp;W'!$S$56)</f>
        <v>0</v>
      </c>
      <c r="P383" s="30">
        <f t="shared" ca="1" si="265"/>
        <v>0</v>
      </c>
      <c r="Q383" s="31">
        <f t="shared" ca="1" si="252"/>
        <v>0</v>
      </c>
      <c r="R383" s="31">
        <f t="shared" ca="1" si="253"/>
        <v>0</v>
      </c>
      <c r="S383" s="31">
        <f t="shared" ca="1" si="254"/>
        <v>0</v>
      </c>
      <c r="T383" s="32">
        <f t="shared" ca="1" si="255"/>
        <v>0</v>
      </c>
      <c r="U383" s="37">
        <f t="shared" ca="1" si="263"/>
        <v>0</v>
      </c>
      <c r="V383" s="40">
        <f t="shared" ca="1" si="256"/>
        <v>0</v>
      </c>
      <c r="W383" s="41">
        <f t="shared" ca="1" si="257"/>
        <v>0</v>
      </c>
      <c r="X383" s="43"/>
      <c r="Y383" s="46"/>
      <c r="Z383" s="126"/>
      <c r="AA383" s="136"/>
      <c r="AB383" s="83">
        <v>6</v>
      </c>
      <c r="AC383" s="84">
        <f ca="1">IF(AF382&lt;=1,0,'3.2 Fi&amp;Fo'!$I$25)</f>
        <v>52993.177039275775</v>
      </c>
      <c r="AD383" s="72">
        <f ca="1">IF(AF382&lt;=1,0,AF382*'3.2 Fi&amp;Fo'!$H$25)</f>
        <v>23737.186681332947</v>
      </c>
      <c r="AE383" s="78">
        <f t="shared" ca="1" si="266"/>
        <v>29255.990357942828</v>
      </c>
      <c r="AF383" s="85">
        <f t="shared" ca="1" si="267"/>
        <v>1157603.3437087045</v>
      </c>
      <c r="AG383" s="168">
        <f>IF(AJ382&lt;=1,0,IF(AB383&lt;='3.2 Fi&amp;Fo'!$F$34,'3.2 Fi&amp;Fo'!$J$34,IF(AB383&lt;='3.2 Fi&amp;Fo'!$F$35,'3.2 Fi&amp;Fo'!$J$35,IF(AB383&lt;='3.2 Fi&amp;Fo'!$F$36,'3.2 Fi&amp;Fo'!$J$36,IF(AB383&lt;='3.2 Fi&amp;Fo'!$F$37,'3.2 Fi&amp;Fo'!$J$37,IF(AB383&lt;='3.2 Fi&amp;Fo'!$F$38,'3.2 Fi&amp;Fo'!$J$38,IF(AB383&lt;='3.2 Fi&amp;Fo'!$F$39,'3.2 Fi&amp;Fo'!$J$39,IF(AB383&lt;='3.2 Fi&amp;Fo'!$F$40,'3.2 Fi&amp;Fo'!$J$40))))))))</f>
        <v>39379.240000000005</v>
      </c>
      <c r="AH383" s="207">
        <f>IF(AJ382&lt;=1,0,AJ382*IF(AB383&lt;='3.2 Fi&amp;Fo'!$F$34,'3.2 Fi&amp;Fo'!$I$34,IF(AB383&lt;='3.2 Fi&amp;Fo'!$F$35,'3.2 Fi&amp;Fo'!$I$35,IF(AB383&lt;='3.2 Fi&amp;Fo'!$F$36,'3.2 Fi&amp;Fo'!$I$36,IF(AB383&lt;='3.2 Fi&amp;Fo'!$F$39,'3.2 Fi&amp;Fo'!$I$39,IF(AB383&lt;='3.2 Fi&amp;Fo'!$F$40,'3.2 Fi&amp;Fo'!$I$40))))))</f>
        <v>39365.694319922324</v>
      </c>
      <c r="AI383" s="210">
        <f t="shared" si="268"/>
        <v>13.545680077681027</v>
      </c>
      <c r="AJ383" s="209">
        <f t="shared" si="269"/>
        <v>1574614.227116815</v>
      </c>
      <c r="AK383" s="312">
        <f t="shared" ca="1" si="270"/>
        <v>-116985.3289531217</v>
      </c>
      <c r="AL383" s="169">
        <f>IF(AB383&lt;='3.2 Fi&amp;Fo'!$J$15,'3.2 Fi&amp;Fo'!$I$15,0)</f>
        <v>0</v>
      </c>
      <c r="AM383" s="169">
        <f t="shared" si="282"/>
        <v>24612.911913845921</v>
      </c>
      <c r="AN383" s="838">
        <f t="shared" si="287"/>
        <v>6</v>
      </c>
      <c r="AO383" s="844">
        <f t="shared" ca="1" si="271"/>
        <v>116985.3289531217</v>
      </c>
      <c r="AP383" s="839">
        <f ca="1">BT482</f>
        <v>0</v>
      </c>
      <c r="AQ383" s="844">
        <f t="shared" si="272"/>
        <v>0</v>
      </c>
      <c r="AR383" s="839">
        <f t="shared" ca="1" si="288"/>
        <v>0</v>
      </c>
      <c r="AS383" s="839">
        <f t="shared" ca="1" si="283"/>
        <v>6887.8341792778192</v>
      </c>
      <c r="AT383" s="839">
        <f t="shared" ca="1" si="284"/>
        <v>13268.510688299502</v>
      </c>
      <c r="AU383" s="839">
        <f ca="1">'PV-Einspeisung'!AA88*-1</f>
        <v>0</v>
      </c>
      <c r="AV383" s="839">
        <f ca="1">'PV-Einspeisung'!AE88*-1</f>
        <v>0</v>
      </c>
      <c r="AW383" s="839"/>
      <c r="AX383" s="839">
        <f t="shared" ca="1" si="289"/>
        <v>0</v>
      </c>
      <c r="AY383" s="841">
        <f t="shared" si="273"/>
        <v>6</v>
      </c>
      <c r="AZ383" s="842">
        <f t="shared" ca="1" si="290"/>
        <v>0</v>
      </c>
      <c r="BA383" s="842">
        <f t="shared" ca="1" si="291"/>
        <v>0</v>
      </c>
      <c r="BB383" s="842">
        <f t="shared" ca="1" si="292"/>
        <v>0</v>
      </c>
      <c r="BC383" s="842">
        <f t="shared" ca="1" si="293"/>
        <v>0</v>
      </c>
      <c r="BD383" s="842">
        <f t="shared" ca="1" si="294"/>
        <v>0</v>
      </c>
      <c r="BE383" s="842">
        <f t="shared" ca="1" si="295"/>
        <v>0</v>
      </c>
      <c r="BF383" s="842">
        <f t="shared" ca="1" si="296"/>
        <v>6885.7186318122549</v>
      </c>
      <c r="BG383" s="842">
        <f t="shared" ca="1" si="297"/>
        <v>6382.7920564872475</v>
      </c>
      <c r="BH383" s="858">
        <f t="shared" si="281"/>
        <v>6</v>
      </c>
      <c r="BI383" s="857">
        <f t="shared" ca="1" si="298"/>
        <v>3243.9065015463043</v>
      </c>
      <c r="BJ383" s="857">
        <f t="shared" ca="1" si="299"/>
        <v>3643.9276777315144</v>
      </c>
      <c r="BK383" s="859">
        <f ca="1">'PV-Einspeisung'!AB88*-1</f>
        <v>0</v>
      </c>
      <c r="BL383" s="824">
        <f t="shared" ca="1" si="258"/>
        <v>0</v>
      </c>
      <c r="BM383" s="824">
        <f t="shared" ca="1" si="259"/>
        <v>0</v>
      </c>
      <c r="BN383" s="824">
        <f t="shared" ca="1" si="260"/>
        <v>0</v>
      </c>
      <c r="BO383" s="824">
        <f t="shared" ca="1" si="264"/>
        <v>0</v>
      </c>
      <c r="BP383" s="824">
        <f t="shared" ca="1" si="264"/>
        <v>0</v>
      </c>
      <c r="BQ383" s="824">
        <f t="shared" ca="1" si="264"/>
        <v>0</v>
      </c>
      <c r="BR383" s="824">
        <f t="shared" ca="1" si="264"/>
        <v>0</v>
      </c>
      <c r="BS383" s="824">
        <f t="shared" ca="1" si="264"/>
        <v>0</v>
      </c>
      <c r="BT383" s="824">
        <f t="shared" ca="1" si="264"/>
        <v>0</v>
      </c>
      <c r="BU383" s="824">
        <f t="shared" ca="1" si="264"/>
        <v>0</v>
      </c>
      <c r="BV383" s="824">
        <f t="shared" ca="1" si="264"/>
        <v>0</v>
      </c>
      <c r="BW383" s="824">
        <f t="shared" ca="1" si="264"/>
        <v>0</v>
      </c>
      <c r="BX383" s="824">
        <f t="shared" ca="1" si="264"/>
        <v>0</v>
      </c>
      <c r="BY383" s="824">
        <f t="shared" ca="1" si="264"/>
        <v>0</v>
      </c>
      <c r="BZ383" s="824">
        <f t="shared" ca="1" si="264"/>
        <v>0</v>
      </c>
      <c r="CA383" s="824">
        <f t="shared" ca="1" si="264"/>
        <v>0</v>
      </c>
      <c r="CB383" s="824">
        <f t="shared" ca="1" si="264"/>
        <v>0</v>
      </c>
      <c r="CC383" s="824">
        <f t="shared" ca="1" si="264"/>
        <v>0</v>
      </c>
      <c r="CD383" s="824">
        <f t="shared" ca="1" si="264"/>
        <v>0</v>
      </c>
      <c r="CE383" s="824">
        <f t="shared" ca="1" si="300"/>
        <v>0</v>
      </c>
      <c r="CF383" s="824">
        <f t="shared" ca="1" si="300"/>
        <v>0</v>
      </c>
      <c r="CG383" s="824">
        <f t="shared" ca="1" si="300"/>
        <v>0</v>
      </c>
      <c r="CH383" s="824">
        <f t="shared" ca="1" si="300"/>
        <v>0</v>
      </c>
      <c r="CI383" s="824">
        <f t="shared" ca="1" si="300"/>
        <v>0</v>
      </c>
      <c r="CJ383" s="824">
        <f t="shared" ca="1" si="300"/>
        <v>0</v>
      </c>
      <c r="CK383" s="824">
        <f t="shared" ca="1" si="300"/>
        <v>0</v>
      </c>
      <c r="CL383" s="824">
        <f t="shared" ca="1" si="300"/>
        <v>0</v>
      </c>
      <c r="CM383" s="824">
        <f t="shared" ca="1" si="300"/>
        <v>0</v>
      </c>
      <c r="CN383" s="824">
        <f t="shared" ca="1" si="300"/>
        <v>0</v>
      </c>
      <c r="CO383" s="824">
        <f t="shared" ca="1" si="300"/>
        <v>0</v>
      </c>
      <c r="CP383" s="824">
        <f t="shared" ca="1" si="300"/>
        <v>0</v>
      </c>
      <c r="CQ383" s="824">
        <f t="shared" ca="1" si="300"/>
        <v>0</v>
      </c>
      <c r="CR383" s="824">
        <f t="shared" ca="1" si="300"/>
        <v>0</v>
      </c>
      <c r="CS383" s="824">
        <f t="shared" ca="1" si="300"/>
        <v>0</v>
      </c>
      <c r="CT383" s="824">
        <f t="shared" ca="1" si="300"/>
        <v>0</v>
      </c>
      <c r="CU383" s="824">
        <f t="shared" ca="1" si="285"/>
        <v>0</v>
      </c>
      <c r="CV383" s="824">
        <f t="shared" ca="1" si="285"/>
        <v>0</v>
      </c>
      <c r="CW383" s="824">
        <f t="shared" ca="1" si="285"/>
        <v>0</v>
      </c>
      <c r="CX383" s="824">
        <f t="shared" ca="1" si="285"/>
        <v>0</v>
      </c>
      <c r="CY383" s="824">
        <f t="shared" ca="1" si="285"/>
        <v>0</v>
      </c>
      <c r="CZ383" s="824">
        <f t="shared" ca="1" si="285"/>
        <v>0</v>
      </c>
      <c r="DA383" s="824">
        <f t="shared" ca="1" si="286"/>
        <v>0</v>
      </c>
      <c r="DB383" s="824">
        <f t="shared" ca="1" si="286"/>
        <v>0</v>
      </c>
      <c r="DC383" s="824">
        <f t="shared" ca="1" si="286"/>
        <v>0</v>
      </c>
      <c r="DD383" s="824">
        <f t="shared" ca="1" si="286"/>
        <v>0</v>
      </c>
      <c r="DE383" s="824">
        <f t="shared" ca="1" si="286"/>
        <v>0</v>
      </c>
      <c r="DF383" s="824">
        <f t="shared" ca="1" si="286"/>
        <v>0</v>
      </c>
      <c r="DG383" s="824">
        <f t="shared" ca="1" si="286"/>
        <v>0</v>
      </c>
      <c r="DH383" s="824">
        <f t="shared" ca="1" si="286"/>
        <v>0</v>
      </c>
      <c r="DI383" s="824">
        <f t="shared" ca="1" si="286"/>
        <v>0</v>
      </c>
      <c r="DJ383" s="824">
        <f t="shared" ca="1" si="286"/>
        <v>0</v>
      </c>
      <c r="DK383" s="824">
        <f t="shared" ca="1" si="286"/>
        <v>0</v>
      </c>
      <c r="DL383" s="824">
        <f t="shared" ca="1" si="286"/>
        <v>0</v>
      </c>
    </row>
    <row r="384" spans="2:116" ht="12" thickBot="1" x14ac:dyDescent="0.3">
      <c r="B384" s="1673"/>
      <c r="C384" s="1680"/>
      <c r="D384" s="15" t="s">
        <v>127</v>
      </c>
      <c r="E384" s="165"/>
      <c r="F384" s="116">
        <f ca="1">SUBTOTAL(109,'3.2 I&amp;W'!$X$57)</f>
        <v>0</v>
      </c>
      <c r="G384" s="116">
        <f ca="1">SUBTOTAL(109,'3.2 I&amp;W'!$Y$57)</f>
        <v>0</v>
      </c>
      <c r="H384" s="116">
        <f ca="1">SUBTOTAL(109,'3.2 I&amp;W'!$AD$57)</f>
        <v>0</v>
      </c>
      <c r="I384" s="116">
        <f ca="1">SUBTOTAL(109,'3.2 I&amp;W'!$AE$57)</f>
        <v>0</v>
      </c>
      <c r="J384" s="116"/>
      <c r="K384" s="116"/>
      <c r="L384" s="116"/>
      <c r="M384" s="116">
        <f ca="1">SUBTOTAL(109,'3.2 I&amp;W'!$AI$57)</f>
        <v>0</v>
      </c>
      <c r="N384" s="156">
        <f t="shared" ca="1" si="262"/>
        <v>0</v>
      </c>
      <c r="O384" s="116">
        <f ca="1">SUBTOTAL(109,'3.2 I&amp;W'!$S$57)</f>
        <v>0</v>
      </c>
      <c r="P384" s="30">
        <f t="shared" ca="1" si="265"/>
        <v>0</v>
      </c>
      <c r="Q384" s="31">
        <f t="shared" ca="1" si="252"/>
        <v>0</v>
      </c>
      <c r="R384" s="31">
        <f t="shared" ca="1" si="253"/>
        <v>0</v>
      </c>
      <c r="S384" s="31">
        <f t="shared" ca="1" si="254"/>
        <v>0</v>
      </c>
      <c r="T384" s="32">
        <f t="shared" ca="1" si="255"/>
        <v>0</v>
      </c>
      <c r="U384" s="37">
        <f t="shared" ca="1" si="263"/>
        <v>0</v>
      </c>
      <c r="V384" s="40">
        <f t="shared" ca="1" si="256"/>
        <v>0</v>
      </c>
      <c r="W384" s="41">
        <f t="shared" ca="1" si="257"/>
        <v>0</v>
      </c>
      <c r="X384" s="43"/>
      <c r="Y384" s="46"/>
      <c r="Z384" s="126"/>
      <c r="AA384" s="136"/>
      <c r="AB384" s="83">
        <v>7</v>
      </c>
      <c r="AC384" s="84">
        <f ca="1">IF(AF383&lt;=1,0,'3.2 Fi&amp;Fo'!$I$25)</f>
        <v>52993.177039275775</v>
      </c>
      <c r="AD384" s="72">
        <f ca="1">IF(AF383&lt;=1,0,AF383*'3.2 Fi&amp;Fo'!$H$25)</f>
        <v>23152.066874174088</v>
      </c>
      <c r="AE384" s="78">
        <f t="shared" ca="1" si="266"/>
        <v>29841.110165101687</v>
      </c>
      <c r="AF384" s="85">
        <f t="shared" ca="1" si="267"/>
        <v>1127762.2335436027</v>
      </c>
      <c r="AG384" s="168">
        <f>IF(AJ383&lt;=1,0,IF(AB384&lt;='3.2 Fi&amp;Fo'!$F$34,'3.2 Fi&amp;Fo'!$J$34,IF(AB384&lt;='3.2 Fi&amp;Fo'!$F$35,'3.2 Fi&amp;Fo'!$J$35,IF(AB384&lt;='3.2 Fi&amp;Fo'!$F$36,'3.2 Fi&amp;Fo'!$J$36,IF(AB384&lt;='3.2 Fi&amp;Fo'!$F$37,'3.2 Fi&amp;Fo'!$J$37,IF(AB384&lt;='3.2 Fi&amp;Fo'!$F$38,'3.2 Fi&amp;Fo'!$J$38,IF(AB384&lt;='3.2 Fi&amp;Fo'!$F$39,'3.2 Fi&amp;Fo'!$J$39,IF(AB384&lt;='3.2 Fi&amp;Fo'!$F$40,'3.2 Fi&amp;Fo'!$J$40))))))))</f>
        <v>39379.240000000005</v>
      </c>
      <c r="AH384" s="207">
        <f>IF(AJ383&lt;=1,0,AJ383*IF(AB384&lt;='3.2 Fi&amp;Fo'!$F$34,'3.2 Fi&amp;Fo'!$I$34,IF(AB384&lt;='3.2 Fi&amp;Fo'!$F$35,'3.2 Fi&amp;Fo'!$I$35,IF(AB384&lt;='3.2 Fi&amp;Fo'!$F$36,'3.2 Fi&amp;Fo'!$I$36,IF(AB384&lt;='3.2 Fi&amp;Fo'!$F$39,'3.2 Fi&amp;Fo'!$I$39,IF(AB384&lt;='3.2 Fi&amp;Fo'!$F$40,'3.2 Fi&amp;Fo'!$I$40))))))</f>
        <v>39365.355677920379</v>
      </c>
      <c r="AI384" s="210">
        <f t="shared" si="268"/>
        <v>13.884322079626145</v>
      </c>
      <c r="AJ384" s="209">
        <f t="shared" si="269"/>
        <v>1574600.3427947355</v>
      </c>
      <c r="AK384" s="312">
        <f t="shared" ca="1" si="270"/>
        <v>-117477.58719139817</v>
      </c>
      <c r="AL384" s="169">
        <f>IF(AB384&lt;='3.2 Fi&amp;Fo'!$J$15,'3.2 Fi&amp;Fo'!$I$15,0)</f>
        <v>0</v>
      </c>
      <c r="AM384" s="169">
        <f t="shared" si="282"/>
        <v>25105.170152122388</v>
      </c>
      <c r="AN384" s="838">
        <f t="shared" si="287"/>
        <v>7</v>
      </c>
      <c r="AO384" s="844">
        <f t="shared" ca="1" si="271"/>
        <v>117477.58719139817</v>
      </c>
      <c r="AP384" s="839">
        <f ca="1">BU482</f>
        <v>0</v>
      </c>
      <c r="AQ384" s="844">
        <f t="shared" si="272"/>
        <v>0</v>
      </c>
      <c r="AR384" s="839">
        <f t="shared" ca="1" si="288"/>
        <v>0</v>
      </c>
      <c r="AS384" s="839">
        <f t="shared" ca="1" si="283"/>
        <v>6998.0395261462636</v>
      </c>
      <c r="AT384" s="839">
        <f t="shared" ca="1" si="284"/>
        <v>13664.05137607186</v>
      </c>
      <c r="AU384" s="839">
        <f ca="1">'PV-Einspeisung'!AA89*-1</f>
        <v>0</v>
      </c>
      <c r="AV384" s="839">
        <f ca="1">'PV-Einspeisung'!AE89*-1</f>
        <v>0</v>
      </c>
      <c r="AW384" s="839"/>
      <c r="AX384" s="839">
        <f t="shared" ca="1" si="289"/>
        <v>0</v>
      </c>
      <c r="AY384" s="841">
        <f t="shared" si="273"/>
        <v>7</v>
      </c>
      <c r="AZ384" s="842">
        <f t="shared" ca="1" si="290"/>
        <v>0</v>
      </c>
      <c r="BA384" s="842">
        <f t="shared" ca="1" si="291"/>
        <v>0</v>
      </c>
      <c r="BB384" s="842">
        <f t="shared" ca="1" si="292"/>
        <v>0</v>
      </c>
      <c r="BC384" s="842">
        <f t="shared" ca="1" si="293"/>
        <v>0</v>
      </c>
      <c r="BD384" s="842">
        <f t="shared" ca="1" si="294"/>
        <v>0</v>
      </c>
      <c r="BE384" s="842">
        <f t="shared" ca="1" si="295"/>
        <v>0</v>
      </c>
      <c r="BF384" s="842">
        <f t="shared" ca="1" si="296"/>
        <v>7057.8615976075607</v>
      </c>
      <c r="BG384" s="842">
        <f t="shared" ca="1" si="297"/>
        <v>6606.1897784643006</v>
      </c>
      <c r="BH384" s="858">
        <f t="shared" si="281"/>
        <v>7</v>
      </c>
      <c r="BI384" s="857">
        <f t="shared" ca="1" si="298"/>
        <v>3295.8090055710454</v>
      </c>
      <c r="BJ384" s="857">
        <f t="shared" ca="1" si="299"/>
        <v>3702.2305205752186</v>
      </c>
      <c r="BK384" s="859">
        <f ca="1">'PV-Einspeisung'!AB89*-1</f>
        <v>0</v>
      </c>
      <c r="BL384" s="824">
        <f t="shared" ca="1" si="258"/>
        <v>0</v>
      </c>
      <c r="BM384" s="824">
        <f t="shared" ca="1" si="259"/>
        <v>0</v>
      </c>
      <c r="BN384" s="824">
        <f t="shared" ca="1" si="260"/>
        <v>0</v>
      </c>
      <c r="BO384" s="824">
        <f t="shared" ca="1" si="264"/>
        <v>0</v>
      </c>
      <c r="BP384" s="824">
        <f t="shared" ca="1" si="264"/>
        <v>0</v>
      </c>
      <c r="BQ384" s="824">
        <f t="shared" ca="1" si="264"/>
        <v>0</v>
      </c>
      <c r="BR384" s="824">
        <f t="shared" ca="1" si="264"/>
        <v>0</v>
      </c>
      <c r="BS384" s="824">
        <f t="shared" ca="1" si="264"/>
        <v>0</v>
      </c>
      <c r="BT384" s="824">
        <f t="shared" ca="1" si="264"/>
        <v>0</v>
      </c>
      <c r="BU384" s="824">
        <f t="shared" ca="1" si="264"/>
        <v>0</v>
      </c>
      <c r="BV384" s="824">
        <f t="shared" ca="1" si="264"/>
        <v>0</v>
      </c>
      <c r="BW384" s="824">
        <f t="shared" ca="1" si="264"/>
        <v>0</v>
      </c>
      <c r="BX384" s="824">
        <f t="shared" ca="1" si="264"/>
        <v>0</v>
      </c>
      <c r="BY384" s="824">
        <f t="shared" ca="1" si="264"/>
        <v>0</v>
      </c>
      <c r="BZ384" s="824">
        <f t="shared" ca="1" si="264"/>
        <v>0</v>
      </c>
      <c r="CA384" s="824">
        <f t="shared" ca="1" si="264"/>
        <v>0</v>
      </c>
      <c r="CB384" s="824">
        <f t="shared" ca="1" si="264"/>
        <v>0</v>
      </c>
      <c r="CC384" s="824">
        <f t="shared" ca="1" si="264"/>
        <v>0</v>
      </c>
      <c r="CD384" s="824">
        <f t="shared" ca="1" si="264"/>
        <v>0</v>
      </c>
      <c r="CE384" s="824">
        <f t="shared" ca="1" si="300"/>
        <v>0</v>
      </c>
      <c r="CF384" s="824">
        <f t="shared" ca="1" si="300"/>
        <v>0</v>
      </c>
      <c r="CG384" s="824">
        <f t="shared" ca="1" si="300"/>
        <v>0</v>
      </c>
      <c r="CH384" s="824">
        <f t="shared" ca="1" si="300"/>
        <v>0</v>
      </c>
      <c r="CI384" s="824">
        <f t="shared" ca="1" si="300"/>
        <v>0</v>
      </c>
      <c r="CJ384" s="824">
        <f t="shared" ca="1" si="300"/>
        <v>0</v>
      </c>
      <c r="CK384" s="824">
        <f t="shared" ca="1" si="300"/>
        <v>0</v>
      </c>
      <c r="CL384" s="824">
        <f t="shared" ca="1" si="300"/>
        <v>0</v>
      </c>
      <c r="CM384" s="824">
        <f t="shared" ca="1" si="300"/>
        <v>0</v>
      </c>
      <c r="CN384" s="824">
        <f t="shared" ca="1" si="300"/>
        <v>0</v>
      </c>
      <c r="CO384" s="824">
        <f t="shared" ca="1" si="300"/>
        <v>0</v>
      </c>
      <c r="CP384" s="824">
        <f t="shared" ca="1" si="300"/>
        <v>0</v>
      </c>
      <c r="CQ384" s="824">
        <f t="shared" ca="1" si="300"/>
        <v>0</v>
      </c>
      <c r="CR384" s="824">
        <f t="shared" ca="1" si="300"/>
        <v>0</v>
      </c>
      <c r="CS384" s="824">
        <f t="shared" ca="1" si="300"/>
        <v>0</v>
      </c>
      <c r="CT384" s="824">
        <f t="shared" ca="1" si="300"/>
        <v>0</v>
      </c>
      <c r="CU384" s="824">
        <f t="shared" ca="1" si="285"/>
        <v>0</v>
      </c>
      <c r="CV384" s="824">
        <f t="shared" ca="1" si="285"/>
        <v>0</v>
      </c>
      <c r="CW384" s="824">
        <f t="shared" ca="1" si="285"/>
        <v>0</v>
      </c>
      <c r="CX384" s="824">
        <f t="shared" ca="1" si="285"/>
        <v>0</v>
      </c>
      <c r="CY384" s="824">
        <f t="shared" ca="1" si="285"/>
        <v>0</v>
      </c>
      <c r="CZ384" s="824">
        <f t="shared" ca="1" si="285"/>
        <v>0</v>
      </c>
      <c r="DA384" s="824">
        <f t="shared" ca="1" si="286"/>
        <v>0</v>
      </c>
      <c r="DB384" s="824">
        <f t="shared" ca="1" si="286"/>
        <v>0</v>
      </c>
      <c r="DC384" s="824">
        <f t="shared" ca="1" si="286"/>
        <v>0</v>
      </c>
      <c r="DD384" s="824">
        <f t="shared" ca="1" si="286"/>
        <v>0</v>
      </c>
      <c r="DE384" s="824">
        <f t="shared" ca="1" si="286"/>
        <v>0</v>
      </c>
      <c r="DF384" s="824">
        <f t="shared" ca="1" si="286"/>
        <v>0</v>
      </c>
      <c r="DG384" s="824">
        <f t="shared" ca="1" si="286"/>
        <v>0</v>
      </c>
      <c r="DH384" s="824">
        <f t="shared" ca="1" si="286"/>
        <v>0</v>
      </c>
      <c r="DI384" s="824">
        <f t="shared" ca="1" si="286"/>
        <v>0</v>
      </c>
      <c r="DJ384" s="824">
        <f t="shared" ca="1" si="286"/>
        <v>0</v>
      </c>
      <c r="DK384" s="824">
        <f t="shared" ca="1" si="286"/>
        <v>0</v>
      </c>
      <c r="DL384" s="824">
        <f t="shared" ca="1" si="286"/>
        <v>0</v>
      </c>
    </row>
    <row r="385" spans="2:116" ht="12" thickBot="1" x14ac:dyDescent="0.3">
      <c r="B385" s="1673"/>
      <c r="C385" s="1680"/>
      <c r="D385" s="15" t="s">
        <v>127</v>
      </c>
      <c r="E385" s="116"/>
      <c r="F385" s="116">
        <f ca="1">SUBTOTAL(109,'3.2 I&amp;W'!$X$58)</f>
        <v>0</v>
      </c>
      <c r="G385" s="116">
        <f ca="1">SUBTOTAL(109,'3.2 I&amp;W'!$Y$58)</f>
        <v>0</v>
      </c>
      <c r="H385" s="116">
        <f ca="1">SUBTOTAL(109,'3.2 I&amp;W'!$AD$58)</f>
        <v>0</v>
      </c>
      <c r="I385" s="116">
        <f ca="1">SUBTOTAL(109,'3.2 I&amp;W'!$AE$58)</f>
        <v>0</v>
      </c>
      <c r="J385" s="116"/>
      <c r="K385" s="116"/>
      <c r="L385" s="116"/>
      <c r="M385" s="116">
        <f ca="1">SUBTOTAL(109,'3.2 I&amp;W'!$AI$58)</f>
        <v>0</v>
      </c>
      <c r="N385" s="156">
        <f t="shared" ca="1" si="262"/>
        <v>0</v>
      </c>
      <c r="O385" s="116">
        <f ca="1">SUBTOTAL(109,'3.2 I&amp;W'!$S$58)</f>
        <v>0</v>
      </c>
      <c r="P385" s="30">
        <f t="shared" ca="1" si="265"/>
        <v>0</v>
      </c>
      <c r="Q385" s="31">
        <f t="shared" ca="1" si="252"/>
        <v>0</v>
      </c>
      <c r="R385" s="31">
        <f t="shared" ca="1" si="253"/>
        <v>0</v>
      </c>
      <c r="S385" s="31">
        <f t="shared" ca="1" si="254"/>
        <v>0</v>
      </c>
      <c r="T385" s="32">
        <f t="shared" ca="1" si="255"/>
        <v>0</v>
      </c>
      <c r="U385" s="37">
        <f t="shared" ca="1" si="263"/>
        <v>0</v>
      </c>
      <c r="V385" s="40">
        <f t="shared" ca="1" si="256"/>
        <v>0</v>
      </c>
      <c r="W385" s="41">
        <f t="shared" ca="1" si="257"/>
        <v>0</v>
      </c>
      <c r="X385" s="43"/>
      <c r="Y385" s="46"/>
      <c r="Z385" s="126"/>
      <c r="AA385" s="136"/>
      <c r="AB385" s="83">
        <v>8</v>
      </c>
      <c r="AC385" s="84">
        <f ca="1">IF(AF384&lt;=1,0,'3.2 Fi&amp;Fo'!$I$25)</f>
        <v>52993.177039275775</v>
      </c>
      <c r="AD385" s="72">
        <f ca="1">IF(AF384&lt;=1,0,AF384*'3.2 Fi&amp;Fo'!$H$25)</f>
        <v>22555.244670872056</v>
      </c>
      <c r="AE385" s="78">
        <f t="shared" ca="1" si="266"/>
        <v>30437.932368403719</v>
      </c>
      <c r="AF385" s="85">
        <f t="shared" ca="1" si="267"/>
        <v>1097324.301175199</v>
      </c>
      <c r="AG385" s="168">
        <f>IF(AJ384&lt;=1,0,IF(AB385&lt;='3.2 Fi&amp;Fo'!$F$34,'3.2 Fi&amp;Fo'!$J$34,IF(AB385&lt;='3.2 Fi&amp;Fo'!$F$35,'3.2 Fi&amp;Fo'!$J$35,IF(AB385&lt;='3.2 Fi&amp;Fo'!$F$36,'3.2 Fi&amp;Fo'!$J$36,IF(AB385&lt;='3.2 Fi&amp;Fo'!$F$37,'3.2 Fi&amp;Fo'!$J$37,IF(AB385&lt;='3.2 Fi&amp;Fo'!$F$38,'3.2 Fi&amp;Fo'!$J$38,IF(AB385&lt;='3.2 Fi&amp;Fo'!$F$39,'3.2 Fi&amp;Fo'!$J$39,IF(AB385&lt;='3.2 Fi&amp;Fo'!$F$40,'3.2 Fi&amp;Fo'!$J$40))))))))</f>
        <v>39379.240000000005</v>
      </c>
      <c r="AH385" s="207">
        <f>IF(AJ384&lt;=1,0,AJ384*IF(AB385&lt;='3.2 Fi&amp;Fo'!$F$34,'3.2 Fi&amp;Fo'!$I$34,IF(AB385&lt;='3.2 Fi&amp;Fo'!$F$35,'3.2 Fi&amp;Fo'!$I$35,IF(AB385&lt;='3.2 Fi&amp;Fo'!$F$36,'3.2 Fi&amp;Fo'!$I$36,IF(AB385&lt;='3.2 Fi&amp;Fo'!$F$39,'3.2 Fi&amp;Fo'!$I$39,IF(AB385&lt;='3.2 Fi&amp;Fo'!$F$40,'3.2 Fi&amp;Fo'!$I$40))))))</f>
        <v>39365.008569868391</v>
      </c>
      <c r="AI385" s="210">
        <f t="shared" si="268"/>
        <v>14.231430131614616</v>
      </c>
      <c r="AJ385" s="209">
        <f t="shared" si="269"/>
        <v>1574586.1113646037</v>
      </c>
      <c r="AK385" s="312">
        <f t="shared" ca="1" si="270"/>
        <v>-117979.69059444117</v>
      </c>
      <c r="AL385" s="169">
        <f>IF(AB385&lt;='3.2 Fi&amp;Fo'!$J$15,'3.2 Fi&amp;Fo'!$I$15,0)</f>
        <v>0</v>
      </c>
      <c r="AM385" s="169">
        <f t="shared" si="282"/>
        <v>25607.27355516539</v>
      </c>
      <c r="AN385" s="838">
        <f t="shared" si="287"/>
        <v>8</v>
      </c>
      <c r="AO385" s="844">
        <f t="shared" ca="1" si="271"/>
        <v>117979.69059444117</v>
      </c>
      <c r="AP385" s="839">
        <f ca="1">BV482</f>
        <v>0</v>
      </c>
      <c r="AQ385" s="844">
        <f t="shared" si="272"/>
        <v>0</v>
      </c>
      <c r="AR385" s="839">
        <f t="shared" ca="1" si="288"/>
        <v>0</v>
      </c>
      <c r="AS385" s="839">
        <f t="shared" ca="1" si="283"/>
        <v>7110.0081585646039</v>
      </c>
      <c r="AT385" s="839">
        <f t="shared" ca="1" si="284"/>
        <v>14071.7145582583</v>
      </c>
      <c r="AU385" s="839">
        <f ca="1">'PV-Einspeisung'!AA90*-1</f>
        <v>0</v>
      </c>
      <c r="AV385" s="839">
        <f ca="1">'PV-Einspeisung'!AE90*-1</f>
        <v>0</v>
      </c>
      <c r="AW385" s="839"/>
      <c r="AX385" s="839">
        <f t="shared" ca="1" si="289"/>
        <v>0</v>
      </c>
      <c r="AY385" s="841">
        <f t="shared" si="273"/>
        <v>8</v>
      </c>
      <c r="AZ385" s="842">
        <f t="shared" ca="1" si="290"/>
        <v>0</v>
      </c>
      <c r="BA385" s="842">
        <f t="shared" ca="1" si="291"/>
        <v>0</v>
      </c>
      <c r="BB385" s="842">
        <f t="shared" ca="1" si="292"/>
        <v>0</v>
      </c>
      <c r="BC385" s="842">
        <f t="shared" ca="1" si="293"/>
        <v>0</v>
      </c>
      <c r="BD385" s="842">
        <f t="shared" ca="1" si="294"/>
        <v>0</v>
      </c>
      <c r="BE385" s="842">
        <f t="shared" ca="1" si="295"/>
        <v>0</v>
      </c>
      <c r="BF385" s="842">
        <f t="shared" ca="1" si="296"/>
        <v>7234.3081375477495</v>
      </c>
      <c r="BG385" s="842">
        <f t="shared" ca="1" si="297"/>
        <v>6837.4064207105503</v>
      </c>
      <c r="BH385" s="858">
        <f t="shared" si="281"/>
        <v>8</v>
      </c>
      <c r="BI385" s="857">
        <f t="shared" ca="1" si="298"/>
        <v>3348.5419496601821</v>
      </c>
      <c r="BJ385" s="857">
        <f t="shared" ca="1" si="299"/>
        <v>3761.4662089044223</v>
      </c>
      <c r="BK385" s="859">
        <f ca="1">'PV-Einspeisung'!AB90*-1</f>
        <v>0</v>
      </c>
      <c r="BL385" s="824">
        <f t="shared" ca="1" si="258"/>
        <v>0</v>
      </c>
      <c r="BM385" s="824">
        <f t="shared" ca="1" si="259"/>
        <v>0</v>
      </c>
      <c r="BN385" s="824">
        <f t="shared" ca="1" si="260"/>
        <v>0</v>
      </c>
      <c r="BO385" s="824">
        <f t="shared" ca="1" si="264"/>
        <v>0</v>
      </c>
      <c r="BP385" s="824">
        <f t="shared" ca="1" si="264"/>
        <v>0</v>
      </c>
      <c r="BQ385" s="824">
        <f t="shared" ca="1" si="264"/>
        <v>0</v>
      </c>
      <c r="BR385" s="824">
        <f t="shared" ca="1" si="264"/>
        <v>0</v>
      </c>
      <c r="BS385" s="824">
        <f t="shared" ca="1" si="264"/>
        <v>0</v>
      </c>
      <c r="BT385" s="824">
        <f t="shared" ca="1" si="264"/>
        <v>0</v>
      </c>
      <c r="BU385" s="824">
        <f t="shared" ca="1" si="264"/>
        <v>0</v>
      </c>
      <c r="BV385" s="824">
        <f t="shared" ca="1" si="264"/>
        <v>0</v>
      </c>
      <c r="BW385" s="824">
        <f t="shared" ca="1" si="264"/>
        <v>0</v>
      </c>
      <c r="BX385" s="824">
        <f t="shared" ca="1" si="264"/>
        <v>0</v>
      </c>
      <c r="BY385" s="824">
        <f t="shared" ca="1" si="264"/>
        <v>0</v>
      </c>
      <c r="BZ385" s="824">
        <f t="shared" ca="1" si="264"/>
        <v>0</v>
      </c>
      <c r="CA385" s="824">
        <f t="shared" ca="1" si="264"/>
        <v>0</v>
      </c>
      <c r="CB385" s="824">
        <f t="shared" ca="1" si="264"/>
        <v>0</v>
      </c>
      <c r="CC385" s="824">
        <f t="shared" ca="1" si="264"/>
        <v>0</v>
      </c>
      <c r="CD385" s="824">
        <f t="shared" ca="1" si="264"/>
        <v>0</v>
      </c>
      <c r="CE385" s="824">
        <f t="shared" ca="1" si="300"/>
        <v>0</v>
      </c>
      <c r="CF385" s="824">
        <f t="shared" ca="1" si="300"/>
        <v>0</v>
      </c>
      <c r="CG385" s="824">
        <f t="shared" ca="1" si="300"/>
        <v>0</v>
      </c>
      <c r="CH385" s="824">
        <f t="shared" ca="1" si="300"/>
        <v>0</v>
      </c>
      <c r="CI385" s="824">
        <f t="shared" ca="1" si="300"/>
        <v>0</v>
      </c>
      <c r="CJ385" s="824">
        <f t="shared" ca="1" si="300"/>
        <v>0</v>
      </c>
      <c r="CK385" s="824">
        <f t="shared" ca="1" si="300"/>
        <v>0</v>
      </c>
      <c r="CL385" s="824">
        <f t="shared" ca="1" si="300"/>
        <v>0</v>
      </c>
      <c r="CM385" s="824">
        <f t="shared" ca="1" si="300"/>
        <v>0</v>
      </c>
      <c r="CN385" s="824">
        <f t="shared" ca="1" si="300"/>
        <v>0</v>
      </c>
      <c r="CO385" s="824">
        <f t="shared" ca="1" si="300"/>
        <v>0</v>
      </c>
      <c r="CP385" s="824">
        <f t="shared" ca="1" si="300"/>
        <v>0</v>
      </c>
      <c r="CQ385" s="824">
        <f t="shared" ca="1" si="300"/>
        <v>0</v>
      </c>
      <c r="CR385" s="824">
        <f t="shared" ca="1" si="300"/>
        <v>0</v>
      </c>
      <c r="CS385" s="824">
        <f t="shared" ca="1" si="300"/>
        <v>0</v>
      </c>
      <c r="CT385" s="824">
        <f t="shared" ca="1" si="300"/>
        <v>0</v>
      </c>
      <c r="CU385" s="824">
        <f t="shared" ca="1" si="285"/>
        <v>0</v>
      </c>
      <c r="CV385" s="824">
        <f t="shared" ca="1" si="285"/>
        <v>0</v>
      </c>
      <c r="CW385" s="824">
        <f t="shared" ca="1" si="285"/>
        <v>0</v>
      </c>
      <c r="CX385" s="824">
        <f t="shared" ca="1" si="285"/>
        <v>0</v>
      </c>
      <c r="CY385" s="824">
        <f t="shared" ca="1" si="285"/>
        <v>0</v>
      </c>
      <c r="CZ385" s="824">
        <f t="shared" ca="1" si="285"/>
        <v>0</v>
      </c>
      <c r="DA385" s="824">
        <f t="shared" ca="1" si="286"/>
        <v>0</v>
      </c>
      <c r="DB385" s="824">
        <f t="shared" ca="1" si="286"/>
        <v>0</v>
      </c>
      <c r="DC385" s="824">
        <f t="shared" ca="1" si="286"/>
        <v>0</v>
      </c>
      <c r="DD385" s="824">
        <f t="shared" ca="1" si="286"/>
        <v>0</v>
      </c>
      <c r="DE385" s="824">
        <f t="shared" ca="1" si="286"/>
        <v>0</v>
      </c>
      <c r="DF385" s="824">
        <f t="shared" ca="1" si="286"/>
        <v>0</v>
      </c>
      <c r="DG385" s="824">
        <f t="shared" ca="1" si="286"/>
        <v>0</v>
      </c>
      <c r="DH385" s="824">
        <f t="shared" ca="1" si="286"/>
        <v>0</v>
      </c>
      <c r="DI385" s="824">
        <f t="shared" ca="1" si="286"/>
        <v>0</v>
      </c>
      <c r="DJ385" s="824">
        <f t="shared" ca="1" si="286"/>
        <v>0</v>
      </c>
      <c r="DK385" s="824">
        <f t="shared" ca="1" si="286"/>
        <v>0</v>
      </c>
      <c r="DL385" s="824">
        <f t="shared" ca="1" si="286"/>
        <v>0</v>
      </c>
    </row>
    <row r="386" spans="2:116" ht="12" thickBot="1" x14ac:dyDescent="0.3">
      <c r="B386" s="1673"/>
      <c r="C386" s="1680"/>
      <c r="D386" s="15" t="s">
        <v>128</v>
      </c>
      <c r="E386" s="165"/>
      <c r="F386" s="116">
        <f ca="1">SUBTOTAL(109,'3.2 I&amp;W'!$X$61)</f>
        <v>0</v>
      </c>
      <c r="G386" s="116">
        <f ca="1">SUBTOTAL(109,'3.2 I&amp;W'!$Y$61)</f>
        <v>0</v>
      </c>
      <c r="H386" s="116">
        <f ca="1">SUBTOTAL(109,'3.2 I&amp;W'!$AD$61)</f>
        <v>0</v>
      </c>
      <c r="I386" s="116">
        <f ca="1">SUBTOTAL(109,'3.2 I&amp;W'!$AE$61)</f>
        <v>0</v>
      </c>
      <c r="J386" s="116"/>
      <c r="K386" s="116"/>
      <c r="L386" s="116"/>
      <c r="M386" s="116">
        <f ca="1">SUBTOTAL(109,'3.2 I&amp;W'!$AI$61)</f>
        <v>0</v>
      </c>
      <c r="N386" s="156">
        <f t="shared" ca="1" si="262"/>
        <v>0</v>
      </c>
      <c r="O386" s="116">
        <f ca="1">SUBTOTAL(109,'3.2 I&amp;W'!$S$61)</f>
        <v>0</v>
      </c>
      <c r="P386" s="30">
        <f t="shared" ca="1" si="265"/>
        <v>0</v>
      </c>
      <c r="Q386" s="31">
        <f t="shared" ca="1" si="252"/>
        <v>0</v>
      </c>
      <c r="R386" s="31">
        <f t="shared" ca="1" si="253"/>
        <v>0</v>
      </c>
      <c r="S386" s="31">
        <f t="shared" ca="1" si="254"/>
        <v>0</v>
      </c>
      <c r="T386" s="32">
        <f t="shared" ca="1" si="255"/>
        <v>0</v>
      </c>
      <c r="U386" s="37">
        <f t="shared" ca="1" si="263"/>
        <v>0</v>
      </c>
      <c r="V386" s="40">
        <f t="shared" ca="1" si="256"/>
        <v>0</v>
      </c>
      <c r="W386" s="41">
        <f t="shared" ca="1" si="257"/>
        <v>0</v>
      </c>
      <c r="X386" s="43"/>
      <c r="Y386" s="46"/>
      <c r="Z386" s="126"/>
      <c r="AA386" s="136"/>
      <c r="AB386" s="83">
        <v>9</v>
      </c>
      <c r="AC386" s="84">
        <f ca="1">IF(AF385&lt;=1,0,'3.2 Fi&amp;Fo'!$I$25)</f>
        <v>52993.177039275775</v>
      </c>
      <c r="AD386" s="72">
        <f ca="1">IF(AF385&lt;=1,0,AF385*'3.2 Fi&amp;Fo'!$H$25)</f>
        <v>21946.486023503981</v>
      </c>
      <c r="AE386" s="78">
        <f t="shared" ca="1" si="266"/>
        <v>31046.691015771794</v>
      </c>
      <c r="AF386" s="85">
        <f t="shared" ca="1" si="267"/>
        <v>1066277.6101594272</v>
      </c>
      <c r="AG386" s="168">
        <f>IF(AJ385&lt;=1,0,IF(AB386&lt;='3.2 Fi&amp;Fo'!$F$34,'3.2 Fi&amp;Fo'!$J$34,IF(AB386&lt;='3.2 Fi&amp;Fo'!$F$35,'3.2 Fi&amp;Fo'!$J$35,IF(AB386&lt;='3.2 Fi&amp;Fo'!$F$36,'3.2 Fi&amp;Fo'!$J$36,IF(AB386&lt;='3.2 Fi&amp;Fo'!$F$37,'3.2 Fi&amp;Fo'!$J$37,IF(AB386&lt;='3.2 Fi&amp;Fo'!$F$38,'3.2 Fi&amp;Fo'!$J$38,IF(AB386&lt;='3.2 Fi&amp;Fo'!$F$39,'3.2 Fi&amp;Fo'!$J$39,IF(AB386&lt;='3.2 Fi&amp;Fo'!$F$40,'3.2 Fi&amp;Fo'!$J$40))))))))</f>
        <v>39379.240000000005</v>
      </c>
      <c r="AH386" s="207">
        <f>IF(AJ385&lt;=1,0,AJ385*IF(AB386&lt;='3.2 Fi&amp;Fo'!$F$34,'3.2 Fi&amp;Fo'!$I$34,IF(AB386&lt;='3.2 Fi&amp;Fo'!$F$35,'3.2 Fi&amp;Fo'!$I$35,IF(AB386&lt;='3.2 Fi&amp;Fo'!$F$36,'3.2 Fi&amp;Fo'!$I$36,IF(AB386&lt;='3.2 Fi&amp;Fo'!$F$39,'3.2 Fi&amp;Fo'!$I$39,IF(AB386&lt;='3.2 Fi&amp;Fo'!$F$40,'3.2 Fi&amp;Fo'!$I$40))))))</f>
        <v>39364.652784115096</v>
      </c>
      <c r="AI386" s="210">
        <f t="shared" si="268"/>
        <v>14.587215884908801</v>
      </c>
      <c r="AJ386" s="209">
        <f t="shared" si="269"/>
        <v>1574571.5241487189</v>
      </c>
      <c r="AK386" s="312">
        <f t="shared" ca="1" si="270"/>
        <v>-118491.83606554443</v>
      </c>
      <c r="AL386" s="169">
        <f>IF(AB386&lt;='3.2 Fi&amp;Fo'!$J$15,'3.2 Fi&amp;Fo'!$I$15,0)</f>
        <v>0</v>
      </c>
      <c r="AM386" s="169">
        <f t="shared" si="282"/>
        <v>26119.419026268646</v>
      </c>
      <c r="AN386" s="838">
        <f t="shared" si="287"/>
        <v>9</v>
      </c>
      <c r="AO386" s="844">
        <f t="shared" ca="1" si="271"/>
        <v>118491.83606554443</v>
      </c>
      <c r="AP386" s="839">
        <f ca="1">BW482</f>
        <v>0</v>
      </c>
      <c r="AQ386" s="844">
        <f t="shared" si="272"/>
        <v>0</v>
      </c>
      <c r="AR386" s="839">
        <f t="shared" ca="1" si="288"/>
        <v>0</v>
      </c>
      <c r="AS386" s="839">
        <f t="shared" ca="1" si="283"/>
        <v>7223.7682891016384</v>
      </c>
      <c r="AT386" s="839">
        <f t="shared" ca="1" si="284"/>
        <v>14491.881486421862</v>
      </c>
      <c r="AU386" s="839">
        <f ca="1">'PV-Einspeisung'!AA91*-1</f>
        <v>0</v>
      </c>
      <c r="AV386" s="839">
        <f ca="1">'PV-Einspeisung'!AE91*-1</f>
        <v>0</v>
      </c>
      <c r="AW386" s="839"/>
      <c r="AX386" s="839">
        <f t="shared" ca="1" si="289"/>
        <v>0</v>
      </c>
      <c r="AY386" s="841">
        <f t="shared" si="273"/>
        <v>9</v>
      </c>
      <c r="AZ386" s="842">
        <f t="shared" ca="1" si="290"/>
        <v>0</v>
      </c>
      <c r="BA386" s="842">
        <f t="shared" ca="1" si="291"/>
        <v>0</v>
      </c>
      <c r="BB386" s="842">
        <f t="shared" ca="1" si="292"/>
        <v>0</v>
      </c>
      <c r="BC386" s="842">
        <f t="shared" ca="1" si="293"/>
        <v>0</v>
      </c>
      <c r="BD386" s="842">
        <f t="shared" ca="1" si="294"/>
        <v>0</v>
      </c>
      <c r="BE386" s="842">
        <f t="shared" ca="1" si="295"/>
        <v>0</v>
      </c>
      <c r="BF386" s="842">
        <f t="shared" ca="1" si="296"/>
        <v>7415.1658409864431</v>
      </c>
      <c r="BG386" s="842">
        <f t="shared" ca="1" si="297"/>
        <v>7076.715645435419</v>
      </c>
      <c r="BH386" s="858">
        <f t="shared" si="281"/>
        <v>9</v>
      </c>
      <c r="BI386" s="857">
        <f t="shared" ca="1" si="298"/>
        <v>3402.1186208547451</v>
      </c>
      <c r="BJ386" s="857">
        <f t="shared" ca="1" si="299"/>
        <v>3821.6496682468933</v>
      </c>
      <c r="BK386" s="859">
        <f ca="1">'PV-Einspeisung'!AB91*-1</f>
        <v>0</v>
      </c>
      <c r="BL386" s="824">
        <f t="shared" ca="1" si="258"/>
        <v>0</v>
      </c>
      <c r="BM386" s="824">
        <f t="shared" ca="1" si="259"/>
        <v>0</v>
      </c>
      <c r="BN386" s="824">
        <f t="shared" ca="1" si="260"/>
        <v>0</v>
      </c>
      <c r="BO386" s="824">
        <f t="shared" ca="1" si="264"/>
        <v>0</v>
      </c>
      <c r="BP386" s="824">
        <f t="shared" ca="1" si="264"/>
        <v>0</v>
      </c>
      <c r="BQ386" s="824">
        <f t="shared" ca="1" si="264"/>
        <v>0</v>
      </c>
      <c r="BR386" s="824">
        <f t="shared" ca="1" si="264"/>
        <v>0</v>
      </c>
      <c r="BS386" s="824">
        <f t="shared" ca="1" si="264"/>
        <v>0</v>
      </c>
      <c r="BT386" s="824">
        <f t="shared" ca="1" si="264"/>
        <v>0</v>
      </c>
      <c r="BU386" s="824">
        <f t="shared" ca="1" si="264"/>
        <v>0</v>
      </c>
      <c r="BV386" s="824">
        <f t="shared" ca="1" si="264"/>
        <v>0</v>
      </c>
      <c r="BW386" s="824">
        <f t="shared" ca="1" si="264"/>
        <v>0</v>
      </c>
      <c r="BX386" s="824">
        <f t="shared" ca="1" si="264"/>
        <v>0</v>
      </c>
      <c r="BY386" s="824">
        <f t="shared" ca="1" si="264"/>
        <v>0</v>
      </c>
      <c r="BZ386" s="824">
        <f t="shared" ca="1" si="264"/>
        <v>0</v>
      </c>
      <c r="CA386" s="824">
        <f t="shared" ca="1" si="264"/>
        <v>0</v>
      </c>
      <c r="CB386" s="824">
        <f t="shared" ca="1" si="264"/>
        <v>0</v>
      </c>
      <c r="CC386" s="824">
        <f t="shared" ca="1" si="264"/>
        <v>0</v>
      </c>
      <c r="CD386" s="824">
        <f t="shared" ca="1" si="264"/>
        <v>0</v>
      </c>
      <c r="CE386" s="824">
        <f t="shared" ca="1" si="300"/>
        <v>0</v>
      </c>
      <c r="CF386" s="824">
        <f t="shared" ca="1" si="300"/>
        <v>0</v>
      </c>
      <c r="CG386" s="824">
        <f t="shared" ca="1" si="300"/>
        <v>0</v>
      </c>
      <c r="CH386" s="824">
        <f t="shared" ca="1" si="300"/>
        <v>0</v>
      </c>
      <c r="CI386" s="824">
        <f t="shared" ca="1" si="300"/>
        <v>0</v>
      </c>
      <c r="CJ386" s="824">
        <f t="shared" ca="1" si="300"/>
        <v>0</v>
      </c>
      <c r="CK386" s="824">
        <f t="shared" ca="1" si="300"/>
        <v>0</v>
      </c>
      <c r="CL386" s="824">
        <f t="shared" ca="1" si="300"/>
        <v>0</v>
      </c>
      <c r="CM386" s="824">
        <f t="shared" ca="1" si="300"/>
        <v>0</v>
      </c>
      <c r="CN386" s="824">
        <f t="shared" ca="1" si="300"/>
        <v>0</v>
      </c>
      <c r="CO386" s="824">
        <f t="shared" ca="1" si="300"/>
        <v>0</v>
      </c>
      <c r="CP386" s="824">
        <f t="shared" ca="1" si="300"/>
        <v>0</v>
      </c>
      <c r="CQ386" s="824">
        <f t="shared" ca="1" si="300"/>
        <v>0</v>
      </c>
      <c r="CR386" s="824">
        <f t="shared" ca="1" si="300"/>
        <v>0</v>
      </c>
      <c r="CS386" s="824">
        <f t="shared" ca="1" si="300"/>
        <v>0</v>
      </c>
      <c r="CT386" s="824">
        <f t="shared" ca="1" si="300"/>
        <v>0</v>
      </c>
      <c r="CU386" s="824">
        <f t="shared" ca="1" si="285"/>
        <v>0</v>
      </c>
      <c r="CV386" s="824">
        <f t="shared" ca="1" si="285"/>
        <v>0</v>
      </c>
      <c r="CW386" s="824">
        <f t="shared" ca="1" si="285"/>
        <v>0</v>
      </c>
      <c r="CX386" s="824">
        <f t="shared" ca="1" si="285"/>
        <v>0</v>
      </c>
      <c r="CY386" s="824">
        <f t="shared" ca="1" si="285"/>
        <v>0</v>
      </c>
      <c r="CZ386" s="824">
        <f t="shared" ca="1" si="285"/>
        <v>0</v>
      </c>
      <c r="DA386" s="824">
        <f t="shared" ca="1" si="286"/>
        <v>0</v>
      </c>
      <c r="DB386" s="824">
        <f t="shared" ca="1" si="286"/>
        <v>0</v>
      </c>
      <c r="DC386" s="824">
        <f t="shared" ca="1" si="286"/>
        <v>0</v>
      </c>
      <c r="DD386" s="824">
        <f t="shared" ca="1" si="286"/>
        <v>0</v>
      </c>
      <c r="DE386" s="824">
        <f t="shared" ca="1" si="286"/>
        <v>0</v>
      </c>
      <c r="DF386" s="824">
        <f t="shared" ca="1" si="286"/>
        <v>0</v>
      </c>
      <c r="DG386" s="824">
        <f t="shared" ca="1" si="286"/>
        <v>0</v>
      </c>
      <c r="DH386" s="824">
        <f t="shared" ca="1" si="286"/>
        <v>0</v>
      </c>
      <c r="DI386" s="824">
        <f t="shared" ca="1" si="286"/>
        <v>0</v>
      </c>
      <c r="DJ386" s="824">
        <f t="shared" ca="1" si="286"/>
        <v>0</v>
      </c>
      <c r="DK386" s="824">
        <f t="shared" ca="1" si="286"/>
        <v>0</v>
      </c>
      <c r="DL386" s="824">
        <f t="shared" ca="1" si="286"/>
        <v>0</v>
      </c>
    </row>
    <row r="387" spans="2:116" ht="12" thickBot="1" x14ac:dyDescent="0.3">
      <c r="B387" s="1673"/>
      <c r="C387" s="1680"/>
      <c r="D387" s="15" t="s">
        <v>128</v>
      </c>
      <c r="E387" s="116"/>
      <c r="F387" s="116">
        <f ca="1">SUBTOTAL(109,'3.2 I&amp;W'!$X$62)</f>
        <v>0</v>
      </c>
      <c r="G387" s="116">
        <f ca="1">SUBTOTAL(109,'3.2 I&amp;W'!$Y$62)</f>
        <v>0</v>
      </c>
      <c r="H387" s="116">
        <f ca="1">SUBTOTAL(109,'3.2 I&amp;W'!$AD$62)</f>
        <v>0</v>
      </c>
      <c r="I387" s="116">
        <f ca="1">SUBTOTAL(109,'3.2 I&amp;W'!$AE$62)</f>
        <v>0</v>
      </c>
      <c r="J387" s="116"/>
      <c r="K387" s="116"/>
      <c r="L387" s="116"/>
      <c r="M387" s="116">
        <f ca="1">SUBTOTAL(109,'3.2 I&amp;W'!$AI$62)</f>
        <v>0</v>
      </c>
      <c r="N387" s="156">
        <f t="shared" ca="1" si="262"/>
        <v>0</v>
      </c>
      <c r="O387" s="116">
        <f ca="1">SUBTOTAL(109,'3.2 I&amp;W'!$S$62)</f>
        <v>0</v>
      </c>
      <c r="P387" s="30">
        <f t="shared" ca="1" si="265"/>
        <v>0</v>
      </c>
      <c r="Q387" s="31">
        <f t="shared" ca="1" si="252"/>
        <v>0</v>
      </c>
      <c r="R387" s="31">
        <f t="shared" ca="1" si="253"/>
        <v>0</v>
      </c>
      <c r="S387" s="31">
        <f t="shared" ca="1" si="254"/>
        <v>0</v>
      </c>
      <c r="T387" s="32">
        <f t="shared" ca="1" si="255"/>
        <v>0</v>
      </c>
      <c r="U387" s="37">
        <f t="shared" ca="1" si="263"/>
        <v>0</v>
      </c>
      <c r="V387" s="40">
        <f t="shared" ca="1" si="256"/>
        <v>0</v>
      </c>
      <c r="W387" s="41">
        <f t="shared" ca="1" si="257"/>
        <v>0</v>
      </c>
      <c r="X387" s="43"/>
      <c r="Y387" s="46"/>
      <c r="Z387" s="126"/>
      <c r="AA387" s="136"/>
      <c r="AB387" s="83">
        <v>10</v>
      </c>
      <c r="AC387" s="84">
        <f ca="1">IF(AF386&lt;=1,0,'3.2 Fi&amp;Fo'!$I$25)</f>
        <v>52993.177039275775</v>
      </c>
      <c r="AD387" s="72">
        <f ca="1">IF(AF386&lt;=1,0,AF386*'3.2 Fi&amp;Fo'!$H$25)</f>
        <v>21325.552203188545</v>
      </c>
      <c r="AE387" s="78">
        <f t="shared" ca="1" si="266"/>
        <v>31667.624836087231</v>
      </c>
      <c r="AF387" s="85">
        <f t="shared" ca="1" si="267"/>
        <v>1034609.9853233399</v>
      </c>
      <c r="AG387" s="168">
        <f>IF(AJ386&lt;=1,0,IF(AB387&lt;='3.2 Fi&amp;Fo'!$F$34,'3.2 Fi&amp;Fo'!$J$34,IF(AB387&lt;='3.2 Fi&amp;Fo'!$F$35,'3.2 Fi&amp;Fo'!$J$35,IF(AB387&lt;='3.2 Fi&amp;Fo'!$F$36,'3.2 Fi&amp;Fo'!$J$36,IF(AB387&lt;='3.2 Fi&amp;Fo'!$F$37,'3.2 Fi&amp;Fo'!$J$37,IF(AB387&lt;='3.2 Fi&amp;Fo'!$F$38,'3.2 Fi&amp;Fo'!$J$38,IF(AB387&lt;='3.2 Fi&amp;Fo'!$F$39,'3.2 Fi&amp;Fo'!$J$39,IF(AB387&lt;='3.2 Fi&amp;Fo'!$F$40,'3.2 Fi&amp;Fo'!$J$40))))))))</f>
        <v>39379.240000000005</v>
      </c>
      <c r="AH387" s="207">
        <f>IF(AJ386&lt;=1,0,AJ386*IF(AB387&lt;='3.2 Fi&amp;Fo'!$F$34,'3.2 Fi&amp;Fo'!$I$34,IF(AB387&lt;='3.2 Fi&amp;Fo'!$F$35,'3.2 Fi&amp;Fo'!$I$35,IF(AB387&lt;='3.2 Fi&amp;Fo'!$F$36,'3.2 Fi&amp;Fo'!$I$36,IF(AB387&lt;='3.2 Fi&amp;Fo'!$F$39,'3.2 Fi&amp;Fo'!$I$39,IF(AB387&lt;='3.2 Fi&amp;Fo'!$F$40,'3.2 Fi&amp;Fo'!$I$40))))))</f>
        <v>39364.288103717976</v>
      </c>
      <c r="AI387" s="210">
        <f t="shared" si="268"/>
        <v>14.951896282029338</v>
      </c>
      <c r="AJ387" s="209">
        <f t="shared" si="269"/>
        <v>1574556.572252437</v>
      </c>
      <c r="AK387" s="312">
        <f t="shared" ca="1" si="270"/>
        <v>-119014.22444606959</v>
      </c>
      <c r="AL387" s="169">
        <f>IF(AB387&lt;='3.2 Fi&amp;Fo'!$J$15,'3.2 Fi&amp;Fo'!$I$15,0)</f>
        <v>0</v>
      </c>
      <c r="AM387" s="169">
        <f t="shared" si="282"/>
        <v>26641.807406793814</v>
      </c>
      <c r="AN387" s="838">
        <f t="shared" si="287"/>
        <v>10</v>
      </c>
      <c r="AO387" s="844">
        <f t="shared" ca="1" si="271"/>
        <v>119014.22444606959</v>
      </c>
      <c r="AP387" s="839">
        <f ca="1">BX482</f>
        <v>0</v>
      </c>
      <c r="AQ387" s="844">
        <f t="shared" si="272"/>
        <v>0</v>
      </c>
      <c r="AR387" s="839">
        <f t="shared" ca="1" si="288"/>
        <v>0</v>
      </c>
      <c r="AS387" s="839">
        <f t="shared" ca="1" si="283"/>
        <v>7339.3485817272649</v>
      </c>
      <c r="AT387" s="839">
        <f t="shared" ca="1" si="284"/>
        <v>14924.945680036762</v>
      </c>
      <c r="AU387" s="839">
        <f ca="1">'PV-Einspeisung'!AA92*-1</f>
        <v>0</v>
      </c>
      <c r="AV387" s="839">
        <f ca="1">'PV-Einspeisung'!AE92*-1</f>
        <v>0</v>
      </c>
      <c r="AW387" s="839"/>
      <c r="AX387" s="839">
        <f t="shared" ca="1" si="289"/>
        <v>0</v>
      </c>
      <c r="AY387" s="841">
        <f t="shared" si="273"/>
        <v>10</v>
      </c>
      <c r="AZ387" s="842">
        <f t="shared" ca="1" si="290"/>
        <v>0</v>
      </c>
      <c r="BA387" s="842">
        <f t="shared" ca="1" si="291"/>
        <v>0</v>
      </c>
      <c r="BB387" s="842">
        <f t="shared" ca="1" si="292"/>
        <v>0</v>
      </c>
      <c r="BC387" s="842">
        <f t="shared" ca="1" si="293"/>
        <v>0</v>
      </c>
      <c r="BD387" s="842">
        <f t="shared" ca="1" si="294"/>
        <v>0</v>
      </c>
      <c r="BE387" s="842">
        <f t="shared" ca="1" si="295"/>
        <v>0</v>
      </c>
      <c r="BF387" s="842">
        <f t="shared" ca="1" si="296"/>
        <v>7600.5449870111033</v>
      </c>
      <c r="BG387" s="842">
        <f t="shared" ca="1" si="297"/>
        <v>7324.4006930256583</v>
      </c>
      <c r="BH387" s="858">
        <f t="shared" si="281"/>
        <v>10</v>
      </c>
      <c r="BI387" s="857">
        <f t="shared" ca="1" si="298"/>
        <v>3456.5525187884209</v>
      </c>
      <c r="BJ387" s="857">
        <f t="shared" ca="1" si="299"/>
        <v>3882.7960629388435</v>
      </c>
      <c r="BK387" s="859">
        <f ca="1">'PV-Einspeisung'!AB92*-1</f>
        <v>0</v>
      </c>
      <c r="BL387" s="824">
        <f t="shared" ca="1" si="258"/>
        <v>0</v>
      </c>
      <c r="BM387" s="824">
        <f t="shared" ca="1" si="259"/>
        <v>0</v>
      </c>
      <c r="BN387" s="824">
        <f t="shared" ca="1" si="260"/>
        <v>0</v>
      </c>
      <c r="BO387" s="824">
        <f t="shared" ca="1" si="264"/>
        <v>0</v>
      </c>
      <c r="BP387" s="824">
        <f t="shared" ca="1" si="264"/>
        <v>0</v>
      </c>
      <c r="BQ387" s="824">
        <f t="shared" ca="1" si="264"/>
        <v>0</v>
      </c>
      <c r="BR387" s="824">
        <f t="shared" ca="1" si="264"/>
        <v>0</v>
      </c>
      <c r="BS387" s="824">
        <f t="shared" ca="1" si="264"/>
        <v>0</v>
      </c>
      <c r="BT387" s="824">
        <f t="shared" ca="1" si="264"/>
        <v>0</v>
      </c>
      <c r="BU387" s="824">
        <f t="shared" ca="1" si="264"/>
        <v>0</v>
      </c>
      <c r="BV387" s="824">
        <f t="shared" ca="1" si="264"/>
        <v>0</v>
      </c>
      <c r="BW387" s="824">
        <f t="shared" ca="1" si="264"/>
        <v>0</v>
      </c>
      <c r="BX387" s="824">
        <f t="shared" ca="1" si="264"/>
        <v>0</v>
      </c>
      <c r="BY387" s="824">
        <f t="shared" ca="1" si="264"/>
        <v>0</v>
      </c>
      <c r="BZ387" s="824">
        <f t="shared" ca="1" si="264"/>
        <v>0</v>
      </c>
      <c r="CA387" s="824">
        <f t="shared" ca="1" si="264"/>
        <v>0</v>
      </c>
      <c r="CB387" s="824">
        <f t="shared" ca="1" si="264"/>
        <v>0</v>
      </c>
      <c r="CC387" s="824">
        <f t="shared" ca="1" si="264"/>
        <v>0</v>
      </c>
      <c r="CD387" s="824">
        <f t="shared" ca="1" si="264"/>
        <v>0</v>
      </c>
      <c r="CE387" s="824">
        <f t="shared" ca="1" si="300"/>
        <v>0</v>
      </c>
      <c r="CF387" s="824">
        <f t="shared" ca="1" si="300"/>
        <v>0</v>
      </c>
      <c r="CG387" s="824">
        <f t="shared" ca="1" si="300"/>
        <v>0</v>
      </c>
      <c r="CH387" s="824">
        <f t="shared" ca="1" si="300"/>
        <v>0</v>
      </c>
      <c r="CI387" s="824">
        <f t="shared" ca="1" si="300"/>
        <v>0</v>
      </c>
      <c r="CJ387" s="824">
        <f t="shared" ca="1" si="300"/>
        <v>0</v>
      </c>
      <c r="CK387" s="824">
        <f t="shared" ca="1" si="300"/>
        <v>0</v>
      </c>
      <c r="CL387" s="824">
        <f t="shared" ca="1" si="300"/>
        <v>0</v>
      </c>
      <c r="CM387" s="824">
        <f t="shared" ca="1" si="300"/>
        <v>0</v>
      </c>
      <c r="CN387" s="824">
        <f t="shared" ca="1" si="300"/>
        <v>0</v>
      </c>
      <c r="CO387" s="824">
        <f t="shared" ca="1" si="300"/>
        <v>0</v>
      </c>
      <c r="CP387" s="824">
        <f t="shared" ca="1" si="300"/>
        <v>0</v>
      </c>
      <c r="CQ387" s="824">
        <f t="shared" ca="1" si="300"/>
        <v>0</v>
      </c>
      <c r="CR387" s="824">
        <f t="shared" ca="1" si="300"/>
        <v>0</v>
      </c>
      <c r="CS387" s="824">
        <f t="shared" ca="1" si="300"/>
        <v>0</v>
      </c>
      <c r="CT387" s="824">
        <f t="shared" ca="1" si="300"/>
        <v>0</v>
      </c>
      <c r="CU387" s="824">
        <f t="shared" ca="1" si="285"/>
        <v>0</v>
      </c>
      <c r="CV387" s="824">
        <f t="shared" ca="1" si="285"/>
        <v>0</v>
      </c>
      <c r="CW387" s="824">
        <f t="shared" ca="1" si="285"/>
        <v>0</v>
      </c>
      <c r="CX387" s="824">
        <f t="shared" ca="1" si="285"/>
        <v>0</v>
      </c>
      <c r="CY387" s="824">
        <f t="shared" ca="1" si="285"/>
        <v>0</v>
      </c>
      <c r="CZ387" s="824">
        <f t="shared" ca="1" si="285"/>
        <v>0</v>
      </c>
      <c r="DA387" s="824">
        <f t="shared" ca="1" si="286"/>
        <v>0</v>
      </c>
      <c r="DB387" s="824">
        <f t="shared" ca="1" si="286"/>
        <v>0</v>
      </c>
      <c r="DC387" s="824">
        <f t="shared" ca="1" si="286"/>
        <v>0</v>
      </c>
      <c r="DD387" s="824">
        <f t="shared" ca="1" si="286"/>
        <v>0</v>
      </c>
      <c r="DE387" s="824">
        <f t="shared" ca="1" si="286"/>
        <v>0</v>
      </c>
      <c r="DF387" s="824">
        <f t="shared" ca="1" si="286"/>
        <v>0</v>
      </c>
      <c r="DG387" s="824">
        <f t="shared" ca="1" si="286"/>
        <v>0</v>
      </c>
      <c r="DH387" s="824">
        <f t="shared" ca="1" si="286"/>
        <v>0</v>
      </c>
      <c r="DI387" s="824">
        <f t="shared" ca="1" si="286"/>
        <v>0</v>
      </c>
      <c r="DJ387" s="824">
        <f t="shared" ca="1" si="286"/>
        <v>0</v>
      </c>
      <c r="DK387" s="824">
        <f t="shared" ca="1" si="286"/>
        <v>0</v>
      </c>
      <c r="DL387" s="824">
        <f t="shared" ca="1" si="286"/>
        <v>0</v>
      </c>
    </row>
    <row r="388" spans="2:116" ht="12" thickBot="1" x14ac:dyDescent="0.3">
      <c r="B388" s="1673"/>
      <c r="C388" s="1680"/>
      <c r="D388" s="15" t="s">
        <v>128</v>
      </c>
      <c r="E388" s="165"/>
      <c r="F388" s="116">
        <f ca="1">SUBTOTAL(109,'3.2 I&amp;W'!$X$63)</f>
        <v>0</v>
      </c>
      <c r="G388" s="116">
        <f ca="1">SUBTOTAL(109,'3.2 I&amp;W'!$Y$63)</f>
        <v>0</v>
      </c>
      <c r="H388" s="116">
        <f ca="1">SUBTOTAL(109,'3.2 I&amp;W'!$AD$63)</f>
        <v>0</v>
      </c>
      <c r="I388" s="116">
        <f ca="1">SUBTOTAL(109,'3.2 I&amp;W'!$AE$63)</f>
        <v>0</v>
      </c>
      <c r="J388" s="116"/>
      <c r="K388" s="116"/>
      <c r="L388" s="116"/>
      <c r="M388" s="116">
        <f ca="1">SUBTOTAL(109,'3.2 I&amp;W'!$AI$63)</f>
        <v>0</v>
      </c>
      <c r="N388" s="156">
        <f t="shared" ca="1" si="262"/>
        <v>0</v>
      </c>
      <c r="O388" s="116">
        <f ca="1">SUBTOTAL(109,'3.2 I&amp;W'!$S$63)</f>
        <v>0</v>
      </c>
      <c r="P388" s="30">
        <f t="shared" ca="1" si="265"/>
        <v>0</v>
      </c>
      <c r="Q388" s="31">
        <f t="shared" ca="1" si="252"/>
        <v>0</v>
      </c>
      <c r="R388" s="31">
        <f t="shared" ca="1" si="253"/>
        <v>0</v>
      </c>
      <c r="S388" s="31">
        <f t="shared" ca="1" si="254"/>
        <v>0</v>
      </c>
      <c r="T388" s="32">
        <f t="shared" ca="1" si="255"/>
        <v>0</v>
      </c>
      <c r="U388" s="37">
        <f t="shared" ca="1" si="263"/>
        <v>0</v>
      </c>
      <c r="V388" s="40">
        <f t="shared" ca="1" si="256"/>
        <v>0</v>
      </c>
      <c r="W388" s="41">
        <f t="shared" ca="1" si="257"/>
        <v>0</v>
      </c>
      <c r="X388" s="43"/>
      <c r="Y388" s="46"/>
      <c r="Z388" s="126"/>
      <c r="AA388" s="136"/>
      <c r="AB388" s="83">
        <v>11</v>
      </c>
      <c r="AC388" s="84">
        <f ca="1">IF(AF387&lt;=1,0,'3.2 Fi&amp;Fo'!$I$25)</f>
        <v>52993.177039275775</v>
      </c>
      <c r="AD388" s="72">
        <f ca="1">IF(AF387&lt;=1,0,AF387*'3.2 Fi&amp;Fo'!$H$25)</f>
        <v>20692.199706466799</v>
      </c>
      <c r="AE388" s="78">
        <f t="shared" ca="1" si="266"/>
        <v>32300.977332808976</v>
      </c>
      <c r="AF388" s="85">
        <f t="shared" ca="1" si="267"/>
        <v>1002309.0079905309</v>
      </c>
      <c r="AG388" s="168">
        <f>IF(AJ387&lt;=1,0,IF(AB388&lt;='3.2 Fi&amp;Fo'!$F$34,'3.2 Fi&amp;Fo'!$J$34,IF(AB388&lt;='3.2 Fi&amp;Fo'!$F$35,'3.2 Fi&amp;Fo'!$J$35,IF(AB388&lt;='3.2 Fi&amp;Fo'!$F$36,'3.2 Fi&amp;Fo'!$J$36,IF(AB388&lt;='3.2 Fi&amp;Fo'!$F$37,'3.2 Fi&amp;Fo'!$J$37,IF(AB388&lt;='3.2 Fi&amp;Fo'!$F$38,'3.2 Fi&amp;Fo'!$J$38,IF(AB388&lt;='3.2 Fi&amp;Fo'!$F$39,'3.2 Fi&amp;Fo'!$J$39,IF(AB388&lt;='3.2 Fi&amp;Fo'!$F$40,'3.2 Fi&amp;Fo'!$J$40))))))))</f>
        <v>55126.136000000006</v>
      </c>
      <c r="AH388" s="207">
        <f>IF(AJ387&lt;=1,0,AJ387*IF(AB388&lt;='3.2 Fi&amp;Fo'!$F$34,'3.2 Fi&amp;Fo'!$I$34,IF(AB388&lt;='3.2 Fi&amp;Fo'!$F$35,'3.2 Fi&amp;Fo'!$I$35,IF(AB388&lt;='3.2 Fi&amp;Fo'!$F$36,'3.2 Fi&amp;Fo'!$I$36,IF(AB388&lt;='3.2 Fi&amp;Fo'!$F$39,'3.2 Fi&amp;Fo'!$I$39,IF(AB388&lt;='3.2 Fi&amp;Fo'!$F$40,'3.2 Fi&amp;Fo'!$I$40))))))</f>
        <v>55109.4800288353</v>
      </c>
      <c r="AI388" s="210">
        <f t="shared" si="268"/>
        <v>16.655971164705988</v>
      </c>
      <c r="AJ388" s="209">
        <f t="shared" si="269"/>
        <v>1574539.9162812722</v>
      </c>
      <c r="AK388" s="312">
        <f t="shared" ca="1" si="270"/>
        <v>-135293.95659420543</v>
      </c>
      <c r="AL388" s="169">
        <f>IF(AB388&lt;='3.2 Fi&amp;Fo'!$J$15,'3.2 Fi&amp;Fo'!$I$15,0)</f>
        <v>0</v>
      </c>
      <c r="AM388" s="169">
        <f t="shared" si="282"/>
        <v>27174.643554929644</v>
      </c>
      <c r="AN388" s="838">
        <f t="shared" si="287"/>
        <v>11</v>
      </c>
      <c r="AO388" s="844">
        <f t="shared" ca="1" si="271"/>
        <v>135293.95659420543</v>
      </c>
      <c r="AP388" s="839">
        <f ca="1">BY482</f>
        <v>0</v>
      </c>
      <c r="AQ388" s="844">
        <f t="shared" si="272"/>
        <v>0</v>
      </c>
      <c r="AR388" s="839">
        <f t="shared" ca="1" si="288"/>
        <v>0</v>
      </c>
      <c r="AS388" s="839">
        <f t="shared" ca="1" si="283"/>
        <v>7456.7781590349005</v>
      </c>
      <c r="AT388" s="839">
        <f t="shared" ca="1" si="284"/>
        <v>15371.313328967935</v>
      </c>
      <c r="AU388" s="839">
        <f ca="1">'PV-Einspeisung'!AA93*-1</f>
        <v>0</v>
      </c>
      <c r="AV388" s="839">
        <f ca="1">'PV-Einspeisung'!AE93*-1</f>
        <v>0</v>
      </c>
      <c r="AW388" s="839"/>
      <c r="AX388" s="839">
        <f t="shared" ca="1" si="289"/>
        <v>0</v>
      </c>
      <c r="AY388" s="841">
        <f t="shared" si="273"/>
        <v>11</v>
      </c>
      <c r="AZ388" s="842">
        <f t="shared" ca="1" si="290"/>
        <v>0</v>
      </c>
      <c r="BA388" s="842">
        <f t="shared" ca="1" si="291"/>
        <v>0</v>
      </c>
      <c r="BB388" s="842">
        <f t="shared" ca="1" si="292"/>
        <v>0</v>
      </c>
      <c r="BC388" s="842">
        <f t="shared" ca="1" si="293"/>
        <v>0</v>
      </c>
      <c r="BD388" s="842">
        <f t="shared" ca="1" si="294"/>
        <v>0</v>
      </c>
      <c r="BE388" s="842">
        <f t="shared" ca="1" si="295"/>
        <v>0</v>
      </c>
      <c r="BF388" s="842">
        <f t="shared" ca="1" si="296"/>
        <v>7790.5586116863806</v>
      </c>
      <c r="BG388" s="842">
        <f t="shared" ca="1" si="297"/>
        <v>7580.7547172815557</v>
      </c>
      <c r="BH388" s="858">
        <f t="shared" si="281"/>
        <v>11</v>
      </c>
      <c r="BI388" s="857">
        <f t="shared" ca="1" si="298"/>
        <v>3511.8573590890355</v>
      </c>
      <c r="BJ388" s="857">
        <f t="shared" ca="1" si="299"/>
        <v>3944.9207999458649</v>
      </c>
      <c r="BK388" s="859">
        <f ca="1">'PV-Einspeisung'!AB93*-1</f>
        <v>0</v>
      </c>
      <c r="BL388" s="824">
        <f t="shared" ca="1" si="258"/>
        <v>0</v>
      </c>
      <c r="BM388" s="824">
        <f t="shared" ca="1" si="259"/>
        <v>0</v>
      </c>
      <c r="BN388" s="824">
        <f t="shared" ca="1" si="260"/>
        <v>0</v>
      </c>
      <c r="BO388" s="824">
        <f t="shared" ca="1" si="264"/>
        <v>0</v>
      </c>
      <c r="BP388" s="824">
        <f t="shared" ca="1" si="264"/>
        <v>0</v>
      </c>
      <c r="BQ388" s="824">
        <f t="shared" ca="1" si="264"/>
        <v>0</v>
      </c>
      <c r="BR388" s="824">
        <f t="shared" ca="1" si="264"/>
        <v>0</v>
      </c>
      <c r="BS388" s="824">
        <f t="shared" ca="1" si="264"/>
        <v>0</v>
      </c>
      <c r="BT388" s="824">
        <f t="shared" ca="1" si="264"/>
        <v>0</v>
      </c>
      <c r="BU388" s="824">
        <f t="shared" ca="1" si="264"/>
        <v>0</v>
      </c>
      <c r="BV388" s="824">
        <f t="shared" ca="1" si="264"/>
        <v>0</v>
      </c>
      <c r="BW388" s="824">
        <f t="shared" ca="1" si="264"/>
        <v>0</v>
      </c>
      <c r="BX388" s="824">
        <f t="shared" ca="1" si="264"/>
        <v>0</v>
      </c>
      <c r="BY388" s="824">
        <f t="shared" ca="1" si="264"/>
        <v>0</v>
      </c>
      <c r="BZ388" s="824">
        <f t="shared" ca="1" si="264"/>
        <v>0</v>
      </c>
      <c r="CA388" s="824">
        <f t="shared" ca="1" si="264"/>
        <v>0</v>
      </c>
      <c r="CB388" s="824">
        <f t="shared" ca="1" si="264"/>
        <v>0</v>
      </c>
      <c r="CC388" s="824">
        <f t="shared" ca="1" si="264"/>
        <v>0</v>
      </c>
      <c r="CD388" s="824">
        <f t="shared" ca="1" si="264"/>
        <v>0</v>
      </c>
      <c r="CE388" s="824">
        <f t="shared" ca="1" si="300"/>
        <v>0</v>
      </c>
      <c r="CF388" s="824">
        <f t="shared" ca="1" si="300"/>
        <v>0</v>
      </c>
      <c r="CG388" s="824">
        <f t="shared" ca="1" si="300"/>
        <v>0</v>
      </c>
      <c r="CH388" s="824">
        <f t="shared" ca="1" si="300"/>
        <v>0</v>
      </c>
      <c r="CI388" s="824">
        <f t="shared" ca="1" si="300"/>
        <v>0</v>
      </c>
      <c r="CJ388" s="824">
        <f t="shared" ca="1" si="300"/>
        <v>0</v>
      </c>
      <c r="CK388" s="824">
        <f t="shared" ca="1" si="300"/>
        <v>0</v>
      </c>
      <c r="CL388" s="824">
        <f t="shared" ca="1" si="300"/>
        <v>0</v>
      </c>
      <c r="CM388" s="824">
        <f t="shared" ca="1" si="300"/>
        <v>0</v>
      </c>
      <c r="CN388" s="824">
        <f t="shared" ca="1" si="300"/>
        <v>0</v>
      </c>
      <c r="CO388" s="824">
        <f t="shared" ca="1" si="300"/>
        <v>0</v>
      </c>
      <c r="CP388" s="824">
        <f t="shared" ca="1" si="300"/>
        <v>0</v>
      </c>
      <c r="CQ388" s="824">
        <f t="shared" ca="1" si="300"/>
        <v>0</v>
      </c>
      <c r="CR388" s="824">
        <f t="shared" ca="1" si="300"/>
        <v>0</v>
      </c>
      <c r="CS388" s="824">
        <f t="shared" ca="1" si="300"/>
        <v>0</v>
      </c>
      <c r="CT388" s="824">
        <f t="shared" ca="1" si="300"/>
        <v>0</v>
      </c>
      <c r="CU388" s="824">
        <f t="shared" ca="1" si="285"/>
        <v>0</v>
      </c>
      <c r="CV388" s="824">
        <f t="shared" ca="1" si="285"/>
        <v>0</v>
      </c>
      <c r="CW388" s="824">
        <f t="shared" ca="1" si="285"/>
        <v>0</v>
      </c>
      <c r="CX388" s="824">
        <f t="shared" ca="1" si="285"/>
        <v>0</v>
      </c>
      <c r="CY388" s="824">
        <f t="shared" ca="1" si="285"/>
        <v>0</v>
      </c>
      <c r="CZ388" s="824">
        <f t="shared" ca="1" si="285"/>
        <v>0</v>
      </c>
      <c r="DA388" s="824">
        <f t="shared" ca="1" si="286"/>
        <v>0</v>
      </c>
      <c r="DB388" s="824">
        <f t="shared" ca="1" si="286"/>
        <v>0</v>
      </c>
      <c r="DC388" s="824">
        <f t="shared" ca="1" si="286"/>
        <v>0</v>
      </c>
      <c r="DD388" s="824">
        <f t="shared" ca="1" si="286"/>
        <v>0</v>
      </c>
      <c r="DE388" s="824">
        <f t="shared" ca="1" si="286"/>
        <v>0</v>
      </c>
      <c r="DF388" s="824">
        <f t="shared" ca="1" si="286"/>
        <v>0</v>
      </c>
      <c r="DG388" s="824">
        <f t="shared" ca="1" si="286"/>
        <v>0</v>
      </c>
      <c r="DH388" s="824">
        <f t="shared" ca="1" si="286"/>
        <v>0</v>
      </c>
      <c r="DI388" s="824">
        <f t="shared" ca="1" si="286"/>
        <v>0</v>
      </c>
      <c r="DJ388" s="824">
        <f t="shared" ca="1" si="286"/>
        <v>0</v>
      </c>
      <c r="DK388" s="824">
        <f t="shared" ca="1" si="286"/>
        <v>0</v>
      </c>
      <c r="DL388" s="824">
        <f t="shared" ca="1" si="286"/>
        <v>0</v>
      </c>
    </row>
    <row r="389" spans="2:116" ht="12" thickBot="1" x14ac:dyDescent="0.3">
      <c r="B389" s="1673"/>
      <c r="C389" s="1680"/>
      <c r="D389" s="15" t="s">
        <v>132</v>
      </c>
      <c r="E389" s="116"/>
      <c r="F389" s="116">
        <f ca="1">SUBTOTAL(109,'3.2 I&amp;W'!$X$66)</f>
        <v>0</v>
      </c>
      <c r="G389" s="116">
        <f ca="1">SUBTOTAL(109,'3.2 I&amp;W'!$Y$66)</f>
        <v>0</v>
      </c>
      <c r="H389" s="116">
        <f ca="1">SUBTOTAL(109,'3.2 I&amp;W'!$AD$66)</f>
        <v>0</v>
      </c>
      <c r="I389" s="116">
        <f ca="1">SUBTOTAL(109,'3.2 I&amp;W'!$AE$66)</f>
        <v>0</v>
      </c>
      <c r="J389" s="116"/>
      <c r="K389" s="116"/>
      <c r="L389" s="116"/>
      <c r="M389" s="116">
        <f ca="1">SUBTOTAL(109,'3.2 I&amp;W'!$AI$66)</f>
        <v>0</v>
      </c>
      <c r="N389" s="156">
        <f t="shared" ca="1" si="262"/>
        <v>0</v>
      </c>
      <c r="O389" s="116">
        <f ca="1">SUBTOTAL(109,'3.2 I&amp;W'!$S$66)</f>
        <v>0</v>
      </c>
      <c r="P389" s="30">
        <f t="shared" ca="1" si="265"/>
        <v>0</v>
      </c>
      <c r="Q389" s="31">
        <f t="shared" ca="1" si="252"/>
        <v>0</v>
      </c>
      <c r="R389" s="31">
        <f t="shared" ca="1" si="253"/>
        <v>0</v>
      </c>
      <c r="S389" s="31">
        <f t="shared" ca="1" si="254"/>
        <v>0</v>
      </c>
      <c r="T389" s="32">
        <f t="shared" ca="1" si="255"/>
        <v>0</v>
      </c>
      <c r="U389" s="37">
        <f t="shared" ca="1" si="263"/>
        <v>0</v>
      </c>
      <c r="V389" s="40">
        <f t="shared" ca="1" si="256"/>
        <v>0</v>
      </c>
      <c r="W389" s="41">
        <f t="shared" ca="1" si="257"/>
        <v>0</v>
      </c>
      <c r="X389" s="43"/>
      <c r="Y389" s="46"/>
      <c r="Z389" s="126"/>
      <c r="AA389" s="136"/>
      <c r="AB389" s="83">
        <v>12</v>
      </c>
      <c r="AC389" s="84">
        <f ca="1">IF(AF388&lt;=1,0,'3.2 Fi&amp;Fo'!$I$25)</f>
        <v>52993.177039275775</v>
      </c>
      <c r="AD389" s="72">
        <f ca="1">IF(AF388&lt;=1,0,AF388*'3.2 Fi&amp;Fo'!$H$25)</f>
        <v>20046.180159810618</v>
      </c>
      <c r="AE389" s="78">
        <f t="shared" ca="1" si="266"/>
        <v>32946.996879465158</v>
      </c>
      <c r="AF389" s="85">
        <f t="shared" ca="1" si="267"/>
        <v>969362.01111106575</v>
      </c>
      <c r="AG389" s="168">
        <f>IF(AJ388&lt;=1,0,IF(AB389&lt;='3.2 Fi&amp;Fo'!$F$34,'3.2 Fi&amp;Fo'!$J$34,IF(AB389&lt;='3.2 Fi&amp;Fo'!$F$35,'3.2 Fi&amp;Fo'!$J$35,IF(AB389&lt;='3.2 Fi&amp;Fo'!$F$36,'3.2 Fi&amp;Fo'!$J$36,IF(AB389&lt;='3.2 Fi&amp;Fo'!$F$37,'3.2 Fi&amp;Fo'!$J$37,IF(AB389&lt;='3.2 Fi&amp;Fo'!$F$38,'3.2 Fi&amp;Fo'!$J$38,IF(AB389&lt;='3.2 Fi&amp;Fo'!$F$39,'3.2 Fi&amp;Fo'!$J$39,IF(AB389&lt;='3.2 Fi&amp;Fo'!$F$40,'3.2 Fi&amp;Fo'!$J$40))))))))</f>
        <v>55126.136000000006</v>
      </c>
      <c r="AH389" s="207">
        <f>IF(AJ388&lt;=1,0,AJ388*IF(AB389&lt;='3.2 Fi&amp;Fo'!$F$34,'3.2 Fi&amp;Fo'!$I$34,IF(AB389&lt;='3.2 Fi&amp;Fo'!$F$35,'3.2 Fi&amp;Fo'!$I$35,IF(AB389&lt;='3.2 Fi&amp;Fo'!$F$36,'3.2 Fi&amp;Fo'!$I$36,IF(AB389&lt;='3.2 Fi&amp;Fo'!$F$39,'3.2 Fi&amp;Fo'!$I$39,IF(AB389&lt;='3.2 Fi&amp;Fo'!$F$40,'3.2 Fi&amp;Fo'!$I$40))))))</f>
        <v>55108.897069844534</v>
      </c>
      <c r="AI389" s="210">
        <f t="shared" si="268"/>
        <v>17.23893015547219</v>
      </c>
      <c r="AJ389" s="209">
        <f t="shared" si="269"/>
        <v>1574522.6773511167</v>
      </c>
      <c r="AK389" s="312">
        <f t="shared" ca="1" si="270"/>
        <v>-135837.44946530435</v>
      </c>
      <c r="AL389" s="169">
        <f>IF(AB389&lt;='3.2 Fi&amp;Fo'!$J$15,'3.2 Fi&amp;Fo'!$I$15,0)</f>
        <v>0</v>
      </c>
      <c r="AM389" s="169">
        <f t="shared" si="282"/>
        <v>27718.136426028563</v>
      </c>
      <c r="AN389" s="838">
        <f t="shared" si="287"/>
        <v>12</v>
      </c>
      <c r="AO389" s="844">
        <f t="shared" ca="1" si="271"/>
        <v>135837.44946530435</v>
      </c>
      <c r="AP389" s="839">
        <f ca="1">BZ482</f>
        <v>0</v>
      </c>
      <c r="AQ389" s="844">
        <f t="shared" si="272"/>
        <v>0</v>
      </c>
      <c r="AR389" s="839">
        <f t="shared" ca="1" si="288"/>
        <v>0</v>
      </c>
      <c r="AS389" s="839">
        <f t="shared" ca="1" si="283"/>
        <v>7576.086609579459</v>
      </c>
      <c r="AT389" s="839">
        <f t="shared" ca="1" si="284"/>
        <v>15831.403709364949</v>
      </c>
      <c r="AU389" s="839">
        <f ca="1">'PV-Einspeisung'!AA94*-1</f>
        <v>0</v>
      </c>
      <c r="AV389" s="839">
        <f ca="1">'PV-Einspeisung'!AE94*-1</f>
        <v>0</v>
      </c>
      <c r="AW389" s="839"/>
      <c r="AX389" s="839">
        <f t="shared" ca="1" si="289"/>
        <v>0</v>
      </c>
      <c r="AY389" s="841">
        <f t="shared" si="273"/>
        <v>12</v>
      </c>
      <c r="AZ389" s="842">
        <f t="shared" ca="1" si="290"/>
        <v>0</v>
      </c>
      <c r="BA389" s="842">
        <f t="shared" ca="1" si="291"/>
        <v>0</v>
      </c>
      <c r="BB389" s="842">
        <f t="shared" ca="1" si="292"/>
        <v>0</v>
      </c>
      <c r="BC389" s="842">
        <f t="shared" ca="1" si="293"/>
        <v>0</v>
      </c>
      <c r="BD389" s="842">
        <f t="shared" ca="1" si="294"/>
        <v>0</v>
      </c>
      <c r="BE389" s="842">
        <f t="shared" ca="1" si="295"/>
        <v>0</v>
      </c>
      <c r="BF389" s="842">
        <f t="shared" ca="1" si="296"/>
        <v>7985.3225769785395</v>
      </c>
      <c r="BG389" s="842">
        <f t="shared" ca="1" si="297"/>
        <v>7846.08113238641</v>
      </c>
      <c r="BH389" s="858">
        <f t="shared" si="281"/>
        <v>12</v>
      </c>
      <c r="BI389" s="857">
        <f t="shared" ca="1" si="298"/>
        <v>3568.0470768344603</v>
      </c>
      <c r="BJ389" s="857">
        <f t="shared" ca="1" si="299"/>
        <v>4008.0395327449987</v>
      </c>
      <c r="BK389" s="859">
        <f ca="1">'PV-Einspeisung'!AB94*-1</f>
        <v>0</v>
      </c>
      <c r="BL389" s="824">
        <f t="shared" ca="1" si="258"/>
        <v>0</v>
      </c>
      <c r="BM389" s="824">
        <f t="shared" ca="1" si="259"/>
        <v>0</v>
      </c>
      <c r="BN389" s="824">
        <f t="shared" ca="1" si="260"/>
        <v>0</v>
      </c>
      <c r="BO389" s="824">
        <f t="shared" ca="1" si="264"/>
        <v>0</v>
      </c>
      <c r="BP389" s="824">
        <f t="shared" ca="1" si="264"/>
        <v>0</v>
      </c>
      <c r="BQ389" s="824">
        <f t="shared" ca="1" si="264"/>
        <v>0</v>
      </c>
      <c r="BR389" s="824">
        <f t="shared" ca="1" si="264"/>
        <v>0</v>
      </c>
      <c r="BS389" s="824">
        <f t="shared" ca="1" si="264"/>
        <v>0</v>
      </c>
      <c r="BT389" s="824">
        <f t="shared" ca="1" si="264"/>
        <v>0</v>
      </c>
      <c r="BU389" s="824">
        <f t="shared" ca="1" si="264"/>
        <v>0</v>
      </c>
      <c r="BV389" s="824">
        <f t="shared" ca="1" si="264"/>
        <v>0</v>
      </c>
      <c r="BW389" s="824">
        <f t="shared" ca="1" si="264"/>
        <v>0</v>
      </c>
      <c r="BX389" s="824">
        <f t="shared" ca="1" si="264"/>
        <v>0</v>
      </c>
      <c r="BY389" s="824">
        <f t="shared" ca="1" si="264"/>
        <v>0</v>
      </c>
      <c r="BZ389" s="824">
        <f t="shared" ca="1" si="264"/>
        <v>0</v>
      </c>
      <c r="CA389" s="824">
        <f t="shared" ca="1" si="264"/>
        <v>0</v>
      </c>
      <c r="CB389" s="824">
        <f t="shared" ca="1" si="264"/>
        <v>0</v>
      </c>
      <c r="CC389" s="824">
        <f t="shared" ca="1" si="264"/>
        <v>0</v>
      </c>
      <c r="CD389" s="824">
        <f t="shared" ca="1" si="264"/>
        <v>0</v>
      </c>
      <c r="CE389" s="824">
        <f t="shared" ca="1" si="300"/>
        <v>0</v>
      </c>
      <c r="CF389" s="824">
        <f t="shared" ca="1" si="300"/>
        <v>0</v>
      </c>
      <c r="CG389" s="824">
        <f t="shared" ca="1" si="300"/>
        <v>0</v>
      </c>
      <c r="CH389" s="824">
        <f t="shared" ca="1" si="300"/>
        <v>0</v>
      </c>
      <c r="CI389" s="824">
        <f t="shared" ca="1" si="300"/>
        <v>0</v>
      </c>
      <c r="CJ389" s="824">
        <f t="shared" ca="1" si="300"/>
        <v>0</v>
      </c>
      <c r="CK389" s="824">
        <f t="shared" ca="1" si="300"/>
        <v>0</v>
      </c>
      <c r="CL389" s="824">
        <f t="shared" ca="1" si="300"/>
        <v>0</v>
      </c>
      <c r="CM389" s="824">
        <f t="shared" ca="1" si="300"/>
        <v>0</v>
      </c>
      <c r="CN389" s="824">
        <f t="shared" ca="1" si="300"/>
        <v>0</v>
      </c>
      <c r="CO389" s="824">
        <f t="shared" ca="1" si="300"/>
        <v>0</v>
      </c>
      <c r="CP389" s="824">
        <f t="shared" ca="1" si="300"/>
        <v>0</v>
      </c>
      <c r="CQ389" s="824">
        <f t="shared" ca="1" si="300"/>
        <v>0</v>
      </c>
      <c r="CR389" s="824">
        <f t="shared" ca="1" si="300"/>
        <v>0</v>
      </c>
      <c r="CS389" s="824">
        <f t="shared" ca="1" si="300"/>
        <v>0</v>
      </c>
      <c r="CT389" s="824">
        <f t="shared" ca="1" si="300"/>
        <v>0</v>
      </c>
      <c r="CU389" s="824">
        <f t="shared" ca="1" si="285"/>
        <v>0</v>
      </c>
      <c r="CV389" s="824">
        <f t="shared" ca="1" si="285"/>
        <v>0</v>
      </c>
      <c r="CW389" s="824">
        <f t="shared" ca="1" si="285"/>
        <v>0</v>
      </c>
      <c r="CX389" s="824">
        <f t="shared" ca="1" si="285"/>
        <v>0</v>
      </c>
      <c r="CY389" s="824">
        <f t="shared" ca="1" si="285"/>
        <v>0</v>
      </c>
      <c r="CZ389" s="824">
        <f t="shared" ca="1" si="285"/>
        <v>0</v>
      </c>
      <c r="DA389" s="824">
        <f t="shared" ca="1" si="286"/>
        <v>0</v>
      </c>
      <c r="DB389" s="824">
        <f t="shared" ca="1" si="286"/>
        <v>0</v>
      </c>
      <c r="DC389" s="824">
        <f t="shared" ca="1" si="286"/>
        <v>0</v>
      </c>
      <c r="DD389" s="824">
        <f t="shared" ca="1" si="286"/>
        <v>0</v>
      </c>
      <c r="DE389" s="824">
        <f t="shared" ca="1" si="286"/>
        <v>0</v>
      </c>
      <c r="DF389" s="824">
        <f t="shared" ca="1" si="286"/>
        <v>0</v>
      </c>
      <c r="DG389" s="824">
        <f t="shared" ca="1" si="286"/>
        <v>0</v>
      </c>
      <c r="DH389" s="824">
        <f t="shared" ca="1" si="286"/>
        <v>0</v>
      </c>
      <c r="DI389" s="824">
        <f t="shared" ca="1" si="286"/>
        <v>0</v>
      </c>
      <c r="DJ389" s="824">
        <f t="shared" ca="1" si="286"/>
        <v>0</v>
      </c>
      <c r="DK389" s="824">
        <f t="shared" ca="1" si="286"/>
        <v>0</v>
      </c>
      <c r="DL389" s="824">
        <f t="shared" ca="1" si="286"/>
        <v>0</v>
      </c>
    </row>
    <row r="390" spans="2:116" ht="12" thickBot="1" x14ac:dyDescent="0.3">
      <c r="B390" s="1673"/>
      <c r="C390" s="1680"/>
      <c r="D390" s="15" t="s">
        <v>132</v>
      </c>
      <c r="E390" s="165"/>
      <c r="F390" s="116">
        <f ca="1">SUBTOTAL(109,'3.2 I&amp;W'!$X$67)</f>
        <v>0</v>
      </c>
      <c r="G390" s="116">
        <f ca="1">SUBTOTAL(109,'3.2 I&amp;W'!$Y$67)</f>
        <v>0</v>
      </c>
      <c r="H390" s="116">
        <f ca="1">SUBTOTAL(109,'3.2 I&amp;W'!$AD$67)</f>
        <v>0</v>
      </c>
      <c r="I390" s="116">
        <f ca="1">SUBTOTAL(109,'3.2 I&amp;W'!$AE$67)</f>
        <v>0</v>
      </c>
      <c r="J390" s="116"/>
      <c r="K390" s="116"/>
      <c r="L390" s="116"/>
      <c r="M390" s="116">
        <f ca="1">SUBTOTAL(109,'3.2 I&amp;W'!$AI$67)</f>
        <v>0</v>
      </c>
      <c r="N390" s="156">
        <f t="shared" ca="1" si="262"/>
        <v>0</v>
      </c>
      <c r="O390" s="116">
        <f ca="1">SUBTOTAL(109,'3.2 I&amp;W'!$S$67)</f>
        <v>0</v>
      </c>
      <c r="P390" s="30">
        <f t="shared" ca="1" si="265"/>
        <v>0</v>
      </c>
      <c r="Q390" s="31">
        <f t="shared" ca="1" si="252"/>
        <v>0</v>
      </c>
      <c r="R390" s="31">
        <f t="shared" ca="1" si="253"/>
        <v>0</v>
      </c>
      <c r="S390" s="31">
        <f t="shared" ca="1" si="254"/>
        <v>0</v>
      </c>
      <c r="T390" s="32">
        <f t="shared" ca="1" si="255"/>
        <v>0</v>
      </c>
      <c r="U390" s="37">
        <f t="shared" ca="1" si="263"/>
        <v>0</v>
      </c>
      <c r="V390" s="40">
        <f t="shared" ca="1" si="256"/>
        <v>0</v>
      </c>
      <c r="W390" s="41">
        <f t="shared" ca="1" si="257"/>
        <v>0</v>
      </c>
      <c r="X390" s="43"/>
      <c r="Y390" s="46"/>
      <c r="Z390" s="126"/>
      <c r="AA390" s="136"/>
      <c r="AB390" s="83">
        <v>13</v>
      </c>
      <c r="AC390" s="84">
        <f ca="1">IF(AF389&lt;=1,0,'3.2 Fi&amp;Fo'!$I$25)</f>
        <v>52993.177039275775</v>
      </c>
      <c r="AD390" s="72">
        <f ca="1">IF(AF389&lt;=1,0,AF389*'3.2 Fi&amp;Fo'!$H$25)</f>
        <v>19387.240222221317</v>
      </c>
      <c r="AE390" s="78">
        <f t="shared" ca="1" si="266"/>
        <v>33605.936817054462</v>
      </c>
      <c r="AF390" s="85">
        <f t="shared" ca="1" si="267"/>
        <v>935756.07429401134</v>
      </c>
      <c r="AG390" s="168">
        <f>IF(AJ389&lt;=1,0,IF(AB390&lt;='3.2 Fi&amp;Fo'!$F$34,'3.2 Fi&amp;Fo'!$J$34,IF(AB390&lt;='3.2 Fi&amp;Fo'!$F$35,'3.2 Fi&amp;Fo'!$J$35,IF(AB390&lt;='3.2 Fi&amp;Fo'!$F$36,'3.2 Fi&amp;Fo'!$J$36,IF(AB390&lt;='3.2 Fi&amp;Fo'!$F$37,'3.2 Fi&amp;Fo'!$J$37,IF(AB390&lt;='3.2 Fi&amp;Fo'!$F$38,'3.2 Fi&amp;Fo'!$J$38,IF(AB390&lt;='3.2 Fi&amp;Fo'!$F$39,'3.2 Fi&amp;Fo'!$J$39,IF(AB390&lt;='3.2 Fi&amp;Fo'!$F$40,'3.2 Fi&amp;Fo'!$J$40))))))))</f>
        <v>55126.136000000006</v>
      </c>
      <c r="AH390" s="207">
        <f>IF(AJ389&lt;=1,0,AJ389*IF(AB390&lt;='3.2 Fi&amp;Fo'!$F$34,'3.2 Fi&amp;Fo'!$I$34,IF(AB390&lt;='3.2 Fi&amp;Fo'!$F$35,'3.2 Fi&amp;Fo'!$I$35,IF(AB390&lt;='3.2 Fi&amp;Fo'!$F$36,'3.2 Fi&amp;Fo'!$I$36,IF(AB390&lt;='3.2 Fi&amp;Fo'!$F$39,'3.2 Fi&amp;Fo'!$I$39,IF(AB390&lt;='3.2 Fi&amp;Fo'!$F$40,'3.2 Fi&amp;Fo'!$I$40))))))</f>
        <v>55108.293707289085</v>
      </c>
      <c r="AI390" s="210">
        <f t="shared" si="268"/>
        <v>17.842292710920447</v>
      </c>
      <c r="AJ390" s="209">
        <f t="shared" si="269"/>
        <v>1574504.8350584058</v>
      </c>
      <c r="AK390" s="312">
        <f t="shared" ca="1" si="270"/>
        <v>-136391.81219382465</v>
      </c>
      <c r="AL390" s="169">
        <f>IF(AB390&lt;='3.2 Fi&amp;Fo'!$J$15,'3.2 Fi&amp;Fo'!$I$15,0)</f>
        <v>0</v>
      </c>
      <c r="AM390" s="169">
        <f t="shared" si="282"/>
        <v>28272.499154548859</v>
      </c>
      <c r="AN390" s="838">
        <f t="shared" si="287"/>
        <v>13</v>
      </c>
      <c r="AO390" s="844">
        <f t="shared" ca="1" si="271"/>
        <v>136391.81219382465</v>
      </c>
      <c r="AP390" s="839">
        <f ca="1">CA482</f>
        <v>0</v>
      </c>
      <c r="AQ390" s="844">
        <f t="shared" si="272"/>
        <v>0</v>
      </c>
      <c r="AR390" s="839">
        <f t="shared" ca="1" si="288"/>
        <v>0</v>
      </c>
      <c r="AS390" s="839">
        <f t="shared" ca="1" si="283"/>
        <v>7697.3039953327307</v>
      </c>
      <c r="AT390" s="839">
        <f t="shared" ca="1" si="284"/>
        <v>16305.649613422935</v>
      </c>
      <c r="AU390" s="839">
        <f ca="1">'PV-Einspeisung'!AA95*-1</f>
        <v>0</v>
      </c>
      <c r="AV390" s="839">
        <f ca="1">'PV-Einspeisung'!AE95*-1</f>
        <v>0</v>
      </c>
      <c r="AW390" s="839"/>
      <c r="AX390" s="839">
        <f t="shared" ca="1" si="289"/>
        <v>0</v>
      </c>
      <c r="AY390" s="841">
        <f t="shared" si="273"/>
        <v>13</v>
      </c>
      <c r="AZ390" s="842">
        <f t="shared" ca="1" si="290"/>
        <v>0</v>
      </c>
      <c r="BA390" s="842">
        <f t="shared" ca="1" si="291"/>
        <v>0</v>
      </c>
      <c r="BB390" s="842">
        <f t="shared" ca="1" si="292"/>
        <v>0</v>
      </c>
      <c r="BC390" s="842">
        <f t="shared" ca="1" si="293"/>
        <v>0</v>
      </c>
      <c r="BD390" s="842">
        <f t="shared" ca="1" si="294"/>
        <v>0</v>
      </c>
      <c r="BE390" s="842">
        <f t="shared" ca="1" si="295"/>
        <v>0</v>
      </c>
      <c r="BF390" s="842">
        <f t="shared" ca="1" si="296"/>
        <v>8184.9556414030021</v>
      </c>
      <c r="BG390" s="842">
        <f t="shared" ca="1" si="297"/>
        <v>8120.6939720199334</v>
      </c>
      <c r="BH390" s="858">
        <f t="shared" si="281"/>
        <v>13</v>
      </c>
      <c r="BI390" s="857">
        <f t="shared" ca="1" si="298"/>
        <v>3625.1358300638117</v>
      </c>
      <c r="BJ390" s="857">
        <f t="shared" ca="1" si="299"/>
        <v>4072.168165268919</v>
      </c>
      <c r="BK390" s="859">
        <f ca="1">'PV-Einspeisung'!AB95*-1</f>
        <v>0</v>
      </c>
      <c r="BL390" s="824">
        <f t="shared" ca="1" si="258"/>
        <v>0</v>
      </c>
      <c r="BM390" s="824">
        <f t="shared" ca="1" si="259"/>
        <v>0</v>
      </c>
      <c r="BN390" s="824">
        <f t="shared" ca="1" si="260"/>
        <v>0</v>
      </c>
      <c r="BO390" s="824">
        <f t="shared" ca="1" si="264"/>
        <v>0</v>
      </c>
      <c r="BP390" s="824">
        <f t="shared" ca="1" si="264"/>
        <v>0</v>
      </c>
      <c r="BQ390" s="824">
        <f t="shared" ca="1" si="264"/>
        <v>0</v>
      </c>
      <c r="BR390" s="824">
        <f t="shared" ca="1" si="264"/>
        <v>0</v>
      </c>
      <c r="BS390" s="824">
        <f t="shared" ca="1" si="264"/>
        <v>0</v>
      </c>
      <c r="BT390" s="824">
        <f t="shared" ca="1" si="264"/>
        <v>0</v>
      </c>
      <c r="BU390" s="824">
        <f t="shared" ca="1" si="264"/>
        <v>0</v>
      </c>
      <c r="BV390" s="824">
        <f t="shared" ca="1" si="264"/>
        <v>0</v>
      </c>
      <c r="BW390" s="824">
        <f t="shared" ca="1" si="264"/>
        <v>0</v>
      </c>
      <c r="BX390" s="824">
        <f t="shared" ca="1" si="264"/>
        <v>0</v>
      </c>
      <c r="BY390" s="824">
        <f t="shared" ca="1" si="264"/>
        <v>0</v>
      </c>
      <c r="BZ390" s="824">
        <f t="shared" ca="1" si="264"/>
        <v>0</v>
      </c>
      <c r="CA390" s="824">
        <f t="shared" ca="1" si="264"/>
        <v>0</v>
      </c>
      <c r="CB390" s="824">
        <f t="shared" ca="1" si="264"/>
        <v>0</v>
      </c>
      <c r="CC390" s="824">
        <f t="shared" ca="1" si="264"/>
        <v>0</v>
      </c>
      <c r="CD390" s="824">
        <f t="shared" ca="1" si="264"/>
        <v>0</v>
      </c>
      <c r="CE390" s="824">
        <f t="shared" ca="1" si="300"/>
        <v>0</v>
      </c>
      <c r="CF390" s="824">
        <f t="shared" ca="1" si="300"/>
        <v>0</v>
      </c>
      <c r="CG390" s="824">
        <f t="shared" ca="1" si="300"/>
        <v>0</v>
      </c>
      <c r="CH390" s="824">
        <f t="shared" ca="1" si="300"/>
        <v>0</v>
      </c>
      <c r="CI390" s="824">
        <f t="shared" ca="1" si="300"/>
        <v>0</v>
      </c>
      <c r="CJ390" s="824">
        <f t="shared" ca="1" si="300"/>
        <v>0</v>
      </c>
      <c r="CK390" s="824">
        <f t="shared" ca="1" si="300"/>
        <v>0</v>
      </c>
      <c r="CL390" s="824">
        <f t="shared" ca="1" si="300"/>
        <v>0</v>
      </c>
      <c r="CM390" s="824">
        <f t="shared" ca="1" si="300"/>
        <v>0</v>
      </c>
      <c r="CN390" s="824">
        <f t="shared" ca="1" si="300"/>
        <v>0</v>
      </c>
      <c r="CO390" s="824">
        <f t="shared" ca="1" si="300"/>
        <v>0</v>
      </c>
      <c r="CP390" s="824">
        <f t="shared" ca="1" si="300"/>
        <v>0</v>
      </c>
      <c r="CQ390" s="824">
        <f t="shared" ca="1" si="300"/>
        <v>0</v>
      </c>
      <c r="CR390" s="824">
        <f t="shared" ca="1" si="300"/>
        <v>0</v>
      </c>
      <c r="CS390" s="824">
        <f t="shared" ca="1" si="300"/>
        <v>0</v>
      </c>
      <c r="CT390" s="824">
        <f t="shared" ca="1" si="300"/>
        <v>0</v>
      </c>
      <c r="CU390" s="824">
        <f t="shared" ca="1" si="285"/>
        <v>0</v>
      </c>
      <c r="CV390" s="824">
        <f t="shared" ca="1" si="285"/>
        <v>0</v>
      </c>
      <c r="CW390" s="824">
        <f t="shared" ca="1" si="285"/>
        <v>0</v>
      </c>
      <c r="CX390" s="824">
        <f t="shared" ca="1" si="285"/>
        <v>0</v>
      </c>
      <c r="CY390" s="824">
        <f t="shared" ca="1" si="285"/>
        <v>0</v>
      </c>
      <c r="CZ390" s="824">
        <f t="shared" ca="1" si="285"/>
        <v>0</v>
      </c>
      <c r="DA390" s="824">
        <f t="shared" ca="1" si="286"/>
        <v>0</v>
      </c>
      <c r="DB390" s="824">
        <f t="shared" ca="1" si="286"/>
        <v>0</v>
      </c>
      <c r="DC390" s="824">
        <f t="shared" ca="1" si="286"/>
        <v>0</v>
      </c>
      <c r="DD390" s="824">
        <f t="shared" ca="1" si="286"/>
        <v>0</v>
      </c>
      <c r="DE390" s="824">
        <f t="shared" ca="1" si="286"/>
        <v>0</v>
      </c>
      <c r="DF390" s="824">
        <f t="shared" ca="1" si="286"/>
        <v>0</v>
      </c>
      <c r="DG390" s="824">
        <f t="shared" ca="1" si="286"/>
        <v>0</v>
      </c>
      <c r="DH390" s="824">
        <f t="shared" ca="1" si="286"/>
        <v>0</v>
      </c>
      <c r="DI390" s="824">
        <f t="shared" ca="1" si="286"/>
        <v>0</v>
      </c>
      <c r="DJ390" s="824">
        <f t="shared" ca="1" si="286"/>
        <v>0</v>
      </c>
      <c r="DK390" s="824">
        <f t="shared" ca="1" si="286"/>
        <v>0</v>
      </c>
      <c r="DL390" s="824">
        <f t="shared" ca="1" si="286"/>
        <v>0</v>
      </c>
    </row>
    <row r="391" spans="2:116" ht="12" thickBot="1" x14ac:dyDescent="0.3">
      <c r="B391" s="1673"/>
      <c r="C391" s="1680"/>
      <c r="D391" s="15" t="s">
        <v>323</v>
      </c>
      <c r="E391" s="116"/>
      <c r="F391" s="116">
        <f ca="1">SUBTOTAL(109,'3.2 I&amp;W'!$X$70)</f>
        <v>0</v>
      </c>
      <c r="G391" s="116">
        <f ca="1">SUBTOTAL(109,'3.2 I&amp;W'!$Y$70)</f>
        <v>0</v>
      </c>
      <c r="H391" s="116">
        <f ca="1">SUBTOTAL(109,'3.2 I&amp;W'!$AD$70)</f>
        <v>0</v>
      </c>
      <c r="I391" s="116">
        <f ca="1">SUBTOTAL(109,'3.2 I&amp;W'!$AE$70)</f>
        <v>0</v>
      </c>
      <c r="J391" s="116"/>
      <c r="K391" s="116"/>
      <c r="L391" s="116"/>
      <c r="M391" s="116">
        <f ca="1">SUBTOTAL(109,'3.2 I&amp;W'!$AI$70)</f>
        <v>100</v>
      </c>
      <c r="N391" s="156">
        <f t="shared" ca="1" si="262"/>
        <v>0</v>
      </c>
      <c r="O391" s="116">
        <f>SUBTOTAL(109,'3.2 I&amp;W'!$S$70)</f>
        <v>67231.199999999997</v>
      </c>
      <c r="P391" s="30">
        <f ca="1">IF(N391&gt;=1,O391*$G$158^(1*M391)/($G$157^(1*M391)),0)</f>
        <v>0</v>
      </c>
      <c r="Q391" s="31">
        <f ca="1">IF(N391&gt;=2,O391*$G$158^(2*M391)/($G$157^(2*M391)),0)</f>
        <v>0</v>
      </c>
      <c r="R391" s="31">
        <f ca="1">IF(N391&gt;=3,O391*$G$158^(3*M391)/($G$157^(3*M391)),0)</f>
        <v>0</v>
      </c>
      <c r="S391" s="31">
        <f ca="1">IF(N391&gt;=4,O391*$G$158^(4*M391)/($G$157^(4*M391)),0)</f>
        <v>0</v>
      </c>
      <c r="T391" s="32">
        <f ca="1">IF(N391&gt;=5,O391*$G$158^(5*M391)/($G$157^(5*M391)),0)</f>
        <v>0</v>
      </c>
      <c r="U391" s="37">
        <f t="shared" ca="1" si="263"/>
        <v>21851.346711533035</v>
      </c>
      <c r="V391" s="40">
        <f t="shared" ca="1" si="256"/>
        <v>0</v>
      </c>
      <c r="W391" s="41">
        <f t="shared" ca="1" si="257"/>
        <v>0</v>
      </c>
      <c r="X391" s="43"/>
      <c r="Y391" s="46"/>
      <c r="Z391" s="126"/>
      <c r="AA391" s="136"/>
      <c r="AB391" s="83">
        <v>14</v>
      </c>
      <c r="AC391" s="84">
        <f ca="1">IF(AF390&lt;=1,0,'3.2 Fi&amp;Fo'!$I$25)</f>
        <v>52993.177039275775</v>
      </c>
      <c r="AD391" s="72">
        <f ca="1">IF(AF390&lt;=1,0,AF390*'3.2 Fi&amp;Fo'!$H$25)</f>
        <v>18715.121485880227</v>
      </c>
      <c r="AE391" s="78">
        <f t="shared" ca="1" si="266"/>
        <v>34278.055553395548</v>
      </c>
      <c r="AF391" s="85">
        <f t="shared" ca="1" si="267"/>
        <v>901478.01874061581</v>
      </c>
      <c r="AG391" s="168">
        <f>IF(AJ390&lt;=1,0,IF(AB391&lt;='3.2 Fi&amp;Fo'!$F$34,'3.2 Fi&amp;Fo'!$J$34,IF(AB391&lt;='3.2 Fi&amp;Fo'!$F$35,'3.2 Fi&amp;Fo'!$J$35,IF(AB391&lt;='3.2 Fi&amp;Fo'!$F$36,'3.2 Fi&amp;Fo'!$J$36,IF(AB391&lt;='3.2 Fi&amp;Fo'!$F$37,'3.2 Fi&amp;Fo'!$J$37,IF(AB391&lt;='3.2 Fi&amp;Fo'!$F$38,'3.2 Fi&amp;Fo'!$J$38,IF(AB391&lt;='3.2 Fi&amp;Fo'!$F$39,'3.2 Fi&amp;Fo'!$J$39,IF(AB391&lt;='3.2 Fi&amp;Fo'!$F$40,'3.2 Fi&amp;Fo'!$J$40))))))))</f>
        <v>55126.136000000006</v>
      </c>
      <c r="AH391" s="207">
        <f>IF(AJ390&lt;=1,0,AJ390*IF(AB391&lt;='3.2 Fi&amp;Fo'!$F$34,'3.2 Fi&amp;Fo'!$I$34,IF(AB391&lt;='3.2 Fi&amp;Fo'!$F$35,'3.2 Fi&amp;Fo'!$I$35,IF(AB391&lt;='3.2 Fi&amp;Fo'!$F$36,'3.2 Fi&amp;Fo'!$I$36,IF(AB391&lt;='3.2 Fi&amp;Fo'!$F$39,'3.2 Fi&amp;Fo'!$I$39,IF(AB391&lt;='3.2 Fi&amp;Fo'!$F$40,'3.2 Fi&amp;Fo'!$I$40))))))</f>
        <v>55107.669227044207</v>
      </c>
      <c r="AI391" s="210">
        <f t="shared" si="268"/>
        <v>18.46677295579866</v>
      </c>
      <c r="AJ391" s="209">
        <f t="shared" si="269"/>
        <v>1574486.3682854499</v>
      </c>
      <c r="AK391" s="312">
        <f t="shared" ca="1" si="270"/>
        <v>-136957.26217691597</v>
      </c>
      <c r="AL391" s="169">
        <f>IF(AB391&lt;='3.2 Fi&amp;Fo'!$J$15,'3.2 Fi&amp;Fo'!$I$15,0)</f>
        <v>0</v>
      </c>
      <c r="AM391" s="169">
        <f t="shared" si="282"/>
        <v>28837.949137640186</v>
      </c>
      <c r="AN391" s="838">
        <f t="shared" si="287"/>
        <v>14</v>
      </c>
      <c r="AO391" s="844">
        <f t="shared" ca="1" si="271"/>
        <v>136957.26217691597</v>
      </c>
      <c r="AP391" s="839">
        <f ca="1">CB482</f>
        <v>0</v>
      </c>
      <c r="AQ391" s="844">
        <f t="shared" si="272"/>
        <v>0</v>
      </c>
      <c r="AR391" s="839">
        <f t="shared" ca="1" si="288"/>
        <v>0</v>
      </c>
      <c r="AS391" s="839">
        <f t="shared" ca="1" si="283"/>
        <v>7820.4608592580553</v>
      </c>
      <c r="AT391" s="839">
        <f t="shared" ca="1" si="284"/>
        <v>16794.497793478706</v>
      </c>
      <c r="AU391" s="839">
        <f ca="1">'PV-Einspeisung'!AA96*-1</f>
        <v>0</v>
      </c>
      <c r="AV391" s="839">
        <f ca="1">'PV-Einspeisung'!AE96*-1</f>
        <v>0</v>
      </c>
      <c r="AW391" s="839"/>
      <c r="AX391" s="839">
        <f t="shared" ca="1" si="289"/>
        <v>0</v>
      </c>
      <c r="AY391" s="841">
        <f t="shared" si="273"/>
        <v>14</v>
      </c>
      <c r="AZ391" s="842">
        <f t="shared" ca="1" si="290"/>
        <v>0</v>
      </c>
      <c r="BA391" s="842">
        <f t="shared" ca="1" si="291"/>
        <v>0</v>
      </c>
      <c r="BB391" s="842">
        <f t="shared" ca="1" si="292"/>
        <v>0</v>
      </c>
      <c r="BC391" s="842">
        <f t="shared" ca="1" si="293"/>
        <v>0</v>
      </c>
      <c r="BD391" s="842">
        <f t="shared" ca="1" si="294"/>
        <v>0</v>
      </c>
      <c r="BE391" s="842">
        <f t="shared" ca="1" si="295"/>
        <v>0</v>
      </c>
      <c r="BF391" s="842">
        <f t="shared" ca="1" si="296"/>
        <v>8389.5795324380761</v>
      </c>
      <c r="BG391" s="842">
        <f t="shared" ca="1" si="297"/>
        <v>8404.9182610406297</v>
      </c>
      <c r="BH391" s="858">
        <f t="shared" si="281"/>
        <v>14</v>
      </c>
      <c r="BI391" s="857">
        <f t="shared" ca="1" si="298"/>
        <v>3683.1380033448327</v>
      </c>
      <c r="BJ391" s="857">
        <f t="shared" ca="1" si="299"/>
        <v>4137.3228559132222</v>
      </c>
      <c r="BK391" s="859">
        <f ca="1">'PV-Einspeisung'!AB96*-1</f>
        <v>0</v>
      </c>
      <c r="BL391" s="824">
        <f t="shared" ca="1" si="258"/>
        <v>100</v>
      </c>
      <c r="BM391" s="824">
        <f t="shared" ca="1" si="259"/>
        <v>0</v>
      </c>
      <c r="BN391" s="824">
        <f t="shared" si="260"/>
        <v>67231.199999999997</v>
      </c>
      <c r="BO391" s="824">
        <f t="shared" ca="1" si="264"/>
        <v>0</v>
      </c>
      <c r="BP391" s="824">
        <f t="shared" ca="1" si="264"/>
        <v>0</v>
      </c>
      <c r="BQ391" s="824">
        <f t="shared" ca="1" si="264"/>
        <v>0</v>
      </c>
      <c r="BR391" s="824">
        <f t="shared" ca="1" si="264"/>
        <v>0</v>
      </c>
      <c r="BS391" s="824">
        <f t="shared" ca="1" si="264"/>
        <v>0</v>
      </c>
      <c r="BT391" s="824">
        <f t="shared" ca="1" si="264"/>
        <v>0</v>
      </c>
      <c r="BU391" s="824">
        <f t="shared" ca="1" si="264"/>
        <v>0</v>
      </c>
      <c r="BV391" s="824">
        <f t="shared" ca="1" si="264"/>
        <v>0</v>
      </c>
      <c r="BW391" s="824">
        <f t="shared" ca="1" si="264"/>
        <v>0</v>
      </c>
      <c r="BX391" s="824">
        <f t="shared" ca="1" si="264"/>
        <v>0</v>
      </c>
      <c r="BY391" s="824">
        <f t="shared" ca="1" si="264"/>
        <v>0</v>
      </c>
      <c r="BZ391" s="824">
        <f t="shared" ca="1" si="264"/>
        <v>0</v>
      </c>
      <c r="CA391" s="824">
        <f t="shared" ca="1" si="264"/>
        <v>0</v>
      </c>
      <c r="CB391" s="824">
        <f t="shared" ref="CB391:CQ391" ca="1" si="301">IF(OR(IF($BL391*1&lt;$BL$196,$BL391*1=CB$198,FALSE),IF($BL391*2&lt;$BL$196,$BL391*2=CB$198,FALSE),IF($BL391*3&lt;$BL$196,$BL391*3=CB$198,FALSE),IF($BL391*4&lt;$BL$196,$BL391*4=CB$198,FALSE),IF($BL391*5&lt;$BL$196,$BL391*5=CB$198,FALSE)),$BN391*$BM$196^CB$198,0)</f>
        <v>0</v>
      </c>
      <c r="CC391" s="824">
        <f t="shared" ca="1" si="301"/>
        <v>0</v>
      </c>
      <c r="CD391" s="824">
        <f t="shared" ca="1" si="301"/>
        <v>0</v>
      </c>
      <c r="CE391" s="824">
        <f t="shared" ca="1" si="301"/>
        <v>0</v>
      </c>
      <c r="CF391" s="824">
        <f t="shared" ca="1" si="301"/>
        <v>0</v>
      </c>
      <c r="CG391" s="824">
        <f t="shared" ca="1" si="301"/>
        <v>0</v>
      </c>
      <c r="CH391" s="824">
        <f t="shared" ca="1" si="301"/>
        <v>0</v>
      </c>
      <c r="CI391" s="824">
        <f t="shared" ca="1" si="301"/>
        <v>0</v>
      </c>
      <c r="CJ391" s="824">
        <f t="shared" ca="1" si="301"/>
        <v>0</v>
      </c>
      <c r="CK391" s="824">
        <f t="shared" ca="1" si="301"/>
        <v>0</v>
      </c>
      <c r="CL391" s="824">
        <f t="shared" ca="1" si="301"/>
        <v>0</v>
      </c>
      <c r="CM391" s="824">
        <f t="shared" ca="1" si="301"/>
        <v>0</v>
      </c>
      <c r="CN391" s="824">
        <f t="shared" ca="1" si="301"/>
        <v>0</v>
      </c>
      <c r="CO391" s="824">
        <f t="shared" ca="1" si="301"/>
        <v>0</v>
      </c>
      <c r="CP391" s="824">
        <f t="shared" ca="1" si="301"/>
        <v>0</v>
      </c>
      <c r="CQ391" s="824">
        <f t="shared" ca="1" si="301"/>
        <v>0</v>
      </c>
      <c r="CR391" s="824">
        <f t="shared" ca="1" si="300"/>
        <v>0</v>
      </c>
      <c r="CS391" s="824">
        <f t="shared" ca="1" si="300"/>
        <v>0</v>
      </c>
      <c r="CT391" s="824">
        <f t="shared" ca="1" si="300"/>
        <v>0</v>
      </c>
      <c r="CU391" s="824">
        <f t="shared" ca="1" si="285"/>
        <v>0</v>
      </c>
      <c r="CV391" s="824">
        <f t="shared" ca="1" si="285"/>
        <v>0</v>
      </c>
      <c r="CW391" s="824">
        <f t="shared" ca="1" si="285"/>
        <v>0</v>
      </c>
      <c r="CX391" s="824">
        <f t="shared" ca="1" si="285"/>
        <v>0</v>
      </c>
      <c r="CY391" s="824">
        <f t="shared" ca="1" si="285"/>
        <v>0</v>
      </c>
      <c r="CZ391" s="824">
        <f t="shared" ca="1" si="285"/>
        <v>0</v>
      </c>
      <c r="DA391" s="824">
        <f t="shared" ca="1" si="286"/>
        <v>0</v>
      </c>
      <c r="DB391" s="824">
        <f t="shared" ca="1" si="286"/>
        <v>0</v>
      </c>
      <c r="DC391" s="824">
        <f t="shared" ca="1" si="286"/>
        <v>0</v>
      </c>
      <c r="DD391" s="824">
        <f t="shared" ca="1" si="286"/>
        <v>0</v>
      </c>
      <c r="DE391" s="824">
        <f t="shared" ca="1" si="286"/>
        <v>0</v>
      </c>
      <c r="DF391" s="824">
        <f t="shared" ca="1" si="286"/>
        <v>0</v>
      </c>
      <c r="DG391" s="824">
        <f t="shared" ca="1" si="286"/>
        <v>0</v>
      </c>
      <c r="DH391" s="824">
        <f t="shared" ca="1" si="286"/>
        <v>0</v>
      </c>
      <c r="DI391" s="824">
        <f t="shared" ca="1" si="286"/>
        <v>0</v>
      </c>
      <c r="DJ391" s="824">
        <f t="shared" ca="1" si="286"/>
        <v>0</v>
      </c>
      <c r="DK391" s="824">
        <f t="shared" ca="1" si="286"/>
        <v>0</v>
      </c>
      <c r="DL391" s="824">
        <f t="shared" ca="1" si="286"/>
        <v>0</v>
      </c>
    </row>
    <row r="392" spans="2:116" ht="12" thickBot="1" x14ac:dyDescent="0.3">
      <c r="B392" s="1673"/>
      <c r="C392" s="1680"/>
      <c r="D392" s="15" t="s">
        <v>323</v>
      </c>
      <c r="E392" s="116"/>
      <c r="F392" s="116">
        <f ca="1">SUBTOTAL(109,'3.2 I&amp;W'!$X$71)</f>
        <v>0</v>
      </c>
      <c r="G392" s="116">
        <f ca="1">SUBTOTAL(109,'3.2 I&amp;W'!$Y$71)</f>
        <v>0</v>
      </c>
      <c r="H392" s="116">
        <f ca="1">SUBTOTAL(109,'3.2 I&amp;W'!$AD$71)</f>
        <v>0</v>
      </c>
      <c r="I392" s="116">
        <f ca="1">SUBTOTAL(109,'3.2 I&amp;W'!$AE$71)</f>
        <v>0</v>
      </c>
      <c r="J392" s="116"/>
      <c r="K392" s="116"/>
      <c r="L392" s="116"/>
      <c r="M392" s="116">
        <f ca="1">SUBTOTAL(109,'3.2 I&amp;W'!$AI$71)</f>
        <v>60</v>
      </c>
      <c r="N392" s="156">
        <f t="shared" ca="1" si="262"/>
        <v>0</v>
      </c>
      <c r="O392" s="116">
        <f ca="1">SUBTOTAL(109,'3.2 I&amp;W'!$S$71)</f>
        <v>13062.12</v>
      </c>
      <c r="P392" s="30">
        <f t="shared" ref="P392:P434" ca="1" si="302">IF(N392&gt;=1,O392*$G$158^(1*M392)/($G$157^(1*M392)),0)</f>
        <v>0</v>
      </c>
      <c r="Q392" s="31">
        <f t="shared" ref="Q392:Q434" ca="1" si="303">IF(N392&gt;=2,O392*$G$158^(2*M392)/($G$157^(2*M392)),0)</f>
        <v>0</v>
      </c>
      <c r="R392" s="31">
        <f t="shared" ref="R392:R434" ca="1" si="304">IF(N392&gt;=3,O392*$G$158^(3*M392)/($G$157^(3*M392)),0)</f>
        <v>0</v>
      </c>
      <c r="S392" s="31">
        <f t="shared" ref="S392:S434" ca="1" si="305">IF(N392&gt;=4,O392*$G$158^(4*M392)/($G$157^(4*M392)),0)</f>
        <v>0</v>
      </c>
      <c r="T392" s="32">
        <f t="shared" ref="T392:T434" ca="1" si="306">IF(N392&gt;=5,O392*$G$158^(5*M392)/($G$157^(5*M392)),0)</f>
        <v>0</v>
      </c>
      <c r="U392" s="37">
        <f t="shared" ca="1" si="263"/>
        <v>2721.4252870886439</v>
      </c>
      <c r="V392" s="40">
        <f t="shared" ca="1" si="256"/>
        <v>0</v>
      </c>
      <c r="W392" s="41">
        <f t="shared" ca="1" si="257"/>
        <v>0</v>
      </c>
      <c r="X392" s="43"/>
      <c r="Y392" s="46"/>
      <c r="Z392" s="126"/>
      <c r="AA392" s="136"/>
      <c r="AB392" s="83">
        <v>15</v>
      </c>
      <c r="AC392" s="84">
        <f ca="1">IF(AF391&lt;=1,0,'3.2 Fi&amp;Fo'!$I$25)</f>
        <v>52993.177039275775</v>
      </c>
      <c r="AD392" s="72">
        <f ca="1">IF(AF391&lt;=1,0,AF391*'3.2 Fi&amp;Fo'!$H$25)</f>
        <v>18029.560374812318</v>
      </c>
      <c r="AE392" s="78">
        <f t="shared" ref="AE392:AE427" ca="1" si="307">AC392-AD392</f>
        <v>34963.616664463458</v>
      </c>
      <c r="AF392" s="85">
        <f t="shared" ref="AF392:AF427" ca="1" si="308">AF391-AE392</f>
        <v>866514.40207615239</v>
      </c>
      <c r="AG392" s="168">
        <f>IF(AJ391&lt;=1,0,IF(AB392&lt;='3.2 Fi&amp;Fo'!$F$34,'3.2 Fi&amp;Fo'!$J$34,IF(AB392&lt;='3.2 Fi&amp;Fo'!$F$35,'3.2 Fi&amp;Fo'!$J$35,IF(AB392&lt;='3.2 Fi&amp;Fo'!$F$36,'3.2 Fi&amp;Fo'!$J$36,IF(AB392&lt;='3.2 Fi&amp;Fo'!$F$37,'3.2 Fi&amp;Fo'!$J$37,IF(AB392&lt;='3.2 Fi&amp;Fo'!$F$38,'3.2 Fi&amp;Fo'!$J$38,IF(AB392&lt;='3.2 Fi&amp;Fo'!$F$39,'3.2 Fi&amp;Fo'!$J$39,IF(AB392&lt;='3.2 Fi&amp;Fo'!$F$40,'3.2 Fi&amp;Fo'!$J$40))))))))</f>
        <v>55126.136000000006</v>
      </c>
      <c r="AH392" s="207">
        <f>IF(AJ391&lt;=1,0,AJ391*IF(AB392&lt;='3.2 Fi&amp;Fo'!$F$34,'3.2 Fi&amp;Fo'!$I$34,IF(AB392&lt;='3.2 Fi&amp;Fo'!$F$35,'3.2 Fi&amp;Fo'!$I$35,IF(AB392&lt;='3.2 Fi&amp;Fo'!$F$36,'3.2 Fi&amp;Fo'!$I$36,IF(AB392&lt;='3.2 Fi&amp;Fo'!$F$39,'3.2 Fi&amp;Fo'!$I$39,IF(AB392&lt;='3.2 Fi&amp;Fo'!$F$40,'3.2 Fi&amp;Fo'!$I$40))))))</f>
        <v>55107.022889990752</v>
      </c>
      <c r="AI392" s="210">
        <f t="shared" si="268"/>
        <v>19.113110009253433</v>
      </c>
      <c r="AJ392" s="209">
        <f t="shared" ref="AJ392:AJ427" si="309">AJ391-AI392</f>
        <v>1574467.2551754406</v>
      </c>
      <c r="AK392" s="312">
        <f t="shared" ca="1" si="270"/>
        <v>-137534.02115966796</v>
      </c>
      <c r="AL392" s="169">
        <f>IF(AB392&lt;='3.2 Fi&amp;Fo'!$J$15,'3.2 Fi&amp;Fo'!$I$15,0)</f>
        <v>0</v>
      </c>
      <c r="AM392" s="169">
        <f t="shared" si="282"/>
        <v>29414.70812039217</v>
      </c>
      <c r="AN392" s="838">
        <f t="shared" si="287"/>
        <v>15</v>
      </c>
      <c r="AO392" s="844">
        <f t="shared" ca="1" si="271"/>
        <v>137534.02115966796</v>
      </c>
      <c r="AP392" s="839">
        <f ca="1">CC482</f>
        <v>27819.795727419776</v>
      </c>
      <c r="AQ392" s="844">
        <f t="shared" si="272"/>
        <v>0</v>
      </c>
      <c r="AR392" s="839">
        <f t="shared" ca="1" si="288"/>
        <v>0</v>
      </c>
      <c r="AS392" s="839">
        <f t="shared" ca="1" si="283"/>
        <v>7945.5882330061831</v>
      </c>
      <c r="AT392" s="839">
        <f t="shared" ca="1" si="284"/>
        <v>17298.40942092608</v>
      </c>
      <c r="AU392" s="839">
        <f ca="1">'PV-Einspeisung'!AA97*-1</f>
        <v>0</v>
      </c>
      <c r="AV392" s="839">
        <f ca="1">'PV-Einspeisung'!AE97*-1</f>
        <v>0</v>
      </c>
      <c r="AW392" s="839"/>
      <c r="AX392" s="839">
        <f t="shared" ca="1" si="289"/>
        <v>0</v>
      </c>
      <c r="AY392" s="841">
        <f t="shared" si="273"/>
        <v>15</v>
      </c>
      <c r="AZ392" s="842">
        <f t="shared" ca="1" si="290"/>
        <v>0</v>
      </c>
      <c r="BA392" s="842">
        <f t="shared" ca="1" si="291"/>
        <v>0</v>
      </c>
      <c r="BB392" s="842">
        <f t="shared" ca="1" si="292"/>
        <v>0</v>
      </c>
      <c r="BC392" s="842">
        <f t="shared" ca="1" si="293"/>
        <v>0</v>
      </c>
      <c r="BD392" s="842">
        <f t="shared" ca="1" si="294"/>
        <v>0</v>
      </c>
      <c r="BE392" s="842">
        <f t="shared" ca="1" si="295"/>
        <v>0</v>
      </c>
      <c r="BF392" s="842">
        <f t="shared" ca="1" si="296"/>
        <v>8599.3190207490279</v>
      </c>
      <c r="BG392" s="842">
        <f t="shared" ca="1" si="297"/>
        <v>8699.0904001770505</v>
      </c>
      <c r="BH392" s="858">
        <f t="shared" si="281"/>
        <v>15</v>
      </c>
      <c r="BI392" s="857">
        <f t="shared" ca="1" si="298"/>
        <v>3742.0682113983498</v>
      </c>
      <c r="BJ392" s="857">
        <f t="shared" ca="1" si="299"/>
        <v>4203.5200216078338</v>
      </c>
      <c r="BK392" s="859">
        <f ca="1">'PV-Einspeisung'!AB97*-1</f>
        <v>0</v>
      </c>
      <c r="BL392" s="824">
        <f t="shared" ca="1" si="258"/>
        <v>60</v>
      </c>
      <c r="BM392" s="824">
        <f t="shared" ca="1" si="259"/>
        <v>0</v>
      </c>
      <c r="BN392" s="824">
        <f t="shared" ca="1" si="260"/>
        <v>13062.12</v>
      </c>
      <c r="BO392" s="824">
        <f t="shared" ref="BO392:CD407" ca="1" si="310">IF(OR(IF($BL392*1&lt;$BL$196,$BL392*1=BO$198,FALSE),IF($BL392*2&lt;$BL$196,$BL392*2=BO$198,FALSE),IF($BL392*3&lt;$BL$196,$BL392*3=BO$198,FALSE),IF($BL392*4&lt;$BL$196,$BL392*4=BO$198,FALSE),IF($BL392*5&lt;$BL$196,$BL392*5=BO$198,FALSE)),$BN392*$BM$196^BO$198,0)</f>
        <v>0</v>
      </c>
      <c r="BP392" s="824">
        <f t="shared" ca="1" si="310"/>
        <v>0</v>
      </c>
      <c r="BQ392" s="824">
        <f t="shared" ca="1" si="310"/>
        <v>0</v>
      </c>
      <c r="BR392" s="824">
        <f t="shared" ca="1" si="310"/>
        <v>0</v>
      </c>
      <c r="BS392" s="824">
        <f t="shared" ca="1" si="310"/>
        <v>0</v>
      </c>
      <c r="BT392" s="824">
        <f t="shared" ca="1" si="310"/>
        <v>0</v>
      </c>
      <c r="BU392" s="824">
        <f t="shared" ca="1" si="310"/>
        <v>0</v>
      </c>
      <c r="BV392" s="824">
        <f t="shared" ca="1" si="310"/>
        <v>0</v>
      </c>
      <c r="BW392" s="824">
        <f t="shared" ca="1" si="310"/>
        <v>0</v>
      </c>
      <c r="BX392" s="824">
        <f t="shared" ca="1" si="310"/>
        <v>0</v>
      </c>
      <c r="BY392" s="824">
        <f t="shared" ca="1" si="310"/>
        <v>0</v>
      </c>
      <c r="BZ392" s="824">
        <f t="shared" ca="1" si="310"/>
        <v>0</v>
      </c>
      <c r="CA392" s="824">
        <f t="shared" ca="1" si="310"/>
        <v>0</v>
      </c>
      <c r="CB392" s="824">
        <f t="shared" ca="1" si="310"/>
        <v>0</v>
      </c>
      <c r="CC392" s="824">
        <f t="shared" ca="1" si="310"/>
        <v>0</v>
      </c>
      <c r="CD392" s="824">
        <f t="shared" ca="1" si="310"/>
        <v>0</v>
      </c>
      <c r="CE392" s="824">
        <f t="shared" ca="1" si="300"/>
        <v>0</v>
      </c>
      <c r="CF392" s="824">
        <f t="shared" ca="1" si="300"/>
        <v>0</v>
      </c>
      <c r="CG392" s="824">
        <f t="shared" ca="1" si="300"/>
        <v>0</v>
      </c>
      <c r="CH392" s="824">
        <f t="shared" ca="1" si="300"/>
        <v>0</v>
      </c>
      <c r="CI392" s="824">
        <f t="shared" ca="1" si="300"/>
        <v>0</v>
      </c>
      <c r="CJ392" s="824">
        <f t="shared" ca="1" si="300"/>
        <v>0</v>
      </c>
      <c r="CK392" s="824">
        <f t="shared" ca="1" si="300"/>
        <v>0</v>
      </c>
      <c r="CL392" s="824">
        <f t="shared" ca="1" si="300"/>
        <v>0</v>
      </c>
      <c r="CM392" s="824">
        <f t="shared" ca="1" si="300"/>
        <v>0</v>
      </c>
      <c r="CN392" s="824">
        <f t="shared" ca="1" si="300"/>
        <v>0</v>
      </c>
      <c r="CO392" s="824">
        <f t="shared" ca="1" si="300"/>
        <v>0</v>
      </c>
      <c r="CP392" s="824">
        <f t="shared" ca="1" si="300"/>
        <v>0</v>
      </c>
      <c r="CQ392" s="824">
        <f t="shared" ca="1" si="300"/>
        <v>0</v>
      </c>
      <c r="CR392" s="824">
        <f t="shared" ca="1" si="300"/>
        <v>0</v>
      </c>
      <c r="CS392" s="824">
        <f t="shared" ca="1" si="300"/>
        <v>0</v>
      </c>
      <c r="CT392" s="824">
        <f t="shared" ca="1" si="300"/>
        <v>0</v>
      </c>
      <c r="CU392" s="824">
        <f t="shared" ca="1" si="285"/>
        <v>0</v>
      </c>
      <c r="CV392" s="824">
        <f t="shared" ca="1" si="285"/>
        <v>0</v>
      </c>
      <c r="CW392" s="824">
        <f t="shared" ca="1" si="285"/>
        <v>0</v>
      </c>
      <c r="CX392" s="824">
        <f t="shared" ca="1" si="285"/>
        <v>0</v>
      </c>
      <c r="CY392" s="824">
        <f t="shared" ca="1" si="285"/>
        <v>0</v>
      </c>
      <c r="CZ392" s="824">
        <f t="shared" ca="1" si="285"/>
        <v>0</v>
      </c>
      <c r="DA392" s="824">
        <f t="shared" ca="1" si="286"/>
        <v>0</v>
      </c>
      <c r="DB392" s="824">
        <f t="shared" ca="1" si="286"/>
        <v>0</v>
      </c>
      <c r="DC392" s="824">
        <f t="shared" ca="1" si="286"/>
        <v>0</v>
      </c>
      <c r="DD392" s="824">
        <f t="shared" ca="1" si="286"/>
        <v>0</v>
      </c>
      <c r="DE392" s="824">
        <f t="shared" ca="1" si="286"/>
        <v>0</v>
      </c>
      <c r="DF392" s="824">
        <f t="shared" ca="1" si="286"/>
        <v>0</v>
      </c>
      <c r="DG392" s="824">
        <f t="shared" ca="1" si="286"/>
        <v>0</v>
      </c>
      <c r="DH392" s="824">
        <f t="shared" ca="1" si="286"/>
        <v>0</v>
      </c>
      <c r="DI392" s="824">
        <f t="shared" ca="1" si="286"/>
        <v>0</v>
      </c>
      <c r="DJ392" s="824">
        <f t="shared" ca="1" si="286"/>
        <v>0</v>
      </c>
      <c r="DK392" s="824">
        <f t="shared" ca="1" si="286"/>
        <v>0</v>
      </c>
      <c r="DL392" s="824">
        <f t="shared" ca="1" si="286"/>
        <v>0</v>
      </c>
    </row>
    <row r="393" spans="2:116" ht="12" thickBot="1" x14ac:dyDescent="0.3">
      <c r="B393" s="1673"/>
      <c r="C393" s="1680"/>
      <c r="D393" s="15" t="s">
        <v>323</v>
      </c>
      <c r="E393" s="116"/>
      <c r="F393" s="116">
        <f ca="1">SUBTOTAL(109,'3.2 I&amp;W'!$X$72)</f>
        <v>0</v>
      </c>
      <c r="G393" s="116">
        <f ca="1">SUBTOTAL(109,'3.2 I&amp;W'!$Y$72)</f>
        <v>0</v>
      </c>
      <c r="H393" s="116">
        <f ca="1">SUBTOTAL(109,'3.2 I&amp;W'!$AD$72)</f>
        <v>0</v>
      </c>
      <c r="I393" s="116">
        <f ca="1">SUBTOTAL(109,'3.2 I&amp;W'!$AE$72)</f>
        <v>0</v>
      </c>
      <c r="J393" s="116"/>
      <c r="K393" s="116"/>
      <c r="L393" s="116"/>
      <c r="M393" s="116">
        <f ca="1">SUBTOTAL(109,'3.2 I&amp;W'!$AI$72)</f>
        <v>0</v>
      </c>
      <c r="N393" s="156">
        <f t="shared" ca="1" si="262"/>
        <v>0</v>
      </c>
      <c r="O393" s="116">
        <f ca="1">SUBTOTAL(109,'3.2 I&amp;W'!$S$72)</f>
        <v>0</v>
      </c>
      <c r="P393" s="30">
        <f t="shared" ca="1" si="302"/>
        <v>0</v>
      </c>
      <c r="Q393" s="31">
        <f t="shared" ca="1" si="303"/>
        <v>0</v>
      </c>
      <c r="R393" s="31">
        <f t="shared" ca="1" si="304"/>
        <v>0</v>
      </c>
      <c r="S393" s="31">
        <f t="shared" ca="1" si="305"/>
        <v>0</v>
      </c>
      <c r="T393" s="32">
        <f t="shared" ca="1" si="306"/>
        <v>0</v>
      </c>
      <c r="U393" s="37">
        <f t="shared" ca="1" si="263"/>
        <v>0</v>
      </c>
      <c r="V393" s="40">
        <f t="shared" ca="1" si="256"/>
        <v>0</v>
      </c>
      <c r="W393" s="41">
        <f t="shared" ca="1" si="257"/>
        <v>0</v>
      </c>
      <c r="X393" s="43"/>
      <c r="Y393" s="46"/>
      <c r="Z393" s="126"/>
      <c r="AA393" s="136"/>
      <c r="AB393" s="83">
        <v>16</v>
      </c>
      <c r="AC393" s="84">
        <f ca="1">IF(AF392&lt;=1,0,'3.2 Fi&amp;Fo'!$I$25)</f>
        <v>52993.177039275775</v>
      </c>
      <c r="AD393" s="72">
        <f ca="1">IF(AF392&lt;=1,0,AF392*'3.2 Fi&amp;Fo'!$H$25)</f>
        <v>17330.288041523047</v>
      </c>
      <c r="AE393" s="78">
        <f t="shared" ca="1" si="307"/>
        <v>35662.888997752729</v>
      </c>
      <c r="AF393" s="85">
        <f t="shared" ca="1" si="308"/>
        <v>830851.5130783997</v>
      </c>
      <c r="AG393" s="168">
        <f>IF(AJ392&lt;=1,0,IF(AB393&lt;='3.2 Fi&amp;Fo'!$F$34,'3.2 Fi&amp;Fo'!$J$34,IF(AB393&lt;='3.2 Fi&amp;Fo'!$F$35,'3.2 Fi&amp;Fo'!$J$35,IF(AB393&lt;='3.2 Fi&amp;Fo'!$F$36,'3.2 Fi&amp;Fo'!$J$36,IF(AB393&lt;='3.2 Fi&amp;Fo'!$F$37,'3.2 Fi&amp;Fo'!$J$37,IF(AB393&lt;='3.2 Fi&amp;Fo'!$F$38,'3.2 Fi&amp;Fo'!$J$38,IF(AB393&lt;='3.2 Fi&amp;Fo'!$F$39,'3.2 Fi&amp;Fo'!$J$39,IF(AB393&lt;='3.2 Fi&amp;Fo'!$F$40,'3.2 Fi&amp;Fo'!$J$40))))))))</f>
        <v>70873.032000000007</v>
      </c>
      <c r="AH393" s="207">
        <f>IF(AJ392&lt;=1,0,AJ392*IF(AB393&lt;='3.2 Fi&amp;Fo'!$F$34,'3.2 Fi&amp;Fo'!$I$34,IF(AB393&lt;='3.2 Fi&amp;Fo'!$F$35,'3.2 Fi&amp;Fo'!$I$35,IF(AB393&lt;='3.2 Fi&amp;Fo'!$F$36,'3.2 Fi&amp;Fo'!$I$36,IF(AB393&lt;='3.2 Fi&amp;Fo'!$F$39,'3.2 Fi&amp;Fo'!$I$39,IF(AB393&lt;='3.2 Fi&amp;Fo'!$F$40,'3.2 Fi&amp;Fo'!$I$40))))))</f>
        <v>94468.035310526437</v>
      </c>
      <c r="AI393" s="210">
        <f t="shared" si="268"/>
        <v>-23595.00331052643</v>
      </c>
      <c r="AJ393" s="209">
        <f t="shared" si="309"/>
        <v>1598062.2584859671</v>
      </c>
      <c r="AK393" s="312">
        <f t="shared" ca="1" si="270"/>
        <v>-153869.21132207662</v>
      </c>
      <c r="AL393" s="169">
        <f>IF(AB393&lt;='3.2 Fi&amp;Fo'!$J$15,'3.2 Fi&amp;Fo'!$I$15,0)</f>
        <v>0</v>
      </c>
      <c r="AM393" s="169">
        <f t="shared" si="282"/>
        <v>30003.002282800851</v>
      </c>
      <c r="AN393" s="838">
        <f t="shared" si="287"/>
        <v>16</v>
      </c>
      <c r="AO393" s="844">
        <f t="shared" ca="1" si="271"/>
        <v>153869.21132207662</v>
      </c>
      <c r="AP393" s="839">
        <f ca="1">CD482</f>
        <v>0</v>
      </c>
      <c r="AQ393" s="844">
        <f t="shared" si="272"/>
        <v>0</v>
      </c>
      <c r="AR393" s="839">
        <f t="shared" ca="1" si="288"/>
        <v>0</v>
      </c>
      <c r="AS393" s="839">
        <f t="shared" ca="1" si="283"/>
        <v>8072.7176447342827</v>
      </c>
      <c r="AT393" s="839">
        <f t="shared" ca="1" si="284"/>
        <v>17817.860560451001</v>
      </c>
      <c r="AU393" s="839">
        <f ca="1">'PV-Einspeisung'!AA98*-1</f>
        <v>0</v>
      </c>
      <c r="AV393" s="839">
        <f ca="1">'PV-Einspeisung'!AE98*-1</f>
        <v>0</v>
      </c>
      <c r="AW393" s="839"/>
      <c r="AX393" s="839">
        <f t="shared" ca="1" si="289"/>
        <v>0</v>
      </c>
      <c r="AY393" s="841">
        <f t="shared" si="273"/>
        <v>16</v>
      </c>
      <c r="AZ393" s="842">
        <f t="shared" ca="1" si="290"/>
        <v>0</v>
      </c>
      <c r="BA393" s="842">
        <f t="shared" ca="1" si="291"/>
        <v>0</v>
      </c>
      <c r="BB393" s="842">
        <f t="shared" ca="1" si="292"/>
        <v>0</v>
      </c>
      <c r="BC393" s="842">
        <f t="shared" ca="1" si="293"/>
        <v>0</v>
      </c>
      <c r="BD393" s="842">
        <f t="shared" ca="1" si="294"/>
        <v>0</v>
      </c>
      <c r="BE393" s="842">
        <f t="shared" ca="1" si="295"/>
        <v>0</v>
      </c>
      <c r="BF393" s="842">
        <f t="shared" ca="1" si="296"/>
        <v>8814.3019962677536</v>
      </c>
      <c r="BG393" s="842">
        <f t="shared" ca="1" si="297"/>
        <v>9003.5585641832458</v>
      </c>
      <c r="BH393" s="858">
        <f t="shared" si="281"/>
        <v>16</v>
      </c>
      <c r="BI393" s="857">
        <f t="shared" ca="1" si="298"/>
        <v>3801.9413027807236</v>
      </c>
      <c r="BJ393" s="857">
        <f t="shared" ca="1" si="299"/>
        <v>4270.7763419535595</v>
      </c>
      <c r="BK393" s="859">
        <f ca="1">'PV-Einspeisung'!AB98*-1</f>
        <v>0</v>
      </c>
      <c r="BL393" s="824">
        <f t="shared" ca="1" si="258"/>
        <v>0</v>
      </c>
      <c r="BM393" s="824">
        <f t="shared" ca="1" si="259"/>
        <v>0</v>
      </c>
      <c r="BN393" s="824">
        <f t="shared" ca="1" si="260"/>
        <v>0</v>
      </c>
      <c r="BO393" s="824">
        <f t="shared" ca="1" si="310"/>
        <v>0</v>
      </c>
      <c r="BP393" s="824">
        <f t="shared" ca="1" si="310"/>
        <v>0</v>
      </c>
      <c r="BQ393" s="824">
        <f t="shared" ca="1" si="310"/>
        <v>0</v>
      </c>
      <c r="BR393" s="824">
        <f t="shared" ca="1" si="310"/>
        <v>0</v>
      </c>
      <c r="BS393" s="824">
        <f t="shared" ca="1" si="310"/>
        <v>0</v>
      </c>
      <c r="BT393" s="824">
        <f t="shared" ca="1" si="310"/>
        <v>0</v>
      </c>
      <c r="BU393" s="824">
        <f t="shared" ca="1" si="310"/>
        <v>0</v>
      </c>
      <c r="BV393" s="824">
        <f t="shared" ca="1" si="310"/>
        <v>0</v>
      </c>
      <c r="BW393" s="824">
        <f t="shared" ca="1" si="310"/>
        <v>0</v>
      </c>
      <c r="BX393" s="824">
        <f t="shared" ca="1" si="310"/>
        <v>0</v>
      </c>
      <c r="BY393" s="824">
        <f t="shared" ca="1" si="310"/>
        <v>0</v>
      </c>
      <c r="BZ393" s="824">
        <f t="shared" ca="1" si="310"/>
        <v>0</v>
      </c>
      <c r="CA393" s="824">
        <f t="shared" ca="1" si="310"/>
        <v>0</v>
      </c>
      <c r="CB393" s="824">
        <f t="shared" ca="1" si="310"/>
        <v>0</v>
      </c>
      <c r="CC393" s="824">
        <f t="shared" ca="1" si="310"/>
        <v>0</v>
      </c>
      <c r="CD393" s="824">
        <f t="shared" ca="1" si="310"/>
        <v>0</v>
      </c>
      <c r="CE393" s="824">
        <f t="shared" ca="1" si="300"/>
        <v>0</v>
      </c>
      <c r="CF393" s="824">
        <f t="shared" ca="1" si="300"/>
        <v>0</v>
      </c>
      <c r="CG393" s="824">
        <f t="shared" ca="1" si="300"/>
        <v>0</v>
      </c>
      <c r="CH393" s="824">
        <f t="shared" ca="1" si="300"/>
        <v>0</v>
      </c>
      <c r="CI393" s="824">
        <f t="shared" ca="1" si="300"/>
        <v>0</v>
      </c>
      <c r="CJ393" s="824">
        <f t="shared" ca="1" si="300"/>
        <v>0</v>
      </c>
      <c r="CK393" s="824">
        <f t="shared" ca="1" si="300"/>
        <v>0</v>
      </c>
      <c r="CL393" s="824">
        <f t="shared" ca="1" si="300"/>
        <v>0</v>
      </c>
      <c r="CM393" s="824">
        <f t="shared" ca="1" si="300"/>
        <v>0</v>
      </c>
      <c r="CN393" s="824">
        <f t="shared" ca="1" si="300"/>
        <v>0</v>
      </c>
      <c r="CO393" s="824">
        <f t="shared" ca="1" si="300"/>
        <v>0</v>
      </c>
      <c r="CP393" s="824">
        <f t="shared" ca="1" si="300"/>
        <v>0</v>
      </c>
      <c r="CQ393" s="824">
        <f t="shared" ca="1" si="300"/>
        <v>0</v>
      </c>
      <c r="CR393" s="824">
        <f t="shared" ca="1" si="300"/>
        <v>0</v>
      </c>
      <c r="CS393" s="824">
        <f t="shared" ca="1" si="300"/>
        <v>0</v>
      </c>
      <c r="CT393" s="824">
        <f t="shared" ca="1" si="300"/>
        <v>0</v>
      </c>
      <c r="CU393" s="824">
        <f t="shared" ca="1" si="285"/>
        <v>0</v>
      </c>
      <c r="CV393" s="824">
        <f t="shared" ca="1" si="285"/>
        <v>0</v>
      </c>
      <c r="CW393" s="824">
        <f t="shared" ca="1" si="285"/>
        <v>0</v>
      </c>
      <c r="CX393" s="824">
        <f t="shared" ca="1" si="285"/>
        <v>0</v>
      </c>
      <c r="CY393" s="824">
        <f t="shared" ca="1" si="285"/>
        <v>0</v>
      </c>
      <c r="CZ393" s="824">
        <f t="shared" ca="1" si="285"/>
        <v>0</v>
      </c>
      <c r="DA393" s="824">
        <f t="shared" ca="1" si="286"/>
        <v>0</v>
      </c>
      <c r="DB393" s="824">
        <f t="shared" ca="1" si="286"/>
        <v>0</v>
      </c>
      <c r="DC393" s="824">
        <f t="shared" ca="1" si="286"/>
        <v>0</v>
      </c>
      <c r="DD393" s="824">
        <f t="shared" ca="1" si="286"/>
        <v>0</v>
      </c>
      <c r="DE393" s="824">
        <f t="shared" ca="1" si="286"/>
        <v>0</v>
      </c>
      <c r="DF393" s="824">
        <f t="shared" ca="1" si="286"/>
        <v>0</v>
      </c>
      <c r="DG393" s="824">
        <f t="shared" ca="1" si="286"/>
        <v>0</v>
      </c>
      <c r="DH393" s="824">
        <f t="shared" ca="1" si="286"/>
        <v>0</v>
      </c>
      <c r="DI393" s="824">
        <f t="shared" ca="1" si="286"/>
        <v>0</v>
      </c>
      <c r="DJ393" s="824">
        <f t="shared" ca="1" si="286"/>
        <v>0</v>
      </c>
      <c r="DK393" s="824">
        <f t="shared" ca="1" si="286"/>
        <v>0</v>
      </c>
      <c r="DL393" s="824">
        <f t="shared" ca="1" si="286"/>
        <v>0</v>
      </c>
    </row>
    <row r="394" spans="2:116" ht="12" thickBot="1" x14ac:dyDescent="0.3">
      <c r="B394" s="1673"/>
      <c r="C394" s="1680"/>
      <c r="D394" s="15" t="s">
        <v>129</v>
      </c>
      <c r="E394" s="165"/>
      <c r="F394" s="116">
        <f ca="1">SUBTOTAL(109,'3.2 I&amp;W'!$X$76)</f>
        <v>0</v>
      </c>
      <c r="G394" s="116">
        <f ca="1">SUBTOTAL(109,'3.2 I&amp;W'!$Y$76)</f>
        <v>0</v>
      </c>
      <c r="H394" s="116">
        <f ca="1">SUBTOTAL(109,'3.2 I&amp;W'!$AD$76)</f>
        <v>0</v>
      </c>
      <c r="I394" s="116">
        <f ca="1">SUBTOTAL(109,'3.2 I&amp;W'!$AE$76)</f>
        <v>0</v>
      </c>
      <c r="J394" s="116"/>
      <c r="K394" s="116"/>
      <c r="L394" s="116"/>
      <c r="M394" s="116">
        <f ca="1">SUBTOTAL(109,'3.2 I&amp;W'!$AI$76)</f>
        <v>50</v>
      </c>
      <c r="N394" s="156">
        <f t="shared" ca="1" si="262"/>
        <v>0</v>
      </c>
      <c r="O394" s="116">
        <f>SUBTOTAL(109,'3.2 I&amp;W'!$S$76)</f>
        <v>91980</v>
      </c>
      <c r="P394" s="30">
        <f t="shared" ca="1" si="302"/>
        <v>0</v>
      </c>
      <c r="Q394" s="31">
        <f t="shared" ca="1" si="303"/>
        <v>0</v>
      </c>
      <c r="R394" s="31">
        <f t="shared" ca="1" si="304"/>
        <v>0</v>
      </c>
      <c r="S394" s="31">
        <f t="shared" ca="1" si="305"/>
        <v>0</v>
      </c>
      <c r="T394" s="32">
        <f t="shared" ca="1" si="306"/>
        <v>0</v>
      </c>
      <c r="U394" s="37">
        <f t="shared" ca="1" si="263"/>
        <v>13797.761963036452</v>
      </c>
      <c r="V394" s="40">
        <f t="shared" ca="1" si="256"/>
        <v>0</v>
      </c>
      <c r="W394" s="41">
        <f t="shared" ca="1" si="257"/>
        <v>0</v>
      </c>
      <c r="X394" s="43"/>
      <c r="Y394" s="46"/>
      <c r="Z394" s="126"/>
      <c r="AA394" s="136"/>
      <c r="AB394" s="83">
        <v>17</v>
      </c>
      <c r="AC394" s="84">
        <f ca="1">IF(AF393&lt;=1,0,'3.2 Fi&amp;Fo'!$I$25)</f>
        <v>52993.177039275775</v>
      </c>
      <c r="AD394" s="72">
        <f ca="1">IF(AF393&lt;=1,0,AF393*'3.2 Fi&amp;Fo'!$H$25)</f>
        <v>16617.030261567994</v>
      </c>
      <c r="AE394" s="78">
        <f t="shared" ca="1" si="307"/>
        <v>36376.146777707778</v>
      </c>
      <c r="AF394" s="85">
        <f t="shared" ca="1" si="308"/>
        <v>794475.36630069197</v>
      </c>
      <c r="AG394" s="168">
        <f>IF(AJ393&lt;=1,0,IF(AB394&lt;='3.2 Fi&amp;Fo'!$F$34,'3.2 Fi&amp;Fo'!$J$34,IF(AB394&lt;='3.2 Fi&amp;Fo'!$F$35,'3.2 Fi&amp;Fo'!$J$35,IF(AB394&lt;='3.2 Fi&amp;Fo'!$F$36,'3.2 Fi&amp;Fo'!$J$36,IF(AB394&lt;='3.2 Fi&amp;Fo'!$F$37,'3.2 Fi&amp;Fo'!$J$37,IF(AB394&lt;='3.2 Fi&amp;Fo'!$F$38,'3.2 Fi&amp;Fo'!$J$38,IF(AB394&lt;='3.2 Fi&amp;Fo'!$F$39,'3.2 Fi&amp;Fo'!$J$39,IF(AB394&lt;='3.2 Fi&amp;Fo'!$F$40,'3.2 Fi&amp;Fo'!$J$40))))))))</f>
        <v>70873.032000000007</v>
      </c>
      <c r="AH394" s="207">
        <f>IF(AJ393&lt;=1,0,AJ393*IF(AB394&lt;='3.2 Fi&amp;Fo'!$F$34,'3.2 Fi&amp;Fo'!$I$34,IF(AB394&lt;='3.2 Fi&amp;Fo'!$F$35,'3.2 Fi&amp;Fo'!$I$35,IF(AB394&lt;='3.2 Fi&amp;Fo'!$F$36,'3.2 Fi&amp;Fo'!$I$36,IF(AB394&lt;='3.2 Fi&amp;Fo'!$F$39,'3.2 Fi&amp;Fo'!$I$39,IF(AB394&lt;='3.2 Fi&amp;Fo'!$F$40,'3.2 Fi&amp;Fo'!$I$40))))))</f>
        <v>95883.735509158025</v>
      </c>
      <c r="AI394" s="210">
        <f t="shared" si="268"/>
        <v>-25010.703509158018</v>
      </c>
      <c r="AJ394" s="209">
        <f t="shared" si="309"/>
        <v>1623072.961995125</v>
      </c>
      <c r="AK394" s="312">
        <f t="shared" ca="1" si="270"/>
        <v>-154469.27136773267</v>
      </c>
      <c r="AL394" s="169">
        <f>IF(AB394&lt;='3.2 Fi&amp;Fo'!$J$15,'3.2 Fi&amp;Fo'!$I$15,0)</f>
        <v>0</v>
      </c>
      <c r="AM394" s="169">
        <f t="shared" si="282"/>
        <v>30603.062328456901</v>
      </c>
      <c r="AN394" s="838">
        <f t="shared" si="287"/>
        <v>17</v>
      </c>
      <c r="AO394" s="844">
        <f t="shared" ca="1" si="271"/>
        <v>154469.27136773267</v>
      </c>
      <c r="AP394" s="839">
        <f ca="1">CE482</f>
        <v>0</v>
      </c>
      <c r="AQ394" s="844">
        <f t="shared" si="272"/>
        <v>0</v>
      </c>
      <c r="AR394" s="839">
        <f t="shared" ca="1" si="288"/>
        <v>0</v>
      </c>
      <c r="AS394" s="839">
        <f t="shared" ca="1" si="283"/>
        <v>8201.8811270500319</v>
      </c>
      <c r="AT394" s="839">
        <f t="shared" ca="1" si="284"/>
        <v>18353.342660104106</v>
      </c>
      <c r="AU394" s="839">
        <f ca="1">'PV-Einspeisung'!AA99*-1</f>
        <v>0</v>
      </c>
      <c r="AV394" s="839">
        <f ca="1">'PV-Einspeisung'!AE99*-1</f>
        <v>0</v>
      </c>
      <c r="AW394" s="839"/>
      <c r="AX394" s="839">
        <f t="shared" ca="1" si="289"/>
        <v>0</v>
      </c>
      <c r="AY394" s="841">
        <f t="shared" si="273"/>
        <v>17</v>
      </c>
      <c r="AZ394" s="842">
        <f t="shared" ca="1" si="290"/>
        <v>0</v>
      </c>
      <c r="BA394" s="842">
        <f t="shared" ca="1" si="291"/>
        <v>0</v>
      </c>
      <c r="BB394" s="842">
        <f t="shared" ca="1" si="292"/>
        <v>0</v>
      </c>
      <c r="BC394" s="842">
        <f t="shared" ca="1" si="293"/>
        <v>0</v>
      </c>
      <c r="BD394" s="842">
        <f t="shared" ca="1" si="294"/>
        <v>0</v>
      </c>
      <c r="BE394" s="842">
        <f t="shared" ca="1" si="295"/>
        <v>0</v>
      </c>
      <c r="BF394" s="842">
        <f t="shared" ca="1" si="296"/>
        <v>9034.6595461744473</v>
      </c>
      <c r="BG394" s="842">
        <f t="shared" ca="1" si="297"/>
        <v>9318.6831139296592</v>
      </c>
      <c r="BH394" s="858">
        <f t="shared" si="281"/>
        <v>17</v>
      </c>
      <c r="BI394" s="857">
        <f t="shared" ca="1" si="298"/>
        <v>3862.7723636252153</v>
      </c>
      <c r="BJ394" s="857">
        <f t="shared" ca="1" si="299"/>
        <v>4339.1087634248161</v>
      </c>
      <c r="BK394" s="859">
        <f ca="1">'PV-Einspeisung'!AB99*-1</f>
        <v>0</v>
      </c>
      <c r="BL394" s="824">
        <f t="shared" ca="1" si="258"/>
        <v>50</v>
      </c>
      <c r="BM394" s="824">
        <f t="shared" ca="1" si="259"/>
        <v>0</v>
      </c>
      <c r="BN394" s="824">
        <f t="shared" si="260"/>
        <v>91980</v>
      </c>
      <c r="BO394" s="824">
        <f t="shared" ca="1" si="310"/>
        <v>0</v>
      </c>
      <c r="BP394" s="824">
        <f t="shared" ca="1" si="310"/>
        <v>0</v>
      </c>
      <c r="BQ394" s="824">
        <f t="shared" ca="1" si="310"/>
        <v>0</v>
      </c>
      <c r="BR394" s="824">
        <f t="shared" ca="1" si="310"/>
        <v>0</v>
      </c>
      <c r="BS394" s="824">
        <f t="shared" ca="1" si="310"/>
        <v>0</v>
      </c>
      <c r="BT394" s="824">
        <f t="shared" ca="1" si="310"/>
        <v>0</v>
      </c>
      <c r="BU394" s="824">
        <f t="shared" ca="1" si="310"/>
        <v>0</v>
      </c>
      <c r="BV394" s="824">
        <f t="shared" ca="1" si="310"/>
        <v>0</v>
      </c>
      <c r="BW394" s="824">
        <f t="shared" ca="1" si="310"/>
        <v>0</v>
      </c>
      <c r="BX394" s="824">
        <f t="shared" ca="1" si="310"/>
        <v>0</v>
      </c>
      <c r="BY394" s="824">
        <f t="shared" ca="1" si="310"/>
        <v>0</v>
      </c>
      <c r="BZ394" s="824">
        <f t="shared" ca="1" si="310"/>
        <v>0</v>
      </c>
      <c r="CA394" s="824">
        <f t="shared" ca="1" si="310"/>
        <v>0</v>
      </c>
      <c r="CB394" s="824">
        <f t="shared" ca="1" si="310"/>
        <v>0</v>
      </c>
      <c r="CC394" s="824">
        <f t="shared" ca="1" si="310"/>
        <v>0</v>
      </c>
      <c r="CD394" s="824">
        <f t="shared" ca="1" si="310"/>
        <v>0</v>
      </c>
      <c r="CE394" s="824">
        <f t="shared" ca="1" si="300"/>
        <v>0</v>
      </c>
      <c r="CF394" s="824">
        <f t="shared" ca="1" si="300"/>
        <v>0</v>
      </c>
      <c r="CG394" s="824">
        <f t="shared" ca="1" si="300"/>
        <v>0</v>
      </c>
      <c r="CH394" s="824">
        <f t="shared" ca="1" si="300"/>
        <v>0</v>
      </c>
      <c r="CI394" s="824">
        <f t="shared" ca="1" si="300"/>
        <v>0</v>
      </c>
      <c r="CJ394" s="824">
        <f t="shared" ca="1" si="300"/>
        <v>0</v>
      </c>
      <c r="CK394" s="824">
        <f t="shared" ca="1" si="300"/>
        <v>0</v>
      </c>
      <c r="CL394" s="824">
        <f t="shared" ca="1" si="300"/>
        <v>0</v>
      </c>
      <c r="CM394" s="824">
        <f t="shared" ca="1" si="300"/>
        <v>0</v>
      </c>
      <c r="CN394" s="824">
        <f t="shared" ca="1" si="300"/>
        <v>0</v>
      </c>
      <c r="CO394" s="824">
        <f t="shared" ca="1" si="300"/>
        <v>0</v>
      </c>
      <c r="CP394" s="824">
        <f t="shared" ca="1" si="300"/>
        <v>0</v>
      </c>
      <c r="CQ394" s="824">
        <f t="shared" ca="1" si="300"/>
        <v>0</v>
      </c>
      <c r="CR394" s="824">
        <f t="shared" ca="1" si="300"/>
        <v>0</v>
      </c>
      <c r="CS394" s="824">
        <f t="shared" ca="1" si="300"/>
        <v>0</v>
      </c>
      <c r="CT394" s="824">
        <f t="shared" ca="1" si="300"/>
        <v>0</v>
      </c>
      <c r="CU394" s="824">
        <f t="shared" ca="1" si="285"/>
        <v>0</v>
      </c>
      <c r="CV394" s="824">
        <f t="shared" ca="1" si="285"/>
        <v>0</v>
      </c>
      <c r="CW394" s="824">
        <f t="shared" ca="1" si="285"/>
        <v>0</v>
      </c>
      <c r="CX394" s="824">
        <f t="shared" ca="1" si="285"/>
        <v>0</v>
      </c>
      <c r="CY394" s="824">
        <f t="shared" ca="1" si="285"/>
        <v>0</v>
      </c>
      <c r="CZ394" s="824">
        <f t="shared" ca="1" si="285"/>
        <v>0</v>
      </c>
      <c r="DA394" s="824">
        <f t="shared" ca="1" si="286"/>
        <v>0</v>
      </c>
      <c r="DB394" s="824">
        <f t="shared" ca="1" si="286"/>
        <v>0</v>
      </c>
      <c r="DC394" s="824">
        <f t="shared" ca="1" si="286"/>
        <v>0</v>
      </c>
      <c r="DD394" s="824">
        <f t="shared" ca="1" si="286"/>
        <v>0</v>
      </c>
      <c r="DE394" s="824">
        <f t="shared" ca="1" si="286"/>
        <v>0</v>
      </c>
      <c r="DF394" s="824">
        <f t="shared" ca="1" si="286"/>
        <v>0</v>
      </c>
      <c r="DG394" s="824">
        <f t="shared" ca="1" si="286"/>
        <v>0</v>
      </c>
      <c r="DH394" s="824">
        <f t="shared" ca="1" si="286"/>
        <v>0</v>
      </c>
      <c r="DI394" s="824">
        <f t="shared" ca="1" si="286"/>
        <v>0</v>
      </c>
      <c r="DJ394" s="824">
        <f t="shared" ca="1" si="286"/>
        <v>0</v>
      </c>
      <c r="DK394" s="824">
        <f t="shared" ca="1" si="286"/>
        <v>0</v>
      </c>
      <c r="DL394" s="824">
        <f t="shared" ca="1" si="286"/>
        <v>0</v>
      </c>
    </row>
    <row r="395" spans="2:116" ht="12" thickBot="1" x14ac:dyDescent="0.3">
      <c r="B395" s="1673"/>
      <c r="C395" s="1680"/>
      <c r="D395" s="15" t="s">
        <v>129</v>
      </c>
      <c r="E395" s="116"/>
      <c r="F395" s="116">
        <f ca="1">SUBTOTAL(109,'3.2 I&amp;W'!$X$77)</f>
        <v>0</v>
      </c>
      <c r="G395" s="116">
        <f ca="1">SUBTOTAL(109,'3.2 I&amp;W'!$Y$77)</f>
        <v>0</v>
      </c>
      <c r="H395" s="116">
        <f ca="1">SUBTOTAL(109,'3.2 I&amp;W'!$AD$77)</f>
        <v>0</v>
      </c>
      <c r="I395" s="116">
        <f ca="1">SUBTOTAL(109,'3.2 I&amp;W'!$AE$77)</f>
        <v>0</v>
      </c>
      <c r="J395" s="116"/>
      <c r="K395" s="116"/>
      <c r="L395" s="116"/>
      <c r="M395" s="116">
        <f ca="1">SUBTOTAL(109,'3.2 I&amp;W'!$AI$77)</f>
        <v>80</v>
      </c>
      <c r="N395" s="156">
        <f t="shared" ca="1" si="262"/>
        <v>0</v>
      </c>
      <c r="O395" s="116">
        <f ca="1">SUBTOTAL(109,'3.2 I&amp;W'!$S$77)</f>
        <v>14448</v>
      </c>
      <c r="P395" s="30">
        <f t="shared" ca="1" si="302"/>
        <v>0</v>
      </c>
      <c r="Q395" s="31">
        <f t="shared" ca="1" si="303"/>
        <v>0</v>
      </c>
      <c r="R395" s="31">
        <f t="shared" ca="1" si="304"/>
        <v>0</v>
      </c>
      <c r="S395" s="31">
        <f t="shared" ca="1" si="305"/>
        <v>0</v>
      </c>
      <c r="T395" s="32">
        <f t="shared" ca="1" si="306"/>
        <v>0</v>
      </c>
      <c r="U395" s="37">
        <f t="shared" ca="1" si="263"/>
        <v>4063.7244137710095</v>
      </c>
      <c r="V395" s="40">
        <f t="shared" ca="1" si="256"/>
        <v>0</v>
      </c>
      <c r="W395" s="41">
        <f t="shared" ca="1" si="257"/>
        <v>0</v>
      </c>
      <c r="X395" s="43"/>
      <c r="Y395" s="46"/>
      <c r="Z395" s="126"/>
      <c r="AA395" s="136"/>
      <c r="AB395" s="83">
        <v>18</v>
      </c>
      <c r="AC395" s="84">
        <f ca="1">IF(AF394&lt;=1,0,'3.2 Fi&amp;Fo'!$I$25)</f>
        <v>52993.177039275775</v>
      </c>
      <c r="AD395" s="72">
        <f ca="1">IF(AF394&lt;=1,0,AF394*'3.2 Fi&amp;Fo'!$H$25)</f>
        <v>15889.50732601384</v>
      </c>
      <c r="AE395" s="78">
        <f t="shared" ca="1" si="307"/>
        <v>37103.669713261937</v>
      </c>
      <c r="AF395" s="85">
        <f t="shared" ca="1" si="308"/>
        <v>757371.69658743008</v>
      </c>
      <c r="AG395" s="168">
        <f>IF(AJ394&lt;=1,0,IF(AB395&lt;='3.2 Fi&amp;Fo'!$F$34,'3.2 Fi&amp;Fo'!$J$34,IF(AB395&lt;='3.2 Fi&amp;Fo'!$F$35,'3.2 Fi&amp;Fo'!$J$35,IF(AB395&lt;='3.2 Fi&amp;Fo'!$F$36,'3.2 Fi&amp;Fo'!$J$36,IF(AB395&lt;='3.2 Fi&amp;Fo'!$F$37,'3.2 Fi&amp;Fo'!$J$37,IF(AB395&lt;='3.2 Fi&amp;Fo'!$F$38,'3.2 Fi&amp;Fo'!$J$38,IF(AB395&lt;='3.2 Fi&amp;Fo'!$F$39,'3.2 Fi&amp;Fo'!$J$39,IF(AB395&lt;='3.2 Fi&amp;Fo'!$F$40,'3.2 Fi&amp;Fo'!$J$40))))))))</f>
        <v>70873.032000000007</v>
      </c>
      <c r="AH395" s="207">
        <f>IF(AJ394&lt;=1,0,AJ394*IF(AB395&lt;='3.2 Fi&amp;Fo'!$F$34,'3.2 Fi&amp;Fo'!$I$34,IF(AB395&lt;='3.2 Fi&amp;Fo'!$F$35,'3.2 Fi&amp;Fo'!$I$35,IF(AB395&lt;='3.2 Fi&amp;Fo'!$F$36,'3.2 Fi&amp;Fo'!$I$36,IF(AB395&lt;='3.2 Fi&amp;Fo'!$F$39,'3.2 Fi&amp;Fo'!$I$39,IF(AB395&lt;='3.2 Fi&amp;Fo'!$F$40,'3.2 Fi&amp;Fo'!$I$40))))))</f>
        <v>97384.377719707496</v>
      </c>
      <c r="AI395" s="210">
        <f t="shared" si="268"/>
        <v>-26511.345719707489</v>
      </c>
      <c r="AJ395" s="209">
        <f t="shared" si="309"/>
        <v>1649584.3077148325</v>
      </c>
      <c r="AK395" s="312">
        <f t="shared" ca="1" si="270"/>
        <v>-155081.33261430124</v>
      </c>
      <c r="AL395" s="169">
        <f>IF(AB395&lt;='3.2 Fi&amp;Fo'!$J$15,'3.2 Fi&amp;Fo'!$I$15,0)</f>
        <v>0</v>
      </c>
      <c r="AM395" s="169">
        <f t="shared" si="282"/>
        <v>31215.123575025471</v>
      </c>
      <c r="AN395" s="838">
        <f t="shared" si="287"/>
        <v>18</v>
      </c>
      <c r="AO395" s="844">
        <f t="shared" ca="1" si="271"/>
        <v>155081.33261430124</v>
      </c>
      <c r="AP395" s="839">
        <f ca="1">CF482</f>
        <v>0</v>
      </c>
      <c r="AQ395" s="844">
        <f t="shared" si="272"/>
        <v>0</v>
      </c>
      <c r="AR395" s="839">
        <f t="shared" ca="1" si="288"/>
        <v>0</v>
      </c>
      <c r="AS395" s="839">
        <f t="shared" ca="1" si="283"/>
        <v>8333.1112250828319</v>
      </c>
      <c r="AT395" s="839">
        <f t="shared" ca="1" si="284"/>
        <v>18905.363057746006</v>
      </c>
      <c r="AU395" s="839">
        <f ca="1">'PV-Einspeisung'!AA100*-1</f>
        <v>0</v>
      </c>
      <c r="AV395" s="839">
        <f ca="1">'PV-Einspeisung'!AE100*-1</f>
        <v>0</v>
      </c>
      <c r="AW395" s="839"/>
      <c r="AX395" s="839">
        <f t="shared" ca="1" si="289"/>
        <v>0</v>
      </c>
      <c r="AY395" s="841">
        <f t="shared" si="273"/>
        <v>18</v>
      </c>
      <c r="AZ395" s="842">
        <f t="shared" ca="1" si="290"/>
        <v>0</v>
      </c>
      <c r="BA395" s="842">
        <f t="shared" ca="1" si="291"/>
        <v>0</v>
      </c>
      <c r="BB395" s="842">
        <f t="shared" ca="1" si="292"/>
        <v>0</v>
      </c>
      <c r="BC395" s="842">
        <f t="shared" ca="1" si="293"/>
        <v>0</v>
      </c>
      <c r="BD395" s="842">
        <f t="shared" ca="1" si="294"/>
        <v>0</v>
      </c>
      <c r="BE395" s="842">
        <f t="shared" ca="1" si="295"/>
        <v>0</v>
      </c>
      <c r="BF395" s="842">
        <f t="shared" ca="1" si="296"/>
        <v>9260.5260348288084</v>
      </c>
      <c r="BG395" s="842">
        <f t="shared" ca="1" si="297"/>
        <v>9644.837022917196</v>
      </c>
      <c r="BH395" s="858">
        <f t="shared" si="281"/>
        <v>18</v>
      </c>
      <c r="BI395" s="857">
        <f t="shared" ca="1" si="298"/>
        <v>3924.576721443219</v>
      </c>
      <c r="BJ395" s="857">
        <f t="shared" ca="1" si="299"/>
        <v>4408.5345036396129</v>
      </c>
      <c r="BK395" s="859">
        <f ca="1">'PV-Einspeisung'!AB100*-1</f>
        <v>0</v>
      </c>
      <c r="BL395" s="824">
        <f t="shared" ca="1" si="258"/>
        <v>80</v>
      </c>
      <c r="BM395" s="824">
        <f t="shared" ca="1" si="259"/>
        <v>0</v>
      </c>
      <c r="BN395" s="824">
        <f t="shared" ca="1" si="260"/>
        <v>14448</v>
      </c>
      <c r="BO395" s="824">
        <f t="shared" ca="1" si="310"/>
        <v>0</v>
      </c>
      <c r="BP395" s="824">
        <f t="shared" ca="1" si="310"/>
        <v>0</v>
      </c>
      <c r="BQ395" s="824">
        <f t="shared" ca="1" si="310"/>
        <v>0</v>
      </c>
      <c r="BR395" s="824">
        <f t="shared" ca="1" si="310"/>
        <v>0</v>
      </c>
      <c r="BS395" s="824">
        <f t="shared" ca="1" si="310"/>
        <v>0</v>
      </c>
      <c r="BT395" s="824">
        <f t="shared" ca="1" si="310"/>
        <v>0</v>
      </c>
      <c r="BU395" s="824">
        <f t="shared" ca="1" si="310"/>
        <v>0</v>
      </c>
      <c r="BV395" s="824">
        <f t="shared" ca="1" si="310"/>
        <v>0</v>
      </c>
      <c r="BW395" s="824">
        <f t="shared" ca="1" si="310"/>
        <v>0</v>
      </c>
      <c r="BX395" s="824">
        <f t="shared" ca="1" si="310"/>
        <v>0</v>
      </c>
      <c r="BY395" s="824">
        <f t="shared" ca="1" si="310"/>
        <v>0</v>
      </c>
      <c r="BZ395" s="824">
        <f t="shared" ca="1" si="310"/>
        <v>0</v>
      </c>
      <c r="CA395" s="824">
        <f t="shared" ca="1" si="310"/>
        <v>0</v>
      </c>
      <c r="CB395" s="824">
        <f t="shared" ca="1" si="310"/>
        <v>0</v>
      </c>
      <c r="CC395" s="824">
        <f t="shared" ca="1" si="310"/>
        <v>0</v>
      </c>
      <c r="CD395" s="824">
        <f t="shared" ca="1" si="310"/>
        <v>0</v>
      </c>
      <c r="CE395" s="824">
        <f t="shared" ca="1" si="300"/>
        <v>0</v>
      </c>
      <c r="CF395" s="824">
        <f t="shared" ca="1" si="300"/>
        <v>0</v>
      </c>
      <c r="CG395" s="824">
        <f t="shared" ca="1" si="300"/>
        <v>0</v>
      </c>
      <c r="CH395" s="824">
        <f t="shared" ca="1" si="300"/>
        <v>0</v>
      </c>
      <c r="CI395" s="824">
        <f t="shared" ca="1" si="300"/>
        <v>0</v>
      </c>
      <c r="CJ395" s="824">
        <f t="shared" ca="1" si="300"/>
        <v>0</v>
      </c>
      <c r="CK395" s="824">
        <f t="shared" ca="1" si="300"/>
        <v>0</v>
      </c>
      <c r="CL395" s="824">
        <f t="shared" ca="1" si="300"/>
        <v>0</v>
      </c>
      <c r="CM395" s="824">
        <f t="shared" ca="1" si="300"/>
        <v>0</v>
      </c>
      <c r="CN395" s="824">
        <f t="shared" ca="1" si="300"/>
        <v>0</v>
      </c>
      <c r="CO395" s="824">
        <f t="shared" ca="1" si="300"/>
        <v>0</v>
      </c>
      <c r="CP395" s="824">
        <f t="shared" ca="1" si="300"/>
        <v>0</v>
      </c>
      <c r="CQ395" s="824">
        <f t="shared" ca="1" si="300"/>
        <v>0</v>
      </c>
      <c r="CR395" s="824">
        <f t="shared" ca="1" si="300"/>
        <v>0</v>
      </c>
      <c r="CS395" s="824">
        <f t="shared" ca="1" si="300"/>
        <v>0</v>
      </c>
      <c r="CT395" s="824">
        <f t="shared" ca="1" si="300"/>
        <v>0</v>
      </c>
      <c r="CU395" s="824">
        <f t="shared" ca="1" si="285"/>
        <v>0</v>
      </c>
      <c r="CV395" s="824">
        <f t="shared" ca="1" si="285"/>
        <v>0</v>
      </c>
      <c r="CW395" s="824">
        <f t="shared" ca="1" si="285"/>
        <v>0</v>
      </c>
      <c r="CX395" s="824">
        <f t="shared" ca="1" si="285"/>
        <v>0</v>
      </c>
      <c r="CY395" s="824">
        <f t="shared" ca="1" si="285"/>
        <v>0</v>
      </c>
      <c r="CZ395" s="824">
        <f t="shared" ca="1" si="285"/>
        <v>0</v>
      </c>
      <c r="DA395" s="824">
        <f t="shared" ca="1" si="286"/>
        <v>0</v>
      </c>
      <c r="DB395" s="824">
        <f t="shared" ca="1" si="286"/>
        <v>0</v>
      </c>
      <c r="DC395" s="824">
        <f t="shared" ca="1" si="286"/>
        <v>0</v>
      </c>
      <c r="DD395" s="824">
        <f t="shared" ca="1" si="286"/>
        <v>0</v>
      </c>
      <c r="DE395" s="824">
        <f t="shared" ca="1" si="286"/>
        <v>0</v>
      </c>
      <c r="DF395" s="824">
        <f t="shared" ca="1" si="286"/>
        <v>0</v>
      </c>
      <c r="DG395" s="824">
        <f t="shared" ca="1" si="286"/>
        <v>0</v>
      </c>
      <c r="DH395" s="824">
        <f t="shared" ca="1" si="286"/>
        <v>0</v>
      </c>
      <c r="DI395" s="824">
        <f t="shared" ca="1" si="286"/>
        <v>0</v>
      </c>
      <c r="DJ395" s="824">
        <f t="shared" ca="1" si="286"/>
        <v>0</v>
      </c>
      <c r="DK395" s="824">
        <f t="shared" ca="1" si="286"/>
        <v>0</v>
      </c>
      <c r="DL395" s="824">
        <f t="shared" ca="1" si="286"/>
        <v>0</v>
      </c>
    </row>
    <row r="396" spans="2:116" ht="12" thickBot="1" x14ac:dyDescent="0.3">
      <c r="B396" s="1673"/>
      <c r="C396" s="1680"/>
      <c r="D396" s="15" t="s">
        <v>129</v>
      </c>
      <c r="E396" s="165"/>
      <c r="F396" s="116">
        <f ca="1">SUBTOTAL(109,'3.2 I&amp;W'!$X$78)</f>
        <v>0</v>
      </c>
      <c r="G396" s="116">
        <f ca="1">SUBTOTAL(109,'3.2 I&amp;W'!$Y$78)</f>
        <v>0</v>
      </c>
      <c r="H396" s="116">
        <f ca="1">SUBTOTAL(109,'3.2 I&amp;W'!$AD$78)</f>
        <v>0</v>
      </c>
      <c r="I396" s="116">
        <f ca="1">SUBTOTAL(109,'3.2 I&amp;W'!$AE$78)</f>
        <v>0</v>
      </c>
      <c r="J396" s="116"/>
      <c r="K396" s="116"/>
      <c r="L396" s="116"/>
      <c r="M396" s="116">
        <f ca="1">SUBTOTAL(109,'3.2 I&amp;W'!$AI$78)</f>
        <v>100</v>
      </c>
      <c r="N396" s="156">
        <f t="shared" ca="1" si="262"/>
        <v>0</v>
      </c>
      <c r="O396" s="116">
        <f ca="1">SUBTOTAL(109,'3.2 I&amp;W'!$S$78)</f>
        <v>3055.2</v>
      </c>
      <c r="P396" s="30">
        <f t="shared" ca="1" si="302"/>
        <v>0</v>
      </c>
      <c r="Q396" s="31">
        <f t="shared" ca="1" si="303"/>
        <v>0</v>
      </c>
      <c r="R396" s="31">
        <f t="shared" ca="1" si="304"/>
        <v>0</v>
      </c>
      <c r="S396" s="31">
        <f t="shared" ca="1" si="305"/>
        <v>0</v>
      </c>
      <c r="T396" s="32">
        <f t="shared" ca="1" si="306"/>
        <v>0</v>
      </c>
      <c r="U396" s="37">
        <f t="shared" ca="1" si="263"/>
        <v>992.99483681796153</v>
      </c>
      <c r="V396" s="40">
        <f t="shared" ca="1" si="256"/>
        <v>0</v>
      </c>
      <c r="W396" s="41">
        <f t="shared" ca="1" si="257"/>
        <v>0</v>
      </c>
      <c r="X396" s="43"/>
      <c r="Y396" s="46"/>
      <c r="Z396" s="126"/>
      <c r="AA396" s="136"/>
      <c r="AB396" s="83">
        <v>19</v>
      </c>
      <c r="AC396" s="84">
        <f ca="1">IF(AF395&lt;=1,0,'3.2 Fi&amp;Fo'!$I$25)</f>
        <v>52993.177039275775</v>
      </c>
      <c r="AD396" s="72">
        <f ca="1">IF(AF395&lt;=1,0,AF395*'3.2 Fi&amp;Fo'!$H$25)</f>
        <v>15147.433931748601</v>
      </c>
      <c r="AE396" s="78">
        <f t="shared" ca="1" si="307"/>
        <v>37845.743107527174</v>
      </c>
      <c r="AF396" s="85">
        <f t="shared" ca="1" si="308"/>
        <v>719525.95347990294</v>
      </c>
      <c r="AG396" s="168">
        <f>IF(AJ395&lt;=1,0,IF(AB396&lt;='3.2 Fi&amp;Fo'!$F$34,'3.2 Fi&amp;Fo'!$J$34,IF(AB396&lt;='3.2 Fi&amp;Fo'!$F$35,'3.2 Fi&amp;Fo'!$J$35,IF(AB396&lt;='3.2 Fi&amp;Fo'!$F$36,'3.2 Fi&amp;Fo'!$J$36,IF(AB396&lt;='3.2 Fi&amp;Fo'!$F$37,'3.2 Fi&amp;Fo'!$J$37,IF(AB396&lt;='3.2 Fi&amp;Fo'!$F$38,'3.2 Fi&amp;Fo'!$J$38,IF(AB396&lt;='3.2 Fi&amp;Fo'!$F$39,'3.2 Fi&amp;Fo'!$J$39,IF(AB396&lt;='3.2 Fi&amp;Fo'!$F$40,'3.2 Fi&amp;Fo'!$J$40))))))))</f>
        <v>70873.032000000007</v>
      </c>
      <c r="AH396" s="207">
        <f>IF(AJ395&lt;=1,0,AJ395*IF(AB396&lt;='3.2 Fi&amp;Fo'!$F$34,'3.2 Fi&amp;Fo'!$I$34,IF(AB396&lt;='3.2 Fi&amp;Fo'!$F$35,'3.2 Fi&amp;Fo'!$I$35,IF(AB396&lt;='3.2 Fi&amp;Fo'!$F$36,'3.2 Fi&amp;Fo'!$I$36,IF(AB396&lt;='3.2 Fi&amp;Fo'!$F$39,'3.2 Fi&amp;Fo'!$I$39,IF(AB396&lt;='3.2 Fi&amp;Fo'!$F$40,'3.2 Fi&amp;Fo'!$I$40))))))</f>
        <v>98975.058462889952</v>
      </c>
      <c r="AI396" s="210">
        <f t="shared" si="268"/>
        <v>-28102.026462889946</v>
      </c>
      <c r="AJ396" s="209">
        <f t="shared" si="309"/>
        <v>1677686.3341777225</v>
      </c>
      <c r="AK396" s="312">
        <f t="shared" ca="1" si="270"/>
        <v>-155705.63508580183</v>
      </c>
      <c r="AL396" s="169">
        <f>IF(AB396&lt;='3.2 Fi&amp;Fo'!$J$15,'3.2 Fi&amp;Fo'!$I$15,0)</f>
        <v>0</v>
      </c>
      <c r="AM396" s="169">
        <f t="shared" si="282"/>
        <v>31839.42604652606</v>
      </c>
      <c r="AN396" s="838">
        <f t="shared" si="287"/>
        <v>19</v>
      </c>
      <c r="AO396" s="844">
        <f t="shared" ca="1" si="271"/>
        <v>155705.63508580183</v>
      </c>
      <c r="AP396" s="839">
        <f ca="1">CG482</f>
        <v>0</v>
      </c>
      <c r="AQ396" s="844">
        <f t="shared" si="272"/>
        <v>0</v>
      </c>
      <c r="AR396" s="839">
        <f t="shared" ca="1" si="288"/>
        <v>0</v>
      </c>
      <c r="AS396" s="839">
        <f t="shared" ca="1" si="283"/>
        <v>8466.4410046841567</v>
      </c>
      <c r="AT396" s="839">
        <f t="shared" ca="1" si="284"/>
        <v>19474.445504418825</v>
      </c>
      <c r="AU396" s="839">
        <f ca="1">'PV-Einspeisung'!AA101*-1</f>
        <v>0</v>
      </c>
      <c r="AV396" s="839">
        <f ca="1">'PV-Einspeisung'!AE101*-1</f>
        <v>0</v>
      </c>
      <c r="AW396" s="839"/>
      <c r="AX396" s="839">
        <f t="shared" ca="1" si="289"/>
        <v>0</v>
      </c>
      <c r="AY396" s="841">
        <f t="shared" si="273"/>
        <v>19</v>
      </c>
      <c r="AZ396" s="842">
        <f t="shared" ca="1" si="290"/>
        <v>0</v>
      </c>
      <c r="BA396" s="842">
        <f t="shared" ca="1" si="291"/>
        <v>0</v>
      </c>
      <c r="BB396" s="842">
        <f t="shared" ca="1" si="292"/>
        <v>0</v>
      </c>
      <c r="BC396" s="842">
        <f t="shared" ca="1" si="293"/>
        <v>0</v>
      </c>
      <c r="BD396" s="842">
        <f t="shared" ca="1" si="294"/>
        <v>0</v>
      </c>
      <c r="BE396" s="842">
        <f t="shared" ca="1" si="295"/>
        <v>0</v>
      </c>
      <c r="BF396" s="842">
        <f t="shared" ca="1" si="296"/>
        <v>9492.0391856995284</v>
      </c>
      <c r="BG396" s="842">
        <f t="shared" ca="1" si="297"/>
        <v>9982.4063187192969</v>
      </c>
      <c r="BH396" s="858">
        <f t="shared" si="281"/>
        <v>19</v>
      </c>
      <c r="BI396" s="857">
        <f t="shared" ca="1" si="298"/>
        <v>3987.3699489863106</v>
      </c>
      <c r="BJ396" s="857">
        <f t="shared" ca="1" si="299"/>
        <v>4479.0710556978465</v>
      </c>
      <c r="BK396" s="859">
        <f ca="1">'PV-Einspeisung'!AB101*-1</f>
        <v>0</v>
      </c>
      <c r="BL396" s="824">
        <f t="shared" ca="1" si="258"/>
        <v>100</v>
      </c>
      <c r="BM396" s="824">
        <f t="shared" ca="1" si="259"/>
        <v>0</v>
      </c>
      <c r="BN396" s="824">
        <f t="shared" ca="1" si="260"/>
        <v>3055.2</v>
      </c>
      <c r="BO396" s="824">
        <f t="shared" ca="1" si="310"/>
        <v>0</v>
      </c>
      <c r="BP396" s="824">
        <f t="shared" ca="1" si="310"/>
        <v>0</v>
      </c>
      <c r="BQ396" s="824">
        <f t="shared" ca="1" si="310"/>
        <v>0</v>
      </c>
      <c r="BR396" s="824">
        <f t="shared" ca="1" si="310"/>
        <v>0</v>
      </c>
      <c r="BS396" s="824">
        <f t="shared" ca="1" si="310"/>
        <v>0</v>
      </c>
      <c r="BT396" s="824">
        <f t="shared" ca="1" si="310"/>
        <v>0</v>
      </c>
      <c r="BU396" s="824">
        <f t="shared" ca="1" si="310"/>
        <v>0</v>
      </c>
      <c r="BV396" s="824">
        <f t="shared" ca="1" si="310"/>
        <v>0</v>
      </c>
      <c r="BW396" s="824">
        <f t="shared" ca="1" si="310"/>
        <v>0</v>
      </c>
      <c r="BX396" s="824">
        <f t="shared" ca="1" si="310"/>
        <v>0</v>
      </c>
      <c r="BY396" s="824">
        <f t="shared" ca="1" si="310"/>
        <v>0</v>
      </c>
      <c r="BZ396" s="824">
        <f t="shared" ca="1" si="310"/>
        <v>0</v>
      </c>
      <c r="CA396" s="824">
        <f t="shared" ca="1" si="310"/>
        <v>0</v>
      </c>
      <c r="CB396" s="824">
        <f t="shared" ca="1" si="310"/>
        <v>0</v>
      </c>
      <c r="CC396" s="824">
        <f t="shared" ca="1" si="310"/>
        <v>0</v>
      </c>
      <c r="CD396" s="824">
        <f t="shared" ca="1" si="310"/>
        <v>0</v>
      </c>
      <c r="CE396" s="824">
        <f t="shared" ca="1" si="300"/>
        <v>0</v>
      </c>
      <c r="CF396" s="824">
        <f t="shared" ca="1" si="300"/>
        <v>0</v>
      </c>
      <c r="CG396" s="824">
        <f t="shared" ca="1" si="300"/>
        <v>0</v>
      </c>
      <c r="CH396" s="824">
        <f t="shared" ca="1" si="300"/>
        <v>0</v>
      </c>
      <c r="CI396" s="824">
        <f t="shared" ca="1" si="300"/>
        <v>0</v>
      </c>
      <c r="CJ396" s="824">
        <f t="shared" ca="1" si="300"/>
        <v>0</v>
      </c>
      <c r="CK396" s="824">
        <f t="shared" ca="1" si="300"/>
        <v>0</v>
      </c>
      <c r="CL396" s="824">
        <f t="shared" ca="1" si="300"/>
        <v>0</v>
      </c>
      <c r="CM396" s="824">
        <f t="shared" ca="1" si="300"/>
        <v>0</v>
      </c>
      <c r="CN396" s="824">
        <f t="shared" ca="1" si="300"/>
        <v>0</v>
      </c>
      <c r="CO396" s="824">
        <f t="shared" ca="1" si="300"/>
        <v>0</v>
      </c>
      <c r="CP396" s="824">
        <f t="shared" ca="1" si="300"/>
        <v>0</v>
      </c>
      <c r="CQ396" s="824">
        <f t="shared" ref="CQ396:DF424" ca="1" si="311">IF(OR(IF($BL396*1&lt;$BL$196,$BL396*1=CQ$198,FALSE),IF($BL396*2&lt;$BL$196,$BL396*2=CQ$198,FALSE),IF($BL396*3&lt;$BL$196,$BL396*3=CQ$198,FALSE),IF($BL396*4&lt;$BL$196,$BL396*4=CQ$198,FALSE),IF($BL396*5&lt;$BL$196,$BL396*5=CQ$198,FALSE)),$BN396*$BM$196^CQ$198,0)</f>
        <v>0</v>
      </c>
      <c r="CR396" s="824">
        <f t="shared" ca="1" si="311"/>
        <v>0</v>
      </c>
      <c r="CS396" s="824">
        <f t="shared" ca="1" si="311"/>
        <v>0</v>
      </c>
      <c r="CT396" s="824">
        <f t="shared" ca="1" si="311"/>
        <v>0</v>
      </c>
      <c r="CU396" s="824">
        <f t="shared" ca="1" si="285"/>
        <v>0</v>
      </c>
      <c r="CV396" s="824">
        <f t="shared" ca="1" si="285"/>
        <v>0</v>
      </c>
      <c r="CW396" s="824">
        <f t="shared" ca="1" si="285"/>
        <v>0</v>
      </c>
      <c r="CX396" s="824">
        <f t="shared" ca="1" si="285"/>
        <v>0</v>
      </c>
      <c r="CY396" s="824">
        <f t="shared" ca="1" si="285"/>
        <v>0</v>
      </c>
      <c r="CZ396" s="824">
        <f t="shared" ca="1" si="285"/>
        <v>0</v>
      </c>
      <c r="DA396" s="824">
        <f t="shared" ca="1" si="286"/>
        <v>0</v>
      </c>
      <c r="DB396" s="824">
        <f t="shared" ca="1" si="286"/>
        <v>0</v>
      </c>
      <c r="DC396" s="824">
        <f t="shared" ca="1" si="286"/>
        <v>0</v>
      </c>
      <c r="DD396" s="824">
        <f t="shared" ca="1" si="286"/>
        <v>0</v>
      </c>
      <c r="DE396" s="824">
        <f t="shared" ca="1" si="286"/>
        <v>0</v>
      </c>
      <c r="DF396" s="824">
        <f t="shared" ca="1" si="286"/>
        <v>0</v>
      </c>
      <c r="DG396" s="824">
        <f t="shared" ca="1" si="286"/>
        <v>0</v>
      </c>
      <c r="DH396" s="824">
        <f t="shared" ca="1" si="286"/>
        <v>0</v>
      </c>
      <c r="DI396" s="824">
        <f t="shared" ca="1" si="286"/>
        <v>0</v>
      </c>
      <c r="DJ396" s="824">
        <f t="shared" ca="1" si="286"/>
        <v>0</v>
      </c>
      <c r="DK396" s="824">
        <f t="shared" ca="1" si="286"/>
        <v>0</v>
      </c>
      <c r="DL396" s="824">
        <f t="shared" ca="1" si="286"/>
        <v>0</v>
      </c>
    </row>
    <row r="397" spans="2:116" ht="12" thickBot="1" x14ac:dyDescent="0.3">
      <c r="B397" s="1673"/>
      <c r="C397" s="1680"/>
      <c r="D397" s="15" t="s">
        <v>129</v>
      </c>
      <c r="E397" s="116"/>
      <c r="F397" s="116">
        <f ca="1">SUBTOTAL(109,'3.2 I&amp;W'!$X$79)</f>
        <v>0</v>
      </c>
      <c r="G397" s="116">
        <f ca="1">SUBTOTAL(109,'3.2 I&amp;W'!$Y$79)</f>
        <v>0</v>
      </c>
      <c r="H397" s="116">
        <f ca="1">SUBTOTAL(109,'3.2 I&amp;W'!$AD$79)</f>
        <v>0</v>
      </c>
      <c r="I397" s="116">
        <f ca="1">SUBTOTAL(109,'3.2 I&amp;W'!$AE$79)</f>
        <v>0</v>
      </c>
      <c r="J397" s="116"/>
      <c r="K397" s="116"/>
      <c r="L397" s="116"/>
      <c r="M397" s="116">
        <f ca="1">SUBTOTAL(109,'3.2 I&amp;W'!$AI$79)</f>
        <v>0</v>
      </c>
      <c r="N397" s="156">
        <f t="shared" ca="1" si="262"/>
        <v>0</v>
      </c>
      <c r="O397" s="116">
        <f ca="1">SUBTOTAL(109,'3.2 I&amp;W'!$S$79)</f>
        <v>0</v>
      </c>
      <c r="P397" s="30">
        <f t="shared" ca="1" si="302"/>
        <v>0</v>
      </c>
      <c r="Q397" s="31">
        <f t="shared" ca="1" si="303"/>
        <v>0</v>
      </c>
      <c r="R397" s="31">
        <f t="shared" ca="1" si="304"/>
        <v>0</v>
      </c>
      <c r="S397" s="31">
        <f t="shared" ca="1" si="305"/>
        <v>0</v>
      </c>
      <c r="T397" s="32">
        <f t="shared" ca="1" si="306"/>
        <v>0</v>
      </c>
      <c r="U397" s="37">
        <f t="shared" ca="1" si="263"/>
        <v>0</v>
      </c>
      <c r="V397" s="40">
        <f t="shared" ca="1" si="256"/>
        <v>0</v>
      </c>
      <c r="W397" s="41">
        <f t="shared" ca="1" si="257"/>
        <v>0</v>
      </c>
      <c r="X397" s="43"/>
      <c r="Y397" s="46"/>
      <c r="Z397" s="126"/>
      <c r="AA397" s="136"/>
      <c r="AB397" s="83">
        <v>20</v>
      </c>
      <c r="AC397" s="84">
        <f ca="1">IF(AF396&lt;=1,0,'3.2 Fi&amp;Fo'!$I$25)</f>
        <v>52993.177039275775</v>
      </c>
      <c r="AD397" s="72">
        <f ca="1">IF(AF396&lt;=1,0,AF396*'3.2 Fi&amp;Fo'!$H$25)</f>
        <v>14390.519069598058</v>
      </c>
      <c r="AE397" s="78">
        <f t="shared" ca="1" si="307"/>
        <v>38602.657969677719</v>
      </c>
      <c r="AF397" s="85">
        <f t="shared" ca="1" si="308"/>
        <v>680923.29551022523</v>
      </c>
      <c r="AG397" s="168">
        <f>IF(AJ396&lt;=1,0,IF(AB397&lt;='3.2 Fi&amp;Fo'!$F$34,'3.2 Fi&amp;Fo'!$J$34,IF(AB397&lt;='3.2 Fi&amp;Fo'!$F$35,'3.2 Fi&amp;Fo'!$J$35,IF(AB397&lt;='3.2 Fi&amp;Fo'!$F$36,'3.2 Fi&amp;Fo'!$J$36,IF(AB397&lt;='3.2 Fi&amp;Fo'!$F$37,'3.2 Fi&amp;Fo'!$J$37,IF(AB397&lt;='3.2 Fi&amp;Fo'!$F$38,'3.2 Fi&amp;Fo'!$J$38,IF(AB397&lt;='3.2 Fi&amp;Fo'!$F$39,'3.2 Fi&amp;Fo'!$J$39,IF(AB397&lt;='3.2 Fi&amp;Fo'!$F$40,'3.2 Fi&amp;Fo'!$J$40))))))))</f>
        <v>70873.032000000007</v>
      </c>
      <c r="AH397" s="207">
        <f>IF(AJ396&lt;=1,0,AJ396*IF(AB397&lt;='3.2 Fi&amp;Fo'!$F$34,'3.2 Fi&amp;Fo'!$I$34,IF(AB397&lt;='3.2 Fi&amp;Fo'!$F$35,'3.2 Fi&amp;Fo'!$I$35,IF(AB397&lt;='3.2 Fi&amp;Fo'!$F$36,'3.2 Fi&amp;Fo'!$I$36,IF(AB397&lt;='3.2 Fi&amp;Fo'!$F$39,'3.2 Fi&amp;Fo'!$I$39,IF(AB397&lt;='3.2 Fi&amp;Fo'!$F$40,'3.2 Fi&amp;Fo'!$I$40))))))</f>
        <v>100661.18005066334</v>
      </c>
      <c r="AI397" s="210">
        <f t="shared" si="268"/>
        <v>-29788.148050663338</v>
      </c>
      <c r="AJ397" s="209">
        <f t="shared" si="309"/>
        <v>1707474.4822283858</v>
      </c>
      <c r="AK397" s="312">
        <f t="shared" ca="1" si="270"/>
        <v>-156342.42360673286</v>
      </c>
      <c r="AL397" s="169">
        <f>IF(AB397&lt;='3.2 Fi&amp;Fo'!$J$15,'3.2 Fi&amp;Fo'!$I$15,0)</f>
        <v>0</v>
      </c>
      <c r="AM397" s="169">
        <f t="shared" si="282"/>
        <v>32476.214567457093</v>
      </c>
      <c r="AN397" s="838">
        <f t="shared" si="287"/>
        <v>20</v>
      </c>
      <c r="AO397" s="844">
        <f t="shared" ca="1" si="271"/>
        <v>156342.42360673286</v>
      </c>
      <c r="AP397" s="839">
        <f ca="1">CH482</f>
        <v>32983.937103226628</v>
      </c>
      <c r="AQ397" s="844">
        <f t="shared" si="272"/>
        <v>0</v>
      </c>
      <c r="AR397" s="839">
        <f t="shared" ca="1" si="288"/>
        <v>0</v>
      </c>
      <c r="AS397" s="839">
        <f t="shared" ca="1" si="283"/>
        <v>8601.9040607591032</v>
      </c>
      <c r="AT397" s="839">
        <f t="shared" ca="1" si="284"/>
        <v>20061.130705216485</v>
      </c>
      <c r="AU397" s="839">
        <f ca="1">'PV-Einspeisung'!AA102*-1</f>
        <v>0</v>
      </c>
      <c r="AV397" s="839">
        <f ca="1">'PV-Einspeisung'!AE102*-1</f>
        <v>0</v>
      </c>
      <c r="AW397" s="839"/>
      <c r="AX397" s="839">
        <f t="shared" ca="1" si="289"/>
        <v>0</v>
      </c>
      <c r="AY397" s="841">
        <f t="shared" si="273"/>
        <v>20</v>
      </c>
      <c r="AZ397" s="842">
        <f t="shared" ca="1" si="290"/>
        <v>0</v>
      </c>
      <c r="BA397" s="842">
        <f t="shared" ca="1" si="291"/>
        <v>0</v>
      </c>
      <c r="BB397" s="842">
        <f t="shared" ca="1" si="292"/>
        <v>0</v>
      </c>
      <c r="BC397" s="842">
        <f t="shared" ca="1" si="293"/>
        <v>0</v>
      </c>
      <c r="BD397" s="842">
        <f t="shared" ca="1" si="294"/>
        <v>0</v>
      </c>
      <c r="BE397" s="842">
        <f t="shared" ca="1" si="295"/>
        <v>0</v>
      </c>
      <c r="BF397" s="842">
        <f t="shared" ca="1" si="296"/>
        <v>9729.3401653420151</v>
      </c>
      <c r="BG397" s="842">
        <f t="shared" ca="1" si="297"/>
        <v>10331.790539874472</v>
      </c>
      <c r="BH397" s="858">
        <f t="shared" si="281"/>
        <v>20</v>
      </c>
      <c r="BI397" s="857">
        <f t="shared" ca="1" si="298"/>
        <v>4051.1678681700919</v>
      </c>
      <c r="BJ397" s="857">
        <f t="shared" ca="1" si="299"/>
        <v>4550.7361925890118</v>
      </c>
      <c r="BK397" s="859">
        <f ca="1">'PV-Einspeisung'!AB102*-1</f>
        <v>0</v>
      </c>
      <c r="BL397" s="824">
        <f t="shared" ca="1" si="258"/>
        <v>0</v>
      </c>
      <c r="BM397" s="824">
        <f t="shared" ca="1" si="259"/>
        <v>0</v>
      </c>
      <c r="BN397" s="824">
        <f t="shared" ca="1" si="260"/>
        <v>0</v>
      </c>
      <c r="BO397" s="824">
        <f t="shared" ca="1" si="310"/>
        <v>0</v>
      </c>
      <c r="BP397" s="824">
        <f t="shared" ca="1" si="310"/>
        <v>0</v>
      </c>
      <c r="BQ397" s="824">
        <f t="shared" ca="1" si="310"/>
        <v>0</v>
      </c>
      <c r="BR397" s="824">
        <f t="shared" ca="1" si="310"/>
        <v>0</v>
      </c>
      <c r="BS397" s="824">
        <f t="shared" ca="1" si="310"/>
        <v>0</v>
      </c>
      <c r="BT397" s="824">
        <f t="shared" ca="1" si="310"/>
        <v>0</v>
      </c>
      <c r="BU397" s="824">
        <f t="shared" ca="1" si="310"/>
        <v>0</v>
      </c>
      <c r="BV397" s="824">
        <f t="shared" ca="1" si="310"/>
        <v>0</v>
      </c>
      <c r="BW397" s="824">
        <f t="shared" ca="1" si="310"/>
        <v>0</v>
      </c>
      <c r="BX397" s="824">
        <f t="shared" ca="1" si="310"/>
        <v>0</v>
      </c>
      <c r="BY397" s="824">
        <f t="shared" ca="1" si="310"/>
        <v>0</v>
      </c>
      <c r="BZ397" s="824">
        <f t="shared" ca="1" si="310"/>
        <v>0</v>
      </c>
      <c r="CA397" s="824">
        <f t="shared" ca="1" si="310"/>
        <v>0</v>
      </c>
      <c r="CB397" s="824">
        <f t="shared" ca="1" si="310"/>
        <v>0</v>
      </c>
      <c r="CC397" s="824">
        <f t="shared" ca="1" si="310"/>
        <v>0</v>
      </c>
      <c r="CD397" s="824">
        <f t="shared" ca="1" si="310"/>
        <v>0</v>
      </c>
      <c r="CE397" s="824">
        <f t="shared" ref="CE397:CS406" ca="1" si="312">IF(OR(IF($BL397*1&lt;$BL$196,$BL397*1=CE$198,FALSE),IF($BL397*2&lt;$BL$196,$BL397*2=CE$198,FALSE),IF($BL397*3&lt;$BL$196,$BL397*3=CE$198,FALSE),IF($BL397*4&lt;$BL$196,$BL397*4=CE$198,FALSE),IF($BL397*5&lt;$BL$196,$BL397*5=CE$198,FALSE)),$BN397*$BM$196^CE$198,0)</f>
        <v>0</v>
      </c>
      <c r="CF397" s="824">
        <f t="shared" ca="1" si="312"/>
        <v>0</v>
      </c>
      <c r="CG397" s="824">
        <f t="shared" ca="1" si="312"/>
        <v>0</v>
      </c>
      <c r="CH397" s="824">
        <f t="shared" ca="1" si="312"/>
        <v>0</v>
      </c>
      <c r="CI397" s="824">
        <f t="shared" ca="1" si="312"/>
        <v>0</v>
      </c>
      <c r="CJ397" s="824">
        <f t="shared" ca="1" si="312"/>
        <v>0</v>
      </c>
      <c r="CK397" s="824">
        <f t="shared" ca="1" si="312"/>
        <v>0</v>
      </c>
      <c r="CL397" s="824">
        <f t="shared" ca="1" si="312"/>
        <v>0</v>
      </c>
      <c r="CM397" s="824">
        <f t="shared" ca="1" si="312"/>
        <v>0</v>
      </c>
      <c r="CN397" s="824">
        <f t="shared" ca="1" si="312"/>
        <v>0</v>
      </c>
      <c r="CO397" s="824">
        <f t="shared" ca="1" si="312"/>
        <v>0</v>
      </c>
      <c r="CP397" s="824">
        <f t="shared" ca="1" si="312"/>
        <v>0</v>
      </c>
      <c r="CQ397" s="824">
        <f t="shared" ca="1" si="312"/>
        <v>0</v>
      </c>
      <c r="CR397" s="824">
        <f t="shared" ca="1" si="312"/>
        <v>0</v>
      </c>
      <c r="CS397" s="824">
        <f t="shared" ca="1" si="312"/>
        <v>0</v>
      </c>
      <c r="CT397" s="824">
        <f t="shared" ca="1" si="311"/>
        <v>0</v>
      </c>
      <c r="CU397" s="824">
        <f t="shared" ca="1" si="285"/>
        <v>0</v>
      </c>
      <c r="CV397" s="824">
        <f t="shared" ca="1" si="285"/>
        <v>0</v>
      </c>
      <c r="CW397" s="824">
        <f t="shared" ca="1" si="285"/>
        <v>0</v>
      </c>
      <c r="CX397" s="824">
        <f t="shared" ca="1" si="285"/>
        <v>0</v>
      </c>
      <c r="CY397" s="824">
        <f t="shared" ca="1" si="285"/>
        <v>0</v>
      </c>
      <c r="CZ397" s="824">
        <f t="shared" ca="1" si="285"/>
        <v>0</v>
      </c>
      <c r="DA397" s="824">
        <f t="shared" ca="1" si="286"/>
        <v>0</v>
      </c>
      <c r="DB397" s="824">
        <f t="shared" ca="1" si="286"/>
        <v>0</v>
      </c>
      <c r="DC397" s="824">
        <f t="shared" ca="1" si="286"/>
        <v>0</v>
      </c>
      <c r="DD397" s="824">
        <f t="shared" ca="1" si="286"/>
        <v>0</v>
      </c>
      <c r="DE397" s="824">
        <f t="shared" ca="1" si="286"/>
        <v>0</v>
      </c>
      <c r="DF397" s="824">
        <f t="shared" ca="1" si="286"/>
        <v>0</v>
      </c>
      <c r="DG397" s="824">
        <f t="shared" ca="1" si="286"/>
        <v>0</v>
      </c>
      <c r="DH397" s="824">
        <f t="shared" ca="1" si="286"/>
        <v>0</v>
      </c>
      <c r="DI397" s="824">
        <f t="shared" ca="1" si="286"/>
        <v>0</v>
      </c>
      <c r="DJ397" s="824">
        <f t="shared" ca="1" si="286"/>
        <v>0</v>
      </c>
      <c r="DK397" s="824">
        <f t="shared" ca="1" si="286"/>
        <v>0</v>
      </c>
      <c r="DL397" s="824">
        <f t="shared" ca="1" si="286"/>
        <v>0</v>
      </c>
    </row>
    <row r="398" spans="2:116" ht="12" thickBot="1" x14ac:dyDescent="0.3">
      <c r="B398" s="1673"/>
      <c r="C398" s="1680"/>
      <c r="D398" s="15" t="s">
        <v>129</v>
      </c>
      <c r="E398" s="165"/>
      <c r="F398" s="116">
        <f ca="1">SUBTOTAL(109,'3.2 I&amp;W'!$X$80)</f>
        <v>0</v>
      </c>
      <c r="G398" s="116">
        <f ca="1">SUBTOTAL(109,'3.2 I&amp;W'!$Y$80)</f>
        <v>0</v>
      </c>
      <c r="H398" s="116">
        <f ca="1">SUBTOTAL(109,'3.2 I&amp;W'!$AD$80)</f>
        <v>0</v>
      </c>
      <c r="I398" s="116">
        <f ca="1">SUBTOTAL(109,'3.2 I&amp;W'!$AE$80)</f>
        <v>0</v>
      </c>
      <c r="J398" s="116"/>
      <c r="K398" s="116"/>
      <c r="L398" s="116"/>
      <c r="M398" s="116">
        <f ca="1">SUBTOTAL(109,'3.2 I&amp;W'!$AI$80)</f>
        <v>0</v>
      </c>
      <c r="N398" s="156">
        <f t="shared" ca="1" si="262"/>
        <v>0</v>
      </c>
      <c r="O398" s="116">
        <f ca="1">SUBTOTAL(109,'3.2 I&amp;W'!$S$80)</f>
        <v>0</v>
      </c>
      <c r="P398" s="30">
        <f t="shared" ca="1" si="302"/>
        <v>0</v>
      </c>
      <c r="Q398" s="31">
        <f t="shared" ca="1" si="303"/>
        <v>0</v>
      </c>
      <c r="R398" s="31">
        <f t="shared" ca="1" si="304"/>
        <v>0</v>
      </c>
      <c r="S398" s="31">
        <f t="shared" ca="1" si="305"/>
        <v>0</v>
      </c>
      <c r="T398" s="32">
        <f t="shared" ca="1" si="306"/>
        <v>0</v>
      </c>
      <c r="U398" s="37">
        <f t="shared" ca="1" si="263"/>
        <v>0</v>
      </c>
      <c r="V398" s="40">
        <f t="shared" ca="1" si="256"/>
        <v>0</v>
      </c>
      <c r="W398" s="41">
        <f t="shared" ca="1" si="257"/>
        <v>0</v>
      </c>
      <c r="X398" s="43"/>
      <c r="Y398" s="46"/>
      <c r="Z398" s="126"/>
      <c r="AA398" s="136"/>
      <c r="AB398" s="83">
        <v>21</v>
      </c>
      <c r="AC398" s="84">
        <f ca="1">IF(AF397&lt;=1,0,'3.2 Fi&amp;Fo'!$I$25)</f>
        <v>52993.177039275775</v>
      </c>
      <c r="AD398" s="72">
        <f ca="1">IF(AF397&lt;=1,0,AF397*'3.2 Fi&amp;Fo'!$H$25)</f>
        <v>13618.465910204504</v>
      </c>
      <c r="AE398" s="78">
        <f t="shared" ca="1" si="307"/>
        <v>39374.711129071271</v>
      </c>
      <c r="AF398" s="85">
        <f t="shared" ca="1" si="308"/>
        <v>641548.58438115392</v>
      </c>
      <c r="AG398" s="168">
        <f>IF(AJ397&lt;=1,0,IF(AB398&lt;='3.2 Fi&amp;Fo'!$F$34,'3.2 Fi&amp;Fo'!$J$34,IF(AB398&lt;='3.2 Fi&amp;Fo'!$F$35,'3.2 Fi&amp;Fo'!$J$35,IF(AB398&lt;='3.2 Fi&amp;Fo'!$F$36,'3.2 Fi&amp;Fo'!$J$36,IF(AB398&lt;='3.2 Fi&amp;Fo'!$F$37,'3.2 Fi&amp;Fo'!$J$37,IF(AB398&lt;='3.2 Fi&amp;Fo'!$F$38,'3.2 Fi&amp;Fo'!$J$38,IF(AB398&lt;='3.2 Fi&amp;Fo'!$F$39,'3.2 Fi&amp;Fo'!$J$39,IF(AB398&lt;='3.2 Fi&amp;Fo'!$F$40,'3.2 Fi&amp;Fo'!$J$40))))))))</f>
        <v>86619.928</v>
      </c>
      <c r="AH398" s="207">
        <f>IF(AJ397&lt;=1,0,AJ397*IF(AB398&lt;='3.2 Fi&amp;Fo'!$F$34,'3.2 Fi&amp;Fo'!$I$34,IF(AB398&lt;='3.2 Fi&amp;Fo'!$F$35,'3.2 Fi&amp;Fo'!$I$35,IF(AB398&lt;='3.2 Fi&amp;Fo'!$F$36,'3.2 Fi&amp;Fo'!$I$36,IF(AB398&lt;='3.2 Fi&amp;Fo'!$F$39,'3.2 Fi&amp;Fo'!$I$39,IF(AB398&lt;='3.2 Fi&amp;Fo'!$F$40,'3.2 Fi&amp;Fo'!$I$40))))))</f>
        <v>102448.46893370315</v>
      </c>
      <c r="AI398" s="210">
        <f t="shared" si="268"/>
        <v>-15828.540933703145</v>
      </c>
      <c r="AJ398" s="209">
        <f t="shared" si="309"/>
        <v>1723303.0231620888</v>
      </c>
      <c r="AK398" s="312">
        <f t="shared" ca="1" si="270"/>
        <v>-172738.84389808151</v>
      </c>
      <c r="AL398" s="169">
        <f>IF(AB398&lt;='3.2 Fi&amp;Fo'!$J$15,'3.2 Fi&amp;Fo'!$I$15,0)</f>
        <v>0</v>
      </c>
      <c r="AM398" s="169">
        <f t="shared" si="282"/>
        <v>33125.738858805737</v>
      </c>
      <c r="AN398" s="838">
        <f t="shared" si="287"/>
        <v>21</v>
      </c>
      <c r="AO398" s="844">
        <f t="shared" ca="1" si="271"/>
        <v>172738.84389808151</v>
      </c>
      <c r="AP398" s="839">
        <f ca="1">CI482</f>
        <v>0</v>
      </c>
      <c r="AQ398" s="844">
        <f t="shared" si="272"/>
        <v>0</v>
      </c>
      <c r="AR398" s="839">
        <f t="shared" ca="1" si="288"/>
        <v>0</v>
      </c>
      <c r="AS398" s="839">
        <f t="shared" ca="1" si="283"/>
        <v>8739.5345257312492</v>
      </c>
      <c r="AT398" s="839">
        <f t="shared" ca="1" si="284"/>
        <v>20665.976878245645</v>
      </c>
      <c r="AU398" s="839">
        <f ca="1">'PV-Einspeisung'!AA103*-1</f>
        <v>0</v>
      </c>
      <c r="AV398" s="839">
        <f ca="1">'PV-Einspeisung'!AE103*-1</f>
        <v>0</v>
      </c>
      <c r="AW398" s="839"/>
      <c r="AX398" s="839">
        <f t="shared" ca="1" si="289"/>
        <v>0</v>
      </c>
      <c r="AY398" s="841">
        <f t="shared" si="273"/>
        <v>21</v>
      </c>
      <c r="AZ398" s="842">
        <f t="shared" ca="1" si="290"/>
        <v>0</v>
      </c>
      <c r="BA398" s="842">
        <f t="shared" ca="1" si="291"/>
        <v>0</v>
      </c>
      <c r="BB398" s="842">
        <f t="shared" ca="1" si="292"/>
        <v>0</v>
      </c>
      <c r="BC398" s="842">
        <f t="shared" ca="1" si="293"/>
        <v>0</v>
      </c>
      <c r="BD398" s="842">
        <f t="shared" ca="1" si="294"/>
        <v>0</v>
      </c>
      <c r="BE398" s="842">
        <f t="shared" ca="1" si="295"/>
        <v>0</v>
      </c>
      <c r="BF398" s="842">
        <f t="shared" ca="1" si="296"/>
        <v>9972.5736694755651</v>
      </c>
      <c r="BG398" s="842">
        <f t="shared" ca="1" si="297"/>
        <v>10693.403208770078</v>
      </c>
      <c r="BH398" s="858">
        <f t="shared" si="281"/>
        <v>21</v>
      </c>
      <c r="BI398" s="857">
        <f t="shared" ca="1" si="298"/>
        <v>4115.9865540608134</v>
      </c>
      <c r="BJ398" s="857">
        <f t="shared" ca="1" si="299"/>
        <v>4623.5479716704358</v>
      </c>
      <c r="BK398" s="859">
        <f ca="1">'PV-Einspeisung'!AB103*-1</f>
        <v>0</v>
      </c>
      <c r="BL398" s="824">
        <f t="shared" ca="1" si="258"/>
        <v>0</v>
      </c>
      <c r="BM398" s="824">
        <f t="shared" ca="1" si="259"/>
        <v>0</v>
      </c>
      <c r="BN398" s="824">
        <f t="shared" ca="1" si="260"/>
        <v>0</v>
      </c>
      <c r="BO398" s="824">
        <f t="shared" ca="1" si="310"/>
        <v>0</v>
      </c>
      <c r="BP398" s="824">
        <f t="shared" ca="1" si="310"/>
        <v>0</v>
      </c>
      <c r="BQ398" s="824">
        <f t="shared" ca="1" si="310"/>
        <v>0</v>
      </c>
      <c r="BR398" s="824">
        <f t="shared" ca="1" si="310"/>
        <v>0</v>
      </c>
      <c r="BS398" s="824">
        <f t="shared" ca="1" si="310"/>
        <v>0</v>
      </c>
      <c r="BT398" s="824">
        <f t="shared" ca="1" si="310"/>
        <v>0</v>
      </c>
      <c r="BU398" s="824">
        <f t="shared" ca="1" si="310"/>
        <v>0</v>
      </c>
      <c r="BV398" s="824">
        <f t="shared" ca="1" si="310"/>
        <v>0</v>
      </c>
      <c r="BW398" s="824">
        <f t="shared" ca="1" si="310"/>
        <v>0</v>
      </c>
      <c r="BX398" s="824">
        <f t="shared" ca="1" si="310"/>
        <v>0</v>
      </c>
      <c r="BY398" s="824">
        <f t="shared" ca="1" si="310"/>
        <v>0</v>
      </c>
      <c r="BZ398" s="824">
        <f t="shared" ca="1" si="310"/>
        <v>0</v>
      </c>
      <c r="CA398" s="824">
        <f t="shared" ca="1" si="310"/>
        <v>0</v>
      </c>
      <c r="CB398" s="824">
        <f t="shared" ca="1" si="310"/>
        <v>0</v>
      </c>
      <c r="CC398" s="824">
        <f t="shared" ca="1" si="310"/>
        <v>0</v>
      </c>
      <c r="CD398" s="824">
        <f t="shared" ca="1" si="310"/>
        <v>0</v>
      </c>
      <c r="CE398" s="824">
        <f t="shared" ca="1" si="312"/>
        <v>0</v>
      </c>
      <c r="CF398" s="824">
        <f t="shared" ca="1" si="312"/>
        <v>0</v>
      </c>
      <c r="CG398" s="824">
        <f t="shared" ca="1" si="312"/>
        <v>0</v>
      </c>
      <c r="CH398" s="824">
        <f t="shared" ca="1" si="312"/>
        <v>0</v>
      </c>
      <c r="CI398" s="824">
        <f t="shared" ca="1" si="312"/>
        <v>0</v>
      </c>
      <c r="CJ398" s="824">
        <f t="shared" ca="1" si="312"/>
        <v>0</v>
      </c>
      <c r="CK398" s="824">
        <f t="shared" ca="1" si="312"/>
        <v>0</v>
      </c>
      <c r="CL398" s="824">
        <f t="shared" ca="1" si="312"/>
        <v>0</v>
      </c>
      <c r="CM398" s="824">
        <f t="shared" ca="1" si="312"/>
        <v>0</v>
      </c>
      <c r="CN398" s="824">
        <f t="shared" ca="1" si="312"/>
        <v>0</v>
      </c>
      <c r="CO398" s="824">
        <f t="shared" ca="1" si="312"/>
        <v>0</v>
      </c>
      <c r="CP398" s="824">
        <f t="shared" ca="1" si="312"/>
        <v>0</v>
      </c>
      <c r="CQ398" s="824">
        <f t="shared" ca="1" si="312"/>
        <v>0</v>
      </c>
      <c r="CR398" s="824">
        <f t="shared" ca="1" si="312"/>
        <v>0</v>
      </c>
      <c r="CS398" s="824">
        <f t="shared" ca="1" si="312"/>
        <v>0</v>
      </c>
      <c r="CT398" s="824">
        <f t="shared" ca="1" si="311"/>
        <v>0</v>
      </c>
      <c r="CU398" s="824">
        <f t="shared" ca="1" si="285"/>
        <v>0</v>
      </c>
      <c r="CV398" s="824">
        <f t="shared" ca="1" si="285"/>
        <v>0</v>
      </c>
      <c r="CW398" s="824">
        <f t="shared" ca="1" si="285"/>
        <v>0</v>
      </c>
      <c r="CX398" s="824">
        <f t="shared" ca="1" si="285"/>
        <v>0</v>
      </c>
      <c r="CY398" s="824">
        <f t="shared" ca="1" si="285"/>
        <v>0</v>
      </c>
      <c r="CZ398" s="824">
        <f t="shared" ca="1" si="285"/>
        <v>0</v>
      </c>
      <c r="DA398" s="824">
        <f t="shared" ca="1" si="286"/>
        <v>0</v>
      </c>
      <c r="DB398" s="824">
        <f t="shared" ca="1" si="286"/>
        <v>0</v>
      </c>
      <c r="DC398" s="824">
        <f t="shared" ca="1" si="286"/>
        <v>0</v>
      </c>
      <c r="DD398" s="824">
        <f t="shared" ca="1" si="286"/>
        <v>0</v>
      </c>
      <c r="DE398" s="824">
        <f t="shared" ca="1" si="286"/>
        <v>0</v>
      </c>
      <c r="DF398" s="824">
        <f t="shared" ca="1" si="286"/>
        <v>0</v>
      </c>
      <c r="DG398" s="824">
        <f t="shared" ca="1" si="286"/>
        <v>0</v>
      </c>
      <c r="DH398" s="824">
        <f t="shared" ca="1" si="286"/>
        <v>0</v>
      </c>
      <c r="DI398" s="824">
        <f t="shared" ca="1" si="286"/>
        <v>0</v>
      </c>
      <c r="DJ398" s="824">
        <f t="shared" ca="1" si="286"/>
        <v>0</v>
      </c>
      <c r="DK398" s="824">
        <f t="shared" ca="1" si="286"/>
        <v>0</v>
      </c>
      <c r="DL398" s="824">
        <f t="shared" ca="1" si="286"/>
        <v>0</v>
      </c>
    </row>
    <row r="399" spans="2:116" ht="12" thickBot="1" x14ac:dyDescent="0.3">
      <c r="B399" s="1673"/>
      <c r="C399" s="1680"/>
      <c r="D399" s="15" t="s">
        <v>129</v>
      </c>
      <c r="E399" s="116"/>
      <c r="F399" s="116">
        <f ca="1">SUBTOTAL(109,'3.2 I&amp;W'!$X$81)</f>
        <v>0</v>
      </c>
      <c r="G399" s="116">
        <f ca="1">SUBTOTAL(109,'3.2 I&amp;W'!$Y$81)</f>
        <v>0</v>
      </c>
      <c r="H399" s="116">
        <f ca="1">SUBTOTAL(109,'3.2 I&amp;W'!$AD$81)</f>
        <v>0</v>
      </c>
      <c r="I399" s="116">
        <f ca="1">SUBTOTAL(109,'3.2 I&amp;W'!$AE$81)</f>
        <v>0</v>
      </c>
      <c r="J399" s="116"/>
      <c r="K399" s="116"/>
      <c r="L399" s="116"/>
      <c r="M399" s="116">
        <f ca="1">SUBTOTAL(109,'3.2 I&amp;W'!$AI$81)</f>
        <v>0</v>
      </c>
      <c r="N399" s="156">
        <f t="shared" ca="1" si="262"/>
        <v>0</v>
      </c>
      <c r="O399" s="116">
        <f ca="1">SUBTOTAL(109,'3.2 I&amp;W'!$S$81)</f>
        <v>0</v>
      </c>
      <c r="P399" s="30">
        <f t="shared" ca="1" si="302"/>
        <v>0</v>
      </c>
      <c r="Q399" s="31">
        <f t="shared" ca="1" si="303"/>
        <v>0</v>
      </c>
      <c r="R399" s="31">
        <f t="shared" ca="1" si="304"/>
        <v>0</v>
      </c>
      <c r="S399" s="31">
        <f t="shared" ca="1" si="305"/>
        <v>0</v>
      </c>
      <c r="T399" s="32">
        <f t="shared" ca="1" si="306"/>
        <v>0</v>
      </c>
      <c r="U399" s="37">
        <f t="shared" ca="1" si="263"/>
        <v>0</v>
      </c>
      <c r="V399" s="40">
        <f t="shared" ca="1" si="256"/>
        <v>0</v>
      </c>
      <c r="W399" s="41">
        <f t="shared" ca="1" si="257"/>
        <v>0</v>
      </c>
      <c r="X399" s="43"/>
      <c r="Y399" s="46"/>
      <c r="Z399" s="126"/>
      <c r="AA399" s="136"/>
      <c r="AB399" s="83">
        <v>22</v>
      </c>
      <c r="AC399" s="84">
        <f ca="1">IF(AF398&lt;=1,0,'3.2 Fi&amp;Fo'!$I$25)</f>
        <v>52993.177039275775</v>
      </c>
      <c r="AD399" s="72">
        <f ca="1">IF(AF398&lt;=1,0,AF398*'3.2 Fi&amp;Fo'!$H$25)</f>
        <v>12830.97168762308</v>
      </c>
      <c r="AE399" s="78">
        <f t="shared" ca="1" si="307"/>
        <v>40162.205351652694</v>
      </c>
      <c r="AF399" s="85">
        <f t="shared" ca="1" si="308"/>
        <v>601386.37902950123</v>
      </c>
      <c r="AG399" s="168">
        <f>IF(AJ398&lt;=1,0,IF(AB399&lt;='3.2 Fi&amp;Fo'!$F$34,'3.2 Fi&amp;Fo'!$J$34,IF(AB399&lt;='3.2 Fi&amp;Fo'!$F$35,'3.2 Fi&amp;Fo'!$J$35,IF(AB399&lt;='3.2 Fi&amp;Fo'!$F$36,'3.2 Fi&amp;Fo'!$J$36,IF(AB399&lt;='3.2 Fi&amp;Fo'!$F$37,'3.2 Fi&amp;Fo'!$J$37,IF(AB399&lt;='3.2 Fi&amp;Fo'!$F$38,'3.2 Fi&amp;Fo'!$J$38,IF(AB399&lt;='3.2 Fi&amp;Fo'!$F$39,'3.2 Fi&amp;Fo'!$J$39,IF(AB399&lt;='3.2 Fi&amp;Fo'!$F$40,'3.2 Fi&amp;Fo'!$J$40))))))))</f>
        <v>86619.928</v>
      </c>
      <c r="AH399" s="207">
        <f>IF(AJ398&lt;=1,0,AJ398*IF(AB399&lt;='3.2 Fi&amp;Fo'!$F$34,'3.2 Fi&amp;Fo'!$I$34,IF(AB399&lt;='3.2 Fi&amp;Fo'!$F$35,'3.2 Fi&amp;Fo'!$I$35,IF(AB399&lt;='3.2 Fi&amp;Fo'!$F$36,'3.2 Fi&amp;Fo'!$I$36,IF(AB399&lt;='3.2 Fi&amp;Fo'!$F$39,'3.2 Fi&amp;Fo'!$I$39,IF(AB399&lt;='3.2 Fi&amp;Fo'!$F$40,'3.2 Fi&amp;Fo'!$I$40))))))</f>
        <v>103398.18138972533</v>
      </c>
      <c r="AI399" s="210">
        <f t="shared" si="268"/>
        <v>-16778.253389725331</v>
      </c>
      <c r="AJ399" s="209">
        <f t="shared" si="309"/>
        <v>1740081.2765518141</v>
      </c>
      <c r="AK399" s="312">
        <f t="shared" ca="1" si="270"/>
        <v>-173401.35867525783</v>
      </c>
      <c r="AL399" s="169">
        <f>IF(AB399&lt;='3.2 Fi&amp;Fo'!$J$15,'3.2 Fi&amp;Fo'!$I$15,0)</f>
        <v>0</v>
      </c>
      <c r="AM399" s="169">
        <f t="shared" si="282"/>
        <v>33788.253635982051</v>
      </c>
      <c r="AN399" s="838">
        <f t="shared" si="287"/>
        <v>22</v>
      </c>
      <c r="AO399" s="844">
        <f t="shared" ca="1" si="271"/>
        <v>173401.35867525783</v>
      </c>
      <c r="AP399" s="839">
        <f ca="1">CJ482</f>
        <v>0</v>
      </c>
      <c r="AQ399" s="844">
        <f t="shared" si="272"/>
        <v>0</v>
      </c>
      <c r="AR399" s="839">
        <f t="shared" ca="1" si="288"/>
        <v>0</v>
      </c>
      <c r="AS399" s="839">
        <f t="shared" ca="1" si="283"/>
        <v>8879.36707814295</v>
      </c>
      <c r="AT399" s="839">
        <f t="shared" ca="1" si="284"/>
        <v>21289.560332289482</v>
      </c>
      <c r="AU399" s="839">
        <f ca="1">'PV-Einspeisung'!AA104*-1</f>
        <v>0</v>
      </c>
      <c r="AV399" s="839">
        <f ca="1">'PV-Einspeisung'!AE104*-1</f>
        <v>0</v>
      </c>
      <c r="AW399" s="839"/>
      <c r="AX399" s="839">
        <f t="shared" ca="1" si="289"/>
        <v>0</v>
      </c>
      <c r="AY399" s="841">
        <f t="shared" si="273"/>
        <v>22</v>
      </c>
      <c r="AZ399" s="842">
        <f t="shared" ca="1" si="290"/>
        <v>0</v>
      </c>
      <c r="BA399" s="842">
        <f t="shared" ca="1" si="291"/>
        <v>0</v>
      </c>
      <c r="BB399" s="842">
        <f t="shared" ca="1" si="292"/>
        <v>0</v>
      </c>
      <c r="BC399" s="842">
        <f t="shared" ca="1" si="293"/>
        <v>0</v>
      </c>
      <c r="BD399" s="842">
        <f t="shared" ca="1" si="294"/>
        <v>0</v>
      </c>
      <c r="BE399" s="842">
        <f t="shared" ca="1" si="295"/>
        <v>0</v>
      </c>
      <c r="BF399" s="842">
        <f t="shared" ca="1" si="296"/>
        <v>10221.888011212453</v>
      </c>
      <c r="BG399" s="842">
        <f t="shared" ca="1" si="297"/>
        <v>11067.672321077031</v>
      </c>
      <c r="BH399" s="858">
        <f t="shared" si="281"/>
        <v>22</v>
      </c>
      <c r="BI399" s="857">
        <f t="shared" ca="1" si="298"/>
        <v>4181.8423389257869</v>
      </c>
      <c r="BJ399" s="857">
        <f t="shared" ca="1" si="299"/>
        <v>4697.5247392171632</v>
      </c>
      <c r="BK399" s="859">
        <f ca="1">'PV-Einspeisung'!AB104*-1</f>
        <v>0</v>
      </c>
      <c r="BL399" s="824">
        <f t="shared" ca="1" si="258"/>
        <v>0</v>
      </c>
      <c r="BM399" s="824">
        <f t="shared" ca="1" si="259"/>
        <v>0</v>
      </c>
      <c r="BN399" s="824">
        <f t="shared" ca="1" si="260"/>
        <v>0</v>
      </c>
      <c r="BO399" s="824">
        <f t="shared" ca="1" si="310"/>
        <v>0</v>
      </c>
      <c r="BP399" s="824">
        <f t="shared" ca="1" si="310"/>
        <v>0</v>
      </c>
      <c r="BQ399" s="824">
        <f t="shared" ca="1" si="310"/>
        <v>0</v>
      </c>
      <c r="BR399" s="824">
        <f t="shared" ca="1" si="310"/>
        <v>0</v>
      </c>
      <c r="BS399" s="824">
        <f t="shared" ca="1" si="310"/>
        <v>0</v>
      </c>
      <c r="BT399" s="824">
        <f t="shared" ca="1" si="310"/>
        <v>0</v>
      </c>
      <c r="BU399" s="824">
        <f t="shared" ca="1" si="310"/>
        <v>0</v>
      </c>
      <c r="BV399" s="824">
        <f t="shared" ca="1" si="310"/>
        <v>0</v>
      </c>
      <c r="BW399" s="824">
        <f t="shared" ca="1" si="310"/>
        <v>0</v>
      </c>
      <c r="BX399" s="824">
        <f t="shared" ca="1" si="310"/>
        <v>0</v>
      </c>
      <c r="BY399" s="824">
        <f t="shared" ca="1" si="310"/>
        <v>0</v>
      </c>
      <c r="BZ399" s="824">
        <f t="shared" ca="1" si="310"/>
        <v>0</v>
      </c>
      <c r="CA399" s="824">
        <f t="shared" ca="1" si="310"/>
        <v>0</v>
      </c>
      <c r="CB399" s="824">
        <f t="shared" ca="1" si="310"/>
        <v>0</v>
      </c>
      <c r="CC399" s="824">
        <f t="shared" ca="1" si="310"/>
        <v>0</v>
      </c>
      <c r="CD399" s="824">
        <f t="shared" ca="1" si="310"/>
        <v>0</v>
      </c>
      <c r="CE399" s="824">
        <f t="shared" ca="1" si="312"/>
        <v>0</v>
      </c>
      <c r="CF399" s="824">
        <f t="shared" ca="1" si="312"/>
        <v>0</v>
      </c>
      <c r="CG399" s="824">
        <f t="shared" ca="1" si="312"/>
        <v>0</v>
      </c>
      <c r="CH399" s="824">
        <f t="shared" ca="1" si="312"/>
        <v>0</v>
      </c>
      <c r="CI399" s="824">
        <f t="shared" ca="1" si="312"/>
        <v>0</v>
      </c>
      <c r="CJ399" s="824">
        <f t="shared" ca="1" si="312"/>
        <v>0</v>
      </c>
      <c r="CK399" s="824">
        <f t="shared" ca="1" si="312"/>
        <v>0</v>
      </c>
      <c r="CL399" s="824">
        <f t="shared" ca="1" si="312"/>
        <v>0</v>
      </c>
      <c r="CM399" s="824">
        <f t="shared" ca="1" si="312"/>
        <v>0</v>
      </c>
      <c r="CN399" s="824">
        <f t="shared" ca="1" si="312"/>
        <v>0</v>
      </c>
      <c r="CO399" s="824">
        <f t="shared" ca="1" si="312"/>
        <v>0</v>
      </c>
      <c r="CP399" s="824">
        <f t="shared" ca="1" si="312"/>
        <v>0</v>
      </c>
      <c r="CQ399" s="824">
        <f t="shared" ca="1" si="312"/>
        <v>0</v>
      </c>
      <c r="CR399" s="824">
        <f t="shared" ca="1" si="312"/>
        <v>0</v>
      </c>
      <c r="CS399" s="824">
        <f t="shared" ca="1" si="312"/>
        <v>0</v>
      </c>
      <c r="CT399" s="824">
        <f t="shared" ca="1" si="311"/>
        <v>0</v>
      </c>
      <c r="CU399" s="824">
        <f t="shared" ca="1" si="285"/>
        <v>0</v>
      </c>
      <c r="CV399" s="824">
        <f t="shared" ca="1" si="285"/>
        <v>0</v>
      </c>
      <c r="CW399" s="824">
        <f t="shared" ca="1" si="285"/>
        <v>0</v>
      </c>
      <c r="CX399" s="824">
        <f t="shared" ca="1" si="285"/>
        <v>0</v>
      </c>
      <c r="CY399" s="824">
        <f t="shared" ca="1" si="285"/>
        <v>0</v>
      </c>
      <c r="CZ399" s="824">
        <f t="shared" ca="1" si="285"/>
        <v>0</v>
      </c>
      <c r="DA399" s="824">
        <f t="shared" ca="1" si="286"/>
        <v>0</v>
      </c>
      <c r="DB399" s="824">
        <f t="shared" ca="1" si="286"/>
        <v>0</v>
      </c>
      <c r="DC399" s="824">
        <f t="shared" ca="1" si="286"/>
        <v>0</v>
      </c>
      <c r="DD399" s="824">
        <f t="shared" ca="1" si="286"/>
        <v>0</v>
      </c>
      <c r="DE399" s="824">
        <f t="shared" ca="1" si="286"/>
        <v>0</v>
      </c>
      <c r="DF399" s="824">
        <f t="shared" ca="1" si="286"/>
        <v>0</v>
      </c>
      <c r="DG399" s="824">
        <f t="shared" ca="1" si="286"/>
        <v>0</v>
      </c>
      <c r="DH399" s="824">
        <f t="shared" ca="1" si="286"/>
        <v>0</v>
      </c>
      <c r="DI399" s="824">
        <f t="shared" ca="1" si="286"/>
        <v>0</v>
      </c>
      <c r="DJ399" s="824">
        <f t="shared" ca="1" si="286"/>
        <v>0</v>
      </c>
      <c r="DK399" s="824">
        <f t="shared" ca="1" si="286"/>
        <v>0</v>
      </c>
      <c r="DL399" s="824">
        <f t="shared" ca="1" si="286"/>
        <v>0</v>
      </c>
    </row>
    <row r="400" spans="2:116" ht="12" thickBot="1" x14ac:dyDescent="0.3">
      <c r="B400" s="1673"/>
      <c r="C400" s="1680"/>
      <c r="D400" s="15" t="s">
        <v>130</v>
      </c>
      <c r="E400" s="165"/>
      <c r="F400" s="116">
        <f ca="1">SUBTOTAL(109,'3.2 I&amp;W'!$X$84)</f>
        <v>0</v>
      </c>
      <c r="G400" s="116">
        <f ca="1">SUBTOTAL(109,'3.2 I&amp;W'!$Y$84)</f>
        <v>0</v>
      </c>
      <c r="H400" s="116">
        <f ca="1">SUBTOTAL(109,'3.2 I&amp;W'!$AD$84)</f>
        <v>0</v>
      </c>
      <c r="I400" s="116">
        <f ca="1">SUBTOTAL(109,'3.2 I&amp;W'!$AE$84)</f>
        <v>0</v>
      </c>
      <c r="J400" s="116"/>
      <c r="K400" s="116"/>
      <c r="L400" s="116"/>
      <c r="M400" s="116">
        <f ca="1">SUBTOTAL(109,'3.2 I&amp;W'!$AI$84)</f>
        <v>15</v>
      </c>
      <c r="N400" s="156">
        <f t="shared" ca="1" si="262"/>
        <v>2</v>
      </c>
      <c r="O400" s="116">
        <f ca="1">SUBTOTAL(109,'3.2 I&amp;W'!$S$84)</f>
        <v>15085.44</v>
      </c>
      <c r="P400" s="30">
        <f t="shared" ca="1" si="302"/>
        <v>14222.011472518068</v>
      </c>
      <c r="Q400" s="31">
        <f t="shared" ca="1" si="303"/>
        <v>13408.00204199781</v>
      </c>
      <c r="R400" s="31">
        <f t="shared" ca="1" si="304"/>
        <v>0</v>
      </c>
      <c r="S400" s="31">
        <f t="shared" ca="1" si="305"/>
        <v>0</v>
      </c>
      <c r="T400" s="32">
        <f t="shared" ca="1" si="306"/>
        <v>0</v>
      </c>
      <c r="U400" s="37">
        <f t="shared" ca="1" si="263"/>
        <v>8096.0270317998957</v>
      </c>
      <c r="V400" s="40">
        <f t="shared" ca="1" si="256"/>
        <v>0</v>
      </c>
      <c r="W400" s="41">
        <f t="shared" ca="1" si="257"/>
        <v>0</v>
      </c>
      <c r="X400" s="43"/>
      <c r="Y400" s="46"/>
      <c r="Z400" s="126"/>
      <c r="AA400" s="136"/>
      <c r="AB400" s="83">
        <v>23</v>
      </c>
      <c r="AC400" s="84">
        <f ca="1">IF(AF399&lt;=1,0,'3.2 Fi&amp;Fo'!$I$25)</f>
        <v>52993.177039275775</v>
      </c>
      <c r="AD400" s="72">
        <f ca="1">IF(AF399&lt;=1,0,AF399*'3.2 Fi&amp;Fo'!$H$25)</f>
        <v>12027.727580590024</v>
      </c>
      <c r="AE400" s="78">
        <f t="shared" ca="1" si="307"/>
        <v>40965.449458685747</v>
      </c>
      <c r="AF400" s="85">
        <f t="shared" ca="1" si="308"/>
        <v>560420.92957081553</v>
      </c>
      <c r="AG400" s="168">
        <f>IF(AJ399&lt;=1,0,IF(AB400&lt;='3.2 Fi&amp;Fo'!$F$34,'3.2 Fi&amp;Fo'!$J$34,IF(AB400&lt;='3.2 Fi&amp;Fo'!$F$35,'3.2 Fi&amp;Fo'!$J$35,IF(AB400&lt;='3.2 Fi&amp;Fo'!$F$36,'3.2 Fi&amp;Fo'!$J$36,IF(AB400&lt;='3.2 Fi&amp;Fo'!$F$37,'3.2 Fi&amp;Fo'!$J$37,IF(AB400&lt;='3.2 Fi&amp;Fo'!$F$38,'3.2 Fi&amp;Fo'!$J$38,IF(AB400&lt;='3.2 Fi&amp;Fo'!$F$39,'3.2 Fi&amp;Fo'!$J$39,IF(AB400&lt;='3.2 Fi&amp;Fo'!$F$40,'3.2 Fi&amp;Fo'!$J$40))))))))</f>
        <v>86619.928</v>
      </c>
      <c r="AH400" s="207">
        <f>IF(AJ399&lt;=1,0,AJ399*IF(AB400&lt;='3.2 Fi&amp;Fo'!$F$34,'3.2 Fi&amp;Fo'!$I$34,IF(AB400&lt;='3.2 Fi&amp;Fo'!$F$35,'3.2 Fi&amp;Fo'!$I$35,IF(AB400&lt;='3.2 Fi&amp;Fo'!$F$36,'3.2 Fi&amp;Fo'!$I$36,IF(AB400&lt;='3.2 Fi&amp;Fo'!$F$39,'3.2 Fi&amp;Fo'!$I$39,IF(AB400&lt;='3.2 Fi&amp;Fo'!$F$40,'3.2 Fi&amp;Fo'!$I$40))))))</f>
        <v>104404.87659310884</v>
      </c>
      <c r="AI400" s="210">
        <f t="shared" si="268"/>
        <v>-17784.948593108842</v>
      </c>
      <c r="AJ400" s="209">
        <f t="shared" si="309"/>
        <v>1757866.225144923</v>
      </c>
      <c r="AK400" s="312">
        <f t="shared" ca="1" si="270"/>
        <v>-174077.12374797725</v>
      </c>
      <c r="AL400" s="169">
        <f>IF(AB400&lt;='3.2 Fi&amp;Fo'!$J$15,'3.2 Fi&amp;Fo'!$I$15,0)</f>
        <v>0</v>
      </c>
      <c r="AM400" s="169">
        <f t="shared" si="282"/>
        <v>34464.018708701478</v>
      </c>
      <c r="AN400" s="838">
        <f t="shared" si="287"/>
        <v>23</v>
      </c>
      <c r="AO400" s="844">
        <f t="shared" ca="1" si="271"/>
        <v>174077.12374797725</v>
      </c>
      <c r="AP400" s="839">
        <f ca="1">CK482</f>
        <v>0</v>
      </c>
      <c r="AQ400" s="844">
        <f t="shared" si="272"/>
        <v>0</v>
      </c>
      <c r="AR400" s="839">
        <f t="shared" ca="1" si="288"/>
        <v>0</v>
      </c>
      <c r="AS400" s="839">
        <f t="shared" ca="1" si="283"/>
        <v>9021.4369513932361</v>
      </c>
      <c r="AT400" s="839">
        <f t="shared" ca="1" si="284"/>
        <v>21932.476063807488</v>
      </c>
      <c r="AU400" s="839">
        <f ca="1">'PV-Einspeisung'!AA105*-1</f>
        <v>0</v>
      </c>
      <c r="AV400" s="839">
        <f ca="1">'PV-Einspeisung'!AE105*-1</f>
        <v>0</v>
      </c>
      <c r="AW400" s="839"/>
      <c r="AX400" s="839">
        <f t="shared" ca="1" si="289"/>
        <v>0</v>
      </c>
      <c r="AY400" s="841">
        <f t="shared" si="273"/>
        <v>23</v>
      </c>
      <c r="AZ400" s="842">
        <f t="shared" ca="1" si="290"/>
        <v>0</v>
      </c>
      <c r="BA400" s="842">
        <f t="shared" ca="1" si="291"/>
        <v>0</v>
      </c>
      <c r="BB400" s="842">
        <f t="shared" ca="1" si="292"/>
        <v>0</v>
      </c>
      <c r="BC400" s="842">
        <f t="shared" ca="1" si="293"/>
        <v>0</v>
      </c>
      <c r="BD400" s="842">
        <f t="shared" ca="1" si="294"/>
        <v>0</v>
      </c>
      <c r="BE400" s="842">
        <f t="shared" ca="1" si="295"/>
        <v>0</v>
      </c>
      <c r="BF400" s="842">
        <f t="shared" ca="1" si="296"/>
        <v>10477.435211492764</v>
      </c>
      <c r="BG400" s="842">
        <f t="shared" ca="1" si="297"/>
        <v>11455.040852314725</v>
      </c>
      <c r="BH400" s="858">
        <f t="shared" si="281"/>
        <v>23</v>
      </c>
      <c r="BI400" s="857">
        <f t="shared" ca="1" si="298"/>
        <v>4248.7518163485993</v>
      </c>
      <c r="BJ400" s="857">
        <f t="shared" ca="1" si="299"/>
        <v>4772.6851350446377</v>
      </c>
      <c r="BK400" s="859">
        <f ca="1">'PV-Einspeisung'!AB105*-1</f>
        <v>0</v>
      </c>
      <c r="BL400" s="824">
        <f t="shared" ca="1" si="258"/>
        <v>15</v>
      </c>
      <c r="BM400" s="824">
        <f t="shared" ca="1" si="259"/>
        <v>2</v>
      </c>
      <c r="BN400" s="824">
        <f t="shared" ca="1" si="260"/>
        <v>15085.44</v>
      </c>
      <c r="BO400" s="824">
        <f t="shared" ca="1" si="310"/>
        <v>0</v>
      </c>
      <c r="BP400" s="824">
        <f t="shared" ca="1" si="310"/>
        <v>0</v>
      </c>
      <c r="BQ400" s="824">
        <f t="shared" ca="1" si="310"/>
        <v>0</v>
      </c>
      <c r="BR400" s="824">
        <f t="shared" ca="1" si="310"/>
        <v>0</v>
      </c>
      <c r="BS400" s="824">
        <f t="shared" ca="1" si="310"/>
        <v>0</v>
      </c>
      <c r="BT400" s="824">
        <f t="shared" ca="1" si="310"/>
        <v>0</v>
      </c>
      <c r="BU400" s="824">
        <f t="shared" ca="1" si="310"/>
        <v>0</v>
      </c>
      <c r="BV400" s="824">
        <f t="shared" ca="1" si="310"/>
        <v>0</v>
      </c>
      <c r="BW400" s="824">
        <f t="shared" ca="1" si="310"/>
        <v>0</v>
      </c>
      <c r="BX400" s="824">
        <f t="shared" ca="1" si="310"/>
        <v>0</v>
      </c>
      <c r="BY400" s="824">
        <f t="shared" ca="1" si="310"/>
        <v>0</v>
      </c>
      <c r="BZ400" s="824">
        <f t="shared" ca="1" si="310"/>
        <v>0</v>
      </c>
      <c r="CA400" s="824">
        <f t="shared" ca="1" si="310"/>
        <v>0</v>
      </c>
      <c r="CB400" s="824">
        <f t="shared" ca="1" si="310"/>
        <v>0</v>
      </c>
      <c r="CC400" s="824">
        <f t="shared" ca="1" si="310"/>
        <v>19140.954948144594</v>
      </c>
      <c r="CD400" s="824">
        <f t="shared" ca="1" si="310"/>
        <v>0</v>
      </c>
      <c r="CE400" s="824">
        <f t="shared" ca="1" si="312"/>
        <v>0</v>
      </c>
      <c r="CF400" s="824">
        <f t="shared" ca="1" si="312"/>
        <v>0</v>
      </c>
      <c r="CG400" s="824">
        <f t="shared" ca="1" si="312"/>
        <v>0</v>
      </c>
      <c r="CH400" s="824">
        <f t="shared" ca="1" si="312"/>
        <v>0</v>
      </c>
      <c r="CI400" s="824">
        <f t="shared" ca="1" si="312"/>
        <v>0</v>
      </c>
      <c r="CJ400" s="824">
        <f t="shared" ca="1" si="312"/>
        <v>0</v>
      </c>
      <c r="CK400" s="824">
        <f t="shared" ca="1" si="312"/>
        <v>0</v>
      </c>
      <c r="CL400" s="824">
        <f t="shared" ca="1" si="312"/>
        <v>0</v>
      </c>
      <c r="CM400" s="824">
        <f t="shared" ca="1" si="312"/>
        <v>0</v>
      </c>
      <c r="CN400" s="824">
        <f t="shared" ca="1" si="312"/>
        <v>0</v>
      </c>
      <c r="CO400" s="824">
        <f t="shared" ca="1" si="312"/>
        <v>0</v>
      </c>
      <c r="CP400" s="824">
        <f t="shared" ca="1" si="312"/>
        <v>0</v>
      </c>
      <c r="CQ400" s="824">
        <f t="shared" ca="1" si="312"/>
        <v>0</v>
      </c>
      <c r="CR400" s="824">
        <f t="shared" ca="1" si="312"/>
        <v>24286.739818454153</v>
      </c>
      <c r="CS400" s="824">
        <f t="shared" ca="1" si="312"/>
        <v>0</v>
      </c>
      <c r="CT400" s="824">
        <f t="shared" ca="1" si="311"/>
        <v>0</v>
      </c>
      <c r="CU400" s="824">
        <f t="shared" ca="1" si="285"/>
        <v>0</v>
      </c>
      <c r="CV400" s="824">
        <f t="shared" ca="1" si="285"/>
        <v>0</v>
      </c>
      <c r="CW400" s="824">
        <f t="shared" ca="1" si="285"/>
        <v>0</v>
      </c>
      <c r="CX400" s="824">
        <f t="shared" ca="1" si="285"/>
        <v>0</v>
      </c>
      <c r="CY400" s="824">
        <f t="shared" ca="1" si="285"/>
        <v>0</v>
      </c>
      <c r="CZ400" s="824">
        <f t="shared" ca="1" si="285"/>
        <v>0</v>
      </c>
      <c r="DA400" s="824">
        <f t="shared" ca="1" si="286"/>
        <v>0</v>
      </c>
      <c r="DB400" s="824">
        <f t="shared" ca="1" si="286"/>
        <v>0</v>
      </c>
      <c r="DC400" s="824">
        <f t="shared" ca="1" si="286"/>
        <v>0</v>
      </c>
      <c r="DD400" s="824">
        <f t="shared" ref="DD400:DL420" ca="1" si="313">IF(OR(IF($BL400*1&lt;$BL$196,$BL400*1=DD$198,FALSE),IF($BL400*2&lt;$BL$196,$BL400*2=DD$198,FALSE),IF($BL400*3&lt;$BL$196,$BL400*3=DD$198,FALSE),IF($BL400*4&lt;$BL$196,$BL400*4=DD$198,FALSE),IF($BL400*5&lt;$BL$196,$BL400*5=DD$198,FALSE)),$BN400*$BM$196^DD$198,0)</f>
        <v>0</v>
      </c>
      <c r="DE400" s="824">
        <f t="shared" ca="1" si="313"/>
        <v>0</v>
      </c>
      <c r="DF400" s="824">
        <f t="shared" ca="1" si="313"/>
        <v>0</v>
      </c>
      <c r="DG400" s="824">
        <f t="shared" ca="1" si="313"/>
        <v>0</v>
      </c>
      <c r="DH400" s="824">
        <f t="shared" ca="1" si="313"/>
        <v>0</v>
      </c>
      <c r="DI400" s="824">
        <f t="shared" ca="1" si="313"/>
        <v>0</v>
      </c>
      <c r="DJ400" s="824">
        <f t="shared" ca="1" si="313"/>
        <v>0</v>
      </c>
      <c r="DK400" s="824">
        <f t="shared" ca="1" si="313"/>
        <v>0</v>
      </c>
      <c r="DL400" s="824">
        <f t="shared" ca="1" si="313"/>
        <v>0</v>
      </c>
    </row>
    <row r="401" spans="2:116" ht="12" thickBot="1" x14ac:dyDescent="0.3">
      <c r="B401" s="1673"/>
      <c r="C401" s="1680"/>
      <c r="D401" s="15" t="s">
        <v>130</v>
      </c>
      <c r="E401" s="116"/>
      <c r="F401" s="116">
        <f ca="1">SUBTOTAL(109,'3.2 I&amp;W'!$X$85)</f>
        <v>0</v>
      </c>
      <c r="G401" s="116">
        <f ca="1">SUBTOTAL(109,'3.2 I&amp;W'!$Y$85)</f>
        <v>0</v>
      </c>
      <c r="H401" s="116">
        <f ca="1">SUBTOTAL(109,'3.2 I&amp;W'!$AD$85)</f>
        <v>0</v>
      </c>
      <c r="I401" s="116">
        <f ca="1">SUBTOTAL(109,'3.2 I&amp;W'!$AE$85)</f>
        <v>0</v>
      </c>
      <c r="J401" s="116"/>
      <c r="K401" s="116"/>
      <c r="L401" s="116"/>
      <c r="M401" s="116">
        <f ca="1">SUBTOTAL(109,'3.2 I&amp;W'!$AI$85)</f>
        <v>25</v>
      </c>
      <c r="N401" s="156">
        <f t="shared" ca="1" si="262"/>
        <v>1</v>
      </c>
      <c r="O401" s="116">
        <f ca="1">SUBTOTAL(109,'3.2 I&amp;W'!$S$85)</f>
        <v>2734.2</v>
      </c>
      <c r="P401" s="30">
        <f t="shared" ca="1" si="302"/>
        <v>2478.3844960159149</v>
      </c>
      <c r="Q401" s="31">
        <f t="shared" ca="1" si="303"/>
        <v>0</v>
      </c>
      <c r="R401" s="31">
        <f t="shared" ca="1" si="304"/>
        <v>0</v>
      </c>
      <c r="S401" s="31">
        <f t="shared" ca="1" si="305"/>
        <v>0</v>
      </c>
      <c r="T401" s="32">
        <f t="shared" ca="1" si="306"/>
        <v>0</v>
      </c>
      <c r="U401" s="37">
        <f t="shared" ca="1" si="263"/>
        <v>1219.8831046461596</v>
      </c>
      <c r="V401" s="40">
        <f t="shared" ca="1" si="256"/>
        <v>0</v>
      </c>
      <c r="W401" s="41">
        <f t="shared" ca="1" si="257"/>
        <v>0</v>
      </c>
      <c r="X401" s="43"/>
      <c r="Y401" s="46"/>
      <c r="Z401" s="126"/>
      <c r="AA401" s="136"/>
      <c r="AB401" s="83">
        <v>24</v>
      </c>
      <c r="AC401" s="84">
        <f ca="1">IF(AF400&lt;=1,0,'3.2 Fi&amp;Fo'!$I$25)</f>
        <v>52993.177039275775</v>
      </c>
      <c r="AD401" s="72">
        <f ca="1">IF(AF400&lt;=1,0,AF400*'3.2 Fi&amp;Fo'!$H$25)</f>
        <v>11208.41859141631</v>
      </c>
      <c r="AE401" s="78">
        <f t="shared" ca="1" si="307"/>
        <v>41784.758447859465</v>
      </c>
      <c r="AF401" s="85">
        <f t="shared" ca="1" si="308"/>
        <v>518636.17112295609</v>
      </c>
      <c r="AG401" s="168">
        <f>IF(AJ400&lt;=1,0,IF(AB401&lt;='3.2 Fi&amp;Fo'!$F$34,'3.2 Fi&amp;Fo'!$J$34,IF(AB401&lt;='3.2 Fi&amp;Fo'!$F$35,'3.2 Fi&amp;Fo'!$J$35,IF(AB401&lt;='3.2 Fi&amp;Fo'!$F$36,'3.2 Fi&amp;Fo'!$J$36,IF(AB401&lt;='3.2 Fi&amp;Fo'!$F$37,'3.2 Fi&amp;Fo'!$J$37,IF(AB401&lt;='3.2 Fi&amp;Fo'!$F$38,'3.2 Fi&amp;Fo'!$J$38,IF(AB401&lt;='3.2 Fi&amp;Fo'!$F$39,'3.2 Fi&amp;Fo'!$J$39,IF(AB401&lt;='3.2 Fi&amp;Fo'!$F$40,'3.2 Fi&amp;Fo'!$J$40))))))))</f>
        <v>86619.928</v>
      </c>
      <c r="AH401" s="207">
        <f>IF(AJ400&lt;=1,0,AJ400*IF(AB401&lt;='3.2 Fi&amp;Fo'!$F$34,'3.2 Fi&amp;Fo'!$I$34,IF(AB401&lt;='3.2 Fi&amp;Fo'!$F$35,'3.2 Fi&amp;Fo'!$I$35,IF(AB401&lt;='3.2 Fi&amp;Fo'!$F$36,'3.2 Fi&amp;Fo'!$I$36,IF(AB401&lt;='3.2 Fi&amp;Fo'!$F$39,'3.2 Fi&amp;Fo'!$I$39,IF(AB401&lt;='3.2 Fi&amp;Fo'!$F$40,'3.2 Fi&amp;Fo'!$I$40))))))</f>
        <v>105471.97350869537</v>
      </c>
      <c r="AI401" s="210">
        <f t="shared" si="268"/>
        <v>-18852.045508695373</v>
      </c>
      <c r="AJ401" s="209">
        <f t="shared" si="309"/>
        <v>1776718.2706536183</v>
      </c>
      <c r="AK401" s="312">
        <f t="shared" ca="1" si="270"/>
        <v>-174766.40412215149</v>
      </c>
      <c r="AL401" s="169">
        <f>IF(AB401&lt;='3.2 Fi&amp;Fo'!$J$15,'3.2 Fi&amp;Fo'!$I$15,0)</f>
        <v>0</v>
      </c>
      <c r="AM401" s="169">
        <f t="shared" si="282"/>
        <v>35153.299082875717</v>
      </c>
      <c r="AN401" s="838">
        <f t="shared" si="287"/>
        <v>24</v>
      </c>
      <c r="AO401" s="844">
        <f t="shared" ca="1" si="271"/>
        <v>174766.40412215149</v>
      </c>
      <c r="AP401" s="839">
        <f ca="1">CL482</f>
        <v>0</v>
      </c>
      <c r="AQ401" s="844">
        <f t="shared" si="272"/>
        <v>0</v>
      </c>
      <c r="AR401" s="839">
        <f t="shared" ca="1" si="288"/>
        <v>0</v>
      </c>
      <c r="AS401" s="839">
        <f t="shared" ca="1" si="283"/>
        <v>9165.7799426155289</v>
      </c>
      <c r="AT401" s="839">
        <f t="shared" ca="1" si="284"/>
        <v>22595.338373925821</v>
      </c>
      <c r="AU401" s="839">
        <f ca="1">'PV-Einspeisung'!AA106*-1</f>
        <v>0</v>
      </c>
      <c r="AV401" s="839">
        <f ca="1">'PV-Einspeisung'!AE106*-1</f>
        <v>0</v>
      </c>
      <c r="AW401" s="839"/>
      <c r="AX401" s="839">
        <f t="shared" ca="1" si="289"/>
        <v>0</v>
      </c>
      <c r="AY401" s="841">
        <f t="shared" si="273"/>
        <v>24</v>
      </c>
      <c r="AZ401" s="842">
        <f t="shared" ca="1" si="290"/>
        <v>0</v>
      </c>
      <c r="BA401" s="842">
        <f t="shared" ca="1" si="291"/>
        <v>0</v>
      </c>
      <c r="BB401" s="842">
        <f t="shared" ca="1" si="292"/>
        <v>0</v>
      </c>
      <c r="BC401" s="842">
        <f t="shared" ca="1" si="293"/>
        <v>0</v>
      </c>
      <c r="BD401" s="842">
        <f t="shared" ca="1" si="294"/>
        <v>0</v>
      </c>
      <c r="BE401" s="842">
        <f t="shared" ca="1" si="295"/>
        <v>0</v>
      </c>
      <c r="BF401" s="842">
        <f t="shared" ca="1" si="296"/>
        <v>10739.371091780082</v>
      </c>
      <c r="BG401" s="842">
        <f t="shared" ca="1" si="297"/>
        <v>11855.967282145739</v>
      </c>
      <c r="BH401" s="858">
        <f t="shared" si="281"/>
        <v>24</v>
      </c>
      <c r="BI401" s="857">
        <f t="shared" ca="1" si="298"/>
        <v>4316.7318454101769</v>
      </c>
      <c r="BJ401" s="857">
        <f t="shared" ca="1" si="299"/>
        <v>4849.048097205352</v>
      </c>
      <c r="BK401" s="859">
        <f ca="1">'PV-Einspeisung'!AB106*-1</f>
        <v>0</v>
      </c>
      <c r="BL401" s="824">
        <f t="shared" ca="1" si="258"/>
        <v>25</v>
      </c>
      <c r="BM401" s="824">
        <f t="shared" ca="1" si="259"/>
        <v>1</v>
      </c>
      <c r="BN401" s="824">
        <f t="shared" ca="1" si="260"/>
        <v>2734.2</v>
      </c>
      <c r="BO401" s="824">
        <f t="shared" ca="1" si="310"/>
        <v>0</v>
      </c>
      <c r="BP401" s="824">
        <f t="shared" ca="1" si="310"/>
        <v>0</v>
      </c>
      <c r="BQ401" s="824">
        <f t="shared" ca="1" si="310"/>
        <v>0</v>
      </c>
      <c r="BR401" s="824">
        <f t="shared" ca="1" si="310"/>
        <v>0</v>
      </c>
      <c r="BS401" s="824">
        <f t="shared" ca="1" si="310"/>
        <v>0</v>
      </c>
      <c r="BT401" s="824">
        <f t="shared" ca="1" si="310"/>
        <v>0</v>
      </c>
      <c r="BU401" s="824">
        <f t="shared" ca="1" si="310"/>
        <v>0</v>
      </c>
      <c r="BV401" s="824">
        <f t="shared" ca="1" si="310"/>
        <v>0</v>
      </c>
      <c r="BW401" s="824">
        <f t="shared" ca="1" si="310"/>
        <v>0</v>
      </c>
      <c r="BX401" s="824">
        <f t="shared" ca="1" si="310"/>
        <v>0</v>
      </c>
      <c r="BY401" s="824">
        <f t="shared" ca="1" si="310"/>
        <v>0</v>
      </c>
      <c r="BZ401" s="824">
        <f t="shared" ca="1" si="310"/>
        <v>0</v>
      </c>
      <c r="CA401" s="824">
        <f t="shared" ca="1" si="310"/>
        <v>0</v>
      </c>
      <c r="CB401" s="824">
        <f t="shared" ca="1" si="310"/>
        <v>0</v>
      </c>
      <c r="CC401" s="824">
        <f t="shared" ca="1" si="310"/>
        <v>0</v>
      </c>
      <c r="CD401" s="824">
        <f t="shared" ca="1" si="310"/>
        <v>0</v>
      </c>
      <c r="CE401" s="824">
        <f t="shared" ca="1" si="312"/>
        <v>0</v>
      </c>
      <c r="CF401" s="824">
        <f t="shared" ca="1" si="312"/>
        <v>0</v>
      </c>
      <c r="CG401" s="824">
        <f t="shared" ca="1" si="312"/>
        <v>0</v>
      </c>
      <c r="CH401" s="824">
        <f t="shared" ca="1" si="312"/>
        <v>0</v>
      </c>
      <c r="CI401" s="824">
        <f t="shared" ca="1" si="312"/>
        <v>0</v>
      </c>
      <c r="CJ401" s="824">
        <f t="shared" ca="1" si="312"/>
        <v>0</v>
      </c>
      <c r="CK401" s="824">
        <f t="shared" ca="1" si="312"/>
        <v>0</v>
      </c>
      <c r="CL401" s="824">
        <f t="shared" ca="1" si="312"/>
        <v>0</v>
      </c>
      <c r="CM401" s="824">
        <f t="shared" ca="1" si="312"/>
        <v>4066.0524607521575</v>
      </c>
      <c r="CN401" s="824">
        <f t="shared" ca="1" si="312"/>
        <v>0</v>
      </c>
      <c r="CO401" s="824">
        <f t="shared" ca="1" si="312"/>
        <v>0</v>
      </c>
      <c r="CP401" s="824">
        <f t="shared" ca="1" si="312"/>
        <v>0</v>
      </c>
      <c r="CQ401" s="824">
        <f t="shared" ca="1" si="312"/>
        <v>0</v>
      </c>
      <c r="CR401" s="824">
        <f t="shared" ca="1" si="312"/>
        <v>0</v>
      </c>
      <c r="CS401" s="824">
        <f t="shared" ca="1" si="312"/>
        <v>0</v>
      </c>
      <c r="CT401" s="824">
        <f t="shared" ca="1" si="311"/>
        <v>0</v>
      </c>
      <c r="CU401" s="824">
        <f t="shared" ca="1" si="285"/>
        <v>0</v>
      </c>
      <c r="CV401" s="824">
        <f t="shared" ca="1" si="285"/>
        <v>0</v>
      </c>
      <c r="CW401" s="824">
        <f t="shared" ca="1" si="285"/>
        <v>0</v>
      </c>
      <c r="CX401" s="824">
        <f t="shared" ca="1" si="285"/>
        <v>0</v>
      </c>
      <c r="CY401" s="824">
        <f t="shared" ca="1" si="285"/>
        <v>0</v>
      </c>
      <c r="CZ401" s="824">
        <f t="shared" ca="1" si="285"/>
        <v>0</v>
      </c>
      <c r="DA401" s="824">
        <f t="shared" ref="DA401:DL464" ca="1" si="314">IF(OR(IF($BL401*1&lt;$BL$196,$BL401*1=DA$198,FALSE),IF($BL401*2&lt;$BL$196,$BL401*2=DA$198,FALSE),IF($BL401*3&lt;$BL$196,$BL401*3=DA$198,FALSE),IF($BL401*4&lt;$BL$196,$BL401*4=DA$198,FALSE),IF($BL401*5&lt;$BL$196,$BL401*5=DA$198,FALSE)),$BN401*$BM$196^DA$198,0)</f>
        <v>0</v>
      </c>
      <c r="DB401" s="824">
        <f t="shared" ca="1" si="314"/>
        <v>0</v>
      </c>
      <c r="DC401" s="824">
        <f t="shared" ca="1" si="314"/>
        <v>0</v>
      </c>
      <c r="DD401" s="824">
        <f t="shared" ca="1" si="314"/>
        <v>0</v>
      </c>
      <c r="DE401" s="824">
        <f t="shared" ca="1" si="314"/>
        <v>0</v>
      </c>
      <c r="DF401" s="824">
        <f t="shared" ca="1" si="314"/>
        <v>0</v>
      </c>
      <c r="DG401" s="824">
        <f t="shared" ca="1" si="314"/>
        <v>0</v>
      </c>
      <c r="DH401" s="824">
        <f t="shared" ca="1" si="314"/>
        <v>0</v>
      </c>
      <c r="DI401" s="824">
        <f t="shared" ca="1" si="314"/>
        <v>0</v>
      </c>
      <c r="DJ401" s="824">
        <f t="shared" ca="1" si="314"/>
        <v>0</v>
      </c>
      <c r="DK401" s="824">
        <f t="shared" ca="1" si="313"/>
        <v>0</v>
      </c>
      <c r="DL401" s="824">
        <f t="shared" ca="1" si="313"/>
        <v>0</v>
      </c>
    </row>
    <row r="402" spans="2:116" ht="12" thickBot="1" x14ac:dyDescent="0.3">
      <c r="B402" s="1673"/>
      <c r="C402" s="1680"/>
      <c r="D402" s="15" t="s">
        <v>130</v>
      </c>
      <c r="E402" s="165"/>
      <c r="F402" s="116">
        <f ca="1">SUBTOTAL(109,'3.2 I&amp;W'!$X$86)</f>
        <v>0</v>
      </c>
      <c r="G402" s="116">
        <f ca="1">SUBTOTAL(109,'3.2 I&amp;W'!$Y$86)</f>
        <v>0</v>
      </c>
      <c r="H402" s="116">
        <f ca="1">SUBTOTAL(109,'3.2 I&amp;W'!$AD$86)</f>
        <v>0</v>
      </c>
      <c r="I402" s="116">
        <f ca="1">SUBTOTAL(109,'3.2 I&amp;W'!$AE$86)</f>
        <v>0</v>
      </c>
      <c r="J402" s="116"/>
      <c r="K402" s="116"/>
      <c r="L402" s="116"/>
      <c r="M402" s="116">
        <f ca="1">SUBTOTAL(109,'3.2 I&amp;W'!$AI$86)</f>
        <v>65</v>
      </c>
      <c r="N402" s="156">
        <f t="shared" ca="1" si="262"/>
        <v>0</v>
      </c>
      <c r="O402" s="116">
        <f ca="1">SUBTOTAL(109,'3.2 I&amp;W'!$S$86)</f>
        <v>50279.015999999996</v>
      </c>
      <c r="P402" s="30">
        <f t="shared" ca="1" si="302"/>
        <v>0</v>
      </c>
      <c r="Q402" s="31">
        <f t="shared" ca="1" si="303"/>
        <v>0</v>
      </c>
      <c r="R402" s="31">
        <f t="shared" ca="1" si="304"/>
        <v>0</v>
      </c>
      <c r="S402" s="31">
        <f t="shared" ca="1" si="305"/>
        <v>0</v>
      </c>
      <c r="T402" s="32">
        <f t="shared" ca="1" si="306"/>
        <v>0</v>
      </c>
      <c r="U402" s="37">
        <f t="shared" ca="1" si="263"/>
        <v>11603.490633477195</v>
      </c>
      <c r="V402" s="40">
        <f t="shared" ca="1" si="256"/>
        <v>0</v>
      </c>
      <c r="W402" s="41">
        <f t="shared" ca="1" si="257"/>
        <v>0</v>
      </c>
      <c r="X402" s="43"/>
      <c r="Y402" s="46"/>
      <c r="Z402" s="126"/>
      <c r="AA402" s="136"/>
      <c r="AB402" s="83">
        <v>25</v>
      </c>
      <c r="AC402" s="84">
        <f ca="1">IF(AF401&lt;=1,0,'3.2 Fi&amp;Fo'!$I$25)</f>
        <v>52993.177039275775</v>
      </c>
      <c r="AD402" s="72">
        <f ca="1">IF(AF401&lt;=1,0,AF401*'3.2 Fi&amp;Fo'!$H$25)</f>
        <v>10372.723422459121</v>
      </c>
      <c r="AE402" s="78">
        <f t="shared" ca="1" si="307"/>
        <v>42620.453616816652</v>
      </c>
      <c r="AF402" s="85">
        <f t="shared" ca="1" si="308"/>
        <v>476015.71750613942</v>
      </c>
      <c r="AG402" s="168">
        <f>IF(AJ401&lt;=1,0,IF(AB402&lt;='3.2 Fi&amp;Fo'!$F$34,'3.2 Fi&amp;Fo'!$J$34,IF(AB402&lt;='3.2 Fi&amp;Fo'!$F$35,'3.2 Fi&amp;Fo'!$J$35,IF(AB402&lt;='3.2 Fi&amp;Fo'!$F$36,'3.2 Fi&amp;Fo'!$J$36,IF(AB402&lt;='3.2 Fi&amp;Fo'!$F$37,'3.2 Fi&amp;Fo'!$J$37,IF(AB402&lt;='3.2 Fi&amp;Fo'!$F$38,'3.2 Fi&amp;Fo'!$J$38,IF(AB402&lt;='3.2 Fi&amp;Fo'!$F$39,'3.2 Fi&amp;Fo'!$J$39,IF(AB402&lt;='3.2 Fi&amp;Fo'!$F$40,'3.2 Fi&amp;Fo'!$J$40))))))))</f>
        <v>86619.928</v>
      </c>
      <c r="AH402" s="207">
        <f>IF(AJ401&lt;=1,0,AJ401*IF(AB402&lt;='3.2 Fi&amp;Fo'!$F$34,'3.2 Fi&amp;Fo'!$I$34,IF(AB402&lt;='3.2 Fi&amp;Fo'!$F$35,'3.2 Fi&amp;Fo'!$I$35,IF(AB402&lt;='3.2 Fi&amp;Fo'!$F$36,'3.2 Fi&amp;Fo'!$I$36,IF(AB402&lt;='3.2 Fi&amp;Fo'!$F$39,'3.2 Fi&amp;Fo'!$I$39,IF(AB402&lt;='3.2 Fi&amp;Fo'!$F$40,'3.2 Fi&amp;Fo'!$I$40))))))</f>
        <v>106603.09623921709</v>
      </c>
      <c r="AI402" s="210">
        <f t="shared" si="268"/>
        <v>-19983.168239217091</v>
      </c>
      <c r="AJ402" s="209">
        <f t="shared" si="309"/>
        <v>1796701.4388928353</v>
      </c>
      <c r="AK402" s="312">
        <f t="shared" ca="1" si="270"/>
        <v>-175469.47010380897</v>
      </c>
      <c r="AL402" s="169">
        <f>IF(AB402&lt;='3.2 Fi&amp;Fo'!$J$15,'3.2 Fi&amp;Fo'!$I$15,0)</f>
        <v>0</v>
      </c>
      <c r="AM402" s="169">
        <f t="shared" si="282"/>
        <v>35856.365064533195</v>
      </c>
      <c r="AN402" s="838">
        <f t="shared" si="287"/>
        <v>25</v>
      </c>
      <c r="AO402" s="844">
        <f t="shared" ca="1" si="271"/>
        <v>175469.47010380897</v>
      </c>
      <c r="AP402" s="839">
        <f ca="1">CM482</f>
        <v>56634.748264498943</v>
      </c>
      <c r="AQ402" s="844">
        <f t="shared" si="272"/>
        <v>0</v>
      </c>
      <c r="AR402" s="839">
        <f t="shared" ca="1" si="288"/>
        <v>0</v>
      </c>
      <c r="AS402" s="839">
        <f t="shared" ca="1" si="283"/>
        <v>9312.4324216973764</v>
      </c>
      <c r="AT402" s="839">
        <f t="shared" ca="1" si="284"/>
        <v>23278.781506095424</v>
      </c>
      <c r="AU402" s="839">
        <f ca="1">'PV-Einspeisung'!AA107*-1</f>
        <v>0</v>
      </c>
      <c r="AV402" s="839">
        <f ca="1">'PV-Einspeisung'!AE107*-1</f>
        <v>0</v>
      </c>
      <c r="AW402" s="839"/>
      <c r="AX402" s="839">
        <f t="shared" ca="1" si="289"/>
        <v>0</v>
      </c>
      <c r="AY402" s="841">
        <f t="shared" si="273"/>
        <v>25</v>
      </c>
      <c r="AZ402" s="842">
        <f t="shared" ca="1" si="290"/>
        <v>0</v>
      </c>
      <c r="BA402" s="842">
        <f t="shared" ca="1" si="291"/>
        <v>0</v>
      </c>
      <c r="BB402" s="842">
        <f t="shared" ca="1" si="292"/>
        <v>0</v>
      </c>
      <c r="BC402" s="842">
        <f t="shared" ca="1" si="293"/>
        <v>0</v>
      </c>
      <c r="BD402" s="842">
        <f t="shared" ca="1" si="294"/>
        <v>0</v>
      </c>
      <c r="BE402" s="842">
        <f t="shared" ca="1" si="295"/>
        <v>0</v>
      </c>
      <c r="BF402" s="842">
        <f t="shared" ca="1" si="296"/>
        <v>11007.855369074583</v>
      </c>
      <c r="BG402" s="842">
        <f t="shared" ca="1" si="297"/>
        <v>12270.926137020839</v>
      </c>
      <c r="BH402" s="858">
        <f t="shared" si="281"/>
        <v>25</v>
      </c>
      <c r="BI402" s="857">
        <f t="shared" ca="1" si="298"/>
        <v>4385.7995549367397</v>
      </c>
      <c r="BJ402" s="857">
        <f t="shared" ca="1" si="299"/>
        <v>4926.6328667606376</v>
      </c>
      <c r="BK402" s="859">
        <f ca="1">'PV-Einspeisung'!AB107*-1</f>
        <v>0</v>
      </c>
      <c r="BL402" s="824">
        <f t="shared" ca="1" si="258"/>
        <v>65</v>
      </c>
      <c r="BM402" s="824">
        <f t="shared" ca="1" si="259"/>
        <v>0</v>
      </c>
      <c r="BN402" s="824">
        <f t="shared" ca="1" si="260"/>
        <v>50279.015999999996</v>
      </c>
      <c r="BO402" s="824">
        <f t="shared" ca="1" si="310"/>
        <v>0</v>
      </c>
      <c r="BP402" s="824">
        <f t="shared" ca="1" si="310"/>
        <v>0</v>
      </c>
      <c r="BQ402" s="824">
        <f t="shared" ca="1" si="310"/>
        <v>0</v>
      </c>
      <c r="BR402" s="824">
        <f t="shared" ca="1" si="310"/>
        <v>0</v>
      </c>
      <c r="BS402" s="824">
        <f t="shared" ca="1" si="310"/>
        <v>0</v>
      </c>
      <c r="BT402" s="824">
        <f t="shared" ca="1" si="310"/>
        <v>0</v>
      </c>
      <c r="BU402" s="824">
        <f t="shared" ca="1" si="310"/>
        <v>0</v>
      </c>
      <c r="BV402" s="824">
        <f t="shared" ca="1" si="310"/>
        <v>0</v>
      </c>
      <c r="BW402" s="824">
        <f t="shared" ca="1" si="310"/>
        <v>0</v>
      </c>
      <c r="BX402" s="824">
        <f t="shared" ca="1" si="310"/>
        <v>0</v>
      </c>
      <c r="BY402" s="824">
        <f t="shared" ca="1" si="310"/>
        <v>0</v>
      </c>
      <c r="BZ402" s="824">
        <f t="shared" ca="1" si="310"/>
        <v>0</v>
      </c>
      <c r="CA402" s="824">
        <f t="shared" ca="1" si="310"/>
        <v>0</v>
      </c>
      <c r="CB402" s="824">
        <f t="shared" ca="1" si="310"/>
        <v>0</v>
      </c>
      <c r="CC402" s="824">
        <f t="shared" ca="1" si="310"/>
        <v>0</v>
      </c>
      <c r="CD402" s="824">
        <f t="shared" ca="1" si="310"/>
        <v>0</v>
      </c>
      <c r="CE402" s="824">
        <f t="shared" ca="1" si="312"/>
        <v>0</v>
      </c>
      <c r="CF402" s="824">
        <f t="shared" ca="1" si="312"/>
        <v>0</v>
      </c>
      <c r="CG402" s="824">
        <f t="shared" ca="1" si="312"/>
        <v>0</v>
      </c>
      <c r="CH402" s="824">
        <f t="shared" ca="1" si="312"/>
        <v>0</v>
      </c>
      <c r="CI402" s="824">
        <f t="shared" ca="1" si="312"/>
        <v>0</v>
      </c>
      <c r="CJ402" s="824">
        <f t="shared" ca="1" si="312"/>
        <v>0</v>
      </c>
      <c r="CK402" s="824">
        <f t="shared" ca="1" si="312"/>
        <v>0</v>
      </c>
      <c r="CL402" s="824">
        <f t="shared" ca="1" si="312"/>
        <v>0</v>
      </c>
      <c r="CM402" s="824">
        <f t="shared" ca="1" si="312"/>
        <v>0</v>
      </c>
      <c r="CN402" s="824">
        <f t="shared" ca="1" si="312"/>
        <v>0</v>
      </c>
      <c r="CO402" s="824">
        <f t="shared" ca="1" si="312"/>
        <v>0</v>
      </c>
      <c r="CP402" s="824">
        <f t="shared" ca="1" si="312"/>
        <v>0</v>
      </c>
      <c r="CQ402" s="824">
        <f t="shared" ca="1" si="312"/>
        <v>0</v>
      </c>
      <c r="CR402" s="824">
        <f t="shared" ca="1" si="312"/>
        <v>0</v>
      </c>
      <c r="CS402" s="824">
        <f t="shared" ca="1" si="312"/>
        <v>0</v>
      </c>
      <c r="CT402" s="824">
        <f t="shared" ca="1" si="311"/>
        <v>0</v>
      </c>
      <c r="CU402" s="824">
        <f t="shared" ca="1" si="285"/>
        <v>0</v>
      </c>
      <c r="CV402" s="824">
        <f t="shared" ca="1" si="285"/>
        <v>0</v>
      </c>
      <c r="CW402" s="824">
        <f t="shared" ca="1" si="285"/>
        <v>0</v>
      </c>
      <c r="CX402" s="824">
        <f t="shared" ca="1" si="285"/>
        <v>0</v>
      </c>
      <c r="CY402" s="824">
        <f t="shared" ca="1" si="285"/>
        <v>0</v>
      </c>
      <c r="CZ402" s="824">
        <f t="shared" ca="1" si="285"/>
        <v>0</v>
      </c>
      <c r="DA402" s="824">
        <f t="shared" ca="1" si="314"/>
        <v>0</v>
      </c>
      <c r="DB402" s="824">
        <f t="shared" ca="1" si="314"/>
        <v>0</v>
      </c>
      <c r="DC402" s="824">
        <f t="shared" ca="1" si="314"/>
        <v>0</v>
      </c>
      <c r="DD402" s="824">
        <f t="shared" ca="1" si="314"/>
        <v>0</v>
      </c>
      <c r="DE402" s="824">
        <f t="shared" ca="1" si="314"/>
        <v>0</v>
      </c>
      <c r="DF402" s="824">
        <f t="shared" ca="1" si="314"/>
        <v>0</v>
      </c>
      <c r="DG402" s="824">
        <f t="shared" ca="1" si="314"/>
        <v>0</v>
      </c>
      <c r="DH402" s="824">
        <f t="shared" ca="1" si="314"/>
        <v>0</v>
      </c>
      <c r="DI402" s="824">
        <f t="shared" ca="1" si="314"/>
        <v>0</v>
      </c>
      <c r="DJ402" s="824">
        <f t="shared" ca="1" si="314"/>
        <v>0</v>
      </c>
      <c r="DK402" s="824">
        <f t="shared" ca="1" si="313"/>
        <v>0</v>
      </c>
      <c r="DL402" s="824">
        <f t="shared" ca="1" si="313"/>
        <v>0</v>
      </c>
    </row>
    <row r="403" spans="2:116" ht="12" thickBot="1" x14ac:dyDescent="0.3">
      <c r="B403" s="1673"/>
      <c r="C403" s="1680"/>
      <c r="D403" s="15" t="s">
        <v>131</v>
      </c>
      <c r="E403" s="116"/>
      <c r="F403" s="116">
        <f ca="1">SUBTOTAL(109,'3.2 I&amp;W'!$X$89)</f>
        <v>0</v>
      </c>
      <c r="G403" s="116">
        <f ca="1">SUBTOTAL(109,'3.2 I&amp;W'!$Y$89)</f>
        <v>0</v>
      </c>
      <c r="H403" s="116">
        <f ca="1">SUBTOTAL(109,'3.2 I&amp;W'!$AD$89)</f>
        <v>0</v>
      </c>
      <c r="I403" s="116">
        <f ca="1">SUBTOTAL(109,'3.2 I&amp;W'!$AE$89)</f>
        <v>0</v>
      </c>
      <c r="J403" s="116"/>
      <c r="K403" s="116"/>
      <c r="L403" s="116"/>
      <c r="M403" s="116">
        <f ca="1">SUBTOTAL(109,'3.2 I&amp;W'!$AI$89)</f>
        <v>0</v>
      </c>
      <c r="N403" s="156">
        <f t="shared" ca="1" si="262"/>
        <v>0</v>
      </c>
      <c r="O403" s="116">
        <f ca="1">SUBTOTAL(109,'3.2 I&amp;W'!$S$89)</f>
        <v>0</v>
      </c>
      <c r="P403" s="30">
        <f t="shared" ca="1" si="302"/>
        <v>0</v>
      </c>
      <c r="Q403" s="31">
        <f t="shared" ca="1" si="303"/>
        <v>0</v>
      </c>
      <c r="R403" s="31">
        <f t="shared" ca="1" si="304"/>
        <v>0</v>
      </c>
      <c r="S403" s="31">
        <f t="shared" ca="1" si="305"/>
        <v>0</v>
      </c>
      <c r="T403" s="32">
        <f t="shared" ca="1" si="306"/>
        <v>0</v>
      </c>
      <c r="U403" s="37">
        <f t="shared" ca="1" si="263"/>
        <v>0</v>
      </c>
      <c r="V403" s="40">
        <f t="shared" ca="1" si="256"/>
        <v>0</v>
      </c>
      <c r="W403" s="41">
        <f t="shared" ca="1" si="257"/>
        <v>0</v>
      </c>
      <c r="X403" s="43"/>
      <c r="Y403" s="46"/>
      <c r="Z403" s="126"/>
      <c r="AA403" s="136"/>
      <c r="AB403" s="83">
        <v>26</v>
      </c>
      <c r="AC403" s="84">
        <f ca="1">IF(AF402&lt;=1,0,'3.2 Fi&amp;Fo'!$I$25)</f>
        <v>52993.177039275775</v>
      </c>
      <c r="AD403" s="72">
        <f ca="1">IF(AF402&lt;=1,0,AF402*'3.2 Fi&amp;Fo'!$H$25)</f>
        <v>9520.3143501227878</v>
      </c>
      <c r="AE403" s="78">
        <f t="shared" ca="1" si="307"/>
        <v>43472.862689152986</v>
      </c>
      <c r="AF403" s="85">
        <f t="shared" ca="1" si="308"/>
        <v>432542.85481698642</v>
      </c>
      <c r="AG403" s="168">
        <f>IF(AJ402&lt;=1,0,IF(AB403&lt;='3.2 Fi&amp;Fo'!$F$34,'3.2 Fi&amp;Fo'!$J$34,IF(AB403&lt;='3.2 Fi&amp;Fo'!$F$35,'3.2 Fi&amp;Fo'!$J$35,IF(AB403&lt;='3.2 Fi&amp;Fo'!$F$36,'3.2 Fi&amp;Fo'!$J$36,IF(AB403&lt;='3.2 Fi&amp;Fo'!$F$37,'3.2 Fi&amp;Fo'!$J$37,IF(AB403&lt;='3.2 Fi&amp;Fo'!$F$38,'3.2 Fi&amp;Fo'!$J$38,IF(AB403&lt;='3.2 Fi&amp;Fo'!$F$39,'3.2 Fi&amp;Fo'!$J$39,IF(AB403&lt;='3.2 Fi&amp;Fo'!$F$40,'3.2 Fi&amp;Fo'!$J$40))))))))</f>
        <v>94493.376000000004</v>
      </c>
      <c r="AH403" s="207">
        <f>IF(AJ402&lt;=1,0,AJ402*IF(AB403&lt;='3.2 Fi&amp;Fo'!$F$34,'3.2 Fi&amp;Fo'!$I$34,IF(AB403&lt;='3.2 Fi&amp;Fo'!$F$35,'3.2 Fi&amp;Fo'!$I$35,IF(AB403&lt;='3.2 Fi&amp;Fo'!$F$36,'3.2 Fi&amp;Fo'!$I$36,IF(AB403&lt;='3.2 Fi&amp;Fo'!$F$39,'3.2 Fi&amp;Fo'!$I$39,IF(AB403&lt;='3.2 Fi&amp;Fo'!$F$40,'3.2 Fi&amp;Fo'!$I$40))))))</f>
        <v>107802.08633357011</v>
      </c>
      <c r="AI403" s="210">
        <f t="shared" si="268"/>
        <v>-13308.71033357011</v>
      </c>
      <c r="AJ403" s="209">
        <f t="shared" si="309"/>
        <v>1810010.1492264054</v>
      </c>
      <c r="AK403" s="312">
        <f t="shared" ca="1" si="270"/>
        <v>-184060.04540509984</v>
      </c>
      <c r="AL403" s="169">
        <f>IF(AB403&lt;='3.2 Fi&amp;Fo'!$J$15,'3.2 Fi&amp;Fo'!$I$15,0)</f>
        <v>0</v>
      </c>
      <c r="AM403" s="169">
        <f t="shared" si="282"/>
        <v>36573.492365824059</v>
      </c>
      <c r="AN403" s="838">
        <f t="shared" si="287"/>
        <v>26</v>
      </c>
      <c r="AO403" s="844">
        <f t="shared" ca="1" si="271"/>
        <v>184060.04540509984</v>
      </c>
      <c r="AP403" s="839">
        <f ca="1">CN482</f>
        <v>0</v>
      </c>
      <c r="AQ403" s="844">
        <f t="shared" si="272"/>
        <v>0</v>
      </c>
      <c r="AR403" s="839">
        <f t="shared" ca="1" si="288"/>
        <v>0</v>
      </c>
      <c r="AS403" s="839">
        <f t="shared" ca="1" si="283"/>
        <v>9461.4313404445347</v>
      </c>
      <c r="AT403" s="839">
        <f t="shared" ca="1" si="284"/>
        <v>23983.460305118013</v>
      </c>
      <c r="AU403" s="839">
        <f ca="1">'PV-Einspeisung'!AA108*-1</f>
        <v>0</v>
      </c>
      <c r="AV403" s="839">
        <f ca="1">'PV-Einspeisung'!AE108*-1</f>
        <v>0</v>
      </c>
      <c r="AW403" s="839"/>
      <c r="AX403" s="839">
        <f t="shared" ca="1" si="289"/>
        <v>0</v>
      </c>
      <c r="AY403" s="841">
        <f t="shared" si="273"/>
        <v>26</v>
      </c>
      <c r="AZ403" s="842">
        <f t="shared" ca="1" si="290"/>
        <v>0</v>
      </c>
      <c r="BA403" s="842">
        <f t="shared" ca="1" si="291"/>
        <v>0</v>
      </c>
      <c r="BB403" s="842">
        <f t="shared" ca="1" si="292"/>
        <v>0</v>
      </c>
      <c r="BC403" s="842">
        <f t="shared" ca="1" si="293"/>
        <v>0</v>
      </c>
      <c r="BD403" s="842">
        <f t="shared" ca="1" si="294"/>
        <v>0</v>
      </c>
      <c r="BE403" s="842">
        <f t="shared" ca="1" si="295"/>
        <v>0</v>
      </c>
      <c r="BF403" s="842">
        <f t="shared" ca="1" si="296"/>
        <v>11283.051753301446</v>
      </c>
      <c r="BG403" s="842">
        <f t="shared" ca="1" si="297"/>
        <v>12700.408551816567</v>
      </c>
      <c r="BH403" s="858">
        <f t="shared" si="281"/>
        <v>26</v>
      </c>
      <c r="BI403" s="857">
        <f t="shared" ca="1" si="298"/>
        <v>4455.9723478157275</v>
      </c>
      <c r="BJ403" s="857">
        <f t="shared" ca="1" si="299"/>
        <v>5005.4589926288081</v>
      </c>
      <c r="BK403" s="859">
        <f ca="1">'PV-Einspeisung'!AB108*-1</f>
        <v>0</v>
      </c>
      <c r="BL403" s="824">
        <f t="shared" ca="1" si="258"/>
        <v>0</v>
      </c>
      <c r="BM403" s="824">
        <f t="shared" ca="1" si="259"/>
        <v>0</v>
      </c>
      <c r="BN403" s="824">
        <f t="shared" ca="1" si="260"/>
        <v>0</v>
      </c>
      <c r="BO403" s="824">
        <f t="shared" ca="1" si="310"/>
        <v>0</v>
      </c>
      <c r="BP403" s="824">
        <f t="shared" ca="1" si="310"/>
        <v>0</v>
      </c>
      <c r="BQ403" s="824">
        <f t="shared" ca="1" si="310"/>
        <v>0</v>
      </c>
      <c r="BR403" s="824">
        <f t="shared" ca="1" si="310"/>
        <v>0</v>
      </c>
      <c r="BS403" s="824">
        <f t="shared" ca="1" si="310"/>
        <v>0</v>
      </c>
      <c r="BT403" s="824">
        <f t="shared" ca="1" si="310"/>
        <v>0</v>
      </c>
      <c r="BU403" s="824">
        <f t="shared" ca="1" si="310"/>
        <v>0</v>
      </c>
      <c r="BV403" s="824">
        <f t="shared" ca="1" si="310"/>
        <v>0</v>
      </c>
      <c r="BW403" s="824">
        <f t="shared" ca="1" si="310"/>
        <v>0</v>
      </c>
      <c r="BX403" s="824">
        <f t="shared" ca="1" si="310"/>
        <v>0</v>
      </c>
      <c r="BY403" s="824">
        <f t="shared" ca="1" si="310"/>
        <v>0</v>
      </c>
      <c r="BZ403" s="824">
        <f t="shared" ca="1" si="310"/>
        <v>0</v>
      </c>
      <c r="CA403" s="824">
        <f t="shared" ca="1" si="310"/>
        <v>0</v>
      </c>
      <c r="CB403" s="824">
        <f t="shared" ca="1" si="310"/>
        <v>0</v>
      </c>
      <c r="CC403" s="824">
        <f t="shared" ca="1" si="310"/>
        <v>0</v>
      </c>
      <c r="CD403" s="824">
        <f t="shared" ca="1" si="310"/>
        <v>0</v>
      </c>
      <c r="CE403" s="824">
        <f t="shared" ca="1" si="312"/>
        <v>0</v>
      </c>
      <c r="CF403" s="824">
        <f t="shared" ca="1" si="312"/>
        <v>0</v>
      </c>
      <c r="CG403" s="824">
        <f t="shared" ca="1" si="312"/>
        <v>0</v>
      </c>
      <c r="CH403" s="824">
        <f t="shared" ca="1" si="312"/>
        <v>0</v>
      </c>
      <c r="CI403" s="824">
        <f t="shared" ca="1" si="312"/>
        <v>0</v>
      </c>
      <c r="CJ403" s="824">
        <f t="shared" ca="1" si="312"/>
        <v>0</v>
      </c>
      <c r="CK403" s="824">
        <f t="shared" ca="1" si="312"/>
        <v>0</v>
      </c>
      <c r="CL403" s="824">
        <f t="shared" ca="1" si="312"/>
        <v>0</v>
      </c>
      <c r="CM403" s="824">
        <f t="shared" ca="1" si="312"/>
        <v>0</v>
      </c>
      <c r="CN403" s="824">
        <f t="shared" ca="1" si="312"/>
        <v>0</v>
      </c>
      <c r="CO403" s="824">
        <f t="shared" ca="1" si="312"/>
        <v>0</v>
      </c>
      <c r="CP403" s="824">
        <f t="shared" ca="1" si="312"/>
        <v>0</v>
      </c>
      <c r="CQ403" s="824">
        <f t="shared" ca="1" si="312"/>
        <v>0</v>
      </c>
      <c r="CR403" s="824">
        <f t="shared" ca="1" si="312"/>
        <v>0</v>
      </c>
      <c r="CS403" s="824">
        <f t="shared" ca="1" si="312"/>
        <v>0</v>
      </c>
      <c r="CT403" s="824">
        <f t="shared" ca="1" si="311"/>
        <v>0</v>
      </c>
      <c r="CU403" s="824">
        <f t="shared" ca="1" si="285"/>
        <v>0</v>
      </c>
      <c r="CV403" s="824">
        <f t="shared" ca="1" si="285"/>
        <v>0</v>
      </c>
      <c r="CW403" s="824">
        <f t="shared" ca="1" si="285"/>
        <v>0</v>
      </c>
      <c r="CX403" s="824">
        <f t="shared" ca="1" si="285"/>
        <v>0</v>
      </c>
      <c r="CY403" s="824">
        <f t="shared" ca="1" si="285"/>
        <v>0</v>
      </c>
      <c r="CZ403" s="824">
        <f t="shared" ca="1" si="285"/>
        <v>0</v>
      </c>
      <c r="DA403" s="824">
        <f t="shared" ca="1" si="314"/>
        <v>0</v>
      </c>
      <c r="DB403" s="824">
        <f t="shared" ca="1" si="314"/>
        <v>0</v>
      </c>
      <c r="DC403" s="824">
        <f t="shared" ca="1" si="314"/>
        <v>0</v>
      </c>
      <c r="DD403" s="824">
        <f t="shared" ca="1" si="314"/>
        <v>0</v>
      </c>
      <c r="DE403" s="824">
        <f t="shared" ca="1" si="314"/>
        <v>0</v>
      </c>
      <c r="DF403" s="824">
        <f t="shared" ca="1" si="314"/>
        <v>0</v>
      </c>
      <c r="DG403" s="824">
        <f t="shared" ca="1" si="314"/>
        <v>0</v>
      </c>
      <c r="DH403" s="824">
        <f t="shared" ca="1" si="314"/>
        <v>0</v>
      </c>
      <c r="DI403" s="824">
        <f t="shared" ca="1" si="314"/>
        <v>0</v>
      </c>
      <c r="DJ403" s="824">
        <f t="shared" ca="1" si="314"/>
        <v>0</v>
      </c>
      <c r="DK403" s="824">
        <f t="shared" ca="1" si="313"/>
        <v>0</v>
      </c>
      <c r="DL403" s="824">
        <f t="shared" ca="1" si="313"/>
        <v>0</v>
      </c>
    </row>
    <row r="404" spans="2:116" ht="12" thickBot="1" x14ac:dyDescent="0.3">
      <c r="B404" s="1673"/>
      <c r="C404" s="1680"/>
      <c r="D404" s="15" t="s">
        <v>131</v>
      </c>
      <c r="E404" s="165"/>
      <c r="F404" s="116">
        <f ca="1">SUBTOTAL(109,'3.2 I&amp;W'!$X$90)</f>
        <v>0</v>
      </c>
      <c r="G404" s="116">
        <f ca="1">SUBTOTAL(109,'3.2 I&amp;W'!$Y$90)</f>
        <v>0</v>
      </c>
      <c r="H404" s="116">
        <f ca="1">SUBTOTAL(109,'3.2 I&amp;W'!$AD$90)</f>
        <v>0</v>
      </c>
      <c r="I404" s="116">
        <f ca="1">SUBTOTAL(109,'3.2 I&amp;W'!$AE$90)</f>
        <v>0</v>
      </c>
      <c r="J404" s="116"/>
      <c r="K404" s="116"/>
      <c r="L404" s="116"/>
      <c r="M404" s="116">
        <f ca="1">SUBTOTAL(109,'3.2 I&amp;W'!$AI$90)</f>
        <v>0</v>
      </c>
      <c r="N404" s="156">
        <f t="shared" ca="1" si="262"/>
        <v>0</v>
      </c>
      <c r="O404" s="116">
        <f ca="1">SUBTOTAL(109,'3.2 I&amp;W'!$S$90)</f>
        <v>0</v>
      </c>
      <c r="P404" s="30">
        <f t="shared" ca="1" si="302"/>
        <v>0</v>
      </c>
      <c r="Q404" s="31">
        <f t="shared" ca="1" si="303"/>
        <v>0</v>
      </c>
      <c r="R404" s="31">
        <f t="shared" ca="1" si="304"/>
        <v>0</v>
      </c>
      <c r="S404" s="31">
        <f t="shared" ca="1" si="305"/>
        <v>0</v>
      </c>
      <c r="T404" s="32">
        <f t="shared" ca="1" si="306"/>
        <v>0</v>
      </c>
      <c r="U404" s="37">
        <f t="shared" ca="1" si="263"/>
        <v>0</v>
      </c>
      <c r="V404" s="40">
        <f t="shared" ca="1" si="256"/>
        <v>0</v>
      </c>
      <c r="W404" s="41">
        <f t="shared" ca="1" si="257"/>
        <v>0</v>
      </c>
      <c r="X404" s="43"/>
      <c r="Y404" s="46"/>
      <c r="Z404" s="126"/>
      <c r="AA404" s="136"/>
      <c r="AB404" s="83">
        <v>27</v>
      </c>
      <c r="AC404" s="84">
        <f ca="1">IF(AF403&lt;=1,0,'3.2 Fi&amp;Fo'!$I$25)</f>
        <v>52993.177039275775</v>
      </c>
      <c r="AD404" s="72">
        <f ca="1">IF(AF403&lt;=1,0,AF403*'3.2 Fi&amp;Fo'!$H$25)</f>
        <v>8650.8570963397287</v>
      </c>
      <c r="AE404" s="78">
        <f t="shared" ca="1" si="307"/>
        <v>44342.319942936047</v>
      </c>
      <c r="AF404" s="85">
        <f t="shared" ca="1" si="308"/>
        <v>388200.53487405035</v>
      </c>
      <c r="AG404" s="168">
        <f>IF(AJ403&lt;=1,0,IF(AB404&lt;='3.2 Fi&amp;Fo'!$F$34,'3.2 Fi&amp;Fo'!$J$34,IF(AB404&lt;='3.2 Fi&amp;Fo'!$F$35,'3.2 Fi&amp;Fo'!$J$35,IF(AB404&lt;='3.2 Fi&amp;Fo'!$F$36,'3.2 Fi&amp;Fo'!$J$36,IF(AB404&lt;='3.2 Fi&amp;Fo'!$F$37,'3.2 Fi&amp;Fo'!$J$37,IF(AB404&lt;='3.2 Fi&amp;Fo'!$F$38,'3.2 Fi&amp;Fo'!$J$38,IF(AB404&lt;='3.2 Fi&amp;Fo'!$F$39,'3.2 Fi&amp;Fo'!$J$39,IF(AB404&lt;='3.2 Fi&amp;Fo'!$F$40,'3.2 Fi&amp;Fo'!$J$40))))))))</f>
        <v>94493.376000000004</v>
      </c>
      <c r="AH404" s="207">
        <f>IF(AJ403&lt;=1,0,AJ403*IF(AB404&lt;='3.2 Fi&amp;Fo'!$F$34,'3.2 Fi&amp;Fo'!$I$34,IF(AB404&lt;='3.2 Fi&amp;Fo'!$F$35,'3.2 Fi&amp;Fo'!$I$35,IF(AB404&lt;='3.2 Fi&amp;Fo'!$F$36,'3.2 Fi&amp;Fo'!$I$36,IF(AB404&lt;='3.2 Fi&amp;Fo'!$F$39,'3.2 Fi&amp;Fo'!$I$39,IF(AB404&lt;='3.2 Fi&amp;Fo'!$F$40,'3.2 Fi&amp;Fo'!$I$40))))))</f>
        <v>108600.60895358432</v>
      </c>
      <c r="AI404" s="210">
        <f t="shared" si="268"/>
        <v>-14107.232953584316</v>
      </c>
      <c r="AJ404" s="209">
        <f t="shared" si="309"/>
        <v>1824117.3821799897</v>
      </c>
      <c r="AK404" s="312">
        <f t="shared" ca="1" si="270"/>
        <v>-184791.51525241576</v>
      </c>
      <c r="AL404" s="169">
        <f>IF(AB404&lt;='3.2 Fi&amp;Fo'!$J$15,'3.2 Fi&amp;Fo'!$I$15,0)</f>
        <v>0</v>
      </c>
      <c r="AM404" s="169">
        <f t="shared" si="282"/>
        <v>37304.962213139981</v>
      </c>
      <c r="AN404" s="838">
        <f t="shared" si="287"/>
        <v>27</v>
      </c>
      <c r="AO404" s="844">
        <f t="shared" ca="1" si="271"/>
        <v>184791.51525241576</v>
      </c>
      <c r="AP404" s="839">
        <f ca="1">CO482</f>
        <v>0</v>
      </c>
      <c r="AQ404" s="844">
        <f t="shared" si="272"/>
        <v>0</v>
      </c>
      <c r="AR404" s="839">
        <f t="shared" ca="1" si="288"/>
        <v>0</v>
      </c>
      <c r="AS404" s="839">
        <f t="shared" ca="1" si="283"/>
        <v>9612.8142418916486</v>
      </c>
      <c r="AT404" s="839">
        <f t="shared" ca="1" si="284"/>
        <v>24710.050898264126</v>
      </c>
      <c r="AU404" s="839">
        <f ca="1">'PV-Einspeisung'!AA109*-1</f>
        <v>0</v>
      </c>
      <c r="AV404" s="839">
        <f ca="1">'PV-Einspeisung'!AE109*-1</f>
        <v>0</v>
      </c>
      <c r="AW404" s="839"/>
      <c r="AX404" s="839">
        <f t="shared" ca="1" si="289"/>
        <v>0</v>
      </c>
      <c r="AY404" s="841">
        <f t="shared" si="273"/>
        <v>27</v>
      </c>
      <c r="AZ404" s="842">
        <f t="shared" ca="1" si="290"/>
        <v>0</v>
      </c>
      <c r="BA404" s="842">
        <f t="shared" ca="1" si="291"/>
        <v>0</v>
      </c>
      <c r="BB404" s="842">
        <f t="shared" ca="1" si="292"/>
        <v>0</v>
      </c>
      <c r="BC404" s="842">
        <f t="shared" ca="1" si="293"/>
        <v>0</v>
      </c>
      <c r="BD404" s="842">
        <f t="shared" ca="1" si="294"/>
        <v>0</v>
      </c>
      <c r="BE404" s="842">
        <f t="shared" ca="1" si="295"/>
        <v>0</v>
      </c>
      <c r="BF404" s="842">
        <f t="shared" ca="1" si="296"/>
        <v>11565.128047133981</v>
      </c>
      <c r="BG404" s="842">
        <f t="shared" ca="1" si="297"/>
        <v>13144.922851130146</v>
      </c>
      <c r="BH404" s="858">
        <f t="shared" si="281"/>
        <v>27</v>
      </c>
      <c r="BI404" s="857">
        <f t="shared" ca="1" si="298"/>
        <v>4527.2679053807797</v>
      </c>
      <c r="BJ404" s="857">
        <f t="shared" ca="1" si="299"/>
        <v>5085.546336510869</v>
      </c>
      <c r="BK404" s="859">
        <f ca="1">'PV-Einspeisung'!AB109*-1</f>
        <v>0</v>
      </c>
      <c r="BL404" s="824">
        <f t="shared" ca="1" si="258"/>
        <v>0</v>
      </c>
      <c r="BM404" s="824">
        <f t="shared" ca="1" si="259"/>
        <v>0</v>
      </c>
      <c r="BN404" s="824">
        <f t="shared" ca="1" si="260"/>
        <v>0</v>
      </c>
      <c r="BO404" s="824">
        <f t="shared" ca="1" si="310"/>
        <v>0</v>
      </c>
      <c r="BP404" s="824">
        <f t="shared" ca="1" si="310"/>
        <v>0</v>
      </c>
      <c r="BQ404" s="824">
        <f t="shared" ca="1" si="310"/>
        <v>0</v>
      </c>
      <c r="BR404" s="824">
        <f t="shared" ca="1" si="310"/>
        <v>0</v>
      </c>
      <c r="BS404" s="824">
        <f t="shared" ca="1" si="310"/>
        <v>0</v>
      </c>
      <c r="BT404" s="824">
        <f t="shared" ca="1" si="310"/>
        <v>0</v>
      </c>
      <c r="BU404" s="824">
        <f t="shared" ca="1" si="310"/>
        <v>0</v>
      </c>
      <c r="BV404" s="824">
        <f t="shared" ca="1" si="310"/>
        <v>0</v>
      </c>
      <c r="BW404" s="824">
        <f t="shared" ca="1" si="310"/>
        <v>0</v>
      </c>
      <c r="BX404" s="824">
        <f t="shared" ca="1" si="310"/>
        <v>0</v>
      </c>
      <c r="BY404" s="824">
        <f t="shared" ca="1" si="310"/>
        <v>0</v>
      </c>
      <c r="BZ404" s="824">
        <f t="shared" ca="1" si="310"/>
        <v>0</v>
      </c>
      <c r="CA404" s="824">
        <f t="shared" ca="1" si="310"/>
        <v>0</v>
      </c>
      <c r="CB404" s="824">
        <f t="shared" ca="1" si="310"/>
        <v>0</v>
      </c>
      <c r="CC404" s="824">
        <f t="shared" ca="1" si="310"/>
        <v>0</v>
      </c>
      <c r="CD404" s="824">
        <f t="shared" ca="1" si="310"/>
        <v>0</v>
      </c>
      <c r="CE404" s="824">
        <f t="shared" ca="1" si="312"/>
        <v>0</v>
      </c>
      <c r="CF404" s="824">
        <f t="shared" ca="1" si="312"/>
        <v>0</v>
      </c>
      <c r="CG404" s="824">
        <f t="shared" ca="1" si="312"/>
        <v>0</v>
      </c>
      <c r="CH404" s="824">
        <f t="shared" ca="1" si="312"/>
        <v>0</v>
      </c>
      <c r="CI404" s="824">
        <f t="shared" ca="1" si="312"/>
        <v>0</v>
      </c>
      <c r="CJ404" s="824">
        <f t="shared" ca="1" si="312"/>
        <v>0</v>
      </c>
      <c r="CK404" s="824">
        <f t="shared" ca="1" si="312"/>
        <v>0</v>
      </c>
      <c r="CL404" s="824">
        <f t="shared" ca="1" si="312"/>
        <v>0</v>
      </c>
      <c r="CM404" s="824">
        <f t="shared" ca="1" si="312"/>
        <v>0</v>
      </c>
      <c r="CN404" s="824">
        <f t="shared" ca="1" si="312"/>
        <v>0</v>
      </c>
      <c r="CO404" s="824">
        <f t="shared" ca="1" si="312"/>
        <v>0</v>
      </c>
      <c r="CP404" s="824">
        <f t="shared" ca="1" si="312"/>
        <v>0</v>
      </c>
      <c r="CQ404" s="824">
        <f t="shared" ca="1" si="312"/>
        <v>0</v>
      </c>
      <c r="CR404" s="824">
        <f t="shared" ca="1" si="312"/>
        <v>0</v>
      </c>
      <c r="CS404" s="824">
        <f t="shared" ca="1" si="312"/>
        <v>0</v>
      </c>
      <c r="CT404" s="824">
        <f t="shared" ca="1" si="311"/>
        <v>0</v>
      </c>
      <c r="CU404" s="824">
        <f t="shared" ca="1" si="285"/>
        <v>0</v>
      </c>
      <c r="CV404" s="824">
        <f t="shared" ca="1" si="285"/>
        <v>0</v>
      </c>
      <c r="CW404" s="824">
        <f t="shared" ca="1" si="285"/>
        <v>0</v>
      </c>
      <c r="CX404" s="824">
        <f t="shared" ca="1" si="285"/>
        <v>0</v>
      </c>
      <c r="CY404" s="824">
        <f t="shared" ca="1" si="285"/>
        <v>0</v>
      </c>
      <c r="CZ404" s="824">
        <f t="shared" ca="1" si="285"/>
        <v>0</v>
      </c>
      <c r="DA404" s="824">
        <f t="shared" ca="1" si="314"/>
        <v>0</v>
      </c>
      <c r="DB404" s="824">
        <f t="shared" ca="1" si="314"/>
        <v>0</v>
      </c>
      <c r="DC404" s="824">
        <f t="shared" ca="1" si="314"/>
        <v>0</v>
      </c>
      <c r="DD404" s="824">
        <f t="shared" ca="1" si="314"/>
        <v>0</v>
      </c>
      <c r="DE404" s="824">
        <f t="shared" ca="1" si="314"/>
        <v>0</v>
      </c>
      <c r="DF404" s="824">
        <f t="shared" ca="1" si="314"/>
        <v>0</v>
      </c>
      <c r="DG404" s="824">
        <f t="shared" ca="1" si="314"/>
        <v>0</v>
      </c>
      <c r="DH404" s="824">
        <f t="shared" ca="1" si="314"/>
        <v>0</v>
      </c>
      <c r="DI404" s="824">
        <f t="shared" ca="1" si="314"/>
        <v>0</v>
      </c>
      <c r="DJ404" s="824">
        <f t="shared" ca="1" si="314"/>
        <v>0</v>
      </c>
      <c r="DK404" s="824">
        <f t="shared" ca="1" si="313"/>
        <v>0</v>
      </c>
      <c r="DL404" s="824">
        <f t="shared" ca="1" si="313"/>
        <v>0</v>
      </c>
    </row>
    <row r="405" spans="2:116" ht="12" thickBot="1" x14ac:dyDescent="0.3">
      <c r="B405" s="1673"/>
      <c r="C405" s="1680"/>
      <c r="D405" s="15" t="s">
        <v>131</v>
      </c>
      <c r="E405" s="116"/>
      <c r="F405" s="116">
        <f ca="1">SUBTOTAL(109,'3.2 I&amp;W'!$X$91)</f>
        <v>0</v>
      </c>
      <c r="G405" s="116">
        <f ca="1">SUBTOTAL(109,'3.2 I&amp;W'!$Y$91)</f>
        <v>0</v>
      </c>
      <c r="H405" s="116">
        <f ca="1">SUBTOTAL(109,'3.2 I&amp;W'!$AD$91)</f>
        <v>0</v>
      </c>
      <c r="I405" s="116">
        <f ca="1">SUBTOTAL(109,'3.2 I&amp;W'!$AE$91)</f>
        <v>0</v>
      </c>
      <c r="J405" s="116"/>
      <c r="K405" s="116"/>
      <c r="L405" s="116"/>
      <c r="M405" s="116">
        <f ca="1">SUBTOTAL(109,'3.2 I&amp;W'!$AI$91)</f>
        <v>0</v>
      </c>
      <c r="N405" s="156">
        <f t="shared" ca="1" si="262"/>
        <v>0</v>
      </c>
      <c r="O405" s="116">
        <f ca="1">SUBTOTAL(109,'3.2 I&amp;W'!$S$91)</f>
        <v>0</v>
      </c>
      <c r="P405" s="30">
        <f t="shared" ca="1" si="302"/>
        <v>0</v>
      </c>
      <c r="Q405" s="31">
        <f t="shared" ca="1" si="303"/>
        <v>0</v>
      </c>
      <c r="R405" s="31">
        <f t="shared" ca="1" si="304"/>
        <v>0</v>
      </c>
      <c r="S405" s="31">
        <f t="shared" ca="1" si="305"/>
        <v>0</v>
      </c>
      <c r="T405" s="32">
        <f t="shared" ca="1" si="306"/>
        <v>0</v>
      </c>
      <c r="U405" s="37">
        <f t="shared" ca="1" si="263"/>
        <v>0</v>
      </c>
      <c r="V405" s="40">
        <f t="shared" ref="V405:V436" ca="1" si="315">G405*$I$169</f>
        <v>0</v>
      </c>
      <c r="W405" s="41">
        <f t="shared" ref="W405:W436" ca="1" si="316">(I405+J405)*$I$167</f>
        <v>0</v>
      </c>
      <c r="X405" s="43"/>
      <c r="Y405" s="46"/>
      <c r="Z405" s="126"/>
      <c r="AA405" s="136"/>
      <c r="AB405" s="83">
        <v>28</v>
      </c>
      <c r="AC405" s="84">
        <f ca="1">IF(AF404&lt;=1,0,'3.2 Fi&amp;Fo'!$I$25)</f>
        <v>52993.177039275775</v>
      </c>
      <c r="AD405" s="72">
        <f ca="1">IF(AF404&lt;=1,0,AF404*'3.2 Fi&amp;Fo'!$H$25)</f>
        <v>7764.0106974810069</v>
      </c>
      <c r="AE405" s="78">
        <f t="shared" ca="1" si="307"/>
        <v>45229.166341794771</v>
      </c>
      <c r="AF405" s="85">
        <f t="shared" ca="1" si="308"/>
        <v>342971.36853225558</v>
      </c>
      <c r="AG405" s="168">
        <f>IF(AJ404&lt;=1,0,IF(AB405&lt;='3.2 Fi&amp;Fo'!$F$34,'3.2 Fi&amp;Fo'!$J$34,IF(AB405&lt;='3.2 Fi&amp;Fo'!$F$35,'3.2 Fi&amp;Fo'!$J$35,IF(AB405&lt;='3.2 Fi&amp;Fo'!$F$36,'3.2 Fi&amp;Fo'!$J$36,IF(AB405&lt;='3.2 Fi&amp;Fo'!$F$37,'3.2 Fi&amp;Fo'!$J$37,IF(AB405&lt;='3.2 Fi&amp;Fo'!$F$38,'3.2 Fi&amp;Fo'!$J$38,IF(AB405&lt;='3.2 Fi&amp;Fo'!$F$39,'3.2 Fi&amp;Fo'!$J$39,IF(AB405&lt;='3.2 Fi&amp;Fo'!$F$40,'3.2 Fi&amp;Fo'!$J$40))))))))</f>
        <v>94493.376000000004</v>
      </c>
      <c r="AH405" s="207">
        <f>IF(AJ404&lt;=1,0,AJ404*IF(AB405&lt;='3.2 Fi&amp;Fo'!$F$34,'3.2 Fi&amp;Fo'!$I$34,IF(AB405&lt;='3.2 Fi&amp;Fo'!$F$35,'3.2 Fi&amp;Fo'!$I$35,IF(AB405&lt;='3.2 Fi&amp;Fo'!$F$36,'3.2 Fi&amp;Fo'!$I$36,IF(AB405&lt;='3.2 Fi&amp;Fo'!$F$39,'3.2 Fi&amp;Fo'!$I$39,IF(AB405&lt;='3.2 Fi&amp;Fo'!$F$40,'3.2 Fi&amp;Fo'!$I$40))))))</f>
        <v>109447.04293079938</v>
      </c>
      <c r="AI405" s="210">
        <f t="shared" si="268"/>
        <v>-14953.666930799372</v>
      </c>
      <c r="AJ405" s="209">
        <f t="shared" si="309"/>
        <v>1839071.0491107891</v>
      </c>
      <c r="AK405" s="312">
        <f t="shared" ca="1" si="270"/>
        <v>-185537.61449667925</v>
      </c>
      <c r="AL405" s="169">
        <f>IF(AB405&lt;='3.2 Fi&amp;Fo'!$J$15,'3.2 Fi&amp;Fo'!$I$15,0)</f>
        <v>0</v>
      </c>
      <c r="AM405" s="169">
        <f t="shared" si="282"/>
        <v>38051.06145740347</v>
      </c>
      <c r="AN405" s="838">
        <f t="shared" si="287"/>
        <v>28</v>
      </c>
      <c r="AO405" s="844">
        <f t="shared" ca="1" si="271"/>
        <v>185537.61449667925</v>
      </c>
      <c r="AP405" s="839">
        <f ca="1">CP482</f>
        <v>0</v>
      </c>
      <c r="AQ405" s="844">
        <f t="shared" si="272"/>
        <v>0</v>
      </c>
      <c r="AR405" s="839">
        <f t="shared" ca="1" si="288"/>
        <v>0</v>
      </c>
      <c r="AS405" s="839">
        <f t="shared" ca="1" si="283"/>
        <v>9766.6192697619153</v>
      </c>
      <c r="AT405" s="839">
        <f t="shared" ca="1" si="284"/>
        <v>25459.251399232031</v>
      </c>
      <c r="AU405" s="839">
        <f ca="1">'PV-Einspeisung'!AA110*-1</f>
        <v>0</v>
      </c>
      <c r="AV405" s="839">
        <f ca="1">'PV-Einspeisung'!AE110*-1</f>
        <v>0</v>
      </c>
      <c r="AW405" s="839"/>
      <c r="AX405" s="839">
        <f t="shared" ca="1" si="289"/>
        <v>0</v>
      </c>
      <c r="AY405" s="841">
        <f t="shared" si="273"/>
        <v>28</v>
      </c>
      <c r="AZ405" s="842">
        <f t="shared" ca="1" si="290"/>
        <v>0</v>
      </c>
      <c r="BA405" s="842">
        <f t="shared" ca="1" si="291"/>
        <v>0</v>
      </c>
      <c r="BB405" s="842">
        <f t="shared" ca="1" si="292"/>
        <v>0</v>
      </c>
      <c r="BC405" s="842">
        <f t="shared" ca="1" si="293"/>
        <v>0</v>
      </c>
      <c r="BD405" s="842">
        <f t="shared" ca="1" si="294"/>
        <v>0</v>
      </c>
      <c r="BE405" s="842">
        <f t="shared" ca="1" si="295"/>
        <v>0</v>
      </c>
      <c r="BF405" s="842">
        <f t="shared" ca="1" si="296"/>
        <v>11854.256248312329</v>
      </c>
      <c r="BG405" s="842">
        <f t="shared" ca="1" si="297"/>
        <v>13604.9951509197</v>
      </c>
      <c r="BH405" s="858">
        <f t="shared" si="281"/>
        <v>28</v>
      </c>
      <c r="BI405" s="857">
        <f t="shared" ca="1" si="298"/>
        <v>4599.704191866872</v>
      </c>
      <c r="BJ405" s="857">
        <f t="shared" ca="1" si="299"/>
        <v>5166.9150778950434</v>
      </c>
      <c r="BK405" s="859">
        <f ca="1">'PV-Einspeisung'!AB110*-1</f>
        <v>0</v>
      </c>
      <c r="BL405" s="824">
        <f t="shared" ref="BL405:BL436" ca="1" si="317">M405</f>
        <v>0</v>
      </c>
      <c r="BM405" s="824">
        <f t="shared" ref="BM405:BM436" ca="1" si="318">N405</f>
        <v>0</v>
      </c>
      <c r="BN405" s="824">
        <f t="shared" ref="BN405:BN436" ca="1" si="319">O405</f>
        <v>0</v>
      </c>
      <c r="BO405" s="824">
        <f t="shared" ca="1" si="310"/>
        <v>0</v>
      </c>
      <c r="BP405" s="824">
        <f t="shared" ca="1" si="310"/>
        <v>0</v>
      </c>
      <c r="BQ405" s="824">
        <f t="shared" ca="1" si="310"/>
        <v>0</v>
      </c>
      <c r="BR405" s="824">
        <f t="shared" ca="1" si="310"/>
        <v>0</v>
      </c>
      <c r="BS405" s="824">
        <f t="shared" ca="1" si="310"/>
        <v>0</v>
      </c>
      <c r="BT405" s="824">
        <f t="shared" ca="1" si="310"/>
        <v>0</v>
      </c>
      <c r="BU405" s="824">
        <f t="shared" ca="1" si="310"/>
        <v>0</v>
      </c>
      <c r="BV405" s="824">
        <f t="shared" ca="1" si="310"/>
        <v>0</v>
      </c>
      <c r="BW405" s="824">
        <f t="shared" ca="1" si="310"/>
        <v>0</v>
      </c>
      <c r="BX405" s="824">
        <f t="shared" ca="1" si="310"/>
        <v>0</v>
      </c>
      <c r="BY405" s="824">
        <f t="shared" ca="1" si="310"/>
        <v>0</v>
      </c>
      <c r="BZ405" s="824">
        <f t="shared" ca="1" si="310"/>
        <v>0</v>
      </c>
      <c r="CA405" s="824">
        <f t="shared" ca="1" si="310"/>
        <v>0</v>
      </c>
      <c r="CB405" s="824">
        <f t="shared" ca="1" si="310"/>
        <v>0</v>
      </c>
      <c r="CC405" s="824">
        <f t="shared" ca="1" si="310"/>
        <v>0</v>
      </c>
      <c r="CD405" s="824">
        <f t="shared" ca="1" si="310"/>
        <v>0</v>
      </c>
      <c r="CE405" s="824">
        <f t="shared" ca="1" si="312"/>
        <v>0</v>
      </c>
      <c r="CF405" s="824">
        <f t="shared" ca="1" si="312"/>
        <v>0</v>
      </c>
      <c r="CG405" s="824">
        <f t="shared" ca="1" si="312"/>
        <v>0</v>
      </c>
      <c r="CH405" s="824">
        <f t="shared" ca="1" si="312"/>
        <v>0</v>
      </c>
      <c r="CI405" s="824">
        <f t="shared" ca="1" si="312"/>
        <v>0</v>
      </c>
      <c r="CJ405" s="824">
        <f t="shared" ca="1" si="312"/>
        <v>0</v>
      </c>
      <c r="CK405" s="824">
        <f t="shared" ca="1" si="312"/>
        <v>0</v>
      </c>
      <c r="CL405" s="824">
        <f t="shared" ca="1" si="312"/>
        <v>0</v>
      </c>
      <c r="CM405" s="824">
        <f t="shared" ca="1" si="312"/>
        <v>0</v>
      </c>
      <c r="CN405" s="824">
        <f t="shared" ca="1" si="312"/>
        <v>0</v>
      </c>
      <c r="CO405" s="824">
        <f t="shared" ca="1" si="312"/>
        <v>0</v>
      </c>
      <c r="CP405" s="824">
        <f t="shared" ca="1" si="312"/>
        <v>0</v>
      </c>
      <c r="CQ405" s="824">
        <f t="shared" ca="1" si="312"/>
        <v>0</v>
      </c>
      <c r="CR405" s="824">
        <f t="shared" ca="1" si="312"/>
        <v>0</v>
      </c>
      <c r="CS405" s="824">
        <f t="shared" ca="1" si="312"/>
        <v>0</v>
      </c>
      <c r="CT405" s="824">
        <f t="shared" ca="1" si="311"/>
        <v>0</v>
      </c>
      <c r="CU405" s="824">
        <f t="shared" ca="1" si="285"/>
        <v>0</v>
      </c>
      <c r="CV405" s="824">
        <f t="shared" ca="1" si="285"/>
        <v>0</v>
      </c>
      <c r="CW405" s="824">
        <f t="shared" ca="1" si="285"/>
        <v>0</v>
      </c>
      <c r="CX405" s="824">
        <f t="shared" ca="1" si="285"/>
        <v>0</v>
      </c>
      <c r="CY405" s="824">
        <f t="shared" ca="1" si="285"/>
        <v>0</v>
      </c>
      <c r="CZ405" s="824">
        <f t="shared" ca="1" si="285"/>
        <v>0</v>
      </c>
      <c r="DA405" s="824">
        <f t="shared" ca="1" si="314"/>
        <v>0</v>
      </c>
      <c r="DB405" s="824">
        <f t="shared" ca="1" si="314"/>
        <v>0</v>
      </c>
      <c r="DC405" s="824">
        <f t="shared" ca="1" si="314"/>
        <v>0</v>
      </c>
      <c r="DD405" s="824">
        <f t="shared" ca="1" si="314"/>
        <v>0</v>
      </c>
      <c r="DE405" s="824">
        <f t="shared" ca="1" si="314"/>
        <v>0</v>
      </c>
      <c r="DF405" s="824">
        <f t="shared" ca="1" si="314"/>
        <v>0</v>
      </c>
      <c r="DG405" s="824">
        <f t="shared" ca="1" si="314"/>
        <v>0</v>
      </c>
      <c r="DH405" s="824">
        <f t="shared" ca="1" si="314"/>
        <v>0</v>
      </c>
      <c r="DI405" s="824">
        <f t="shared" ca="1" si="314"/>
        <v>0</v>
      </c>
      <c r="DJ405" s="824">
        <f t="shared" ca="1" si="314"/>
        <v>0</v>
      </c>
      <c r="DK405" s="824">
        <f t="shared" ca="1" si="313"/>
        <v>0</v>
      </c>
      <c r="DL405" s="824">
        <f t="shared" ca="1" si="313"/>
        <v>0</v>
      </c>
    </row>
    <row r="406" spans="2:116" ht="12" thickBot="1" x14ac:dyDescent="0.3">
      <c r="B406" s="1673"/>
      <c r="C406" s="1680"/>
      <c r="D406" s="15" t="s">
        <v>263</v>
      </c>
      <c r="E406" s="165"/>
      <c r="F406" s="116">
        <f ca="1">SUBTOTAL(109,'3.2 I&amp;W'!$X$95)</f>
        <v>0</v>
      </c>
      <c r="G406" s="116">
        <f ca="1">SUBTOTAL(109,'3.2 I&amp;W'!$Y$95)</f>
        <v>0</v>
      </c>
      <c r="H406" s="116">
        <f ca="1">SUBTOTAL(109,'3.2 I&amp;W'!$AD$95)</f>
        <v>0</v>
      </c>
      <c r="I406" s="116">
        <f ca="1">SUBTOTAL(109,'3.2 I&amp;W'!$AE$95)</f>
        <v>0</v>
      </c>
      <c r="J406" s="116"/>
      <c r="K406" s="116"/>
      <c r="L406" s="116"/>
      <c r="M406" s="116">
        <f ca="1">SUBTOTAL(109,'3.2 I&amp;W'!$AI$95)</f>
        <v>0</v>
      </c>
      <c r="N406" s="156">
        <f t="shared" ca="1" si="262"/>
        <v>0</v>
      </c>
      <c r="O406" s="116">
        <f ca="1">SUBTOTAL(109,'3.2 I&amp;W'!$S$95)</f>
        <v>0</v>
      </c>
      <c r="P406" s="30">
        <f t="shared" ca="1" si="302"/>
        <v>0</v>
      </c>
      <c r="Q406" s="31">
        <f t="shared" ca="1" si="303"/>
        <v>0</v>
      </c>
      <c r="R406" s="31">
        <f t="shared" ca="1" si="304"/>
        <v>0</v>
      </c>
      <c r="S406" s="31">
        <f t="shared" ca="1" si="305"/>
        <v>0</v>
      </c>
      <c r="T406" s="32">
        <f t="shared" ca="1" si="306"/>
        <v>0</v>
      </c>
      <c r="U406" s="37">
        <f t="shared" ca="1" si="263"/>
        <v>0</v>
      </c>
      <c r="V406" s="40">
        <f t="shared" ca="1" si="315"/>
        <v>0</v>
      </c>
      <c r="W406" s="41">
        <f t="shared" ca="1" si="316"/>
        <v>0</v>
      </c>
      <c r="X406" s="43"/>
      <c r="Y406" s="46"/>
      <c r="Z406" s="126"/>
      <c r="AA406" s="136"/>
      <c r="AB406" s="83">
        <v>29</v>
      </c>
      <c r="AC406" s="84">
        <f ca="1">IF(AF405&lt;=1,0,'3.2 Fi&amp;Fo'!$I$25)</f>
        <v>52993.177039275775</v>
      </c>
      <c r="AD406" s="72">
        <f ca="1">IF(AF405&lt;=1,0,AF405*'3.2 Fi&amp;Fo'!$H$25)</f>
        <v>6859.4273706451122</v>
      </c>
      <c r="AE406" s="78">
        <f t="shared" ca="1" si="307"/>
        <v>46133.749668630662</v>
      </c>
      <c r="AF406" s="85">
        <f t="shared" ca="1" si="308"/>
        <v>296837.61886362493</v>
      </c>
      <c r="AG406" s="168">
        <f>IF(AJ405&lt;=1,0,IF(AB406&lt;='3.2 Fi&amp;Fo'!$F$34,'3.2 Fi&amp;Fo'!$J$34,IF(AB406&lt;='3.2 Fi&amp;Fo'!$F$35,'3.2 Fi&amp;Fo'!$J$35,IF(AB406&lt;='3.2 Fi&amp;Fo'!$F$36,'3.2 Fi&amp;Fo'!$J$36,IF(AB406&lt;='3.2 Fi&amp;Fo'!$F$37,'3.2 Fi&amp;Fo'!$J$37,IF(AB406&lt;='3.2 Fi&amp;Fo'!$F$38,'3.2 Fi&amp;Fo'!$J$38,IF(AB406&lt;='3.2 Fi&amp;Fo'!$F$39,'3.2 Fi&amp;Fo'!$J$39,IF(AB406&lt;='3.2 Fi&amp;Fo'!$F$40,'3.2 Fi&amp;Fo'!$J$40))))))))</f>
        <v>94493.376000000004</v>
      </c>
      <c r="AH406" s="207">
        <f>IF(AJ405&lt;=1,0,AJ405*IF(AB406&lt;='3.2 Fi&amp;Fo'!$F$34,'3.2 Fi&amp;Fo'!$I$34,IF(AB406&lt;='3.2 Fi&amp;Fo'!$F$35,'3.2 Fi&amp;Fo'!$I$35,IF(AB406&lt;='3.2 Fi&amp;Fo'!$F$36,'3.2 Fi&amp;Fo'!$I$36,IF(AB406&lt;='3.2 Fi&amp;Fo'!$F$39,'3.2 Fi&amp;Fo'!$I$39,IF(AB406&lt;='3.2 Fi&amp;Fo'!$F$40,'3.2 Fi&amp;Fo'!$I$40))))))</f>
        <v>110344.26294664734</v>
      </c>
      <c r="AI406" s="210">
        <f t="shared" si="268"/>
        <v>-15850.886946647341</v>
      </c>
      <c r="AJ406" s="209">
        <f t="shared" si="309"/>
        <v>1854921.9360574365</v>
      </c>
      <c r="AK406" s="312">
        <f t="shared" ca="1" si="270"/>
        <v>-186298.63572582669</v>
      </c>
      <c r="AL406" s="169">
        <f>IF(AB406&lt;='3.2 Fi&amp;Fo'!$J$15,'3.2 Fi&amp;Fo'!$I$15,0)</f>
        <v>0</v>
      </c>
      <c r="AM406" s="169">
        <f t="shared" si="282"/>
        <v>38812.082686550915</v>
      </c>
      <c r="AN406" s="838">
        <f t="shared" si="287"/>
        <v>29</v>
      </c>
      <c r="AO406" s="844">
        <f t="shared" ca="1" si="271"/>
        <v>186298.63572582669</v>
      </c>
      <c r="AP406" s="839">
        <f ca="1">CQ482</f>
        <v>0</v>
      </c>
      <c r="AQ406" s="844">
        <f t="shared" si="272"/>
        <v>0</v>
      </c>
      <c r="AR406" s="839">
        <f t="shared" ca="1" si="288"/>
        <v>0</v>
      </c>
      <c r="AS406" s="839">
        <f t="shared" ca="1" si="283"/>
        <v>9922.885178078106</v>
      </c>
      <c r="AT406" s="839">
        <f t="shared" ca="1" si="284"/>
        <v>26231.782635722026</v>
      </c>
      <c r="AU406" s="839">
        <f ca="1">'PV-Einspeisung'!AA111*-1</f>
        <v>0</v>
      </c>
      <c r="AV406" s="839">
        <f ca="1">'PV-Einspeisung'!AE111*-1</f>
        <v>0</v>
      </c>
      <c r="AW406" s="839"/>
      <c r="AX406" s="839">
        <f t="shared" ca="1" si="289"/>
        <v>0</v>
      </c>
      <c r="AY406" s="841">
        <f t="shared" si="273"/>
        <v>29</v>
      </c>
      <c r="AZ406" s="842">
        <f t="shared" ca="1" si="290"/>
        <v>0</v>
      </c>
      <c r="BA406" s="842">
        <f t="shared" ca="1" si="291"/>
        <v>0</v>
      </c>
      <c r="BB406" s="842">
        <f t="shared" ca="1" si="292"/>
        <v>0</v>
      </c>
      <c r="BC406" s="842">
        <f t="shared" ca="1" si="293"/>
        <v>0</v>
      </c>
      <c r="BD406" s="842">
        <f t="shared" ca="1" si="294"/>
        <v>0</v>
      </c>
      <c r="BE406" s="842">
        <f t="shared" ca="1" si="295"/>
        <v>0</v>
      </c>
      <c r="BF406" s="842">
        <f t="shared" ca="1" si="296"/>
        <v>12150.612654520137</v>
      </c>
      <c r="BG406" s="842">
        <f t="shared" ca="1" si="297"/>
        <v>14081.169981201889</v>
      </c>
      <c r="BH406" s="858">
        <f t="shared" si="281"/>
        <v>29</v>
      </c>
      <c r="BI406" s="857">
        <f t="shared" ca="1" si="298"/>
        <v>4673.2994589367418</v>
      </c>
      <c r="BJ406" s="857">
        <f t="shared" ca="1" si="299"/>
        <v>5249.5857191413643</v>
      </c>
      <c r="BK406" s="859">
        <f ca="1">'PV-Einspeisung'!AB111*-1</f>
        <v>0</v>
      </c>
      <c r="BL406" s="824">
        <f t="shared" ca="1" si="317"/>
        <v>0</v>
      </c>
      <c r="BM406" s="824">
        <f t="shared" ca="1" si="318"/>
        <v>0</v>
      </c>
      <c r="BN406" s="824">
        <f t="shared" ca="1" si="319"/>
        <v>0</v>
      </c>
      <c r="BO406" s="824">
        <f t="shared" ca="1" si="310"/>
        <v>0</v>
      </c>
      <c r="BP406" s="824">
        <f t="shared" ca="1" si="310"/>
        <v>0</v>
      </c>
      <c r="BQ406" s="824">
        <f t="shared" ca="1" si="310"/>
        <v>0</v>
      </c>
      <c r="BR406" s="824">
        <f t="shared" ca="1" si="310"/>
        <v>0</v>
      </c>
      <c r="BS406" s="824">
        <f t="shared" ca="1" si="310"/>
        <v>0</v>
      </c>
      <c r="BT406" s="824">
        <f t="shared" ca="1" si="310"/>
        <v>0</v>
      </c>
      <c r="BU406" s="824">
        <f t="shared" ca="1" si="310"/>
        <v>0</v>
      </c>
      <c r="BV406" s="824">
        <f t="shared" ca="1" si="310"/>
        <v>0</v>
      </c>
      <c r="BW406" s="824">
        <f t="shared" ca="1" si="310"/>
        <v>0</v>
      </c>
      <c r="BX406" s="824">
        <f t="shared" ca="1" si="310"/>
        <v>0</v>
      </c>
      <c r="BY406" s="824">
        <f t="shared" ca="1" si="310"/>
        <v>0</v>
      </c>
      <c r="BZ406" s="824">
        <f t="shared" ca="1" si="310"/>
        <v>0</v>
      </c>
      <c r="CA406" s="824">
        <f t="shared" ca="1" si="310"/>
        <v>0</v>
      </c>
      <c r="CB406" s="824">
        <f t="shared" ca="1" si="310"/>
        <v>0</v>
      </c>
      <c r="CC406" s="824">
        <f t="shared" ca="1" si="310"/>
        <v>0</v>
      </c>
      <c r="CD406" s="824">
        <f t="shared" ca="1" si="310"/>
        <v>0</v>
      </c>
      <c r="CE406" s="824">
        <f t="shared" ca="1" si="312"/>
        <v>0</v>
      </c>
      <c r="CF406" s="824">
        <f t="shared" ca="1" si="312"/>
        <v>0</v>
      </c>
      <c r="CG406" s="824">
        <f t="shared" ca="1" si="312"/>
        <v>0</v>
      </c>
      <c r="CH406" s="824">
        <f t="shared" ca="1" si="312"/>
        <v>0</v>
      </c>
      <c r="CI406" s="824">
        <f t="shared" ca="1" si="312"/>
        <v>0</v>
      </c>
      <c r="CJ406" s="824">
        <f t="shared" ca="1" si="312"/>
        <v>0</v>
      </c>
      <c r="CK406" s="824">
        <f t="shared" ca="1" si="312"/>
        <v>0</v>
      </c>
      <c r="CL406" s="824">
        <f t="shared" ca="1" si="312"/>
        <v>0</v>
      </c>
      <c r="CM406" s="824">
        <f t="shared" ca="1" si="312"/>
        <v>0</v>
      </c>
      <c r="CN406" s="824">
        <f t="shared" ca="1" si="312"/>
        <v>0</v>
      </c>
      <c r="CO406" s="824">
        <f t="shared" ca="1" si="312"/>
        <v>0</v>
      </c>
      <c r="CP406" s="824">
        <f t="shared" ca="1" si="312"/>
        <v>0</v>
      </c>
      <c r="CQ406" s="824">
        <f t="shared" ca="1" si="312"/>
        <v>0</v>
      </c>
      <c r="CR406" s="824">
        <f t="shared" ca="1" si="312"/>
        <v>0</v>
      </c>
      <c r="CS406" s="824">
        <f t="shared" ca="1" si="312"/>
        <v>0</v>
      </c>
      <c r="CT406" s="824">
        <f t="shared" ca="1" si="311"/>
        <v>0</v>
      </c>
      <c r="CU406" s="824">
        <f t="shared" ca="1" si="311"/>
        <v>0</v>
      </c>
      <c r="CV406" s="824">
        <f t="shared" ca="1" si="311"/>
        <v>0</v>
      </c>
      <c r="CW406" s="824">
        <f t="shared" ca="1" si="311"/>
        <v>0</v>
      </c>
      <c r="CX406" s="824">
        <f t="shared" ca="1" si="311"/>
        <v>0</v>
      </c>
      <c r="CY406" s="824">
        <f t="shared" ca="1" si="311"/>
        <v>0</v>
      </c>
      <c r="CZ406" s="824">
        <f t="shared" ca="1" si="311"/>
        <v>0</v>
      </c>
      <c r="DA406" s="824">
        <f t="shared" ca="1" si="311"/>
        <v>0</v>
      </c>
      <c r="DB406" s="824">
        <f t="shared" ca="1" si="311"/>
        <v>0</v>
      </c>
      <c r="DC406" s="824">
        <f t="shared" ca="1" si="311"/>
        <v>0</v>
      </c>
      <c r="DD406" s="824">
        <f t="shared" ca="1" si="311"/>
        <v>0</v>
      </c>
      <c r="DE406" s="824">
        <f t="shared" ca="1" si="311"/>
        <v>0</v>
      </c>
      <c r="DF406" s="824">
        <f t="shared" ca="1" si="311"/>
        <v>0</v>
      </c>
      <c r="DG406" s="824">
        <f t="shared" ca="1" si="314"/>
        <v>0</v>
      </c>
      <c r="DH406" s="824">
        <f t="shared" ca="1" si="314"/>
        <v>0</v>
      </c>
      <c r="DI406" s="824">
        <f t="shared" ca="1" si="314"/>
        <v>0</v>
      </c>
      <c r="DJ406" s="824">
        <f t="shared" ca="1" si="314"/>
        <v>0</v>
      </c>
      <c r="DK406" s="824">
        <f t="shared" ca="1" si="313"/>
        <v>0</v>
      </c>
      <c r="DL406" s="824">
        <f t="shared" ca="1" si="313"/>
        <v>0</v>
      </c>
    </row>
    <row r="407" spans="2:116" ht="12" thickBot="1" x14ac:dyDescent="0.3">
      <c r="B407" s="1673"/>
      <c r="C407" s="1680"/>
      <c r="D407" s="15" t="s">
        <v>263</v>
      </c>
      <c r="E407" s="116"/>
      <c r="F407" s="116">
        <f ca="1">SUBTOTAL(109,'3.2 I&amp;W'!$X$96)</f>
        <v>0</v>
      </c>
      <c r="G407" s="116">
        <f ca="1">SUBTOTAL(109,'3.2 I&amp;W'!$Y$96)</f>
        <v>0</v>
      </c>
      <c r="H407" s="116">
        <f ca="1">SUBTOTAL(109,'3.2 I&amp;W'!$AD$96)</f>
        <v>0</v>
      </c>
      <c r="I407" s="116">
        <f ca="1">SUBTOTAL(109,'3.2 I&amp;W'!$AE$96)</f>
        <v>0</v>
      </c>
      <c r="J407" s="116"/>
      <c r="K407" s="116"/>
      <c r="L407" s="116"/>
      <c r="M407" s="116">
        <f ca="1">SUBTOTAL(109,'3.2 I&amp;W'!$AI$96)</f>
        <v>0</v>
      </c>
      <c r="N407" s="156">
        <f t="shared" ca="1" si="262"/>
        <v>0</v>
      </c>
      <c r="O407" s="116">
        <f ca="1">SUBTOTAL(109,'3.2 I&amp;W'!$S$96)</f>
        <v>0</v>
      </c>
      <c r="P407" s="30">
        <f t="shared" ca="1" si="302"/>
        <v>0</v>
      </c>
      <c r="Q407" s="31">
        <f t="shared" ca="1" si="303"/>
        <v>0</v>
      </c>
      <c r="R407" s="31">
        <f t="shared" ca="1" si="304"/>
        <v>0</v>
      </c>
      <c r="S407" s="31">
        <f t="shared" ca="1" si="305"/>
        <v>0</v>
      </c>
      <c r="T407" s="32">
        <f t="shared" ca="1" si="306"/>
        <v>0</v>
      </c>
      <c r="U407" s="37">
        <f t="shared" ca="1" si="263"/>
        <v>0</v>
      </c>
      <c r="V407" s="40">
        <f t="shared" ca="1" si="315"/>
        <v>0</v>
      </c>
      <c r="W407" s="41">
        <f t="shared" ca="1" si="316"/>
        <v>0</v>
      </c>
      <c r="X407" s="43"/>
      <c r="Y407" s="46"/>
      <c r="Z407" s="126"/>
      <c r="AA407" s="136"/>
      <c r="AB407" s="83">
        <v>30</v>
      </c>
      <c r="AC407" s="84">
        <f ca="1">IF(AF406&lt;=1,0,'3.2 Fi&amp;Fo'!$I$25)</f>
        <v>52993.177039275775</v>
      </c>
      <c r="AD407" s="72">
        <f ca="1">IF(AF406&lt;=1,0,AF406*'3.2 Fi&amp;Fo'!$H$25)</f>
        <v>5936.752377272499</v>
      </c>
      <c r="AE407" s="78">
        <f t="shared" ca="1" si="307"/>
        <v>47056.424662003279</v>
      </c>
      <c r="AF407" s="85">
        <f t="shared" ca="1" si="308"/>
        <v>249781.19420162163</v>
      </c>
      <c r="AG407" s="168">
        <f>IF(AJ406&lt;=1,0,IF(AB407&lt;='3.2 Fi&amp;Fo'!$F$34,'3.2 Fi&amp;Fo'!$J$34,IF(AB407&lt;='3.2 Fi&amp;Fo'!$F$35,'3.2 Fi&amp;Fo'!$J$35,IF(AB407&lt;='3.2 Fi&amp;Fo'!$F$36,'3.2 Fi&amp;Fo'!$J$36,IF(AB407&lt;='3.2 Fi&amp;Fo'!$F$37,'3.2 Fi&amp;Fo'!$J$37,IF(AB407&lt;='3.2 Fi&amp;Fo'!$F$38,'3.2 Fi&amp;Fo'!$J$38,IF(AB407&lt;='3.2 Fi&amp;Fo'!$F$39,'3.2 Fi&amp;Fo'!$J$39,IF(AB407&lt;='3.2 Fi&amp;Fo'!$F$40,'3.2 Fi&amp;Fo'!$J$40))))))))</f>
        <v>94493.376000000004</v>
      </c>
      <c r="AH407" s="207">
        <f>IF(AJ406&lt;=1,0,AJ406*IF(AB407&lt;='3.2 Fi&amp;Fo'!$F$34,'3.2 Fi&amp;Fo'!$I$34,IF(AB407&lt;='3.2 Fi&amp;Fo'!$F$35,'3.2 Fi&amp;Fo'!$I$35,IF(AB407&lt;='3.2 Fi&amp;Fo'!$F$36,'3.2 Fi&amp;Fo'!$I$36,IF(AB407&lt;='3.2 Fi&amp;Fo'!$F$39,'3.2 Fi&amp;Fo'!$I$39,IF(AB407&lt;='3.2 Fi&amp;Fo'!$F$40,'3.2 Fi&amp;Fo'!$I$40))))))</f>
        <v>111295.31616344619</v>
      </c>
      <c r="AI407" s="210">
        <f t="shared" si="268"/>
        <v>-16801.940163446183</v>
      </c>
      <c r="AJ407" s="209">
        <f t="shared" si="309"/>
        <v>1871723.8762208826</v>
      </c>
      <c r="AK407" s="312">
        <f t="shared" ca="1" si="270"/>
        <v>-187074.87737955825</v>
      </c>
      <c r="AL407" s="169">
        <f>IF(AB407&lt;='3.2 Fi&amp;Fo'!$J$15,'3.2 Fi&amp;Fo'!$I$15,0)</f>
        <v>0</v>
      </c>
      <c r="AM407" s="169">
        <f t="shared" si="282"/>
        <v>39588.324340282474</v>
      </c>
      <c r="AN407" s="838">
        <f t="shared" si="287"/>
        <v>30</v>
      </c>
      <c r="AO407" s="844">
        <f t="shared" ca="1" si="271"/>
        <v>187074.87737955825</v>
      </c>
      <c r="AP407" s="839">
        <f ca="1">CR482</f>
        <v>150514.72851978976</v>
      </c>
      <c r="AQ407" s="844">
        <f t="shared" si="272"/>
        <v>0</v>
      </c>
      <c r="AR407" s="839">
        <f t="shared" ca="1" si="288"/>
        <v>0</v>
      </c>
      <c r="AS407" s="839">
        <f t="shared" ca="1" si="283"/>
        <v>10081.651340927356</v>
      </c>
      <c r="AT407" s="839">
        <f t="shared" ca="1" si="284"/>
        <v>27028.388901427094</v>
      </c>
      <c r="AU407" s="839">
        <f ca="1">'PV-Einspeisung'!AA112*-1</f>
        <v>0</v>
      </c>
      <c r="AV407" s="839">
        <f ca="1">'PV-Einspeisung'!AE112*-1</f>
        <v>0</v>
      </c>
      <c r="AW407" s="839"/>
      <c r="AX407" s="839">
        <f t="shared" ca="1" si="289"/>
        <v>0</v>
      </c>
      <c r="AY407" s="841">
        <f t="shared" si="273"/>
        <v>30</v>
      </c>
      <c r="AZ407" s="842">
        <f t="shared" ca="1" si="290"/>
        <v>0</v>
      </c>
      <c r="BA407" s="842">
        <f t="shared" ca="1" si="291"/>
        <v>0</v>
      </c>
      <c r="BB407" s="842">
        <f t="shared" ca="1" si="292"/>
        <v>0</v>
      </c>
      <c r="BC407" s="842">
        <f t="shared" ca="1" si="293"/>
        <v>0</v>
      </c>
      <c r="BD407" s="842">
        <f t="shared" ca="1" si="294"/>
        <v>0</v>
      </c>
      <c r="BE407" s="842">
        <f t="shared" ca="1" si="295"/>
        <v>0</v>
      </c>
      <c r="BF407" s="842">
        <f t="shared" ca="1" si="296"/>
        <v>12454.377970883139</v>
      </c>
      <c r="BG407" s="842">
        <f t="shared" ca="1" si="297"/>
        <v>14574.010930543955</v>
      </c>
      <c r="BH407" s="858">
        <f t="shared" si="281"/>
        <v>30</v>
      </c>
      <c r="BI407" s="857">
        <f t="shared" ca="1" si="298"/>
        <v>4748.0722502797298</v>
      </c>
      <c r="BJ407" s="857">
        <f t="shared" ca="1" si="299"/>
        <v>5333.5790906476259</v>
      </c>
      <c r="BK407" s="859">
        <f ca="1">'PV-Einspeisung'!AB112*-1</f>
        <v>0</v>
      </c>
      <c r="BL407" s="824">
        <f t="shared" ca="1" si="317"/>
        <v>0</v>
      </c>
      <c r="BM407" s="824">
        <f t="shared" ca="1" si="318"/>
        <v>0</v>
      </c>
      <c r="BN407" s="824">
        <f t="shared" ca="1" si="319"/>
        <v>0</v>
      </c>
      <c r="BO407" s="824">
        <f t="shared" ca="1" si="310"/>
        <v>0</v>
      </c>
      <c r="BP407" s="824">
        <f t="shared" ca="1" si="310"/>
        <v>0</v>
      </c>
      <c r="BQ407" s="824">
        <f t="shared" ca="1" si="310"/>
        <v>0</v>
      </c>
      <c r="BR407" s="824">
        <f t="shared" ca="1" si="310"/>
        <v>0</v>
      </c>
      <c r="BS407" s="824">
        <f t="shared" ca="1" si="310"/>
        <v>0</v>
      </c>
      <c r="BT407" s="824">
        <f t="shared" ca="1" si="310"/>
        <v>0</v>
      </c>
      <c r="BU407" s="824">
        <f t="shared" ca="1" si="310"/>
        <v>0</v>
      </c>
      <c r="BV407" s="824">
        <f t="shared" ca="1" si="310"/>
        <v>0</v>
      </c>
      <c r="BW407" s="824">
        <f t="shared" ca="1" si="310"/>
        <v>0</v>
      </c>
      <c r="BX407" s="824">
        <f t="shared" ca="1" si="310"/>
        <v>0</v>
      </c>
      <c r="BY407" s="824">
        <f t="shared" ca="1" si="310"/>
        <v>0</v>
      </c>
      <c r="BZ407" s="824">
        <f t="shared" ca="1" si="310"/>
        <v>0</v>
      </c>
      <c r="CA407" s="824">
        <f t="shared" ca="1" si="310"/>
        <v>0</v>
      </c>
      <c r="CB407" s="824">
        <f t="shared" ca="1" si="310"/>
        <v>0</v>
      </c>
      <c r="CC407" s="824">
        <f t="shared" ca="1" si="310"/>
        <v>0</v>
      </c>
      <c r="CD407" s="824">
        <f t="shared" ref="CD407:CS422" ca="1" si="320">IF(OR(IF($BL407*1&lt;$BL$196,$BL407*1=CD$198,FALSE),IF($BL407*2&lt;$BL$196,$BL407*2=CD$198,FALSE),IF($BL407*3&lt;$BL$196,$BL407*3=CD$198,FALSE),IF($BL407*4&lt;$BL$196,$BL407*4=CD$198,FALSE),IF($BL407*5&lt;$BL$196,$BL407*5=CD$198,FALSE)),$BN407*$BM$196^CD$198,0)</f>
        <v>0</v>
      </c>
      <c r="CE407" s="824">
        <f t="shared" ca="1" si="320"/>
        <v>0</v>
      </c>
      <c r="CF407" s="824">
        <f t="shared" ca="1" si="320"/>
        <v>0</v>
      </c>
      <c r="CG407" s="824">
        <f t="shared" ca="1" si="320"/>
        <v>0</v>
      </c>
      <c r="CH407" s="824">
        <f t="shared" ca="1" si="320"/>
        <v>0</v>
      </c>
      <c r="CI407" s="824">
        <f t="shared" ca="1" si="320"/>
        <v>0</v>
      </c>
      <c r="CJ407" s="824">
        <f t="shared" ca="1" si="320"/>
        <v>0</v>
      </c>
      <c r="CK407" s="824">
        <f t="shared" ca="1" si="320"/>
        <v>0</v>
      </c>
      <c r="CL407" s="824">
        <f t="shared" ca="1" si="320"/>
        <v>0</v>
      </c>
      <c r="CM407" s="824">
        <f t="shared" ca="1" si="320"/>
        <v>0</v>
      </c>
      <c r="CN407" s="824">
        <f t="shared" ca="1" si="320"/>
        <v>0</v>
      </c>
      <c r="CO407" s="824">
        <f t="shared" ca="1" si="320"/>
        <v>0</v>
      </c>
      <c r="CP407" s="824">
        <f t="shared" ca="1" si="320"/>
        <v>0</v>
      </c>
      <c r="CQ407" s="824">
        <f t="shared" ca="1" si="320"/>
        <v>0</v>
      </c>
      <c r="CR407" s="824">
        <f t="shared" ca="1" si="320"/>
        <v>0</v>
      </c>
      <c r="CS407" s="824">
        <f t="shared" ca="1" si="320"/>
        <v>0</v>
      </c>
      <c r="CT407" s="824">
        <f t="shared" ca="1" si="311"/>
        <v>0</v>
      </c>
      <c r="CU407" s="824">
        <f t="shared" ca="1" si="311"/>
        <v>0</v>
      </c>
      <c r="CV407" s="824">
        <f t="shared" ca="1" si="311"/>
        <v>0</v>
      </c>
      <c r="CW407" s="824">
        <f t="shared" ca="1" si="311"/>
        <v>0</v>
      </c>
      <c r="CX407" s="824">
        <f t="shared" ca="1" si="311"/>
        <v>0</v>
      </c>
      <c r="CY407" s="824">
        <f t="shared" ca="1" si="311"/>
        <v>0</v>
      </c>
      <c r="CZ407" s="824">
        <f t="shared" ca="1" si="311"/>
        <v>0</v>
      </c>
      <c r="DA407" s="824">
        <f t="shared" ca="1" si="311"/>
        <v>0</v>
      </c>
      <c r="DB407" s="824">
        <f t="shared" ca="1" si="311"/>
        <v>0</v>
      </c>
      <c r="DC407" s="824">
        <f t="shared" ca="1" si="311"/>
        <v>0</v>
      </c>
      <c r="DD407" s="824">
        <f t="shared" ca="1" si="311"/>
        <v>0</v>
      </c>
      <c r="DE407" s="824">
        <f t="shared" ca="1" si="311"/>
        <v>0</v>
      </c>
      <c r="DF407" s="824">
        <f t="shared" ca="1" si="311"/>
        <v>0</v>
      </c>
      <c r="DG407" s="824">
        <f t="shared" ca="1" si="314"/>
        <v>0</v>
      </c>
      <c r="DH407" s="824">
        <f t="shared" ca="1" si="314"/>
        <v>0</v>
      </c>
      <c r="DI407" s="824">
        <f t="shared" ca="1" si="314"/>
        <v>0</v>
      </c>
      <c r="DJ407" s="824">
        <f t="shared" ca="1" si="314"/>
        <v>0</v>
      </c>
      <c r="DK407" s="824">
        <f t="shared" ca="1" si="313"/>
        <v>0</v>
      </c>
      <c r="DL407" s="824">
        <f t="shared" ca="1" si="313"/>
        <v>0</v>
      </c>
    </row>
    <row r="408" spans="2:116" ht="12" thickBot="1" x14ac:dyDescent="0.3">
      <c r="B408" s="1673"/>
      <c r="C408" s="1680"/>
      <c r="D408" s="15" t="s">
        <v>263</v>
      </c>
      <c r="E408" s="165"/>
      <c r="F408" s="116">
        <f ca="1">SUBTOTAL(109,'3.2 I&amp;W'!$X$97)</f>
        <v>0</v>
      </c>
      <c r="G408" s="116">
        <f ca="1">SUBTOTAL(109,'3.2 I&amp;W'!$Y$97)</f>
        <v>0</v>
      </c>
      <c r="H408" s="116">
        <f ca="1">SUBTOTAL(109,'3.2 I&amp;W'!$AD$97)</f>
        <v>0</v>
      </c>
      <c r="I408" s="116">
        <f ca="1">SUBTOTAL(109,'3.2 I&amp;W'!$AE$97)</f>
        <v>0</v>
      </c>
      <c r="J408" s="116"/>
      <c r="K408" s="116"/>
      <c r="L408" s="116"/>
      <c r="M408" s="116">
        <f ca="1">SUBTOTAL(109,'3.2 I&amp;W'!$AI$97)</f>
        <v>0</v>
      </c>
      <c r="N408" s="156">
        <f t="shared" ca="1" si="262"/>
        <v>0</v>
      </c>
      <c r="O408" s="116">
        <f ca="1">SUBTOTAL(109,'3.2 I&amp;W'!$S$97)</f>
        <v>0</v>
      </c>
      <c r="P408" s="30">
        <f t="shared" ca="1" si="302"/>
        <v>0</v>
      </c>
      <c r="Q408" s="31">
        <f t="shared" ca="1" si="303"/>
        <v>0</v>
      </c>
      <c r="R408" s="31">
        <f t="shared" ca="1" si="304"/>
        <v>0</v>
      </c>
      <c r="S408" s="31">
        <f t="shared" ca="1" si="305"/>
        <v>0</v>
      </c>
      <c r="T408" s="32">
        <f t="shared" ca="1" si="306"/>
        <v>0</v>
      </c>
      <c r="U408" s="37">
        <f t="shared" ca="1" si="263"/>
        <v>0</v>
      </c>
      <c r="V408" s="40">
        <f t="shared" ca="1" si="315"/>
        <v>0</v>
      </c>
      <c r="W408" s="41">
        <f t="shared" ca="1" si="316"/>
        <v>0</v>
      </c>
      <c r="X408" s="43"/>
      <c r="Y408" s="46"/>
      <c r="Z408" s="126"/>
      <c r="AA408" s="136"/>
      <c r="AB408" s="83">
        <v>31</v>
      </c>
      <c r="AC408" s="84">
        <f ca="1">IF(AF407&lt;=1,0,'3.2 Fi&amp;Fo'!$I$25)</f>
        <v>52993.177039275775</v>
      </c>
      <c r="AD408" s="72">
        <f ca="1">IF(AF407&lt;=1,0,AF407*'3.2 Fi&amp;Fo'!$H$25)</f>
        <v>4995.6238840324331</v>
      </c>
      <c r="AE408" s="78">
        <f t="shared" ca="1" si="307"/>
        <v>47997.553155243339</v>
      </c>
      <c r="AF408" s="85">
        <f t="shared" ca="1" si="308"/>
        <v>201783.6410463783</v>
      </c>
      <c r="AG408" s="168">
        <f>IF(AJ407&lt;=1,0,IF(AB408&lt;='3.2 Fi&amp;Fo'!$F$34,'3.2 Fi&amp;Fo'!$J$34,IF(AB408&lt;='3.2 Fi&amp;Fo'!$F$35,'3.2 Fi&amp;Fo'!$J$35,IF(AB408&lt;='3.2 Fi&amp;Fo'!$F$36,'3.2 Fi&amp;Fo'!$J$36,IF(AB408&lt;='3.2 Fi&amp;Fo'!$F$37,'3.2 Fi&amp;Fo'!$J$37,IF(AB408&lt;='3.2 Fi&amp;Fo'!$F$38,'3.2 Fi&amp;Fo'!$J$38,IF(AB408&lt;='3.2 Fi&amp;Fo'!$F$39,'3.2 Fi&amp;Fo'!$J$39,IF(AB408&lt;='3.2 Fi&amp;Fo'!$F$40,'3.2 Fi&amp;Fo'!$J$40))))))))</f>
        <v>102366.82400000001</v>
      </c>
      <c r="AH408" s="207">
        <f>IF(AJ407&lt;=1,0,AJ407*IF(AB408&lt;='3.2 Fi&amp;Fo'!$F$34,'3.2 Fi&amp;Fo'!$I$34,IF(AB408&lt;='3.2 Fi&amp;Fo'!$F$35,'3.2 Fi&amp;Fo'!$I$35,IF(AB408&lt;='3.2 Fi&amp;Fo'!$F$36,'3.2 Fi&amp;Fo'!$I$36,IF(AB408&lt;='3.2 Fi&amp;Fo'!$F$39,'3.2 Fi&amp;Fo'!$I$39,IF(AB408&lt;='3.2 Fi&amp;Fo'!$F$40,'3.2 Fi&amp;Fo'!$I$40))))))</f>
        <v>121662.05195435738</v>
      </c>
      <c r="AI408" s="210">
        <f t="shared" si="268"/>
        <v>-19295.227954357368</v>
      </c>
      <c r="AJ408" s="209">
        <f t="shared" si="309"/>
        <v>1891019.10417524</v>
      </c>
      <c r="AK408" s="312">
        <f t="shared" ca="1" si="270"/>
        <v>-195740.09186636319</v>
      </c>
      <c r="AL408" s="169">
        <f>IF(AB408&lt;='3.2 Fi&amp;Fo'!$J$15,'3.2 Fi&amp;Fo'!$I$15,0)</f>
        <v>0</v>
      </c>
      <c r="AM408" s="169">
        <f t="shared" si="282"/>
        <v>40380.090827087406</v>
      </c>
      <c r="AN408" s="838">
        <f t="shared" si="287"/>
        <v>31</v>
      </c>
      <c r="AO408" s="844">
        <f t="shared" ca="1" si="271"/>
        <v>195740.09186636319</v>
      </c>
      <c r="AP408" s="839">
        <f ca="1">CS482</f>
        <v>0</v>
      </c>
      <c r="AQ408" s="844">
        <f t="shared" si="272"/>
        <v>0</v>
      </c>
      <c r="AR408" s="839">
        <f t="shared" ca="1" si="288"/>
        <v>0</v>
      </c>
      <c r="AS408" s="839">
        <f t="shared" ca="1" si="283"/>
        <v>10242.957762382193</v>
      </c>
      <c r="AT408" s="839">
        <f t="shared" ca="1" si="284"/>
        <v>27849.838733268207</v>
      </c>
      <c r="AU408" s="839">
        <f ca="1">'PV-Einspeisung'!AA113*-1</f>
        <v>0</v>
      </c>
      <c r="AV408" s="839">
        <f ca="1">'PV-Einspeisung'!AE113*-1</f>
        <v>0</v>
      </c>
      <c r="AW408" s="839"/>
      <c r="AX408" s="839">
        <f t="shared" ca="1" si="289"/>
        <v>0</v>
      </c>
      <c r="AY408" s="841">
        <f t="shared" si="273"/>
        <v>31</v>
      </c>
      <c r="AZ408" s="842">
        <f t="shared" ca="1" si="290"/>
        <v>0</v>
      </c>
      <c r="BA408" s="842">
        <f t="shared" ca="1" si="291"/>
        <v>0</v>
      </c>
      <c r="BB408" s="842">
        <f t="shared" ca="1" si="292"/>
        <v>0</v>
      </c>
      <c r="BC408" s="842">
        <f t="shared" ca="1" si="293"/>
        <v>0</v>
      </c>
      <c r="BD408" s="842">
        <f t="shared" ca="1" si="294"/>
        <v>0</v>
      </c>
      <c r="BE408" s="842">
        <f t="shared" ca="1" si="295"/>
        <v>0</v>
      </c>
      <c r="BF408" s="842">
        <f t="shared" ca="1" si="296"/>
        <v>12765.737420155216</v>
      </c>
      <c r="BG408" s="842">
        <f t="shared" ca="1" si="297"/>
        <v>15084.101313112991</v>
      </c>
      <c r="BH408" s="858">
        <f t="shared" si="281"/>
        <v>31</v>
      </c>
      <c r="BI408" s="857">
        <f t="shared" ca="1" si="298"/>
        <v>4824.0414062842056</v>
      </c>
      <c r="BJ408" s="857">
        <f t="shared" ca="1" si="299"/>
        <v>5418.9163560979878</v>
      </c>
      <c r="BK408" s="859">
        <f ca="1">'PV-Einspeisung'!AB113*-1</f>
        <v>0</v>
      </c>
      <c r="BL408" s="824">
        <f t="shared" ca="1" si="317"/>
        <v>0</v>
      </c>
      <c r="BM408" s="824">
        <f t="shared" ca="1" si="318"/>
        <v>0</v>
      </c>
      <c r="BN408" s="824">
        <f t="shared" ca="1" si="319"/>
        <v>0</v>
      </c>
      <c r="BO408" s="824">
        <f t="shared" ref="BO408:CD423" ca="1" si="321">IF(OR(IF($BL408*1&lt;$BL$196,$BL408*1=BO$198,FALSE),IF($BL408*2&lt;$BL$196,$BL408*2=BO$198,FALSE),IF($BL408*3&lt;$BL$196,$BL408*3=BO$198,FALSE),IF($BL408*4&lt;$BL$196,$BL408*4=BO$198,FALSE),IF($BL408*5&lt;$BL$196,$BL408*5=BO$198,FALSE)),$BN408*$BM$196^BO$198,0)</f>
        <v>0</v>
      </c>
      <c r="BP408" s="824">
        <f t="shared" ca="1" si="321"/>
        <v>0</v>
      </c>
      <c r="BQ408" s="824">
        <f t="shared" ca="1" si="321"/>
        <v>0</v>
      </c>
      <c r="BR408" s="824">
        <f t="shared" ca="1" si="321"/>
        <v>0</v>
      </c>
      <c r="BS408" s="824">
        <f t="shared" ca="1" si="321"/>
        <v>0</v>
      </c>
      <c r="BT408" s="824">
        <f t="shared" ca="1" si="321"/>
        <v>0</v>
      </c>
      <c r="BU408" s="824">
        <f t="shared" ca="1" si="321"/>
        <v>0</v>
      </c>
      <c r="BV408" s="824">
        <f t="shared" ca="1" si="321"/>
        <v>0</v>
      </c>
      <c r="BW408" s="824">
        <f t="shared" ca="1" si="321"/>
        <v>0</v>
      </c>
      <c r="BX408" s="824">
        <f t="shared" ca="1" si="321"/>
        <v>0</v>
      </c>
      <c r="BY408" s="824">
        <f t="shared" ca="1" si="321"/>
        <v>0</v>
      </c>
      <c r="BZ408" s="824">
        <f t="shared" ca="1" si="321"/>
        <v>0</v>
      </c>
      <c r="CA408" s="824">
        <f t="shared" ca="1" si="321"/>
        <v>0</v>
      </c>
      <c r="CB408" s="824">
        <f t="shared" ca="1" si="321"/>
        <v>0</v>
      </c>
      <c r="CC408" s="824">
        <f t="shared" ca="1" si="321"/>
        <v>0</v>
      </c>
      <c r="CD408" s="824">
        <f t="shared" ca="1" si="321"/>
        <v>0</v>
      </c>
      <c r="CE408" s="824">
        <f t="shared" ca="1" si="320"/>
        <v>0</v>
      </c>
      <c r="CF408" s="824">
        <f t="shared" ca="1" si="320"/>
        <v>0</v>
      </c>
      <c r="CG408" s="824">
        <f t="shared" ca="1" si="320"/>
        <v>0</v>
      </c>
      <c r="CH408" s="824">
        <f t="shared" ca="1" si="320"/>
        <v>0</v>
      </c>
      <c r="CI408" s="824">
        <f t="shared" ca="1" si="320"/>
        <v>0</v>
      </c>
      <c r="CJ408" s="824">
        <f t="shared" ca="1" si="320"/>
        <v>0</v>
      </c>
      <c r="CK408" s="824">
        <f t="shared" ca="1" si="320"/>
        <v>0</v>
      </c>
      <c r="CL408" s="824">
        <f t="shared" ca="1" si="320"/>
        <v>0</v>
      </c>
      <c r="CM408" s="824">
        <f t="shared" ca="1" si="320"/>
        <v>0</v>
      </c>
      <c r="CN408" s="824">
        <f t="shared" ca="1" si="320"/>
        <v>0</v>
      </c>
      <c r="CO408" s="824">
        <f t="shared" ca="1" si="320"/>
        <v>0</v>
      </c>
      <c r="CP408" s="824">
        <f t="shared" ca="1" si="320"/>
        <v>0</v>
      </c>
      <c r="CQ408" s="824">
        <f t="shared" ca="1" si="320"/>
        <v>0</v>
      </c>
      <c r="CR408" s="824">
        <f t="shared" ca="1" si="320"/>
        <v>0</v>
      </c>
      <c r="CS408" s="824">
        <f t="shared" ca="1" si="320"/>
        <v>0</v>
      </c>
      <c r="CT408" s="824">
        <f t="shared" ca="1" si="311"/>
        <v>0</v>
      </c>
      <c r="CU408" s="824">
        <f t="shared" ca="1" si="311"/>
        <v>0</v>
      </c>
      <c r="CV408" s="824">
        <f t="shared" ca="1" si="311"/>
        <v>0</v>
      </c>
      <c r="CW408" s="824">
        <f t="shared" ca="1" si="311"/>
        <v>0</v>
      </c>
      <c r="CX408" s="824">
        <f t="shared" ca="1" si="311"/>
        <v>0</v>
      </c>
      <c r="CY408" s="824">
        <f t="shared" ca="1" si="311"/>
        <v>0</v>
      </c>
      <c r="CZ408" s="824">
        <f t="shared" ca="1" si="311"/>
        <v>0</v>
      </c>
      <c r="DA408" s="824">
        <f t="shared" ca="1" si="311"/>
        <v>0</v>
      </c>
      <c r="DB408" s="824">
        <f t="shared" ca="1" si="311"/>
        <v>0</v>
      </c>
      <c r="DC408" s="824">
        <f t="shared" ca="1" si="311"/>
        <v>0</v>
      </c>
      <c r="DD408" s="824">
        <f t="shared" ca="1" si="311"/>
        <v>0</v>
      </c>
      <c r="DE408" s="824">
        <f t="shared" ca="1" si="311"/>
        <v>0</v>
      </c>
      <c r="DF408" s="824">
        <f t="shared" ca="1" si="311"/>
        <v>0</v>
      </c>
      <c r="DG408" s="824">
        <f t="shared" ca="1" si="314"/>
        <v>0</v>
      </c>
      <c r="DH408" s="824">
        <f t="shared" ca="1" si="314"/>
        <v>0</v>
      </c>
      <c r="DI408" s="824">
        <f t="shared" ca="1" si="314"/>
        <v>0</v>
      </c>
      <c r="DJ408" s="824">
        <f t="shared" ca="1" si="314"/>
        <v>0</v>
      </c>
      <c r="DK408" s="824">
        <f t="shared" ca="1" si="313"/>
        <v>0</v>
      </c>
      <c r="DL408" s="824">
        <f t="shared" ca="1" si="313"/>
        <v>0</v>
      </c>
    </row>
    <row r="409" spans="2:116" ht="12" thickBot="1" x14ac:dyDescent="0.3">
      <c r="B409" s="1673"/>
      <c r="C409" s="1680"/>
      <c r="D409" s="15" t="s">
        <v>174</v>
      </c>
      <c r="E409" s="116"/>
      <c r="F409" s="116">
        <f ca="1">SUBTOTAL(109,'3.2 I&amp;W'!$X$100)</f>
        <v>0</v>
      </c>
      <c r="G409" s="116">
        <f ca="1">SUBTOTAL(109,'3.2 I&amp;W'!$Y$100)</f>
        <v>0</v>
      </c>
      <c r="H409" s="116">
        <f ca="1">SUBTOTAL(109,'3.2 I&amp;W'!$AD$100)</f>
        <v>0</v>
      </c>
      <c r="I409" s="116">
        <f ca="1">SUBTOTAL(109,'3.2 I&amp;W'!$AE$100)</f>
        <v>0</v>
      </c>
      <c r="J409" s="116"/>
      <c r="K409" s="116"/>
      <c r="L409" s="116"/>
      <c r="M409" s="116">
        <f ca="1">SUBTOTAL(109,'3.2 I&amp;W'!$AI$100)</f>
        <v>0</v>
      </c>
      <c r="N409" s="156">
        <f t="shared" ca="1" si="262"/>
        <v>0</v>
      </c>
      <c r="O409" s="116">
        <f ca="1">SUBTOTAL(109,'3.2 I&amp;W'!$S$100)</f>
        <v>0</v>
      </c>
      <c r="P409" s="30">
        <f t="shared" ca="1" si="302"/>
        <v>0</v>
      </c>
      <c r="Q409" s="31">
        <f t="shared" ca="1" si="303"/>
        <v>0</v>
      </c>
      <c r="R409" s="31">
        <f t="shared" ca="1" si="304"/>
        <v>0</v>
      </c>
      <c r="S409" s="31">
        <f t="shared" ca="1" si="305"/>
        <v>0</v>
      </c>
      <c r="T409" s="32">
        <f t="shared" ca="1" si="306"/>
        <v>0</v>
      </c>
      <c r="U409" s="37">
        <f t="shared" ca="1" si="263"/>
        <v>0</v>
      </c>
      <c r="V409" s="40">
        <f t="shared" ca="1" si="315"/>
        <v>0</v>
      </c>
      <c r="W409" s="41">
        <f t="shared" ca="1" si="316"/>
        <v>0</v>
      </c>
      <c r="X409" s="43"/>
      <c r="Y409" s="46"/>
      <c r="Z409" s="126"/>
      <c r="AA409" s="136"/>
      <c r="AB409" s="83">
        <v>32</v>
      </c>
      <c r="AC409" s="84">
        <f ca="1">IF(AF408&lt;=1,0,'3.2 Fi&amp;Fo'!$I$25)</f>
        <v>52993.177039275775</v>
      </c>
      <c r="AD409" s="72">
        <f ca="1">IF(AF408&lt;=1,0,AF408*'3.2 Fi&amp;Fo'!$H$25)</f>
        <v>4035.6728209275661</v>
      </c>
      <c r="AE409" s="78">
        <f t="shared" ca="1" si="307"/>
        <v>48957.504218348207</v>
      </c>
      <c r="AF409" s="85">
        <f t="shared" ca="1" si="308"/>
        <v>152826.13682803008</v>
      </c>
      <c r="AG409" s="168">
        <f>IF(AJ408&lt;=1,0,IF(AB409&lt;='3.2 Fi&amp;Fo'!$F$34,'3.2 Fi&amp;Fo'!$J$34,IF(AB409&lt;='3.2 Fi&amp;Fo'!$F$35,'3.2 Fi&amp;Fo'!$J$35,IF(AB409&lt;='3.2 Fi&amp;Fo'!$F$36,'3.2 Fi&amp;Fo'!$J$36,IF(AB409&lt;='3.2 Fi&amp;Fo'!$F$37,'3.2 Fi&amp;Fo'!$J$37,IF(AB409&lt;='3.2 Fi&amp;Fo'!$F$38,'3.2 Fi&amp;Fo'!$J$38,IF(AB409&lt;='3.2 Fi&amp;Fo'!$F$39,'3.2 Fi&amp;Fo'!$J$39,IF(AB409&lt;='3.2 Fi&amp;Fo'!$F$40,'3.2 Fi&amp;Fo'!$J$40))))))))</f>
        <v>102366.82400000001</v>
      </c>
      <c r="AH409" s="207">
        <f>IF(AJ408&lt;=1,0,AJ408*IF(AB409&lt;='3.2 Fi&amp;Fo'!$F$34,'3.2 Fi&amp;Fo'!$I$34,IF(AB409&lt;='3.2 Fi&amp;Fo'!$F$35,'3.2 Fi&amp;Fo'!$I$35,IF(AB409&lt;='3.2 Fi&amp;Fo'!$F$36,'3.2 Fi&amp;Fo'!$I$36,IF(AB409&lt;='3.2 Fi&amp;Fo'!$F$39,'3.2 Fi&amp;Fo'!$I$39,IF(AB409&lt;='3.2 Fi&amp;Fo'!$F$40,'3.2 Fi&amp;Fo'!$I$40))))))</f>
        <v>122916.2417713906</v>
      </c>
      <c r="AI409" s="210">
        <f t="shared" si="268"/>
        <v>-20549.417771390596</v>
      </c>
      <c r="AJ409" s="209">
        <f t="shared" si="309"/>
        <v>1911568.5219466307</v>
      </c>
      <c r="AK409" s="312">
        <f t="shared" ca="1" si="270"/>
        <v>-196547.69368290587</v>
      </c>
      <c r="AL409" s="169">
        <f>IF(AB409&lt;='3.2 Fi&amp;Fo'!$J$15,'3.2 Fi&amp;Fo'!$I$15,0)</f>
        <v>0</v>
      </c>
      <c r="AM409" s="169">
        <f t="shared" si="282"/>
        <v>41187.692643630086</v>
      </c>
      <c r="AN409" s="838">
        <f t="shared" si="287"/>
        <v>32</v>
      </c>
      <c r="AO409" s="844">
        <f t="shared" ca="1" si="271"/>
        <v>196547.69368290587</v>
      </c>
      <c r="AP409" s="839">
        <f ca="1">CT482</f>
        <v>0</v>
      </c>
      <c r="AQ409" s="844">
        <f t="shared" si="272"/>
        <v>0</v>
      </c>
      <c r="AR409" s="839">
        <f t="shared" ca="1" si="288"/>
        <v>0</v>
      </c>
      <c r="AS409" s="839">
        <f t="shared" ca="1" si="283"/>
        <v>10406.84508658031</v>
      </c>
      <c r="AT409" s="839">
        <f t="shared" ca="1" si="284"/>
        <v>28696.925714731042</v>
      </c>
      <c r="AU409" s="839">
        <f ca="1">'PV-Einspeisung'!AA114*-1</f>
        <v>0</v>
      </c>
      <c r="AV409" s="839">
        <f ca="1">'PV-Einspeisung'!AE114*-1</f>
        <v>0</v>
      </c>
      <c r="AW409" s="839"/>
      <c r="AX409" s="839">
        <f t="shared" ca="1" si="289"/>
        <v>0</v>
      </c>
      <c r="AY409" s="841">
        <f t="shared" si="273"/>
        <v>32</v>
      </c>
      <c r="AZ409" s="842">
        <f t="shared" ca="1" si="290"/>
        <v>0</v>
      </c>
      <c r="BA409" s="842">
        <f t="shared" ca="1" si="291"/>
        <v>0</v>
      </c>
      <c r="BB409" s="842">
        <f t="shared" ca="1" si="292"/>
        <v>0</v>
      </c>
      <c r="BC409" s="842">
        <f t="shared" ca="1" si="293"/>
        <v>0</v>
      </c>
      <c r="BD409" s="842">
        <f t="shared" ca="1" si="294"/>
        <v>0</v>
      </c>
      <c r="BE409" s="842">
        <f t="shared" ca="1" si="295"/>
        <v>0</v>
      </c>
      <c r="BF409" s="842">
        <f t="shared" ca="1" si="296"/>
        <v>13084.880855659096</v>
      </c>
      <c r="BG409" s="842">
        <f t="shared" ca="1" si="297"/>
        <v>15612.044859071944</v>
      </c>
      <c r="BH409" s="858">
        <f t="shared" si="281"/>
        <v>32</v>
      </c>
      <c r="BI409" s="857">
        <f t="shared" ca="1" si="298"/>
        <v>4901.2260687847529</v>
      </c>
      <c r="BJ409" s="857">
        <f t="shared" ca="1" si="299"/>
        <v>5505.6190177955559</v>
      </c>
      <c r="BK409" s="859">
        <f ca="1">'PV-Einspeisung'!AB114*-1</f>
        <v>0</v>
      </c>
      <c r="BL409" s="824">
        <f t="shared" ca="1" si="317"/>
        <v>0</v>
      </c>
      <c r="BM409" s="824">
        <f t="shared" ca="1" si="318"/>
        <v>0</v>
      </c>
      <c r="BN409" s="824">
        <f t="shared" ca="1" si="319"/>
        <v>0</v>
      </c>
      <c r="BO409" s="824">
        <f t="shared" ca="1" si="321"/>
        <v>0</v>
      </c>
      <c r="BP409" s="824">
        <f t="shared" ca="1" si="321"/>
        <v>0</v>
      </c>
      <c r="BQ409" s="824">
        <f t="shared" ca="1" si="321"/>
        <v>0</v>
      </c>
      <c r="BR409" s="824">
        <f t="shared" ca="1" si="321"/>
        <v>0</v>
      </c>
      <c r="BS409" s="824">
        <f t="shared" ca="1" si="321"/>
        <v>0</v>
      </c>
      <c r="BT409" s="824">
        <f t="shared" ca="1" si="321"/>
        <v>0</v>
      </c>
      <c r="BU409" s="824">
        <f t="shared" ca="1" si="321"/>
        <v>0</v>
      </c>
      <c r="BV409" s="824">
        <f t="shared" ca="1" si="321"/>
        <v>0</v>
      </c>
      <c r="BW409" s="824">
        <f t="shared" ca="1" si="321"/>
        <v>0</v>
      </c>
      <c r="BX409" s="824">
        <f t="shared" ca="1" si="321"/>
        <v>0</v>
      </c>
      <c r="BY409" s="824">
        <f t="shared" ca="1" si="321"/>
        <v>0</v>
      </c>
      <c r="BZ409" s="824">
        <f t="shared" ca="1" si="321"/>
        <v>0</v>
      </c>
      <c r="CA409" s="824">
        <f t="shared" ca="1" si="321"/>
        <v>0</v>
      </c>
      <c r="CB409" s="824">
        <f t="shared" ca="1" si="321"/>
        <v>0</v>
      </c>
      <c r="CC409" s="824">
        <f t="shared" ca="1" si="321"/>
        <v>0</v>
      </c>
      <c r="CD409" s="824">
        <f t="shared" ca="1" si="321"/>
        <v>0</v>
      </c>
      <c r="CE409" s="824">
        <f t="shared" ca="1" si="320"/>
        <v>0</v>
      </c>
      <c r="CF409" s="824">
        <f t="shared" ca="1" si="320"/>
        <v>0</v>
      </c>
      <c r="CG409" s="824">
        <f t="shared" ca="1" si="320"/>
        <v>0</v>
      </c>
      <c r="CH409" s="824">
        <f t="shared" ca="1" si="320"/>
        <v>0</v>
      </c>
      <c r="CI409" s="824">
        <f t="shared" ca="1" si="320"/>
        <v>0</v>
      </c>
      <c r="CJ409" s="824">
        <f t="shared" ca="1" si="320"/>
        <v>0</v>
      </c>
      <c r="CK409" s="824">
        <f t="shared" ca="1" si="320"/>
        <v>0</v>
      </c>
      <c r="CL409" s="824">
        <f t="shared" ca="1" si="320"/>
        <v>0</v>
      </c>
      <c r="CM409" s="824">
        <f t="shared" ca="1" si="320"/>
        <v>0</v>
      </c>
      <c r="CN409" s="824">
        <f t="shared" ca="1" si="320"/>
        <v>0</v>
      </c>
      <c r="CO409" s="824">
        <f t="shared" ca="1" si="320"/>
        <v>0</v>
      </c>
      <c r="CP409" s="824">
        <f t="shared" ca="1" si="320"/>
        <v>0</v>
      </c>
      <c r="CQ409" s="824">
        <f t="shared" ca="1" si="320"/>
        <v>0</v>
      </c>
      <c r="CR409" s="824">
        <f t="shared" ca="1" si="320"/>
        <v>0</v>
      </c>
      <c r="CS409" s="824">
        <f t="shared" ca="1" si="320"/>
        <v>0</v>
      </c>
      <c r="CT409" s="824">
        <f t="shared" ca="1" si="311"/>
        <v>0</v>
      </c>
      <c r="CU409" s="824">
        <f t="shared" ca="1" si="311"/>
        <v>0</v>
      </c>
      <c r="CV409" s="824">
        <f t="shared" ca="1" si="311"/>
        <v>0</v>
      </c>
      <c r="CW409" s="824">
        <f t="shared" ca="1" si="311"/>
        <v>0</v>
      </c>
      <c r="CX409" s="824">
        <f t="shared" ca="1" si="311"/>
        <v>0</v>
      </c>
      <c r="CY409" s="824">
        <f t="shared" ca="1" si="311"/>
        <v>0</v>
      </c>
      <c r="CZ409" s="824">
        <f t="shared" ca="1" si="311"/>
        <v>0</v>
      </c>
      <c r="DA409" s="824">
        <f t="shared" ca="1" si="311"/>
        <v>0</v>
      </c>
      <c r="DB409" s="824">
        <f t="shared" ca="1" si="311"/>
        <v>0</v>
      </c>
      <c r="DC409" s="824">
        <f t="shared" ca="1" si="311"/>
        <v>0</v>
      </c>
      <c r="DD409" s="824">
        <f t="shared" ca="1" si="311"/>
        <v>0</v>
      </c>
      <c r="DE409" s="824">
        <f t="shared" ca="1" si="311"/>
        <v>0</v>
      </c>
      <c r="DF409" s="824">
        <f t="shared" ca="1" si="311"/>
        <v>0</v>
      </c>
      <c r="DG409" s="824">
        <f t="shared" ca="1" si="314"/>
        <v>0</v>
      </c>
      <c r="DH409" s="824">
        <f t="shared" ca="1" si="314"/>
        <v>0</v>
      </c>
      <c r="DI409" s="824">
        <f t="shared" ca="1" si="314"/>
        <v>0</v>
      </c>
      <c r="DJ409" s="824">
        <f t="shared" ca="1" si="314"/>
        <v>0</v>
      </c>
      <c r="DK409" s="824">
        <f t="shared" ca="1" si="313"/>
        <v>0</v>
      </c>
      <c r="DL409" s="824">
        <f t="shared" ca="1" si="313"/>
        <v>0</v>
      </c>
    </row>
    <row r="410" spans="2:116" ht="12" thickBot="1" x14ac:dyDescent="0.3">
      <c r="B410" s="1673"/>
      <c r="C410" s="1680"/>
      <c r="D410" s="15" t="s">
        <v>174</v>
      </c>
      <c r="E410" s="165"/>
      <c r="F410" s="116">
        <f ca="1">SUBTOTAL(109,'3.2 I&amp;W'!$X$101)</f>
        <v>0</v>
      </c>
      <c r="G410" s="116">
        <f ca="1">SUBTOTAL(109,'3.2 I&amp;W'!$Y$101)</f>
        <v>0</v>
      </c>
      <c r="H410" s="116">
        <f ca="1">SUBTOTAL(109,'3.2 I&amp;W'!$AD$101)</f>
        <v>0</v>
      </c>
      <c r="I410" s="116">
        <f ca="1">SUBTOTAL(109,'3.2 I&amp;W'!$AE$101)</f>
        <v>0</v>
      </c>
      <c r="J410" s="116"/>
      <c r="K410" s="116"/>
      <c r="L410" s="116"/>
      <c r="M410" s="116">
        <f ca="1">SUBTOTAL(109,'3.2 I&amp;W'!$AI$101)</f>
        <v>0</v>
      </c>
      <c r="N410" s="156">
        <f t="shared" ca="1" si="262"/>
        <v>0</v>
      </c>
      <c r="O410" s="116">
        <f ca="1">SUBTOTAL(109,'3.2 I&amp;W'!$S$101)</f>
        <v>0</v>
      </c>
      <c r="P410" s="30">
        <f t="shared" ca="1" si="302"/>
        <v>0</v>
      </c>
      <c r="Q410" s="31">
        <f t="shared" ca="1" si="303"/>
        <v>0</v>
      </c>
      <c r="R410" s="31">
        <f t="shared" ca="1" si="304"/>
        <v>0</v>
      </c>
      <c r="S410" s="31">
        <f t="shared" ca="1" si="305"/>
        <v>0</v>
      </c>
      <c r="T410" s="32">
        <f t="shared" ca="1" si="306"/>
        <v>0</v>
      </c>
      <c r="U410" s="37">
        <f t="shared" ca="1" si="263"/>
        <v>0</v>
      </c>
      <c r="V410" s="40">
        <f t="shared" ca="1" si="315"/>
        <v>0</v>
      </c>
      <c r="W410" s="41">
        <f t="shared" ca="1" si="316"/>
        <v>0</v>
      </c>
      <c r="X410" s="43"/>
      <c r="Y410" s="46"/>
      <c r="Z410" s="126"/>
      <c r="AA410" s="136"/>
      <c r="AB410" s="83">
        <v>33</v>
      </c>
      <c r="AC410" s="84">
        <f ca="1">IF(AF409&lt;=1,0,'3.2 Fi&amp;Fo'!$I$25)</f>
        <v>52993.177039275775</v>
      </c>
      <c r="AD410" s="72">
        <f ca="1">IF(AF409&lt;=1,0,AF409*'3.2 Fi&amp;Fo'!$H$25)</f>
        <v>3056.5227365606015</v>
      </c>
      <c r="AE410" s="78">
        <f t="shared" ca="1" si="307"/>
        <v>49936.654302715171</v>
      </c>
      <c r="AF410" s="85">
        <f t="shared" ca="1" si="308"/>
        <v>102889.4825253149</v>
      </c>
      <c r="AG410" s="168">
        <f>IF(AJ409&lt;=1,0,IF(AB410&lt;='3.2 Fi&amp;Fo'!$F$34,'3.2 Fi&amp;Fo'!$J$34,IF(AB410&lt;='3.2 Fi&amp;Fo'!$F$35,'3.2 Fi&amp;Fo'!$J$35,IF(AB410&lt;='3.2 Fi&amp;Fo'!$F$36,'3.2 Fi&amp;Fo'!$J$36,IF(AB410&lt;='3.2 Fi&amp;Fo'!$F$37,'3.2 Fi&amp;Fo'!$J$37,IF(AB410&lt;='3.2 Fi&amp;Fo'!$F$38,'3.2 Fi&amp;Fo'!$J$38,IF(AB410&lt;='3.2 Fi&amp;Fo'!$F$39,'3.2 Fi&amp;Fo'!$J$39,IF(AB410&lt;='3.2 Fi&amp;Fo'!$F$40,'3.2 Fi&amp;Fo'!$J$40))))))))</f>
        <v>102366.82400000001</v>
      </c>
      <c r="AH410" s="207">
        <f>IF(AJ409&lt;=1,0,AJ409*IF(AB410&lt;='3.2 Fi&amp;Fo'!$F$34,'3.2 Fi&amp;Fo'!$I$34,IF(AB410&lt;='3.2 Fi&amp;Fo'!$F$35,'3.2 Fi&amp;Fo'!$I$35,IF(AB410&lt;='3.2 Fi&amp;Fo'!$F$36,'3.2 Fi&amp;Fo'!$I$36,IF(AB410&lt;='3.2 Fi&amp;Fo'!$F$39,'3.2 Fi&amp;Fo'!$I$39,IF(AB410&lt;='3.2 Fi&amp;Fo'!$F$40,'3.2 Fi&amp;Fo'!$I$40))))))</f>
        <v>124251.953926531</v>
      </c>
      <c r="AI410" s="210">
        <f t="shared" ref="AI410:AI427" si="322">AG410-AH410</f>
        <v>-21885.129926530994</v>
      </c>
      <c r="AJ410" s="209">
        <f t="shared" si="309"/>
        <v>1933453.6518731616</v>
      </c>
      <c r="AK410" s="312">
        <f t="shared" ref="AK410:AK427" ca="1" si="323">-AC410-AG410+AL410-AM410</f>
        <v>-197371.44753577828</v>
      </c>
      <c r="AL410" s="169">
        <f>IF(AB410&lt;='3.2 Fi&amp;Fo'!$J$15,'3.2 Fi&amp;Fo'!$I$15,0)</f>
        <v>0</v>
      </c>
      <c r="AM410" s="169">
        <f t="shared" ref="AM410:AM427" si="324">IF(AB410&lt;=$G$154,($AM$377*(1+$D$152)^AB410-$AM$377*(1+$D$152)^AB409),0)</f>
        <v>42011.446496502496</v>
      </c>
      <c r="AN410" s="838">
        <f t="shared" si="287"/>
        <v>33</v>
      </c>
      <c r="AO410" s="844">
        <f t="shared" ca="1" si="271"/>
        <v>197371.44753577828</v>
      </c>
      <c r="AP410" s="839">
        <f ca="1">CU482</f>
        <v>0</v>
      </c>
      <c r="AQ410" s="844">
        <f t="shared" si="272"/>
        <v>0</v>
      </c>
      <c r="AR410" s="839">
        <f t="shared" ca="1" si="288"/>
        <v>0</v>
      </c>
      <c r="AS410" s="839">
        <f t="shared" ca="1" si="283"/>
        <v>10573.354607965593</v>
      </c>
      <c r="AT410" s="839">
        <f t="shared" ca="1" si="284"/>
        <v>29570.469306190033</v>
      </c>
      <c r="AU410" s="839">
        <f ca="1">'PV-Einspeisung'!AA115*-1</f>
        <v>0</v>
      </c>
      <c r="AV410" s="839">
        <f ca="1">'PV-Einspeisung'!AE115*-1</f>
        <v>0</v>
      </c>
      <c r="AW410" s="839"/>
      <c r="AX410" s="839">
        <f t="shared" ca="1" si="289"/>
        <v>0</v>
      </c>
      <c r="AY410" s="841">
        <f t="shared" si="273"/>
        <v>33</v>
      </c>
      <c r="AZ410" s="842">
        <f t="shared" ca="1" si="290"/>
        <v>0</v>
      </c>
      <c r="BA410" s="842">
        <f t="shared" ca="1" si="291"/>
        <v>0</v>
      </c>
      <c r="BB410" s="842">
        <f t="shared" ca="1" si="292"/>
        <v>0</v>
      </c>
      <c r="BC410" s="842">
        <f t="shared" ca="1" si="293"/>
        <v>0</v>
      </c>
      <c r="BD410" s="842">
        <f t="shared" ca="1" si="294"/>
        <v>0</v>
      </c>
      <c r="BE410" s="842">
        <f t="shared" ca="1" si="295"/>
        <v>0</v>
      </c>
      <c r="BF410" s="842">
        <f t="shared" ca="1" si="296"/>
        <v>13412.002877050572</v>
      </c>
      <c r="BG410" s="842">
        <f t="shared" ca="1" si="297"/>
        <v>16158.466429139462</v>
      </c>
      <c r="BH410" s="858">
        <f t="shared" si="281"/>
        <v>33</v>
      </c>
      <c r="BI410" s="857">
        <f t="shared" ca="1" si="298"/>
        <v>4979.6456858853089</v>
      </c>
      <c r="BJ410" s="857">
        <f t="shared" ca="1" si="299"/>
        <v>5593.7089220802845</v>
      </c>
      <c r="BK410" s="859">
        <f ca="1">'PV-Einspeisung'!AB115*-1</f>
        <v>0</v>
      </c>
      <c r="BL410" s="824">
        <f t="shared" ca="1" si="317"/>
        <v>0</v>
      </c>
      <c r="BM410" s="824">
        <f t="shared" ca="1" si="318"/>
        <v>0</v>
      </c>
      <c r="BN410" s="824">
        <f t="shared" ca="1" si="319"/>
        <v>0</v>
      </c>
      <c r="BO410" s="824">
        <f t="shared" ca="1" si="321"/>
        <v>0</v>
      </c>
      <c r="BP410" s="824">
        <f t="shared" ca="1" si="321"/>
        <v>0</v>
      </c>
      <c r="BQ410" s="824">
        <f t="shared" ca="1" si="321"/>
        <v>0</v>
      </c>
      <c r="BR410" s="824">
        <f t="shared" ca="1" si="321"/>
        <v>0</v>
      </c>
      <c r="BS410" s="824">
        <f t="shared" ca="1" si="321"/>
        <v>0</v>
      </c>
      <c r="BT410" s="824">
        <f t="shared" ca="1" si="321"/>
        <v>0</v>
      </c>
      <c r="BU410" s="824">
        <f t="shared" ca="1" si="321"/>
        <v>0</v>
      </c>
      <c r="BV410" s="824">
        <f t="shared" ca="1" si="321"/>
        <v>0</v>
      </c>
      <c r="BW410" s="824">
        <f t="shared" ca="1" si="321"/>
        <v>0</v>
      </c>
      <c r="BX410" s="824">
        <f t="shared" ca="1" si="321"/>
        <v>0</v>
      </c>
      <c r="BY410" s="824">
        <f t="shared" ca="1" si="321"/>
        <v>0</v>
      </c>
      <c r="BZ410" s="824">
        <f t="shared" ca="1" si="321"/>
        <v>0</v>
      </c>
      <c r="CA410" s="824">
        <f t="shared" ca="1" si="321"/>
        <v>0</v>
      </c>
      <c r="CB410" s="824">
        <f t="shared" ca="1" si="321"/>
        <v>0</v>
      </c>
      <c r="CC410" s="824">
        <f t="shared" ca="1" si="321"/>
        <v>0</v>
      </c>
      <c r="CD410" s="824">
        <f t="shared" ca="1" si="321"/>
        <v>0</v>
      </c>
      <c r="CE410" s="824">
        <f t="shared" ca="1" si="320"/>
        <v>0</v>
      </c>
      <c r="CF410" s="824">
        <f t="shared" ca="1" si="320"/>
        <v>0</v>
      </c>
      <c r="CG410" s="824">
        <f t="shared" ca="1" si="320"/>
        <v>0</v>
      </c>
      <c r="CH410" s="824">
        <f t="shared" ca="1" si="320"/>
        <v>0</v>
      </c>
      <c r="CI410" s="824">
        <f t="shared" ca="1" si="320"/>
        <v>0</v>
      </c>
      <c r="CJ410" s="824">
        <f t="shared" ca="1" si="320"/>
        <v>0</v>
      </c>
      <c r="CK410" s="824">
        <f t="shared" ca="1" si="320"/>
        <v>0</v>
      </c>
      <c r="CL410" s="824">
        <f t="shared" ca="1" si="320"/>
        <v>0</v>
      </c>
      <c r="CM410" s="824">
        <f t="shared" ca="1" si="320"/>
        <v>0</v>
      </c>
      <c r="CN410" s="824">
        <f t="shared" ca="1" si="320"/>
        <v>0</v>
      </c>
      <c r="CO410" s="824">
        <f t="shared" ca="1" si="320"/>
        <v>0</v>
      </c>
      <c r="CP410" s="824">
        <f t="shared" ca="1" si="320"/>
        <v>0</v>
      </c>
      <c r="CQ410" s="824">
        <f t="shared" ca="1" si="320"/>
        <v>0</v>
      </c>
      <c r="CR410" s="824">
        <f t="shared" ca="1" si="320"/>
        <v>0</v>
      </c>
      <c r="CS410" s="824">
        <f t="shared" ca="1" si="320"/>
        <v>0</v>
      </c>
      <c r="CT410" s="824">
        <f t="shared" ca="1" si="311"/>
        <v>0</v>
      </c>
      <c r="CU410" s="824">
        <f t="shared" ca="1" si="311"/>
        <v>0</v>
      </c>
      <c r="CV410" s="824">
        <f t="shared" ca="1" si="311"/>
        <v>0</v>
      </c>
      <c r="CW410" s="824">
        <f t="shared" ca="1" si="311"/>
        <v>0</v>
      </c>
      <c r="CX410" s="824">
        <f t="shared" ca="1" si="311"/>
        <v>0</v>
      </c>
      <c r="CY410" s="824">
        <f t="shared" ca="1" si="311"/>
        <v>0</v>
      </c>
      <c r="CZ410" s="824">
        <f t="shared" ca="1" si="311"/>
        <v>0</v>
      </c>
      <c r="DA410" s="824">
        <f t="shared" ca="1" si="311"/>
        <v>0</v>
      </c>
      <c r="DB410" s="824">
        <f t="shared" ca="1" si="311"/>
        <v>0</v>
      </c>
      <c r="DC410" s="824">
        <f t="shared" ca="1" si="311"/>
        <v>0</v>
      </c>
      <c r="DD410" s="824">
        <f t="shared" ca="1" si="311"/>
        <v>0</v>
      </c>
      <c r="DE410" s="824">
        <f t="shared" ca="1" si="311"/>
        <v>0</v>
      </c>
      <c r="DF410" s="824">
        <f t="shared" ca="1" si="311"/>
        <v>0</v>
      </c>
      <c r="DG410" s="824">
        <f t="shared" ca="1" si="314"/>
        <v>0</v>
      </c>
      <c r="DH410" s="824">
        <f t="shared" ca="1" si="314"/>
        <v>0</v>
      </c>
      <c r="DI410" s="824">
        <f t="shared" ca="1" si="314"/>
        <v>0</v>
      </c>
      <c r="DJ410" s="824">
        <f t="shared" ca="1" si="314"/>
        <v>0</v>
      </c>
      <c r="DK410" s="824">
        <f t="shared" ca="1" si="313"/>
        <v>0</v>
      </c>
      <c r="DL410" s="824">
        <f t="shared" ca="1" si="313"/>
        <v>0</v>
      </c>
    </row>
    <row r="411" spans="2:116" ht="12" thickBot="1" x14ac:dyDescent="0.3">
      <c r="B411" s="1673"/>
      <c r="C411" s="1680"/>
      <c r="D411" s="15" t="s">
        <v>264</v>
      </c>
      <c r="E411" s="116"/>
      <c r="F411" s="116">
        <f ca="1">SUBTOTAL(109,'3.2 I&amp;W'!$X$104)</f>
        <v>0</v>
      </c>
      <c r="G411" s="116">
        <f ca="1">SUBTOTAL(109,'3.2 I&amp;W'!$Y$104)</f>
        <v>0</v>
      </c>
      <c r="H411" s="116">
        <f ca="1">SUBTOTAL(109,'3.2 I&amp;W'!$AD$104)</f>
        <v>0</v>
      </c>
      <c r="I411" s="116">
        <f ca="1">SUBTOTAL(109,'3.2 I&amp;W'!$AE$104)</f>
        <v>0</v>
      </c>
      <c r="J411" s="116"/>
      <c r="K411" s="116"/>
      <c r="L411" s="116"/>
      <c r="M411" s="116">
        <f ca="1">SUBTOTAL(109,'3.2 I&amp;W'!$AI$104)</f>
        <v>50</v>
      </c>
      <c r="N411" s="156">
        <f t="shared" ca="1" si="262"/>
        <v>0</v>
      </c>
      <c r="O411" s="116">
        <f ca="1">SUBTOTAL(109,'3.2 I&amp;W'!$S$104)</f>
        <v>141152.4</v>
      </c>
      <c r="P411" s="30">
        <f t="shared" ca="1" si="302"/>
        <v>0</v>
      </c>
      <c r="Q411" s="31">
        <f t="shared" ca="1" si="303"/>
        <v>0</v>
      </c>
      <c r="R411" s="31">
        <f t="shared" ca="1" si="304"/>
        <v>0</v>
      </c>
      <c r="S411" s="31">
        <f t="shared" ca="1" si="305"/>
        <v>0</v>
      </c>
      <c r="T411" s="32">
        <f t="shared" ca="1" si="306"/>
        <v>0</v>
      </c>
      <c r="U411" s="37">
        <f t="shared" ca="1" si="263"/>
        <v>21174.029307581066</v>
      </c>
      <c r="V411" s="40">
        <f t="shared" ca="1" si="315"/>
        <v>0</v>
      </c>
      <c r="W411" s="41">
        <f t="shared" ca="1" si="316"/>
        <v>0</v>
      </c>
      <c r="X411" s="43"/>
      <c r="Y411" s="46"/>
      <c r="Z411" s="126"/>
      <c r="AA411" s="136"/>
      <c r="AB411" s="83">
        <v>34</v>
      </c>
      <c r="AC411" s="84">
        <f ca="1">IF(AF410&lt;=1,0,'3.2 Fi&amp;Fo'!$I$25)</f>
        <v>52993.177039275775</v>
      </c>
      <c r="AD411" s="72">
        <f ca="1">IF(AF410&lt;=1,0,AF410*'3.2 Fi&amp;Fo'!$H$25)</f>
        <v>2057.7896505062981</v>
      </c>
      <c r="AE411" s="78">
        <f t="shared" ca="1" si="307"/>
        <v>50935.387388769479</v>
      </c>
      <c r="AF411" s="85">
        <f t="shared" ca="1" si="308"/>
        <v>51954.095136545424</v>
      </c>
      <c r="AG411" s="168">
        <f>IF(AJ410&lt;=1,0,IF(AB411&lt;='3.2 Fi&amp;Fo'!$F$34,'3.2 Fi&amp;Fo'!$J$34,IF(AB411&lt;='3.2 Fi&amp;Fo'!$F$35,'3.2 Fi&amp;Fo'!$J$35,IF(AB411&lt;='3.2 Fi&amp;Fo'!$F$36,'3.2 Fi&amp;Fo'!$J$36,IF(AB411&lt;='3.2 Fi&amp;Fo'!$F$37,'3.2 Fi&amp;Fo'!$J$37,IF(AB411&lt;='3.2 Fi&amp;Fo'!$F$38,'3.2 Fi&amp;Fo'!$J$38,IF(AB411&lt;='3.2 Fi&amp;Fo'!$F$39,'3.2 Fi&amp;Fo'!$J$39,IF(AB411&lt;='3.2 Fi&amp;Fo'!$F$40,'3.2 Fi&amp;Fo'!$J$40))))))))</f>
        <v>102366.82400000001</v>
      </c>
      <c r="AH411" s="207">
        <f>IF(AJ410&lt;=1,0,AJ410*IF(AB411&lt;='3.2 Fi&amp;Fo'!$F$34,'3.2 Fi&amp;Fo'!$I$34,IF(AB411&lt;='3.2 Fi&amp;Fo'!$F$35,'3.2 Fi&amp;Fo'!$I$35,IF(AB411&lt;='3.2 Fi&amp;Fo'!$F$36,'3.2 Fi&amp;Fo'!$I$36,IF(AB411&lt;='3.2 Fi&amp;Fo'!$F$39,'3.2 Fi&amp;Fo'!$I$39,IF(AB411&lt;='3.2 Fi&amp;Fo'!$F$40,'3.2 Fi&amp;Fo'!$I$40))))))</f>
        <v>125674.4873717555</v>
      </c>
      <c r="AI411" s="210">
        <f t="shared" si="322"/>
        <v>-23307.663371755494</v>
      </c>
      <c r="AJ411" s="209">
        <f t="shared" si="309"/>
        <v>1956761.3152449171</v>
      </c>
      <c r="AK411" s="312">
        <f t="shared" ca="1" si="323"/>
        <v>-198211.67646570771</v>
      </c>
      <c r="AL411" s="169">
        <f>IF(AB411&lt;='3.2 Fi&amp;Fo'!$J$15,'3.2 Fi&amp;Fo'!$I$15,0)</f>
        <v>0</v>
      </c>
      <c r="AM411" s="169">
        <f t="shared" si="324"/>
        <v>42851.675426431932</v>
      </c>
      <c r="AN411" s="838">
        <f t="shared" si="287"/>
        <v>34</v>
      </c>
      <c r="AO411" s="844">
        <f t="shared" ca="1" si="271"/>
        <v>198211.67646570771</v>
      </c>
      <c r="AP411" s="839">
        <f ca="1">CV482</f>
        <v>0</v>
      </c>
      <c r="AQ411" s="844">
        <f t="shared" si="272"/>
        <v>0</v>
      </c>
      <c r="AR411" s="839">
        <f t="shared" ca="1" si="288"/>
        <v>0</v>
      </c>
      <c r="AS411" s="839">
        <f t="shared" ca="1" si="283"/>
        <v>10742.528281693043</v>
      </c>
      <c r="AT411" s="839">
        <f t="shared" ca="1" si="284"/>
        <v>30471.315703136177</v>
      </c>
      <c r="AU411" s="839">
        <f ca="1">'PV-Einspeisung'!AA116*-1</f>
        <v>0</v>
      </c>
      <c r="AV411" s="839">
        <f ca="1">'PV-Einspeisung'!AE116*-1</f>
        <v>0</v>
      </c>
      <c r="AW411" s="839"/>
      <c r="AX411" s="839">
        <f t="shared" ca="1" si="289"/>
        <v>0</v>
      </c>
      <c r="AY411" s="841">
        <f t="shared" si="273"/>
        <v>34</v>
      </c>
      <c r="AZ411" s="842">
        <f t="shared" ca="1" si="290"/>
        <v>0</v>
      </c>
      <c r="BA411" s="842">
        <f t="shared" ca="1" si="291"/>
        <v>0</v>
      </c>
      <c r="BB411" s="842">
        <f t="shared" ca="1" si="292"/>
        <v>0</v>
      </c>
      <c r="BC411" s="842">
        <f t="shared" ca="1" si="293"/>
        <v>0</v>
      </c>
      <c r="BD411" s="842">
        <f t="shared" ca="1" si="294"/>
        <v>0</v>
      </c>
      <c r="BE411" s="842">
        <f t="shared" ca="1" si="295"/>
        <v>0</v>
      </c>
      <c r="BF411" s="842">
        <f t="shared" ca="1" si="296"/>
        <v>13747.302948976836</v>
      </c>
      <c r="BG411" s="842">
        <f t="shared" ca="1" si="297"/>
        <v>16724.012754159343</v>
      </c>
      <c r="BH411" s="858">
        <f t="shared" si="281"/>
        <v>34</v>
      </c>
      <c r="BI411" s="857">
        <f t="shared" ca="1" si="298"/>
        <v>5059.320016859474</v>
      </c>
      <c r="BJ411" s="857">
        <f t="shared" ca="1" si="299"/>
        <v>5683.208264833569</v>
      </c>
      <c r="BK411" s="859">
        <f ca="1">'PV-Einspeisung'!AB116*-1</f>
        <v>0</v>
      </c>
      <c r="BL411" s="824">
        <f t="shared" ca="1" si="317"/>
        <v>50</v>
      </c>
      <c r="BM411" s="824">
        <f t="shared" ca="1" si="318"/>
        <v>0</v>
      </c>
      <c r="BN411" s="824">
        <f t="shared" ca="1" si="319"/>
        <v>141152.4</v>
      </c>
      <c r="BO411" s="824">
        <f t="shared" ca="1" si="321"/>
        <v>0</v>
      </c>
      <c r="BP411" s="824">
        <f t="shared" ca="1" si="321"/>
        <v>0</v>
      </c>
      <c r="BQ411" s="824">
        <f t="shared" ca="1" si="321"/>
        <v>0</v>
      </c>
      <c r="BR411" s="824">
        <f t="shared" ca="1" si="321"/>
        <v>0</v>
      </c>
      <c r="BS411" s="824">
        <f t="shared" ca="1" si="321"/>
        <v>0</v>
      </c>
      <c r="BT411" s="824">
        <f t="shared" ca="1" si="321"/>
        <v>0</v>
      </c>
      <c r="BU411" s="824">
        <f t="shared" ca="1" si="321"/>
        <v>0</v>
      </c>
      <c r="BV411" s="824">
        <f t="shared" ca="1" si="321"/>
        <v>0</v>
      </c>
      <c r="BW411" s="824">
        <f t="shared" ca="1" si="321"/>
        <v>0</v>
      </c>
      <c r="BX411" s="824">
        <f t="shared" ca="1" si="321"/>
        <v>0</v>
      </c>
      <c r="BY411" s="824">
        <f t="shared" ca="1" si="321"/>
        <v>0</v>
      </c>
      <c r="BZ411" s="824">
        <f t="shared" ca="1" si="321"/>
        <v>0</v>
      </c>
      <c r="CA411" s="824">
        <f t="shared" ca="1" si="321"/>
        <v>0</v>
      </c>
      <c r="CB411" s="824">
        <f t="shared" ca="1" si="321"/>
        <v>0</v>
      </c>
      <c r="CC411" s="824">
        <f t="shared" ca="1" si="321"/>
        <v>0</v>
      </c>
      <c r="CD411" s="824">
        <f t="shared" ca="1" si="321"/>
        <v>0</v>
      </c>
      <c r="CE411" s="824">
        <f t="shared" ca="1" si="320"/>
        <v>0</v>
      </c>
      <c r="CF411" s="824">
        <f t="shared" ca="1" si="320"/>
        <v>0</v>
      </c>
      <c r="CG411" s="824">
        <f t="shared" ca="1" si="320"/>
        <v>0</v>
      </c>
      <c r="CH411" s="824">
        <f t="shared" ca="1" si="320"/>
        <v>0</v>
      </c>
      <c r="CI411" s="824">
        <f t="shared" ca="1" si="320"/>
        <v>0</v>
      </c>
      <c r="CJ411" s="824">
        <f t="shared" ca="1" si="320"/>
        <v>0</v>
      </c>
      <c r="CK411" s="824">
        <f t="shared" ca="1" si="320"/>
        <v>0</v>
      </c>
      <c r="CL411" s="824">
        <f t="shared" ca="1" si="320"/>
        <v>0</v>
      </c>
      <c r="CM411" s="824">
        <f t="shared" ca="1" si="320"/>
        <v>0</v>
      </c>
      <c r="CN411" s="824">
        <f t="shared" ca="1" si="320"/>
        <v>0</v>
      </c>
      <c r="CO411" s="824">
        <f t="shared" ca="1" si="320"/>
        <v>0</v>
      </c>
      <c r="CP411" s="824">
        <f t="shared" ca="1" si="320"/>
        <v>0</v>
      </c>
      <c r="CQ411" s="824">
        <f t="shared" ca="1" si="320"/>
        <v>0</v>
      </c>
      <c r="CR411" s="824">
        <f t="shared" ca="1" si="320"/>
        <v>0</v>
      </c>
      <c r="CS411" s="824">
        <f t="shared" ca="1" si="320"/>
        <v>0</v>
      </c>
      <c r="CT411" s="824">
        <f t="shared" ca="1" si="311"/>
        <v>0</v>
      </c>
      <c r="CU411" s="824">
        <f t="shared" ca="1" si="311"/>
        <v>0</v>
      </c>
      <c r="CV411" s="824">
        <f t="shared" ca="1" si="311"/>
        <v>0</v>
      </c>
      <c r="CW411" s="824">
        <f t="shared" ca="1" si="311"/>
        <v>0</v>
      </c>
      <c r="CX411" s="824">
        <f t="shared" ca="1" si="311"/>
        <v>0</v>
      </c>
      <c r="CY411" s="824">
        <f t="shared" ca="1" si="311"/>
        <v>0</v>
      </c>
      <c r="CZ411" s="824">
        <f t="shared" ca="1" si="311"/>
        <v>0</v>
      </c>
      <c r="DA411" s="824">
        <f t="shared" ca="1" si="311"/>
        <v>0</v>
      </c>
      <c r="DB411" s="824">
        <f t="shared" ca="1" si="311"/>
        <v>0</v>
      </c>
      <c r="DC411" s="824">
        <f t="shared" ca="1" si="311"/>
        <v>0</v>
      </c>
      <c r="DD411" s="824">
        <f t="shared" ca="1" si="311"/>
        <v>0</v>
      </c>
      <c r="DE411" s="824">
        <f t="shared" ca="1" si="311"/>
        <v>0</v>
      </c>
      <c r="DF411" s="824">
        <f t="shared" ca="1" si="311"/>
        <v>0</v>
      </c>
      <c r="DG411" s="824">
        <f t="shared" ca="1" si="314"/>
        <v>0</v>
      </c>
      <c r="DH411" s="824">
        <f t="shared" ca="1" si="314"/>
        <v>0</v>
      </c>
      <c r="DI411" s="824">
        <f t="shared" ca="1" si="314"/>
        <v>0</v>
      </c>
      <c r="DJ411" s="824">
        <f t="shared" ca="1" si="314"/>
        <v>0</v>
      </c>
      <c r="DK411" s="824">
        <f t="shared" ca="1" si="313"/>
        <v>0</v>
      </c>
      <c r="DL411" s="824">
        <f t="shared" ca="1" si="313"/>
        <v>0</v>
      </c>
    </row>
    <row r="412" spans="2:116" ht="12" thickBot="1" x14ac:dyDescent="0.3">
      <c r="B412" s="1673"/>
      <c r="C412" s="1680"/>
      <c r="D412" s="15" t="s">
        <v>264</v>
      </c>
      <c r="E412" s="165"/>
      <c r="F412" s="116">
        <f ca="1">SUBTOTAL(109,'3.2 I&amp;W'!$X$105)</f>
        <v>0</v>
      </c>
      <c r="G412" s="116">
        <f ca="1">SUBTOTAL(109,'3.2 I&amp;W'!$Y$105)</f>
        <v>0</v>
      </c>
      <c r="H412" s="116">
        <f ca="1">SUBTOTAL(109,'3.2 I&amp;W'!$AD$105)</f>
        <v>0</v>
      </c>
      <c r="I412" s="116">
        <f ca="1">SUBTOTAL(109,'3.2 I&amp;W'!$AE$105)</f>
        <v>0</v>
      </c>
      <c r="J412" s="116"/>
      <c r="K412" s="116"/>
      <c r="L412" s="116"/>
      <c r="M412" s="116">
        <f ca="1">SUBTOTAL(109,'3.2 I&amp;W'!$AI$105)</f>
        <v>0</v>
      </c>
      <c r="N412" s="156">
        <f t="shared" ca="1" si="262"/>
        <v>0</v>
      </c>
      <c r="O412" s="116">
        <f ca="1">SUBTOTAL(109,'3.2 I&amp;W'!$S$105)</f>
        <v>0</v>
      </c>
      <c r="P412" s="30">
        <f t="shared" ca="1" si="302"/>
        <v>0</v>
      </c>
      <c r="Q412" s="31">
        <f t="shared" ca="1" si="303"/>
        <v>0</v>
      </c>
      <c r="R412" s="31">
        <f t="shared" ca="1" si="304"/>
        <v>0</v>
      </c>
      <c r="S412" s="31">
        <f t="shared" ca="1" si="305"/>
        <v>0</v>
      </c>
      <c r="T412" s="32">
        <f t="shared" ca="1" si="306"/>
        <v>0</v>
      </c>
      <c r="U412" s="37">
        <f t="shared" ca="1" si="263"/>
        <v>0</v>
      </c>
      <c r="V412" s="40">
        <f t="shared" ca="1" si="315"/>
        <v>0</v>
      </c>
      <c r="W412" s="41">
        <f t="shared" ca="1" si="316"/>
        <v>0</v>
      </c>
      <c r="X412" s="43"/>
      <c r="Y412" s="46"/>
      <c r="Z412" s="126"/>
      <c r="AA412" s="136"/>
      <c r="AB412" s="83">
        <v>35</v>
      </c>
      <c r="AC412" s="84">
        <f ca="1">IF(AF411&lt;=1,0,'3.2 Fi&amp;Fo'!$I$25)</f>
        <v>52993.177039275775</v>
      </c>
      <c r="AD412" s="72">
        <f ca="1">IF(AF411&lt;=1,0,AF411*'3.2 Fi&amp;Fo'!$H$25)</f>
        <v>1039.0819027309085</v>
      </c>
      <c r="AE412" s="78">
        <f t="shared" ca="1" si="307"/>
        <v>51954.095136544864</v>
      </c>
      <c r="AF412" s="85">
        <f t="shared" ca="1" si="308"/>
        <v>5.6024873629212379E-10</v>
      </c>
      <c r="AG412" s="168">
        <f>IF(AJ411&lt;=1,0,IF(AB412&lt;='3.2 Fi&amp;Fo'!$F$34,'3.2 Fi&amp;Fo'!$J$34,IF(AB412&lt;='3.2 Fi&amp;Fo'!$F$35,'3.2 Fi&amp;Fo'!$J$35,IF(AB412&lt;='3.2 Fi&amp;Fo'!$F$36,'3.2 Fi&amp;Fo'!$J$36,IF(AB412&lt;='3.2 Fi&amp;Fo'!$F$37,'3.2 Fi&amp;Fo'!$J$37,IF(AB412&lt;='3.2 Fi&amp;Fo'!$F$38,'3.2 Fi&amp;Fo'!$J$38,IF(AB412&lt;='3.2 Fi&amp;Fo'!$F$39,'3.2 Fi&amp;Fo'!$J$39,IF(AB412&lt;='3.2 Fi&amp;Fo'!$F$40,'3.2 Fi&amp;Fo'!$J$40))))))))</f>
        <v>102366.82400000001</v>
      </c>
      <c r="AH412" s="207">
        <f>IF(AJ411&lt;=1,0,AJ411*IF(AB412&lt;='3.2 Fi&amp;Fo'!$F$34,'3.2 Fi&amp;Fo'!$I$34,IF(AB412&lt;='3.2 Fi&amp;Fo'!$F$35,'3.2 Fi&amp;Fo'!$I$35,IF(AB412&lt;='3.2 Fi&amp;Fo'!$F$36,'3.2 Fi&amp;Fo'!$I$36,IF(AB412&lt;='3.2 Fi&amp;Fo'!$F$39,'3.2 Fi&amp;Fo'!$I$39,IF(AB412&lt;='3.2 Fi&amp;Fo'!$F$40,'3.2 Fi&amp;Fo'!$I$40))))))</f>
        <v>127189.48549091961</v>
      </c>
      <c r="AI412" s="210">
        <f t="shared" si="322"/>
        <v>-24822.661490919607</v>
      </c>
      <c r="AJ412" s="209">
        <f t="shared" si="309"/>
        <v>1981583.9767358366</v>
      </c>
      <c r="AK412" s="312">
        <f t="shared" ca="1" si="323"/>
        <v>-199068.70997423667</v>
      </c>
      <c r="AL412" s="169">
        <f>IF(AB412&lt;='3.2 Fi&amp;Fo'!$J$15,'3.2 Fi&amp;Fo'!$I$15,0)</f>
        <v>0</v>
      </c>
      <c r="AM412" s="169">
        <f t="shared" si="324"/>
        <v>43708.708934960887</v>
      </c>
      <c r="AN412" s="838">
        <f t="shared" si="287"/>
        <v>35</v>
      </c>
      <c r="AO412" s="844">
        <f t="shared" ca="1" si="271"/>
        <v>199068.70997423667</v>
      </c>
      <c r="AP412" s="839">
        <f ca="1">CW482</f>
        <v>0</v>
      </c>
      <c r="AQ412" s="844">
        <f t="shared" ca="1" si="272"/>
        <v>-1693561.1974500734</v>
      </c>
      <c r="AR412" s="839">
        <f t="shared" ca="1" si="288"/>
        <v>0</v>
      </c>
      <c r="AS412" s="839">
        <f t="shared" ca="1" si="283"/>
        <v>10914.408734200133</v>
      </c>
      <c r="AT412" s="839">
        <f t="shared" ca="1" si="284"/>
        <v>31400.338723256173</v>
      </c>
      <c r="AU412" s="839">
        <f ca="1">'PV-Einspeisung'!AA117*-1</f>
        <v>0</v>
      </c>
      <c r="AV412" s="839">
        <f ca="1">'PV-Einspeisung'!AE117*-1</f>
        <v>0</v>
      </c>
      <c r="AW412" s="839"/>
      <c r="AX412" s="839">
        <f t="shared" ca="1" si="289"/>
        <v>0</v>
      </c>
      <c r="AY412" s="841">
        <f t="shared" si="273"/>
        <v>35</v>
      </c>
      <c r="AZ412" s="842">
        <f t="shared" ca="1" si="290"/>
        <v>0</v>
      </c>
      <c r="BA412" s="842">
        <f t="shared" ca="1" si="291"/>
        <v>0</v>
      </c>
      <c r="BB412" s="842">
        <f t="shared" ca="1" si="292"/>
        <v>0</v>
      </c>
      <c r="BC412" s="842">
        <f t="shared" ca="1" si="293"/>
        <v>0</v>
      </c>
      <c r="BD412" s="842">
        <f t="shared" ca="1" si="294"/>
        <v>0</v>
      </c>
      <c r="BE412" s="842">
        <f t="shared" ca="1" si="295"/>
        <v>0</v>
      </c>
      <c r="BF412" s="842">
        <f t="shared" ca="1" si="296"/>
        <v>14090.985522701256</v>
      </c>
      <c r="BG412" s="842">
        <f t="shared" ca="1" si="297"/>
        <v>17309.353200554917</v>
      </c>
      <c r="BH412" s="858">
        <f t="shared" si="281"/>
        <v>35</v>
      </c>
      <c r="BI412" s="857">
        <f t="shared" ca="1" si="298"/>
        <v>5140.2691371292258</v>
      </c>
      <c r="BJ412" s="857">
        <f t="shared" ca="1" si="299"/>
        <v>5774.1395970709063</v>
      </c>
      <c r="BK412" s="859">
        <f ca="1">'PV-Einspeisung'!AB117*-1</f>
        <v>0</v>
      </c>
      <c r="BL412" s="824">
        <f t="shared" ca="1" si="317"/>
        <v>0</v>
      </c>
      <c r="BM412" s="824">
        <f t="shared" ca="1" si="318"/>
        <v>0</v>
      </c>
      <c r="BN412" s="824">
        <f t="shared" ca="1" si="319"/>
        <v>0</v>
      </c>
      <c r="BO412" s="824">
        <f t="shared" ca="1" si="321"/>
        <v>0</v>
      </c>
      <c r="BP412" s="824">
        <f t="shared" ca="1" si="321"/>
        <v>0</v>
      </c>
      <c r="BQ412" s="824">
        <f t="shared" ca="1" si="321"/>
        <v>0</v>
      </c>
      <c r="BR412" s="824">
        <f t="shared" ca="1" si="321"/>
        <v>0</v>
      </c>
      <c r="BS412" s="824">
        <f t="shared" ca="1" si="321"/>
        <v>0</v>
      </c>
      <c r="BT412" s="824">
        <f t="shared" ca="1" si="321"/>
        <v>0</v>
      </c>
      <c r="BU412" s="824">
        <f t="shared" ca="1" si="321"/>
        <v>0</v>
      </c>
      <c r="BV412" s="824">
        <f t="shared" ca="1" si="321"/>
        <v>0</v>
      </c>
      <c r="BW412" s="824">
        <f t="shared" ca="1" si="321"/>
        <v>0</v>
      </c>
      <c r="BX412" s="824">
        <f t="shared" ca="1" si="321"/>
        <v>0</v>
      </c>
      <c r="BY412" s="824">
        <f t="shared" ca="1" si="321"/>
        <v>0</v>
      </c>
      <c r="BZ412" s="824">
        <f t="shared" ca="1" si="321"/>
        <v>0</v>
      </c>
      <c r="CA412" s="824">
        <f t="shared" ca="1" si="321"/>
        <v>0</v>
      </c>
      <c r="CB412" s="824">
        <f t="shared" ca="1" si="321"/>
        <v>0</v>
      </c>
      <c r="CC412" s="824">
        <f t="shared" ca="1" si="321"/>
        <v>0</v>
      </c>
      <c r="CD412" s="824">
        <f t="shared" ca="1" si="321"/>
        <v>0</v>
      </c>
      <c r="CE412" s="824">
        <f t="shared" ca="1" si="320"/>
        <v>0</v>
      </c>
      <c r="CF412" s="824">
        <f t="shared" ca="1" si="320"/>
        <v>0</v>
      </c>
      <c r="CG412" s="824">
        <f t="shared" ca="1" si="320"/>
        <v>0</v>
      </c>
      <c r="CH412" s="824">
        <f t="shared" ca="1" si="320"/>
        <v>0</v>
      </c>
      <c r="CI412" s="824">
        <f t="shared" ca="1" si="320"/>
        <v>0</v>
      </c>
      <c r="CJ412" s="824">
        <f t="shared" ca="1" si="320"/>
        <v>0</v>
      </c>
      <c r="CK412" s="824">
        <f t="shared" ca="1" si="320"/>
        <v>0</v>
      </c>
      <c r="CL412" s="824">
        <f t="shared" ca="1" si="320"/>
        <v>0</v>
      </c>
      <c r="CM412" s="824">
        <f t="shared" ca="1" si="320"/>
        <v>0</v>
      </c>
      <c r="CN412" s="824">
        <f t="shared" ca="1" si="320"/>
        <v>0</v>
      </c>
      <c r="CO412" s="824">
        <f t="shared" ca="1" si="320"/>
        <v>0</v>
      </c>
      <c r="CP412" s="824">
        <f t="shared" ca="1" si="320"/>
        <v>0</v>
      </c>
      <c r="CQ412" s="824">
        <f t="shared" ca="1" si="320"/>
        <v>0</v>
      </c>
      <c r="CR412" s="824">
        <f t="shared" ca="1" si="320"/>
        <v>0</v>
      </c>
      <c r="CS412" s="824">
        <f t="shared" ca="1" si="320"/>
        <v>0</v>
      </c>
      <c r="CT412" s="824">
        <f t="shared" ca="1" si="311"/>
        <v>0</v>
      </c>
      <c r="CU412" s="824">
        <f t="shared" ca="1" si="311"/>
        <v>0</v>
      </c>
      <c r="CV412" s="824">
        <f t="shared" ca="1" si="311"/>
        <v>0</v>
      </c>
      <c r="CW412" s="824">
        <f t="shared" ca="1" si="311"/>
        <v>0</v>
      </c>
      <c r="CX412" s="824">
        <f t="shared" ca="1" si="311"/>
        <v>0</v>
      </c>
      <c r="CY412" s="824">
        <f t="shared" ca="1" si="311"/>
        <v>0</v>
      </c>
      <c r="CZ412" s="824">
        <f t="shared" ca="1" si="311"/>
        <v>0</v>
      </c>
      <c r="DA412" s="824">
        <f t="shared" ca="1" si="311"/>
        <v>0</v>
      </c>
      <c r="DB412" s="824">
        <f t="shared" ca="1" si="311"/>
        <v>0</v>
      </c>
      <c r="DC412" s="824">
        <f t="shared" ca="1" si="311"/>
        <v>0</v>
      </c>
      <c r="DD412" s="824">
        <f t="shared" ca="1" si="311"/>
        <v>0</v>
      </c>
      <c r="DE412" s="824">
        <f t="shared" ca="1" si="311"/>
        <v>0</v>
      </c>
      <c r="DF412" s="824">
        <f t="shared" ca="1" si="311"/>
        <v>0</v>
      </c>
      <c r="DG412" s="824">
        <f t="shared" ca="1" si="314"/>
        <v>0</v>
      </c>
      <c r="DH412" s="824">
        <f t="shared" ca="1" si="314"/>
        <v>0</v>
      </c>
      <c r="DI412" s="824">
        <f t="shared" ca="1" si="314"/>
        <v>0</v>
      </c>
      <c r="DJ412" s="824">
        <f t="shared" ca="1" si="314"/>
        <v>0</v>
      </c>
      <c r="DK412" s="824">
        <f t="shared" ca="1" si="313"/>
        <v>0</v>
      </c>
      <c r="DL412" s="824">
        <f t="shared" ca="1" si="313"/>
        <v>0</v>
      </c>
    </row>
    <row r="413" spans="2:116" ht="12" thickBot="1" x14ac:dyDescent="0.3">
      <c r="B413" s="1673"/>
      <c r="C413" s="1680"/>
      <c r="D413" s="15" t="s">
        <v>264</v>
      </c>
      <c r="E413" s="116"/>
      <c r="F413" s="116">
        <f ca="1">SUBTOTAL(109,'3.2 I&amp;W'!$X$106)</f>
        <v>0</v>
      </c>
      <c r="G413" s="116">
        <f ca="1">SUBTOTAL(109,'3.2 I&amp;W'!$Y$106)</f>
        <v>0</v>
      </c>
      <c r="H413" s="116">
        <f ca="1">SUBTOTAL(109,'3.2 I&amp;W'!$AD$106)</f>
        <v>0</v>
      </c>
      <c r="I413" s="116">
        <f ca="1">SUBTOTAL(109,'3.2 I&amp;W'!$AE$106)</f>
        <v>0</v>
      </c>
      <c r="J413" s="116"/>
      <c r="K413" s="116"/>
      <c r="L413" s="116"/>
      <c r="M413" s="116">
        <f ca="1">SUBTOTAL(109,'3.2 I&amp;W'!$AI$106)</f>
        <v>0</v>
      </c>
      <c r="N413" s="156">
        <f t="shared" ca="1" si="262"/>
        <v>0</v>
      </c>
      <c r="O413" s="116">
        <f ca="1">SUBTOTAL(109,'3.2 I&amp;W'!$S$106)</f>
        <v>0</v>
      </c>
      <c r="P413" s="30">
        <f t="shared" ca="1" si="302"/>
        <v>0</v>
      </c>
      <c r="Q413" s="31">
        <f t="shared" ca="1" si="303"/>
        <v>0</v>
      </c>
      <c r="R413" s="31">
        <f t="shared" ca="1" si="304"/>
        <v>0</v>
      </c>
      <c r="S413" s="31">
        <f t="shared" ca="1" si="305"/>
        <v>0</v>
      </c>
      <c r="T413" s="32">
        <f t="shared" ca="1" si="306"/>
        <v>0</v>
      </c>
      <c r="U413" s="37">
        <f t="shared" ca="1" si="263"/>
        <v>0</v>
      </c>
      <c r="V413" s="40">
        <f t="shared" ca="1" si="315"/>
        <v>0</v>
      </c>
      <c r="W413" s="41">
        <f t="shared" ca="1" si="316"/>
        <v>0</v>
      </c>
      <c r="X413" s="43"/>
      <c r="Y413" s="46"/>
      <c r="Z413" s="126"/>
      <c r="AA413" s="136"/>
      <c r="AB413" s="83">
        <v>36</v>
      </c>
      <c r="AC413" s="84">
        <f ca="1">IF(AF412&lt;=1,0,'3.2 Fi&amp;Fo'!$I$25)</f>
        <v>0</v>
      </c>
      <c r="AD413" s="72">
        <f ca="1">IF(AF412&lt;=1,0,AF412*'3.2 Fi&amp;Fo'!$H$25)</f>
        <v>0</v>
      </c>
      <c r="AE413" s="78">
        <f t="shared" ca="1" si="307"/>
        <v>0</v>
      </c>
      <c r="AF413" s="85">
        <f t="shared" ca="1" si="308"/>
        <v>5.6024873629212379E-10</v>
      </c>
      <c r="AG413" s="168" t="b">
        <f>IF(AJ412&lt;=1,0,IF(AB413&lt;='3.2 Fi&amp;Fo'!$F$34,'3.2 Fi&amp;Fo'!$J$34,IF(AB413&lt;='3.2 Fi&amp;Fo'!$F$35,'3.2 Fi&amp;Fo'!$J$35,IF(AB413&lt;='3.2 Fi&amp;Fo'!$F$36,'3.2 Fi&amp;Fo'!$J$36,IF(AB413&lt;='3.2 Fi&amp;Fo'!$F$37,'3.2 Fi&amp;Fo'!$J$37,IF(AB413&lt;='3.2 Fi&amp;Fo'!$F$38,'3.2 Fi&amp;Fo'!$J$38,IF(AB413&lt;='3.2 Fi&amp;Fo'!$F$39,'3.2 Fi&amp;Fo'!$J$39,IF(AB413&lt;='3.2 Fi&amp;Fo'!$F$40,'3.2 Fi&amp;Fo'!$J$40))))))))</f>
        <v>0</v>
      </c>
      <c r="AH413" s="207">
        <f>IF(AJ412&lt;=1,0,AJ412*IF(AB413&lt;='3.2 Fi&amp;Fo'!$F$34,'3.2 Fi&amp;Fo'!$I$34,IF(AB413&lt;='3.2 Fi&amp;Fo'!$F$35,'3.2 Fi&amp;Fo'!$I$35,IF(AB413&lt;='3.2 Fi&amp;Fo'!$F$36,'3.2 Fi&amp;Fo'!$I$36,IF(AB413&lt;='3.2 Fi&amp;Fo'!$F$39,'3.2 Fi&amp;Fo'!$I$39,IF(AB413&lt;='3.2 Fi&amp;Fo'!$F$40,'3.2 Fi&amp;Fo'!$I$40))))))</f>
        <v>0</v>
      </c>
      <c r="AI413" s="210">
        <f t="shared" si="322"/>
        <v>0</v>
      </c>
      <c r="AJ413" s="209">
        <f t="shared" si="309"/>
        <v>1981583.9767358366</v>
      </c>
      <c r="AK413" s="312">
        <f t="shared" ca="1" si="323"/>
        <v>0</v>
      </c>
      <c r="AL413" s="169">
        <f>IF(AB413&lt;='3.2 Fi&amp;Fo'!$J$15,'3.2 Fi&amp;Fo'!$I$15,0)</f>
        <v>0</v>
      </c>
      <c r="AM413" s="169">
        <f t="shared" si="324"/>
        <v>0</v>
      </c>
      <c r="AN413" s="838" t="str">
        <f t="shared" si="287"/>
        <v/>
      </c>
      <c r="AO413" s="844">
        <f t="shared" ca="1" si="271"/>
        <v>0</v>
      </c>
      <c r="AP413" s="839">
        <f ca="1">CX482</f>
        <v>0</v>
      </c>
      <c r="AQ413" s="844">
        <f t="shared" si="272"/>
        <v>0</v>
      </c>
      <c r="AR413" s="839" t="str">
        <f t="shared" si="288"/>
        <v/>
      </c>
      <c r="AS413" s="839">
        <f t="shared" si="283"/>
        <v>0</v>
      </c>
      <c r="AT413" s="839">
        <f t="shared" si="284"/>
        <v>0</v>
      </c>
      <c r="AU413" s="839">
        <f>'PV-Einspeisung'!AA118*-1</f>
        <v>0</v>
      </c>
      <c r="AV413" s="839">
        <f>'PV-Einspeisung'!AE118*-1</f>
        <v>0</v>
      </c>
      <c r="AW413" s="839"/>
      <c r="AX413" s="839" t="str">
        <f t="shared" si="289"/>
        <v/>
      </c>
      <c r="AY413" s="841" t="str">
        <f t="shared" si="273"/>
        <v/>
      </c>
      <c r="AZ413" s="842" t="str">
        <f t="shared" si="290"/>
        <v/>
      </c>
      <c r="BA413" s="842" t="str">
        <f t="shared" si="291"/>
        <v/>
      </c>
      <c r="BB413" s="842" t="str">
        <f t="shared" si="292"/>
        <v/>
      </c>
      <c r="BC413" s="842" t="str">
        <f t="shared" si="293"/>
        <v/>
      </c>
      <c r="BD413" s="842" t="str">
        <f t="shared" si="294"/>
        <v/>
      </c>
      <c r="BE413" s="842" t="str">
        <f t="shared" si="295"/>
        <v/>
      </c>
      <c r="BF413" s="842" t="str">
        <f t="shared" si="296"/>
        <v/>
      </c>
      <c r="BG413" s="842" t="str">
        <f t="shared" si="297"/>
        <v/>
      </c>
      <c r="BH413" s="858" t="str">
        <f t="shared" si="281"/>
        <v/>
      </c>
      <c r="BI413" s="857" t="str">
        <f t="shared" si="298"/>
        <v/>
      </c>
      <c r="BJ413" s="857" t="str">
        <f t="shared" si="299"/>
        <v/>
      </c>
      <c r="BK413" s="859">
        <f>'PV-Einspeisung'!AB118*-1</f>
        <v>0</v>
      </c>
      <c r="BL413" s="824">
        <f t="shared" ca="1" si="317"/>
        <v>0</v>
      </c>
      <c r="BM413" s="824">
        <f t="shared" ca="1" si="318"/>
        <v>0</v>
      </c>
      <c r="BN413" s="824">
        <f t="shared" ca="1" si="319"/>
        <v>0</v>
      </c>
      <c r="BO413" s="824">
        <f t="shared" ca="1" si="321"/>
        <v>0</v>
      </c>
      <c r="BP413" s="824">
        <f t="shared" ca="1" si="321"/>
        <v>0</v>
      </c>
      <c r="BQ413" s="824">
        <f t="shared" ca="1" si="321"/>
        <v>0</v>
      </c>
      <c r="BR413" s="824">
        <f t="shared" ca="1" si="321"/>
        <v>0</v>
      </c>
      <c r="BS413" s="824">
        <f t="shared" ca="1" si="321"/>
        <v>0</v>
      </c>
      <c r="BT413" s="824">
        <f t="shared" ca="1" si="321"/>
        <v>0</v>
      </c>
      <c r="BU413" s="824">
        <f t="shared" ca="1" si="321"/>
        <v>0</v>
      </c>
      <c r="BV413" s="824">
        <f t="shared" ca="1" si="321"/>
        <v>0</v>
      </c>
      <c r="BW413" s="824">
        <f t="shared" ca="1" si="321"/>
        <v>0</v>
      </c>
      <c r="BX413" s="824">
        <f t="shared" ca="1" si="321"/>
        <v>0</v>
      </c>
      <c r="BY413" s="824">
        <f t="shared" ca="1" si="321"/>
        <v>0</v>
      </c>
      <c r="BZ413" s="824">
        <f t="shared" ca="1" si="321"/>
        <v>0</v>
      </c>
      <c r="CA413" s="824">
        <f t="shared" ca="1" si="321"/>
        <v>0</v>
      </c>
      <c r="CB413" s="824">
        <f t="shared" ca="1" si="321"/>
        <v>0</v>
      </c>
      <c r="CC413" s="824">
        <f t="shared" ca="1" si="321"/>
        <v>0</v>
      </c>
      <c r="CD413" s="824">
        <f t="shared" ca="1" si="321"/>
        <v>0</v>
      </c>
      <c r="CE413" s="824">
        <f t="shared" ca="1" si="320"/>
        <v>0</v>
      </c>
      <c r="CF413" s="824">
        <f t="shared" ca="1" si="320"/>
        <v>0</v>
      </c>
      <c r="CG413" s="824">
        <f t="shared" ca="1" si="320"/>
        <v>0</v>
      </c>
      <c r="CH413" s="824">
        <f t="shared" ca="1" si="320"/>
        <v>0</v>
      </c>
      <c r="CI413" s="824">
        <f t="shared" ca="1" si="320"/>
        <v>0</v>
      </c>
      <c r="CJ413" s="824">
        <f t="shared" ca="1" si="320"/>
        <v>0</v>
      </c>
      <c r="CK413" s="824">
        <f t="shared" ca="1" si="320"/>
        <v>0</v>
      </c>
      <c r="CL413" s="824">
        <f t="shared" ca="1" si="320"/>
        <v>0</v>
      </c>
      <c r="CM413" s="824">
        <f t="shared" ca="1" si="320"/>
        <v>0</v>
      </c>
      <c r="CN413" s="824">
        <f t="shared" ca="1" si="320"/>
        <v>0</v>
      </c>
      <c r="CO413" s="824">
        <f t="shared" ca="1" si="320"/>
        <v>0</v>
      </c>
      <c r="CP413" s="824">
        <f t="shared" ca="1" si="320"/>
        <v>0</v>
      </c>
      <c r="CQ413" s="824">
        <f t="shared" ca="1" si="320"/>
        <v>0</v>
      </c>
      <c r="CR413" s="824">
        <f t="shared" ca="1" si="320"/>
        <v>0</v>
      </c>
      <c r="CS413" s="824">
        <f t="shared" ca="1" si="320"/>
        <v>0</v>
      </c>
      <c r="CT413" s="824">
        <f t="shared" ca="1" si="311"/>
        <v>0</v>
      </c>
      <c r="CU413" s="824">
        <f t="shared" ca="1" si="311"/>
        <v>0</v>
      </c>
      <c r="CV413" s="824">
        <f t="shared" ca="1" si="311"/>
        <v>0</v>
      </c>
      <c r="CW413" s="824">
        <f t="shared" ca="1" si="311"/>
        <v>0</v>
      </c>
      <c r="CX413" s="824">
        <f t="shared" ca="1" si="311"/>
        <v>0</v>
      </c>
      <c r="CY413" s="824">
        <f t="shared" ca="1" si="311"/>
        <v>0</v>
      </c>
      <c r="CZ413" s="824">
        <f t="shared" ca="1" si="311"/>
        <v>0</v>
      </c>
      <c r="DA413" s="824">
        <f t="shared" ca="1" si="311"/>
        <v>0</v>
      </c>
      <c r="DB413" s="824">
        <f t="shared" ca="1" si="311"/>
        <v>0</v>
      </c>
      <c r="DC413" s="824">
        <f t="shared" ca="1" si="311"/>
        <v>0</v>
      </c>
      <c r="DD413" s="824">
        <f t="shared" ca="1" si="311"/>
        <v>0</v>
      </c>
      <c r="DE413" s="824">
        <f t="shared" ca="1" si="311"/>
        <v>0</v>
      </c>
      <c r="DF413" s="824">
        <f t="shared" ca="1" si="311"/>
        <v>0</v>
      </c>
      <c r="DG413" s="824">
        <f t="shared" ca="1" si="314"/>
        <v>0</v>
      </c>
      <c r="DH413" s="824">
        <f t="shared" ca="1" si="314"/>
        <v>0</v>
      </c>
      <c r="DI413" s="824">
        <f t="shared" ca="1" si="314"/>
        <v>0</v>
      </c>
      <c r="DJ413" s="824">
        <f t="shared" ca="1" si="314"/>
        <v>0</v>
      </c>
      <c r="DK413" s="824">
        <f t="shared" ca="1" si="313"/>
        <v>0</v>
      </c>
      <c r="DL413" s="824">
        <f t="shared" ca="1" si="313"/>
        <v>0</v>
      </c>
    </row>
    <row r="414" spans="2:116" ht="12" thickBot="1" x14ac:dyDescent="0.3">
      <c r="B414" s="1673"/>
      <c r="C414" s="1680"/>
      <c r="D414" s="15" t="s">
        <v>264</v>
      </c>
      <c r="E414" s="165"/>
      <c r="F414" s="116">
        <f ca="1">SUBTOTAL(109,'3.2 I&amp;W'!$X$107)</f>
        <v>0</v>
      </c>
      <c r="G414" s="116">
        <f ca="1">SUBTOTAL(109,'3.2 I&amp;W'!$Y$107)</f>
        <v>0</v>
      </c>
      <c r="H414" s="116">
        <f ca="1">SUBTOTAL(109,'3.2 I&amp;W'!$AD$107)</f>
        <v>0</v>
      </c>
      <c r="I414" s="116">
        <f ca="1">SUBTOTAL(109,'3.2 I&amp;W'!$AE$107)</f>
        <v>0</v>
      </c>
      <c r="J414" s="116"/>
      <c r="K414" s="116"/>
      <c r="L414" s="116"/>
      <c r="M414" s="116">
        <f ca="1">SUBTOTAL(109,'3.2 I&amp;W'!$AI$107)</f>
        <v>0</v>
      </c>
      <c r="N414" s="156">
        <f t="shared" ca="1" si="262"/>
        <v>0</v>
      </c>
      <c r="O414" s="116">
        <f ca="1">SUBTOTAL(109,'3.2 I&amp;W'!$S$107)</f>
        <v>0</v>
      </c>
      <c r="P414" s="30">
        <f t="shared" ca="1" si="302"/>
        <v>0</v>
      </c>
      <c r="Q414" s="31">
        <f t="shared" ca="1" si="303"/>
        <v>0</v>
      </c>
      <c r="R414" s="31">
        <f t="shared" ca="1" si="304"/>
        <v>0</v>
      </c>
      <c r="S414" s="31">
        <f t="shared" ca="1" si="305"/>
        <v>0</v>
      </c>
      <c r="T414" s="32">
        <f t="shared" ca="1" si="306"/>
        <v>0</v>
      </c>
      <c r="U414" s="37">
        <f t="shared" ca="1" si="263"/>
        <v>0</v>
      </c>
      <c r="V414" s="40">
        <f t="shared" ca="1" si="315"/>
        <v>0</v>
      </c>
      <c r="W414" s="41">
        <f t="shared" ca="1" si="316"/>
        <v>0</v>
      </c>
      <c r="X414" s="43"/>
      <c r="Y414" s="46"/>
      <c r="Z414" s="126"/>
      <c r="AA414" s="136"/>
      <c r="AB414" s="83">
        <v>37</v>
      </c>
      <c r="AC414" s="84">
        <f ca="1">IF(AF413&lt;=1,0,'3.2 Fi&amp;Fo'!$I$25)</f>
        <v>0</v>
      </c>
      <c r="AD414" s="72">
        <f ca="1">IF(AF413&lt;=1,0,AF413*'3.2 Fi&amp;Fo'!$H$25)</f>
        <v>0</v>
      </c>
      <c r="AE414" s="78">
        <f t="shared" ca="1" si="307"/>
        <v>0</v>
      </c>
      <c r="AF414" s="85">
        <f t="shared" ca="1" si="308"/>
        <v>5.6024873629212379E-10</v>
      </c>
      <c r="AG414" s="168" t="b">
        <f>IF(AJ413&lt;=1,0,IF(AB414&lt;='3.2 Fi&amp;Fo'!$F$34,'3.2 Fi&amp;Fo'!$J$34,IF(AB414&lt;='3.2 Fi&amp;Fo'!$F$35,'3.2 Fi&amp;Fo'!$J$35,IF(AB414&lt;='3.2 Fi&amp;Fo'!$F$36,'3.2 Fi&amp;Fo'!$J$36,IF(AB414&lt;='3.2 Fi&amp;Fo'!$F$37,'3.2 Fi&amp;Fo'!$J$37,IF(AB414&lt;='3.2 Fi&amp;Fo'!$F$38,'3.2 Fi&amp;Fo'!$J$38,IF(AB414&lt;='3.2 Fi&amp;Fo'!$F$39,'3.2 Fi&amp;Fo'!$J$39,IF(AB414&lt;='3.2 Fi&amp;Fo'!$F$40,'3.2 Fi&amp;Fo'!$J$40))))))))</f>
        <v>0</v>
      </c>
      <c r="AH414" s="207">
        <f>IF(AJ413&lt;=1,0,AJ413*IF(AB414&lt;='3.2 Fi&amp;Fo'!$F$34,'3.2 Fi&amp;Fo'!$I$34,IF(AB414&lt;='3.2 Fi&amp;Fo'!$F$35,'3.2 Fi&amp;Fo'!$I$35,IF(AB414&lt;='3.2 Fi&amp;Fo'!$F$36,'3.2 Fi&amp;Fo'!$I$36,IF(AB414&lt;='3.2 Fi&amp;Fo'!$F$39,'3.2 Fi&amp;Fo'!$I$39,IF(AB414&lt;='3.2 Fi&amp;Fo'!$F$40,'3.2 Fi&amp;Fo'!$I$40))))))</f>
        <v>0</v>
      </c>
      <c r="AI414" s="210">
        <f t="shared" si="322"/>
        <v>0</v>
      </c>
      <c r="AJ414" s="209">
        <f t="shared" si="309"/>
        <v>1981583.9767358366</v>
      </c>
      <c r="AK414" s="312">
        <f t="shared" ca="1" si="323"/>
        <v>0</v>
      </c>
      <c r="AL414" s="169">
        <f>IF(AB414&lt;='3.2 Fi&amp;Fo'!$J$15,'3.2 Fi&amp;Fo'!$I$15,0)</f>
        <v>0</v>
      </c>
      <c r="AM414" s="169">
        <f t="shared" si="324"/>
        <v>0</v>
      </c>
      <c r="AN414" s="838" t="str">
        <f t="shared" si="287"/>
        <v/>
      </c>
      <c r="AO414" s="844">
        <f t="shared" ca="1" si="271"/>
        <v>0</v>
      </c>
      <c r="AP414" s="839">
        <f ca="1">CY482</f>
        <v>0</v>
      </c>
      <c r="AQ414" s="844">
        <f t="shared" si="272"/>
        <v>0</v>
      </c>
      <c r="AR414" s="839" t="str">
        <f t="shared" si="288"/>
        <v/>
      </c>
      <c r="AS414" s="839">
        <f t="shared" si="283"/>
        <v>0</v>
      </c>
      <c r="AT414" s="839">
        <f t="shared" si="284"/>
        <v>0</v>
      </c>
      <c r="AU414" s="839">
        <f>'PV-Einspeisung'!AA119*-1</f>
        <v>0</v>
      </c>
      <c r="AV414" s="839">
        <f>'PV-Einspeisung'!AE119*-1</f>
        <v>0</v>
      </c>
      <c r="AW414" s="839"/>
      <c r="AX414" s="839" t="str">
        <f t="shared" si="289"/>
        <v/>
      </c>
      <c r="AY414" s="841" t="str">
        <f t="shared" si="273"/>
        <v/>
      </c>
      <c r="AZ414" s="842" t="str">
        <f t="shared" si="290"/>
        <v/>
      </c>
      <c r="BA414" s="842" t="str">
        <f t="shared" si="291"/>
        <v/>
      </c>
      <c r="BB414" s="842" t="str">
        <f t="shared" si="292"/>
        <v/>
      </c>
      <c r="BC414" s="842" t="str">
        <f t="shared" si="293"/>
        <v/>
      </c>
      <c r="BD414" s="842" t="str">
        <f t="shared" si="294"/>
        <v/>
      </c>
      <c r="BE414" s="842" t="str">
        <f t="shared" si="295"/>
        <v/>
      </c>
      <c r="BF414" s="842" t="str">
        <f t="shared" si="296"/>
        <v/>
      </c>
      <c r="BG414" s="842" t="str">
        <f t="shared" si="297"/>
        <v/>
      </c>
      <c r="BH414" s="858" t="str">
        <f t="shared" si="281"/>
        <v/>
      </c>
      <c r="BI414" s="857" t="str">
        <f t="shared" si="298"/>
        <v/>
      </c>
      <c r="BJ414" s="857" t="str">
        <f t="shared" si="299"/>
        <v/>
      </c>
      <c r="BK414" s="859">
        <f>'PV-Einspeisung'!AB119*-1</f>
        <v>0</v>
      </c>
      <c r="BL414" s="824">
        <f t="shared" ca="1" si="317"/>
        <v>0</v>
      </c>
      <c r="BM414" s="824">
        <f t="shared" ca="1" si="318"/>
        <v>0</v>
      </c>
      <c r="BN414" s="824">
        <f t="shared" ca="1" si="319"/>
        <v>0</v>
      </c>
      <c r="BO414" s="824">
        <f t="shared" ca="1" si="321"/>
        <v>0</v>
      </c>
      <c r="BP414" s="824">
        <f t="shared" ca="1" si="321"/>
        <v>0</v>
      </c>
      <c r="BQ414" s="824">
        <f t="shared" ca="1" si="321"/>
        <v>0</v>
      </c>
      <c r="BR414" s="824">
        <f t="shared" ca="1" si="321"/>
        <v>0</v>
      </c>
      <c r="BS414" s="824">
        <f t="shared" ca="1" si="321"/>
        <v>0</v>
      </c>
      <c r="BT414" s="824">
        <f t="shared" ca="1" si="321"/>
        <v>0</v>
      </c>
      <c r="BU414" s="824">
        <f t="shared" ca="1" si="321"/>
        <v>0</v>
      </c>
      <c r="BV414" s="824">
        <f t="shared" ca="1" si="321"/>
        <v>0</v>
      </c>
      <c r="BW414" s="824">
        <f t="shared" ca="1" si="321"/>
        <v>0</v>
      </c>
      <c r="BX414" s="824">
        <f t="shared" ca="1" si="321"/>
        <v>0</v>
      </c>
      <c r="BY414" s="824">
        <f t="shared" ca="1" si="321"/>
        <v>0</v>
      </c>
      <c r="BZ414" s="824">
        <f t="shared" ca="1" si="321"/>
        <v>0</v>
      </c>
      <c r="CA414" s="824">
        <f t="shared" ca="1" si="321"/>
        <v>0</v>
      </c>
      <c r="CB414" s="824">
        <f t="shared" ca="1" si="321"/>
        <v>0</v>
      </c>
      <c r="CC414" s="824">
        <f t="shared" ca="1" si="321"/>
        <v>0</v>
      </c>
      <c r="CD414" s="824">
        <f t="shared" ca="1" si="321"/>
        <v>0</v>
      </c>
      <c r="CE414" s="824">
        <f t="shared" ca="1" si="320"/>
        <v>0</v>
      </c>
      <c r="CF414" s="824">
        <f t="shared" ca="1" si="320"/>
        <v>0</v>
      </c>
      <c r="CG414" s="824">
        <f t="shared" ca="1" si="320"/>
        <v>0</v>
      </c>
      <c r="CH414" s="824">
        <f t="shared" ca="1" si="320"/>
        <v>0</v>
      </c>
      <c r="CI414" s="824">
        <f t="shared" ca="1" si="320"/>
        <v>0</v>
      </c>
      <c r="CJ414" s="824">
        <f t="shared" ca="1" si="320"/>
        <v>0</v>
      </c>
      <c r="CK414" s="824">
        <f t="shared" ca="1" si="320"/>
        <v>0</v>
      </c>
      <c r="CL414" s="824">
        <f t="shared" ca="1" si="320"/>
        <v>0</v>
      </c>
      <c r="CM414" s="824">
        <f t="shared" ca="1" si="320"/>
        <v>0</v>
      </c>
      <c r="CN414" s="824">
        <f t="shared" ca="1" si="320"/>
        <v>0</v>
      </c>
      <c r="CO414" s="824">
        <f t="shared" ca="1" si="320"/>
        <v>0</v>
      </c>
      <c r="CP414" s="824">
        <f t="shared" ca="1" si="320"/>
        <v>0</v>
      </c>
      <c r="CQ414" s="824">
        <f t="shared" ca="1" si="320"/>
        <v>0</v>
      </c>
      <c r="CR414" s="824">
        <f t="shared" ca="1" si="320"/>
        <v>0</v>
      </c>
      <c r="CS414" s="824">
        <f t="shared" ca="1" si="320"/>
        <v>0</v>
      </c>
      <c r="CT414" s="824">
        <f t="shared" ca="1" si="311"/>
        <v>0</v>
      </c>
      <c r="CU414" s="824">
        <f t="shared" ca="1" si="311"/>
        <v>0</v>
      </c>
      <c r="CV414" s="824">
        <f t="shared" ca="1" si="311"/>
        <v>0</v>
      </c>
      <c r="CW414" s="824">
        <f t="shared" ca="1" si="311"/>
        <v>0</v>
      </c>
      <c r="CX414" s="824">
        <f t="shared" ca="1" si="311"/>
        <v>0</v>
      </c>
      <c r="CY414" s="824">
        <f t="shared" ca="1" si="311"/>
        <v>0</v>
      </c>
      <c r="CZ414" s="824">
        <f t="shared" ca="1" si="311"/>
        <v>0</v>
      </c>
      <c r="DA414" s="824">
        <f t="shared" ca="1" si="311"/>
        <v>0</v>
      </c>
      <c r="DB414" s="824">
        <f t="shared" ca="1" si="311"/>
        <v>0</v>
      </c>
      <c r="DC414" s="824">
        <f t="shared" ca="1" si="311"/>
        <v>0</v>
      </c>
      <c r="DD414" s="824">
        <f t="shared" ca="1" si="311"/>
        <v>0</v>
      </c>
      <c r="DE414" s="824">
        <f t="shared" ca="1" si="311"/>
        <v>0</v>
      </c>
      <c r="DF414" s="824">
        <f t="shared" ca="1" si="311"/>
        <v>0</v>
      </c>
      <c r="DG414" s="824">
        <f t="shared" ca="1" si="314"/>
        <v>0</v>
      </c>
      <c r="DH414" s="824">
        <f t="shared" ca="1" si="314"/>
        <v>0</v>
      </c>
      <c r="DI414" s="824">
        <f t="shared" ca="1" si="314"/>
        <v>0</v>
      </c>
      <c r="DJ414" s="824">
        <f t="shared" ca="1" si="314"/>
        <v>0</v>
      </c>
      <c r="DK414" s="824">
        <f t="shared" ca="1" si="313"/>
        <v>0</v>
      </c>
      <c r="DL414" s="824">
        <f t="shared" ca="1" si="313"/>
        <v>0</v>
      </c>
    </row>
    <row r="415" spans="2:116" ht="12" thickBot="1" x14ac:dyDescent="0.3">
      <c r="B415" s="1673"/>
      <c r="C415" s="1680"/>
      <c r="D415" s="15" t="s">
        <v>264</v>
      </c>
      <c r="E415" s="116"/>
      <c r="F415" s="116">
        <f ca="1">SUBTOTAL(109,'3.2 I&amp;W'!$X$108)</f>
        <v>0</v>
      </c>
      <c r="G415" s="116">
        <f ca="1">SUBTOTAL(109,'3.2 I&amp;W'!$Y$108)</f>
        <v>0</v>
      </c>
      <c r="H415" s="116">
        <f ca="1">SUBTOTAL(109,'3.2 I&amp;W'!$AD$108)</f>
        <v>0</v>
      </c>
      <c r="I415" s="116">
        <f ca="1">SUBTOTAL(109,'3.2 I&amp;W'!$AE$108)</f>
        <v>0</v>
      </c>
      <c r="J415" s="116"/>
      <c r="K415" s="116"/>
      <c r="L415" s="116"/>
      <c r="M415" s="116">
        <f ca="1">SUBTOTAL(109,'3.2 I&amp;W'!$AI$108)</f>
        <v>0</v>
      </c>
      <c r="N415" s="156">
        <f t="shared" ca="1" si="262"/>
        <v>0</v>
      </c>
      <c r="O415" s="116">
        <f ca="1">SUBTOTAL(109,'3.2 I&amp;W'!$S$108)</f>
        <v>0</v>
      </c>
      <c r="P415" s="30">
        <f t="shared" ca="1" si="302"/>
        <v>0</v>
      </c>
      <c r="Q415" s="31">
        <f t="shared" ca="1" si="303"/>
        <v>0</v>
      </c>
      <c r="R415" s="31">
        <f t="shared" ca="1" si="304"/>
        <v>0</v>
      </c>
      <c r="S415" s="31">
        <f t="shared" ca="1" si="305"/>
        <v>0</v>
      </c>
      <c r="T415" s="32">
        <f t="shared" ca="1" si="306"/>
        <v>0</v>
      </c>
      <c r="U415" s="37">
        <f t="shared" ca="1" si="263"/>
        <v>0</v>
      </c>
      <c r="V415" s="40">
        <f t="shared" ca="1" si="315"/>
        <v>0</v>
      </c>
      <c r="W415" s="41">
        <f t="shared" ca="1" si="316"/>
        <v>0</v>
      </c>
      <c r="X415" s="43"/>
      <c r="Y415" s="46"/>
      <c r="Z415" s="126"/>
      <c r="AA415" s="136"/>
      <c r="AB415" s="83">
        <v>38</v>
      </c>
      <c r="AC415" s="84">
        <f ca="1">IF(AF414&lt;=1,0,'3.2 Fi&amp;Fo'!$I$25)</f>
        <v>0</v>
      </c>
      <c r="AD415" s="72">
        <f ca="1">IF(AF414&lt;=1,0,AF414*'3.2 Fi&amp;Fo'!$H$25)</f>
        <v>0</v>
      </c>
      <c r="AE415" s="78">
        <f t="shared" ca="1" si="307"/>
        <v>0</v>
      </c>
      <c r="AF415" s="85">
        <f t="shared" ca="1" si="308"/>
        <v>5.6024873629212379E-10</v>
      </c>
      <c r="AG415" s="168" t="b">
        <f>IF(AJ414&lt;=1,0,IF(AB415&lt;='3.2 Fi&amp;Fo'!$F$34,'3.2 Fi&amp;Fo'!$J$34,IF(AB415&lt;='3.2 Fi&amp;Fo'!$F$35,'3.2 Fi&amp;Fo'!$J$35,IF(AB415&lt;='3.2 Fi&amp;Fo'!$F$36,'3.2 Fi&amp;Fo'!$J$36,IF(AB415&lt;='3.2 Fi&amp;Fo'!$F$37,'3.2 Fi&amp;Fo'!$J$37,IF(AB415&lt;='3.2 Fi&amp;Fo'!$F$38,'3.2 Fi&amp;Fo'!$J$38,IF(AB415&lt;='3.2 Fi&amp;Fo'!$F$39,'3.2 Fi&amp;Fo'!$J$39,IF(AB415&lt;='3.2 Fi&amp;Fo'!$F$40,'3.2 Fi&amp;Fo'!$J$40))))))))</f>
        <v>0</v>
      </c>
      <c r="AH415" s="207">
        <f>IF(AJ414&lt;=1,0,AJ414*IF(AB415&lt;='3.2 Fi&amp;Fo'!$F$34,'3.2 Fi&amp;Fo'!$I$34,IF(AB415&lt;='3.2 Fi&amp;Fo'!$F$35,'3.2 Fi&amp;Fo'!$I$35,IF(AB415&lt;='3.2 Fi&amp;Fo'!$F$36,'3.2 Fi&amp;Fo'!$I$36,IF(AB415&lt;='3.2 Fi&amp;Fo'!$F$39,'3.2 Fi&amp;Fo'!$I$39,IF(AB415&lt;='3.2 Fi&amp;Fo'!$F$40,'3.2 Fi&amp;Fo'!$I$40))))))</f>
        <v>0</v>
      </c>
      <c r="AI415" s="210">
        <f t="shared" si="322"/>
        <v>0</v>
      </c>
      <c r="AJ415" s="209">
        <f t="shared" si="309"/>
        <v>1981583.9767358366</v>
      </c>
      <c r="AK415" s="312">
        <f t="shared" ca="1" si="323"/>
        <v>0</v>
      </c>
      <c r="AL415" s="169">
        <f>IF(AB415&lt;='3.2 Fi&amp;Fo'!$J$15,'3.2 Fi&amp;Fo'!$I$15,0)</f>
        <v>0</v>
      </c>
      <c r="AM415" s="169">
        <f t="shared" si="324"/>
        <v>0</v>
      </c>
      <c r="AN415" s="838" t="str">
        <f t="shared" si="287"/>
        <v/>
      </c>
      <c r="AO415" s="844">
        <f t="shared" ca="1" si="271"/>
        <v>0</v>
      </c>
      <c r="AP415" s="839">
        <f ca="1">CZ482</f>
        <v>0</v>
      </c>
      <c r="AQ415" s="844">
        <f t="shared" si="272"/>
        <v>0</v>
      </c>
      <c r="AR415" s="839" t="str">
        <f t="shared" si="288"/>
        <v/>
      </c>
      <c r="AS415" s="839">
        <f t="shared" si="283"/>
        <v>0</v>
      </c>
      <c r="AT415" s="839">
        <f t="shared" si="284"/>
        <v>0</v>
      </c>
      <c r="AU415" s="839">
        <f>'PV-Einspeisung'!AA120*-1</f>
        <v>0</v>
      </c>
      <c r="AV415" s="839">
        <f>'PV-Einspeisung'!AE120*-1</f>
        <v>0</v>
      </c>
      <c r="AW415" s="839"/>
      <c r="AX415" s="839" t="str">
        <f t="shared" si="289"/>
        <v/>
      </c>
      <c r="AY415" s="841" t="str">
        <f t="shared" si="273"/>
        <v/>
      </c>
      <c r="AZ415" s="842" t="str">
        <f t="shared" si="290"/>
        <v/>
      </c>
      <c r="BA415" s="842" t="str">
        <f t="shared" si="291"/>
        <v/>
      </c>
      <c r="BB415" s="842" t="str">
        <f t="shared" si="292"/>
        <v/>
      </c>
      <c r="BC415" s="842" t="str">
        <f t="shared" si="293"/>
        <v/>
      </c>
      <c r="BD415" s="842" t="str">
        <f t="shared" si="294"/>
        <v/>
      </c>
      <c r="BE415" s="842" t="str">
        <f t="shared" si="295"/>
        <v/>
      </c>
      <c r="BF415" s="842" t="str">
        <f t="shared" si="296"/>
        <v/>
      </c>
      <c r="BG415" s="842" t="str">
        <f t="shared" si="297"/>
        <v/>
      </c>
      <c r="BH415" s="858" t="str">
        <f t="shared" si="281"/>
        <v/>
      </c>
      <c r="BI415" s="857" t="str">
        <f t="shared" si="298"/>
        <v/>
      </c>
      <c r="BJ415" s="857" t="str">
        <f t="shared" si="299"/>
        <v/>
      </c>
      <c r="BK415" s="859">
        <f>'PV-Einspeisung'!AB120*-1</f>
        <v>0</v>
      </c>
      <c r="BL415" s="824">
        <f t="shared" ca="1" si="317"/>
        <v>0</v>
      </c>
      <c r="BM415" s="824">
        <f t="shared" ca="1" si="318"/>
        <v>0</v>
      </c>
      <c r="BN415" s="824">
        <f t="shared" ca="1" si="319"/>
        <v>0</v>
      </c>
      <c r="BO415" s="824">
        <f t="shared" ca="1" si="321"/>
        <v>0</v>
      </c>
      <c r="BP415" s="824">
        <f t="shared" ca="1" si="321"/>
        <v>0</v>
      </c>
      <c r="BQ415" s="824">
        <f t="shared" ca="1" si="321"/>
        <v>0</v>
      </c>
      <c r="BR415" s="824">
        <f t="shared" ca="1" si="321"/>
        <v>0</v>
      </c>
      <c r="BS415" s="824">
        <f t="shared" ca="1" si="321"/>
        <v>0</v>
      </c>
      <c r="BT415" s="824">
        <f t="shared" ca="1" si="321"/>
        <v>0</v>
      </c>
      <c r="BU415" s="824">
        <f t="shared" ca="1" si="321"/>
        <v>0</v>
      </c>
      <c r="BV415" s="824">
        <f t="shared" ca="1" si="321"/>
        <v>0</v>
      </c>
      <c r="BW415" s="824">
        <f t="shared" ca="1" si="321"/>
        <v>0</v>
      </c>
      <c r="BX415" s="824">
        <f t="shared" ca="1" si="321"/>
        <v>0</v>
      </c>
      <c r="BY415" s="824">
        <f t="shared" ca="1" si="321"/>
        <v>0</v>
      </c>
      <c r="BZ415" s="824">
        <f t="shared" ca="1" si="321"/>
        <v>0</v>
      </c>
      <c r="CA415" s="824">
        <f t="shared" ca="1" si="321"/>
        <v>0</v>
      </c>
      <c r="CB415" s="824">
        <f t="shared" ca="1" si="321"/>
        <v>0</v>
      </c>
      <c r="CC415" s="824">
        <f t="shared" ca="1" si="321"/>
        <v>0</v>
      </c>
      <c r="CD415" s="824">
        <f t="shared" ca="1" si="321"/>
        <v>0</v>
      </c>
      <c r="CE415" s="824">
        <f t="shared" ca="1" si="320"/>
        <v>0</v>
      </c>
      <c r="CF415" s="824">
        <f t="shared" ca="1" si="320"/>
        <v>0</v>
      </c>
      <c r="CG415" s="824">
        <f t="shared" ca="1" si="320"/>
        <v>0</v>
      </c>
      <c r="CH415" s="824">
        <f t="shared" ca="1" si="320"/>
        <v>0</v>
      </c>
      <c r="CI415" s="824">
        <f t="shared" ca="1" si="320"/>
        <v>0</v>
      </c>
      <c r="CJ415" s="824">
        <f t="shared" ca="1" si="320"/>
        <v>0</v>
      </c>
      <c r="CK415" s="824">
        <f t="shared" ca="1" si="320"/>
        <v>0</v>
      </c>
      <c r="CL415" s="824">
        <f t="shared" ca="1" si="320"/>
        <v>0</v>
      </c>
      <c r="CM415" s="824">
        <f t="shared" ca="1" si="320"/>
        <v>0</v>
      </c>
      <c r="CN415" s="824">
        <f t="shared" ca="1" si="320"/>
        <v>0</v>
      </c>
      <c r="CO415" s="824">
        <f t="shared" ca="1" si="320"/>
        <v>0</v>
      </c>
      <c r="CP415" s="824">
        <f t="shared" ca="1" si="320"/>
        <v>0</v>
      </c>
      <c r="CQ415" s="824">
        <f t="shared" ca="1" si="320"/>
        <v>0</v>
      </c>
      <c r="CR415" s="824">
        <f t="shared" ca="1" si="320"/>
        <v>0</v>
      </c>
      <c r="CS415" s="824">
        <f t="shared" ca="1" si="320"/>
        <v>0</v>
      </c>
      <c r="CT415" s="824">
        <f t="shared" ca="1" si="311"/>
        <v>0</v>
      </c>
      <c r="CU415" s="824">
        <f t="shared" ca="1" si="311"/>
        <v>0</v>
      </c>
      <c r="CV415" s="824">
        <f t="shared" ca="1" si="311"/>
        <v>0</v>
      </c>
      <c r="CW415" s="824">
        <f t="shared" ca="1" si="311"/>
        <v>0</v>
      </c>
      <c r="CX415" s="824">
        <f t="shared" ca="1" si="311"/>
        <v>0</v>
      </c>
      <c r="CY415" s="824">
        <f t="shared" ca="1" si="311"/>
        <v>0</v>
      </c>
      <c r="CZ415" s="824">
        <f t="shared" ca="1" si="311"/>
        <v>0</v>
      </c>
      <c r="DA415" s="824">
        <f t="shared" ca="1" si="311"/>
        <v>0</v>
      </c>
      <c r="DB415" s="824">
        <f t="shared" ca="1" si="311"/>
        <v>0</v>
      </c>
      <c r="DC415" s="824">
        <f t="shared" ca="1" si="311"/>
        <v>0</v>
      </c>
      <c r="DD415" s="824">
        <f t="shared" ca="1" si="311"/>
        <v>0</v>
      </c>
      <c r="DE415" s="824">
        <f t="shared" ca="1" si="311"/>
        <v>0</v>
      </c>
      <c r="DF415" s="824">
        <f t="shared" ca="1" si="311"/>
        <v>0</v>
      </c>
      <c r="DG415" s="824">
        <f t="shared" ca="1" si="314"/>
        <v>0</v>
      </c>
      <c r="DH415" s="824">
        <f t="shared" ca="1" si="314"/>
        <v>0</v>
      </c>
      <c r="DI415" s="824">
        <f t="shared" ca="1" si="314"/>
        <v>0</v>
      </c>
      <c r="DJ415" s="824">
        <f t="shared" ca="1" si="314"/>
        <v>0</v>
      </c>
      <c r="DK415" s="824">
        <f t="shared" ca="1" si="313"/>
        <v>0</v>
      </c>
      <c r="DL415" s="824">
        <f t="shared" ca="1" si="313"/>
        <v>0</v>
      </c>
    </row>
    <row r="416" spans="2:116" ht="12" thickBot="1" x14ac:dyDescent="0.3">
      <c r="B416" s="1673"/>
      <c r="C416" s="1680"/>
      <c r="D416" s="15" t="s">
        <v>264</v>
      </c>
      <c r="E416" s="165"/>
      <c r="F416" s="116">
        <f ca="1">SUBTOTAL(109,'3.2 I&amp;W'!$X$109)</f>
        <v>0</v>
      </c>
      <c r="G416" s="116">
        <f ca="1">SUBTOTAL(109,'3.2 I&amp;W'!$Y$109)</f>
        <v>0</v>
      </c>
      <c r="H416" s="116">
        <f ca="1">SUBTOTAL(109,'3.2 I&amp;W'!$AD$109)</f>
        <v>0</v>
      </c>
      <c r="I416" s="116">
        <f ca="1">SUBTOTAL(109,'3.2 I&amp;W'!$AE$109)</f>
        <v>0</v>
      </c>
      <c r="J416" s="116"/>
      <c r="K416" s="116"/>
      <c r="L416" s="116"/>
      <c r="M416" s="116">
        <f ca="1">SUBTOTAL(109,'3.2 I&amp;W'!$AI$109)</f>
        <v>0</v>
      </c>
      <c r="N416" s="156">
        <f t="shared" ca="1" si="262"/>
        <v>0</v>
      </c>
      <c r="O416" s="116">
        <f ca="1">SUBTOTAL(109,'3.2 I&amp;W'!$S$109)</f>
        <v>0</v>
      </c>
      <c r="P416" s="30">
        <f t="shared" ca="1" si="302"/>
        <v>0</v>
      </c>
      <c r="Q416" s="31">
        <f t="shared" ca="1" si="303"/>
        <v>0</v>
      </c>
      <c r="R416" s="31">
        <f t="shared" ca="1" si="304"/>
        <v>0</v>
      </c>
      <c r="S416" s="31">
        <f t="shared" ca="1" si="305"/>
        <v>0</v>
      </c>
      <c r="T416" s="32">
        <f t="shared" ca="1" si="306"/>
        <v>0</v>
      </c>
      <c r="U416" s="37">
        <f t="shared" ca="1" si="263"/>
        <v>0</v>
      </c>
      <c r="V416" s="40">
        <f t="shared" ca="1" si="315"/>
        <v>0</v>
      </c>
      <c r="W416" s="41">
        <f t="shared" ca="1" si="316"/>
        <v>0</v>
      </c>
      <c r="X416" s="43"/>
      <c r="Y416" s="46"/>
      <c r="Z416" s="126"/>
      <c r="AA416" s="136"/>
      <c r="AB416" s="83">
        <v>39</v>
      </c>
      <c r="AC416" s="84">
        <f ca="1">IF(AF415&lt;=1,0,'3.2 Fi&amp;Fo'!$I$25)</f>
        <v>0</v>
      </c>
      <c r="AD416" s="72">
        <f ca="1">IF(AF415&lt;=1,0,AF415*'3.2 Fi&amp;Fo'!$H$25)</f>
        <v>0</v>
      </c>
      <c r="AE416" s="78">
        <f t="shared" ca="1" si="307"/>
        <v>0</v>
      </c>
      <c r="AF416" s="85">
        <f t="shared" ca="1" si="308"/>
        <v>5.6024873629212379E-10</v>
      </c>
      <c r="AG416" s="168" t="b">
        <f>IF(AJ415&lt;=1,0,IF(AB416&lt;='3.2 Fi&amp;Fo'!$F$34,'3.2 Fi&amp;Fo'!$J$34,IF(AB416&lt;='3.2 Fi&amp;Fo'!$F$35,'3.2 Fi&amp;Fo'!$J$35,IF(AB416&lt;='3.2 Fi&amp;Fo'!$F$36,'3.2 Fi&amp;Fo'!$J$36,IF(AB416&lt;='3.2 Fi&amp;Fo'!$F$37,'3.2 Fi&amp;Fo'!$J$37,IF(AB416&lt;='3.2 Fi&amp;Fo'!$F$38,'3.2 Fi&amp;Fo'!$J$38,IF(AB416&lt;='3.2 Fi&amp;Fo'!$F$39,'3.2 Fi&amp;Fo'!$J$39,IF(AB416&lt;='3.2 Fi&amp;Fo'!$F$40,'3.2 Fi&amp;Fo'!$J$40))))))))</f>
        <v>0</v>
      </c>
      <c r="AH416" s="207">
        <f>IF(AJ415&lt;=1,0,AJ415*IF(AB416&lt;='3.2 Fi&amp;Fo'!$F$34,'3.2 Fi&amp;Fo'!$I$34,IF(AB416&lt;='3.2 Fi&amp;Fo'!$F$35,'3.2 Fi&amp;Fo'!$I$35,IF(AB416&lt;='3.2 Fi&amp;Fo'!$F$36,'3.2 Fi&amp;Fo'!$I$36,IF(AB416&lt;='3.2 Fi&amp;Fo'!$F$39,'3.2 Fi&amp;Fo'!$I$39,IF(AB416&lt;='3.2 Fi&amp;Fo'!$F$40,'3.2 Fi&amp;Fo'!$I$40))))))</f>
        <v>0</v>
      </c>
      <c r="AI416" s="210">
        <f t="shared" si="322"/>
        <v>0</v>
      </c>
      <c r="AJ416" s="209">
        <f t="shared" si="309"/>
        <v>1981583.9767358366</v>
      </c>
      <c r="AK416" s="312">
        <f t="shared" ca="1" si="323"/>
        <v>0</v>
      </c>
      <c r="AL416" s="169">
        <f>IF(AB416&lt;='3.2 Fi&amp;Fo'!$J$15,'3.2 Fi&amp;Fo'!$I$15,0)</f>
        <v>0</v>
      </c>
      <c r="AM416" s="169">
        <f t="shared" si="324"/>
        <v>0</v>
      </c>
      <c r="AN416" s="838" t="str">
        <f t="shared" si="287"/>
        <v/>
      </c>
      <c r="AO416" s="844">
        <f t="shared" ca="1" si="271"/>
        <v>0</v>
      </c>
      <c r="AP416" s="839">
        <f ca="1">DA482</f>
        <v>0</v>
      </c>
      <c r="AQ416" s="844">
        <f t="shared" si="272"/>
        <v>0</v>
      </c>
      <c r="AR416" s="839" t="str">
        <f t="shared" si="288"/>
        <v/>
      </c>
      <c r="AS416" s="839">
        <f t="shared" si="283"/>
        <v>0</v>
      </c>
      <c r="AT416" s="839">
        <f t="shared" si="284"/>
        <v>0</v>
      </c>
      <c r="AU416" s="839">
        <f>'PV-Einspeisung'!AA121*-1</f>
        <v>0</v>
      </c>
      <c r="AV416" s="839">
        <f>'PV-Einspeisung'!AE121*-1</f>
        <v>0</v>
      </c>
      <c r="AW416" s="839"/>
      <c r="AX416" s="839" t="str">
        <f t="shared" si="289"/>
        <v/>
      </c>
      <c r="AY416" s="841" t="str">
        <f t="shared" si="273"/>
        <v/>
      </c>
      <c r="AZ416" s="842" t="str">
        <f t="shared" si="290"/>
        <v/>
      </c>
      <c r="BA416" s="842" t="str">
        <f t="shared" si="291"/>
        <v/>
      </c>
      <c r="BB416" s="842" t="str">
        <f t="shared" si="292"/>
        <v/>
      </c>
      <c r="BC416" s="842" t="str">
        <f t="shared" si="293"/>
        <v/>
      </c>
      <c r="BD416" s="842" t="str">
        <f t="shared" si="294"/>
        <v/>
      </c>
      <c r="BE416" s="842" t="str">
        <f t="shared" si="295"/>
        <v/>
      </c>
      <c r="BF416" s="842" t="str">
        <f t="shared" si="296"/>
        <v/>
      </c>
      <c r="BG416" s="842" t="str">
        <f t="shared" si="297"/>
        <v/>
      </c>
      <c r="BH416" s="858" t="str">
        <f t="shared" si="281"/>
        <v/>
      </c>
      <c r="BI416" s="857" t="str">
        <f t="shared" si="298"/>
        <v/>
      </c>
      <c r="BJ416" s="857" t="str">
        <f t="shared" si="299"/>
        <v/>
      </c>
      <c r="BK416" s="859">
        <f>'PV-Einspeisung'!AB121*-1</f>
        <v>0</v>
      </c>
      <c r="BL416" s="824">
        <f t="shared" ca="1" si="317"/>
        <v>0</v>
      </c>
      <c r="BM416" s="824">
        <f t="shared" ca="1" si="318"/>
        <v>0</v>
      </c>
      <c r="BN416" s="824">
        <f t="shared" ca="1" si="319"/>
        <v>0</v>
      </c>
      <c r="BO416" s="824">
        <f t="shared" ca="1" si="321"/>
        <v>0</v>
      </c>
      <c r="BP416" s="824">
        <f t="shared" ca="1" si="321"/>
        <v>0</v>
      </c>
      <c r="BQ416" s="824">
        <f t="shared" ca="1" si="321"/>
        <v>0</v>
      </c>
      <c r="BR416" s="824">
        <f t="shared" ca="1" si="321"/>
        <v>0</v>
      </c>
      <c r="BS416" s="824">
        <f t="shared" ca="1" si="321"/>
        <v>0</v>
      </c>
      <c r="BT416" s="824">
        <f t="shared" ca="1" si="321"/>
        <v>0</v>
      </c>
      <c r="BU416" s="824">
        <f t="shared" ca="1" si="321"/>
        <v>0</v>
      </c>
      <c r="BV416" s="824">
        <f t="shared" ca="1" si="321"/>
        <v>0</v>
      </c>
      <c r="BW416" s="824">
        <f t="shared" ca="1" si="321"/>
        <v>0</v>
      </c>
      <c r="BX416" s="824">
        <f t="shared" ca="1" si="321"/>
        <v>0</v>
      </c>
      <c r="BY416" s="824">
        <f t="shared" ca="1" si="321"/>
        <v>0</v>
      </c>
      <c r="BZ416" s="824">
        <f t="shared" ca="1" si="321"/>
        <v>0</v>
      </c>
      <c r="CA416" s="824">
        <f t="shared" ca="1" si="321"/>
        <v>0</v>
      </c>
      <c r="CB416" s="824">
        <f t="shared" ca="1" si="321"/>
        <v>0</v>
      </c>
      <c r="CC416" s="824">
        <f t="shared" ca="1" si="321"/>
        <v>0</v>
      </c>
      <c r="CD416" s="824">
        <f t="shared" ca="1" si="321"/>
        <v>0</v>
      </c>
      <c r="CE416" s="824">
        <f t="shared" ca="1" si="320"/>
        <v>0</v>
      </c>
      <c r="CF416" s="824">
        <f t="shared" ca="1" si="320"/>
        <v>0</v>
      </c>
      <c r="CG416" s="824">
        <f t="shared" ca="1" si="320"/>
        <v>0</v>
      </c>
      <c r="CH416" s="824">
        <f t="shared" ca="1" si="320"/>
        <v>0</v>
      </c>
      <c r="CI416" s="824">
        <f t="shared" ca="1" si="320"/>
        <v>0</v>
      </c>
      <c r="CJ416" s="824">
        <f t="shared" ca="1" si="320"/>
        <v>0</v>
      </c>
      <c r="CK416" s="824">
        <f t="shared" ca="1" si="320"/>
        <v>0</v>
      </c>
      <c r="CL416" s="824">
        <f t="shared" ca="1" si="320"/>
        <v>0</v>
      </c>
      <c r="CM416" s="824">
        <f t="shared" ca="1" si="320"/>
        <v>0</v>
      </c>
      <c r="CN416" s="824">
        <f t="shared" ca="1" si="320"/>
        <v>0</v>
      </c>
      <c r="CO416" s="824">
        <f t="shared" ca="1" si="320"/>
        <v>0</v>
      </c>
      <c r="CP416" s="824">
        <f t="shared" ca="1" si="320"/>
        <v>0</v>
      </c>
      <c r="CQ416" s="824">
        <f t="shared" ca="1" si="320"/>
        <v>0</v>
      </c>
      <c r="CR416" s="824">
        <f t="shared" ca="1" si="320"/>
        <v>0</v>
      </c>
      <c r="CS416" s="824">
        <f t="shared" ca="1" si="320"/>
        <v>0</v>
      </c>
      <c r="CT416" s="824">
        <f t="shared" ca="1" si="311"/>
        <v>0</v>
      </c>
      <c r="CU416" s="824">
        <f t="shared" ca="1" si="311"/>
        <v>0</v>
      </c>
      <c r="CV416" s="824">
        <f t="shared" ca="1" si="311"/>
        <v>0</v>
      </c>
      <c r="CW416" s="824">
        <f t="shared" ca="1" si="311"/>
        <v>0</v>
      </c>
      <c r="CX416" s="824">
        <f t="shared" ca="1" si="311"/>
        <v>0</v>
      </c>
      <c r="CY416" s="824">
        <f t="shared" ca="1" si="311"/>
        <v>0</v>
      </c>
      <c r="CZ416" s="824">
        <f t="shared" ca="1" si="311"/>
        <v>0</v>
      </c>
      <c r="DA416" s="824">
        <f t="shared" ca="1" si="311"/>
        <v>0</v>
      </c>
      <c r="DB416" s="824">
        <f t="shared" ca="1" si="311"/>
        <v>0</v>
      </c>
      <c r="DC416" s="824">
        <f t="shared" ca="1" si="311"/>
        <v>0</v>
      </c>
      <c r="DD416" s="824">
        <f t="shared" ca="1" si="311"/>
        <v>0</v>
      </c>
      <c r="DE416" s="824">
        <f t="shared" ca="1" si="311"/>
        <v>0</v>
      </c>
      <c r="DF416" s="824">
        <f t="shared" ca="1" si="311"/>
        <v>0</v>
      </c>
      <c r="DG416" s="824">
        <f t="shared" ca="1" si="314"/>
        <v>0</v>
      </c>
      <c r="DH416" s="824">
        <f t="shared" ca="1" si="314"/>
        <v>0</v>
      </c>
      <c r="DI416" s="824">
        <f t="shared" ca="1" si="314"/>
        <v>0</v>
      </c>
      <c r="DJ416" s="824">
        <f t="shared" ca="1" si="314"/>
        <v>0</v>
      </c>
      <c r="DK416" s="824">
        <f t="shared" ca="1" si="313"/>
        <v>0</v>
      </c>
      <c r="DL416" s="824">
        <f t="shared" ca="1" si="313"/>
        <v>0</v>
      </c>
    </row>
    <row r="417" spans="2:116" ht="12" thickBot="1" x14ac:dyDescent="0.3">
      <c r="B417" s="1673"/>
      <c r="C417" s="1680"/>
      <c r="D417" s="15" t="s">
        <v>264</v>
      </c>
      <c r="E417" s="116"/>
      <c r="F417" s="116">
        <f ca="1">SUBTOTAL(109,'3.2 I&amp;W'!$X$110)</f>
        <v>0</v>
      </c>
      <c r="G417" s="116">
        <f ca="1">SUBTOTAL(109,'3.2 I&amp;W'!$Y$110)</f>
        <v>0</v>
      </c>
      <c r="H417" s="116">
        <f ca="1">SUBTOTAL(109,'3.2 I&amp;W'!$AD$110)</f>
        <v>0</v>
      </c>
      <c r="I417" s="116">
        <f ca="1">SUBTOTAL(109,'3.2 I&amp;W'!$AE$110)</f>
        <v>0</v>
      </c>
      <c r="J417" s="116"/>
      <c r="K417" s="116"/>
      <c r="L417" s="116"/>
      <c r="M417" s="116">
        <f ca="1">SUBTOTAL(109,'3.2 I&amp;W'!$AI$110)</f>
        <v>0</v>
      </c>
      <c r="N417" s="156">
        <f t="shared" ca="1" si="262"/>
        <v>0</v>
      </c>
      <c r="O417" s="116">
        <f ca="1">SUBTOTAL(109,'3.2 I&amp;W'!$S$110)</f>
        <v>0</v>
      </c>
      <c r="P417" s="30">
        <f t="shared" ca="1" si="302"/>
        <v>0</v>
      </c>
      <c r="Q417" s="31">
        <f t="shared" ca="1" si="303"/>
        <v>0</v>
      </c>
      <c r="R417" s="31">
        <f t="shared" ca="1" si="304"/>
        <v>0</v>
      </c>
      <c r="S417" s="31">
        <f t="shared" ca="1" si="305"/>
        <v>0</v>
      </c>
      <c r="T417" s="32">
        <f t="shared" ca="1" si="306"/>
        <v>0</v>
      </c>
      <c r="U417" s="37">
        <f t="shared" ca="1" si="263"/>
        <v>0</v>
      </c>
      <c r="V417" s="40">
        <f t="shared" ca="1" si="315"/>
        <v>0</v>
      </c>
      <c r="W417" s="41">
        <f t="shared" ca="1" si="316"/>
        <v>0</v>
      </c>
      <c r="X417" s="43"/>
      <c r="Y417" s="46"/>
      <c r="Z417" s="126"/>
      <c r="AA417" s="136"/>
      <c r="AB417" s="83">
        <v>40</v>
      </c>
      <c r="AC417" s="84">
        <f ca="1">IF(AF416&lt;=1,0,'3.2 Fi&amp;Fo'!$I$25)</f>
        <v>0</v>
      </c>
      <c r="AD417" s="72">
        <f ca="1">IF(AF416&lt;=1,0,AF416*'3.2 Fi&amp;Fo'!$H$25)</f>
        <v>0</v>
      </c>
      <c r="AE417" s="78">
        <f t="shared" ca="1" si="307"/>
        <v>0</v>
      </c>
      <c r="AF417" s="85">
        <f t="shared" ca="1" si="308"/>
        <v>5.6024873629212379E-10</v>
      </c>
      <c r="AG417" s="168" t="b">
        <f>IF(AJ416&lt;=1,0,IF(AB417&lt;='3.2 Fi&amp;Fo'!$F$34,'3.2 Fi&amp;Fo'!$J$34,IF(AB417&lt;='3.2 Fi&amp;Fo'!$F$35,'3.2 Fi&amp;Fo'!$J$35,IF(AB417&lt;='3.2 Fi&amp;Fo'!$F$36,'3.2 Fi&amp;Fo'!$J$36,IF(AB417&lt;='3.2 Fi&amp;Fo'!$F$37,'3.2 Fi&amp;Fo'!$J$37,IF(AB417&lt;='3.2 Fi&amp;Fo'!$F$38,'3.2 Fi&amp;Fo'!$J$38,IF(AB417&lt;='3.2 Fi&amp;Fo'!$F$39,'3.2 Fi&amp;Fo'!$J$39,IF(AB417&lt;='3.2 Fi&amp;Fo'!$F$40,'3.2 Fi&amp;Fo'!$J$40))))))))</f>
        <v>0</v>
      </c>
      <c r="AH417" s="207">
        <f>IF(AJ416&lt;=1,0,AJ416*IF(AB417&lt;='3.2 Fi&amp;Fo'!$F$34,'3.2 Fi&amp;Fo'!$I$34,IF(AB417&lt;='3.2 Fi&amp;Fo'!$F$35,'3.2 Fi&amp;Fo'!$I$35,IF(AB417&lt;='3.2 Fi&amp;Fo'!$F$36,'3.2 Fi&amp;Fo'!$I$36,IF(AB417&lt;='3.2 Fi&amp;Fo'!$F$39,'3.2 Fi&amp;Fo'!$I$39,IF(AB417&lt;='3.2 Fi&amp;Fo'!$F$40,'3.2 Fi&amp;Fo'!$I$40))))))</f>
        <v>0</v>
      </c>
      <c r="AI417" s="210">
        <f t="shared" si="322"/>
        <v>0</v>
      </c>
      <c r="AJ417" s="209">
        <f t="shared" si="309"/>
        <v>1981583.9767358366</v>
      </c>
      <c r="AK417" s="312">
        <f t="shared" ca="1" si="323"/>
        <v>0</v>
      </c>
      <c r="AL417" s="169">
        <f>IF(AB417&lt;='3.2 Fi&amp;Fo'!$J$15,'3.2 Fi&amp;Fo'!$I$15,0)</f>
        <v>0</v>
      </c>
      <c r="AM417" s="169">
        <f t="shared" si="324"/>
        <v>0</v>
      </c>
      <c r="AN417" s="838" t="str">
        <f t="shared" si="287"/>
        <v/>
      </c>
      <c r="AO417" s="844">
        <f t="shared" ca="1" si="271"/>
        <v>0</v>
      </c>
      <c r="AP417" s="839">
        <f ca="1">DB482</f>
        <v>0</v>
      </c>
      <c r="AQ417" s="844">
        <f t="shared" si="272"/>
        <v>0</v>
      </c>
      <c r="AR417" s="839" t="str">
        <f t="shared" si="288"/>
        <v/>
      </c>
      <c r="AS417" s="839">
        <f t="shared" si="283"/>
        <v>0</v>
      </c>
      <c r="AT417" s="839">
        <f t="shared" si="284"/>
        <v>0</v>
      </c>
      <c r="AU417" s="839">
        <f>'PV-Einspeisung'!AA122*-1</f>
        <v>0</v>
      </c>
      <c r="AV417" s="839">
        <f>'PV-Einspeisung'!AE122*-1</f>
        <v>0</v>
      </c>
      <c r="AW417" s="839"/>
      <c r="AX417" s="839" t="str">
        <f t="shared" si="289"/>
        <v/>
      </c>
      <c r="AY417" s="841" t="str">
        <f t="shared" si="273"/>
        <v/>
      </c>
      <c r="AZ417" s="842" t="str">
        <f t="shared" si="290"/>
        <v/>
      </c>
      <c r="BA417" s="842" t="str">
        <f t="shared" si="291"/>
        <v/>
      </c>
      <c r="BB417" s="842" t="str">
        <f t="shared" si="292"/>
        <v/>
      </c>
      <c r="BC417" s="842" t="str">
        <f t="shared" si="293"/>
        <v/>
      </c>
      <c r="BD417" s="842" t="str">
        <f t="shared" si="294"/>
        <v/>
      </c>
      <c r="BE417" s="842" t="str">
        <f t="shared" si="295"/>
        <v/>
      </c>
      <c r="BF417" s="842" t="str">
        <f t="shared" si="296"/>
        <v/>
      </c>
      <c r="BG417" s="842" t="str">
        <f t="shared" si="297"/>
        <v/>
      </c>
      <c r="BH417" s="858" t="str">
        <f t="shared" si="281"/>
        <v/>
      </c>
      <c r="BI417" s="857" t="str">
        <f t="shared" si="298"/>
        <v/>
      </c>
      <c r="BJ417" s="857" t="str">
        <f t="shared" si="299"/>
        <v/>
      </c>
      <c r="BK417" s="859">
        <f>'PV-Einspeisung'!AB122*-1</f>
        <v>0</v>
      </c>
      <c r="BL417" s="824">
        <f t="shared" ca="1" si="317"/>
        <v>0</v>
      </c>
      <c r="BM417" s="824">
        <f t="shared" ca="1" si="318"/>
        <v>0</v>
      </c>
      <c r="BN417" s="824">
        <f t="shared" ca="1" si="319"/>
        <v>0</v>
      </c>
      <c r="BO417" s="824">
        <f t="shared" ca="1" si="321"/>
        <v>0</v>
      </c>
      <c r="BP417" s="824">
        <f t="shared" ca="1" si="321"/>
        <v>0</v>
      </c>
      <c r="BQ417" s="824">
        <f t="shared" ca="1" si="321"/>
        <v>0</v>
      </c>
      <c r="BR417" s="824">
        <f t="shared" ca="1" si="321"/>
        <v>0</v>
      </c>
      <c r="BS417" s="824">
        <f t="shared" ca="1" si="321"/>
        <v>0</v>
      </c>
      <c r="BT417" s="824">
        <f t="shared" ca="1" si="321"/>
        <v>0</v>
      </c>
      <c r="BU417" s="824">
        <f t="shared" ca="1" si="321"/>
        <v>0</v>
      </c>
      <c r="BV417" s="824">
        <f t="shared" ca="1" si="321"/>
        <v>0</v>
      </c>
      <c r="BW417" s="824">
        <f t="shared" ca="1" si="321"/>
        <v>0</v>
      </c>
      <c r="BX417" s="824">
        <f t="shared" ca="1" si="321"/>
        <v>0</v>
      </c>
      <c r="BY417" s="824">
        <f t="shared" ca="1" si="321"/>
        <v>0</v>
      </c>
      <c r="BZ417" s="824">
        <f t="shared" ca="1" si="321"/>
        <v>0</v>
      </c>
      <c r="CA417" s="824">
        <f t="shared" ca="1" si="321"/>
        <v>0</v>
      </c>
      <c r="CB417" s="824">
        <f t="shared" ca="1" si="321"/>
        <v>0</v>
      </c>
      <c r="CC417" s="824">
        <f t="shared" ca="1" si="321"/>
        <v>0</v>
      </c>
      <c r="CD417" s="824">
        <f t="shared" ca="1" si="321"/>
        <v>0</v>
      </c>
      <c r="CE417" s="824">
        <f t="shared" ca="1" si="320"/>
        <v>0</v>
      </c>
      <c r="CF417" s="824">
        <f t="shared" ca="1" si="320"/>
        <v>0</v>
      </c>
      <c r="CG417" s="824">
        <f t="shared" ca="1" si="320"/>
        <v>0</v>
      </c>
      <c r="CH417" s="824">
        <f t="shared" ca="1" si="320"/>
        <v>0</v>
      </c>
      <c r="CI417" s="824">
        <f t="shared" ca="1" si="320"/>
        <v>0</v>
      </c>
      <c r="CJ417" s="824">
        <f t="shared" ca="1" si="320"/>
        <v>0</v>
      </c>
      <c r="CK417" s="824">
        <f t="shared" ca="1" si="320"/>
        <v>0</v>
      </c>
      <c r="CL417" s="824">
        <f t="shared" ca="1" si="320"/>
        <v>0</v>
      </c>
      <c r="CM417" s="824">
        <f t="shared" ca="1" si="320"/>
        <v>0</v>
      </c>
      <c r="CN417" s="824">
        <f t="shared" ca="1" si="320"/>
        <v>0</v>
      </c>
      <c r="CO417" s="824">
        <f t="shared" ca="1" si="320"/>
        <v>0</v>
      </c>
      <c r="CP417" s="824">
        <f t="shared" ca="1" si="320"/>
        <v>0</v>
      </c>
      <c r="CQ417" s="824">
        <f t="shared" ca="1" si="320"/>
        <v>0</v>
      </c>
      <c r="CR417" s="824">
        <f t="shared" ca="1" si="320"/>
        <v>0</v>
      </c>
      <c r="CS417" s="824">
        <f t="shared" ca="1" si="320"/>
        <v>0</v>
      </c>
      <c r="CT417" s="824">
        <f t="shared" ca="1" si="311"/>
        <v>0</v>
      </c>
      <c r="CU417" s="824">
        <f t="shared" ca="1" si="311"/>
        <v>0</v>
      </c>
      <c r="CV417" s="824">
        <f t="shared" ca="1" si="311"/>
        <v>0</v>
      </c>
      <c r="CW417" s="824">
        <f t="shared" ca="1" si="311"/>
        <v>0</v>
      </c>
      <c r="CX417" s="824">
        <f t="shared" ca="1" si="311"/>
        <v>0</v>
      </c>
      <c r="CY417" s="824">
        <f t="shared" ca="1" si="311"/>
        <v>0</v>
      </c>
      <c r="CZ417" s="824">
        <f t="shared" ca="1" si="311"/>
        <v>0</v>
      </c>
      <c r="DA417" s="824">
        <f t="shared" ca="1" si="311"/>
        <v>0</v>
      </c>
      <c r="DB417" s="824">
        <f t="shared" ca="1" si="311"/>
        <v>0</v>
      </c>
      <c r="DC417" s="824">
        <f t="shared" ca="1" si="311"/>
        <v>0</v>
      </c>
      <c r="DD417" s="824">
        <f t="shared" ca="1" si="311"/>
        <v>0</v>
      </c>
      <c r="DE417" s="824">
        <f t="shared" ca="1" si="311"/>
        <v>0</v>
      </c>
      <c r="DF417" s="824">
        <f t="shared" ca="1" si="311"/>
        <v>0</v>
      </c>
      <c r="DG417" s="824">
        <f t="shared" ca="1" si="314"/>
        <v>0</v>
      </c>
      <c r="DH417" s="824">
        <f t="shared" ca="1" si="314"/>
        <v>0</v>
      </c>
      <c r="DI417" s="824">
        <f t="shared" ca="1" si="314"/>
        <v>0</v>
      </c>
      <c r="DJ417" s="824">
        <f t="shared" ca="1" si="314"/>
        <v>0</v>
      </c>
      <c r="DK417" s="824">
        <f t="shared" ca="1" si="313"/>
        <v>0</v>
      </c>
      <c r="DL417" s="824">
        <f t="shared" ca="1" si="313"/>
        <v>0</v>
      </c>
    </row>
    <row r="418" spans="2:116" ht="12" thickBot="1" x14ac:dyDescent="0.3">
      <c r="B418" s="1673"/>
      <c r="C418" s="1680"/>
      <c r="D418" s="15" t="s">
        <v>51</v>
      </c>
      <c r="E418" s="165"/>
      <c r="F418" s="116">
        <f ca="1">SUBTOTAL(109,'3.2 I&amp;W'!$X$119)</f>
        <v>0</v>
      </c>
      <c r="G418" s="116">
        <f ca="1">SUBTOTAL(109,'3.2 I&amp;W'!$Y$119)</f>
        <v>0</v>
      </c>
      <c r="H418" s="116">
        <f ca="1">SUBTOTAL(109,'3.2 I&amp;W'!$AD$119)</f>
        <v>0</v>
      </c>
      <c r="I418" s="116">
        <f ca="1">SUBTOTAL(109,'3.2 I&amp;W'!$AE$119)</f>
        <v>0</v>
      </c>
      <c r="J418" s="116"/>
      <c r="K418" s="116"/>
      <c r="L418" s="116"/>
      <c r="M418" s="116">
        <f ca="1">SUBTOTAL(109,'3.2 I&amp;W'!$AI$119)</f>
        <v>0</v>
      </c>
      <c r="N418" s="156">
        <f t="shared" ca="1" si="262"/>
        <v>0</v>
      </c>
      <c r="O418" s="116">
        <f ca="1">SUBTOTAL(109,'3.2 I&amp;W'!$S$119)</f>
        <v>0</v>
      </c>
      <c r="P418" s="30">
        <f t="shared" ca="1" si="302"/>
        <v>0</v>
      </c>
      <c r="Q418" s="31">
        <f t="shared" ca="1" si="303"/>
        <v>0</v>
      </c>
      <c r="R418" s="31">
        <f t="shared" ca="1" si="304"/>
        <v>0</v>
      </c>
      <c r="S418" s="31">
        <f t="shared" ca="1" si="305"/>
        <v>0</v>
      </c>
      <c r="T418" s="32">
        <f t="shared" ca="1" si="306"/>
        <v>0</v>
      </c>
      <c r="U418" s="37">
        <f t="shared" ca="1" si="263"/>
        <v>0</v>
      </c>
      <c r="V418" s="40">
        <f t="shared" ca="1" si="315"/>
        <v>0</v>
      </c>
      <c r="W418" s="41">
        <f t="shared" ca="1" si="316"/>
        <v>0</v>
      </c>
      <c r="X418" s="43"/>
      <c r="Y418" s="46"/>
      <c r="Z418" s="126"/>
      <c r="AA418" s="136"/>
      <c r="AB418" s="83">
        <v>41</v>
      </c>
      <c r="AC418" s="84">
        <f ca="1">IF(AF417&lt;=1,0,'3.2 Fi&amp;Fo'!$I$25)</f>
        <v>0</v>
      </c>
      <c r="AD418" s="72">
        <f ca="1">IF(AF417&lt;=1,0,AF417*'3.2 Fi&amp;Fo'!$H$25)</f>
        <v>0</v>
      </c>
      <c r="AE418" s="78">
        <f t="shared" ca="1" si="307"/>
        <v>0</v>
      </c>
      <c r="AF418" s="85">
        <f t="shared" ca="1" si="308"/>
        <v>5.6024873629212379E-10</v>
      </c>
      <c r="AG418" s="168" t="b">
        <f>IF(AJ417&lt;=1,0,IF(AB418&lt;='3.2 Fi&amp;Fo'!$F$34,'3.2 Fi&amp;Fo'!$J$34,IF(AB418&lt;='3.2 Fi&amp;Fo'!$F$35,'3.2 Fi&amp;Fo'!$J$35,IF(AB418&lt;='3.2 Fi&amp;Fo'!$F$36,'3.2 Fi&amp;Fo'!$J$36,IF(AB418&lt;='3.2 Fi&amp;Fo'!$F$37,'3.2 Fi&amp;Fo'!$J$37,IF(AB418&lt;='3.2 Fi&amp;Fo'!$F$38,'3.2 Fi&amp;Fo'!$J$38,IF(AB418&lt;='3.2 Fi&amp;Fo'!$F$39,'3.2 Fi&amp;Fo'!$J$39,IF(AB418&lt;='3.2 Fi&amp;Fo'!$F$40,'3.2 Fi&amp;Fo'!$J$40))))))))</f>
        <v>0</v>
      </c>
      <c r="AH418" s="207">
        <f>IF(AJ417&lt;=1,0,AJ417*IF(AB418&lt;='3.2 Fi&amp;Fo'!$F$34,'3.2 Fi&amp;Fo'!$I$34,IF(AB418&lt;='3.2 Fi&amp;Fo'!$F$35,'3.2 Fi&amp;Fo'!$I$35,IF(AB418&lt;='3.2 Fi&amp;Fo'!$F$36,'3.2 Fi&amp;Fo'!$I$36,IF(AB418&lt;='3.2 Fi&amp;Fo'!$F$39,'3.2 Fi&amp;Fo'!$I$39,IF(AB418&lt;='3.2 Fi&amp;Fo'!$F$40,'3.2 Fi&amp;Fo'!$I$40))))))</f>
        <v>0</v>
      </c>
      <c r="AI418" s="210">
        <f t="shared" si="322"/>
        <v>0</v>
      </c>
      <c r="AJ418" s="209">
        <f t="shared" si="309"/>
        <v>1981583.9767358366</v>
      </c>
      <c r="AK418" s="312">
        <f t="shared" ca="1" si="323"/>
        <v>0</v>
      </c>
      <c r="AL418" s="169">
        <f>IF(AB418&lt;='3.2 Fi&amp;Fo'!$J$15,'3.2 Fi&amp;Fo'!$I$15,0)</f>
        <v>0</v>
      </c>
      <c r="AM418" s="169">
        <f t="shared" si="324"/>
        <v>0</v>
      </c>
      <c r="AN418" s="838" t="str">
        <f t="shared" si="287"/>
        <v/>
      </c>
      <c r="AO418" s="844">
        <f t="shared" ca="1" si="271"/>
        <v>0</v>
      </c>
      <c r="AP418" s="839">
        <f ca="1">DC482</f>
        <v>0</v>
      </c>
      <c r="AQ418" s="844">
        <f t="shared" si="272"/>
        <v>0</v>
      </c>
      <c r="AR418" s="839" t="str">
        <f t="shared" si="288"/>
        <v/>
      </c>
      <c r="AS418" s="839">
        <f t="shared" si="283"/>
        <v>0</v>
      </c>
      <c r="AT418" s="839">
        <f t="shared" si="284"/>
        <v>0</v>
      </c>
      <c r="AU418" s="839">
        <f>'PV-Einspeisung'!AA123*-1</f>
        <v>0</v>
      </c>
      <c r="AV418" s="839">
        <f>'PV-Einspeisung'!AE123*-1</f>
        <v>0</v>
      </c>
      <c r="AW418" s="839"/>
      <c r="AX418" s="839" t="str">
        <f t="shared" si="289"/>
        <v/>
      </c>
      <c r="AY418" s="841" t="str">
        <f t="shared" si="273"/>
        <v/>
      </c>
      <c r="AZ418" s="842" t="str">
        <f>IF($AN418="","",AZ417*$AZ$201)</f>
        <v/>
      </c>
      <c r="BA418" s="842" t="str">
        <f t="shared" si="291"/>
        <v/>
      </c>
      <c r="BB418" s="842" t="str">
        <f t="shared" si="292"/>
        <v/>
      </c>
      <c r="BC418" s="842" t="str">
        <f t="shared" si="293"/>
        <v/>
      </c>
      <c r="BD418" s="842" t="str">
        <f t="shared" si="294"/>
        <v/>
      </c>
      <c r="BE418" s="842" t="str">
        <f t="shared" si="295"/>
        <v/>
      </c>
      <c r="BF418" s="842" t="str">
        <f t="shared" si="296"/>
        <v/>
      </c>
      <c r="BG418" s="842" t="str">
        <f t="shared" si="297"/>
        <v/>
      </c>
      <c r="BH418" s="858" t="str">
        <f t="shared" si="281"/>
        <v/>
      </c>
      <c r="BI418" s="857" t="str">
        <f t="shared" si="298"/>
        <v/>
      </c>
      <c r="BJ418" s="857" t="str">
        <f t="shared" si="299"/>
        <v/>
      </c>
      <c r="BK418" s="859">
        <f>'PV-Einspeisung'!AB123*-1</f>
        <v>0</v>
      </c>
      <c r="BL418" s="824">
        <f t="shared" ca="1" si="317"/>
        <v>0</v>
      </c>
      <c r="BM418" s="824">
        <f t="shared" ca="1" si="318"/>
        <v>0</v>
      </c>
      <c r="BN418" s="824">
        <f t="shared" ca="1" si="319"/>
        <v>0</v>
      </c>
      <c r="BO418" s="824">
        <f t="shared" ca="1" si="321"/>
        <v>0</v>
      </c>
      <c r="BP418" s="824">
        <f t="shared" ca="1" si="321"/>
        <v>0</v>
      </c>
      <c r="BQ418" s="824">
        <f t="shared" ca="1" si="321"/>
        <v>0</v>
      </c>
      <c r="BR418" s="824">
        <f t="shared" ca="1" si="321"/>
        <v>0</v>
      </c>
      <c r="BS418" s="824">
        <f t="shared" ca="1" si="321"/>
        <v>0</v>
      </c>
      <c r="BT418" s="824">
        <f t="shared" ca="1" si="321"/>
        <v>0</v>
      </c>
      <c r="BU418" s="824">
        <f t="shared" ca="1" si="321"/>
        <v>0</v>
      </c>
      <c r="BV418" s="824">
        <f t="shared" ca="1" si="321"/>
        <v>0</v>
      </c>
      <c r="BW418" s="824">
        <f t="shared" ca="1" si="321"/>
        <v>0</v>
      </c>
      <c r="BX418" s="824">
        <f t="shared" ca="1" si="321"/>
        <v>0</v>
      </c>
      <c r="BY418" s="824">
        <f t="shared" ca="1" si="321"/>
        <v>0</v>
      </c>
      <c r="BZ418" s="824">
        <f t="shared" ca="1" si="321"/>
        <v>0</v>
      </c>
      <c r="CA418" s="824">
        <f t="shared" ca="1" si="321"/>
        <v>0</v>
      </c>
      <c r="CB418" s="824">
        <f t="shared" ca="1" si="321"/>
        <v>0</v>
      </c>
      <c r="CC418" s="824">
        <f t="shared" ca="1" si="321"/>
        <v>0</v>
      </c>
      <c r="CD418" s="824">
        <f t="shared" ca="1" si="321"/>
        <v>0</v>
      </c>
      <c r="CE418" s="824">
        <f t="shared" ca="1" si="320"/>
        <v>0</v>
      </c>
      <c r="CF418" s="824">
        <f t="shared" ca="1" si="320"/>
        <v>0</v>
      </c>
      <c r="CG418" s="824">
        <f t="shared" ca="1" si="320"/>
        <v>0</v>
      </c>
      <c r="CH418" s="824">
        <f t="shared" ca="1" si="320"/>
        <v>0</v>
      </c>
      <c r="CI418" s="824">
        <f t="shared" ca="1" si="320"/>
        <v>0</v>
      </c>
      <c r="CJ418" s="824">
        <f t="shared" ca="1" si="320"/>
        <v>0</v>
      </c>
      <c r="CK418" s="824">
        <f t="shared" ca="1" si="320"/>
        <v>0</v>
      </c>
      <c r="CL418" s="824">
        <f t="shared" ca="1" si="320"/>
        <v>0</v>
      </c>
      <c r="CM418" s="824">
        <f t="shared" ca="1" si="320"/>
        <v>0</v>
      </c>
      <c r="CN418" s="824">
        <f t="shared" ca="1" si="320"/>
        <v>0</v>
      </c>
      <c r="CO418" s="824">
        <f t="shared" ca="1" si="320"/>
        <v>0</v>
      </c>
      <c r="CP418" s="824">
        <f t="shared" ca="1" si="320"/>
        <v>0</v>
      </c>
      <c r="CQ418" s="824">
        <f t="shared" ca="1" si="320"/>
        <v>0</v>
      </c>
      <c r="CR418" s="824">
        <f t="shared" ca="1" si="320"/>
        <v>0</v>
      </c>
      <c r="CS418" s="824">
        <f t="shared" ca="1" si="320"/>
        <v>0</v>
      </c>
      <c r="CT418" s="824">
        <f t="shared" ca="1" si="311"/>
        <v>0</v>
      </c>
      <c r="CU418" s="824">
        <f t="shared" ca="1" si="311"/>
        <v>0</v>
      </c>
      <c r="CV418" s="824">
        <f t="shared" ca="1" si="311"/>
        <v>0</v>
      </c>
      <c r="CW418" s="824">
        <f t="shared" ca="1" si="311"/>
        <v>0</v>
      </c>
      <c r="CX418" s="824">
        <f t="shared" ca="1" si="311"/>
        <v>0</v>
      </c>
      <c r="CY418" s="824">
        <f t="shared" ca="1" si="311"/>
        <v>0</v>
      </c>
      <c r="CZ418" s="824">
        <f t="shared" ca="1" si="311"/>
        <v>0</v>
      </c>
      <c r="DA418" s="824">
        <f t="shared" ca="1" si="311"/>
        <v>0</v>
      </c>
      <c r="DB418" s="824">
        <f t="shared" ca="1" si="311"/>
        <v>0</v>
      </c>
      <c r="DC418" s="824">
        <f t="shared" ca="1" si="311"/>
        <v>0</v>
      </c>
      <c r="DD418" s="824">
        <f t="shared" ca="1" si="311"/>
        <v>0</v>
      </c>
      <c r="DE418" s="824">
        <f t="shared" ca="1" si="311"/>
        <v>0</v>
      </c>
      <c r="DF418" s="824">
        <f t="shared" ca="1" si="311"/>
        <v>0</v>
      </c>
      <c r="DG418" s="824">
        <f t="shared" ca="1" si="314"/>
        <v>0</v>
      </c>
      <c r="DH418" s="824">
        <f t="shared" ca="1" si="314"/>
        <v>0</v>
      </c>
      <c r="DI418" s="824">
        <f t="shared" ca="1" si="314"/>
        <v>0</v>
      </c>
      <c r="DJ418" s="824">
        <f t="shared" ca="1" si="314"/>
        <v>0</v>
      </c>
      <c r="DK418" s="824">
        <f t="shared" ca="1" si="313"/>
        <v>0</v>
      </c>
      <c r="DL418" s="824">
        <f t="shared" ca="1" si="313"/>
        <v>0</v>
      </c>
    </row>
    <row r="419" spans="2:116" ht="12" thickBot="1" x14ac:dyDescent="0.3">
      <c r="B419" s="1673"/>
      <c r="C419" s="1680"/>
      <c r="D419" s="15" t="s">
        <v>51</v>
      </c>
      <c r="E419" s="116"/>
      <c r="F419" s="116">
        <f ca="1">SUBTOTAL(109,'3.2 I&amp;W'!$X$120)</f>
        <v>0</v>
      </c>
      <c r="G419" s="116">
        <f ca="1">SUBTOTAL(109,'3.2 I&amp;W'!$Y$120)</f>
        <v>0</v>
      </c>
      <c r="H419" s="116">
        <f ca="1">SUBTOTAL(109,'3.2 I&amp;W'!$AD$120)</f>
        <v>0</v>
      </c>
      <c r="I419" s="116">
        <f ca="1">SUBTOTAL(109,'3.2 I&amp;W'!$AE$120)</f>
        <v>0</v>
      </c>
      <c r="J419" s="116"/>
      <c r="K419" s="116"/>
      <c r="L419" s="116"/>
      <c r="M419" s="116">
        <f ca="1">SUBTOTAL(109,'3.2 I&amp;W'!$AI$120)</f>
        <v>0</v>
      </c>
      <c r="N419" s="156">
        <f t="shared" ca="1" si="262"/>
        <v>0</v>
      </c>
      <c r="O419" s="116">
        <f ca="1">SUBTOTAL(109,'3.2 I&amp;W'!$S$120)</f>
        <v>0</v>
      </c>
      <c r="P419" s="30">
        <f t="shared" ca="1" si="302"/>
        <v>0</v>
      </c>
      <c r="Q419" s="31">
        <f t="shared" ca="1" si="303"/>
        <v>0</v>
      </c>
      <c r="R419" s="31">
        <f t="shared" ca="1" si="304"/>
        <v>0</v>
      </c>
      <c r="S419" s="31">
        <f t="shared" ca="1" si="305"/>
        <v>0</v>
      </c>
      <c r="T419" s="32">
        <f t="shared" ca="1" si="306"/>
        <v>0</v>
      </c>
      <c r="U419" s="37">
        <f t="shared" ca="1" si="263"/>
        <v>0</v>
      </c>
      <c r="V419" s="40">
        <f t="shared" ca="1" si="315"/>
        <v>0</v>
      </c>
      <c r="W419" s="41">
        <f t="shared" ca="1" si="316"/>
        <v>0</v>
      </c>
      <c r="X419" s="43"/>
      <c r="Y419" s="46"/>
      <c r="Z419" s="126"/>
      <c r="AA419" s="136"/>
      <c r="AB419" s="83">
        <v>42</v>
      </c>
      <c r="AC419" s="84">
        <f ca="1">IF(AF418&lt;=1,0,'3.2 Fi&amp;Fo'!$I$25)</f>
        <v>0</v>
      </c>
      <c r="AD419" s="72">
        <f ca="1">IF(AF418&lt;=1,0,AF418*'3.2 Fi&amp;Fo'!$H$25)</f>
        <v>0</v>
      </c>
      <c r="AE419" s="78">
        <f t="shared" ca="1" si="307"/>
        <v>0</v>
      </c>
      <c r="AF419" s="85">
        <f t="shared" ca="1" si="308"/>
        <v>5.6024873629212379E-10</v>
      </c>
      <c r="AG419" s="168" t="b">
        <f>IF(AJ418&lt;=1,0,IF(AB419&lt;='3.2 Fi&amp;Fo'!$F$34,'3.2 Fi&amp;Fo'!$J$34,IF(AB419&lt;='3.2 Fi&amp;Fo'!$F$35,'3.2 Fi&amp;Fo'!$J$35,IF(AB419&lt;='3.2 Fi&amp;Fo'!$F$36,'3.2 Fi&amp;Fo'!$J$36,IF(AB419&lt;='3.2 Fi&amp;Fo'!$F$37,'3.2 Fi&amp;Fo'!$J$37,IF(AB419&lt;='3.2 Fi&amp;Fo'!$F$38,'3.2 Fi&amp;Fo'!$J$38,IF(AB419&lt;='3.2 Fi&amp;Fo'!$F$39,'3.2 Fi&amp;Fo'!$J$39,IF(AB419&lt;='3.2 Fi&amp;Fo'!$F$40,'3.2 Fi&amp;Fo'!$J$40))))))))</f>
        <v>0</v>
      </c>
      <c r="AH419" s="207">
        <f>IF(AJ418&lt;=1,0,AJ418*IF(AB419&lt;='3.2 Fi&amp;Fo'!$F$34,'3.2 Fi&amp;Fo'!$I$34,IF(AB419&lt;='3.2 Fi&amp;Fo'!$F$35,'3.2 Fi&amp;Fo'!$I$35,IF(AB419&lt;='3.2 Fi&amp;Fo'!$F$36,'3.2 Fi&amp;Fo'!$I$36,IF(AB419&lt;='3.2 Fi&amp;Fo'!$F$39,'3.2 Fi&amp;Fo'!$I$39,IF(AB419&lt;='3.2 Fi&amp;Fo'!$F$40,'3.2 Fi&amp;Fo'!$I$40))))))</f>
        <v>0</v>
      </c>
      <c r="AI419" s="210">
        <f t="shared" si="322"/>
        <v>0</v>
      </c>
      <c r="AJ419" s="209">
        <f t="shared" si="309"/>
        <v>1981583.9767358366</v>
      </c>
      <c r="AK419" s="312">
        <f t="shared" ca="1" si="323"/>
        <v>0</v>
      </c>
      <c r="AL419" s="169">
        <f>IF(AB419&lt;='3.2 Fi&amp;Fo'!$J$15,'3.2 Fi&amp;Fo'!$I$15,0)</f>
        <v>0</v>
      </c>
      <c r="AM419" s="169">
        <f t="shared" si="324"/>
        <v>0</v>
      </c>
      <c r="AN419" s="838" t="str">
        <f t="shared" si="287"/>
        <v/>
      </c>
      <c r="AO419" s="844">
        <f t="shared" ca="1" si="271"/>
        <v>0</v>
      </c>
      <c r="AP419" s="839">
        <f ca="1">DD482</f>
        <v>0</v>
      </c>
      <c r="AQ419" s="844">
        <f t="shared" si="272"/>
        <v>0</v>
      </c>
      <c r="AR419" s="839" t="str">
        <f t="shared" si="288"/>
        <v/>
      </c>
      <c r="AS419" s="839">
        <f t="shared" si="283"/>
        <v>0</v>
      </c>
      <c r="AT419" s="839">
        <f t="shared" si="284"/>
        <v>0</v>
      </c>
      <c r="AU419" s="839">
        <f>'PV-Einspeisung'!AA124*-1</f>
        <v>0</v>
      </c>
      <c r="AV419" s="839">
        <f>'PV-Einspeisung'!AE124*-1</f>
        <v>0</v>
      </c>
      <c r="AW419" s="839"/>
      <c r="AX419" s="839" t="str">
        <f t="shared" si="289"/>
        <v/>
      </c>
      <c r="AY419" s="841" t="str">
        <f t="shared" si="273"/>
        <v/>
      </c>
      <c r="AZ419" s="842" t="str">
        <f t="shared" ref="AZ419:AZ427" si="325">IF($AN419="","",AZ418*$AZ$201)</f>
        <v/>
      </c>
      <c r="BA419" s="842" t="str">
        <f t="shared" si="291"/>
        <v/>
      </c>
      <c r="BB419" s="842" t="str">
        <f t="shared" si="292"/>
        <v/>
      </c>
      <c r="BC419" s="842" t="str">
        <f t="shared" si="293"/>
        <v/>
      </c>
      <c r="BD419" s="842" t="str">
        <f t="shared" si="294"/>
        <v/>
      </c>
      <c r="BE419" s="842" t="str">
        <f t="shared" si="295"/>
        <v/>
      </c>
      <c r="BF419" s="842" t="str">
        <f t="shared" si="296"/>
        <v/>
      </c>
      <c r="BG419" s="842" t="str">
        <f t="shared" si="297"/>
        <v/>
      </c>
      <c r="BH419" s="858" t="str">
        <f t="shared" si="281"/>
        <v/>
      </c>
      <c r="BI419" s="857" t="str">
        <f t="shared" si="298"/>
        <v/>
      </c>
      <c r="BJ419" s="857" t="str">
        <f t="shared" si="299"/>
        <v/>
      </c>
      <c r="BK419" s="859">
        <f>'PV-Einspeisung'!AB124*-1</f>
        <v>0</v>
      </c>
      <c r="BL419" s="824">
        <f t="shared" ca="1" si="317"/>
        <v>0</v>
      </c>
      <c r="BM419" s="824">
        <f t="shared" ca="1" si="318"/>
        <v>0</v>
      </c>
      <c r="BN419" s="824">
        <f t="shared" ca="1" si="319"/>
        <v>0</v>
      </c>
      <c r="BO419" s="824">
        <f t="shared" ca="1" si="321"/>
        <v>0</v>
      </c>
      <c r="BP419" s="824">
        <f t="shared" ca="1" si="321"/>
        <v>0</v>
      </c>
      <c r="BQ419" s="824">
        <f t="shared" ca="1" si="321"/>
        <v>0</v>
      </c>
      <c r="BR419" s="824">
        <f t="shared" ca="1" si="321"/>
        <v>0</v>
      </c>
      <c r="BS419" s="824">
        <f t="shared" ca="1" si="321"/>
        <v>0</v>
      </c>
      <c r="BT419" s="824">
        <f t="shared" ca="1" si="321"/>
        <v>0</v>
      </c>
      <c r="BU419" s="824">
        <f t="shared" ca="1" si="321"/>
        <v>0</v>
      </c>
      <c r="BV419" s="824">
        <f t="shared" ca="1" si="321"/>
        <v>0</v>
      </c>
      <c r="BW419" s="824">
        <f t="shared" ca="1" si="321"/>
        <v>0</v>
      </c>
      <c r="BX419" s="824">
        <f t="shared" ca="1" si="321"/>
        <v>0</v>
      </c>
      <c r="BY419" s="824">
        <f t="shared" ca="1" si="321"/>
        <v>0</v>
      </c>
      <c r="BZ419" s="824">
        <f t="shared" ca="1" si="321"/>
        <v>0</v>
      </c>
      <c r="CA419" s="824">
        <f t="shared" ca="1" si="321"/>
        <v>0</v>
      </c>
      <c r="CB419" s="824">
        <f t="shared" ca="1" si="321"/>
        <v>0</v>
      </c>
      <c r="CC419" s="824">
        <f t="shared" ca="1" si="321"/>
        <v>0</v>
      </c>
      <c r="CD419" s="824">
        <f t="shared" ca="1" si="321"/>
        <v>0</v>
      </c>
      <c r="CE419" s="824">
        <f t="shared" ca="1" si="320"/>
        <v>0</v>
      </c>
      <c r="CF419" s="824">
        <f t="shared" ca="1" si="320"/>
        <v>0</v>
      </c>
      <c r="CG419" s="824">
        <f t="shared" ca="1" si="320"/>
        <v>0</v>
      </c>
      <c r="CH419" s="824">
        <f t="shared" ca="1" si="320"/>
        <v>0</v>
      </c>
      <c r="CI419" s="824">
        <f t="shared" ca="1" si="320"/>
        <v>0</v>
      </c>
      <c r="CJ419" s="824">
        <f t="shared" ca="1" si="320"/>
        <v>0</v>
      </c>
      <c r="CK419" s="824">
        <f t="shared" ca="1" si="320"/>
        <v>0</v>
      </c>
      <c r="CL419" s="824">
        <f t="shared" ca="1" si="320"/>
        <v>0</v>
      </c>
      <c r="CM419" s="824">
        <f t="shared" ca="1" si="320"/>
        <v>0</v>
      </c>
      <c r="CN419" s="824">
        <f t="shared" ca="1" si="320"/>
        <v>0</v>
      </c>
      <c r="CO419" s="824">
        <f t="shared" ca="1" si="320"/>
        <v>0</v>
      </c>
      <c r="CP419" s="824">
        <f t="shared" ca="1" si="320"/>
        <v>0</v>
      </c>
      <c r="CQ419" s="824">
        <f t="shared" ca="1" si="320"/>
        <v>0</v>
      </c>
      <c r="CR419" s="824">
        <f t="shared" ca="1" si="320"/>
        <v>0</v>
      </c>
      <c r="CS419" s="824">
        <f t="shared" ca="1" si="320"/>
        <v>0</v>
      </c>
      <c r="CT419" s="824">
        <f t="shared" ca="1" si="311"/>
        <v>0</v>
      </c>
      <c r="CU419" s="824">
        <f t="shared" ca="1" si="311"/>
        <v>0</v>
      </c>
      <c r="CV419" s="824">
        <f t="shared" ca="1" si="311"/>
        <v>0</v>
      </c>
      <c r="CW419" s="824">
        <f t="shared" ca="1" si="311"/>
        <v>0</v>
      </c>
      <c r="CX419" s="824">
        <f t="shared" ca="1" si="311"/>
        <v>0</v>
      </c>
      <c r="CY419" s="824">
        <f t="shared" ca="1" si="311"/>
        <v>0</v>
      </c>
      <c r="CZ419" s="824">
        <f t="shared" ca="1" si="311"/>
        <v>0</v>
      </c>
      <c r="DA419" s="824">
        <f t="shared" ca="1" si="311"/>
        <v>0</v>
      </c>
      <c r="DB419" s="824">
        <f t="shared" ca="1" si="311"/>
        <v>0</v>
      </c>
      <c r="DC419" s="824">
        <f t="shared" ca="1" si="311"/>
        <v>0</v>
      </c>
      <c r="DD419" s="824">
        <f t="shared" ca="1" si="311"/>
        <v>0</v>
      </c>
      <c r="DE419" s="824">
        <f t="shared" ca="1" si="311"/>
        <v>0</v>
      </c>
      <c r="DF419" s="824">
        <f t="shared" ca="1" si="311"/>
        <v>0</v>
      </c>
      <c r="DG419" s="824">
        <f t="shared" ca="1" si="314"/>
        <v>0</v>
      </c>
      <c r="DH419" s="824">
        <f t="shared" ca="1" si="314"/>
        <v>0</v>
      </c>
      <c r="DI419" s="824">
        <f t="shared" ca="1" si="314"/>
        <v>0</v>
      </c>
      <c r="DJ419" s="824">
        <f t="shared" ca="1" si="314"/>
        <v>0</v>
      </c>
      <c r="DK419" s="824">
        <f t="shared" ca="1" si="313"/>
        <v>0</v>
      </c>
      <c r="DL419" s="824">
        <f t="shared" ca="1" si="313"/>
        <v>0</v>
      </c>
    </row>
    <row r="420" spans="2:116" ht="12" thickBot="1" x14ac:dyDescent="0.3">
      <c r="B420" s="1673"/>
      <c r="C420" s="1680"/>
      <c r="D420" s="15" t="s">
        <v>44</v>
      </c>
      <c r="E420" s="165"/>
      <c r="F420" s="116">
        <f ca="1">SUBTOTAL(109,'3.2 I&amp;W'!$X$128)</f>
        <v>0</v>
      </c>
      <c r="G420" s="116">
        <f ca="1">SUBTOTAL(109,'3.2 I&amp;W'!$Y$128)</f>
        <v>0</v>
      </c>
      <c r="H420" s="116">
        <f ca="1">SUBTOTAL(109,'3.2 I&amp;W'!$AD$128)</f>
        <v>5.0183241712477095E-2</v>
      </c>
      <c r="I420" s="116">
        <f ca="1">SUBTOTAL(109,'3.2 I&amp;W'!$AE$128)</f>
        <v>1205</v>
      </c>
      <c r="J420" s="116"/>
      <c r="K420" s="116"/>
      <c r="L420" s="116"/>
      <c r="M420" s="116">
        <f ca="1">SUBTOTAL(109,'3.2 I&amp;W'!$AI$128)</f>
        <v>20</v>
      </c>
      <c r="N420" s="156">
        <f t="shared" ca="1" si="262"/>
        <v>1</v>
      </c>
      <c r="O420" s="116">
        <f>SUBTOTAL(109,'3.2 I&amp;W'!$S$128)</f>
        <v>24012</v>
      </c>
      <c r="P420" s="30">
        <f t="shared" ca="1" si="302"/>
        <v>22197.244123510751</v>
      </c>
      <c r="Q420" s="31">
        <f t="shared" ca="1" si="303"/>
        <v>0</v>
      </c>
      <c r="R420" s="31">
        <f t="shared" ca="1" si="304"/>
        <v>0</v>
      </c>
      <c r="S420" s="31">
        <f t="shared" ca="1" si="305"/>
        <v>0</v>
      </c>
      <c r="T420" s="32">
        <f t="shared" ca="1" si="306"/>
        <v>0</v>
      </c>
      <c r="U420" s="37">
        <f t="shared" ca="1" si="263"/>
        <v>4123.2198372298963</v>
      </c>
      <c r="V420" s="40">
        <f t="shared" ca="1" si="315"/>
        <v>0</v>
      </c>
      <c r="W420" s="41">
        <f t="shared" ca="1" si="316"/>
        <v>38706.771123167651</v>
      </c>
      <c r="X420" s="43"/>
      <c r="Y420" s="46"/>
      <c r="Z420" s="126"/>
      <c r="AA420" s="136"/>
      <c r="AB420" s="83">
        <v>43</v>
      </c>
      <c r="AC420" s="84">
        <f ca="1">IF(AF419&lt;=1,0,'3.2 Fi&amp;Fo'!$I$25)</f>
        <v>0</v>
      </c>
      <c r="AD420" s="72">
        <f ca="1">IF(AF419&lt;=1,0,AF419*'3.2 Fi&amp;Fo'!$H$25)</f>
        <v>0</v>
      </c>
      <c r="AE420" s="78">
        <f t="shared" ca="1" si="307"/>
        <v>0</v>
      </c>
      <c r="AF420" s="85">
        <f t="shared" ca="1" si="308"/>
        <v>5.6024873629212379E-10</v>
      </c>
      <c r="AG420" s="168" t="b">
        <f>IF(AJ419&lt;=1,0,IF(AB420&lt;='3.2 Fi&amp;Fo'!$F$34,'3.2 Fi&amp;Fo'!$J$34,IF(AB420&lt;='3.2 Fi&amp;Fo'!$F$35,'3.2 Fi&amp;Fo'!$J$35,IF(AB420&lt;='3.2 Fi&amp;Fo'!$F$36,'3.2 Fi&amp;Fo'!$J$36,IF(AB420&lt;='3.2 Fi&amp;Fo'!$F$37,'3.2 Fi&amp;Fo'!$J$37,IF(AB420&lt;='3.2 Fi&amp;Fo'!$F$38,'3.2 Fi&amp;Fo'!$J$38,IF(AB420&lt;='3.2 Fi&amp;Fo'!$F$39,'3.2 Fi&amp;Fo'!$J$39,IF(AB420&lt;='3.2 Fi&amp;Fo'!$F$40,'3.2 Fi&amp;Fo'!$J$40))))))))</f>
        <v>0</v>
      </c>
      <c r="AH420" s="207">
        <f>IF(AJ419&lt;=1,0,AJ419*IF(AB420&lt;='3.2 Fi&amp;Fo'!$F$34,'3.2 Fi&amp;Fo'!$I$34,IF(AB420&lt;='3.2 Fi&amp;Fo'!$F$35,'3.2 Fi&amp;Fo'!$I$35,IF(AB420&lt;='3.2 Fi&amp;Fo'!$F$36,'3.2 Fi&amp;Fo'!$I$36,IF(AB420&lt;='3.2 Fi&amp;Fo'!$F$39,'3.2 Fi&amp;Fo'!$I$39,IF(AB420&lt;='3.2 Fi&amp;Fo'!$F$40,'3.2 Fi&amp;Fo'!$I$40))))))</f>
        <v>0</v>
      </c>
      <c r="AI420" s="210">
        <f t="shared" si="322"/>
        <v>0</v>
      </c>
      <c r="AJ420" s="209">
        <f t="shared" si="309"/>
        <v>1981583.9767358366</v>
      </c>
      <c r="AK420" s="312">
        <f t="shared" ca="1" si="323"/>
        <v>0</v>
      </c>
      <c r="AL420" s="169">
        <f>IF(AB420&lt;='3.2 Fi&amp;Fo'!$J$15,'3.2 Fi&amp;Fo'!$I$15,0)</f>
        <v>0</v>
      </c>
      <c r="AM420" s="169">
        <f t="shared" si="324"/>
        <v>0</v>
      </c>
      <c r="AN420" s="838" t="str">
        <f t="shared" si="287"/>
        <v/>
      </c>
      <c r="AO420" s="844">
        <f t="shared" ca="1" si="271"/>
        <v>0</v>
      </c>
      <c r="AP420" s="839">
        <f ca="1">DE482</f>
        <v>0</v>
      </c>
      <c r="AQ420" s="844">
        <f t="shared" si="272"/>
        <v>0</v>
      </c>
      <c r="AR420" s="839" t="str">
        <f t="shared" si="288"/>
        <v/>
      </c>
      <c r="AS420" s="839">
        <f t="shared" si="283"/>
        <v>0</v>
      </c>
      <c r="AT420" s="839">
        <f t="shared" si="284"/>
        <v>0</v>
      </c>
      <c r="AU420" s="839">
        <f>'PV-Einspeisung'!AA125*-1</f>
        <v>0</v>
      </c>
      <c r="AV420" s="839">
        <f>'PV-Einspeisung'!AE125*-1</f>
        <v>0</v>
      </c>
      <c r="AW420" s="839"/>
      <c r="AX420" s="839" t="str">
        <f t="shared" si="289"/>
        <v/>
      </c>
      <c r="AY420" s="841" t="str">
        <f t="shared" si="273"/>
        <v/>
      </c>
      <c r="AZ420" s="842" t="str">
        <f t="shared" si="325"/>
        <v/>
      </c>
      <c r="BA420" s="842" t="str">
        <f t="shared" si="291"/>
        <v/>
      </c>
      <c r="BB420" s="842" t="str">
        <f t="shared" si="292"/>
        <v/>
      </c>
      <c r="BC420" s="842" t="str">
        <f t="shared" si="293"/>
        <v/>
      </c>
      <c r="BD420" s="842" t="str">
        <f t="shared" si="294"/>
        <v/>
      </c>
      <c r="BE420" s="842" t="str">
        <f t="shared" si="295"/>
        <v/>
      </c>
      <c r="BF420" s="842" t="str">
        <f t="shared" si="296"/>
        <v/>
      </c>
      <c r="BG420" s="842" t="str">
        <f t="shared" si="297"/>
        <v/>
      </c>
      <c r="BH420" s="858" t="str">
        <f t="shared" si="281"/>
        <v/>
      </c>
      <c r="BI420" s="857" t="str">
        <f t="shared" si="298"/>
        <v/>
      </c>
      <c r="BJ420" s="857" t="str">
        <f t="shared" si="299"/>
        <v/>
      </c>
      <c r="BK420" s="859">
        <f>'PV-Einspeisung'!AB125*-1</f>
        <v>0</v>
      </c>
      <c r="BL420" s="824">
        <f t="shared" ca="1" si="317"/>
        <v>20</v>
      </c>
      <c r="BM420" s="824">
        <f t="shared" ca="1" si="318"/>
        <v>1</v>
      </c>
      <c r="BN420" s="824">
        <f t="shared" si="319"/>
        <v>24012</v>
      </c>
      <c r="BO420" s="824">
        <f t="shared" ca="1" si="321"/>
        <v>0</v>
      </c>
      <c r="BP420" s="824">
        <f t="shared" ca="1" si="321"/>
        <v>0</v>
      </c>
      <c r="BQ420" s="824">
        <f t="shared" ca="1" si="321"/>
        <v>0</v>
      </c>
      <c r="BR420" s="824">
        <f t="shared" ca="1" si="321"/>
        <v>0</v>
      </c>
      <c r="BS420" s="824">
        <f t="shared" ca="1" si="321"/>
        <v>0</v>
      </c>
      <c r="BT420" s="824">
        <f t="shared" ca="1" si="321"/>
        <v>0</v>
      </c>
      <c r="BU420" s="824">
        <f t="shared" ca="1" si="321"/>
        <v>0</v>
      </c>
      <c r="BV420" s="824">
        <f t="shared" ca="1" si="321"/>
        <v>0</v>
      </c>
      <c r="BW420" s="824">
        <f t="shared" ca="1" si="321"/>
        <v>0</v>
      </c>
      <c r="BX420" s="824">
        <f t="shared" ca="1" si="321"/>
        <v>0</v>
      </c>
      <c r="BY420" s="824">
        <f t="shared" ca="1" si="321"/>
        <v>0</v>
      </c>
      <c r="BZ420" s="824">
        <f t="shared" ca="1" si="321"/>
        <v>0</v>
      </c>
      <c r="CA420" s="824">
        <f t="shared" ca="1" si="321"/>
        <v>0</v>
      </c>
      <c r="CB420" s="824">
        <f t="shared" ca="1" si="321"/>
        <v>0</v>
      </c>
      <c r="CC420" s="824">
        <f t="shared" ca="1" si="321"/>
        <v>0</v>
      </c>
      <c r="CD420" s="824">
        <f t="shared" ca="1" si="321"/>
        <v>0</v>
      </c>
      <c r="CE420" s="824">
        <f t="shared" ca="1" si="320"/>
        <v>0</v>
      </c>
      <c r="CF420" s="824">
        <f t="shared" ca="1" si="320"/>
        <v>0</v>
      </c>
      <c r="CG420" s="824">
        <f t="shared" ca="1" si="320"/>
        <v>0</v>
      </c>
      <c r="CH420" s="824">
        <f t="shared" ca="1" si="320"/>
        <v>32983.937103226628</v>
      </c>
      <c r="CI420" s="824">
        <f t="shared" ca="1" si="320"/>
        <v>0</v>
      </c>
      <c r="CJ420" s="824">
        <f t="shared" ca="1" si="320"/>
        <v>0</v>
      </c>
      <c r="CK420" s="824">
        <f t="shared" ca="1" si="320"/>
        <v>0</v>
      </c>
      <c r="CL420" s="824">
        <f t="shared" ca="1" si="320"/>
        <v>0</v>
      </c>
      <c r="CM420" s="824">
        <f t="shared" ca="1" si="320"/>
        <v>0</v>
      </c>
      <c r="CN420" s="824">
        <f t="shared" ca="1" si="320"/>
        <v>0</v>
      </c>
      <c r="CO420" s="824">
        <f t="shared" ca="1" si="320"/>
        <v>0</v>
      </c>
      <c r="CP420" s="824">
        <f t="shared" ca="1" si="320"/>
        <v>0</v>
      </c>
      <c r="CQ420" s="824">
        <f t="shared" ca="1" si="320"/>
        <v>0</v>
      </c>
      <c r="CR420" s="824">
        <f t="shared" ca="1" si="320"/>
        <v>0</v>
      </c>
      <c r="CS420" s="824">
        <f t="shared" ca="1" si="320"/>
        <v>0</v>
      </c>
      <c r="CT420" s="824">
        <f t="shared" ca="1" si="311"/>
        <v>0</v>
      </c>
      <c r="CU420" s="824">
        <f t="shared" ca="1" si="311"/>
        <v>0</v>
      </c>
      <c r="CV420" s="824">
        <f t="shared" ca="1" si="311"/>
        <v>0</v>
      </c>
      <c r="CW420" s="824">
        <f t="shared" ca="1" si="311"/>
        <v>0</v>
      </c>
      <c r="CX420" s="824">
        <f t="shared" ca="1" si="311"/>
        <v>0</v>
      </c>
      <c r="CY420" s="824">
        <f t="shared" ca="1" si="311"/>
        <v>0</v>
      </c>
      <c r="CZ420" s="824">
        <f t="shared" ca="1" si="311"/>
        <v>0</v>
      </c>
      <c r="DA420" s="824">
        <f t="shared" ca="1" si="311"/>
        <v>0</v>
      </c>
      <c r="DB420" s="824">
        <f t="shared" ca="1" si="311"/>
        <v>0</v>
      </c>
      <c r="DC420" s="824">
        <f t="shared" ca="1" si="311"/>
        <v>0</v>
      </c>
      <c r="DD420" s="824">
        <f t="shared" ca="1" si="311"/>
        <v>0</v>
      </c>
      <c r="DE420" s="824">
        <f t="shared" ca="1" si="311"/>
        <v>0</v>
      </c>
      <c r="DF420" s="824">
        <f t="shared" ca="1" si="311"/>
        <v>0</v>
      </c>
      <c r="DG420" s="824">
        <f t="shared" ca="1" si="314"/>
        <v>0</v>
      </c>
      <c r="DH420" s="824">
        <f t="shared" ca="1" si="314"/>
        <v>0</v>
      </c>
      <c r="DI420" s="824">
        <f t="shared" ca="1" si="314"/>
        <v>0</v>
      </c>
      <c r="DJ420" s="824">
        <f t="shared" ca="1" si="314"/>
        <v>0</v>
      </c>
      <c r="DK420" s="824">
        <f t="shared" ca="1" si="313"/>
        <v>0</v>
      </c>
      <c r="DL420" s="824">
        <f t="shared" ca="1" si="313"/>
        <v>0</v>
      </c>
    </row>
    <row r="421" spans="2:116" ht="12" thickBot="1" x14ac:dyDescent="0.3">
      <c r="B421" s="1673"/>
      <c r="C421" s="1680"/>
      <c r="D421" s="15" t="s">
        <v>44</v>
      </c>
      <c r="E421" s="116"/>
      <c r="F421" s="116">
        <f ca="1">SUBTOTAL(109,'3.2 I&amp;W'!$X$129)</f>
        <v>0</v>
      </c>
      <c r="G421" s="116">
        <f ca="1">SUBTOTAL(109,'3.2 I&amp;W'!$Y$129)</f>
        <v>0</v>
      </c>
      <c r="H421" s="116">
        <f ca="1">SUBTOTAL(109,'3.2 I&amp;W'!$AD$129)</f>
        <v>0</v>
      </c>
      <c r="I421" s="116">
        <f ca="1">SUBTOTAL(109,'3.2 I&amp;W'!$AE$129)</f>
        <v>0</v>
      </c>
      <c r="J421" s="116"/>
      <c r="K421" s="116"/>
      <c r="L421" s="116"/>
      <c r="M421" s="116">
        <f ca="1">SUBTOTAL(109,'3.2 I&amp;W'!$AI$129)</f>
        <v>50</v>
      </c>
      <c r="N421" s="156">
        <f t="shared" ca="1" si="262"/>
        <v>0</v>
      </c>
      <c r="O421" s="116">
        <f>SUBTOTAL(109,'3.2 I&amp;W'!$S$129)</f>
        <v>82177.2</v>
      </c>
      <c r="P421" s="30">
        <f t="shared" ca="1" si="302"/>
        <v>0</v>
      </c>
      <c r="Q421" s="31">
        <f t="shared" ca="1" si="303"/>
        <v>0</v>
      </c>
      <c r="R421" s="31">
        <f t="shared" ca="1" si="304"/>
        <v>0</v>
      </c>
      <c r="S421" s="31">
        <f t="shared" ca="1" si="305"/>
        <v>0</v>
      </c>
      <c r="T421" s="32">
        <f t="shared" ca="1" si="306"/>
        <v>0</v>
      </c>
      <c r="U421" s="37">
        <f t="shared" ca="1" si="263"/>
        <v>12327.260756564896</v>
      </c>
      <c r="V421" s="40">
        <f t="shared" ca="1" si="315"/>
        <v>0</v>
      </c>
      <c r="W421" s="41">
        <f t="shared" ca="1" si="316"/>
        <v>0</v>
      </c>
      <c r="X421" s="43"/>
      <c r="Y421" s="46"/>
      <c r="Z421" s="126"/>
      <c r="AA421" s="136"/>
      <c r="AB421" s="83">
        <v>44</v>
      </c>
      <c r="AC421" s="84">
        <f ca="1">IF(AF420&lt;=1,0,'3.2 Fi&amp;Fo'!$I$25)</f>
        <v>0</v>
      </c>
      <c r="AD421" s="72">
        <f ca="1">IF(AF420&lt;=1,0,AF420*'3.2 Fi&amp;Fo'!$H$25)</f>
        <v>0</v>
      </c>
      <c r="AE421" s="78">
        <f t="shared" ca="1" si="307"/>
        <v>0</v>
      </c>
      <c r="AF421" s="85">
        <f t="shared" ca="1" si="308"/>
        <v>5.6024873629212379E-10</v>
      </c>
      <c r="AG421" s="168" t="b">
        <f>IF(AJ420&lt;=1,0,IF(AB421&lt;='3.2 Fi&amp;Fo'!$F$34,'3.2 Fi&amp;Fo'!$J$34,IF(AB421&lt;='3.2 Fi&amp;Fo'!$F$35,'3.2 Fi&amp;Fo'!$J$35,IF(AB421&lt;='3.2 Fi&amp;Fo'!$F$36,'3.2 Fi&amp;Fo'!$J$36,IF(AB421&lt;='3.2 Fi&amp;Fo'!$F$37,'3.2 Fi&amp;Fo'!$J$37,IF(AB421&lt;='3.2 Fi&amp;Fo'!$F$38,'3.2 Fi&amp;Fo'!$J$38,IF(AB421&lt;='3.2 Fi&amp;Fo'!$F$39,'3.2 Fi&amp;Fo'!$J$39,IF(AB421&lt;='3.2 Fi&amp;Fo'!$F$40,'3.2 Fi&amp;Fo'!$J$40))))))))</f>
        <v>0</v>
      </c>
      <c r="AH421" s="207">
        <f>IF(AJ420&lt;=1,0,AJ420*IF(AB421&lt;='3.2 Fi&amp;Fo'!$F$34,'3.2 Fi&amp;Fo'!$I$34,IF(AB421&lt;='3.2 Fi&amp;Fo'!$F$35,'3.2 Fi&amp;Fo'!$I$35,IF(AB421&lt;='3.2 Fi&amp;Fo'!$F$36,'3.2 Fi&amp;Fo'!$I$36,IF(AB421&lt;='3.2 Fi&amp;Fo'!$F$39,'3.2 Fi&amp;Fo'!$I$39,IF(AB421&lt;='3.2 Fi&amp;Fo'!$F$40,'3.2 Fi&amp;Fo'!$I$40))))))</f>
        <v>0</v>
      </c>
      <c r="AI421" s="210">
        <f t="shared" si="322"/>
        <v>0</v>
      </c>
      <c r="AJ421" s="209">
        <f t="shared" si="309"/>
        <v>1981583.9767358366</v>
      </c>
      <c r="AK421" s="312">
        <f t="shared" ca="1" si="323"/>
        <v>0</v>
      </c>
      <c r="AL421" s="169">
        <f>IF(AB421&lt;='3.2 Fi&amp;Fo'!$J$15,'3.2 Fi&amp;Fo'!$I$15,0)</f>
        <v>0</v>
      </c>
      <c r="AM421" s="169">
        <f t="shared" si="324"/>
        <v>0</v>
      </c>
      <c r="AN421" s="838" t="str">
        <f t="shared" si="287"/>
        <v/>
      </c>
      <c r="AO421" s="844">
        <f t="shared" ca="1" si="271"/>
        <v>0</v>
      </c>
      <c r="AP421" s="839">
        <f ca="1">DF482</f>
        <v>0</v>
      </c>
      <c r="AQ421" s="844">
        <f t="shared" si="272"/>
        <v>0</v>
      </c>
      <c r="AR421" s="839" t="str">
        <f t="shared" si="288"/>
        <v/>
      </c>
      <c r="AS421" s="839">
        <f t="shared" si="283"/>
        <v>0</v>
      </c>
      <c r="AT421" s="839">
        <f t="shared" si="284"/>
        <v>0</v>
      </c>
      <c r="AU421" s="839">
        <f>'PV-Einspeisung'!AA126*-1</f>
        <v>0</v>
      </c>
      <c r="AV421" s="839">
        <f>'PV-Einspeisung'!AE126*-1</f>
        <v>0</v>
      </c>
      <c r="AW421" s="839"/>
      <c r="AX421" s="839" t="str">
        <f t="shared" si="289"/>
        <v/>
      </c>
      <c r="AY421" s="841" t="str">
        <f t="shared" si="273"/>
        <v/>
      </c>
      <c r="AZ421" s="842" t="str">
        <f t="shared" si="325"/>
        <v/>
      </c>
      <c r="BA421" s="842" t="str">
        <f t="shared" si="291"/>
        <v/>
      </c>
      <c r="BB421" s="842" t="str">
        <f t="shared" si="292"/>
        <v/>
      </c>
      <c r="BC421" s="842" t="str">
        <f t="shared" si="293"/>
        <v/>
      </c>
      <c r="BD421" s="842" t="str">
        <f t="shared" si="294"/>
        <v/>
      </c>
      <c r="BE421" s="842" t="str">
        <f t="shared" si="295"/>
        <v/>
      </c>
      <c r="BF421" s="842" t="str">
        <f t="shared" si="296"/>
        <v/>
      </c>
      <c r="BG421" s="842" t="str">
        <f t="shared" si="297"/>
        <v/>
      </c>
      <c r="BH421" s="858" t="str">
        <f t="shared" si="281"/>
        <v/>
      </c>
      <c r="BI421" s="857" t="str">
        <f t="shared" si="298"/>
        <v/>
      </c>
      <c r="BJ421" s="857" t="str">
        <f t="shared" si="299"/>
        <v/>
      </c>
      <c r="BK421" s="859">
        <f>'PV-Einspeisung'!AB126*-1</f>
        <v>0</v>
      </c>
      <c r="BL421" s="824">
        <f t="shared" ca="1" si="317"/>
        <v>50</v>
      </c>
      <c r="BM421" s="824">
        <f t="shared" ca="1" si="318"/>
        <v>0</v>
      </c>
      <c r="BN421" s="824">
        <f t="shared" si="319"/>
        <v>82177.2</v>
      </c>
      <c r="BO421" s="824">
        <f t="shared" ca="1" si="321"/>
        <v>0</v>
      </c>
      <c r="BP421" s="824">
        <f t="shared" ca="1" si="321"/>
        <v>0</v>
      </c>
      <c r="BQ421" s="824">
        <f t="shared" ca="1" si="321"/>
        <v>0</v>
      </c>
      <c r="BR421" s="824">
        <f t="shared" ca="1" si="321"/>
        <v>0</v>
      </c>
      <c r="BS421" s="824">
        <f t="shared" ca="1" si="321"/>
        <v>0</v>
      </c>
      <c r="BT421" s="824">
        <f t="shared" ca="1" si="321"/>
        <v>0</v>
      </c>
      <c r="BU421" s="824">
        <f t="shared" ca="1" si="321"/>
        <v>0</v>
      </c>
      <c r="BV421" s="824">
        <f t="shared" ca="1" si="321"/>
        <v>0</v>
      </c>
      <c r="BW421" s="824">
        <f t="shared" ca="1" si="321"/>
        <v>0</v>
      </c>
      <c r="BX421" s="824">
        <f t="shared" ca="1" si="321"/>
        <v>0</v>
      </c>
      <c r="BY421" s="824">
        <f t="shared" ca="1" si="321"/>
        <v>0</v>
      </c>
      <c r="BZ421" s="824">
        <f t="shared" ca="1" si="321"/>
        <v>0</v>
      </c>
      <c r="CA421" s="824">
        <f t="shared" ca="1" si="321"/>
        <v>0</v>
      </c>
      <c r="CB421" s="824">
        <f t="shared" ca="1" si="321"/>
        <v>0</v>
      </c>
      <c r="CC421" s="824">
        <f t="shared" ca="1" si="321"/>
        <v>0</v>
      </c>
      <c r="CD421" s="824">
        <f t="shared" ca="1" si="321"/>
        <v>0</v>
      </c>
      <c r="CE421" s="824">
        <f t="shared" ca="1" si="320"/>
        <v>0</v>
      </c>
      <c r="CF421" s="824">
        <f t="shared" ca="1" si="320"/>
        <v>0</v>
      </c>
      <c r="CG421" s="824">
        <f t="shared" ca="1" si="320"/>
        <v>0</v>
      </c>
      <c r="CH421" s="824">
        <f t="shared" ca="1" si="320"/>
        <v>0</v>
      </c>
      <c r="CI421" s="824">
        <f t="shared" ca="1" si="320"/>
        <v>0</v>
      </c>
      <c r="CJ421" s="824">
        <f t="shared" ca="1" si="320"/>
        <v>0</v>
      </c>
      <c r="CK421" s="824">
        <f t="shared" ca="1" si="320"/>
        <v>0</v>
      </c>
      <c r="CL421" s="824">
        <f t="shared" ca="1" si="320"/>
        <v>0</v>
      </c>
      <c r="CM421" s="824">
        <f t="shared" ca="1" si="320"/>
        <v>0</v>
      </c>
      <c r="CN421" s="824">
        <f t="shared" ca="1" si="320"/>
        <v>0</v>
      </c>
      <c r="CO421" s="824">
        <f t="shared" ca="1" si="320"/>
        <v>0</v>
      </c>
      <c r="CP421" s="824">
        <f t="shared" ca="1" si="320"/>
        <v>0</v>
      </c>
      <c r="CQ421" s="824">
        <f t="shared" ca="1" si="320"/>
        <v>0</v>
      </c>
      <c r="CR421" s="824">
        <f t="shared" ca="1" si="320"/>
        <v>0</v>
      </c>
      <c r="CS421" s="824">
        <f t="shared" ca="1" si="320"/>
        <v>0</v>
      </c>
      <c r="CT421" s="824">
        <f t="shared" ca="1" si="311"/>
        <v>0</v>
      </c>
      <c r="CU421" s="824">
        <f t="shared" ca="1" si="311"/>
        <v>0</v>
      </c>
      <c r="CV421" s="824">
        <f t="shared" ca="1" si="311"/>
        <v>0</v>
      </c>
      <c r="CW421" s="824">
        <f t="shared" ca="1" si="311"/>
        <v>0</v>
      </c>
      <c r="CX421" s="824">
        <f t="shared" ca="1" si="311"/>
        <v>0</v>
      </c>
      <c r="CY421" s="824">
        <f t="shared" ca="1" si="311"/>
        <v>0</v>
      </c>
      <c r="CZ421" s="824">
        <f t="shared" ca="1" si="311"/>
        <v>0</v>
      </c>
      <c r="DA421" s="824">
        <f t="shared" ca="1" si="311"/>
        <v>0</v>
      </c>
      <c r="DB421" s="824">
        <f t="shared" ca="1" si="311"/>
        <v>0</v>
      </c>
      <c r="DC421" s="824">
        <f t="shared" ca="1" si="311"/>
        <v>0</v>
      </c>
      <c r="DD421" s="824">
        <f t="shared" ca="1" si="311"/>
        <v>0</v>
      </c>
      <c r="DE421" s="824">
        <f t="shared" ca="1" si="311"/>
        <v>0</v>
      </c>
      <c r="DF421" s="824">
        <f t="shared" ca="1" si="311"/>
        <v>0</v>
      </c>
      <c r="DG421" s="824">
        <f t="shared" ca="1" si="314"/>
        <v>0</v>
      </c>
      <c r="DH421" s="824">
        <f t="shared" ca="1" si="314"/>
        <v>0</v>
      </c>
      <c r="DI421" s="824">
        <f t="shared" ca="1" si="314"/>
        <v>0</v>
      </c>
      <c r="DJ421" s="824">
        <f t="shared" ca="1" si="314"/>
        <v>0</v>
      </c>
      <c r="DK421" s="824">
        <f t="shared" ca="1" si="314"/>
        <v>0</v>
      </c>
      <c r="DL421" s="824">
        <f t="shared" ca="1" si="314"/>
        <v>0</v>
      </c>
    </row>
    <row r="422" spans="2:116" ht="12" thickBot="1" x14ac:dyDescent="0.3">
      <c r="B422" s="1673"/>
      <c r="C422" s="1680"/>
      <c r="D422" s="15" t="s">
        <v>44</v>
      </c>
      <c r="E422" s="165"/>
      <c r="F422" s="116">
        <f ca="1">SUBTOTAL(109,'3.2 I&amp;W'!$X$130)</f>
        <v>0</v>
      </c>
      <c r="G422" s="116">
        <f ca="1">SUBTOTAL(109,'3.2 I&amp;W'!$Y$130)</f>
        <v>0</v>
      </c>
      <c r="H422" s="116">
        <f ca="1">SUBTOTAL(109,'3.2 I&amp;W'!$AD$130)</f>
        <v>0</v>
      </c>
      <c r="I422" s="116">
        <f ca="1">SUBTOTAL(109,'3.2 I&amp;W'!$AE$130)</f>
        <v>0</v>
      </c>
      <c r="J422" s="116"/>
      <c r="K422" s="116"/>
      <c r="L422" s="116"/>
      <c r="M422" s="116">
        <f ca="1">SUBTOTAL(109,'3.2 I&amp;W'!$AI$130)</f>
        <v>0</v>
      </c>
      <c r="N422" s="156">
        <f t="shared" ca="1" si="262"/>
        <v>0</v>
      </c>
      <c r="O422" s="116">
        <f ca="1">SUBTOTAL(109,'3.2 I&amp;W'!$S$130)</f>
        <v>0</v>
      </c>
      <c r="P422" s="30">
        <f t="shared" ca="1" si="302"/>
        <v>0</v>
      </c>
      <c r="Q422" s="31">
        <f t="shared" ca="1" si="303"/>
        <v>0</v>
      </c>
      <c r="R422" s="31">
        <f t="shared" ca="1" si="304"/>
        <v>0</v>
      </c>
      <c r="S422" s="31">
        <f t="shared" ca="1" si="305"/>
        <v>0</v>
      </c>
      <c r="T422" s="32">
        <f t="shared" ca="1" si="306"/>
        <v>0</v>
      </c>
      <c r="U422" s="37">
        <f t="shared" ca="1" si="263"/>
        <v>0</v>
      </c>
      <c r="V422" s="40">
        <f t="shared" ca="1" si="315"/>
        <v>0</v>
      </c>
      <c r="W422" s="41">
        <f t="shared" ca="1" si="316"/>
        <v>0</v>
      </c>
      <c r="X422" s="43"/>
      <c r="Y422" s="46"/>
      <c r="Z422" s="126"/>
      <c r="AA422" s="136"/>
      <c r="AB422" s="83">
        <v>45</v>
      </c>
      <c r="AC422" s="84">
        <f ca="1">IF(AF421&lt;=1,0,'3.2 Fi&amp;Fo'!$I$25)</f>
        <v>0</v>
      </c>
      <c r="AD422" s="72">
        <f ca="1">IF(AF421&lt;=1,0,AF421*'3.2 Fi&amp;Fo'!$H$25)</f>
        <v>0</v>
      </c>
      <c r="AE422" s="78">
        <f t="shared" ca="1" si="307"/>
        <v>0</v>
      </c>
      <c r="AF422" s="85">
        <f t="shared" ca="1" si="308"/>
        <v>5.6024873629212379E-10</v>
      </c>
      <c r="AG422" s="168" t="b">
        <f>IF(AJ421&lt;=1,0,IF(AB422&lt;='3.2 Fi&amp;Fo'!$F$34,'3.2 Fi&amp;Fo'!$J$34,IF(AB422&lt;='3.2 Fi&amp;Fo'!$F$35,'3.2 Fi&amp;Fo'!$J$35,IF(AB422&lt;='3.2 Fi&amp;Fo'!$F$36,'3.2 Fi&amp;Fo'!$J$36,IF(AB422&lt;='3.2 Fi&amp;Fo'!$F$37,'3.2 Fi&amp;Fo'!$J$37,IF(AB422&lt;='3.2 Fi&amp;Fo'!$F$38,'3.2 Fi&amp;Fo'!$J$38,IF(AB422&lt;='3.2 Fi&amp;Fo'!$F$39,'3.2 Fi&amp;Fo'!$J$39,IF(AB422&lt;='3.2 Fi&amp;Fo'!$F$40,'3.2 Fi&amp;Fo'!$J$40))))))))</f>
        <v>0</v>
      </c>
      <c r="AH422" s="207">
        <f>IF(AJ421&lt;=1,0,AJ421*IF(AB422&lt;='3.2 Fi&amp;Fo'!$F$34,'3.2 Fi&amp;Fo'!$I$34,IF(AB422&lt;='3.2 Fi&amp;Fo'!$F$35,'3.2 Fi&amp;Fo'!$I$35,IF(AB422&lt;='3.2 Fi&amp;Fo'!$F$36,'3.2 Fi&amp;Fo'!$I$36,IF(AB422&lt;='3.2 Fi&amp;Fo'!$F$39,'3.2 Fi&amp;Fo'!$I$39,IF(AB422&lt;='3.2 Fi&amp;Fo'!$F$40,'3.2 Fi&amp;Fo'!$I$40))))))</f>
        <v>0</v>
      </c>
      <c r="AI422" s="210">
        <f t="shared" si="322"/>
        <v>0</v>
      </c>
      <c r="AJ422" s="209">
        <f t="shared" si="309"/>
        <v>1981583.9767358366</v>
      </c>
      <c r="AK422" s="312">
        <f t="shared" ca="1" si="323"/>
        <v>0</v>
      </c>
      <c r="AL422" s="169">
        <f>IF(AB422&lt;='3.2 Fi&amp;Fo'!$J$15,'3.2 Fi&amp;Fo'!$I$15,0)</f>
        <v>0</v>
      </c>
      <c r="AM422" s="169">
        <f t="shared" si="324"/>
        <v>0</v>
      </c>
      <c r="AN422" s="838" t="str">
        <f t="shared" si="287"/>
        <v/>
      </c>
      <c r="AO422" s="844">
        <f t="shared" ca="1" si="271"/>
        <v>0</v>
      </c>
      <c r="AP422" s="839">
        <f ca="1">DG482</f>
        <v>0</v>
      </c>
      <c r="AQ422" s="844">
        <f t="shared" si="272"/>
        <v>0</v>
      </c>
      <c r="AR422" s="839" t="str">
        <f t="shared" si="288"/>
        <v/>
      </c>
      <c r="AS422" s="839">
        <f t="shared" si="283"/>
        <v>0</v>
      </c>
      <c r="AT422" s="839">
        <f t="shared" si="284"/>
        <v>0</v>
      </c>
      <c r="AU422" s="839">
        <f>'PV-Einspeisung'!AA127*-1</f>
        <v>0</v>
      </c>
      <c r="AV422" s="839">
        <f>'PV-Einspeisung'!AE127*-1</f>
        <v>0</v>
      </c>
      <c r="AW422" s="839"/>
      <c r="AX422" s="839" t="str">
        <f t="shared" si="289"/>
        <v/>
      </c>
      <c r="AY422" s="841" t="str">
        <f t="shared" si="273"/>
        <v/>
      </c>
      <c r="AZ422" s="842" t="str">
        <f t="shared" si="325"/>
        <v/>
      </c>
      <c r="BA422" s="842" t="str">
        <f t="shared" si="291"/>
        <v/>
      </c>
      <c r="BB422" s="842" t="str">
        <f t="shared" si="292"/>
        <v/>
      </c>
      <c r="BC422" s="842" t="str">
        <f t="shared" si="293"/>
        <v/>
      </c>
      <c r="BD422" s="842" t="str">
        <f t="shared" si="294"/>
        <v/>
      </c>
      <c r="BE422" s="842" t="str">
        <f t="shared" si="295"/>
        <v/>
      </c>
      <c r="BF422" s="842" t="str">
        <f t="shared" si="296"/>
        <v/>
      </c>
      <c r="BG422" s="842" t="str">
        <f t="shared" si="297"/>
        <v/>
      </c>
      <c r="BH422" s="858" t="str">
        <f t="shared" si="281"/>
        <v/>
      </c>
      <c r="BI422" s="857" t="str">
        <f t="shared" si="298"/>
        <v/>
      </c>
      <c r="BJ422" s="857" t="str">
        <f t="shared" si="299"/>
        <v/>
      </c>
      <c r="BK422" s="859">
        <f>'PV-Einspeisung'!AB127*-1</f>
        <v>0</v>
      </c>
      <c r="BL422" s="824">
        <f t="shared" ca="1" si="317"/>
        <v>0</v>
      </c>
      <c r="BM422" s="824">
        <f t="shared" ca="1" si="318"/>
        <v>0</v>
      </c>
      <c r="BN422" s="824">
        <f t="shared" ca="1" si="319"/>
        <v>0</v>
      </c>
      <c r="BO422" s="824">
        <f t="shared" ca="1" si="321"/>
        <v>0</v>
      </c>
      <c r="BP422" s="824">
        <f t="shared" ca="1" si="321"/>
        <v>0</v>
      </c>
      <c r="BQ422" s="824">
        <f t="shared" ca="1" si="321"/>
        <v>0</v>
      </c>
      <c r="BR422" s="824">
        <f t="shared" ca="1" si="321"/>
        <v>0</v>
      </c>
      <c r="BS422" s="824">
        <f t="shared" ca="1" si="321"/>
        <v>0</v>
      </c>
      <c r="BT422" s="824">
        <f t="shared" ca="1" si="321"/>
        <v>0</v>
      </c>
      <c r="BU422" s="824">
        <f t="shared" ca="1" si="321"/>
        <v>0</v>
      </c>
      <c r="BV422" s="824">
        <f t="shared" ca="1" si="321"/>
        <v>0</v>
      </c>
      <c r="BW422" s="824">
        <f t="shared" ca="1" si="321"/>
        <v>0</v>
      </c>
      <c r="BX422" s="824">
        <f t="shared" ca="1" si="321"/>
        <v>0</v>
      </c>
      <c r="BY422" s="824">
        <f t="shared" ca="1" si="321"/>
        <v>0</v>
      </c>
      <c r="BZ422" s="824">
        <f t="shared" ca="1" si="321"/>
        <v>0</v>
      </c>
      <c r="CA422" s="824">
        <f t="shared" ca="1" si="321"/>
        <v>0</v>
      </c>
      <c r="CB422" s="824">
        <f t="shared" ca="1" si="321"/>
        <v>0</v>
      </c>
      <c r="CC422" s="824">
        <f t="shared" ca="1" si="321"/>
        <v>0</v>
      </c>
      <c r="CD422" s="824">
        <f t="shared" ca="1" si="321"/>
        <v>0</v>
      </c>
      <c r="CE422" s="824">
        <f t="shared" ca="1" si="320"/>
        <v>0</v>
      </c>
      <c r="CF422" s="824">
        <f t="shared" ca="1" si="320"/>
        <v>0</v>
      </c>
      <c r="CG422" s="824">
        <f t="shared" ca="1" si="320"/>
        <v>0</v>
      </c>
      <c r="CH422" s="824">
        <f t="shared" ca="1" si="320"/>
        <v>0</v>
      </c>
      <c r="CI422" s="824">
        <f t="shared" ca="1" si="320"/>
        <v>0</v>
      </c>
      <c r="CJ422" s="824">
        <f t="shared" ca="1" si="320"/>
        <v>0</v>
      </c>
      <c r="CK422" s="824">
        <f t="shared" ca="1" si="320"/>
        <v>0</v>
      </c>
      <c r="CL422" s="824">
        <f t="shared" ca="1" si="320"/>
        <v>0</v>
      </c>
      <c r="CM422" s="824">
        <f t="shared" ca="1" si="320"/>
        <v>0</v>
      </c>
      <c r="CN422" s="824">
        <f t="shared" ca="1" si="320"/>
        <v>0</v>
      </c>
      <c r="CO422" s="824">
        <f t="shared" ca="1" si="320"/>
        <v>0</v>
      </c>
      <c r="CP422" s="824">
        <f t="shared" ca="1" si="320"/>
        <v>0</v>
      </c>
      <c r="CQ422" s="824">
        <f t="shared" ca="1" si="320"/>
        <v>0</v>
      </c>
      <c r="CR422" s="824">
        <f t="shared" ca="1" si="320"/>
        <v>0</v>
      </c>
      <c r="CS422" s="824">
        <f t="shared" ca="1" si="320"/>
        <v>0</v>
      </c>
      <c r="CT422" s="824">
        <f t="shared" ca="1" si="311"/>
        <v>0</v>
      </c>
      <c r="CU422" s="824">
        <f t="shared" ca="1" si="311"/>
        <v>0</v>
      </c>
      <c r="CV422" s="824">
        <f t="shared" ca="1" si="311"/>
        <v>0</v>
      </c>
      <c r="CW422" s="824">
        <f t="shared" ca="1" si="311"/>
        <v>0</v>
      </c>
      <c r="CX422" s="824">
        <f t="shared" ca="1" si="311"/>
        <v>0</v>
      </c>
      <c r="CY422" s="824">
        <f t="shared" ca="1" si="311"/>
        <v>0</v>
      </c>
      <c r="CZ422" s="824">
        <f t="shared" ca="1" si="311"/>
        <v>0</v>
      </c>
      <c r="DA422" s="824">
        <f t="shared" ca="1" si="311"/>
        <v>0</v>
      </c>
      <c r="DB422" s="824">
        <f t="shared" ca="1" si="311"/>
        <v>0</v>
      </c>
      <c r="DC422" s="824">
        <f t="shared" ca="1" si="311"/>
        <v>0</v>
      </c>
      <c r="DD422" s="824">
        <f t="shared" ca="1" si="311"/>
        <v>0</v>
      </c>
      <c r="DE422" s="824">
        <f t="shared" ca="1" si="311"/>
        <v>0</v>
      </c>
      <c r="DF422" s="824">
        <f t="shared" ca="1" si="311"/>
        <v>0</v>
      </c>
      <c r="DG422" s="824">
        <f t="shared" ca="1" si="314"/>
        <v>0</v>
      </c>
      <c r="DH422" s="824">
        <f t="shared" ca="1" si="314"/>
        <v>0</v>
      </c>
      <c r="DI422" s="824">
        <f t="shared" ca="1" si="314"/>
        <v>0</v>
      </c>
      <c r="DJ422" s="824">
        <f t="shared" ca="1" si="314"/>
        <v>0</v>
      </c>
      <c r="DK422" s="824">
        <f t="shared" ca="1" si="314"/>
        <v>0</v>
      </c>
      <c r="DL422" s="824">
        <f t="shared" ca="1" si="314"/>
        <v>0</v>
      </c>
    </row>
    <row r="423" spans="2:116" ht="12" thickBot="1" x14ac:dyDescent="0.3">
      <c r="B423" s="1673"/>
      <c r="C423" s="1680"/>
      <c r="D423" s="15" t="s">
        <v>44</v>
      </c>
      <c r="E423" s="116"/>
      <c r="F423" s="116">
        <f ca="1">SUBTOTAL(109,'3.2 I&amp;W'!$X$131)</f>
        <v>0</v>
      </c>
      <c r="G423" s="116">
        <f ca="1">SUBTOTAL(109,'3.2 I&amp;W'!$Y$131)</f>
        <v>0</v>
      </c>
      <c r="H423" s="116">
        <f ca="1">SUBTOTAL(109,'3.2 I&amp;W'!$AD$131)</f>
        <v>0</v>
      </c>
      <c r="I423" s="116">
        <f ca="1">SUBTOTAL(109,'3.2 I&amp;W'!$AE$131)</f>
        <v>0</v>
      </c>
      <c r="J423" s="116"/>
      <c r="K423" s="116"/>
      <c r="L423" s="116"/>
      <c r="M423" s="116">
        <f ca="1">SUBTOTAL(109,'3.2 I&amp;W'!$AI$131)</f>
        <v>0</v>
      </c>
      <c r="N423" s="156">
        <f t="shared" ca="1" si="262"/>
        <v>0</v>
      </c>
      <c r="O423" s="116">
        <f ca="1">SUBTOTAL(109,'3.2 I&amp;W'!$S$131)</f>
        <v>0</v>
      </c>
      <c r="P423" s="30">
        <f t="shared" ca="1" si="302"/>
        <v>0</v>
      </c>
      <c r="Q423" s="31">
        <f t="shared" ca="1" si="303"/>
        <v>0</v>
      </c>
      <c r="R423" s="31">
        <f t="shared" ca="1" si="304"/>
        <v>0</v>
      </c>
      <c r="S423" s="31">
        <f t="shared" ca="1" si="305"/>
        <v>0</v>
      </c>
      <c r="T423" s="32">
        <f t="shared" ca="1" si="306"/>
        <v>0</v>
      </c>
      <c r="U423" s="37">
        <f t="shared" ca="1" si="263"/>
        <v>0</v>
      </c>
      <c r="V423" s="40">
        <f t="shared" ca="1" si="315"/>
        <v>0</v>
      </c>
      <c r="W423" s="41">
        <f t="shared" ca="1" si="316"/>
        <v>0</v>
      </c>
      <c r="X423" s="43"/>
      <c r="Y423" s="46"/>
      <c r="Z423" s="126"/>
      <c r="AA423" s="136"/>
      <c r="AB423" s="83">
        <v>46</v>
      </c>
      <c r="AC423" s="84">
        <f ca="1">IF(AF422&lt;=1,0,'3.2 Fi&amp;Fo'!$I$25)</f>
        <v>0</v>
      </c>
      <c r="AD423" s="72">
        <f ca="1">IF(AF422&lt;=1,0,AF422*'3.2 Fi&amp;Fo'!$H$25)</f>
        <v>0</v>
      </c>
      <c r="AE423" s="78">
        <f t="shared" ca="1" si="307"/>
        <v>0</v>
      </c>
      <c r="AF423" s="85">
        <f t="shared" ca="1" si="308"/>
        <v>5.6024873629212379E-10</v>
      </c>
      <c r="AG423" s="168" t="b">
        <f>IF(AJ422&lt;=1,0,IF(AB423&lt;='3.2 Fi&amp;Fo'!$F$34,'3.2 Fi&amp;Fo'!$J$34,IF(AB423&lt;='3.2 Fi&amp;Fo'!$F$35,'3.2 Fi&amp;Fo'!$J$35,IF(AB423&lt;='3.2 Fi&amp;Fo'!$F$36,'3.2 Fi&amp;Fo'!$J$36,IF(AB423&lt;='3.2 Fi&amp;Fo'!$F$37,'3.2 Fi&amp;Fo'!$J$37,IF(AB423&lt;='3.2 Fi&amp;Fo'!$F$38,'3.2 Fi&amp;Fo'!$J$38,IF(AB423&lt;='3.2 Fi&amp;Fo'!$F$39,'3.2 Fi&amp;Fo'!$J$39,IF(AB423&lt;='3.2 Fi&amp;Fo'!$F$40,'3.2 Fi&amp;Fo'!$J$40))))))))</f>
        <v>0</v>
      </c>
      <c r="AH423" s="207">
        <f>IF(AJ422&lt;=1,0,AJ422*IF(AB423&lt;='3.2 Fi&amp;Fo'!$F$34,'3.2 Fi&amp;Fo'!$I$34,IF(AB423&lt;='3.2 Fi&amp;Fo'!$F$35,'3.2 Fi&amp;Fo'!$I$35,IF(AB423&lt;='3.2 Fi&amp;Fo'!$F$36,'3.2 Fi&amp;Fo'!$I$36,IF(AB423&lt;='3.2 Fi&amp;Fo'!$F$39,'3.2 Fi&amp;Fo'!$I$39,IF(AB423&lt;='3.2 Fi&amp;Fo'!$F$40,'3.2 Fi&amp;Fo'!$I$40))))))</f>
        <v>0</v>
      </c>
      <c r="AI423" s="210">
        <f t="shared" si="322"/>
        <v>0</v>
      </c>
      <c r="AJ423" s="209">
        <f t="shared" si="309"/>
        <v>1981583.9767358366</v>
      </c>
      <c r="AK423" s="312">
        <f t="shared" ca="1" si="323"/>
        <v>0</v>
      </c>
      <c r="AL423" s="169">
        <f>IF(AB423&lt;='3.2 Fi&amp;Fo'!$J$15,'3.2 Fi&amp;Fo'!$I$15,0)</f>
        <v>0</v>
      </c>
      <c r="AM423" s="169">
        <f t="shared" si="324"/>
        <v>0</v>
      </c>
      <c r="AN423" s="838" t="str">
        <f t="shared" si="287"/>
        <v/>
      </c>
      <c r="AO423" s="844">
        <f t="shared" ca="1" si="271"/>
        <v>0</v>
      </c>
      <c r="AP423" s="839">
        <f ca="1">DH482</f>
        <v>0</v>
      </c>
      <c r="AQ423" s="844">
        <f t="shared" si="272"/>
        <v>0</v>
      </c>
      <c r="AR423" s="839" t="str">
        <f t="shared" si="288"/>
        <v/>
      </c>
      <c r="AS423" s="839">
        <f t="shared" si="283"/>
        <v>0</v>
      </c>
      <c r="AT423" s="839">
        <f t="shared" si="284"/>
        <v>0</v>
      </c>
      <c r="AU423" s="839">
        <f>'PV-Einspeisung'!AA128*-1</f>
        <v>0</v>
      </c>
      <c r="AV423" s="839">
        <f>'PV-Einspeisung'!AE128*-1</f>
        <v>0</v>
      </c>
      <c r="AW423" s="839"/>
      <c r="AX423" s="839" t="str">
        <f t="shared" si="289"/>
        <v/>
      </c>
      <c r="AY423" s="841" t="str">
        <f t="shared" si="273"/>
        <v/>
      </c>
      <c r="AZ423" s="842" t="str">
        <f t="shared" si="325"/>
        <v/>
      </c>
      <c r="BA423" s="842" t="str">
        <f t="shared" si="291"/>
        <v/>
      </c>
      <c r="BB423" s="842" t="str">
        <f t="shared" si="292"/>
        <v/>
      </c>
      <c r="BC423" s="842" t="str">
        <f t="shared" si="293"/>
        <v/>
      </c>
      <c r="BD423" s="842" t="str">
        <f t="shared" si="294"/>
        <v/>
      </c>
      <c r="BE423" s="842" t="str">
        <f t="shared" si="295"/>
        <v/>
      </c>
      <c r="BF423" s="842" t="str">
        <f t="shared" si="296"/>
        <v/>
      </c>
      <c r="BG423" s="842" t="str">
        <f t="shared" si="297"/>
        <v/>
      </c>
      <c r="BH423" s="858" t="str">
        <f t="shared" si="281"/>
        <v/>
      </c>
      <c r="BI423" s="857" t="str">
        <f t="shared" si="298"/>
        <v/>
      </c>
      <c r="BJ423" s="857" t="str">
        <f t="shared" si="299"/>
        <v/>
      </c>
      <c r="BK423" s="859">
        <f>'PV-Einspeisung'!AB128*-1</f>
        <v>0</v>
      </c>
      <c r="BL423" s="824">
        <f t="shared" ca="1" si="317"/>
        <v>0</v>
      </c>
      <c r="BM423" s="824">
        <f t="shared" ca="1" si="318"/>
        <v>0</v>
      </c>
      <c r="BN423" s="824">
        <f t="shared" ca="1" si="319"/>
        <v>0</v>
      </c>
      <c r="BO423" s="824">
        <f t="shared" ca="1" si="321"/>
        <v>0</v>
      </c>
      <c r="BP423" s="824">
        <f t="shared" ca="1" si="321"/>
        <v>0</v>
      </c>
      <c r="BQ423" s="824">
        <f t="shared" ca="1" si="321"/>
        <v>0</v>
      </c>
      <c r="BR423" s="824">
        <f t="shared" ca="1" si="321"/>
        <v>0</v>
      </c>
      <c r="BS423" s="824">
        <f t="shared" ca="1" si="321"/>
        <v>0</v>
      </c>
      <c r="BT423" s="824">
        <f t="shared" ca="1" si="321"/>
        <v>0</v>
      </c>
      <c r="BU423" s="824">
        <f t="shared" ca="1" si="321"/>
        <v>0</v>
      </c>
      <c r="BV423" s="824">
        <f t="shared" ca="1" si="321"/>
        <v>0</v>
      </c>
      <c r="BW423" s="824">
        <f t="shared" ca="1" si="321"/>
        <v>0</v>
      </c>
      <c r="BX423" s="824">
        <f t="shared" ca="1" si="321"/>
        <v>0</v>
      </c>
      <c r="BY423" s="824">
        <f t="shared" ca="1" si="321"/>
        <v>0</v>
      </c>
      <c r="BZ423" s="824">
        <f t="shared" ca="1" si="321"/>
        <v>0</v>
      </c>
      <c r="CA423" s="824">
        <f t="shared" ca="1" si="321"/>
        <v>0</v>
      </c>
      <c r="CB423" s="824">
        <f t="shared" ca="1" si="321"/>
        <v>0</v>
      </c>
      <c r="CC423" s="824">
        <f t="shared" ca="1" si="321"/>
        <v>0</v>
      </c>
      <c r="CD423" s="824">
        <f t="shared" ref="CD423:CS438" ca="1" si="326">IF(OR(IF($BL423*1&lt;$BL$196,$BL423*1=CD$198,FALSE),IF($BL423*2&lt;$BL$196,$BL423*2=CD$198,FALSE),IF($BL423*3&lt;$BL$196,$BL423*3=CD$198,FALSE),IF($BL423*4&lt;$BL$196,$BL423*4=CD$198,FALSE),IF($BL423*5&lt;$BL$196,$BL423*5=CD$198,FALSE)),$BN423*$BM$196^CD$198,0)</f>
        <v>0</v>
      </c>
      <c r="CE423" s="824">
        <f t="shared" ca="1" si="326"/>
        <v>0</v>
      </c>
      <c r="CF423" s="824">
        <f t="shared" ca="1" si="326"/>
        <v>0</v>
      </c>
      <c r="CG423" s="824">
        <f t="shared" ca="1" si="326"/>
        <v>0</v>
      </c>
      <c r="CH423" s="824">
        <f t="shared" ca="1" si="326"/>
        <v>0</v>
      </c>
      <c r="CI423" s="824">
        <f t="shared" ca="1" si="326"/>
        <v>0</v>
      </c>
      <c r="CJ423" s="824">
        <f t="shared" ca="1" si="326"/>
        <v>0</v>
      </c>
      <c r="CK423" s="824">
        <f t="shared" ca="1" si="326"/>
        <v>0</v>
      </c>
      <c r="CL423" s="824">
        <f t="shared" ca="1" si="326"/>
        <v>0</v>
      </c>
      <c r="CM423" s="824">
        <f t="shared" ca="1" si="326"/>
        <v>0</v>
      </c>
      <c r="CN423" s="824">
        <f t="shared" ca="1" si="326"/>
        <v>0</v>
      </c>
      <c r="CO423" s="824">
        <f t="shared" ca="1" si="326"/>
        <v>0</v>
      </c>
      <c r="CP423" s="824">
        <f t="shared" ca="1" si="326"/>
        <v>0</v>
      </c>
      <c r="CQ423" s="824">
        <f t="shared" ca="1" si="326"/>
        <v>0</v>
      </c>
      <c r="CR423" s="824">
        <f t="shared" ca="1" si="326"/>
        <v>0</v>
      </c>
      <c r="CS423" s="824">
        <f t="shared" ca="1" si="326"/>
        <v>0</v>
      </c>
      <c r="CT423" s="824">
        <f t="shared" ca="1" si="311"/>
        <v>0</v>
      </c>
      <c r="CU423" s="824">
        <f t="shared" ca="1" si="311"/>
        <v>0</v>
      </c>
      <c r="CV423" s="824">
        <f t="shared" ca="1" si="311"/>
        <v>0</v>
      </c>
      <c r="CW423" s="824">
        <f t="shared" ca="1" si="311"/>
        <v>0</v>
      </c>
      <c r="CX423" s="824">
        <f t="shared" ca="1" si="311"/>
        <v>0</v>
      </c>
      <c r="CY423" s="824">
        <f t="shared" ca="1" si="311"/>
        <v>0</v>
      </c>
      <c r="CZ423" s="824">
        <f t="shared" ca="1" si="311"/>
        <v>0</v>
      </c>
      <c r="DA423" s="824">
        <f t="shared" ca="1" si="311"/>
        <v>0</v>
      </c>
      <c r="DB423" s="824">
        <f t="shared" ca="1" si="311"/>
        <v>0</v>
      </c>
      <c r="DC423" s="824">
        <f t="shared" ca="1" si="311"/>
        <v>0</v>
      </c>
      <c r="DD423" s="824">
        <f t="shared" ca="1" si="311"/>
        <v>0</v>
      </c>
      <c r="DE423" s="824">
        <f t="shared" ca="1" si="311"/>
        <v>0</v>
      </c>
      <c r="DF423" s="824">
        <f t="shared" ca="1" si="311"/>
        <v>0</v>
      </c>
      <c r="DG423" s="824">
        <f t="shared" ca="1" si="314"/>
        <v>0</v>
      </c>
      <c r="DH423" s="824">
        <f t="shared" ca="1" si="314"/>
        <v>0</v>
      </c>
      <c r="DI423" s="824">
        <f t="shared" ca="1" si="314"/>
        <v>0</v>
      </c>
      <c r="DJ423" s="824">
        <f t="shared" ca="1" si="314"/>
        <v>0</v>
      </c>
      <c r="DK423" s="824">
        <f t="shared" ca="1" si="314"/>
        <v>0</v>
      </c>
      <c r="DL423" s="824">
        <f t="shared" ca="1" si="314"/>
        <v>0</v>
      </c>
    </row>
    <row r="424" spans="2:116" ht="12" thickBot="1" x14ac:dyDescent="0.3">
      <c r="B424" s="1673"/>
      <c r="C424" s="1680"/>
      <c r="D424" s="15" t="s">
        <v>44</v>
      </c>
      <c r="E424" s="165"/>
      <c r="F424" s="116">
        <f ca="1">SUBTOTAL(109,'3.2 I&amp;W'!$X$132)</f>
        <v>0</v>
      </c>
      <c r="G424" s="116">
        <f ca="1">SUBTOTAL(109,'3.2 I&amp;W'!$Y$132)</f>
        <v>0</v>
      </c>
      <c r="H424" s="116">
        <f ca="1">SUBTOTAL(109,'3.2 I&amp;W'!$AD$132)</f>
        <v>0</v>
      </c>
      <c r="I424" s="116">
        <f ca="1">SUBTOTAL(109,'3.2 I&amp;W'!$AE$132)</f>
        <v>0</v>
      </c>
      <c r="J424" s="116"/>
      <c r="K424" s="116"/>
      <c r="L424" s="116"/>
      <c r="M424" s="116">
        <f ca="1">SUBTOTAL(109,'3.2 I&amp;W'!$AI$132)</f>
        <v>0</v>
      </c>
      <c r="N424" s="156">
        <f t="shared" ca="1" si="262"/>
        <v>0</v>
      </c>
      <c r="O424" s="116">
        <f ca="1">SUBTOTAL(109,'3.2 I&amp;W'!$S$132)</f>
        <v>0</v>
      </c>
      <c r="P424" s="30">
        <f t="shared" ca="1" si="302"/>
        <v>0</v>
      </c>
      <c r="Q424" s="31">
        <f t="shared" ca="1" si="303"/>
        <v>0</v>
      </c>
      <c r="R424" s="31">
        <f t="shared" ca="1" si="304"/>
        <v>0</v>
      </c>
      <c r="S424" s="31">
        <f t="shared" ca="1" si="305"/>
        <v>0</v>
      </c>
      <c r="T424" s="32">
        <f t="shared" ca="1" si="306"/>
        <v>0</v>
      </c>
      <c r="U424" s="37">
        <f t="shared" ca="1" si="263"/>
        <v>0</v>
      </c>
      <c r="V424" s="40">
        <f t="shared" ca="1" si="315"/>
        <v>0</v>
      </c>
      <c r="W424" s="41">
        <f t="shared" ca="1" si="316"/>
        <v>0</v>
      </c>
      <c r="X424" s="43"/>
      <c r="Y424" s="46"/>
      <c r="Z424" s="126"/>
      <c r="AA424" s="136"/>
      <c r="AB424" s="83">
        <v>47</v>
      </c>
      <c r="AC424" s="84">
        <f ca="1">IF(AF423&lt;=1,0,'3.2 Fi&amp;Fo'!$I$25)</f>
        <v>0</v>
      </c>
      <c r="AD424" s="72">
        <f ca="1">IF(AF423&lt;=1,0,AF423*'3.2 Fi&amp;Fo'!$H$25)</f>
        <v>0</v>
      </c>
      <c r="AE424" s="78">
        <f t="shared" ca="1" si="307"/>
        <v>0</v>
      </c>
      <c r="AF424" s="85">
        <f t="shared" ca="1" si="308"/>
        <v>5.6024873629212379E-10</v>
      </c>
      <c r="AG424" s="168" t="b">
        <f>IF(AJ423&lt;=1,0,IF(AB424&lt;='3.2 Fi&amp;Fo'!$F$34,'3.2 Fi&amp;Fo'!$J$34,IF(AB424&lt;='3.2 Fi&amp;Fo'!$F$35,'3.2 Fi&amp;Fo'!$J$35,IF(AB424&lt;='3.2 Fi&amp;Fo'!$F$36,'3.2 Fi&amp;Fo'!$J$36,IF(AB424&lt;='3.2 Fi&amp;Fo'!$F$37,'3.2 Fi&amp;Fo'!$J$37,IF(AB424&lt;='3.2 Fi&amp;Fo'!$F$38,'3.2 Fi&amp;Fo'!$J$38,IF(AB424&lt;='3.2 Fi&amp;Fo'!$F$39,'3.2 Fi&amp;Fo'!$J$39,IF(AB424&lt;='3.2 Fi&amp;Fo'!$F$40,'3.2 Fi&amp;Fo'!$J$40))))))))</f>
        <v>0</v>
      </c>
      <c r="AH424" s="207">
        <f>IF(AJ423&lt;=1,0,AJ423*IF(AB424&lt;='3.2 Fi&amp;Fo'!$F$34,'3.2 Fi&amp;Fo'!$I$34,IF(AB424&lt;='3.2 Fi&amp;Fo'!$F$35,'3.2 Fi&amp;Fo'!$I$35,IF(AB424&lt;='3.2 Fi&amp;Fo'!$F$36,'3.2 Fi&amp;Fo'!$I$36,IF(AB424&lt;='3.2 Fi&amp;Fo'!$F$39,'3.2 Fi&amp;Fo'!$I$39,IF(AB424&lt;='3.2 Fi&amp;Fo'!$F$40,'3.2 Fi&amp;Fo'!$I$40))))))</f>
        <v>0</v>
      </c>
      <c r="AI424" s="210">
        <f t="shared" si="322"/>
        <v>0</v>
      </c>
      <c r="AJ424" s="209">
        <f t="shared" si="309"/>
        <v>1981583.9767358366</v>
      </c>
      <c r="AK424" s="312">
        <f t="shared" ca="1" si="323"/>
        <v>0</v>
      </c>
      <c r="AL424" s="169">
        <f>IF(AB424&lt;='3.2 Fi&amp;Fo'!$J$15,'3.2 Fi&amp;Fo'!$I$15,0)</f>
        <v>0</v>
      </c>
      <c r="AM424" s="169">
        <f t="shared" si="324"/>
        <v>0</v>
      </c>
      <c r="AN424" s="838" t="str">
        <f t="shared" si="287"/>
        <v/>
      </c>
      <c r="AO424" s="844">
        <f t="shared" ca="1" si="271"/>
        <v>0</v>
      </c>
      <c r="AP424" s="839">
        <f ca="1">DI482</f>
        <v>0</v>
      </c>
      <c r="AQ424" s="844">
        <f t="shared" si="272"/>
        <v>0</v>
      </c>
      <c r="AR424" s="839" t="str">
        <f t="shared" si="288"/>
        <v/>
      </c>
      <c r="AS424" s="839">
        <f t="shared" si="283"/>
        <v>0</v>
      </c>
      <c r="AT424" s="839">
        <f t="shared" si="284"/>
        <v>0</v>
      </c>
      <c r="AU424" s="839">
        <f>'PV-Einspeisung'!AA129*-1</f>
        <v>0</v>
      </c>
      <c r="AV424" s="839">
        <f>'PV-Einspeisung'!AE129*-1</f>
        <v>0</v>
      </c>
      <c r="AW424" s="839"/>
      <c r="AX424" s="839" t="str">
        <f t="shared" si="289"/>
        <v/>
      </c>
      <c r="AY424" s="841" t="str">
        <f t="shared" si="273"/>
        <v/>
      </c>
      <c r="AZ424" s="842" t="str">
        <f t="shared" si="325"/>
        <v/>
      </c>
      <c r="BA424" s="842" t="str">
        <f t="shared" si="291"/>
        <v/>
      </c>
      <c r="BB424" s="842" t="str">
        <f t="shared" si="292"/>
        <v/>
      </c>
      <c r="BC424" s="842" t="str">
        <f t="shared" si="293"/>
        <v/>
      </c>
      <c r="BD424" s="842" t="str">
        <f t="shared" si="294"/>
        <v/>
      </c>
      <c r="BE424" s="842" t="str">
        <f t="shared" si="295"/>
        <v/>
      </c>
      <c r="BF424" s="842" t="str">
        <f t="shared" si="296"/>
        <v/>
      </c>
      <c r="BG424" s="842" t="str">
        <f t="shared" si="297"/>
        <v/>
      </c>
      <c r="BH424" s="858" t="str">
        <f t="shared" si="281"/>
        <v/>
      </c>
      <c r="BI424" s="857" t="str">
        <f t="shared" si="298"/>
        <v/>
      </c>
      <c r="BJ424" s="857" t="str">
        <f t="shared" si="299"/>
        <v/>
      </c>
      <c r="BK424" s="859">
        <f>'PV-Einspeisung'!AB129*-1</f>
        <v>0</v>
      </c>
      <c r="BL424" s="824">
        <f t="shared" ca="1" si="317"/>
        <v>0</v>
      </c>
      <c r="BM424" s="824">
        <f t="shared" ca="1" si="318"/>
        <v>0</v>
      </c>
      <c r="BN424" s="824">
        <f t="shared" ca="1" si="319"/>
        <v>0</v>
      </c>
      <c r="BO424" s="824">
        <f t="shared" ref="BO424:CD439" ca="1" si="327">IF(OR(IF($BL424*1&lt;$BL$196,$BL424*1=BO$198,FALSE),IF($BL424*2&lt;$BL$196,$BL424*2=BO$198,FALSE),IF($BL424*3&lt;$BL$196,$BL424*3=BO$198,FALSE),IF($BL424*4&lt;$BL$196,$BL424*4=BO$198,FALSE),IF($BL424*5&lt;$BL$196,$BL424*5=BO$198,FALSE)),$BN424*$BM$196^BO$198,0)</f>
        <v>0</v>
      </c>
      <c r="BP424" s="824">
        <f t="shared" ca="1" si="327"/>
        <v>0</v>
      </c>
      <c r="BQ424" s="824">
        <f t="shared" ca="1" si="327"/>
        <v>0</v>
      </c>
      <c r="BR424" s="824">
        <f t="shared" ca="1" si="327"/>
        <v>0</v>
      </c>
      <c r="BS424" s="824">
        <f t="shared" ca="1" si="327"/>
        <v>0</v>
      </c>
      <c r="BT424" s="824">
        <f t="shared" ca="1" si="327"/>
        <v>0</v>
      </c>
      <c r="BU424" s="824">
        <f t="shared" ca="1" si="327"/>
        <v>0</v>
      </c>
      <c r="BV424" s="824">
        <f t="shared" ca="1" si="327"/>
        <v>0</v>
      </c>
      <c r="BW424" s="824">
        <f t="shared" ca="1" si="327"/>
        <v>0</v>
      </c>
      <c r="BX424" s="824">
        <f t="shared" ca="1" si="327"/>
        <v>0</v>
      </c>
      <c r="BY424" s="824">
        <f t="shared" ca="1" si="327"/>
        <v>0</v>
      </c>
      <c r="BZ424" s="824">
        <f t="shared" ca="1" si="327"/>
        <v>0</v>
      </c>
      <c r="CA424" s="824">
        <f t="shared" ca="1" si="327"/>
        <v>0</v>
      </c>
      <c r="CB424" s="824">
        <f t="shared" ca="1" si="327"/>
        <v>0</v>
      </c>
      <c r="CC424" s="824">
        <f t="shared" ca="1" si="327"/>
        <v>0</v>
      </c>
      <c r="CD424" s="824">
        <f t="shared" ca="1" si="327"/>
        <v>0</v>
      </c>
      <c r="CE424" s="824">
        <f t="shared" ca="1" si="326"/>
        <v>0</v>
      </c>
      <c r="CF424" s="824">
        <f t="shared" ca="1" si="326"/>
        <v>0</v>
      </c>
      <c r="CG424" s="824">
        <f t="shared" ca="1" si="326"/>
        <v>0</v>
      </c>
      <c r="CH424" s="824">
        <f t="shared" ca="1" si="326"/>
        <v>0</v>
      </c>
      <c r="CI424" s="824">
        <f t="shared" ca="1" si="326"/>
        <v>0</v>
      </c>
      <c r="CJ424" s="824">
        <f t="shared" ca="1" si="326"/>
        <v>0</v>
      </c>
      <c r="CK424" s="824">
        <f t="shared" ca="1" si="326"/>
        <v>0</v>
      </c>
      <c r="CL424" s="824">
        <f t="shared" ca="1" si="326"/>
        <v>0</v>
      </c>
      <c r="CM424" s="824">
        <f t="shared" ca="1" si="326"/>
        <v>0</v>
      </c>
      <c r="CN424" s="824">
        <f t="shared" ca="1" si="326"/>
        <v>0</v>
      </c>
      <c r="CO424" s="824">
        <f t="shared" ca="1" si="326"/>
        <v>0</v>
      </c>
      <c r="CP424" s="824">
        <f t="shared" ca="1" si="326"/>
        <v>0</v>
      </c>
      <c r="CQ424" s="824">
        <f t="shared" ca="1" si="326"/>
        <v>0</v>
      </c>
      <c r="CR424" s="824">
        <f t="shared" ca="1" si="326"/>
        <v>0</v>
      </c>
      <c r="CS424" s="824">
        <f t="shared" ca="1" si="326"/>
        <v>0</v>
      </c>
      <c r="CT424" s="824">
        <f t="shared" ca="1" si="311"/>
        <v>0</v>
      </c>
      <c r="CU424" s="824">
        <f t="shared" ca="1" si="311"/>
        <v>0</v>
      </c>
      <c r="CV424" s="824">
        <f t="shared" ca="1" si="311"/>
        <v>0</v>
      </c>
      <c r="CW424" s="824">
        <f t="shared" ca="1" si="311"/>
        <v>0</v>
      </c>
      <c r="CX424" s="824">
        <f t="shared" ca="1" si="311"/>
        <v>0</v>
      </c>
      <c r="CY424" s="824">
        <f t="shared" ca="1" si="311"/>
        <v>0</v>
      </c>
      <c r="CZ424" s="824">
        <f t="shared" ca="1" si="311"/>
        <v>0</v>
      </c>
      <c r="DA424" s="824">
        <f t="shared" ca="1" si="311"/>
        <v>0</v>
      </c>
      <c r="DB424" s="824">
        <f t="shared" ref="DB424:DI424" ca="1" si="328">IF(OR(IF($BL424*1&lt;$BL$196,$BL424*1=DB$198,FALSE),IF($BL424*2&lt;$BL$196,$BL424*2=DB$198,FALSE),IF($BL424*3&lt;$BL$196,$BL424*3=DB$198,FALSE),IF($BL424*4&lt;$BL$196,$BL424*4=DB$198,FALSE),IF($BL424*5&lt;$BL$196,$BL424*5=DB$198,FALSE)),$BN424*$BM$196^DB$198,0)</f>
        <v>0</v>
      </c>
      <c r="DC424" s="824">
        <f t="shared" ca="1" si="328"/>
        <v>0</v>
      </c>
      <c r="DD424" s="824">
        <f t="shared" ca="1" si="328"/>
        <v>0</v>
      </c>
      <c r="DE424" s="824">
        <f t="shared" ca="1" si="328"/>
        <v>0</v>
      </c>
      <c r="DF424" s="824">
        <f t="shared" ca="1" si="328"/>
        <v>0</v>
      </c>
      <c r="DG424" s="824">
        <f t="shared" ca="1" si="328"/>
        <v>0</v>
      </c>
      <c r="DH424" s="824">
        <f t="shared" ca="1" si="328"/>
        <v>0</v>
      </c>
      <c r="DI424" s="824">
        <f t="shared" ca="1" si="328"/>
        <v>0</v>
      </c>
      <c r="DJ424" s="824">
        <f t="shared" ca="1" si="314"/>
        <v>0</v>
      </c>
      <c r="DK424" s="824">
        <f t="shared" ca="1" si="314"/>
        <v>0</v>
      </c>
      <c r="DL424" s="824">
        <f t="shared" ca="1" si="314"/>
        <v>0</v>
      </c>
    </row>
    <row r="425" spans="2:116" ht="12" thickBot="1" x14ac:dyDescent="0.3">
      <c r="B425" s="1673"/>
      <c r="C425" s="1680"/>
      <c r="D425" s="15" t="s">
        <v>44</v>
      </c>
      <c r="E425" s="116"/>
      <c r="F425" s="116">
        <f ca="1">SUBTOTAL(109,'3.2 I&amp;W'!$X$133)</f>
        <v>0</v>
      </c>
      <c r="G425" s="116">
        <f ca="1">SUBTOTAL(109,'3.2 I&amp;W'!$Y$133)</f>
        <v>0</v>
      </c>
      <c r="H425" s="116">
        <f ca="1">SUBTOTAL(109,'3.2 I&amp;W'!$AD$133)</f>
        <v>0</v>
      </c>
      <c r="I425" s="116">
        <f ca="1">SUBTOTAL(109,'3.2 I&amp;W'!$AE$133)</f>
        <v>0</v>
      </c>
      <c r="J425" s="116"/>
      <c r="K425" s="116"/>
      <c r="L425" s="116"/>
      <c r="M425" s="116">
        <f ca="1">SUBTOTAL(109,'3.2 I&amp;W'!$AI$133)</f>
        <v>0</v>
      </c>
      <c r="N425" s="156">
        <f t="shared" ca="1" si="262"/>
        <v>0</v>
      </c>
      <c r="O425" s="116">
        <f ca="1">SUBTOTAL(109,'3.2 I&amp;W'!$S$133)</f>
        <v>0</v>
      </c>
      <c r="P425" s="30">
        <f t="shared" ca="1" si="302"/>
        <v>0</v>
      </c>
      <c r="Q425" s="31">
        <f t="shared" ca="1" si="303"/>
        <v>0</v>
      </c>
      <c r="R425" s="31">
        <f t="shared" ca="1" si="304"/>
        <v>0</v>
      </c>
      <c r="S425" s="31">
        <f t="shared" ca="1" si="305"/>
        <v>0</v>
      </c>
      <c r="T425" s="32">
        <f t="shared" ca="1" si="306"/>
        <v>0</v>
      </c>
      <c r="U425" s="37">
        <f t="shared" ca="1" si="263"/>
        <v>0</v>
      </c>
      <c r="V425" s="40">
        <f t="shared" ca="1" si="315"/>
        <v>0</v>
      </c>
      <c r="W425" s="41">
        <f t="shared" ca="1" si="316"/>
        <v>0</v>
      </c>
      <c r="X425" s="43"/>
      <c r="Y425" s="46"/>
      <c r="Z425" s="126"/>
      <c r="AA425" s="136"/>
      <c r="AB425" s="83">
        <v>48</v>
      </c>
      <c r="AC425" s="84">
        <f ca="1">IF(AF424&lt;=1,0,'3.2 Fi&amp;Fo'!$I$25)</f>
        <v>0</v>
      </c>
      <c r="AD425" s="72">
        <f ca="1">IF(AF424&lt;=1,0,AF424*'3.2 Fi&amp;Fo'!$H$25)</f>
        <v>0</v>
      </c>
      <c r="AE425" s="78">
        <f t="shared" ca="1" si="307"/>
        <v>0</v>
      </c>
      <c r="AF425" s="85">
        <f t="shared" ca="1" si="308"/>
        <v>5.6024873629212379E-10</v>
      </c>
      <c r="AG425" s="168" t="b">
        <f>IF(AJ424&lt;=1,0,IF(AB425&lt;='3.2 Fi&amp;Fo'!$F$34,'3.2 Fi&amp;Fo'!$J$34,IF(AB425&lt;='3.2 Fi&amp;Fo'!$F$35,'3.2 Fi&amp;Fo'!$J$35,IF(AB425&lt;='3.2 Fi&amp;Fo'!$F$36,'3.2 Fi&amp;Fo'!$J$36,IF(AB425&lt;='3.2 Fi&amp;Fo'!$F$37,'3.2 Fi&amp;Fo'!$J$37,IF(AB425&lt;='3.2 Fi&amp;Fo'!$F$38,'3.2 Fi&amp;Fo'!$J$38,IF(AB425&lt;='3.2 Fi&amp;Fo'!$F$39,'3.2 Fi&amp;Fo'!$J$39,IF(AB425&lt;='3.2 Fi&amp;Fo'!$F$40,'3.2 Fi&amp;Fo'!$J$40))))))))</f>
        <v>0</v>
      </c>
      <c r="AH425" s="207">
        <f>IF(AJ424&lt;=1,0,AJ424*IF(AB425&lt;='3.2 Fi&amp;Fo'!$F$34,'3.2 Fi&amp;Fo'!$I$34,IF(AB425&lt;='3.2 Fi&amp;Fo'!$F$35,'3.2 Fi&amp;Fo'!$I$35,IF(AB425&lt;='3.2 Fi&amp;Fo'!$F$36,'3.2 Fi&amp;Fo'!$I$36,IF(AB425&lt;='3.2 Fi&amp;Fo'!$F$39,'3.2 Fi&amp;Fo'!$I$39,IF(AB425&lt;='3.2 Fi&amp;Fo'!$F$40,'3.2 Fi&amp;Fo'!$I$40))))))</f>
        <v>0</v>
      </c>
      <c r="AI425" s="210">
        <f t="shared" si="322"/>
        <v>0</v>
      </c>
      <c r="AJ425" s="209">
        <f t="shared" si="309"/>
        <v>1981583.9767358366</v>
      </c>
      <c r="AK425" s="312">
        <f t="shared" ca="1" si="323"/>
        <v>0</v>
      </c>
      <c r="AL425" s="169">
        <f>IF(AB425&lt;='3.2 Fi&amp;Fo'!$J$15,'3.2 Fi&amp;Fo'!$I$15,0)</f>
        <v>0</v>
      </c>
      <c r="AM425" s="169">
        <f t="shared" si="324"/>
        <v>0</v>
      </c>
      <c r="AN425" s="838" t="str">
        <f t="shared" si="287"/>
        <v/>
      </c>
      <c r="AO425" s="844">
        <f t="shared" ca="1" si="271"/>
        <v>0</v>
      </c>
      <c r="AP425" s="839">
        <f ca="1">DJ482</f>
        <v>0</v>
      </c>
      <c r="AQ425" s="844">
        <f t="shared" si="272"/>
        <v>0</v>
      </c>
      <c r="AR425" s="839" t="str">
        <f t="shared" si="288"/>
        <v/>
      </c>
      <c r="AS425" s="839">
        <f t="shared" si="283"/>
        <v>0</v>
      </c>
      <c r="AT425" s="839">
        <f t="shared" si="284"/>
        <v>0</v>
      </c>
      <c r="AU425" s="839">
        <f>'PV-Einspeisung'!AA130*-1</f>
        <v>0</v>
      </c>
      <c r="AV425" s="839">
        <f>'PV-Einspeisung'!AE130*-1</f>
        <v>0</v>
      </c>
      <c r="AW425" s="839"/>
      <c r="AX425" s="839" t="str">
        <f t="shared" si="289"/>
        <v/>
      </c>
      <c r="AY425" s="841" t="str">
        <f t="shared" si="273"/>
        <v/>
      </c>
      <c r="AZ425" s="842" t="str">
        <f t="shared" si="325"/>
        <v/>
      </c>
      <c r="BA425" s="842" t="str">
        <f t="shared" si="291"/>
        <v/>
      </c>
      <c r="BB425" s="842" t="str">
        <f t="shared" si="292"/>
        <v/>
      </c>
      <c r="BC425" s="842" t="str">
        <f t="shared" si="293"/>
        <v/>
      </c>
      <c r="BD425" s="842" t="str">
        <f t="shared" si="294"/>
        <v/>
      </c>
      <c r="BE425" s="842" t="str">
        <f t="shared" si="295"/>
        <v/>
      </c>
      <c r="BF425" s="842" t="str">
        <f t="shared" si="296"/>
        <v/>
      </c>
      <c r="BG425" s="842" t="str">
        <f t="shared" si="297"/>
        <v/>
      </c>
      <c r="BH425" s="858" t="str">
        <f t="shared" si="281"/>
        <v/>
      </c>
      <c r="BI425" s="857" t="str">
        <f t="shared" si="298"/>
        <v/>
      </c>
      <c r="BJ425" s="857" t="str">
        <f t="shared" si="299"/>
        <v/>
      </c>
      <c r="BK425" s="859">
        <f>'PV-Einspeisung'!AB130*-1</f>
        <v>0</v>
      </c>
      <c r="BL425" s="824">
        <f t="shared" ca="1" si="317"/>
        <v>0</v>
      </c>
      <c r="BM425" s="824">
        <f t="shared" ca="1" si="318"/>
        <v>0</v>
      </c>
      <c r="BN425" s="824">
        <f t="shared" ca="1" si="319"/>
        <v>0</v>
      </c>
      <c r="BO425" s="824">
        <f t="shared" ca="1" si="327"/>
        <v>0</v>
      </c>
      <c r="BP425" s="824">
        <f t="shared" ca="1" si="327"/>
        <v>0</v>
      </c>
      <c r="BQ425" s="824">
        <f t="shared" ca="1" si="327"/>
        <v>0</v>
      </c>
      <c r="BR425" s="824">
        <f t="shared" ca="1" si="327"/>
        <v>0</v>
      </c>
      <c r="BS425" s="824">
        <f t="shared" ca="1" si="327"/>
        <v>0</v>
      </c>
      <c r="BT425" s="824">
        <f t="shared" ca="1" si="327"/>
        <v>0</v>
      </c>
      <c r="BU425" s="824">
        <f t="shared" ca="1" si="327"/>
        <v>0</v>
      </c>
      <c r="BV425" s="824">
        <f t="shared" ca="1" si="327"/>
        <v>0</v>
      </c>
      <c r="BW425" s="824">
        <f t="shared" ca="1" si="327"/>
        <v>0</v>
      </c>
      <c r="BX425" s="824">
        <f t="shared" ca="1" si="327"/>
        <v>0</v>
      </c>
      <c r="BY425" s="824">
        <f t="shared" ca="1" si="327"/>
        <v>0</v>
      </c>
      <c r="BZ425" s="824">
        <f t="shared" ca="1" si="327"/>
        <v>0</v>
      </c>
      <c r="CA425" s="824">
        <f t="shared" ca="1" si="327"/>
        <v>0</v>
      </c>
      <c r="CB425" s="824">
        <f t="shared" ca="1" si="327"/>
        <v>0</v>
      </c>
      <c r="CC425" s="824">
        <f t="shared" ca="1" si="327"/>
        <v>0</v>
      </c>
      <c r="CD425" s="824">
        <f t="shared" ca="1" si="327"/>
        <v>0</v>
      </c>
      <c r="CE425" s="824">
        <f t="shared" ca="1" si="326"/>
        <v>0</v>
      </c>
      <c r="CF425" s="824">
        <f t="shared" ca="1" si="326"/>
        <v>0</v>
      </c>
      <c r="CG425" s="824">
        <f t="shared" ca="1" si="326"/>
        <v>0</v>
      </c>
      <c r="CH425" s="824">
        <f t="shared" ca="1" si="326"/>
        <v>0</v>
      </c>
      <c r="CI425" s="824">
        <f t="shared" ca="1" si="326"/>
        <v>0</v>
      </c>
      <c r="CJ425" s="824">
        <f t="shared" ca="1" si="326"/>
        <v>0</v>
      </c>
      <c r="CK425" s="824">
        <f t="shared" ca="1" si="326"/>
        <v>0</v>
      </c>
      <c r="CL425" s="824">
        <f t="shared" ca="1" si="326"/>
        <v>0</v>
      </c>
      <c r="CM425" s="824">
        <f t="shared" ca="1" si="326"/>
        <v>0</v>
      </c>
      <c r="CN425" s="824">
        <f t="shared" ca="1" si="326"/>
        <v>0</v>
      </c>
      <c r="CO425" s="824">
        <f t="shared" ca="1" si="326"/>
        <v>0</v>
      </c>
      <c r="CP425" s="824">
        <f t="shared" ca="1" si="326"/>
        <v>0</v>
      </c>
      <c r="CQ425" s="824">
        <f t="shared" ca="1" si="326"/>
        <v>0</v>
      </c>
      <c r="CR425" s="824">
        <f t="shared" ca="1" si="326"/>
        <v>0</v>
      </c>
      <c r="CS425" s="824">
        <f t="shared" ca="1" si="326"/>
        <v>0</v>
      </c>
      <c r="CT425" s="824">
        <f t="shared" ref="CT425:DI440" ca="1" si="329">IF(OR(IF($BL425*1&lt;$BL$196,$BL425*1=CT$198,FALSE),IF($BL425*2&lt;$BL$196,$BL425*2=CT$198,FALSE),IF($BL425*3&lt;$BL$196,$BL425*3=CT$198,FALSE),IF($BL425*4&lt;$BL$196,$BL425*4=CT$198,FALSE),IF($BL425*5&lt;$BL$196,$BL425*5=CT$198,FALSE)),$BN425*$BM$196^CT$198,0)</f>
        <v>0</v>
      </c>
      <c r="CU425" s="824">
        <f t="shared" ca="1" si="329"/>
        <v>0</v>
      </c>
      <c r="CV425" s="824">
        <f t="shared" ca="1" si="329"/>
        <v>0</v>
      </c>
      <c r="CW425" s="824">
        <f t="shared" ca="1" si="329"/>
        <v>0</v>
      </c>
      <c r="CX425" s="824">
        <f t="shared" ca="1" si="329"/>
        <v>0</v>
      </c>
      <c r="CY425" s="824">
        <f t="shared" ca="1" si="329"/>
        <v>0</v>
      </c>
      <c r="CZ425" s="824">
        <f t="shared" ca="1" si="329"/>
        <v>0</v>
      </c>
      <c r="DA425" s="824">
        <f t="shared" ca="1" si="329"/>
        <v>0</v>
      </c>
      <c r="DB425" s="824">
        <f t="shared" ca="1" si="329"/>
        <v>0</v>
      </c>
      <c r="DC425" s="824">
        <f t="shared" ca="1" si="329"/>
        <v>0</v>
      </c>
      <c r="DD425" s="824">
        <f t="shared" ca="1" si="329"/>
        <v>0</v>
      </c>
      <c r="DE425" s="824">
        <f t="shared" ca="1" si="329"/>
        <v>0</v>
      </c>
      <c r="DF425" s="824">
        <f t="shared" ca="1" si="329"/>
        <v>0</v>
      </c>
      <c r="DG425" s="824">
        <f t="shared" ca="1" si="329"/>
        <v>0</v>
      </c>
      <c r="DH425" s="824">
        <f t="shared" ca="1" si="329"/>
        <v>0</v>
      </c>
      <c r="DI425" s="824">
        <f t="shared" ca="1" si="329"/>
        <v>0</v>
      </c>
      <c r="DJ425" s="824">
        <f t="shared" ca="1" si="314"/>
        <v>0</v>
      </c>
      <c r="DK425" s="824">
        <f t="shared" ca="1" si="314"/>
        <v>0</v>
      </c>
      <c r="DL425" s="824">
        <f t="shared" ca="1" si="314"/>
        <v>0</v>
      </c>
    </row>
    <row r="426" spans="2:116" ht="12" thickBot="1" x14ac:dyDescent="0.3">
      <c r="B426" s="1673"/>
      <c r="C426" s="1680"/>
      <c r="D426" s="15" t="s">
        <v>42</v>
      </c>
      <c r="E426" s="165"/>
      <c r="F426" s="116">
        <f ca="1">SUBTOTAL(109,'3.2 I&amp;W'!$X$135)</f>
        <v>0</v>
      </c>
      <c r="G426" s="116">
        <f ca="1">SUBTOTAL(109,'3.2 I&amp;W'!$Y$135)</f>
        <v>0</v>
      </c>
      <c r="H426" s="116">
        <f ca="1">SUBTOTAL(109,'3.2 I&amp;W'!$AD$135)</f>
        <v>0</v>
      </c>
      <c r="I426" s="116">
        <f ca="1">SUBTOTAL(109,'3.2 I&amp;W'!$AE$135)</f>
        <v>0</v>
      </c>
      <c r="J426" s="116"/>
      <c r="K426" s="116"/>
      <c r="L426" s="116"/>
      <c r="M426" s="116">
        <f ca="1">SUBTOTAL(109,'3.2 I&amp;W'!$AI$135)</f>
        <v>50</v>
      </c>
      <c r="N426" s="156">
        <f t="shared" ca="1" si="262"/>
        <v>0</v>
      </c>
      <c r="O426" s="116">
        <f ca="1">SUBTOTAL(109,'3.2 I&amp;W'!$S$135)</f>
        <v>21526.475999999999</v>
      </c>
      <c r="P426" s="30">
        <f t="shared" ca="1" si="302"/>
        <v>0</v>
      </c>
      <c r="Q426" s="31">
        <f t="shared" ca="1" si="303"/>
        <v>0</v>
      </c>
      <c r="R426" s="31">
        <f t="shared" ca="1" si="304"/>
        <v>0</v>
      </c>
      <c r="S426" s="31">
        <f t="shared" ca="1" si="305"/>
        <v>0</v>
      </c>
      <c r="T426" s="32">
        <f t="shared" ca="1" si="306"/>
        <v>0</v>
      </c>
      <c r="U426" s="37">
        <f t="shared" ca="1" si="263"/>
        <v>3229.1497254948576</v>
      </c>
      <c r="V426" s="40">
        <f t="shared" ca="1" si="315"/>
        <v>0</v>
      </c>
      <c r="W426" s="41">
        <f t="shared" ca="1" si="316"/>
        <v>0</v>
      </c>
      <c r="X426" s="43"/>
      <c r="Y426" s="46"/>
      <c r="Z426" s="126"/>
      <c r="AA426" s="136"/>
      <c r="AB426" s="83">
        <v>49</v>
      </c>
      <c r="AC426" s="84">
        <f ca="1">IF(AF425&lt;=1,0,'3.2 Fi&amp;Fo'!$I$25)</f>
        <v>0</v>
      </c>
      <c r="AD426" s="72">
        <f ca="1">IF(AF425&lt;=1,0,AF425*'3.2 Fi&amp;Fo'!$H$25)</f>
        <v>0</v>
      </c>
      <c r="AE426" s="78">
        <f t="shared" ca="1" si="307"/>
        <v>0</v>
      </c>
      <c r="AF426" s="85">
        <f t="shared" ca="1" si="308"/>
        <v>5.6024873629212379E-10</v>
      </c>
      <c r="AG426" s="168" t="b">
        <f>IF(AJ425&lt;=1,0,IF(AB426&lt;='3.2 Fi&amp;Fo'!$F$34,'3.2 Fi&amp;Fo'!$J$34,IF(AB426&lt;='3.2 Fi&amp;Fo'!$F$35,'3.2 Fi&amp;Fo'!$J$35,IF(AB426&lt;='3.2 Fi&amp;Fo'!$F$36,'3.2 Fi&amp;Fo'!$J$36,IF(AB426&lt;='3.2 Fi&amp;Fo'!$F$37,'3.2 Fi&amp;Fo'!$J$37,IF(AB426&lt;='3.2 Fi&amp;Fo'!$F$38,'3.2 Fi&amp;Fo'!$J$38,IF(AB426&lt;='3.2 Fi&amp;Fo'!$F$39,'3.2 Fi&amp;Fo'!$J$39,IF(AB426&lt;='3.2 Fi&amp;Fo'!$F$40,'3.2 Fi&amp;Fo'!$J$40))))))))</f>
        <v>0</v>
      </c>
      <c r="AH426" s="207">
        <f>IF(AJ425&lt;=1,0,AJ425*IF(AB426&lt;='3.2 Fi&amp;Fo'!$F$34,'3.2 Fi&amp;Fo'!$I$34,IF(AB426&lt;='3.2 Fi&amp;Fo'!$F$35,'3.2 Fi&amp;Fo'!$I$35,IF(AB426&lt;='3.2 Fi&amp;Fo'!$F$36,'3.2 Fi&amp;Fo'!$I$36,IF(AB426&lt;='3.2 Fi&amp;Fo'!$F$39,'3.2 Fi&amp;Fo'!$I$39,IF(AB426&lt;='3.2 Fi&amp;Fo'!$F$40,'3.2 Fi&amp;Fo'!$I$40))))))</f>
        <v>0</v>
      </c>
      <c r="AI426" s="210">
        <f t="shared" si="322"/>
        <v>0</v>
      </c>
      <c r="AJ426" s="209">
        <f t="shared" si="309"/>
        <v>1981583.9767358366</v>
      </c>
      <c r="AK426" s="312">
        <f t="shared" ca="1" si="323"/>
        <v>0</v>
      </c>
      <c r="AL426" s="169">
        <f>IF(AB426&lt;='3.2 Fi&amp;Fo'!$J$15,'3.2 Fi&amp;Fo'!$I$15,0)</f>
        <v>0</v>
      </c>
      <c r="AM426" s="169">
        <f t="shared" si="324"/>
        <v>0</v>
      </c>
      <c r="AN426" s="838" t="str">
        <f t="shared" si="287"/>
        <v/>
      </c>
      <c r="AO426" s="844">
        <f t="shared" ca="1" si="271"/>
        <v>0</v>
      </c>
      <c r="AP426" s="839">
        <f ca="1">DK482</f>
        <v>0</v>
      </c>
      <c r="AQ426" s="844">
        <f t="shared" si="272"/>
        <v>0</v>
      </c>
      <c r="AR426" s="839" t="str">
        <f t="shared" si="288"/>
        <v/>
      </c>
      <c r="AS426" s="839">
        <f t="shared" si="283"/>
        <v>0</v>
      </c>
      <c r="AT426" s="839">
        <f t="shared" si="284"/>
        <v>0</v>
      </c>
      <c r="AU426" s="839">
        <f>'PV-Einspeisung'!AA131*-1</f>
        <v>0</v>
      </c>
      <c r="AV426" s="839">
        <f>'PV-Einspeisung'!AE131*-1</f>
        <v>0</v>
      </c>
      <c r="AW426" s="839"/>
      <c r="AX426" s="839" t="str">
        <f t="shared" si="289"/>
        <v/>
      </c>
      <c r="AY426" s="841" t="str">
        <f t="shared" si="273"/>
        <v/>
      </c>
      <c r="AZ426" s="842" t="str">
        <f t="shared" si="325"/>
        <v/>
      </c>
      <c r="BA426" s="842" t="str">
        <f t="shared" si="291"/>
        <v/>
      </c>
      <c r="BB426" s="842" t="str">
        <f t="shared" si="292"/>
        <v/>
      </c>
      <c r="BC426" s="842" t="str">
        <f t="shared" si="293"/>
        <v/>
      </c>
      <c r="BD426" s="842" t="str">
        <f t="shared" si="294"/>
        <v/>
      </c>
      <c r="BE426" s="842" t="str">
        <f t="shared" si="295"/>
        <v/>
      </c>
      <c r="BF426" s="842" t="str">
        <f t="shared" si="296"/>
        <v/>
      </c>
      <c r="BG426" s="842" t="str">
        <f t="shared" si="297"/>
        <v/>
      </c>
      <c r="BH426" s="858" t="str">
        <f t="shared" si="281"/>
        <v/>
      </c>
      <c r="BI426" s="857" t="str">
        <f t="shared" si="298"/>
        <v/>
      </c>
      <c r="BJ426" s="857" t="str">
        <f t="shared" si="299"/>
        <v/>
      </c>
      <c r="BK426" s="859">
        <f>'PV-Einspeisung'!AB131*-1</f>
        <v>0</v>
      </c>
      <c r="BL426" s="824">
        <f t="shared" ca="1" si="317"/>
        <v>50</v>
      </c>
      <c r="BM426" s="824">
        <f t="shared" ca="1" si="318"/>
        <v>0</v>
      </c>
      <c r="BN426" s="824">
        <f t="shared" ca="1" si="319"/>
        <v>21526.475999999999</v>
      </c>
      <c r="BO426" s="824">
        <f t="shared" ca="1" si="327"/>
        <v>0</v>
      </c>
      <c r="BP426" s="824">
        <f t="shared" ca="1" si="327"/>
        <v>0</v>
      </c>
      <c r="BQ426" s="824">
        <f t="shared" ca="1" si="327"/>
        <v>0</v>
      </c>
      <c r="BR426" s="824">
        <f t="shared" ca="1" si="327"/>
        <v>0</v>
      </c>
      <c r="BS426" s="824">
        <f t="shared" ca="1" si="327"/>
        <v>0</v>
      </c>
      <c r="BT426" s="824">
        <f t="shared" ca="1" si="327"/>
        <v>0</v>
      </c>
      <c r="BU426" s="824">
        <f t="shared" ca="1" si="327"/>
        <v>0</v>
      </c>
      <c r="BV426" s="824">
        <f t="shared" ca="1" si="327"/>
        <v>0</v>
      </c>
      <c r="BW426" s="824">
        <f t="shared" ca="1" si="327"/>
        <v>0</v>
      </c>
      <c r="BX426" s="824">
        <f t="shared" ca="1" si="327"/>
        <v>0</v>
      </c>
      <c r="BY426" s="824">
        <f t="shared" ca="1" si="327"/>
        <v>0</v>
      </c>
      <c r="BZ426" s="824">
        <f t="shared" ca="1" si="327"/>
        <v>0</v>
      </c>
      <c r="CA426" s="824">
        <f t="shared" ca="1" si="327"/>
        <v>0</v>
      </c>
      <c r="CB426" s="824">
        <f t="shared" ca="1" si="327"/>
        <v>0</v>
      </c>
      <c r="CC426" s="824">
        <f t="shared" ca="1" si="327"/>
        <v>0</v>
      </c>
      <c r="CD426" s="824">
        <f t="shared" ca="1" si="327"/>
        <v>0</v>
      </c>
      <c r="CE426" s="824">
        <f t="shared" ca="1" si="326"/>
        <v>0</v>
      </c>
      <c r="CF426" s="824">
        <f t="shared" ca="1" si="326"/>
        <v>0</v>
      </c>
      <c r="CG426" s="824">
        <f t="shared" ca="1" si="326"/>
        <v>0</v>
      </c>
      <c r="CH426" s="824">
        <f t="shared" ca="1" si="326"/>
        <v>0</v>
      </c>
      <c r="CI426" s="824">
        <f t="shared" ca="1" si="326"/>
        <v>0</v>
      </c>
      <c r="CJ426" s="824">
        <f t="shared" ca="1" si="326"/>
        <v>0</v>
      </c>
      <c r="CK426" s="824">
        <f t="shared" ca="1" si="326"/>
        <v>0</v>
      </c>
      <c r="CL426" s="824">
        <f t="shared" ca="1" si="326"/>
        <v>0</v>
      </c>
      <c r="CM426" s="824">
        <f t="shared" ca="1" si="326"/>
        <v>0</v>
      </c>
      <c r="CN426" s="824">
        <f t="shared" ca="1" si="326"/>
        <v>0</v>
      </c>
      <c r="CO426" s="824">
        <f t="shared" ca="1" si="326"/>
        <v>0</v>
      </c>
      <c r="CP426" s="824">
        <f t="shared" ca="1" si="326"/>
        <v>0</v>
      </c>
      <c r="CQ426" s="824">
        <f t="shared" ca="1" si="326"/>
        <v>0</v>
      </c>
      <c r="CR426" s="824">
        <f t="shared" ca="1" si="326"/>
        <v>0</v>
      </c>
      <c r="CS426" s="824">
        <f t="shared" ca="1" si="326"/>
        <v>0</v>
      </c>
      <c r="CT426" s="824">
        <f t="shared" ca="1" si="329"/>
        <v>0</v>
      </c>
      <c r="CU426" s="824">
        <f t="shared" ca="1" si="329"/>
        <v>0</v>
      </c>
      <c r="CV426" s="824">
        <f t="shared" ca="1" si="329"/>
        <v>0</v>
      </c>
      <c r="CW426" s="824">
        <f t="shared" ca="1" si="329"/>
        <v>0</v>
      </c>
      <c r="CX426" s="824">
        <f t="shared" ca="1" si="329"/>
        <v>0</v>
      </c>
      <c r="CY426" s="824">
        <f t="shared" ca="1" si="329"/>
        <v>0</v>
      </c>
      <c r="CZ426" s="824">
        <f t="shared" ca="1" si="329"/>
        <v>0</v>
      </c>
      <c r="DA426" s="824">
        <f t="shared" ca="1" si="329"/>
        <v>0</v>
      </c>
      <c r="DB426" s="824">
        <f t="shared" ca="1" si="329"/>
        <v>0</v>
      </c>
      <c r="DC426" s="824">
        <f t="shared" ca="1" si="329"/>
        <v>0</v>
      </c>
      <c r="DD426" s="824">
        <f t="shared" ca="1" si="329"/>
        <v>0</v>
      </c>
      <c r="DE426" s="824">
        <f t="shared" ca="1" si="329"/>
        <v>0</v>
      </c>
      <c r="DF426" s="824">
        <f t="shared" ca="1" si="329"/>
        <v>0</v>
      </c>
      <c r="DG426" s="824">
        <f t="shared" ca="1" si="329"/>
        <v>0</v>
      </c>
      <c r="DH426" s="824">
        <f t="shared" ca="1" si="329"/>
        <v>0</v>
      </c>
      <c r="DI426" s="824">
        <f t="shared" ca="1" si="329"/>
        <v>0</v>
      </c>
      <c r="DJ426" s="824">
        <f t="shared" ca="1" si="314"/>
        <v>0</v>
      </c>
      <c r="DK426" s="824">
        <f t="shared" ca="1" si="314"/>
        <v>0</v>
      </c>
      <c r="DL426" s="824">
        <f t="shared" ca="1" si="314"/>
        <v>0</v>
      </c>
    </row>
    <row r="427" spans="2:116" ht="12" thickBot="1" x14ac:dyDescent="0.3">
      <c r="B427" s="1673"/>
      <c r="C427" s="1680"/>
      <c r="D427" s="15" t="s">
        <v>40</v>
      </c>
      <c r="E427" s="116"/>
      <c r="F427" s="116">
        <f ca="1">SUBTOTAL(109,'3.2 I&amp;W'!$X$138)</f>
        <v>0</v>
      </c>
      <c r="G427" s="116">
        <f ca="1">SUBTOTAL(109,'3.2 I&amp;W'!$Y$138)</f>
        <v>0</v>
      </c>
      <c r="H427" s="116">
        <f ca="1">SUBTOTAL(109,'3.2 I&amp;W'!$AD$138)</f>
        <v>0</v>
      </c>
      <c r="I427" s="116">
        <f ca="1">SUBTOTAL(109,'3.2 I&amp;W'!$AE$138)</f>
        <v>0</v>
      </c>
      <c r="J427" s="116"/>
      <c r="K427" s="116"/>
      <c r="L427" s="116"/>
      <c r="M427" s="116">
        <f ca="1">SUBTOTAL(109,'3.2 I&amp;W'!$AI$138)</f>
        <v>0</v>
      </c>
      <c r="N427" s="156">
        <f t="shared" ca="1" si="262"/>
        <v>0</v>
      </c>
      <c r="O427" s="116">
        <f ca="1">SUBTOTAL(109,'3.2 I&amp;W'!$S$138)</f>
        <v>0</v>
      </c>
      <c r="P427" s="30">
        <f t="shared" ca="1" si="302"/>
        <v>0</v>
      </c>
      <c r="Q427" s="31">
        <f t="shared" ca="1" si="303"/>
        <v>0</v>
      </c>
      <c r="R427" s="31">
        <f t="shared" ca="1" si="304"/>
        <v>0</v>
      </c>
      <c r="S427" s="31">
        <f t="shared" ca="1" si="305"/>
        <v>0</v>
      </c>
      <c r="T427" s="32">
        <f t="shared" ca="1" si="306"/>
        <v>0</v>
      </c>
      <c r="U427" s="37">
        <f t="shared" ca="1" si="263"/>
        <v>0</v>
      </c>
      <c r="V427" s="40">
        <f t="shared" ca="1" si="315"/>
        <v>0</v>
      </c>
      <c r="W427" s="41">
        <f t="shared" ca="1" si="316"/>
        <v>0</v>
      </c>
      <c r="X427" s="43"/>
      <c r="Y427" s="46"/>
      <c r="Z427" s="126"/>
      <c r="AA427" s="136"/>
      <c r="AB427" s="83">
        <v>50</v>
      </c>
      <c r="AC427" s="84">
        <f ca="1">IF(AF426&lt;=1,0,'3.2 Fi&amp;Fo'!$I$25)</f>
        <v>0</v>
      </c>
      <c r="AD427" s="72">
        <f ca="1">IF(AF426&lt;=1,0,AF426*'3.2 Fi&amp;Fo'!$H$25)</f>
        <v>0</v>
      </c>
      <c r="AE427" s="88">
        <f t="shared" ca="1" si="307"/>
        <v>0</v>
      </c>
      <c r="AF427" s="89">
        <f t="shared" ca="1" si="308"/>
        <v>5.6024873629212379E-10</v>
      </c>
      <c r="AG427" s="168" t="b">
        <f>IF(AJ426&lt;=1,0,IF(AB427&lt;='3.2 Fi&amp;Fo'!$F$34,'3.2 Fi&amp;Fo'!$J$34,IF(AB427&lt;='3.2 Fi&amp;Fo'!$F$35,'3.2 Fi&amp;Fo'!$J$35,IF(AB427&lt;='3.2 Fi&amp;Fo'!$F$36,'3.2 Fi&amp;Fo'!$J$36,IF(AB427&lt;='3.2 Fi&amp;Fo'!$F$37,'3.2 Fi&amp;Fo'!$J$37,IF(AB427&lt;='3.2 Fi&amp;Fo'!$F$38,'3.2 Fi&amp;Fo'!$J$38,IF(AB427&lt;='3.2 Fi&amp;Fo'!$F$39,'3.2 Fi&amp;Fo'!$J$39,IF(AB427&lt;='3.2 Fi&amp;Fo'!$F$40,'3.2 Fi&amp;Fo'!$J$40))))))))</f>
        <v>0</v>
      </c>
      <c r="AH427" s="211">
        <f>IF(AJ426&lt;=1,0,AJ426*IF(AB427&lt;='3.2 Fi&amp;Fo'!$F$34,'3.2 Fi&amp;Fo'!$I$34,IF(AB427&lt;='3.2 Fi&amp;Fo'!$F$35,'3.2 Fi&amp;Fo'!$I$35,IF(AB427&lt;='3.2 Fi&amp;Fo'!$F$36,'3.2 Fi&amp;Fo'!$I$36,IF(AB427&lt;='3.2 Fi&amp;Fo'!$F$39,'3.2 Fi&amp;Fo'!$I$39,IF(AB427&lt;='3.2 Fi&amp;Fo'!$F$40,'3.2 Fi&amp;Fo'!$I$40))))))</f>
        <v>0</v>
      </c>
      <c r="AI427" s="212">
        <f t="shared" si="322"/>
        <v>0</v>
      </c>
      <c r="AJ427" s="213">
        <f t="shared" si="309"/>
        <v>1981583.9767358366</v>
      </c>
      <c r="AK427" s="312">
        <f t="shared" ca="1" si="323"/>
        <v>0</v>
      </c>
      <c r="AL427" s="169">
        <f>IF(AB427&lt;='3.2 Fi&amp;Fo'!$J$15,'3.2 Fi&amp;Fo'!$I$15,0)</f>
        <v>0</v>
      </c>
      <c r="AM427" s="169">
        <f t="shared" si="324"/>
        <v>0</v>
      </c>
      <c r="AN427" s="838" t="str">
        <f t="shared" si="287"/>
        <v/>
      </c>
      <c r="AO427" s="844">
        <f t="shared" ca="1" si="271"/>
        <v>0</v>
      </c>
      <c r="AP427" s="839">
        <f ca="1">DL482</f>
        <v>0</v>
      </c>
      <c r="AQ427" s="844">
        <f t="shared" si="272"/>
        <v>0</v>
      </c>
      <c r="AR427" s="839" t="str">
        <f t="shared" si="288"/>
        <v/>
      </c>
      <c r="AS427" s="839">
        <f t="shared" si="283"/>
        <v>0</v>
      </c>
      <c r="AT427" s="839">
        <f t="shared" si="284"/>
        <v>0</v>
      </c>
      <c r="AU427" s="839">
        <f>'PV-Einspeisung'!AA132*-1</f>
        <v>0</v>
      </c>
      <c r="AV427" s="839">
        <f>'PV-Einspeisung'!AE132*-1</f>
        <v>0</v>
      </c>
      <c r="AW427" s="839"/>
      <c r="AX427" s="839" t="str">
        <f t="shared" si="289"/>
        <v/>
      </c>
      <c r="AY427" s="841" t="str">
        <f t="shared" si="273"/>
        <v/>
      </c>
      <c r="AZ427" s="842" t="str">
        <f t="shared" si="325"/>
        <v/>
      </c>
      <c r="BA427" s="842" t="str">
        <f t="shared" si="291"/>
        <v/>
      </c>
      <c r="BB427" s="842" t="str">
        <f t="shared" si="292"/>
        <v/>
      </c>
      <c r="BC427" s="842" t="str">
        <f t="shared" si="293"/>
        <v/>
      </c>
      <c r="BD427" s="842" t="str">
        <f t="shared" si="294"/>
        <v/>
      </c>
      <c r="BE427" s="842" t="str">
        <f t="shared" si="295"/>
        <v/>
      </c>
      <c r="BF427" s="842" t="str">
        <f t="shared" si="296"/>
        <v/>
      </c>
      <c r="BG427" s="842" t="str">
        <f t="shared" si="297"/>
        <v/>
      </c>
      <c r="BH427" s="858" t="str">
        <f t="shared" si="281"/>
        <v/>
      </c>
      <c r="BI427" s="857" t="str">
        <f t="shared" si="298"/>
        <v/>
      </c>
      <c r="BJ427" s="857" t="str">
        <f t="shared" si="299"/>
        <v/>
      </c>
      <c r="BK427" s="859">
        <f>'PV-Einspeisung'!AB132*-1</f>
        <v>0</v>
      </c>
      <c r="BL427" s="824">
        <f t="shared" ca="1" si="317"/>
        <v>0</v>
      </c>
      <c r="BM427" s="824">
        <f t="shared" ca="1" si="318"/>
        <v>0</v>
      </c>
      <c r="BN427" s="824">
        <f t="shared" ca="1" si="319"/>
        <v>0</v>
      </c>
      <c r="BO427" s="824">
        <f t="shared" ca="1" si="327"/>
        <v>0</v>
      </c>
      <c r="BP427" s="824">
        <f t="shared" ca="1" si="327"/>
        <v>0</v>
      </c>
      <c r="BQ427" s="824">
        <f t="shared" ca="1" si="327"/>
        <v>0</v>
      </c>
      <c r="BR427" s="824">
        <f t="shared" ca="1" si="327"/>
        <v>0</v>
      </c>
      <c r="BS427" s="824">
        <f t="shared" ca="1" si="327"/>
        <v>0</v>
      </c>
      <c r="BT427" s="824">
        <f t="shared" ca="1" si="327"/>
        <v>0</v>
      </c>
      <c r="BU427" s="824">
        <f t="shared" ca="1" si="327"/>
        <v>0</v>
      </c>
      <c r="BV427" s="824">
        <f t="shared" ca="1" si="327"/>
        <v>0</v>
      </c>
      <c r="BW427" s="824">
        <f t="shared" ca="1" si="327"/>
        <v>0</v>
      </c>
      <c r="BX427" s="824">
        <f t="shared" ca="1" si="327"/>
        <v>0</v>
      </c>
      <c r="BY427" s="824">
        <f t="shared" ca="1" si="327"/>
        <v>0</v>
      </c>
      <c r="BZ427" s="824">
        <f t="shared" ca="1" si="327"/>
        <v>0</v>
      </c>
      <c r="CA427" s="824">
        <f t="shared" ca="1" si="327"/>
        <v>0</v>
      </c>
      <c r="CB427" s="824">
        <f t="shared" ca="1" si="327"/>
        <v>0</v>
      </c>
      <c r="CC427" s="824">
        <f t="shared" ca="1" si="327"/>
        <v>0</v>
      </c>
      <c r="CD427" s="824">
        <f t="shared" ca="1" si="327"/>
        <v>0</v>
      </c>
      <c r="CE427" s="824">
        <f t="shared" ca="1" si="326"/>
        <v>0</v>
      </c>
      <c r="CF427" s="824">
        <f t="shared" ca="1" si="326"/>
        <v>0</v>
      </c>
      <c r="CG427" s="824">
        <f t="shared" ca="1" si="326"/>
        <v>0</v>
      </c>
      <c r="CH427" s="824">
        <f t="shared" ca="1" si="326"/>
        <v>0</v>
      </c>
      <c r="CI427" s="824">
        <f t="shared" ca="1" si="326"/>
        <v>0</v>
      </c>
      <c r="CJ427" s="824">
        <f t="shared" ca="1" si="326"/>
        <v>0</v>
      </c>
      <c r="CK427" s="824">
        <f t="shared" ca="1" si="326"/>
        <v>0</v>
      </c>
      <c r="CL427" s="824">
        <f t="shared" ca="1" si="326"/>
        <v>0</v>
      </c>
      <c r="CM427" s="824">
        <f t="shared" ca="1" si="326"/>
        <v>0</v>
      </c>
      <c r="CN427" s="824">
        <f t="shared" ca="1" si="326"/>
        <v>0</v>
      </c>
      <c r="CO427" s="824">
        <f t="shared" ca="1" si="326"/>
        <v>0</v>
      </c>
      <c r="CP427" s="824">
        <f t="shared" ca="1" si="326"/>
        <v>0</v>
      </c>
      <c r="CQ427" s="824">
        <f t="shared" ca="1" si="326"/>
        <v>0</v>
      </c>
      <c r="CR427" s="824">
        <f t="shared" ca="1" si="326"/>
        <v>0</v>
      </c>
      <c r="CS427" s="824">
        <f t="shared" ca="1" si="326"/>
        <v>0</v>
      </c>
      <c r="CT427" s="824">
        <f t="shared" ca="1" si="329"/>
        <v>0</v>
      </c>
      <c r="CU427" s="824">
        <f t="shared" ca="1" si="329"/>
        <v>0</v>
      </c>
      <c r="CV427" s="824">
        <f t="shared" ca="1" si="329"/>
        <v>0</v>
      </c>
      <c r="CW427" s="824">
        <f t="shared" ca="1" si="329"/>
        <v>0</v>
      </c>
      <c r="CX427" s="824">
        <f t="shared" ca="1" si="329"/>
        <v>0</v>
      </c>
      <c r="CY427" s="824">
        <f t="shared" ca="1" si="329"/>
        <v>0</v>
      </c>
      <c r="CZ427" s="824">
        <f t="shared" ca="1" si="329"/>
        <v>0</v>
      </c>
      <c r="DA427" s="824">
        <f t="shared" ca="1" si="329"/>
        <v>0</v>
      </c>
      <c r="DB427" s="824">
        <f t="shared" ca="1" si="329"/>
        <v>0</v>
      </c>
      <c r="DC427" s="824">
        <f t="shared" ca="1" si="329"/>
        <v>0</v>
      </c>
      <c r="DD427" s="824">
        <f t="shared" ca="1" si="329"/>
        <v>0</v>
      </c>
      <c r="DE427" s="824">
        <f t="shared" ca="1" si="329"/>
        <v>0</v>
      </c>
      <c r="DF427" s="824">
        <f t="shared" ca="1" si="329"/>
        <v>0</v>
      </c>
      <c r="DG427" s="824">
        <f t="shared" ca="1" si="329"/>
        <v>0</v>
      </c>
      <c r="DH427" s="824">
        <f t="shared" ca="1" si="329"/>
        <v>0</v>
      </c>
      <c r="DI427" s="824">
        <f t="shared" ca="1" si="329"/>
        <v>0</v>
      </c>
      <c r="DJ427" s="824">
        <f t="shared" ca="1" si="314"/>
        <v>0</v>
      </c>
      <c r="DK427" s="824">
        <f t="shared" ca="1" si="314"/>
        <v>0</v>
      </c>
      <c r="DL427" s="824">
        <f t="shared" ca="1" si="314"/>
        <v>0</v>
      </c>
    </row>
    <row r="428" spans="2:116" ht="12" thickBot="1" x14ac:dyDescent="0.3">
      <c r="B428" s="1673"/>
      <c r="C428" s="1680"/>
      <c r="D428" s="15" t="s">
        <v>40</v>
      </c>
      <c r="E428" s="165"/>
      <c r="F428" s="116">
        <f ca="1">SUBTOTAL(109,'3.2 I&amp;W'!$X$139)</f>
        <v>0</v>
      </c>
      <c r="G428" s="116">
        <f ca="1">SUBTOTAL(109,'3.2 I&amp;W'!$Y$139)</f>
        <v>0</v>
      </c>
      <c r="H428" s="116">
        <f ca="1">SUBTOTAL(109,'3.2 I&amp;W'!$AD$139)</f>
        <v>0</v>
      </c>
      <c r="I428" s="116">
        <f ca="1">SUBTOTAL(109,'3.2 I&amp;W'!$AE$139)</f>
        <v>0</v>
      </c>
      <c r="J428" s="116"/>
      <c r="K428" s="116"/>
      <c r="L428" s="116"/>
      <c r="M428" s="116">
        <f ca="1">SUBTOTAL(109,'3.2 I&amp;W'!$AI$139)</f>
        <v>50</v>
      </c>
      <c r="N428" s="156">
        <f t="shared" ca="1" si="262"/>
        <v>0</v>
      </c>
      <c r="O428" s="116">
        <f>SUBTOTAL(109,'3.2 I&amp;W'!$S$139)</f>
        <v>40502.400000000001</v>
      </c>
      <c r="P428" s="30">
        <f t="shared" ca="1" si="302"/>
        <v>0</v>
      </c>
      <c r="Q428" s="31">
        <f t="shared" ca="1" si="303"/>
        <v>0</v>
      </c>
      <c r="R428" s="31">
        <f t="shared" ca="1" si="304"/>
        <v>0</v>
      </c>
      <c r="S428" s="31">
        <f t="shared" ca="1" si="305"/>
        <v>0</v>
      </c>
      <c r="T428" s="32">
        <f t="shared" ca="1" si="306"/>
        <v>0</v>
      </c>
      <c r="U428" s="37">
        <f t="shared" ca="1" si="263"/>
        <v>6075.6955221970811</v>
      </c>
      <c r="V428" s="40">
        <f t="shared" ca="1" si="315"/>
        <v>0</v>
      </c>
      <c r="W428" s="41">
        <f t="shared" ca="1" si="316"/>
        <v>0</v>
      </c>
      <c r="X428" s="43"/>
      <c r="Y428" s="46"/>
      <c r="Z428" s="126"/>
      <c r="AA428" s="136"/>
      <c r="AB428" s="87"/>
      <c r="AC428" s="87"/>
      <c r="AD428" s="87"/>
      <c r="AE428" s="87"/>
      <c r="AF428" s="87"/>
      <c r="AG428" s="90"/>
      <c r="AH428" s="87"/>
      <c r="AI428" s="87"/>
      <c r="AJ428" s="87"/>
      <c r="AK428" s="87"/>
      <c r="AL428" s="87"/>
      <c r="AM428" s="91"/>
      <c r="AN428" s="72"/>
      <c r="AO428" s="72"/>
      <c r="AP428" s="72"/>
      <c r="AQ428" s="72"/>
      <c r="AR428" s="72"/>
      <c r="AS428" s="72"/>
      <c r="AT428" s="72"/>
      <c r="AU428" s="72"/>
      <c r="AV428" s="72"/>
      <c r="AW428" s="72"/>
      <c r="AX428" s="72"/>
      <c r="AY428" s="72"/>
      <c r="AZ428" s="72"/>
      <c r="BA428" s="72"/>
      <c r="BB428" s="72"/>
      <c r="BC428" s="72"/>
      <c r="BD428" s="72"/>
      <c r="BE428" s="72"/>
      <c r="BF428" s="72"/>
      <c r="BG428" s="72"/>
      <c r="BH428" s="72"/>
      <c r="BI428" s="72"/>
      <c r="BJ428" s="72"/>
      <c r="BK428" s="3"/>
      <c r="BL428" s="824">
        <f t="shared" ca="1" si="317"/>
        <v>50</v>
      </c>
      <c r="BM428" s="824">
        <f t="shared" ca="1" si="318"/>
        <v>0</v>
      </c>
      <c r="BN428" s="824">
        <f t="shared" si="319"/>
        <v>40502.400000000001</v>
      </c>
      <c r="BO428" s="824">
        <f t="shared" ca="1" si="327"/>
        <v>0</v>
      </c>
      <c r="BP428" s="824">
        <f t="shared" ca="1" si="327"/>
        <v>0</v>
      </c>
      <c r="BQ428" s="824">
        <f t="shared" ca="1" si="327"/>
        <v>0</v>
      </c>
      <c r="BR428" s="824">
        <f t="shared" ca="1" si="327"/>
        <v>0</v>
      </c>
      <c r="BS428" s="824">
        <f t="shared" ca="1" si="327"/>
        <v>0</v>
      </c>
      <c r="BT428" s="824">
        <f t="shared" ca="1" si="327"/>
        <v>0</v>
      </c>
      <c r="BU428" s="824">
        <f t="shared" ca="1" si="327"/>
        <v>0</v>
      </c>
      <c r="BV428" s="824">
        <f t="shared" ca="1" si="327"/>
        <v>0</v>
      </c>
      <c r="BW428" s="824">
        <f t="shared" ca="1" si="327"/>
        <v>0</v>
      </c>
      <c r="BX428" s="824">
        <f t="shared" ca="1" si="327"/>
        <v>0</v>
      </c>
      <c r="BY428" s="824">
        <f t="shared" ca="1" si="327"/>
        <v>0</v>
      </c>
      <c r="BZ428" s="824">
        <f t="shared" ca="1" si="327"/>
        <v>0</v>
      </c>
      <c r="CA428" s="824">
        <f t="shared" ca="1" si="327"/>
        <v>0</v>
      </c>
      <c r="CB428" s="824">
        <f t="shared" ca="1" si="327"/>
        <v>0</v>
      </c>
      <c r="CC428" s="824">
        <f t="shared" ca="1" si="327"/>
        <v>0</v>
      </c>
      <c r="CD428" s="824">
        <f t="shared" ca="1" si="327"/>
        <v>0</v>
      </c>
      <c r="CE428" s="824">
        <f t="shared" ca="1" si="326"/>
        <v>0</v>
      </c>
      <c r="CF428" s="824">
        <f t="shared" ca="1" si="326"/>
        <v>0</v>
      </c>
      <c r="CG428" s="824">
        <f t="shared" ca="1" si="326"/>
        <v>0</v>
      </c>
      <c r="CH428" s="824">
        <f t="shared" ca="1" si="326"/>
        <v>0</v>
      </c>
      <c r="CI428" s="824">
        <f t="shared" ca="1" si="326"/>
        <v>0</v>
      </c>
      <c r="CJ428" s="824">
        <f t="shared" ca="1" si="326"/>
        <v>0</v>
      </c>
      <c r="CK428" s="824">
        <f t="shared" ca="1" si="326"/>
        <v>0</v>
      </c>
      <c r="CL428" s="824">
        <f t="shared" ca="1" si="326"/>
        <v>0</v>
      </c>
      <c r="CM428" s="824">
        <f t="shared" ca="1" si="326"/>
        <v>0</v>
      </c>
      <c r="CN428" s="824">
        <f t="shared" ca="1" si="326"/>
        <v>0</v>
      </c>
      <c r="CO428" s="824">
        <f t="shared" ca="1" si="326"/>
        <v>0</v>
      </c>
      <c r="CP428" s="824">
        <f t="shared" ca="1" si="326"/>
        <v>0</v>
      </c>
      <c r="CQ428" s="824">
        <f t="shared" ca="1" si="326"/>
        <v>0</v>
      </c>
      <c r="CR428" s="824">
        <f t="shared" ca="1" si="326"/>
        <v>0</v>
      </c>
      <c r="CS428" s="824">
        <f t="shared" ca="1" si="326"/>
        <v>0</v>
      </c>
      <c r="CT428" s="824">
        <f t="shared" ca="1" si="329"/>
        <v>0</v>
      </c>
      <c r="CU428" s="824">
        <f t="shared" ca="1" si="329"/>
        <v>0</v>
      </c>
      <c r="CV428" s="824">
        <f t="shared" ca="1" si="329"/>
        <v>0</v>
      </c>
      <c r="CW428" s="824">
        <f t="shared" ca="1" si="329"/>
        <v>0</v>
      </c>
      <c r="CX428" s="824">
        <f t="shared" ca="1" si="329"/>
        <v>0</v>
      </c>
      <c r="CY428" s="824">
        <f t="shared" ca="1" si="329"/>
        <v>0</v>
      </c>
      <c r="CZ428" s="824">
        <f t="shared" ca="1" si="329"/>
        <v>0</v>
      </c>
      <c r="DA428" s="824">
        <f t="shared" ca="1" si="329"/>
        <v>0</v>
      </c>
      <c r="DB428" s="824">
        <f t="shared" ca="1" si="329"/>
        <v>0</v>
      </c>
      <c r="DC428" s="824">
        <f t="shared" ca="1" si="329"/>
        <v>0</v>
      </c>
      <c r="DD428" s="824">
        <f t="shared" ca="1" si="329"/>
        <v>0</v>
      </c>
      <c r="DE428" s="824">
        <f t="shared" ca="1" si="329"/>
        <v>0</v>
      </c>
      <c r="DF428" s="824">
        <f t="shared" ca="1" si="329"/>
        <v>0</v>
      </c>
      <c r="DG428" s="824">
        <f t="shared" ca="1" si="329"/>
        <v>0</v>
      </c>
      <c r="DH428" s="824">
        <f t="shared" ca="1" si="329"/>
        <v>0</v>
      </c>
      <c r="DI428" s="824">
        <f t="shared" ca="1" si="329"/>
        <v>0</v>
      </c>
      <c r="DJ428" s="824">
        <f t="shared" ca="1" si="314"/>
        <v>0</v>
      </c>
      <c r="DK428" s="824">
        <f t="shared" ca="1" si="314"/>
        <v>0</v>
      </c>
      <c r="DL428" s="824">
        <f t="shared" ca="1" si="314"/>
        <v>0</v>
      </c>
    </row>
    <row r="429" spans="2:116" ht="12" thickBot="1" x14ac:dyDescent="0.3">
      <c r="B429" s="1673"/>
      <c r="C429" s="1680"/>
      <c r="D429" s="15" t="s">
        <v>40</v>
      </c>
      <c r="E429" s="116"/>
      <c r="F429" s="116">
        <f ca="1">SUBTOTAL(109,'3.2 I&amp;W'!$X$140)</f>
        <v>0</v>
      </c>
      <c r="G429" s="116">
        <f ca="1">SUBTOTAL(109,'3.2 I&amp;W'!$Y$140)</f>
        <v>0</v>
      </c>
      <c r="H429" s="116">
        <f ca="1">SUBTOTAL(109,'3.2 I&amp;W'!$AD$140)</f>
        <v>0</v>
      </c>
      <c r="I429" s="116">
        <f ca="1">SUBTOTAL(109,'3.2 I&amp;W'!$AE$140)</f>
        <v>0</v>
      </c>
      <c r="J429" s="116"/>
      <c r="K429" s="116"/>
      <c r="L429" s="116"/>
      <c r="M429" s="116">
        <f ca="1">SUBTOTAL(109,'3.2 I&amp;W'!$AI$140)</f>
        <v>0</v>
      </c>
      <c r="N429" s="156">
        <f t="shared" ca="1" si="262"/>
        <v>0</v>
      </c>
      <c r="O429" s="116">
        <f ca="1">SUBTOTAL(109,'3.2 I&amp;W'!$S$140)</f>
        <v>0</v>
      </c>
      <c r="P429" s="30">
        <f t="shared" ca="1" si="302"/>
        <v>0</v>
      </c>
      <c r="Q429" s="31">
        <f t="shared" ca="1" si="303"/>
        <v>0</v>
      </c>
      <c r="R429" s="31">
        <f t="shared" ca="1" si="304"/>
        <v>0</v>
      </c>
      <c r="S429" s="31">
        <f t="shared" ca="1" si="305"/>
        <v>0</v>
      </c>
      <c r="T429" s="32">
        <f t="shared" ca="1" si="306"/>
        <v>0</v>
      </c>
      <c r="U429" s="37">
        <f t="shared" ca="1" si="263"/>
        <v>0</v>
      </c>
      <c r="V429" s="40">
        <f t="shared" ca="1" si="315"/>
        <v>0</v>
      </c>
      <c r="W429" s="41">
        <f t="shared" ca="1" si="316"/>
        <v>0</v>
      </c>
      <c r="X429" s="43"/>
      <c r="Y429" s="46"/>
      <c r="Z429" s="126"/>
      <c r="AA429" s="136"/>
      <c r="BK429" s="3"/>
      <c r="BL429" s="824">
        <f t="shared" ca="1" si="317"/>
        <v>0</v>
      </c>
      <c r="BM429" s="824">
        <f t="shared" ca="1" si="318"/>
        <v>0</v>
      </c>
      <c r="BN429" s="824">
        <f t="shared" ca="1" si="319"/>
        <v>0</v>
      </c>
      <c r="BO429" s="824">
        <f t="shared" ca="1" si="327"/>
        <v>0</v>
      </c>
      <c r="BP429" s="824">
        <f t="shared" ca="1" si="327"/>
        <v>0</v>
      </c>
      <c r="BQ429" s="824">
        <f t="shared" ca="1" si="327"/>
        <v>0</v>
      </c>
      <c r="BR429" s="824">
        <f t="shared" ca="1" si="327"/>
        <v>0</v>
      </c>
      <c r="BS429" s="824">
        <f t="shared" ca="1" si="327"/>
        <v>0</v>
      </c>
      <c r="BT429" s="824">
        <f t="shared" ca="1" si="327"/>
        <v>0</v>
      </c>
      <c r="BU429" s="824">
        <f t="shared" ca="1" si="327"/>
        <v>0</v>
      </c>
      <c r="BV429" s="824">
        <f t="shared" ca="1" si="327"/>
        <v>0</v>
      </c>
      <c r="BW429" s="824">
        <f t="shared" ca="1" si="327"/>
        <v>0</v>
      </c>
      <c r="BX429" s="824">
        <f t="shared" ca="1" si="327"/>
        <v>0</v>
      </c>
      <c r="BY429" s="824">
        <f t="shared" ca="1" si="327"/>
        <v>0</v>
      </c>
      <c r="BZ429" s="824">
        <f t="shared" ca="1" si="327"/>
        <v>0</v>
      </c>
      <c r="CA429" s="824">
        <f t="shared" ca="1" si="327"/>
        <v>0</v>
      </c>
      <c r="CB429" s="824">
        <f t="shared" ca="1" si="327"/>
        <v>0</v>
      </c>
      <c r="CC429" s="824">
        <f t="shared" ca="1" si="327"/>
        <v>0</v>
      </c>
      <c r="CD429" s="824">
        <f t="shared" ca="1" si="327"/>
        <v>0</v>
      </c>
      <c r="CE429" s="824">
        <f t="shared" ca="1" si="326"/>
        <v>0</v>
      </c>
      <c r="CF429" s="824">
        <f t="shared" ca="1" si="326"/>
        <v>0</v>
      </c>
      <c r="CG429" s="824">
        <f t="shared" ca="1" si="326"/>
        <v>0</v>
      </c>
      <c r="CH429" s="824">
        <f t="shared" ca="1" si="326"/>
        <v>0</v>
      </c>
      <c r="CI429" s="824">
        <f t="shared" ca="1" si="326"/>
        <v>0</v>
      </c>
      <c r="CJ429" s="824">
        <f t="shared" ca="1" si="326"/>
        <v>0</v>
      </c>
      <c r="CK429" s="824">
        <f t="shared" ca="1" si="326"/>
        <v>0</v>
      </c>
      <c r="CL429" s="824">
        <f t="shared" ca="1" si="326"/>
        <v>0</v>
      </c>
      <c r="CM429" s="824">
        <f t="shared" ca="1" si="326"/>
        <v>0</v>
      </c>
      <c r="CN429" s="824">
        <f t="shared" ca="1" si="326"/>
        <v>0</v>
      </c>
      <c r="CO429" s="824">
        <f t="shared" ca="1" si="326"/>
        <v>0</v>
      </c>
      <c r="CP429" s="824">
        <f t="shared" ca="1" si="326"/>
        <v>0</v>
      </c>
      <c r="CQ429" s="824">
        <f t="shared" ca="1" si="326"/>
        <v>0</v>
      </c>
      <c r="CR429" s="824">
        <f t="shared" ca="1" si="326"/>
        <v>0</v>
      </c>
      <c r="CS429" s="824">
        <f t="shared" ca="1" si="326"/>
        <v>0</v>
      </c>
      <c r="CT429" s="824">
        <f t="shared" ca="1" si="329"/>
        <v>0</v>
      </c>
      <c r="CU429" s="824">
        <f t="shared" ca="1" si="329"/>
        <v>0</v>
      </c>
      <c r="CV429" s="824">
        <f t="shared" ca="1" si="329"/>
        <v>0</v>
      </c>
      <c r="CW429" s="824">
        <f t="shared" ca="1" si="329"/>
        <v>0</v>
      </c>
      <c r="CX429" s="824">
        <f t="shared" ca="1" si="329"/>
        <v>0</v>
      </c>
      <c r="CY429" s="824">
        <f t="shared" ca="1" si="329"/>
        <v>0</v>
      </c>
      <c r="CZ429" s="824">
        <f t="shared" ca="1" si="329"/>
        <v>0</v>
      </c>
      <c r="DA429" s="824">
        <f t="shared" ca="1" si="329"/>
        <v>0</v>
      </c>
      <c r="DB429" s="824">
        <f t="shared" ca="1" si="329"/>
        <v>0</v>
      </c>
      <c r="DC429" s="824">
        <f t="shared" ca="1" si="329"/>
        <v>0</v>
      </c>
      <c r="DD429" s="824">
        <f t="shared" ca="1" si="329"/>
        <v>0</v>
      </c>
      <c r="DE429" s="824">
        <f t="shared" ca="1" si="329"/>
        <v>0</v>
      </c>
      <c r="DF429" s="824">
        <f t="shared" ca="1" si="329"/>
        <v>0</v>
      </c>
      <c r="DG429" s="824">
        <f t="shared" ca="1" si="329"/>
        <v>0</v>
      </c>
      <c r="DH429" s="824">
        <f t="shared" ca="1" si="329"/>
        <v>0</v>
      </c>
      <c r="DI429" s="824">
        <f t="shared" ca="1" si="329"/>
        <v>0</v>
      </c>
      <c r="DJ429" s="824">
        <f t="shared" ca="1" si="314"/>
        <v>0</v>
      </c>
      <c r="DK429" s="824">
        <f t="shared" ca="1" si="314"/>
        <v>0</v>
      </c>
      <c r="DL429" s="824">
        <f t="shared" ca="1" si="314"/>
        <v>0</v>
      </c>
    </row>
    <row r="430" spans="2:116" ht="12" thickBot="1" x14ac:dyDescent="0.3">
      <c r="B430" s="1673"/>
      <c r="C430" s="1680"/>
      <c r="D430" s="15" t="s">
        <v>40</v>
      </c>
      <c r="E430" s="165"/>
      <c r="F430" s="116">
        <f ca="1">SUBTOTAL(109,'3.2 I&amp;W'!$X$141)</f>
        <v>0</v>
      </c>
      <c r="G430" s="116">
        <f ca="1">SUBTOTAL(109,'3.2 I&amp;W'!$Y$141)</f>
        <v>0</v>
      </c>
      <c r="H430" s="116">
        <f ca="1">SUBTOTAL(109,'3.2 I&amp;W'!$AD$141)</f>
        <v>0</v>
      </c>
      <c r="I430" s="116">
        <f ca="1">SUBTOTAL(109,'3.2 I&amp;W'!$AE$141)</f>
        <v>0</v>
      </c>
      <c r="J430" s="116"/>
      <c r="K430" s="116"/>
      <c r="L430" s="116"/>
      <c r="M430" s="116">
        <f ca="1">SUBTOTAL(109,'3.2 I&amp;W'!$AI$141)</f>
        <v>0</v>
      </c>
      <c r="N430" s="156">
        <f t="shared" ca="1" si="262"/>
        <v>0</v>
      </c>
      <c r="O430" s="116">
        <f ca="1">SUBTOTAL(109,'3.2 I&amp;W'!$S$141)</f>
        <v>0</v>
      </c>
      <c r="P430" s="30">
        <f t="shared" ca="1" si="302"/>
        <v>0</v>
      </c>
      <c r="Q430" s="31">
        <f t="shared" ca="1" si="303"/>
        <v>0</v>
      </c>
      <c r="R430" s="31">
        <f t="shared" ca="1" si="304"/>
        <v>0</v>
      </c>
      <c r="S430" s="31">
        <f t="shared" ca="1" si="305"/>
        <v>0</v>
      </c>
      <c r="T430" s="32">
        <f t="shared" ca="1" si="306"/>
        <v>0</v>
      </c>
      <c r="U430" s="37">
        <f t="shared" ca="1" si="263"/>
        <v>0</v>
      </c>
      <c r="V430" s="40">
        <f t="shared" ca="1" si="315"/>
        <v>0</v>
      </c>
      <c r="W430" s="41">
        <f t="shared" ca="1" si="316"/>
        <v>0</v>
      </c>
      <c r="X430" s="43"/>
      <c r="Y430" s="46"/>
      <c r="Z430" s="126"/>
      <c r="AA430" s="136"/>
      <c r="BK430" s="3"/>
      <c r="BL430" s="824">
        <f t="shared" ca="1" si="317"/>
        <v>0</v>
      </c>
      <c r="BM430" s="824">
        <f t="shared" ca="1" si="318"/>
        <v>0</v>
      </c>
      <c r="BN430" s="824">
        <f t="shared" ca="1" si="319"/>
        <v>0</v>
      </c>
      <c r="BO430" s="824">
        <f t="shared" ca="1" si="327"/>
        <v>0</v>
      </c>
      <c r="BP430" s="824">
        <f t="shared" ca="1" si="327"/>
        <v>0</v>
      </c>
      <c r="BQ430" s="824">
        <f t="shared" ca="1" si="327"/>
        <v>0</v>
      </c>
      <c r="BR430" s="824">
        <f t="shared" ca="1" si="327"/>
        <v>0</v>
      </c>
      <c r="BS430" s="824">
        <f t="shared" ca="1" si="327"/>
        <v>0</v>
      </c>
      <c r="BT430" s="824">
        <f t="shared" ca="1" si="327"/>
        <v>0</v>
      </c>
      <c r="BU430" s="824">
        <f t="shared" ca="1" si="327"/>
        <v>0</v>
      </c>
      <c r="BV430" s="824">
        <f t="shared" ca="1" si="327"/>
        <v>0</v>
      </c>
      <c r="BW430" s="824">
        <f t="shared" ca="1" si="327"/>
        <v>0</v>
      </c>
      <c r="BX430" s="824">
        <f t="shared" ca="1" si="327"/>
        <v>0</v>
      </c>
      <c r="BY430" s="824">
        <f t="shared" ca="1" si="327"/>
        <v>0</v>
      </c>
      <c r="BZ430" s="824">
        <f t="shared" ca="1" si="327"/>
        <v>0</v>
      </c>
      <c r="CA430" s="824">
        <f t="shared" ca="1" si="327"/>
        <v>0</v>
      </c>
      <c r="CB430" s="824">
        <f t="shared" ca="1" si="327"/>
        <v>0</v>
      </c>
      <c r="CC430" s="824">
        <f t="shared" ca="1" si="327"/>
        <v>0</v>
      </c>
      <c r="CD430" s="824">
        <f t="shared" ca="1" si="327"/>
        <v>0</v>
      </c>
      <c r="CE430" s="824">
        <f t="shared" ca="1" si="326"/>
        <v>0</v>
      </c>
      <c r="CF430" s="824">
        <f t="shared" ca="1" si="326"/>
        <v>0</v>
      </c>
      <c r="CG430" s="824">
        <f t="shared" ca="1" si="326"/>
        <v>0</v>
      </c>
      <c r="CH430" s="824">
        <f t="shared" ca="1" si="326"/>
        <v>0</v>
      </c>
      <c r="CI430" s="824">
        <f t="shared" ca="1" si="326"/>
        <v>0</v>
      </c>
      <c r="CJ430" s="824">
        <f t="shared" ca="1" si="326"/>
        <v>0</v>
      </c>
      <c r="CK430" s="824">
        <f t="shared" ca="1" si="326"/>
        <v>0</v>
      </c>
      <c r="CL430" s="824">
        <f t="shared" ca="1" si="326"/>
        <v>0</v>
      </c>
      <c r="CM430" s="824">
        <f t="shared" ca="1" si="326"/>
        <v>0</v>
      </c>
      <c r="CN430" s="824">
        <f t="shared" ca="1" si="326"/>
        <v>0</v>
      </c>
      <c r="CO430" s="824">
        <f t="shared" ca="1" si="326"/>
        <v>0</v>
      </c>
      <c r="CP430" s="824">
        <f t="shared" ca="1" si="326"/>
        <v>0</v>
      </c>
      <c r="CQ430" s="824">
        <f t="shared" ca="1" si="326"/>
        <v>0</v>
      </c>
      <c r="CR430" s="824">
        <f t="shared" ca="1" si="326"/>
        <v>0</v>
      </c>
      <c r="CS430" s="824">
        <f t="shared" ca="1" si="326"/>
        <v>0</v>
      </c>
      <c r="CT430" s="824">
        <f t="shared" ca="1" si="329"/>
        <v>0</v>
      </c>
      <c r="CU430" s="824">
        <f t="shared" ca="1" si="329"/>
        <v>0</v>
      </c>
      <c r="CV430" s="824">
        <f t="shared" ca="1" si="329"/>
        <v>0</v>
      </c>
      <c r="CW430" s="824">
        <f t="shared" ca="1" si="329"/>
        <v>0</v>
      </c>
      <c r="CX430" s="824">
        <f t="shared" ca="1" si="329"/>
        <v>0</v>
      </c>
      <c r="CY430" s="824">
        <f t="shared" ca="1" si="329"/>
        <v>0</v>
      </c>
      <c r="CZ430" s="824">
        <f t="shared" ca="1" si="329"/>
        <v>0</v>
      </c>
      <c r="DA430" s="824">
        <f t="shared" ca="1" si="329"/>
        <v>0</v>
      </c>
      <c r="DB430" s="824">
        <f t="shared" ca="1" si="329"/>
        <v>0</v>
      </c>
      <c r="DC430" s="824">
        <f t="shared" ca="1" si="329"/>
        <v>0</v>
      </c>
      <c r="DD430" s="824">
        <f t="shared" ca="1" si="329"/>
        <v>0</v>
      </c>
      <c r="DE430" s="824">
        <f t="shared" ca="1" si="329"/>
        <v>0</v>
      </c>
      <c r="DF430" s="824">
        <f t="shared" ca="1" si="329"/>
        <v>0</v>
      </c>
      <c r="DG430" s="824">
        <f t="shared" ca="1" si="329"/>
        <v>0</v>
      </c>
      <c r="DH430" s="824">
        <f t="shared" ca="1" si="329"/>
        <v>0</v>
      </c>
      <c r="DI430" s="824">
        <f t="shared" ca="1" si="329"/>
        <v>0</v>
      </c>
      <c r="DJ430" s="824">
        <f t="shared" ca="1" si="314"/>
        <v>0</v>
      </c>
      <c r="DK430" s="824">
        <f t="shared" ca="1" si="314"/>
        <v>0</v>
      </c>
      <c r="DL430" s="824">
        <f t="shared" ca="1" si="314"/>
        <v>0</v>
      </c>
    </row>
    <row r="431" spans="2:116" ht="12" thickBot="1" x14ac:dyDescent="0.3">
      <c r="B431" s="1673"/>
      <c r="C431" s="1680"/>
      <c r="D431" s="15" t="s">
        <v>36</v>
      </c>
      <c r="E431" s="116"/>
      <c r="F431" s="116">
        <f ca="1">SUBTOTAL(109,'3.2 I&amp;W'!$X$145)</f>
        <v>0</v>
      </c>
      <c r="G431" s="116">
        <f ca="1">SUBTOTAL(109,'3.2 I&amp;W'!$Y$145)</f>
        <v>0</v>
      </c>
      <c r="H431" s="116">
        <f ca="1">SUBTOTAL(109,'3.2 I&amp;W'!$AD$145)</f>
        <v>0</v>
      </c>
      <c r="I431" s="116">
        <f ca="1">SUBTOTAL(109,'3.2 I&amp;W'!$AE$145)</f>
        <v>0</v>
      </c>
      <c r="J431" s="116"/>
      <c r="K431" s="116"/>
      <c r="L431" s="116"/>
      <c r="M431" s="116">
        <f ca="1">SUBTOTAL(109,'3.2 I&amp;W'!$AI$145)</f>
        <v>15</v>
      </c>
      <c r="N431" s="156">
        <f t="shared" ca="1" si="262"/>
        <v>2</v>
      </c>
      <c r="O431" s="116">
        <f ca="1">SUBTOTAL(109,'3.2 I&amp;W'!$S$145)</f>
        <v>6840</v>
      </c>
      <c r="P431" s="30">
        <f t="shared" ca="1" si="302"/>
        <v>6448.5065382265002</v>
      </c>
      <c r="Q431" s="31">
        <f t="shared" ca="1" si="303"/>
        <v>6079.4205516885831</v>
      </c>
      <c r="R431" s="31">
        <f t="shared" ca="1" si="304"/>
        <v>0</v>
      </c>
      <c r="S431" s="31">
        <f t="shared" ca="1" si="305"/>
        <v>0</v>
      </c>
      <c r="T431" s="32">
        <f t="shared" ca="1" si="306"/>
        <v>0</v>
      </c>
      <c r="U431" s="37">
        <f t="shared" ca="1" si="263"/>
        <v>3670.8789997183567</v>
      </c>
      <c r="V431" s="40">
        <f t="shared" ca="1" si="315"/>
        <v>0</v>
      </c>
      <c r="W431" s="41">
        <f t="shared" ca="1" si="316"/>
        <v>0</v>
      </c>
      <c r="X431" s="43"/>
      <c r="Y431" s="46"/>
      <c r="Z431" s="126"/>
      <c r="AA431" s="136"/>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824">
        <f t="shared" ca="1" si="317"/>
        <v>15</v>
      </c>
      <c r="BM431" s="824">
        <f t="shared" ca="1" si="318"/>
        <v>2</v>
      </c>
      <c r="BN431" s="824">
        <f t="shared" ca="1" si="319"/>
        <v>6840</v>
      </c>
      <c r="BO431" s="824">
        <f t="shared" ca="1" si="327"/>
        <v>0</v>
      </c>
      <c r="BP431" s="824">
        <f t="shared" ca="1" si="327"/>
        <v>0</v>
      </c>
      <c r="BQ431" s="824">
        <f t="shared" ca="1" si="327"/>
        <v>0</v>
      </c>
      <c r="BR431" s="824">
        <f t="shared" ca="1" si="327"/>
        <v>0</v>
      </c>
      <c r="BS431" s="824">
        <f t="shared" ca="1" si="327"/>
        <v>0</v>
      </c>
      <c r="BT431" s="824">
        <f t="shared" ca="1" si="327"/>
        <v>0</v>
      </c>
      <c r="BU431" s="824">
        <f t="shared" ca="1" si="327"/>
        <v>0</v>
      </c>
      <c r="BV431" s="824">
        <f t="shared" ca="1" si="327"/>
        <v>0</v>
      </c>
      <c r="BW431" s="824">
        <f t="shared" ca="1" si="327"/>
        <v>0</v>
      </c>
      <c r="BX431" s="824">
        <f t="shared" ca="1" si="327"/>
        <v>0</v>
      </c>
      <c r="BY431" s="824">
        <f t="shared" ca="1" si="327"/>
        <v>0</v>
      </c>
      <c r="BZ431" s="824">
        <f t="shared" ca="1" si="327"/>
        <v>0</v>
      </c>
      <c r="CA431" s="824">
        <f t="shared" ca="1" si="327"/>
        <v>0</v>
      </c>
      <c r="CB431" s="824">
        <f t="shared" ca="1" si="327"/>
        <v>0</v>
      </c>
      <c r="CC431" s="824">
        <f t="shared" ca="1" si="327"/>
        <v>8678.8407792751823</v>
      </c>
      <c r="CD431" s="824">
        <f t="shared" ca="1" si="327"/>
        <v>0</v>
      </c>
      <c r="CE431" s="824">
        <f t="shared" ca="1" si="326"/>
        <v>0</v>
      </c>
      <c r="CF431" s="824">
        <f t="shared" ca="1" si="326"/>
        <v>0</v>
      </c>
      <c r="CG431" s="824">
        <f t="shared" ca="1" si="326"/>
        <v>0</v>
      </c>
      <c r="CH431" s="824">
        <f t="shared" ca="1" si="326"/>
        <v>0</v>
      </c>
      <c r="CI431" s="824">
        <f t="shared" ca="1" si="326"/>
        <v>0</v>
      </c>
      <c r="CJ431" s="824">
        <f t="shared" ca="1" si="326"/>
        <v>0</v>
      </c>
      <c r="CK431" s="824">
        <f t="shared" ca="1" si="326"/>
        <v>0</v>
      </c>
      <c r="CL431" s="824">
        <f t="shared" ca="1" si="326"/>
        <v>0</v>
      </c>
      <c r="CM431" s="824">
        <f t="shared" ca="1" si="326"/>
        <v>0</v>
      </c>
      <c r="CN431" s="824">
        <f t="shared" ca="1" si="326"/>
        <v>0</v>
      </c>
      <c r="CO431" s="824">
        <f t="shared" ca="1" si="326"/>
        <v>0</v>
      </c>
      <c r="CP431" s="824">
        <f t="shared" ca="1" si="326"/>
        <v>0</v>
      </c>
      <c r="CQ431" s="824">
        <f t="shared" ca="1" si="326"/>
        <v>0</v>
      </c>
      <c r="CR431" s="824">
        <f t="shared" ca="1" si="326"/>
        <v>11012.028840937115</v>
      </c>
      <c r="CS431" s="824">
        <f t="shared" ca="1" si="326"/>
        <v>0</v>
      </c>
      <c r="CT431" s="824">
        <f t="shared" ca="1" si="329"/>
        <v>0</v>
      </c>
      <c r="CU431" s="824">
        <f t="shared" ca="1" si="329"/>
        <v>0</v>
      </c>
      <c r="CV431" s="824">
        <f t="shared" ca="1" si="329"/>
        <v>0</v>
      </c>
      <c r="CW431" s="824">
        <f t="shared" ca="1" si="329"/>
        <v>0</v>
      </c>
      <c r="CX431" s="824">
        <f t="shared" ca="1" si="329"/>
        <v>0</v>
      </c>
      <c r="CY431" s="824">
        <f t="shared" ca="1" si="329"/>
        <v>0</v>
      </c>
      <c r="CZ431" s="824">
        <f t="shared" ca="1" si="329"/>
        <v>0</v>
      </c>
      <c r="DA431" s="824">
        <f t="shared" ca="1" si="329"/>
        <v>0</v>
      </c>
      <c r="DB431" s="824">
        <f t="shared" ca="1" si="329"/>
        <v>0</v>
      </c>
      <c r="DC431" s="824">
        <f t="shared" ca="1" si="329"/>
        <v>0</v>
      </c>
      <c r="DD431" s="824">
        <f t="shared" ca="1" si="329"/>
        <v>0</v>
      </c>
      <c r="DE431" s="824">
        <f t="shared" ca="1" si="329"/>
        <v>0</v>
      </c>
      <c r="DF431" s="824">
        <f t="shared" ca="1" si="329"/>
        <v>0</v>
      </c>
      <c r="DG431" s="824">
        <f t="shared" ca="1" si="329"/>
        <v>0</v>
      </c>
      <c r="DH431" s="824">
        <f t="shared" ca="1" si="329"/>
        <v>0</v>
      </c>
      <c r="DI431" s="824">
        <f t="shared" ca="1" si="329"/>
        <v>0</v>
      </c>
      <c r="DJ431" s="824">
        <f t="shared" ca="1" si="314"/>
        <v>0</v>
      </c>
      <c r="DK431" s="824">
        <f t="shared" ca="1" si="314"/>
        <v>0</v>
      </c>
      <c r="DL431" s="824">
        <f t="shared" ca="1" si="314"/>
        <v>0</v>
      </c>
    </row>
    <row r="432" spans="2:116" ht="12" thickBot="1" x14ac:dyDescent="0.3">
      <c r="B432" s="1673"/>
      <c r="C432" s="1680"/>
      <c r="D432" s="15"/>
      <c r="E432" s="116"/>
      <c r="F432" s="116">
        <f ca="1">SUBTOTAL(109,'3.2 I&amp;W'!$X$146)</f>
        <v>0</v>
      </c>
      <c r="G432" s="116">
        <f ca="1">SUBTOTAL(109,'3.2 I&amp;W'!$Y$146)</f>
        <v>0</v>
      </c>
      <c r="H432" s="116">
        <f ca="1">SUBTOTAL(109,'3.2 I&amp;W'!$AD$146)</f>
        <v>3.117822279643985E-2</v>
      </c>
      <c r="I432" s="116">
        <f ca="1">SUBTOTAL(109,'3.2 I&amp;W'!$AE$146)</f>
        <v>1390</v>
      </c>
      <c r="J432" s="116"/>
      <c r="K432" s="116"/>
      <c r="L432" s="116"/>
      <c r="M432" s="116">
        <f ca="1">SUBTOTAL(109,'3.2 I&amp;W'!$AI$146)</f>
        <v>50</v>
      </c>
      <c r="N432" s="156">
        <f t="shared" ca="1" si="262"/>
        <v>0</v>
      </c>
      <c r="O432" s="116">
        <f ca="1">SUBTOTAL(109,'3.2 I&amp;W'!$S$146)</f>
        <v>44582.400000000001</v>
      </c>
      <c r="P432" s="30">
        <f t="shared" ca="1" si="302"/>
        <v>0</v>
      </c>
      <c r="Q432" s="31">
        <f t="shared" ca="1" si="303"/>
        <v>0</v>
      </c>
      <c r="R432" s="31">
        <f t="shared" ca="1" si="304"/>
        <v>0</v>
      </c>
      <c r="S432" s="31">
        <f t="shared" ca="1" si="305"/>
        <v>0</v>
      </c>
      <c r="T432" s="32">
        <f t="shared" ca="1" si="306"/>
        <v>0</v>
      </c>
      <c r="U432" s="37">
        <f t="shared" ca="1" si="263"/>
        <v>6687.7293209488607</v>
      </c>
      <c r="V432" s="40">
        <f t="shared" ca="1" si="315"/>
        <v>0</v>
      </c>
      <c r="W432" s="41">
        <f t="shared" ca="1" si="316"/>
        <v>44649.304449131145</v>
      </c>
      <c r="X432" s="43"/>
      <c r="Y432" s="46"/>
      <c r="Z432" s="126"/>
      <c r="AA432" s="136"/>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824">
        <f t="shared" ca="1" si="317"/>
        <v>50</v>
      </c>
      <c r="BM432" s="824">
        <f t="shared" ca="1" si="318"/>
        <v>0</v>
      </c>
      <c r="BN432" s="824">
        <f t="shared" ca="1" si="319"/>
        <v>44582.400000000001</v>
      </c>
      <c r="BO432" s="824">
        <f t="shared" ca="1" si="327"/>
        <v>0</v>
      </c>
      <c r="BP432" s="824">
        <f t="shared" ca="1" si="327"/>
        <v>0</v>
      </c>
      <c r="BQ432" s="824">
        <f t="shared" ca="1" si="327"/>
        <v>0</v>
      </c>
      <c r="BR432" s="824">
        <f t="shared" ca="1" si="327"/>
        <v>0</v>
      </c>
      <c r="BS432" s="824">
        <f t="shared" ca="1" si="327"/>
        <v>0</v>
      </c>
      <c r="BT432" s="824">
        <f t="shared" ca="1" si="327"/>
        <v>0</v>
      </c>
      <c r="BU432" s="824">
        <f t="shared" ca="1" si="327"/>
        <v>0</v>
      </c>
      <c r="BV432" s="824">
        <f t="shared" ca="1" si="327"/>
        <v>0</v>
      </c>
      <c r="BW432" s="824">
        <f t="shared" ca="1" si="327"/>
        <v>0</v>
      </c>
      <c r="BX432" s="824">
        <f t="shared" ca="1" si="327"/>
        <v>0</v>
      </c>
      <c r="BY432" s="824">
        <f t="shared" ca="1" si="327"/>
        <v>0</v>
      </c>
      <c r="BZ432" s="824">
        <f t="shared" ca="1" si="327"/>
        <v>0</v>
      </c>
      <c r="CA432" s="824">
        <f t="shared" ca="1" si="327"/>
        <v>0</v>
      </c>
      <c r="CB432" s="824">
        <f t="shared" ca="1" si="327"/>
        <v>0</v>
      </c>
      <c r="CC432" s="824">
        <f t="shared" ca="1" si="327"/>
        <v>0</v>
      </c>
      <c r="CD432" s="824">
        <f t="shared" ca="1" si="327"/>
        <v>0</v>
      </c>
      <c r="CE432" s="824">
        <f t="shared" ca="1" si="326"/>
        <v>0</v>
      </c>
      <c r="CF432" s="824">
        <f t="shared" ca="1" si="326"/>
        <v>0</v>
      </c>
      <c r="CG432" s="824">
        <f t="shared" ca="1" si="326"/>
        <v>0</v>
      </c>
      <c r="CH432" s="824">
        <f t="shared" ca="1" si="326"/>
        <v>0</v>
      </c>
      <c r="CI432" s="824">
        <f t="shared" ca="1" si="326"/>
        <v>0</v>
      </c>
      <c r="CJ432" s="824">
        <f t="shared" ca="1" si="326"/>
        <v>0</v>
      </c>
      <c r="CK432" s="824">
        <f t="shared" ca="1" si="326"/>
        <v>0</v>
      </c>
      <c r="CL432" s="824">
        <f t="shared" ca="1" si="326"/>
        <v>0</v>
      </c>
      <c r="CM432" s="824">
        <f t="shared" ca="1" si="326"/>
        <v>0</v>
      </c>
      <c r="CN432" s="824">
        <f t="shared" ca="1" si="326"/>
        <v>0</v>
      </c>
      <c r="CO432" s="824">
        <f t="shared" ca="1" si="326"/>
        <v>0</v>
      </c>
      <c r="CP432" s="824">
        <f t="shared" ca="1" si="326"/>
        <v>0</v>
      </c>
      <c r="CQ432" s="824">
        <f t="shared" ca="1" si="326"/>
        <v>0</v>
      </c>
      <c r="CR432" s="824">
        <f t="shared" ca="1" si="326"/>
        <v>0</v>
      </c>
      <c r="CS432" s="824">
        <f t="shared" ca="1" si="326"/>
        <v>0</v>
      </c>
      <c r="CT432" s="824">
        <f t="shared" ca="1" si="329"/>
        <v>0</v>
      </c>
      <c r="CU432" s="824">
        <f t="shared" ca="1" si="329"/>
        <v>0</v>
      </c>
      <c r="CV432" s="824">
        <f t="shared" ca="1" si="329"/>
        <v>0</v>
      </c>
      <c r="CW432" s="824">
        <f t="shared" ca="1" si="329"/>
        <v>0</v>
      </c>
      <c r="CX432" s="824">
        <f t="shared" ca="1" si="329"/>
        <v>0</v>
      </c>
      <c r="CY432" s="824">
        <f t="shared" ca="1" si="329"/>
        <v>0</v>
      </c>
      <c r="CZ432" s="824">
        <f t="shared" ca="1" si="329"/>
        <v>0</v>
      </c>
      <c r="DA432" s="824">
        <f t="shared" ca="1" si="329"/>
        <v>0</v>
      </c>
      <c r="DB432" s="824">
        <f t="shared" ca="1" si="329"/>
        <v>0</v>
      </c>
      <c r="DC432" s="824">
        <f t="shared" ca="1" si="329"/>
        <v>0</v>
      </c>
      <c r="DD432" s="824">
        <f t="shared" ca="1" si="329"/>
        <v>0</v>
      </c>
      <c r="DE432" s="824">
        <f t="shared" ca="1" si="329"/>
        <v>0</v>
      </c>
      <c r="DF432" s="824">
        <f t="shared" ca="1" si="329"/>
        <v>0</v>
      </c>
      <c r="DG432" s="824">
        <f t="shared" ca="1" si="329"/>
        <v>0</v>
      </c>
      <c r="DH432" s="824">
        <f t="shared" ca="1" si="329"/>
        <v>0</v>
      </c>
      <c r="DI432" s="824">
        <f t="shared" ca="1" si="329"/>
        <v>0</v>
      </c>
      <c r="DJ432" s="824">
        <f t="shared" ca="1" si="314"/>
        <v>0</v>
      </c>
      <c r="DK432" s="824">
        <f t="shared" ca="1" si="314"/>
        <v>0</v>
      </c>
      <c r="DL432" s="824">
        <f t="shared" ca="1" si="314"/>
        <v>0</v>
      </c>
    </row>
    <row r="433" spans="2:116" ht="12" thickBot="1" x14ac:dyDescent="0.3">
      <c r="B433" s="1673"/>
      <c r="C433" s="1680"/>
      <c r="D433" s="15" t="s">
        <v>194</v>
      </c>
      <c r="E433" s="165"/>
      <c r="F433" s="116">
        <f ca="1">SUBTOTAL(109,'3.2 I&amp;W'!$X$149)</f>
        <v>0</v>
      </c>
      <c r="G433" s="116">
        <f ca="1">SUBTOTAL(109,'3.2 I&amp;W'!$Y$149)</f>
        <v>0</v>
      </c>
      <c r="H433" s="116">
        <f ca="1">SUBTOTAL(109,'3.2 I&amp;W'!$AD$149)</f>
        <v>0</v>
      </c>
      <c r="I433" s="116">
        <f ca="1">SUBTOTAL(109,'3.2 I&amp;W'!$AE$149)</f>
        <v>0</v>
      </c>
      <c r="J433" s="116"/>
      <c r="K433" s="116"/>
      <c r="L433" s="116"/>
      <c r="M433" s="116">
        <f ca="1">SUBTOTAL(109,'3.2 I&amp;W'!$AI$149)</f>
        <v>0</v>
      </c>
      <c r="N433" s="156">
        <f t="shared" ca="1" si="262"/>
        <v>0</v>
      </c>
      <c r="O433" s="116">
        <f ca="1">SUBTOTAL(109,'3.2 I&amp;W'!$S$149)</f>
        <v>0</v>
      </c>
      <c r="P433" s="30">
        <f t="shared" ca="1" si="302"/>
        <v>0</v>
      </c>
      <c r="Q433" s="31">
        <f t="shared" ca="1" si="303"/>
        <v>0</v>
      </c>
      <c r="R433" s="31">
        <f t="shared" ca="1" si="304"/>
        <v>0</v>
      </c>
      <c r="S433" s="31">
        <f t="shared" ca="1" si="305"/>
        <v>0</v>
      </c>
      <c r="T433" s="32">
        <f t="shared" ca="1" si="306"/>
        <v>0</v>
      </c>
      <c r="U433" s="37">
        <f t="shared" ca="1" si="263"/>
        <v>0</v>
      </c>
      <c r="V433" s="40">
        <f t="shared" ca="1" si="315"/>
        <v>0</v>
      </c>
      <c r="W433" s="41">
        <f t="shared" ca="1" si="316"/>
        <v>0</v>
      </c>
      <c r="X433" s="43"/>
      <c r="Y433" s="46"/>
      <c r="Z433" s="126"/>
      <c r="AA433" s="136"/>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824">
        <f t="shared" ca="1" si="317"/>
        <v>0</v>
      </c>
      <c r="BM433" s="824">
        <f t="shared" ca="1" si="318"/>
        <v>0</v>
      </c>
      <c r="BN433" s="824">
        <f t="shared" ca="1" si="319"/>
        <v>0</v>
      </c>
      <c r="BO433" s="824">
        <f t="shared" ca="1" si="327"/>
        <v>0</v>
      </c>
      <c r="BP433" s="824">
        <f t="shared" ca="1" si="327"/>
        <v>0</v>
      </c>
      <c r="BQ433" s="824">
        <f t="shared" ca="1" si="327"/>
        <v>0</v>
      </c>
      <c r="BR433" s="824">
        <f t="shared" ca="1" si="327"/>
        <v>0</v>
      </c>
      <c r="BS433" s="824">
        <f t="shared" ca="1" si="327"/>
        <v>0</v>
      </c>
      <c r="BT433" s="824">
        <f t="shared" ca="1" si="327"/>
        <v>0</v>
      </c>
      <c r="BU433" s="824">
        <f t="shared" ca="1" si="327"/>
        <v>0</v>
      </c>
      <c r="BV433" s="824">
        <f t="shared" ca="1" si="327"/>
        <v>0</v>
      </c>
      <c r="BW433" s="824">
        <f t="shared" ca="1" si="327"/>
        <v>0</v>
      </c>
      <c r="BX433" s="824">
        <f t="shared" ca="1" si="327"/>
        <v>0</v>
      </c>
      <c r="BY433" s="824">
        <f t="shared" ca="1" si="327"/>
        <v>0</v>
      </c>
      <c r="BZ433" s="824">
        <f t="shared" ca="1" si="327"/>
        <v>0</v>
      </c>
      <c r="CA433" s="824">
        <f t="shared" ca="1" si="327"/>
        <v>0</v>
      </c>
      <c r="CB433" s="824">
        <f t="shared" ca="1" si="327"/>
        <v>0</v>
      </c>
      <c r="CC433" s="824">
        <f t="shared" ca="1" si="327"/>
        <v>0</v>
      </c>
      <c r="CD433" s="824">
        <f t="shared" ca="1" si="327"/>
        <v>0</v>
      </c>
      <c r="CE433" s="824">
        <f t="shared" ca="1" si="326"/>
        <v>0</v>
      </c>
      <c r="CF433" s="824">
        <f t="shared" ca="1" si="326"/>
        <v>0</v>
      </c>
      <c r="CG433" s="824">
        <f t="shared" ca="1" si="326"/>
        <v>0</v>
      </c>
      <c r="CH433" s="824">
        <f t="shared" ca="1" si="326"/>
        <v>0</v>
      </c>
      <c r="CI433" s="824">
        <f t="shared" ca="1" si="326"/>
        <v>0</v>
      </c>
      <c r="CJ433" s="824">
        <f t="shared" ca="1" si="326"/>
        <v>0</v>
      </c>
      <c r="CK433" s="824">
        <f t="shared" ca="1" si="326"/>
        <v>0</v>
      </c>
      <c r="CL433" s="824">
        <f t="shared" ca="1" si="326"/>
        <v>0</v>
      </c>
      <c r="CM433" s="824">
        <f t="shared" ca="1" si="326"/>
        <v>0</v>
      </c>
      <c r="CN433" s="824">
        <f t="shared" ca="1" si="326"/>
        <v>0</v>
      </c>
      <c r="CO433" s="824">
        <f t="shared" ca="1" si="326"/>
        <v>0</v>
      </c>
      <c r="CP433" s="824">
        <f t="shared" ca="1" si="326"/>
        <v>0</v>
      </c>
      <c r="CQ433" s="824">
        <f t="shared" ca="1" si="326"/>
        <v>0</v>
      </c>
      <c r="CR433" s="824">
        <f t="shared" ca="1" si="326"/>
        <v>0</v>
      </c>
      <c r="CS433" s="824">
        <f t="shared" ca="1" si="326"/>
        <v>0</v>
      </c>
      <c r="CT433" s="824">
        <f t="shared" ca="1" si="329"/>
        <v>0</v>
      </c>
      <c r="CU433" s="824">
        <f t="shared" ca="1" si="329"/>
        <v>0</v>
      </c>
      <c r="CV433" s="824">
        <f t="shared" ca="1" si="329"/>
        <v>0</v>
      </c>
      <c r="CW433" s="824">
        <f t="shared" ca="1" si="329"/>
        <v>0</v>
      </c>
      <c r="CX433" s="824">
        <f t="shared" ca="1" si="329"/>
        <v>0</v>
      </c>
      <c r="CY433" s="824">
        <f t="shared" ca="1" si="329"/>
        <v>0</v>
      </c>
      <c r="CZ433" s="824">
        <f t="shared" ca="1" si="329"/>
        <v>0</v>
      </c>
      <c r="DA433" s="824">
        <f t="shared" ca="1" si="329"/>
        <v>0</v>
      </c>
      <c r="DB433" s="824">
        <f t="shared" ca="1" si="329"/>
        <v>0</v>
      </c>
      <c r="DC433" s="824">
        <f t="shared" ca="1" si="329"/>
        <v>0</v>
      </c>
      <c r="DD433" s="824">
        <f t="shared" ca="1" si="329"/>
        <v>0</v>
      </c>
      <c r="DE433" s="824">
        <f t="shared" ca="1" si="329"/>
        <v>0</v>
      </c>
      <c r="DF433" s="824">
        <f t="shared" ca="1" si="329"/>
        <v>0</v>
      </c>
      <c r="DG433" s="824">
        <f t="shared" ca="1" si="329"/>
        <v>0</v>
      </c>
      <c r="DH433" s="824">
        <f t="shared" ca="1" si="329"/>
        <v>0</v>
      </c>
      <c r="DI433" s="824">
        <f t="shared" ca="1" si="329"/>
        <v>0</v>
      </c>
      <c r="DJ433" s="824">
        <f t="shared" ca="1" si="314"/>
        <v>0</v>
      </c>
      <c r="DK433" s="824">
        <f t="shared" ca="1" si="314"/>
        <v>0</v>
      </c>
      <c r="DL433" s="824">
        <f t="shared" ca="1" si="314"/>
        <v>0</v>
      </c>
    </row>
    <row r="434" spans="2:116" ht="12" thickBot="1" x14ac:dyDescent="0.3">
      <c r="B434" s="1673"/>
      <c r="C434" s="1680"/>
      <c r="D434" s="15"/>
      <c r="E434" s="165"/>
      <c r="F434" s="116">
        <f ca="1">SUBTOTAL(109,'3.2 I&amp;W'!$X$150)</f>
        <v>0</v>
      </c>
      <c r="G434" s="116">
        <f ca="1">SUBTOTAL(109,'3.2 I&amp;W'!$Y$150)</f>
        <v>0</v>
      </c>
      <c r="H434" s="116">
        <f ca="1">SUBTOTAL(109,'3.2 I&amp;W'!$AD$150)</f>
        <v>0</v>
      </c>
      <c r="I434" s="116">
        <f ca="1">SUBTOTAL(109,'3.2 I&amp;W'!$AE$150)</f>
        <v>0</v>
      </c>
      <c r="J434" s="116"/>
      <c r="K434" s="116"/>
      <c r="L434" s="116"/>
      <c r="M434" s="116">
        <f ca="1">SUBTOTAL(109,'3.2 I&amp;W'!$AI$150)</f>
        <v>0</v>
      </c>
      <c r="N434" s="156">
        <f t="shared" ca="1" si="262"/>
        <v>0</v>
      </c>
      <c r="O434" s="116">
        <f ca="1">SUBTOTAL(109,'3.2 I&amp;W'!$S$150)</f>
        <v>0</v>
      </c>
      <c r="P434" s="30">
        <f t="shared" ca="1" si="302"/>
        <v>0</v>
      </c>
      <c r="Q434" s="31">
        <f t="shared" ca="1" si="303"/>
        <v>0</v>
      </c>
      <c r="R434" s="31">
        <f t="shared" ca="1" si="304"/>
        <v>0</v>
      </c>
      <c r="S434" s="31">
        <f t="shared" ca="1" si="305"/>
        <v>0</v>
      </c>
      <c r="T434" s="32">
        <f t="shared" ca="1" si="306"/>
        <v>0</v>
      </c>
      <c r="U434" s="37">
        <f t="shared" ca="1" si="263"/>
        <v>0</v>
      </c>
      <c r="V434" s="40">
        <f t="shared" ca="1" si="315"/>
        <v>0</v>
      </c>
      <c r="W434" s="41">
        <f t="shared" ca="1" si="316"/>
        <v>0</v>
      </c>
      <c r="X434" s="43"/>
      <c r="Y434" s="46"/>
      <c r="Z434" s="126"/>
      <c r="AA434" s="136"/>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824">
        <f t="shared" ca="1" si="317"/>
        <v>0</v>
      </c>
      <c r="BM434" s="824">
        <f t="shared" ca="1" si="318"/>
        <v>0</v>
      </c>
      <c r="BN434" s="824">
        <f t="shared" ca="1" si="319"/>
        <v>0</v>
      </c>
      <c r="BO434" s="824">
        <f t="shared" ca="1" si="327"/>
        <v>0</v>
      </c>
      <c r="BP434" s="824">
        <f t="shared" ca="1" si="327"/>
        <v>0</v>
      </c>
      <c r="BQ434" s="824">
        <f t="shared" ca="1" si="327"/>
        <v>0</v>
      </c>
      <c r="BR434" s="824">
        <f t="shared" ca="1" si="327"/>
        <v>0</v>
      </c>
      <c r="BS434" s="824">
        <f t="shared" ca="1" si="327"/>
        <v>0</v>
      </c>
      <c r="BT434" s="824">
        <f t="shared" ca="1" si="327"/>
        <v>0</v>
      </c>
      <c r="BU434" s="824">
        <f t="shared" ca="1" si="327"/>
        <v>0</v>
      </c>
      <c r="BV434" s="824">
        <f t="shared" ca="1" si="327"/>
        <v>0</v>
      </c>
      <c r="BW434" s="824">
        <f t="shared" ca="1" si="327"/>
        <v>0</v>
      </c>
      <c r="BX434" s="824">
        <f t="shared" ca="1" si="327"/>
        <v>0</v>
      </c>
      <c r="BY434" s="824">
        <f t="shared" ca="1" si="327"/>
        <v>0</v>
      </c>
      <c r="BZ434" s="824">
        <f t="shared" ca="1" si="327"/>
        <v>0</v>
      </c>
      <c r="CA434" s="824">
        <f t="shared" ca="1" si="327"/>
        <v>0</v>
      </c>
      <c r="CB434" s="824">
        <f t="shared" ca="1" si="327"/>
        <v>0</v>
      </c>
      <c r="CC434" s="824">
        <f t="shared" ca="1" si="327"/>
        <v>0</v>
      </c>
      <c r="CD434" s="824">
        <f t="shared" ca="1" si="327"/>
        <v>0</v>
      </c>
      <c r="CE434" s="824">
        <f t="shared" ca="1" si="326"/>
        <v>0</v>
      </c>
      <c r="CF434" s="824">
        <f t="shared" ca="1" si="326"/>
        <v>0</v>
      </c>
      <c r="CG434" s="824">
        <f t="shared" ca="1" si="326"/>
        <v>0</v>
      </c>
      <c r="CH434" s="824">
        <f t="shared" ca="1" si="326"/>
        <v>0</v>
      </c>
      <c r="CI434" s="824">
        <f t="shared" ca="1" si="326"/>
        <v>0</v>
      </c>
      <c r="CJ434" s="824">
        <f t="shared" ca="1" si="326"/>
        <v>0</v>
      </c>
      <c r="CK434" s="824">
        <f t="shared" ca="1" si="326"/>
        <v>0</v>
      </c>
      <c r="CL434" s="824">
        <f t="shared" ca="1" si="326"/>
        <v>0</v>
      </c>
      <c r="CM434" s="824">
        <f t="shared" ca="1" si="326"/>
        <v>0</v>
      </c>
      <c r="CN434" s="824">
        <f t="shared" ca="1" si="326"/>
        <v>0</v>
      </c>
      <c r="CO434" s="824">
        <f t="shared" ca="1" si="326"/>
        <v>0</v>
      </c>
      <c r="CP434" s="824">
        <f t="shared" ca="1" si="326"/>
        <v>0</v>
      </c>
      <c r="CQ434" s="824">
        <f t="shared" ca="1" si="326"/>
        <v>0</v>
      </c>
      <c r="CR434" s="824">
        <f t="shared" ca="1" si="326"/>
        <v>0</v>
      </c>
      <c r="CS434" s="824">
        <f t="shared" ca="1" si="326"/>
        <v>0</v>
      </c>
      <c r="CT434" s="824">
        <f t="shared" ca="1" si="329"/>
        <v>0</v>
      </c>
      <c r="CU434" s="824">
        <f t="shared" ca="1" si="329"/>
        <v>0</v>
      </c>
      <c r="CV434" s="824">
        <f t="shared" ca="1" si="329"/>
        <v>0</v>
      </c>
      <c r="CW434" s="824">
        <f t="shared" ca="1" si="329"/>
        <v>0</v>
      </c>
      <c r="CX434" s="824">
        <f t="shared" ca="1" si="329"/>
        <v>0</v>
      </c>
      <c r="CY434" s="824">
        <f t="shared" ca="1" si="329"/>
        <v>0</v>
      </c>
      <c r="CZ434" s="824">
        <f t="shared" ca="1" si="329"/>
        <v>0</v>
      </c>
      <c r="DA434" s="824">
        <f t="shared" ca="1" si="329"/>
        <v>0</v>
      </c>
      <c r="DB434" s="824">
        <f t="shared" ca="1" si="329"/>
        <v>0</v>
      </c>
      <c r="DC434" s="824">
        <f t="shared" ca="1" si="329"/>
        <v>0</v>
      </c>
      <c r="DD434" s="824">
        <f t="shared" ca="1" si="329"/>
        <v>0</v>
      </c>
      <c r="DE434" s="824">
        <f t="shared" ca="1" si="329"/>
        <v>0</v>
      </c>
      <c r="DF434" s="824">
        <f t="shared" ca="1" si="329"/>
        <v>0</v>
      </c>
      <c r="DG434" s="824">
        <f t="shared" ca="1" si="329"/>
        <v>0</v>
      </c>
      <c r="DH434" s="824">
        <f t="shared" ca="1" si="329"/>
        <v>0</v>
      </c>
      <c r="DI434" s="824">
        <f t="shared" ca="1" si="329"/>
        <v>0</v>
      </c>
      <c r="DJ434" s="824">
        <f t="shared" ca="1" si="314"/>
        <v>0</v>
      </c>
      <c r="DK434" s="824">
        <f t="shared" ca="1" si="314"/>
        <v>0</v>
      </c>
      <c r="DL434" s="824">
        <f t="shared" ca="1" si="314"/>
        <v>0</v>
      </c>
    </row>
    <row r="435" spans="2:116" ht="12" thickBot="1" x14ac:dyDescent="0.3">
      <c r="B435" s="1673"/>
      <c r="C435" s="1680"/>
      <c r="D435" s="15" t="s">
        <v>307</v>
      </c>
      <c r="E435" s="116"/>
      <c r="F435" s="116">
        <f ca="1">SUBTOTAL(109,'3.2 I&amp;W'!$X$153)</f>
        <v>0</v>
      </c>
      <c r="G435" s="116">
        <f ca="1">SUBTOTAL(109,'3.2 I&amp;W'!$Y$153)</f>
        <v>0</v>
      </c>
      <c r="H435" s="116">
        <f ca="1">SUBTOTAL(109,'3.2 I&amp;W'!$AD$153)</f>
        <v>0</v>
      </c>
      <c r="I435" s="116">
        <f ca="1">SUBTOTAL(109,'3.2 I&amp;W'!$AE$153)</f>
        <v>0</v>
      </c>
      <c r="J435" s="116"/>
      <c r="K435" s="116"/>
      <c r="L435" s="116"/>
      <c r="M435" s="116">
        <f ca="1">SUBTOTAL(109,'3.2 I&amp;W'!$AI$153)</f>
        <v>0</v>
      </c>
      <c r="N435" s="156">
        <f t="shared" ca="1" si="262"/>
        <v>0</v>
      </c>
      <c r="O435" s="116">
        <f ca="1">SUBTOTAL(109,'3.2 I&amp;W'!$S$153)</f>
        <v>0</v>
      </c>
      <c r="P435" s="30">
        <f ca="1">IF(N435&gt;=1,O435*$G$158^(1*M435)/($G$157^(1*M435)),0)</f>
        <v>0</v>
      </c>
      <c r="Q435" s="31">
        <f ca="1">IF(N435&gt;=2,O435*$G$158^(2*M435)/($G$157^(2*M435)),0)</f>
        <v>0</v>
      </c>
      <c r="R435" s="31">
        <f ca="1">IF(N435&gt;=3,O435*$G$158^(3*M435)/($G$157^(3*M435)),0)</f>
        <v>0</v>
      </c>
      <c r="S435" s="31">
        <f ca="1">IF(N435&gt;=4,O435*$G$158^(4*M435)/($G$157^(4*M435)),0)</f>
        <v>0</v>
      </c>
      <c r="T435" s="32">
        <f ca="1">IF(N435&gt;=5,O435*$G$158^(5*M435)/($G$157^(5*M435)),0)</f>
        <v>0</v>
      </c>
      <c r="U435" s="37">
        <f t="shared" ca="1" si="263"/>
        <v>0</v>
      </c>
      <c r="V435" s="40">
        <f t="shared" ca="1" si="315"/>
        <v>0</v>
      </c>
      <c r="W435" s="41">
        <f t="shared" ca="1" si="316"/>
        <v>0</v>
      </c>
      <c r="X435" s="43"/>
      <c r="Y435" s="46"/>
      <c r="Z435" s="126"/>
      <c r="AA435" s="136"/>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824">
        <f t="shared" ca="1" si="317"/>
        <v>0</v>
      </c>
      <c r="BM435" s="824">
        <f t="shared" ca="1" si="318"/>
        <v>0</v>
      </c>
      <c r="BN435" s="824">
        <f t="shared" ca="1" si="319"/>
        <v>0</v>
      </c>
      <c r="BO435" s="824">
        <f t="shared" ca="1" si="327"/>
        <v>0</v>
      </c>
      <c r="BP435" s="824">
        <f t="shared" ca="1" si="327"/>
        <v>0</v>
      </c>
      <c r="BQ435" s="824">
        <f t="shared" ca="1" si="327"/>
        <v>0</v>
      </c>
      <c r="BR435" s="824">
        <f t="shared" ca="1" si="327"/>
        <v>0</v>
      </c>
      <c r="BS435" s="824">
        <f t="shared" ca="1" si="327"/>
        <v>0</v>
      </c>
      <c r="BT435" s="824">
        <f t="shared" ca="1" si="327"/>
        <v>0</v>
      </c>
      <c r="BU435" s="824">
        <f t="shared" ca="1" si="327"/>
        <v>0</v>
      </c>
      <c r="BV435" s="824">
        <f t="shared" ca="1" si="327"/>
        <v>0</v>
      </c>
      <c r="BW435" s="824">
        <f t="shared" ca="1" si="327"/>
        <v>0</v>
      </c>
      <c r="BX435" s="824">
        <f t="shared" ca="1" si="327"/>
        <v>0</v>
      </c>
      <c r="BY435" s="824">
        <f t="shared" ca="1" si="327"/>
        <v>0</v>
      </c>
      <c r="BZ435" s="824">
        <f t="shared" ca="1" si="327"/>
        <v>0</v>
      </c>
      <c r="CA435" s="824">
        <f t="shared" ca="1" si="327"/>
        <v>0</v>
      </c>
      <c r="CB435" s="824">
        <f t="shared" ca="1" si="327"/>
        <v>0</v>
      </c>
      <c r="CC435" s="824">
        <f t="shared" ca="1" si="327"/>
        <v>0</v>
      </c>
      <c r="CD435" s="824">
        <f t="shared" ca="1" si="327"/>
        <v>0</v>
      </c>
      <c r="CE435" s="824">
        <f t="shared" ca="1" si="326"/>
        <v>0</v>
      </c>
      <c r="CF435" s="824">
        <f t="shared" ca="1" si="326"/>
        <v>0</v>
      </c>
      <c r="CG435" s="824">
        <f t="shared" ca="1" si="326"/>
        <v>0</v>
      </c>
      <c r="CH435" s="824">
        <f t="shared" ca="1" si="326"/>
        <v>0</v>
      </c>
      <c r="CI435" s="824">
        <f t="shared" ca="1" si="326"/>
        <v>0</v>
      </c>
      <c r="CJ435" s="824">
        <f t="shared" ca="1" si="326"/>
        <v>0</v>
      </c>
      <c r="CK435" s="824">
        <f t="shared" ca="1" si="326"/>
        <v>0</v>
      </c>
      <c r="CL435" s="824">
        <f t="shared" ca="1" si="326"/>
        <v>0</v>
      </c>
      <c r="CM435" s="824">
        <f t="shared" ca="1" si="326"/>
        <v>0</v>
      </c>
      <c r="CN435" s="824">
        <f t="shared" ca="1" si="326"/>
        <v>0</v>
      </c>
      <c r="CO435" s="824">
        <f t="shared" ca="1" si="326"/>
        <v>0</v>
      </c>
      <c r="CP435" s="824">
        <f t="shared" ca="1" si="326"/>
        <v>0</v>
      </c>
      <c r="CQ435" s="824">
        <f t="shared" ca="1" si="326"/>
        <v>0</v>
      </c>
      <c r="CR435" s="824">
        <f t="shared" ca="1" si="326"/>
        <v>0</v>
      </c>
      <c r="CS435" s="824">
        <f t="shared" ca="1" si="326"/>
        <v>0</v>
      </c>
      <c r="CT435" s="824">
        <f t="shared" ca="1" si="329"/>
        <v>0</v>
      </c>
      <c r="CU435" s="824">
        <f t="shared" ca="1" si="329"/>
        <v>0</v>
      </c>
      <c r="CV435" s="824">
        <f t="shared" ca="1" si="329"/>
        <v>0</v>
      </c>
      <c r="CW435" s="824">
        <f t="shared" ca="1" si="329"/>
        <v>0</v>
      </c>
      <c r="CX435" s="824">
        <f t="shared" ca="1" si="329"/>
        <v>0</v>
      </c>
      <c r="CY435" s="824">
        <f t="shared" ca="1" si="329"/>
        <v>0</v>
      </c>
      <c r="CZ435" s="824">
        <f t="shared" ca="1" si="329"/>
        <v>0</v>
      </c>
      <c r="DA435" s="824">
        <f t="shared" ca="1" si="329"/>
        <v>0</v>
      </c>
      <c r="DB435" s="824">
        <f t="shared" ca="1" si="329"/>
        <v>0</v>
      </c>
      <c r="DC435" s="824">
        <f t="shared" ca="1" si="329"/>
        <v>0</v>
      </c>
      <c r="DD435" s="824">
        <f t="shared" ca="1" si="329"/>
        <v>0</v>
      </c>
      <c r="DE435" s="824">
        <f t="shared" ca="1" si="329"/>
        <v>0</v>
      </c>
      <c r="DF435" s="824">
        <f t="shared" ca="1" si="329"/>
        <v>0</v>
      </c>
      <c r="DG435" s="824">
        <f t="shared" ca="1" si="329"/>
        <v>0</v>
      </c>
      <c r="DH435" s="824">
        <f t="shared" ca="1" si="329"/>
        <v>0</v>
      </c>
      <c r="DI435" s="824">
        <f t="shared" ca="1" si="329"/>
        <v>0</v>
      </c>
      <c r="DJ435" s="824">
        <f t="shared" ca="1" si="314"/>
        <v>0</v>
      </c>
      <c r="DK435" s="824">
        <f t="shared" ca="1" si="314"/>
        <v>0</v>
      </c>
      <c r="DL435" s="824">
        <f t="shared" ca="1" si="314"/>
        <v>0</v>
      </c>
    </row>
    <row r="436" spans="2:116" ht="12" thickBot="1" x14ac:dyDescent="0.3">
      <c r="B436" s="1673"/>
      <c r="C436" s="1680"/>
      <c r="D436" s="15"/>
      <c r="E436" s="116"/>
      <c r="F436" s="116">
        <f ca="1">SUBTOTAL(109,'3.2 I&amp;W'!$X$154)</f>
        <v>0</v>
      </c>
      <c r="G436" s="116">
        <f ca="1">SUBTOTAL(109,'3.2 I&amp;W'!$Y$154)</f>
        <v>0</v>
      </c>
      <c r="H436" s="116">
        <f ca="1">SUBTOTAL(109,'3.2 I&amp;W'!$AD$154)</f>
        <v>0</v>
      </c>
      <c r="I436" s="116">
        <f ca="1">SUBTOTAL(109,'3.2 I&amp;W'!$AE$154)</f>
        <v>0</v>
      </c>
      <c r="J436" s="116"/>
      <c r="K436" s="116"/>
      <c r="L436" s="116"/>
      <c r="M436" s="116">
        <f ca="1">SUBTOTAL(109,'3.2 I&amp;W'!$AI$154)</f>
        <v>0</v>
      </c>
      <c r="N436" s="156">
        <f t="shared" ca="1" si="262"/>
        <v>0</v>
      </c>
      <c r="O436" s="116">
        <f ca="1">SUBTOTAL(109,'3.2 I&amp;W'!$S$154)</f>
        <v>0</v>
      </c>
      <c r="P436" s="30">
        <f ca="1">IF(N436&gt;=1,O436*$G$158^(1*M436)/($G$157^(1*M436)),0)</f>
        <v>0</v>
      </c>
      <c r="Q436" s="31">
        <f ca="1">IF(N436&gt;=2,O436*$G$158^(2*M436)/($G$157^(2*M436)),0)</f>
        <v>0</v>
      </c>
      <c r="R436" s="31">
        <f ca="1">IF(N436&gt;=3,O436*$G$158^(3*M436)/($G$157^(3*M436)),0)</f>
        <v>0</v>
      </c>
      <c r="S436" s="31">
        <f ca="1">IF(N436&gt;=4,O436*$G$158^(4*M436)/($G$157^(4*M436)),0)</f>
        <v>0</v>
      </c>
      <c r="T436" s="32">
        <f ca="1">IF(N436&gt;=5,O436*$G$158^(5*M436)/($G$157^(5*M436)),0)</f>
        <v>0</v>
      </c>
      <c r="U436" s="37">
        <f t="shared" ca="1" si="263"/>
        <v>0</v>
      </c>
      <c r="V436" s="40">
        <f t="shared" ca="1" si="315"/>
        <v>0</v>
      </c>
      <c r="W436" s="41">
        <f t="shared" ca="1" si="316"/>
        <v>0</v>
      </c>
      <c r="X436" s="43"/>
      <c r="Y436" s="46"/>
      <c r="Z436" s="126"/>
      <c r="AA436" s="136"/>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824">
        <f t="shared" ca="1" si="317"/>
        <v>0</v>
      </c>
      <c r="BM436" s="824">
        <f t="shared" ca="1" si="318"/>
        <v>0</v>
      </c>
      <c r="BN436" s="824">
        <f t="shared" ca="1" si="319"/>
        <v>0</v>
      </c>
      <c r="BO436" s="824">
        <f t="shared" ca="1" si="327"/>
        <v>0</v>
      </c>
      <c r="BP436" s="824">
        <f t="shared" ca="1" si="327"/>
        <v>0</v>
      </c>
      <c r="BQ436" s="824">
        <f t="shared" ca="1" si="327"/>
        <v>0</v>
      </c>
      <c r="BR436" s="824">
        <f t="shared" ca="1" si="327"/>
        <v>0</v>
      </c>
      <c r="BS436" s="824">
        <f t="shared" ca="1" si="327"/>
        <v>0</v>
      </c>
      <c r="BT436" s="824">
        <f t="shared" ca="1" si="327"/>
        <v>0</v>
      </c>
      <c r="BU436" s="824">
        <f t="shared" ca="1" si="327"/>
        <v>0</v>
      </c>
      <c r="BV436" s="824">
        <f t="shared" ca="1" si="327"/>
        <v>0</v>
      </c>
      <c r="BW436" s="824">
        <f t="shared" ca="1" si="327"/>
        <v>0</v>
      </c>
      <c r="BX436" s="824">
        <f t="shared" ca="1" si="327"/>
        <v>0</v>
      </c>
      <c r="BY436" s="824">
        <f t="shared" ca="1" si="327"/>
        <v>0</v>
      </c>
      <c r="BZ436" s="824">
        <f t="shared" ca="1" si="327"/>
        <v>0</v>
      </c>
      <c r="CA436" s="824">
        <f t="shared" ca="1" si="327"/>
        <v>0</v>
      </c>
      <c r="CB436" s="824">
        <f t="shared" ca="1" si="327"/>
        <v>0</v>
      </c>
      <c r="CC436" s="824">
        <f t="shared" ca="1" si="327"/>
        <v>0</v>
      </c>
      <c r="CD436" s="824">
        <f t="shared" ca="1" si="327"/>
        <v>0</v>
      </c>
      <c r="CE436" s="824">
        <f t="shared" ca="1" si="326"/>
        <v>0</v>
      </c>
      <c r="CF436" s="824">
        <f t="shared" ca="1" si="326"/>
        <v>0</v>
      </c>
      <c r="CG436" s="824">
        <f t="shared" ca="1" si="326"/>
        <v>0</v>
      </c>
      <c r="CH436" s="824">
        <f t="shared" ca="1" si="326"/>
        <v>0</v>
      </c>
      <c r="CI436" s="824">
        <f t="shared" ca="1" si="326"/>
        <v>0</v>
      </c>
      <c r="CJ436" s="824">
        <f t="shared" ca="1" si="326"/>
        <v>0</v>
      </c>
      <c r="CK436" s="824">
        <f t="shared" ca="1" si="326"/>
        <v>0</v>
      </c>
      <c r="CL436" s="824">
        <f t="shared" ca="1" si="326"/>
        <v>0</v>
      </c>
      <c r="CM436" s="824">
        <f t="shared" ca="1" si="326"/>
        <v>0</v>
      </c>
      <c r="CN436" s="824">
        <f t="shared" ca="1" si="326"/>
        <v>0</v>
      </c>
      <c r="CO436" s="824">
        <f t="shared" ca="1" si="326"/>
        <v>0</v>
      </c>
      <c r="CP436" s="824">
        <f t="shared" ca="1" si="326"/>
        <v>0</v>
      </c>
      <c r="CQ436" s="824">
        <f t="shared" ca="1" si="326"/>
        <v>0</v>
      </c>
      <c r="CR436" s="824">
        <f t="shared" ca="1" si="326"/>
        <v>0</v>
      </c>
      <c r="CS436" s="824">
        <f t="shared" ca="1" si="326"/>
        <v>0</v>
      </c>
      <c r="CT436" s="824">
        <f t="shared" ca="1" si="329"/>
        <v>0</v>
      </c>
      <c r="CU436" s="824">
        <f t="shared" ca="1" si="329"/>
        <v>0</v>
      </c>
      <c r="CV436" s="824">
        <f t="shared" ca="1" si="329"/>
        <v>0</v>
      </c>
      <c r="CW436" s="824">
        <f t="shared" ca="1" si="329"/>
        <v>0</v>
      </c>
      <c r="CX436" s="824">
        <f t="shared" ca="1" si="329"/>
        <v>0</v>
      </c>
      <c r="CY436" s="824">
        <f t="shared" ca="1" si="329"/>
        <v>0</v>
      </c>
      <c r="CZ436" s="824">
        <f t="shared" ca="1" si="329"/>
        <v>0</v>
      </c>
      <c r="DA436" s="824">
        <f t="shared" ca="1" si="329"/>
        <v>0</v>
      </c>
      <c r="DB436" s="824">
        <f t="shared" ca="1" si="329"/>
        <v>0</v>
      </c>
      <c r="DC436" s="824">
        <f t="shared" ca="1" si="329"/>
        <v>0</v>
      </c>
      <c r="DD436" s="824">
        <f t="shared" ca="1" si="329"/>
        <v>0</v>
      </c>
      <c r="DE436" s="824">
        <f t="shared" ca="1" si="329"/>
        <v>0</v>
      </c>
      <c r="DF436" s="824">
        <f t="shared" ca="1" si="329"/>
        <v>0</v>
      </c>
      <c r="DG436" s="824">
        <f t="shared" ca="1" si="329"/>
        <v>0</v>
      </c>
      <c r="DH436" s="824">
        <f t="shared" ca="1" si="329"/>
        <v>0</v>
      </c>
      <c r="DI436" s="824">
        <f t="shared" ca="1" si="329"/>
        <v>0</v>
      </c>
      <c r="DJ436" s="824">
        <f t="shared" ca="1" si="314"/>
        <v>0</v>
      </c>
      <c r="DK436" s="824">
        <f t="shared" ca="1" si="314"/>
        <v>0</v>
      </c>
      <c r="DL436" s="824">
        <f t="shared" ca="1" si="314"/>
        <v>0</v>
      </c>
    </row>
    <row r="437" spans="2:116" ht="12" thickBot="1" x14ac:dyDescent="0.3">
      <c r="B437" s="1673"/>
      <c r="C437" s="1680"/>
      <c r="D437" s="15" t="s">
        <v>31</v>
      </c>
      <c r="E437" s="165"/>
      <c r="F437" s="116">
        <f ca="1">SUBTOTAL(109,'3.2 I&amp;W'!$X$158)</f>
        <v>0</v>
      </c>
      <c r="G437" s="116">
        <f ca="1">SUBTOTAL(109,'3.2 I&amp;W'!$Y$158)</f>
        <v>0</v>
      </c>
      <c r="H437" s="116">
        <f ca="1">SUBTOTAL(109,'3.2 I&amp;W'!$AD$158)</f>
        <v>0</v>
      </c>
      <c r="I437" s="116">
        <f ca="1">SUBTOTAL(109,'3.2 I&amp;W'!$AE$158)</f>
        <v>0</v>
      </c>
      <c r="J437" s="116"/>
      <c r="K437" s="116"/>
      <c r="L437" s="116"/>
      <c r="M437" s="116">
        <f ca="1">SUBTOTAL(109,'3.2 I&amp;W'!$AI$158)</f>
        <v>0</v>
      </c>
      <c r="N437" s="156">
        <f t="shared" ca="1" si="262"/>
        <v>0</v>
      </c>
      <c r="O437" s="116">
        <f ca="1">SUBTOTAL(109,'3.2 I&amp;W'!$S$158)</f>
        <v>0</v>
      </c>
      <c r="P437" s="30">
        <f t="shared" ref="P437:P471" ca="1" si="330">IF(N437&gt;=1,O437*$G$158^(1*M437)/($G$157^(1*M437)),0)</f>
        <v>0</v>
      </c>
      <c r="Q437" s="31">
        <f t="shared" ref="Q437:Q471" ca="1" si="331">IF(N437&gt;=2,O437*$G$158^(2*M437)/($G$157^(2*M437)),0)</f>
        <v>0</v>
      </c>
      <c r="R437" s="31">
        <f t="shared" ref="R437:R471" ca="1" si="332">IF(N437&gt;=3,O437*$G$158^(3*M437)/($G$157^(3*M437)),0)</f>
        <v>0</v>
      </c>
      <c r="S437" s="31">
        <f t="shared" ref="S437:S471" ca="1" si="333">IF(N437&gt;=4,O437*$G$158^(4*M437)/($G$157^(4*M437)),0)</f>
        <v>0</v>
      </c>
      <c r="T437" s="32">
        <f t="shared" ref="T437:T471" ca="1" si="334">IF(N437&gt;=5,O437*$G$158^(5*M437)/($G$157^(5*M437)),0)</f>
        <v>0</v>
      </c>
      <c r="U437" s="37">
        <f t="shared" ca="1" si="263"/>
        <v>0</v>
      </c>
      <c r="V437" s="40">
        <f t="shared" ref="V437:V470" ca="1" si="335">G437*$I$169</f>
        <v>0</v>
      </c>
      <c r="W437" s="41">
        <f t="shared" ref="W437:W470" ca="1" si="336">(I437+J437)*$I$167</f>
        <v>0</v>
      </c>
      <c r="X437" s="43"/>
      <c r="Y437" s="46"/>
      <c r="Z437" s="126"/>
      <c r="AA437" s="136"/>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824">
        <f t="shared" ref="BL437:BL468" ca="1" si="337">M437</f>
        <v>0</v>
      </c>
      <c r="BM437" s="824">
        <f t="shared" ref="BM437:BM468" ca="1" si="338">N437</f>
        <v>0</v>
      </c>
      <c r="BN437" s="824">
        <f t="shared" ref="BN437:BN468" ca="1" si="339">O437</f>
        <v>0</v>
      </c>
      <c r="BO437" s="824">
        <f t="shared" ca="1" si="327"/>
        <v>0</v>
      </c>
      <c r="BP437" s="824">
        <f t="shared" ca="1" si="327"/>
        <v>0</v>
      </c>
      <c r="BQ437" s="824">
        <f t="shared" ca="1" si="327"/>
        <v>0</v>
      </c>
      <c r="BR437" s="824">
        <f t="shared" ca="1" si="327"/>
        <v>0</v>
      </c>
      <c r="BS437" s="824">
        <f t="shared" ca="1" si="327"/>
        <v>0</v>
      </c>
      <c r="BT437" s="824">
        <f t="shared" ca="1" si="327"/>
        <v>0</v>
      </c>
      <c r="BU437" s="824">
        <f t="shared" ca="1" si="327"/>
        <v>0</v>
      </c>
      <c r="BV437" s="824">
        <f t="shared" ca="1" si="327"/>
        <v>0</v>
      </c>
      <c r="BW437" s="824">
        <f t="shared" ca="1" si="327"/>
        <v>0</v>
      </c>
      <c r="BX437" s="824">
        <f t="shared" ca="1" si="327"/>
        <v>0</v>
      </c>
      <c r="BY437" s="824">
        <f t="shared" ca="1" si="327"/>
        <v>0</v>
      </c>
      <c r="BZ437" s="824">
        <f t="shared" ca="1" si="327"/>
        <v>0</v>
      </c>
      <c r="CA437" s="824">
        <f t="shared" ca="1" si="327"/>
        <v>0</v>
      </c>
      <c r="CB437" s="824">
        <f t="shared" ca="1" si="327"/>
        <v>0</v>
      </c>
      <c r="CC437" s="824">
        <f t="shared" ca="1" si="327"/>
        <v>0</v>
      </c>
      <c r="CD437" s="824">
        <f t="shared" ca="1" si="327"/>
        <v>0</v>
      </c>
      <c r="CE437" s="824">
        <f t="shared" ca="1" si="326"/>
        <v>0</v>
      </c>
      <c r="CF437" s="824">
        <f t="shared" ca="1" si="326"/>
        <v>0</v>
      </c>
      <c r="CG437" s="824">
        <f t="shared" ca="1" si="326"/>
        <v>0</v>
      </c>
      <c r="CH437" s="824">
        <f t="shared" ca="1" si="326"/>
        <v>0</v>
      </c>
      <c r="CI437" s="824">
        <f t="shared" ca="1" si="326"/>
        <v>0</v>
      </c>
      <c r="CJ437" s="824">
        <f t="shared" ca="1" si="326"/>
        <v>0</v>
      </c>
      <c r="CK437" s="824">
        <f t="shared" ca="1" si="326"/>
        <v>0</v>
      </c>
      <c r="CL437" s="824">
        <f t="shared" ca="1" si="326"/>
        <v>0</v>
      </c>
      <c r="CM437" s="824">
        <f t="shared" ca="1" si="326"/>
        <v>0</v>
      </c>
      <c r="CN437" s="824">
        <f t="shared" ca="1" si="326"/>
        <v>0</v>
      </c>
      <c r="CO437" s="824">
        <f t="shared" ca="1" si="326"/>
        <v>0</v>
      </c>
      <c r="CP437" s="824">
        <f t="shared" ca="1" si="326"/>
        <v>0</v>
      </c>
      <c r="CQ437" s="824">
        <f t="shared" ca="1" si="326"/>
        <v>0</v>
      </c>
      <c r="CR437" s="824">
        <f t="shared" ca="1" si="326"/>
        <v>0</v>
      </c>
      <c r="CS437" s="824">
        <f t="shared" ca="1" si="326"/>
        <v>0</v>
      </c>
      <c r="CT437" s="824">
        <f t="shared" ca="1" si="329"/>
        <v>0</v>
      </c>
      <c r="CU437" s="824">
        <f t="shared" ca="1" si="329"/>
        <v>0</v>
      </c>
      <c r="CV437" s="824">
        <f t="shared" ca="1" si="329"/>
        <v>0</v>
      </c>
      <c r="CW437" s="824">
        <f t="shared" ca="1" si="329"/>
        <v>0</v>
      </c>
      <c r="CX437" s="824">
        <f t="shared" ca="1" si="329"/>
        <v>0</v>
      </c>
      <c r="CY437" s="824">
        <f t="shared" ca="1" si="329"/>
        <v>0</v>
      </c>
      <c r="CZ437" s="824">
        <f t="shared" ca="1" si="329"/>
        <v>0</v>
      </c>
      <c r="DA437" s="824">
        <f t="shared" ca="1" si="329"/>
        <v>0</v>
      </c>
      <c r="DB437" s="824">
        <f t="shared" ca="1" si="329"/>
        <v>0</v>
      </c>
      <c r="DC437" s="824">
        <f t="shared" ca="1" si="329"/>
        <v>0</v>
      </c>
      <c r="DD437" s="824">
        <f t="shared" ca="1" si="329"/>
        <v>0</v>
      </c>
      <c r="DE437" s="824">
        <f t="shared" ca="1" si="329"/>
        <v>0</v>
      </c>
      <c r="DF437" s="824">
        <f t="shared" ca="1" si="329"/>
        <v>0</v>
      </c>
      <c r="DG437" s="824">
        <f t="shared" ca="1" si="329"/>
        <v>0</v>
      </c>
      <c r="DH437" s="824">
        <f t="shared" ca="1" si="329"/>
        <v>0</v>
      </c>
      <c r="DI437" s="824">
        <f t="shared" ca="1" si="329"/>
        <v>0</v>
      </c>
      <c r="DJ437" s="824">
        <f t="shared" ca="1" si="314"/>
        <v>0</v>
      </c>
      <c r="DK437" s="824">
        <f t="shared" ca="1" si="314"/>
        <v>0</v>
      </c>
      <c r="DL437" s="824">
        <f t="shared" ca="1" si="314"/>
        <v>0</v>
      </c>
    </row>
    <row r="438" spans="2:116" ht="12" thickBot="1" x14ac:dyDescent="0.3">
      <c r="B438" s="1673"/>
      <c r="C438" s="1680"/>
      <c r="D438" s="15" t="s">
        <v>31</v>
      </c>
      <c r="E438" s="165"/>
      <c r="F438" s="116">
        <f ca="1">SUBTOTAL(109,'3.2 I&amp;W'!$X$159)</f>
        <v>0</v>
      </c>
      <c r="G438" s="116">
        <f ca="1">SUBTOTAL(109,'3.2 I&amp;W'!$Y$159)</f>
        <v>0</v>
      </c>
      <c r="H438" s="116">
        <f ca="1">SUBTOTAL(109,'3.2 I&amp;W'!$AD$159)</f>
        <v>0</v>
      </c>
      <c r="I438" s="116">
        <f ca="1">SUBTOTAL(109,'3.2 I&amp;W'!$AE$159)</f>
        <v>0</v>
      </c>
      <c r="J438" s="116"/>
      <c r="K438" s="116"/>
      <c r="L438" s="116"/>
      <c r="M438" s="116">
        <f ca="1">SUBTOTAL(109,'3.2 I&amp;W'!$AI$159)</f>
        <v>0</v>
      </c>
      <c r="N438" s="156">
        <f t="shared" ref="N438:N479" ca="1" si="340">IF(OR(M438=0,M438="",M438=$G$154),0,ROUNDDOWN($G$154/M438,0)+IF(MOD($G$154,M438)=0,-1))</f>
        <v>0</v>
      </c>
      <c r="O438" s="116">
        <f ca="1">SUBTOTAL(109,'3.2 I&amp;W'!$S$159)</f>
        <v>0</v>
      </c>
      <c r="P438" s="30">
        <f t="shared" ref="P438:P439" ca="1" si="341">IF(N438&gt;=1,O438*$G$158^(1*M438)/($G$157^(1*M438)),0)</f>
        <v>0</v>
      </c>
      <c r="Q438" s="31">
        <f t="shared" ref="Q438:Q439" ca="1" si="342">IF(N438&gt;=2,O438*$G$158^(2*M438)/($G$157^(2*M438)),0)</f>
        <v>0</v>
      </c>
      <c r="R438" s="31">
        <f t="shared" ref="R438:R439" ca="1" si="343">IF(N438&gt;=3,O438*$G$158^(3*M438)/($G$157^(3*M438)),0)</f>
        <v>0</v>
      </c>
      <c r="S438" s="31">
        <f t="shared" ref="S438:S439" ca="1" si="344">IF(N438&gt;=4,O438*$G$158^(4*M438)/($G$157^(4*M438)),0)</f>
        <v>0</v>
      </c>
      <c r="T438" s="32">
        <f t="shared" ref="T438:T439" ca="1" si="345">IF(N438&gt;=5,O438*$G$158^(5*M438)/($G$157^(5*M438)),0)</f>
        <v>0</v>
      </c>
      <c r="U438" s="37">
        <f t="shared" ref="U438:U439" ca="1" si="346">IF(M438=0,0,O438*$G$158^(N438*M438)*((N438+1)*M438-$G$154)/M438*(1/$G$157^$G$154))</f>
        <v>0</v>
      </c>
      <c r="V438" s="40">
        <f t="shared" ref="V438:V439" ca="1" si="347">G438*$I$169</f>
        <v>0</v>
      </c>
      <c r="W438" s="41">
        <f t="shared" ref="W438:W439" ca="1" si="348">(I438+J438)*$I$167</f>
        <v>0</v>
      </c>
      <c r="X438" s="43"/>
      <c r="Y438" s="46"/>
      <c r="Z438" s="126"/>
      <c r="AA438" s="136"/>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824">
        <f t="shared" ca="1" si="337"/>
        <v>0</v>
      </c>
      <c r="BM438" s="824">
        <f t="shared" ca="1" si="338"/>
        <v>0</v>
      </c>
      <c r="BN438" s="824">
        <f t="shared" ca="1" si="339"/>
        <v>0</v>
      </c>
      <c r="BO438" s="824">
        <f t="shared" ca="1" si="327"/>
        <v>0</v>
      </c>
      <c r="BP438" s="824">
        <f t="shared" ca="1" si="327"/>
        <v>0</v>
      </c>
      <c r="BQ438" s="824">
        <f t="shared" ca="1" si="327"/>
        <v>0</v>
      </c>
      <c r="BR438" s="824">
        <f t="shared" ca="1" si="327"/>
        <v>0</v>
      </c>
      <c r="BS438" s="824">
        <f t="shared" ca="1" si="327"/>
        <v>0</v>
      </c>
      <c r="BT438" s="824">
        <f t="shared" ca="1" si="327"/>
        <v>0</v>
      </c>
      <c r="BU438" s="824">
        <f t="shared" ca="1" si="327"/>
        <v>0</v>
      </c>
      <c r="BV438" s="824">
        <f t="shared" ca="1" si="327"/>
        <v>0</v>
      </c>
      <c r="BW438" s="824">
        <f t="shared" ca="1" si="327"/>
        <v>0</v>
      </c>
      <c r="BX438" s="824">
        <f t="shared" ca="1" si="327"/>
        <v>0</v>
      </c>
      <c r="BY438" s="824">
        <f t="shared" ca="1" si="327"/>
        <v>0</v>
      </c>
      <c r="BZ438" s="824">
        <f t="shared" ca="1" si="327"/>
        <v>0</v>
      </c>
      <c r="CA438" s="824">
        <f t="shared" ca="1" si="327"/>
        <v>0</v>
      </c>
      <c r="CB438" s="824">
        <f t="shared" ca="1" si="327"/>
        <v>0</v>
      </c>
      <c r="CC438" s="824">
        <f t="shared" ca="1" si="327"/>
        <v>0</v>
      </c>
      <c r="CD438" s="824">
        <f t="shared" ca="1" si="327"/>
        <v>0</v>
      </c>
      <c r="CE438" s="824">
        <f t="shared" ca="1" si="326"/>
        <v>0</v>
      </c>
      <c r="CF438" s="824">
        <f t="shared" ca="1" si="326"/>
        <v>0</v>
      </c>
      <c r="CG438" s="824">
        <f t="shared" ca="1" si="326"/>
        <v>0</v>
      </c>
      <c r="CH438" s="824">
        <f t="shared" ca="1" si="326"/>
        <v>0</v>
      </c>
      <c r="CI438" s="824">
        <f t="shared" ca="1" si="326"/>
        <v>0</v>
      </c>
      <c r="CJ438" s="824">
        <f t="shared" ca="1" si="326"/>
        <v>0</v>
      </c>
      <c r="CK438" s="824">
        <f t="shared" ca="1" si="326"/>
        <v>0</v>
      </c>
      <c r="CL438" s="824">
        <f t="shared" ca="1" si="326"/>
        <v>0</v>
      </c>
      <c r="CM438" s="824">
        <f t="shared" ca="1" si="326"/>
        <v>0</v>
      </c>
      <c r="CN438" s="824">
        <f t="shared" ca="1" si="326"/>
        <v>0</v>
      </c>
      <c r="CO438" s="824">
        <f t="shared" ca="1" si="326"/>
        <v>0</v>
      </c>
      <c r="CP438" s="824">
        <f t="shared" ca="1" si="326"/>
        <v>0</v>
      </c>
      <c r="CQ438" s="824">
        <f t="shared" ca="1" si="326"/>
        <v>0</v>
      </c>
      <c r="CR438" s="824">
        <f t="shared" ca="1" si="326"/>
        <v>0</v>
      </c>
      <c r="CS438" s="824">
        <f t="shared" ca="1" si="326"/>
        <v>0</v>
      </c>
      <c r="CT438" s="824">
        <f t="shared" ca="1" si="329"/>
        <v>0</v>
      </c>
      <c r="CU438" s="824">
        <f t="shared" ca="1" si="329"/>
        <v>0</v>
      </c>
      <c r="CV438" s="824">
        <f t="shared" ca="1" si="329"/>
        <v>0</v>
      </c>
      <c r="CW438" s="824">
        <f t="shared" ca="1" si="329"/>
        <v>0</v>
      </c>
      <c r="CX438" s="824">
        <f t="shared" ca="1" si="329"/>
        <v>0</v>
      </c>
      <c r="CY438" s="824">
        <f t="shared" ca="1" si="329"/>
        <v>0</v>
      </c>
      <c r="CZ438" s="824">
        <f t="shared" ca="1" si="329"/>
        <v>0</v>
      </c>
      <c r="DA438" s="824">
        <f t="shared" ca="1" si="329"/>
        <v>0</v>
      </c>
      <c r="DB438" s="824">
        <f t="shared" ca="1" si="329"/>
        <v>0</v>
      </c>
      <c r="DC438" s="824">
        <f t="shared" ca="1" si="329"/>
        <v>0</v>
      </c>
      <c r="DD438" s="824">
        <f t="shared" ca="1" si="329"/>
        <v>0</v>
      </c>
      <c r="DE438" s="824">
        <f t="shared" ca="1" si="329"/>
        <v>0</v>
      </c>
      <c r="DF438" s="824">
        <f t="shared" ca="1" si="329"/>
        <v>0</v>
      </c>
      <c r="DG438" s="824">
        <f t="shared" ca="1" si="329"/>
        <v>0</v>
      </c>
      <c r="DH438" s="824">
        <f t="shared" ca="1" si="329"/>
        <v>0</v>
      </c>
      <c r="DI438" s="824">
        <f t="shared" ca="1" si="329"/>
        <v>0</v>
      </c>
      <c r="DJ438" s="824">
        <f t="shared" ca="1" si="314"/>
        <v>0</v>
      </c>
      <c r="DK438" s="824">
        <f t="shared" ca="1" si="314"/>
        <v>0</v>
      </c>
      <c r="DL438" s="824">
        <f t="shared" ca="1" si="314"/>
        <v>0</v>
      </c>
    </row>
    <row r="439" spans="2:116" ht="12" thickBot="1" x14ac:dyDescent="0.3">
      <c r="B439" s="1673"/>
      <c r="C439" s="1680"/>
      <c r="D439" s="15" t="s">
        <v>31</v>
      </c>
      <c r="E439" s="165"/>
      <c r="F439" s="116">
        <f ca="1">SUBTOTAL(109,'3.2 I&amp;W'!$X$160)</f>
        <v>0</v>
      </c>
      <c r="G439" s="116">
        <f ca="1">SUBTOTAL(109,'3.2 I&amp;W'!$Y$160)</f>
        <v>0</v>
      </c>
      <c r="H439" s="116">
        <f ca="1">SUBTOTAL(109,'3.2 I&amp;W'!$AD$160)</f>
        <v>0</v>
      </c>
      <c r="I439" s="116">
        <f ca="1">SUBTOTAL(109,'3.2 I&amp;W'!$AE$160)</f>
        <v>0</v>
      </c>
      <c r="J439" s="116"/>
      <c r="K439" s="116"/>
      <c r="L439" s="116"/>
      <c r="M439" s="116">
        <f ca="1">SUBTOTAL(109,'3.2 I&amp;W'!$AI$160)</f>
        <v>0</v>
      </c>
      <c r="N439" s="156">
        <f t="shared" ca="1" si="340"/>
        <v>0</v>
      </c>
      <c r="O439" s="116">
        <f ca="1">SUBTOTAL(109,'3.2 I&amp;W'!$S$160)</f>
        <v>0</v>
      </c>
      <c r="P439" s="30">
        <f t="shared" ca="1" si="341"/>
        <v>0</v>
      </c>
      <c r="Q439" s="31">
        <f t="shared" ca="1" si="342"/>
        <v>0</v>
      </c>
      <c r="R439" s="31">
        <f t="shared" ca="1" si="343"/>
        <v>0</v>
      </c>
      <c r="S439" s="31">
        <f t="shared" ca="1" si="344"/>
        <v>0</v>
      </c>
      <c r="T439" s="32">
        <f t="shared" ca="1" si="345"/>
        <v>0</v>
      </c>
      <c r="U439" s="37">
        <f t="shared" ca="1" si="346"/>
        <v>0</v>
      </c>
      <c r="V439" s="40">
        <f t="shared" ca="1" si="347"/>
        <v>0</v>
      </c>
      <c r="W439" s="41">
        <f t="shared" ca="1" si="348"/>
        <v>0</v>
      </c>
      <c r="X439" s="43"/>
      <c r="Y439" s="46"/>
      <c r="Z439" s="126"/>
      <c r="AA439" s="136"/>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824">
        <f t="shared" ca="1" si="337"/>
        <v>0</v>
      </c>
      <c r="BM439" s="824">
        <f t="shared" ca="1" si="338"/>
        <v>0</v>
      </c>
      <c r="BN439" s="824">
        <f t="shared" ca="1" si="339"/>
        <v>0</v>
      </c>
      <c r="BO439" s="824">
        <f t="shared" ca="1" si="327"/>
        <v>0</v>
      </c>
      <c r="BP439" s="824">
        <f t="shared" ca="1" si="327"/>
        <v>0</v>
      </c>
      <c r="BQ439" s="824">
        <f t="shared" ca="1" si="327"/>
        <v>0</v>
      </c>
      <c r="BR439" s="824">
        <f t="shared" ca="1" si="327"/>
        <v>0</v>
      </c>
      <c r="BS439" s="824">
        <f t="shared" ca="1" si="327"/>
        <v>0</v>
      </c>
      <c r="BT439" s="824">
        <f t="shared" ca="1" si="327"/>
        <v>0</v>
      </c>
      <c r="BU439" s="824">
        <f t="shared" ca="1" si="327"/>
        <v>0</v>
      </c>
      <c r="BV439" s="824">
        <f t="shared" ca="1" si="327"/>
        <v>0</v>
      </c>
      <c r="BW439" s="824">
        <f t="shared" ca="1" si="327"/>
        <v>0</v>
      </c>
      <c r="BX439" s="824">
        <f t="shared" ca="1" si="327"/>
        <v>0</v>
      </c>
      <c r="BY439" s="824">
        <f t="shared" ca="1" si="327"/>
        <v>0</v>
      </c>
      <c r="BZ439" s="824">
        <f t="shared" ca="1" si="327"/>
        <v>0</v>
      </c>
      <c r="CA439" s="824">
        <f t="shared" ca="1" si="327"/>
        <v>0</v>
      </c>
      <c r="CB439" s="824">
        <f t="shared" ca="1" si="327"/>
        <v>0</v>
      </c>
      <c r="CC439" s="824">
        <f t="shared" ca="1" si="327"/>
        <v>0</v>
      </c>
      <c r="CD439" s="824">
        <f t="shared" ref="CD439:CS454" ca="1" si="349">IF(OR(IF($BL439*1&lt;$BL$196,$BL439*1=CD$198,FALSE),IF($BL439*2&lt;$BL$196,$BL439*2=CD$198,FALSE),IF($BL439*3&lt;$BL$196,$BL439*3=CD$198,FALSE),IF($BL439*4&lt;$BL$196,$BL439*4=CD$198,FALSE),IF($BL439*5&lt;$BL$196,$BL439*5=CD$198,FALSE)),$BN439*$BM$196^CD$198,0)</f>
        <v>0</v>
      </c>
      <c r="CE439" s="824">
        <f t="shared" ca="1" si="349"/>
        <v>0</v>
      </c>
      <c r="CF439" s="824">
        <f t="shared" ca="1" si="349"/>
        <v>0</v>
      </c>
      <c r="CG439" s="824">
        <f t="shared" ca="1" si="349"/>
        <v>0</v>
      </c>
      <c r="CH439" s="824">
        <f t="shared" ca="1" si="349"/>
        <v>0</v>
      </c>
      <c r="CI439" s="824">
        <f t="shared" ca="1" si="349"/>
        <v>0</v>
      </c>
      <c r="CJ439" s="824">
        <f t="shared" ca="1" si="349"/>
        <v>0</v>
      </c>
      <c r="CK439" s="824">
        <f t="shared" ca="1" si="349"/>
        <v>0</v>
      </c>
      <c r="CL439" s="824">
        <f t="shared" ca="1" si="349"/>
        <v>0</v>
      </c>
      <c r="CM439" s="824">
        <f t="shared" ca="1" si="349"/>
        <v>0</v>
      </c>
      <c r="CN439" s="824">
        <f t="shared" ca="1" si="349"/>
        <v>0</v>
      </c>
      <c r="CO439" s="824">
        <f t="shared" ca="1" si="349"/>
        <v>0</v>
      </c>
      <c r="CP439" s="824">
        <f t="shared" ca="1" si="349"/>
        <v>0</v>
      </c>
      <c r="CQ439" s="824">
        <f t="shared" ca="1" si="349"/>
        <v>0</v>
      </c>
      <c r="CR439" s="824">
        <f t="shared" ca="1" si="349"/>
        <v>0</v>
      </c>
      <c r="CS439" s="824">
        <f t="shared" ca="1" si="349"/>
        <v>0</v>
      </c>
      <c r="CT439" s="824">
        <f t="shared" ca="1" si="329"/>
        <v>0</v>
      </c>
      <c r="CU439" s="824">
        <f t="shared" ca="1" si="329"/>
        <v>0</v>
      </c>
      <c r="CV439" s="824">
        <f t="shared" ca="1" si="329"/>
        <v>0</v>
      </c>
      <c r="CW439" s="824">
        <f t="shared" ca="1" si="329"/>
        <v>0</v>
      </c>
      <c r="CX439" s="824">
        <f t="shared" ca="1" si="329"/>
        <v>0</v>
      </c>
      <c r="CY439" s="824">
        <f t="shared" ca="1" si="329"/>
        <v>0</v>
      </c>
      <c r="CZ439" s="824">
        <f t="shared" ca="1" si="329"/>
        <v>0</v>
      </c>
      <c r="DA439" s="824">
        <f t="shared" ca="1" si="329"/>
        <v>0</v>
      </c>
      <c r="DB439" s="824">
        <f t="shared" ca="1" si="329"/>
        <v>0</v>
      </c>
      <c r="DC439" s="824">
        <f t="shared" ca="1" si="329"/>
        <v>0</v>
      </c>
      <c r="DD439" s="824">
        <f t="shared" ca="1" si="329"/>
        <v>0</v>
      </c>
      <c r="DE439" s="824">
        <f t="shared" ca="1" si="329"/>
        <v>0</v>
      </c>
      <c r="DF439" s="824">
        <f t="shared" ca="1" si="329"/>
        <v>0</v>
      </c>
      <c r="DG439" s="824">
        <f t="shared" ca="1" si="329"/>
        <v>0</v>
      </c>
      <c r="DH439" s="824">
        <f t="shared" ca="1" si="329"/>
        <v>0</v>
      </c>
      <c r="DI439" s="824">
        <f t="shared" ca="1" si="329"/>
        <v>0</v>
      </c>
      <c r="DJ439" s="824">
        <f t="shared" ca="1" si="314"/>
        <v>0</v>
      </c>
      <c r="DK439" s="824">
        <f t="shared" ca="1" si="314"/>
        <v>0</v>
      </c>
      <c r="DL439" s="824">
        <f t="shared" ca="1" si="314"/>
        <v>0</v>
      </c>
    </row>
    <row r="440" spans="2:116" ht="12" thickBot="1" x14ac:dyDescent="0.3">
      <c r="B440" s="1673"/>
      <c r="C440" s="1680"/>
      <c r="D440" s="15" t="s">
        <v>31</v>
      </c>
      <c r="E440" s="116"/>
      <c r="F440" s="116">
        <f ca="1">SUBTOTAL(109,'3.2 I&amp;W'!$X$161)</f>
        <v>0</v>
      </c>
      <c r="G440" s="116">
        <f ca="1">SUBTOTAL(109,'3.2 I&amp;W'!$Y$161)</f>
        <v>0</v>
      </c>
      <c r="H440" s="116">
        <f ca="1">SUBTOTAL(109,'3.2 I&amp;W'!$AD$161)</f>
        <v>0</v>
      </c>
      <c r="I440" s="116">
        <f ca="1">SUBTOTAL(109,'3.2 I&amp;W'!$AE$161)</f>
        <v>0</v>
      </c>
      <c r="J440" s="116"/>
      <c r="K440" s="116"/>
      <c r="L440" s="116"/>
      <c r="M440" s="116">
        <f ca="1">SUBTOTAL(109,'3.2 I&amp;W'!$AI$161)</f>
        <v>0</v>
      </c>
      <c r="N440" s="156">
        <f t="shared" ca="1" si="340"/>
        <v>0</v>
      </c>
      <c r="O440" s="116">
        <f ca="1">SUBTOTAL(109,'3.2 I&amp;W'!$S$161)</f>
        <v>0</v>
      </c>
      <c r="P440" s="30">
        <f t="shared" ca="1" si="330"/>
        <v>0</v>
      </c>
      <c r="Q440" s="31">
        <f t="shared" ca="1" si="331"/>
        <v>0</v>
      </c>
      <c r="R440" s="31">
        <f t="shared" ca="1" si="332"/>
        <v>0</v>
      </c>
      <c r="S440" s="31">
        <f t="shared" ca="1" si="333"/>
        <v>0</v>
      </c>
      <c r="T440" s="32">
        <f t="shared" ca="1" si="334"/>
        <v>0</v>
      </c>
      <c r="U440" s="37">
        <f t="shared" ca="1" si="263"/>
        <v>0</v>
      </c>
      <c r="V440" s="40">
        <f t="shared" ca="1" si="335"/>
        <v>0</v>
      </c>
      <c r="W440" s="41">
        <f t="shared" ca="1" si="336"/>
        <v>0</v>
      </c>
      <c r="X440" s="43"/>
      <c r="Y440" s="46"/>
      <c r="Z440" s="126"/>
      <c r="AA440" s="136"/>
      <c r="AB440" s="3"/>
      <c r="AC440" s="3"/>
      <c r="AD440" s="3"/>
      <c r="AE440" s="94"/>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824">
        <f t="shared" ca="1" si="337"/>
        <v>0</v>
      </c>
      <c r="BM440" s="824">
        <f t="shared" ca="1" si="338"/>
        <v>0</v>
      </c>
      <c r="BN440" s="824">
        <f t="shared" ca="1" si="339"/>
        <v>0</v>
      </c>
      <c r="BO440" s="824">
        <f t="shared" ref="BO440:CD455" ca="1" si="350">IF(OR(IF($BL440*1&lt;$BL$196,$BL440*1=BO$198,FALSE),IF($BL440*2&lt;$BL$196,$BL440*2=BO$198,FALSE),IF($BL440*3&lt;$BL$196,$BL440*3=BO$198,FALSE),IF($BL440*4&lt;$BL$196,$BL440*4=BO$198,FALSE),IF($BL440*5&lt;$BL$196,$BL440*5=BO$198,FALSE)),$BN440*$BM$196^BO$198,0)</f>
        <v>0</v>
      </c>
      <c r="BP440" s="824">
        <f t="shared" ca="1" si="350"/>
        <v>0</v>
      </c>
      <c r="BQ440" s="824">
        <f t="shared" ca="1" si="350"/>
        <v>0</v>
      </c>
      <c r="BR440" s="824">
        <f t="shared" ca="1" si="350"/>
        <v>0</v>
      </c>
      <c r="BS440" s="824">
        <f t="shared" ca="1" si="350"/>
        <v>0</v>
      </c>
      <c r="BT440" s="824">
        <f t="shared" ca="1" si="350"/>
        <v>0</v>
      </c>
      <c r="BU440" s="824">
        <f t="shared" ca="1" si="350"/>
        <v>0</v>
      </c>
      <c r="BV440" s="824">
        <f t="shared" ca="1" si="350"/>
        <v>0</v>
      </c>
      <c r="BW440" s="824">
        <f t="shared" ca="1" si="350"/>
        <v>0</v>
      </c>
      <c r="BX440" s="824">
        <f t="shared" ca="1" si="350"/>
        <v>0</v>
      </c>
      <c r="BY440" s="824">
        <f t="shared" ca="1" si="350"/>
        <v>0</v>
      </c>
      <c r="BZ440" s="824">
        <f t="shared" ca="1" si="350"/>
        <v>0</v>
      </c>
      <c r="CA440" s="824">
        <f t="shared" ca="1" si="350"/>
        <v>0</v>
      </c>
      <c r="CB440" s="824">
        <f t="shared" ca="1" si="350"/>
        <v>0</v>
      </c>
      <c r="CC440" s="824">
        <f t="shared" ca="1" si="350"/>
        <v>0</v>
      </c>
      <c r="CD440" s="824">
        <f t="shared" ca="1" si="350"/>
        <v>0</v>
      </c>
      <c r="CE440" s="824">
        <f t="shared" ca="1" si="349"/>
        <v>0</v>
      </c>
      <c r="CF440" s="824">
        <f t="shared" ca="1" si="349"/>
        <v>0</v>
      </c>
      <c r="CG440" s="824">
        <f t="shared" ca="1" si="349"/>
        <v>0</v>
      </c>
      <c r="CH440" s="824">
        <f t="shared" ca="1" si="349"/>
        <v>0</v>
      </c>
      <c r="CI440" s="824">
        <f t="shared" ca="1" si="349"/>
        <v>0</v>
      </c>
      <c r="CJ440" s="824">
        <f t="shared" ca="1" si="349"/>
        <v>0</v>
      </c>
      <c r="CK440" s="824">
        <f t="shared" ca="1" si="349"/>
        <v>0</v>
      </c>
      <c r="CL440" s="824">
        <f t="shared" ca="1" si="349"/>
        <v>0</v>
      </c>
      <c r="CM440" s="824">
        <f t="shared" ca="1" si="349"/>
        <v>0</v>
      </c>
      <c r="CN440" s="824">
        <f t="shared" ca="1" si="349"/>
        <v>0</v>
      </c>
      <c r="CO440" s="824">
        <f t="shared" ca="1" si="349"/>
        <v>0</v>
      </c>
      <c r="CP440" s="824">
        <f t="shared" ca="1" si="349"/>
        <v>0</v>
      </c>
      <c r="CQ440" s="824">
        <f t="shared" ca="1" si="349"/>
        <v>0</v>
      </c>
      <c r="CR440" s="824">
        <f t="shared" ca="1" si="349"/>
        <v>0</v>
      </c>
      <c r="CS440" s="824">
        <f t="shared" ca="1" si="349"/>
        <v>0</v>
      </c>
      <c r="CT440" s="824">
        <f t="shared" ca="1" si="329"/>
        <v>0</v>
      </c>
      <c r="CU440" s="824">
        <f t="shared" ca="1" si="329"/>
        <v>0</v>
      </c>
      <c r="CV440" s="824">
        <f t="shared" ca="1" si="329"/>
        <v>0</v>
      </c>
      <c r="CW440" s="824">
        <f t="shared" ca="1" si="329"/>
        <v>0</v>
      </c>
      <c r="CX440" s="824">
        <f t="shared" ca="1" si="329"/>
        <v>0</v>
      </c>
      <c r="CY440" s="824">
        <f t="shared" ca="1" si="329"/>
        <v>0</v>
      </c>
      <c r="CZ440" s="824">
        <f t="shared" ca="1" si="329"/>
        <v>0</v>
      </c>
      <c r="DA440" s="824">
        <f t="shared" ca="1" si="329"/>
        <v>0</v>
      </c>
      <c r="DB440" s="824">
        <f t="shared" ca="1" si="329"/>
        <v>0</v>
      </c>
      <c r="DC440" s="824">
        <f t="shared" ca="1" si="329"/>
        <v>0</v>
      </c>
      <c r="DD440" s="824">
        <f t="shared" ca="1" si="329"/>
        <v>0</v>
      </c>
      <c r="DE440" s="824">
        <f t="shared" ca="1" si="329"/>
        <v>0</v>
      </c>
      <c r="DF440" s="824">
        <f t="shared" ca="1" si="329"/>
        <v>0</v>
      </c>
      <c r="DG440" s="824">
        <f t="shared" ca="1" si="329"/>
        <v>0</v>
      </c>
      <c r="DH440" s="824">
        <f t="shared" ca="1" si="329"/>
        <v>0</v>
      </c>
      <c r="DI440" s="824">
        <f t="shared" ref="DI440" ca="1" si="351">IF(OR(IF($BL440*1&lt;$BL$196,$BL440*1=DI$198,FALSE),IF($BL440*2&lt;$BL$196,$BL440*2=DI$198,FALSE),IF($BL440*3&lt;$BL$196,$BL440*3=DI$198,FALSE),IF($BL440*4&lt;$BL$196,$BL440*4=DI$198,FALSE),IF($BL440*5&lt;$BL$196,$BL440*5=DI$198,FALSE)),$BN440*$BM$196^DI$198,0)</f>
        <v>0</v>
      </c>
      <c r="DJ440" s="824">
        <f t="shared" ca="1" si="314"/>
        <v>0</v>
      </c>
      <c r="DK440" s="824">
        <f t="shared" ca="1" si="314"/>
        <v>0</v>
      </c>
      <c r="DL440" s="824">
        <f t="shared" ca="1" si="314"/>
        <v>0</v>
      </c>
    </row>
    <row r="441" spans="2:116" ht="12" thickBot="1" x14ac:dyDescent="0.3">
      <c r="B441" s="1673"/>
      <c r="C441" s="1680"/>
      <c r="D441" s="15" t="s">
        <v>29</v>
      </c>
      <c r="E441" s="165"/>
      <c r="F441" s="116">
        <f ca="1">SUBTOTAL(109,'3.2 I&amp;W'!$X$163)</f>
        <v>0</v>
      </c>
      <c r="G441" s="116">
        <f ca="1">SUBTOTAL(109,'3.2 I&amp;W'!$Y$163)</f>
        <v>0</v>
      </c>
      <c r="H441" s="116">
        <f ca="1">SUBTOTAL(109,'3.2 I&amp;W'!$AD$163)</f>
        <v>0</v>
      </c>
      <c r="I441" s="116">
        <f ca="1">SUBTOTAL(109,'3.2 I&amp;W'!$AE$163)</f>
        <v>0</v>
      </c>
      <c r="J441" s="116"/>
      <c r="K441" s="116"/>
      <c r="L441" s="116"/>
      <c r="M441" s="116">
        <f ca="1">SUBTOTAL(109,'3.2 I&amp;W'!$AI$163)</f>
        <v>0</v>
      </c>
      <c r="N441" s="156">
        <f t="shared" ca="1" si="340"/>
        <v>0</v>
      </c>
      <c r="O441" s="116">
        <f ca="1">SUBTOTAL(109,'3.2 I&amp;W'!$S$163)</f>
        <v>0</v>
      </c>
      <c r="P441" s="30">
        <f t="shared" ca="1" si="330"/>
        <v>0</v>
      </c>
      <c r="Q441" s="31">
        <f t="shared" ca="1" si="331"/>
        <v>0</v>
      </c>
      <c r="R441" s="31">
        <f t="shared" ca="1" si="332"/>
        <v>0</v>
      </c>
      <c r="S441" s="31">
        <f t="shared" ca="1" si="333"/>
        <v>0</v>
      </c>
      <c r="T441" s="32">
        <f t="shared" ca="1" si="334"/>
        <v>0</v>
      </c>
      <c r="U441" s="37">
        <f t="shared" ca="1" si="263"/>
        <v>0</v>
      </c>
      <c r="V441" s="40">
        <f t="shared" ca="1" si="335"/>
        <v>0</v>
      </c>
      <c r="W441" s="41">
        <f t="shared" ca="1" si="336"/>
        <v>0</v>
      </c>
      <c r="X441" s="43"/>
      <c r="Y441" s="46"/>
      <c r="Z441" s="126"/>
      <c r="AA441" s="136"/>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824">
        <f t="shared" ca="1" si="337"/>
        <v>0</v>
      </c>
      <c r="BM441" s="824">
        <f t="shared" ca="1" si="338"/>
        <v>0</v>
      </c>
      <c r="BN441" s="824">
        <f t="shared" ca="1" si="339"/>
        <v>0</v>
      </c>
      <c r="BO441" s="824">
        <f t="shared" ca="1" si="350"/>
        <v>0</v>
      </c>
      <c r="BP441" s="824">
        <f t="shared" ca="1" si="350"/>
        <v>0</v>
      </c>
      <c r="BQ441" s="824">
        <f t="shared" ca="1" si="350"/>
        <v>0</v>
      </c>
      <c r="BR441" s="824">
        <f t="shared" ca="1" si="350"/>
        <v>0</v>
      </c>
      <c r="BS441" s="824">
        <f t="shared" ca="1" si="350"/>
        <v>0</v>
      </c>
      <c r="BT441" s="824">
        <f t="shared" ca="1" si="350"/>
        <v>0</v>
      </c>
      <c r="BU441" s="824">
        <f t="shared" ca="1" si="350"/>
        <v>0</v>
      </c>
      <c r="BV441" s="824">
        <f t="shared" ca="1" si="350"/>
        <v>0</v>
      </c>
      <c r="BW441" s="824">
        <f t="shared" ca="1" si="350"/>
        <v>0</v>
      </c>
      <c r="BX441" s="824">
        <f t="shared" ca="1" si="350"/>
        <v>0</v>
      </c>
      <c r="BY441" s="824">
        <f t="shared" ca="1" si="350"/>
        <v>0</v>
      </c>
      <c r="BZ441" s="824">
        <f t="shared" ca="1" si="350"/>
        <v>0</v>
      </c>
      <c r="CA441" s="824">
        <f t="shared" ca="1" si="350"/>
        <v>0</v>
      </c>
      <c r="CB441" s="824">
        <f t="shared" ca="1" si="350"/>
        <v>0</v>
      </c>
      <c r="CC441" s="824">
        <f t="shared" ca="1" si="350"/>
        <v>0</v>
      </c>
      <c r="CD441" s="824">
        <f t="shared" ca="1" si="350"/>
        <v>0</v>
      </c>
      <c r="CE441" s="824">
        <f t="shared" ca="1" si="349"/>
        <v>0</v>
      </c>
      <c r="CF441" s="824">
        <f t="shared" ca="1" si="349"/>
        <v>0</v>
      </c>
      <c r="CG441" s="824">
        <f t="shared" ca="1" si="349"/>
        <v>0</v>
      </c>
      <c r="CH441" s="824">
        <f t="shared" ca="1" si="349"/>
        <v>0</v>
      </c>
      <c r="CI441" s="824">
        <f t="shared" ca="1" si="349"/>
        <v>0</v>
      </c>
      <c r="CJ441" s="824">
        <f t="shared" ca="1" si="349"/>
        <v>0</v>
      </c>
      <c r="CK441" s="824">
        <f t="shared" ca="1" si="349"/>
        <v>0</v>
      </c>
      <c r="CL441" s="824">
        <f t="shared" ca="1" si="349"/>
        <v>0</v>
      </c>
      <c r="CM441" s="824">
        <f t="shared" ca="1" si="349"/>
        <v>0</v>
      </c>
      <c r="CN441" s="824">
        <f t="shared" ca="1" si="349"/>
        <v>0</v>
      </c>
      <c r="CO441" s="824">
        <f t="shared" ca="1" si="349"/>
        <v>0</v>
      </c>
      <c r="CP441" s="824">
        <f t="shared" ca="1" si="349"/>
        <v>0</v>
      </c>
      <c r="CQ441" s="824">
        <f t="shared" ca="1" si="349"/>
        <v>0</v>
      </c>
      <c r="CR441" s="824">
        <f t="shared" ca="1" si="349"/>
        <v>0</v>
      </c>
      <c r="CS441" s="824">
        <f t="shared" ca="1" si="349"/>
        <v>0</v>
      </c>
      <c r="CT441" s="824">
        <f t="shared" ref="CT441:DI456" ca="1" si="352">IF(OR(IF($BL441*1&lt;$BL$196,$BL441*1=CT$198,FALSE),IF($BL441*2&lt;$BL$196,$BL441*2=CT$198,FALSE),IF($BL441*3&lt;$BL$196,$BL441*3=CT$198,FALSE),IF($BL441*4&lt;$BL$196,$BL441*4=CT$198,FALSE),IF($BL441*5&lt;$BL$196,$BL441*5=CT$198,FALSE)),$BN441*$BM$196^CT$198,0)</f>
        <v>0</v>
      </c>
      <c r="CU441" s="824">
        <f t="shared" ca="1" si="352"/>
        <v>0</v>
      </c>
      <c r="CV441" s="824">
        <f t="shared" ca="1" si="352"/>
        <v>0</v>
      </c>
      <c r="CW441" s="824">
        <f t="shared" ca="1" si="352"/>
        <v>0</v>
      </c>
      <c r="CX441" s="824">
        <f t="shared" ca="1" si="352"/>
        <v>0</v>
      </c>
      <c r="CY441" s="824">
        <f t="shared" ca="1" si="352"/>
        <v>0</v>
      </c>
      <c r="CZ441" s="824">
        <f t="shared" ca="1" si="352"/>
        <v>0</v>
      </c>
      <c r="DA441" s="824">
        <f t="shared" ca="1" si="352"/>
        <v>0</v>
      </c>
      <c r="DB441" s="824">
        <f t="shared" ca="1" si="352"/>
        <v>0</v>
      </c>
      <c r="DC441" s="824">
        <f t="shared" ca="1" si="352"/>
        <v>0</v>
      </c>
      <c r="DD441" s="824">
        <f t="shared" ca="1" si="352"/>
        <v>0</v>
      </c>
      <c r="DE441" s="824">
        <f t="shared" ca="1" si="352"/>
        <v>0</v>
      </c>
      <c r="DF441" s="824">
        <f t="shared" ca="1" si="352"/>
        <v>0</v>
      </c>
      <c r="DG441" s="824">
        <f t="shared" ca="1" si="352"/>
        <v>0</v>
      </c>
      <c r="DH441" s="824">
        <f t="shared" ca="1" si="352"/>
        <v>0</v>
      </c>
      <c r="DI441" s="824">
        <f t="shared" ca="1" si="352"/>
        <v>0</v>
      </c>
      <c r="DJ441" s="824">
        <f t="shared" ca="1" si="314"/>
        <v>0</v>
      </c>
      <c r="DK441" s="824">
        <f t="shared" ca="1" si="314"/>
        <v>0</v>
      </c>
      <c r="DL441" s="824">
        <f t="shared" ca="1" si="314"/>
        <v>0</v>
      </c>
    </row>
    <row r="442" spans="2:116" ht="12" thickBot="1" x14ac:dyDescent="0.3">
      <c r="B442" s="1673"/>
      <c r="C442" s="1680"/>
      <c r="D442" s="15" t="s">
        <v>25</v>
      </c>
      <c r="E442" s="116"/>
      <c r="F442" s="116">
        <f ca="1">SUBTOTAL(109,'3.2 I&amp;W'!$X$167)</f>
        <v>0</v>
      </c>
      <c r="G442" s="116">
        <f ca="1">SUBTOTAL(109,'3.2 I&amp;W'!$Y$167)</f>
        <v>0</v>
      </c>
      <c r="H442" s="116">
        <f ca="1">SUBTOTAL(109,'3.2 I&amp;W'!$AD$167)</f>
        <v>0</v>
      </c>
      <c r="I442" s="116">
        <f ca="1">SUBTOTAL(109,'3.2 I&amp;W'!$AE$167)</f>
        <v>0</v>
      </c>
      <c r="J442" s="116"/>
      <c r="K442" s="116"/>
      <c r="L442" s="116"/>
      <c r="M442" s="116">
        <f ca="1">SUBTOTAL(109,'3.2 I&amp;W'!$AI$167)</f>
        <v>0</v>
      </c>
      <c r="N442" s="156">
        <f t="shared" ca="1" si="340"/>
        <v>0</v>
      </c>
      <c r="O442" s="116">
        <f ca="1">SUBTOTAL(109,'3.2 I&amp;W'!$S$167)</f>
        <v>0</v>
      </c>
      <c r="P442" s="30">
        <f t="shared" ca="1" si="330"/>
        <v>0</v>
      </c>
      <c r="Q442" s="31">
        <f t="shared" ca="1" si="331"/>
        <v>0</v>
      </c>
      <c r="R442" s="31">
        <f t="shared" ca="1" si="332"/>
        <v>0</v>
      </c>
      <c r="S442" s="31">
        <f t="shared" ca="1" si="333"/>
        <v>0</v>
      </c>
      <c r="T442" s="32">
        <f t="shared" ca="1" si="334"/>
        <v>0</v>
      </c>
      <c r="U442" s="37">
        <f t="shared" ca="1" si="263"/>
        <v>0</v>
      </c>
      <c r="V442" s="40">
        <f t="shared" ca="1" si="335"/>
        <v>0</v>
      </c>
      <c r="W442" s="41">
        <f t="shared" ca="1" si="336"/>
        <v>0</v>
      </c>
      <c r="X442" s="43"/>
      <c r="Y442" s="46"/>
      <c r="Z442" s="126"/>
      <c r="AA442" s="136"/>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824">
        <f t="shared" ca="1" si="337"/>
        <v>0</v>
      </c>
      <c r="BM442" s="824">
        <f t="shared" ca="1" si="338"/>
        <v>0</v>
      </c>
      <c r="BN442" s="824">
        <f t="shared" ca="1" si="339"/>
        <v>0</v>
      </c>
      <c r="BO442" s="824">
        <f t="shared" ca="1" si="350"/>
        <v>0</v>
      </c>
      <c r="BP442" s="824">
        <f t="shared" ca="1" si="350"/>
        <v>0</v>
      </c>
      <c r="BQ442" s="824">
        <f t="shared" ca="1" si="350"/>
        <v>0</v>
      </c>
      <c r="BR442" s="824">
        <f t="shared" ca="1" si="350"/>
        <v>0</v>
      </c>
      <c r="BS442" s="824">
        <f t="shared" ca="1" si="350"/>
        <v>0</v>
      </c>
      <c r="BT442" s="824">
        <f t="shared" ca="1" si="350"/>
        <v>0</v>
      </c>
      <c r="BU442" s="824">
        <f t="shared" ca="1" si="350"/>
        <v>0</v>
      </c>
      <c r="BV442" s="824">
        <f t="shared" ca="1" si="350"/>
        <v>0</v>
      </c>
      <c r="BW442" s="824">
        <f t="shared" ca="1" si="350"/>
        <v>0</v>
      </c>
      <c r="BX442" s="824">
        <f t="shared" ca="1" si="350"/>
        <v>0</v>
      </c>
      <c r="BY442" s="824">
        <f t="shared" ca="1" si="350"/>
        <v>0</v>
      </c>
      <c r="BZ442" s="824">
        <f t="shared" ca="1" si="350"/>
        <v>0</v>
      </c>
      <c r="CA442" s="824">
        <f t="shared" ca="1" si="350"/>
        <v>0</v>
      </c>
      <c r="CB442" s="824">
        <f t="shared" ca="1" si="350"/>
        <v>0</v>
      </c>
      <c r="CC442" s="824">
        <f t="shared" ca="1" si="350"/>
        <v>0</v>
      </c>
      <c r="CD442" s="824">
        <f t="shared" ca="1" si="350"/>
        <v>0</v>
      </c>
      <c r="CE442" s="824">
        <f t="shared" ca="1" si="349"/>
        <v>0</v>
      </c>
      <c r="CF442" s="824">
        <f t="shared" ca="1" si="349"/>
        <v>0</v>
      </c>
      <c r="CG442" s="824">
        <f t="shared" ca="1" si="349"/>
        <v>0</v>
      </c>
      <c r="CH442" s="824">
        <f t="shared" ca="1" si="349"/>
        <v>0</v>
      </c>
      <c r="CI442" s="824">
        <f t="shared" ca="1" si="349"/>
        <v>0</v>
      </c>
      <c r="CJ442" s="824">
        <f t="shared" ca="1" si="349"/>
        <v>0</v>
      </c>
      <c r="CK442" s="824">
        <f t="shared" ca="1" si="349"/>
        <v>0</v>
      </c>
      <c r="CL442" s="824">
        <f t="shared" ca="1" si="349"/>
        <v>0</v>
      </c>
      <c r="CM442" s="824">
        <f t="shared" ca="1" si="349"/>
        <v>0</v>
      </c>
      <c r="CN442" s="824">
        <f t="shared" ca="1" si="349"/>
        <v>0</v>
      </c>
      <c r="CO442" s="824">
        <f t="shared" ca="1" si="349"/>
        <v>0</v>
      </c>
      <c r="CP442" s="824">
        <f t="shared" ca="1" si="349"/>
        <v>0</v>
      </c>
      <c r="CQ442" s="824">
        <f t="shared" ca="1" si="349"/>
        <v>0</v>
      </c>
      <c r="CR442" s="824">
        <f t="shared" ca="1" si="349"/>
        <v>0</v>
      </c>
      <c r="CS442" s="824">
        <f t="shared" ca="1" si="349"/>
        <v>0</v>
      </c>
      <c r="CT442" s="824">
        <f t="shared" ca="1" si="352"/>
        <v>0</v>
      </c>
      <c r="CU442" s="824">
        <f t="shared" ca="1" si="352"/>
        <v>0</v>
      </c>
      <c r="CV442" s="824">
        <f t="shared" ca="1" si="352"/>
        <v>0</v>
      </c>
      <c r="CW442" s="824">
        <f t="shared" ca="1" si="352"/>
        <v>0</v>
      </c>
      <c r="CX442" s="824">
        <f t="shared" ca="1" si="352"/>
        <v>0</v>
      </c>
      <c r="CY442" s="824">
        <f t="shared" ca="1" si="352"/>
        <v>0</v>
      </c>
      <c r="CZ442" s="824">
        <f t="shared" ca="1" si="352"/>
        <v>0</v>
      </c>
      <c r="DA442" s="824">
        <f t="shared" ca="1" si="352"/>
        <v>0</v>
      </c>
      <c r="DB442" s="824">
        <f t="shared" ca="1" si="352"/>
        <v>0</v>
      </c>
      <c r="DC442" s="824">
        <f t="shared" ca="1" si="352"/>
        <v>0</v>
      </c>
      <c r="DD442" s="824">
        <f t="shared" ca="1" si="352"/>
        <v>0</v>
      </c>
      <c r="DE442" s="824">
        <f t="shared" ca="1" si="352"/>
        <v>0</v>
      </c>
      <c r="DF442" s="824">
        <f t="shared" ca="1" si="352"/>
        <v>0</v>
      </c>
      <c r="DG442" s="824">
        <f t="shared" ca="1" si="352"/>
        <v>0</v>
      </c>
      <c r="DH442" s="824">
        <f t="shared" ca="1" si="352"/>
        <v>0</v>
      </c>
      <c r="DI442" s="824">
        <f t="shared" ca="1" si="352"/>
        <v>0</v>
      </c>
      <c r="DJ442" s="824">
        <f t="shared" ca="1" si="314"/>
        <v>0</v>
      </c>
      <c r="DK442" s="824">
        <f t="shared" ca="1" si="314"/>
        <v>0</v>
      </c>
      <c r="DL442" s="824">
        <f t="shared" ca="1" si="314"/>
        <v>0</v>
      </c>
    </row>
    <row r="443" spans="2:116" ht="12" thickBot="1" x14ac:dyDescent="0.3">
      <c r="B443" s="1673"/>
      <c r="C443" s="1680"/>
      <c r="D443" s="15" t="s">
        <v>25</v>
      </c>
      <c r="E443" s="165"/>
      <c r="F443" s="116">
        <f ca="1">SUBTOTAL(109,'3.2 I&amp;W'!$X$168)</f>
        <v>0</v>
      </c>
      <c r="G443" s="116">
        <f ca="1">SUBTOTAL(109,'3.2 I&amp;W'!$Y$168)</f>
        <v>0</v>
      </c>
      <c r="H443" s="116">
        <f ca="1">SUBTOTAL(109,'3.2 I&amp;W'!$AD$168)</f>
        <v>0</v>
      </c>
      <c r="I443" s="116">
        <f ca="1">SUBTOTAL(109,'3.2 I&amp;W'!$AE$168)</f>
        <v>0</v>
      </c>
      <c r="J443" s="116"/>
      <c r="K443" s="116"/>
      <c r="L443" s="116"/>
      <c r="M443" s="116">
        <f ca="1">SUBTOTAL(109,'3.2 I&amp;W'!$AI$168)</f>
        <v>0</v>
      </c>
      <c r="N443" s="156">
        <f t="shared" ca="1" si="340"/>
        <v>0</v>
      </c>
      <c r="O443" s="116">
        <f ca="1">SUBTOTAL(109,'3.2 I&amp;W'!$S$168)</f>
        <v>0</v>
      </c>
      <c r="P443" s="30">
        <f t="shared" ca="1" si="330"/>
        <v>0</v>
      </c>
      <c r="Q443" s="31">
        <f t="shared" ca="1" si="331"/>
        <v>0</v>
      </c>
      <c r="R443" s="31">
        <f t="shared" ca="1" si="332"/>
        <v>0</v>
      </c>
      <c r="S443" s="31">
        <f t="shared" ca="1" si="333"/>
        <v>0</v>
      </c>
      <c r="T443" s="32">
        <f t="shared" ca="1" si="334"/>
        <v>0</v>
      </c>
      <c r="U443" s="37">
        <f t="shared" ca="1" si="263"/>
        <v>0</v>
      </c>
      <c r="V443" s="40">
        <f t="shared" ca="1" si="335"/>
        <v>0</v>
      </c>
      <c r="W443" s="41">
        <f t="shared" ca="1" si="336"/>
        <v>0</v>
      </c>
      <c r="X443" s="43"/>
      <c r="Y443" s="46"/>
      <c r="Z443" s="126"/>
      <c r="AA443" s="136"/>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824">
        <f t="shared" ca="1" si="337"/>
        <v>0</v>
      </c>
      <c r="BM443" s="824">
        <f t="shared" ca="1" si="338"/>
        <v>0</v>
      </c>
      <c r="BN443" s="824">
        <f t="shared" ca="1" si="339"/>
        <v>0</v>
      </c>
      <c r="BO443" s="824">
        <f t="shared" ca="1" si="350"/>
        <v>0</v>
      </c>
      <c r="BP443" s="824">
        <f t="shared" ca="1" si="350"/>
        <v>0</v>
      </c>
      <c r="BQ443" s="824">
        <f t="shared" ca="1" si="350"/>
        <v>0</v>
      </c>
      <c r="BR443" s="824">
        <f t="shared" ca="1" si="350"/>
        <v>0</v>
      </c>
      <c r="BS443" s="824">
        <f t="shared" ca="1" si="350"/>
        <v>0</v>
      </c>
      <c r="BT443" s="824">
        <f t="shared" ca="1" si="350"/>
        <v>0</v>
      </c>
      <c r="BU443" s="824">
        <f t="shared" ca="1" si="350"/>
        <v>0</v>
      </c>
      <c r="BV443" s="824">
        <f t="shared" ca="1" si="350"/>
        <v>0</v>
      </c>
      <c r="BW443" s="824">
        <f t="shared" ca="1" si="350"/>
        <v>0</v>
      </c>
      <c r="BX443" s="824">
        <f t="shared" ca="1" si="350"/>
        <v>0</v>
      </c>
      <c r="BY443" s="824">
        <f t="shared" ca="1" si="350"/>
        <v>0</v>
      </c>
      <c r="BZ443" s="824">
        <f t="shared" ca="1" si="350"/>
        <v>0</v>
      </c>
      <c r="CA443" s="824">
        <f t="shared" ca="1" si="350"/>
        <v>0</v>
      </c>
      <c r="CB443" s="824">
        <f t="shared" ca="1" si="350"/>
        <v>0</v>
      </c>
      <c r="CC443" s="824">
        <f t="shared" ca="1" si="350"/>
        <v>0</v>
      </c>
      <c r="CD443" s="824">
        <f t="shared" ca="1" si="350"/>
        <v>0</v>
      </c>
      <c r="CE443" s="824">
        <f t="shared" ca="1" si="349"/>
        <v>0</v>
      </c>
      <c r="CF443" s="824">
        <f t="shared" ca="1" si="349"/>
        <v>0</v>
      </c>
      <c r="CG443" s="824">
        <f t="shared" ca="1" si="349"/>
        <v>0</v>
      </c>
      <c r="CH443" s="824">
        <f t="shared" ca="1" si="349"/>
        <v>0</v>
      </c>
      <c r="CI443" s="824">
        <f t="shared" ca="1" si="349"/>
        <v>0</v>
      </c>
      <c r="CJ443" s="824">
        <f t="shared" ca="1" si="349"/>
        <v>0</v>
      </c>
      <c r="CK443" s="824">
        <f t="shared" ca="1" si="349"/>
        <v>0</v>
      </c>
      <c r="CL443" s="824">
        <f t="shared" ca="1" si="349"/>
        <v>0</v>
      </c>
      <c r="CM443" s="824">
        <f t="shared" ca="1" si="349"/>
        <v>0</v>
      </c>
      <c r="CN443" s="824">
        <f t="shared" ca="1" si="349"/>
        <v>0</v>
      </c>
      <c r="CO443" s="824">
        <f t="shared" ca="1" si="349"/>
        <v>0</v>
      </c>
      <c r="CP443" s="824">
        <f t="shared" ca="1" si="349"/>
        <v>0</v>
      </c>
      <c r="CQ443" s="824">
        <f t="shared" ca="1" si="349"/>
        <v>0</v>
      </c>
      <c r="CR443" s="824">
        <f t="shared" ca="1" si="349"/>
        <v>0</v>
      </c>
      <c r="CS443" s="824">
        <f t="shared" ca="1" si="349"/>
        <v>0</v>
      </c>
      <c r="CT443" s="824">
        <f t="shared" ca="1" si="352"/>
        <v>0</v>
      </c>
      <c r="CU443" s="824">
        <f t="shared" ca="1" si="352"/>
        <v>0</v>
      </c>
      <c r="CV443" s="824">
        <f t="shared" ca="1" si="352"/>
        <v>0</v>
      </c>
      <c r="CW443" s="824">
        <f t="shared" ca="1" si="352"/>
        <v>0</v>
      </c>
      <c r="CX443" s="824">
        <f t="shared" ca="1" si="352"/>
        <v>0</v>
      </c>
      <c r="CY443" s="824">
        <f t="shared" ca="1" si="352"/>
        <v>0</v>
      </c>
      <c r="CZ443" s="824">
        <f t="shared" ca="1" si="352"/>
        <v>0</v>
      </c>
      <c r="DA443" s="824">
        <f t="shared" ca="1" si="352"/>
        <v>0</v>
      </c>
      <c r="DB443" s="824">
        <f t="shared" ca="1" si="352"/>
        <v>0</v>
      </c>
      <c r="DC443" s="824">
        <f t="shared" ca="1" si="352"/>
        <v>0</v>
      </c>
      <c r="DD443" s="824">
        <f t="shared" ca="1" si="352"/>
        <v>0</v>
      </c>
      <c r="DE443" s="824">
        <f t="shared" ca="1" si="352"/>
        <v>0</v>
      </c>
      <c r="DF443" s="824">
        <f t="shared" ca="1" si="352"/>
        <v>0</v>
      </c>
      <c r="DG443" s="824">
        <f t="shared" ca="1" si="352"/>
        <v>0</v>
      </c>
      <c r="DH443" s="824">
        <f t="shared" ca="1" si="352"/>
        <v>0</v>
      </c>
      <c r="DI443" s="824">
        <f t="shared" ca="1" si="352"/>
        <v>0</v>
      </c>
      <c r="DJ443" s="824">
        <f t="shared" ca="1" si="314"/>
        <v>0</v>
      </c>
      <c r="DK443" s="824">
        <f t="shared" ca="1" si="314"/>
        <v>0</v>
      </c>
      <c r="DL443" s="824">
        <f t="shared" ca="1" si="314"/>
        <v>0</v>
      </c>
    </row>
    <row r="444" spans="2:116" ht="12" thickBot="1" x14ac:dyDescent="0.3">
      <c r="B444" s="1673"/>
      <c r="C444" s="1680"/>
      <c r="D444" s="15" t="s">
        <v>25</v>
      </c>
      <c r="E444" s="116"/>
      <c r="F444" s="116">
        <f ca="1">SUBTOTAL(109,'3.2 I&amp;W'!$X$169)</f>
        <v>0</v>
      </c>
      <c r="G444" s="116">
        <f ca="1">SUBTOTAL(109,'3.2 I&amp;W'!$Y$169)</f>
        <v>0</v>
      </c>
      <c r="H444" s="116">
        <f ca="1">SUBTOTAL(109,'3.2 I&amp;W'!$AD$169)</f>
        <v>0</v>
      </c>
      <c r="I444" s="116">
        <f ca="1">SUBTOTAL(109,'3.2 I&amp;W'!$AE$169)</f>
        <v>0</v>
      </c>
      <c r="J444" s="116"/>
      <c r="K444" s="116"/>
      <c r="L444" s="116"/>
      <c r="M444" s="116">
        <f ca="1">SUBTOTAL(109,'3.2 I&amp;W'!$AI$169)</f>
        <v>0</v>
      </c>
      <c r="N444" s="156">
        <f t="shared" ca="1" si="340"/>
        <v>0</v>
      </c>
      <c r="O444" s="116">
        <f ca="1">SUBTOTAL(109,'3.2 I&amp;W'!$S$169)</f>
        <v>0</v>
      </c>
      <c r="P444" s="30">
        <f t="shared" ca="1" si="330"/>
        <v>0</v>
      </c>
      <c r="Q444" s="31">
        <f t="shared" ca="1" si="331"/>
        <v>0</v>
      </c>
      <c r="R444" s="31">
        <f t="shared" ca="1" si="332"/>
        <v>0</v>
      </c>
      <c r="S444" s="31">
        <f t="shared" ca="1" si="333"/>
        <v>0</v>
      </c>
      <c r="T444" s="32">
        <f t="shared" ca="1" si="334"/>
        <v>0</v>
      </c>
      <c r="U444" s="37">
        <f t="shared" ca="1" si="263"/>
        <v>0</v>
      </c>
      <c r="V444" s="40">
        <f t="shared" ca="1" si="335"/>
        <v>0</v>
      </c>
      <c r="W444" s="41">
        <f t="shared" ca="1" si="336"/>
        <v>0</v>
      </c>
      <c r="X444" s="43"/>
      <c r="Y444" s="46"/>
      <c r="Z444" s="126"/>
      <c r="AA444" s="136"/>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824">
        <f t="shared" ca="1" si="337"/>
        <v>0</v>
      </c>
      <c r="BM444" s="824">
        <f t="shared" ca="1" si="338"/>
        <v>0</v>
      </c>
      <c r="BN444" s="824">
        <f t="shared" ca="1" si="339"/>
        <v>0</v>
      </c>
      <c r="BO444" s="824">
        <f t="shared" ca="1" si="350"/>
        <v>0</v>
      </c>
      <c r="BP444" s="824">
        <f t="shared" ca="1" si="350"/>
        <v>0</v>
      </c>
      <c r="BQ444" s="824">
        <f t="shared" ca="1" si="350"/>
        <v>0</v>
      </c>
      <c r="BR444" s="824">
        <f t="shared" ca="1" si="350"/>
        <v>0</v>
      </c>
      <c r="BS444" s="824">
        <f t="shared" ca="1" si="350"/>
        <v>0</v>
      </c>
      <c r="BT444" s="824">
        <f t="shared" ca="1" si="350"/>
        <v>0</v>
      </c>
      <c r="BU444" s="824">
        <f t="shared" ca="1" si="350"/>
        <v>0</v>
      </c>
      <c r="BV444" s="824">
        <f t="shared" ca="1" si="350"/>
        <v>0</v>
      </c>
      <c r="BW444" s="824">
        <f t="shared" ca="1" si="350"/>
        <v>0</v>
      </c>
      <c r="BX444" s="824">
        <f t="shared" ca="1" si="350"/>
        <v>0</v>
      </c>
      <c r="BY444" s="824">
        <f t="shared" ca="1" si="350"/>
        <v>0</v>
      </c>
      <c r="BZ444" s="824">
        <f t="shared" ca="1" si="350"/>
        <v>0</v>
      </c>
      <c r="CA444" s="824">
        <f t="shared" ca="1" si="350"/>
        <v>0</v>
      </c>
      <c r="CB444" s="824">
        <f t="shared" ca="1" si="350"/>
        <v>0</v>
      </c>
      <c r="CC444" s="824">
        <f t="shared" ca="1" si="350"/>
        <v>0</v>
      </c>
      <c r="CD444" s="824">
        <f t="shared" ca="1" si="350"/>
        <v>0</v>
      </c>
      <c r="CE444" s="824">
        <f t="shared" ca="1" si="349"/>
        <v>0</v>
      </c>
      <c r="CF444" s="824">
        <f t="shared" ca="1" si="349"/>
        <v>0</v>
      </c>
      <c r="CG444" s="824">
        <f t="shared" ca="1" si="349"/>
        <v>0</v>
      </c>
      <c r="CH444" s="824">
        <f t="shared" ca="1" si="349"/>
        <v>0</v>
      </c>
      <c r="CI444" s="824">
        <f t="shared" ca="1" si="349"/>
        <v>0</v>
      </c>
      <c r="CJ444" s="824">
        <f t="shared" ca="1" si="349"/>
        <v>0</v>
      </c>
      <c r="CK444" s="824">
        <f t="shared" ca="1" si="349"/>
        <v>0</v>
      </c>
      <c r="CL444" s="824">
        <f t="shared" ca="1" si="349"/>
        <v>0</v>
      </c>
      <c r="CM444" s="824">
        <f t="shared" ca="1" si="349"/>
        <v>0</v>
      </c>
      <c r="CN444" s="824">
        <f t="shared" ca="1" si="349"/>
        <v>0</v>
      </c>
      <c r="CO444" s="824">
        <f t="shared" ca="1" si="349"/>
        <v>0</v>
      </c>
      <c r="CP444" s="824">
        <f t="shared" ca="1" si="349"/>
        <v>0</v>
      </c>
      <c r="CQ444" s="824">
        <f t="shared" ca="1" si="349"/>
        <v>0</v>
      </c>
      <c r="CR444" s="824">
        <f t="shared" ca="1" si="349"/>
        <v>0</v>
      </c>
      <c r="CS444" s="824">
        <f t="shared" ca="1" si="349"/>
        <v>0</v>
      </c>
      <c r="CT444" s="824">
        <f t="shared" ca="1" si="352"/>
        <v>0</v>
      </c>
      <c r="CU444" s="824">
        <f t="shared" ca="1" si="352"/>
        <v>0</v>
      </c>
      <c r="CV444" s="824">
        <f t="shared" ca="1" si="352"/>
        <v>0</v>
      </c>
      <c r="CW444" s="824">
        <f t="shared" ca="1" si="352"/>
        <v>0</v>
      </c>
      <c r="CX444" s="824">
        <f t="shared" ca="1" si="352"/>
        <v>0</v>
      </c>
      <c r="CY444" s="824">
        <f t="shared" ca="1" si="352"/>
        <v>0</v>
      </c>
      <c r="CZ444" s="824">
        <f t="shared" ca="1" si="352"/>
        <v>0</v>
      </c>
      <c r="DA444" s="824">
        <f t="shared" ca="1" si="352"/>
        <v>0</v>
      </c>
      <c r="DB444" s="824">
        <f t="shared" ca="1" si="352"/>
        <v>0</v>
      </c>
      <c r="DC444" s="824">
        <f t="shared" ca="1" si="352"/>
        <v>0</v>
      </c>
      <c r="DD444" s="824">
        <f t="shared" ca="1" si="352"/>
        <v>0</v>
      </c>
      <c r="DE444" s="824">
        <f t="shared" ca="1" si="352"/>
        <v>0</v>
      </c>
      <c r="DF444" s="824">
        <f t="shared" ca="1" si="352"/>
        <v>0</v>
      </c>
      <c r="DG444" s="824">
        <f t="shared" ca="1" si="352"/>
        <v>0</v>
      </c>
      <c r="DH444" s="824">
        <f t="shared" ca="1" si="352"/>
        <v>0</v>
      </c>
      <c r="DI444" s="824">
        <f t="shared" ca="1" si="352"/>
        <v>0</v>
      </c>
      <c r="DJ444" s="824">
        <f t="shared" ca="1" si="314"/>
        <v>0</v>
      </c>
      <c r="DK444" s="824">
        <f t="shared" ca="1" si="314"/>
        <v>0</v>
      </c>
      <c r="DL444" s="824">
        <f t="shared" ca="1" si="314"/>
        <v>0</v>
      </c>
    </row>
    <row r="445" spans="2:116" ht="12" thickBot="1" x14ac:dyDescent="0.3">
      <c r="B445" s="1673"/>
      <c r="C445" s="1680"/>
      <c r="D445" s="15" t="s">
        <v>25</v>
      </c>
      <c r="E445" s="165"/>
      <c r="F445" s="116">
        <f ca="1">SUBTOTAL(109,'3.2 I&amp;W'!$X$170)</f>
        <v>0</v>
      </c>
      <c r="G445" s="116">
        <f ca="1">SUBTOTAL(109,'3.2 I&amp;W'!$Y$170)</f>
        <v>0</v>
      </c>
      <c r="H445" s="116">
        <f ca="1">SUBTOTAL(109,'3.2 I&amp;W'!$AD$170)</f>
        <v>0</v>
      </c>
      <c r="I445" s="116">
        <f ca="1">SUBTOTAL(109,'3.2 I&amp;W'!$AE$170)</f>
        <v>0</v>
      </c>
      <c r="J445" s="116"/>
      <c r="K445" s="116"/>
      <c r="L445" s="116"/>
      <c r="M445" s="116">
        <f ca="1">SUBTOTAL(109,'3.2 I&amp;W'!$AI$170)</f>
        <v>0</v>
      </c>
      <c r="N445" s="156">
        <f t="shared" ca="1" si="340"/>
        <v>0</v>
      </c>
      <c r="O445" s="116">
        <f ca="1">SUBTOTAL(109,'3.2 I&amp;W'!$S$170)</f>
        <v>0</v>
      </c>
      <c r="P445" s="30">
        <f t="shared" ca="1" si="330"/>
        <v>0</v>
      </c>
      <c r="Q445" s="31">
        <f t="shared" ca="1" si="331"/>
        <v>0</v>
      </c>
      <c r="R445" s="31">
        <f t="shared" ca="1" si="332"/>
        <v>0</v>
      </c>
      <c r="S445" s="31">
        <f t="shared" ca="1" si="333"/>
        <v>0</v>
      </c>
      <c r="T445" s="32">
        <f t="shared" ca="1" si="334"/>
        <v>0</v>
      </c>
      <c r="U445" s="37">
        <f t="shared" ref="U445:U471" ca="1" si="353">IF(M445=0,0,O445*$G$158^(N445*M445)*((N445+1)*M445-$G$154)/M445*(1/$G$157^$G$154))</f>
        <v>0</v>
      </c>
      <c r="V445" s="40">
        <f t="shared" ca="1" si="335"/>
        <v>0</v>
      </c>
      <c r="W445" s="41">
        <f t="shared" ca="1" si="336"/>
        <v>0</v>
      </c>
      <c r="X445" s="43"/>
      <c r="Y445" s="46"/>
      <c r="Z445" s="126"/>
      <c r="AA445" s="136"/>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824">
        <f t="shared" ca="1" si="337"/>
        <v>0</v>
      </c>
      <c r="BM445" s="824">
        <f t="shared" ca="1" si="338"/>
        <v>0</v>
      </c>
      <c r="BN445" s="824">
        <f t="shared" ca="1" si="339"/>
        <v>0</v>
      </c>
      <c r="BO445" s="824">
        <f t="shared" ca="1" si="350"/>
        <v>0</v>
      </c>
      <c r="BP445" s="824">
        <f t="shared" ca="1" si="350"/>
        <v>0</v>
      </c>
      <c r="BQ445" s="824">
        <f t="shared" ca="1" si="350"/>
        <v>0</v>
      </c>
      <c r="BR445" s="824">
        <f t="shared" ca="1" si="350"/>
        <v>0</v>
      </c>
      <c r="BS445" s="824">
        <f t="shared" ca="1" si="350"/>
        <v>0</v>
      </c>
      <c r="BT445" s="824">
        <f t="shared" ca="1" si="350"/>
        <v>0</v>
      </c>
      <c r="BU445" s="824">
        <f t="shared" ca="1" si="350"/>
        <v>0</v>
      </c>
      <c r="BV445" s="824">
        <f t="shared" ca="1" si="350"/>
        <v>0</v>
      </c>
      <c r="BW445" s="824">
        <f t="shared" ca="1" si="350"/>
        <v>0</v>
      </c>
      <c r="BX445" s="824">
        <f t="shared" ca="1" si="350"/>
        <v>0</v>
      </c>
      <c r="BY445" s="824">
        <f t="shared" ca="1" si="350"/>
        <v>0</v>
      </c>
      <c r="BZ445" s="824">
        <f t="shared" ca="1" si="350"/>
        <v>0</v>
      </c>
      <c r="CA445" s="824">
        <f t="shared" ca="1" si="350"/>
        <v>0</v>
      </c>
      <c r="CB445" s="824">
        <f t="shared" ca="1" si="350"/>
        <v>0</v>
      </c>
      <c r="CC445" s="824">
        <f t="shared" ca="1" si="350"/>
        <v>0</v>
      </c>
      <c r="CD445" s="824">
        <f t="shared" ca="1" si="350"/>
        <v>0</v>
      </c>
      <c r="CE445" s="824">
        <f t="shared" ca="1" si="349"/>
        <v>0</v>
      </c>
      <c r="CF445" s="824">
        <f t="shared" ca="1" si="349"/>
        <v>0</v>
      </c>
      <c r="CG445" s="824">
        <f t="shared" ca="1" si="349"/>
        <v>0</v>
      </c>
      <c r="CH445" s="824">
        <f t="shared" ca="1" si="349"/>
        <v>0</v>
      </c>
      <c r="CI445" s="824">
        <f t="shared" ca="1" si="349"/>
        <v>0</v>
      </c>
      <c r="CJ445" s="824">
        <f t="shared" ca="1" si="349"/>
        <v>0</v>
      </c>
      <c r="CK445" s="824">
        <f t="shared" ca="1" si="349"/>
        <v>0</v>
      </c>
      <c r="CL445" s="824">
        <f t="shared" ca="1" si="349"/>
        <v>0</v>
      </c>
      <c r="CM445" s="824">
        <f t="shared" ca="1" si="349"/>
        <v>0</v>
      </c>
      <c r="CN445" s="824">
        <f t="shared" ca="1" si="349"/>
        <v>0</v>
      </c>
      <c r="CO445" s="824">
        <f t="shared" ca="1" si="349"/>
        <v>0</v>
      </c>
      <c r="CP445" s="824">
        <f t="shared" ca="1" si="349"/>
        <v>0</v>
      </c>
      <c r="CQ445" s="824">
        <f t="shared" ca="1" si="349"/>
        <v>0</v>
      </c>
      <c r="CR445" s="824">
        <f t="shared" ca="1" si="349"/>
        <v>0</v>
      </c>
      <c r="CS445" s="824">
        <f t="shared" ca="1" si="349"/>
        <v>0</v>
      </c>
      <c r="CT445" s="824">
        <f t="shared" ca="1" si="352"/>
        <v>0</v>
      </c>
      <c r="CU445" s="824">
        <f t="shared" ca="1" si="352"/>
        <v>0</v>
      </c>
      <c r="CV445" s="824">
        <f t="shared" ca="1" si="352"/>
        <v>0</v>
      </c>
      <c r="CW445" s="824">
        <f t="shared" ca="1" si="352"/>
        <v>0</v>
      </c>
      <c r="CX445" s="824">
        <f t="shared" ca="1" si="352"/>
        <v>0</v>
      </c>
      <c r="CY445" s="824">
        <f t="shared" ca="1" si="352"/>
        <v>0</v>
      </c>
      <c r="CZ445" s="824">
        <f t="shared" ca="1" si="352"/>
        <v>0</v>
      </c>
      <c r="DA445" s="824">
        <f t="shared" ca="1" si="352"/>
        <v>0</v>
      </c>
      <c r="DB445" s="824">
        <f t="shared" ca="1" si="352"/>
        <v>0</v>
      </c>
      <c r="DC445" s="824">
        <f t="shared" ca="1" si="352"/>
        <v>0</v>
      </c>
      <c r="DD445" s="824">
        <f t="shared" ca="1" si="352"/>
        <v>0</v>
      </c>
      <c r="DE445" s="824">
        <f t="shared" ca="1" si="352"/>
        <v>0</v>
      </c>
      <c r="DF445" s="824">
        <f t="shared" ca="1" si="352"/>
        <v>0</v>
      </c>
      <c r="DG445" s="824">
        <f t="shared" ca="1" si="352"/>
        <v>0</v>
      </c>
      <c r="DH445" s="824">
        <f t="shared" ca="1" si="352"/>
        <v>0</v>
      </c>
      <c r="DI445" s="824">
        <f t="shared" ca="1" si="352"/>
        <v>0</v>
      </c>
      <c r="DJ445" s="824">
        <f t="shared" ca="1" si="314"/>
        <v>0</v>
      </c>
      <c r="DK445" s="824">
        <f t="shared" ca="1" si="314"/>
        <v>0</v>
      </c>
      <c r="DL445" s="824">
        <f t="shared" ca="1" si="314"/>
        <v>0</v>
      </c>
    </row>
    <row r="446" spans="2:116" ht="12" thickBot="1" x14ac:dyDescent="0.3">
      <c r="B446" s="1673"/>
      <c r="C446" s="1680"/>
      <c r="D446" s="15" t="s">
        <v>19</v>
      </c>
      <c r="E446" s="116"/>
      <c r="F446" s="116">
        <f ca="1">SUBTOTAL(109,'3.2 I&amp;W'!$X$178)</f>
        <v>0</v>
      </c>
      <c r="G446" s="116">
        <f ca="1">SUBTOTAL(109,'3.2 I&amp;W'!$Y$178)</f>
        <v>0</v>
      </c>
      <c r="H446" s="116">
        <f ca="1">SUBTOTAL(109,'3.2 I&amp;W'!$AD$178)</f>
        <v>0</v>
      </c>
      <c r="I446" s="116">
        <f ca="1">SUBTOTAL(109,'3.2 I&amp;W'!$AE$178)</f>
        <v>0</v>
      </c>
      <c r="J446" s="116"/>
      <c r="K446" s="116"/>
      <c r="L446" s="116"/>
      <c r="M446" s="116">
        <f ca="1">SUBTOTAL(109,'3.2 I&amp;W'!$AI$178)</f>
        <v>0</v>
      </c>
      <c r="N446" s="156">
        <f t="shared" ca="1" si="340"/>
        <v>0</v>
      </c>
      <c r="O446" s="116">
        <f ca="1">SUBTOTAL(109,'3.2 I&amp;W'!$S$178)</f>
        <v>0</v>
      </c>
      <c r="P446" s="30">
        <f t="shared" ca="1" si="330"/>
        <v>0</v>
      </c>
      <c r="Q446" s="31">
        <f t="shared" ca="1" si="331"/>
        <v>0</v>
      </c>
      <c r="R446" s="31">
        <f t="shared" ca="1" si="332"/>
        <v>0</v>
      </c>
      <c r="S446" s="31">
        <f t="shared" ca="1" si="333"/>
        <v>0</v>
      </c>
      <c r="T446" s="32">
        <f t="shared" ca="1" si="334"/>
        <v>0</v>
      </c>
      <c r="U446" s="37">
        <f t="shared" ca="1" si="353"/>
        <v>0</v>
      </c>
      <c r="V446" s="40">
        <f t="shared" ca="1" si="335"/>
        <v>0</v>
      </c>
      <c r="W446" s="41">
        <f t="shared" ca="1" si="336"/>
        <v>0</v>
      </c>
      <c r="X446" s="43"/>
      <c r="Y446" s="46"/>
      <c r="Z446" s="126"/>
      <c r="AA446" s="136"/>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824">
        <f t="shared" ca="1" si="337"/>
        <v>0</v>
      </c>
      <c r="BM446" s="824">
        <f t="shared" ca="1" si="338"/>
        <v>0</v>
      </c>
      <c r="BN446" s="824">
        <f t="shared" ca="1" si="339"/>
        <v>0</v>
      </c>
      <c r="BO446" s="824">
        <f t="shared" ca="1" si="350"/>
        <v>0</v>
      </c>
      <c r="BP446" s="824">
        <f t="shared" ca="1" si="350"/>
        <v>0</v>
      </c>
      <c r="BQ446" s="824">
        <f t="shared" ca="1" si="350"/>
        <v>0</v>
      </c>
      <c r="BR446" s="824">
        <f t="shared" ca="1" si="350"/>
        <v>0</v>
      </c>
      <c r="BS446" s="824">
        <f t="shared" ca="1" si="350"/>
        <v>0</v>
      </c>
      <c r="BT446" s="824">
        <f t="shared" ca="1" si="350"/>
        <v>0</v>
      </c>
      <c r="BU446" s="824">
        <f t="shared" ca="1" si="350"/>
        <v>0</v>
      </c>
      <c r="BV446" s="824">
        <f t="shared" ca="1" si="350"/>
        <v>0</v>
      </c>
      <c r="BW446" s="824">
        <f t="shared" ca="1" si="350"/>
        <v>0</v>
      </c>
      <c r="BX446" s="824">
        <f t="shared" ca="1" si="350"/>
        <v>0</v>
      </c>
      <c r="BY446" s="824">
        <f t="shared" ca="1" si="350"/>
        <v>0</v>
      </c>
      <c r="BZ446" s="824">
        <f t="shared" ca="1" si="350"/>
        <v>0</v>
      </c>
      <c r="CA446" s="824">
        <f t="shared" ca="1" si="350"/>
        <v>0</v>
      </c>
      <c r="CB446" s="824">
        <f t="shared" ca="1" si="350"/>
        <v>0</v>
      </c>
      <c r="CC446" s="824">
        <f t="shared" ca="1" si="350"/>
        <v>0</v>
      </c>
      <c r="CD446" s="824">
        <f t="shared" ca="1" si="350"/>
        <v>0</v>
      </c>
      <c r="CE446" s="824">
        <f t="shared" ca="1" si="349"/>
        <v>0</v>
      </c>
      <c r="CF446" s="824">
        <f t="shared" ca="1" si="349"/>
        <v>0</v>
      </c>
      <c r="CG446" s="824">
        <f t="shared" ca="1" si="349"/>
        <v>0</v>
      </c>
      <c r="CH446" s="824">
        <f t="shared" ca="1" si="349"/>
        <v>0</v>
      </c>
      <c r="CI446" s="824">
        <f t="shared" ca="1" si="349"/>
        <v>0</v>
      </c>
      <c r="CJ446" s="824">
        <f t="shared" ca="1" si="349"/>
        <v>0</v>
      </c>
      <c r="CK446" s="824">
        <f t="shared" ca="1" si="349"/>
        <v>0</v>
      </c>
      <c r="CL446" s="824">
        <f t="shared" ca="1" si="349"/>
        <v>0</v>
      </c>
      <c r="CM446" s="824">
        <f t="shared" ca="1" si="349"/>
        <v>0</v>
      </c>
      <c r="CN446" s="824">
        <f t="shared" ca="1" si="349"/>
        <v>0</v>
      </c>
      <c r="CO446" s="824">
        <f t="shared" ca="1" si="349"/>
        <v>0</v>
      </c>
      <c r="CP446" s="824">
        <f t="shared" ca="1" si="349"/>
        <v>0</v>
      </c>
      <c r="CQ446" s="824">
        <f t="shared" ca="1" si="349"/>
        <v>0</v>
      </c>
      <c r="CR446" s="824">
        <f t="shared" ca="1" si="349"/>
        <v>0</v>
      </c>
      <c r="CS446" s="824">
        <f t="shared" ca="1" si="349"/>
        <v>0</v>
      </c>
      <c r="CT446" s="824">
        <f t="shared" ca="1" si="352"/>
        <v>0</v>
      </c>
      <c r="CU446" s="824">
        <f t="shared" ca="1" si="352"/>
        <v>0</v>
      </c>
      <c r="CV446" s="824">
        <f t="shared" ca="1" si="352"/>
        <v>0</v>
      </c>
      <c r="CW446" s="824">
        <f t="shared" ca="1" si="352"/>
        <v>0</v>
      </c>
      <c r="CX446" s="824">
        <f t="shared" ca="1" si="352"/>
        <v>0</v>
      </c>
      <c r="CY446" s="824">
        <f t="shared" ca="1" si="352"/>
        <v>0</v>
      </c>
      <c r="CZ446" s="824">
        <f t="shared" ca="1" si="352"/>
        <v>0</v>
      </c>
      <c r="DA446" s="824">
        <f t="shared" ca="1" si="352"/>
        <v>0</v>
      </c>
      <c r="DB446" s="824">
        <f t="shared" ca="1" si="352"/>
        <v>0</v>
      </c>
      <c r="DC446" s="824">
        <f t="shared" ca="1" si="352"/>
        <v>0</v>
      </c>
      <c r="DD446" s="824">
        <f t="shared" ca="1" si="352"/>
        <v>0</v>
      </c>
      <c r="DE446" s="824">
        <f t="shared" ca="1" si="352"/>
        <v>0</v>
      </c>
      <c r="DF446" s="824">
        <f t="shared" ca="1" si="352"/>
        <v>0</v>
      </c>
      <c r="DG446" s="824">
        <f t="shared" ca="1" si="352"/>
        <v>0</v>
      </c>
      <c r="DH446" s="824">
        <f t="shared" ca="1" si="352"/>
        <v>0</v>
      </c>
      <c r="DI446" s="824">
        <f t="shared" ca="1" si="352"/>
        <v>0</v>
      </c>
      <c r="DJ446" s="824">
        <f t="shared" ca="1" si="314"/>
        <v>0</v>
      </c>
      <c r="DK446" s="824">
        <f t="shared" ca="1" si="314"/>
        <v>0</v>
      </c>
      <c r="DL446" s="824">
        <f t="shared" ca="1" si="314"/>
        <v>0</v>
      </c>
    </row>
    <row r="447" spans="2:116" ht="12" thickBot="1" x14ac:dyDescent="0.3">
      <c r="B447" s="1673"/>
      <c r="C447" s="1680"/>
      <c r="D447" s="15" t="s">
        <v>19</v>
      </c>
      <c r="E447" s="165"/>
      <c r="F447" s="116">
        <f ca="1">SUBTOTAL(109,'3.2 I&amp;W'!$X$179)</f>
        <v>0</v>
      </c>
      <c r="G447" s="116">
        <f ca="1">SUBTOTAL(109,'3.2 I&amp;W'!$Y$179)</f>
        <v>0</v>
      </c>
      <c r="H447" s="116">
        <f ca="1">SUBTOTAL(109,'3.2 I&amp;W'!$AD$179)</f>
        <v>0</v>
      </c>
      <c r="I447" s="116">
        <f ca="1">SUBTOTAL(109,'3.2 I&amp;W'!$AE$179)</f>
        <v>0</v>
      </c>
      <c r="J447" s="116"/>
      <c r="K447" s="116"/>
      <c r="L447" s="116"/>
      <c r="M447" s="116">
        <f ca="1">SUBTOTAL(109,'3.2 I&amp;W'!$AI$179)</f>
        <v>0</v>
      </c>
      <c r="N447" s="156">
        <f t="shared" ca="1" si="340"/>
        <v>0</v>
      </c>
      <c r="O447" s="116">
        <f ca="1">SUBTOTAL(109,'3.2 I&amp;W'!$S$179)</f>
        <v>0</v>
      </c>
      <c r="P447" s="30">
        <f t="shared" ca="1" si="330"/>
        <v>0</v>
      </c>
      <c r="Q447" s="31">
        <f t="shared" ca="1" si="331"/>
        <v>0</v>
      </c>
      <c r="R447" s="31">
        <f t="shared" ca="1" si="332"/>
        <v>0</v>
      </c>
      <c r="S447" s="31">
        <f t="shared" ca="1" si="333"/>
        <v>0</v>
      </c>
      <c r="T447" s="32">
        <f t="shared" ca="1" si="334"/>
        <v>0</v>
      </c>
      <c r="U447" s="37">
        <f t="shared" ca="1" si="353"/>
        <v>0</v>
      </c>
      <c r="V447" s="40">
        <f t="shared" ca="1" si="335"/>
        <v>0</v>
      </c>
      <c r="W447" s="41">
        <f t="shared" ca="1" si="336"/>
        <v>0</v>
      </c>
      <c r="X447" s="43"/>
      <c r="Y447" s="46"/>
      <c r="Z447" s="126"/>
      <c r="AA447" s="136"/>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824">
        <f t="shared" ca="1" si="337"/>
        <v>0</v>
      </c>
      <c r="BM447" s="824">
        <f t="shared" ca="1" si="338"/>
        <v>0</v>
      </c>
      <c r="BN447" s="824">
        <f t="shared" ca="1" si="339"/>
        <v>0</v>
      </c>
      <c r="BO447" s="824">
        <f t="shared" ca="1" si="350"/>
        <v>0</v>
      </c>
      <c r="BP447" s="824">
        <f t="shared" ca="1" si="350"/>
        <v>0</v>
      </c>
      <c r="BQ447" s="824">
        <f t="shared" ca="1" si="350"/>
        <v>0</v>
      </c>
      <c r="BR447" s="824">
        <f t="shared" ca="1" si="350"/>
        <v>0</v>
      </c>
      <c r="BS447" s="824">
        <f t="shared" ca="1" si="350"/>
        <v>0</v>
      </c>
      <c r="BT447" s="824">
        <f t="shared" ca="1" si="350"/>
        <v>0</v>
      </c>
      <c r="BU447" s="824">
        <f t="shared" ca="1" si="350"/>
        <v>0</v>
      </c>
      <c r="BV447" s="824">
        <f t="shared" ca="1" si="350"/>
        <v>0</v>
      </c>
      <c r="BW447" s="824">
        <f t="shared" ca="1" si="350"/>
        <v>0</v>
      </c>
      <c r="BX447" s="824">
        <f t="shared" ca="1" si="350"/>
        <v>0</v>
      </c>
      <c r="BY447" s="824">
        <f t="shared" ca="1" si="350"/>
        <v>0</v>
      </c>
      <c r="BZ447" s="824">
        <f t="shared" ca="1" si="350"/>
        <v>0</v>
      </c>
      <c r="CA447" s="824">
        <f t="shared" ca="1" si="350"/>
        <v>0</v>
      </c>
      <c r="CB447" s="824">
        <f t="shared" ca="1" si="350"/>
        <v>0</v>
      </c>
      <c r="CC447" s="824">
        <f t="shared" ca="1" si="350"/>
        <v>0</v>
      </c>
      <c r="CD447" s="824">
        <f t="shared" ca="1" si="350"/>
        <v>0</v>
      </c>
      <c r="CE447" s="824">
        <f t="shared" ca="1" si="349"/>
        <v>0</v>
      </c>
      <c r="CF447" s="824">
        <f t="shared" ca="1" si="349"/>
        <v>0</v>
      </c>
      <c r="CG447" s="824">
        <f t="shared" ca="1" si="349"/>
        <v>0</v>
      </c>
      <c r="CH447" s="824">
        <f t="shared" ca="1" si="349"/>
        <v>0</v>
      </c>
      <c r="CI447" s="824">
        <f t="shared" ca="1" si="349"/>
        <v>0</v>
      </c>
      <c r="CJ447" s="824">
        <f t="shared" ca="1" si="349"/>
        <v>0</v>
      </c>
      <c r="CK447" s="824">
        <f t="shared" ca="1" si="349"/>
        <v>0</v>
      </c>
      <c r="CL447" s="824">
        <f t="shared" ca="1" si="349"/>
        <v>0</v>
      </c>
      <c r="CM447" s="824">
        <f t="shared" ca="1" si="349"/>
        <v>0</v>
      </c>
      <c r="CN447" s="824">
        <f t="shared" ca="1" si="349"/>
        <v>0</v>
      </c>
      <c r="CO447" s="824">
        <f t="shared" ca="1" si="349"/>
        <v>0</v>
      </c>
      <c r="CP447" s="824">
        <f t="shared" ca="1" si="349"/>
        <v>0</v>
      </c>
      <c r="CQ447" s="824">
        <f t="shared" ca="1" si="349"/>
        <v>0</v>
      </c>
      <c r="CR447" s="824">
        <f t="shared" ca="1" si="349"/>
        <v>0</v>
      </c>
      <c r="CS447" s="824">
        <f t="shared" ca="1" si="349"/>
        <v>0</v>
      </c>
      <c r="CT447" s="824">
        <f t="shared" ca="1" si="352"/>
        <v>0</v>
      </c>
      <c r="CU447" s="824">
        <f t="shared" ca="1" si="352"/>
        <v>0</v>
      </c>
      <c r="CV447" s="824">
        <f t="shared" ca="1" si="352"/>
        <v>0</v>
      </c>
      <c r="CW447" s="824">
        <f t="shared" ca="1" si="352"/>
        <v>0</v>
      </c>
      <c r="CX447" s="824">
        <f t="shared" ca="1" si="352"/>
        <v>0</v>
      </c>
      <c r="CY447" s="824">
        <f t="shared" ca="1" si="352"/>
        <v>0</v>
      </c>
      <c r="CZ447" s="824">
        <f t="shared" ca="1" si="352"/>
        <v>0</v>
      </c>
      <c r="DA447" s="824">
        <f t="shared" ca="1" si="352"/>
        <v>0</v>
      </c>
      <c r="DB447" s="824">
        <f t="shared" ca="1" si="352"/>
        <v>0</v>
      </c>
      <c r="DC447" s="824">
        <f t="shared" ca="1" si="352"/>
        <v>0</v>
      </c>
      <c r="DD447" s="824">
        <f t="shared" ca="1" si="352"/>
        <v>0</v>
      </c>
      <c r="DE447" s="824">
        <f t="shared" ca="1" si="352"/>
        <v>0</v>
      </c>
      <c r="DF447" s="824">
        <f t="shared" ca="1" si="352"/>
        <v>0</v>
      </c>
      <c r="DG447" s="824">
        <f t="shared" ca="1" si="352"/>
        <v>0</v>
      </c>
      <c r="DH447" s="824">
        <f t="shared" ca="1" si="352"/>
        <v>0</v>
      </c>
      <c r="DI447" s="824">
        <f t="shared" ca="1" si="352"/>
        <v>0</v>
      </c>
      <c r="DJ447" s="824">
        <f t="shared" ca="1" si="314"/>
        <v>0</v>
      </c>
      <c r="DK447" s="824">
        <f t="shared" ca="1" si="314"/>
        <v>0</v>
      </c>
      <c r="DL447" s="824">
        <f t="shared" ca="1" si="314"/>
        <v>0</v>
      </c>
    </row>
    <row r="448" spans="2:116" ht="12" thickBot="1" x14ac:dyDescent="0.3">
      <c r="B448" s="1673"/>
      <c r="C448" s="1680"/>
      <c r="D448" s="15" t="s">
        <v>19</v>
      </c>
      <c r="E448" s="116"/>
      <c r="F448" s="116">
        <f ca="1">SUBTOTAL(109,'3.2 I&amp;W'!$X$180)</f>
        <v>0</v>
      </c>
      <c r="G448" s="116">
        <f ca="1">SUBTOTAL(109,'3.2 I&amp;W'!$Y$180)</f>
        <v>0</v>
      </c>
      <c r="H448" s="116">
        <f ca="1">SUBTOTAL(109,'3.2 I&amp;W'!$AD$180)</f>
        <v>0</v>
      </c>
      <c r="I448" s="116">
        <f ca="1">SUBTOTAL(109,'3.2 I&amp;W'!$AE$180)</f>
        <v>0</v>
      </c>
      <c r="J448" s="116"/>
      <c r="K448" s="116"/>
      <c r="L448" s="116"/>
      <c r="M448" s="116">
        <f ca="1">SUBTOTAL(109,'3.2 I&amp;W'!$AI$180)</f>
        <v>0</v>
      </c>
      <c r="N448" s="156">
        <f t="shared" ca="1" si="340"/>
        <v>0</v>
      </c>
      <c r="O448" s="116">
        <f ca="1">SUBTOTAL(109,'3.2 I&amp;W'!$S$180)</f>
        <v>0</v>
      </c>
      <c r="P448" s="30">
        <f t="shared" ca="1" si="330"/>
        <v>0</v>
      </c>
      <c r="Q448" s="31">
        <f t="shared" ca="1" si="331"/>
        <v>0</v>
      </c>
      <c r="R448" s="31">
        <f t="shared" ca="1" si="332"/>
        <v>0</v>
      </c>
      <c r="S448" s="31">
        <f t="shared" ca="1" si="333"/>
        <v>0</v>
      </c>
      <c r="T448" s="32">
        <f t="shared" ca="1" si="334"/>
        <v>0</v>
      </c>
      <c r="U448" s="37">
        <f t="shared" ca="1" si="353"/>
        <v>0</v>
      </c>
      <c r="V448" s="40">
        <f t="shared" ca="1" si="335"/>
        <v>0</v>
      </c>
      <c r="W448" s="41">
        <f t="shared" ca="1" si="336"/>
        <v>0</v>
      </c>
      <c r="X448" s="43"/>
      <c r="Y448" s="46"/>
      <c r="Z448" s="126"/>
      <c r="AA448" s="136"/>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824">
        <f t="shared" ca="1" si="337"/>
        <v>0</v>
      </c>
      <c r="BM448" s="824">
        <f t="shared" ca="1" si="338"/>
        <v>0</v>
      </c>
      <c r="BN448" s="824">
        <f t="shared" ca="1" si="339"/>
        <v>0</v>
      </c>
      <c r="BO448" s="824">
        <f t="shared" ca="1" si="350"/>
        <v>0</v>
      </c>
      <c r="BP448" s="824">
        <f t="shared" ca="1" si="350"/>
        <v>0</v>
      </c>
      <c r="BQ448" s="824">
        <f t="shared" ca="1" si="350"/>
        <v>0</v>
      </c>
      <c r="BR448" s="824">
        <f t="shared" ca="1" si="350"/>
        <v>0</v>
      </c>
      <c r="BS448" s="824">
        <f t="shared" ca="1" si="350"/>
        <v>0</v>
      </c>
      <c r="BT448" s="824">
        <f t="shared" ca="1" si="350"/>
        <v>0</v>
      </c>
      <c r="BU448" s="824">
        <f t="shared" ca="1" si="350"/>
        <v>0</v>
      </c>
      <c r="BV448" s="824">
        <f t="shared" ca="1" si="350"/>
        <v>0</v>
      </c>
      <c r="BW448" s="824">
        <f t="shared" ca="1" si="350"/>
        <v>0</v>
      </c>
      <c r="BX448" s="824">
        <f t="shared" ca="1" si="350"/>
        <v>0</v>
      </c>
      <c r="BY448" s="824">
        <f t="shared" ca="1" si="350"/>
        <v>0</v>
      </c>
      <c r="BZ448" s="824">
        <f t="shared" ca="1" si="350"/>
        <v>0</v>
      </c>
      <c r="CA448" s="824">
        <f t="shared" ca="1" si="350"/>
        <v>0</v>
      </c>
      <c r="CB448" s="824">
        <f t="shared" ca="1" si="350"/>
        <v>0</v>
      </c>
      <c r="CC448" s="824">
        <f t="shared" ca="1" si="350"/>
        <v>0</v>
      </c>
      <c r="CD448" s="824">
        <f t="shared" ca="1" si="350"/>
        <v>0</v>
      </c>
      <c r="CE448" s="824">
        <f t="shared" ca="1" si="349"/>
        <v>0</v>
      </c>
      <c r="CF448" s="824">
        <f t="shared" ca="1" si="349"/>
        <v>0</v>
      </c>
      <c r="CG448" s="824">
        <f t="shared" ca="1" si="349"/>
        <v>0</v>
      </c>
      <c r="CH448" s="824">
        <f t="shared" ca="1" si="349"/>
        <v>0</v>
      </c>
      <c r="CI448" s="824">
        <f t="shared" ca="1" si="349"/>
        <v>0</v>
      </c>
      <c r="CJ448" s="824">
        <f t="shared" ca="1" si="349"/>
        <v>0</v>
      </c>
      <c r="CK448" s="824">
        <f t="shared" ca="1" si="349"/>
        <v>0</v>
      </c>
      <c r="CL448" s="824">
        <f t="shared" ca="1" si="349"/>
        <v>0</v>
      </c>
      <c r="CM448" s="824">
        <f t="shared" ca="1" si="349"/>
        <v>0</v>
      </c>
      <c r="CN448" s="824">
        <f t="shared" ca="1" si="349"/>
        <v>0</v>
      </c>
      <c r="CO448" s="824">
        <f t="shared" ca="1" si="349"/>
        <v>0</v>
      </c>
      <c r="CP448" s="824">
        <f t="shared" ca="1" si="349"/>
        <v>0</v>
      </c>
      <c r="CQ448" s="824">
        <f t="shared" ca="1" si="349"/>
        <v>0</v>
      </c>
      <c r="CR448" s="824">
        <f t="shared" ca="1" si="349"/>
        <v>0</v>
      </c>
      <c r="CS448" s="824">
        <f t="shared" ca="1" si="349"/>
        <v>0</v>
      </c>
      <c r="CT448" s="824">
        <f t="shared" ca="1" si="352"/>
        <v>0</v>
      </c>
      <c r="CU448" s="824">
        <f t="shared" ca="1" si="352"/>
        <v>0</v>
      </c>
      <c r="CV448" s="824">
        <f t="shared" ca="1" si="352"/>
        <v>0</v>
      </c>
      <c r="CW448" s="824">
        <f t="shared" ca="1" si="352"/>
        <v>0</v>
      </c>
      <c r="CX448" s="824">
        <f t="shared" ca="1" si="352"/>
        <v>0</v>
      </c>
      <c r="CY448" s="824">
        <f t="shared" ca="1" si="352"/>
        <v>0</v>
      </c>
      <c r="CZ448" s="824">
        <f t="shared" ca="1" si="352"/>
        <v>0</v>
      </c>
      <c r="DA448" s="824">
        <f t="shared" ca="1" si="352"/>
        <v>0</v>
      </c>
      <c r="DB448" s="824">
        <f t="shared" ca="1" si="352"/>
        <v>0</v>
      </c>
      <c r="DC448" s="824">
        <f t="shared" ca="1" si="352"/>
        <v>0</v>
      </c>
      <c r="DD448" s="824">
        <f t="shared" ca="1" si="352"/>
        <v>0</v>
      </c>
      <c r="DE448" s="824">
        <f t="shared" ca="1" si="352"/>
        <v>0</v>
      </c>
      <c r="DF448" s="824">
        <f t="shared" ca="1" si="352"/>
        <v>0</v>
      </c>
      <c r="DG448" s="824">
        <f t="shared" ca="1" si="352"/>
        <v>0</v>
      </c>
      <c r="DH448" s="824">
        <f t="shared" ca="1" si="352"/>
        <v>0</v>
      </c>
      <c r="DI448" s="824">
        <f t="shared" ca="1" si="352"/>
        <v>0</v>
      </c>
      <c r="DJ448" s="824">
        <f t="shared" ca="1" si="314"/>
        <v>0</v>
      </c>
      <c r="DK448" s="824">
        <f t="shared" ca="1" si="314"/>
        <v>0</v>
      </c>
      <c r="DL448" s="824">
        <f t="shared" ca="1" si="314"/>
        <v>0</v>
      </c>
    </row>
    <row r="449" spans="2:116" ht="12" thickBot="1" x14ac:dyDescent="0.3">
      <c r="B449" s="1673"/>
      <c r="C449" s="1680"/>
      <c r="D449" s="15" t="s">
        <v>182</v>
      </c>
      <c r="E449" s="165"/>
      <c r="F449" s="116">
        <f ca="1">SUBTOTAL(109,'3.2 I&amp;W'!$X$184)</f>
        <v>0</v>
      </c>
      <c r="G449" s="116">
        <f ca="1">SUBTOTAL(109,'3.2 I&amp;W'!$Y$184)</f>
        <v>0</v>
      </c>
      <c r="H449" s="116">
        <f ca="1">SUBTOTAL(109,'3.2 I&amp;W'!$AD$184)</f>
        <v>0</v>
      </c>
      <c r="I449" s="116">
        <f ca="1">SUBTOTAL(109,'3.2 I&amp;W'!$AE$184)</f>
        <v>0</v>
      </c>
      <c r="J449" s="116"/>
      <c r="K449" s="116"/>
      <c r="L449" s="116"/>
      <c r="M449" s="116">
        <f ca="1">SUBTOTAL(109,'3.2 I&amp;W'!$AI$184)</f>
        <v>0</v>
      </c>
      <c r="N449" s="156">
        <f t="shared" ca="1" si="340"/>
        <v>0</v>
      </c>
      <c r="O449" s="116">
        <f ca="1">SUBTOTAL(109,'3.2 I&amp;W'!$S$184)</f>
        <v>0</v>
      </c>
      <c r="P449" s="30">
        <f t="shared" ca="1" si="330"/>
        <v>0</v>
      </c>
      <c r="Q449" s="31">
        <f t="shared" ca="1" si="331"/>
        <v>0</v>
      </c>
      <c r="R449" s="31">
        <f t="shared" ca="1" si="332"/>
        <v>0</v>
      </c>
      <c r="S449" s="31">
        <f t="shared" ca="1" si="333"/>
        <v>0</v>
      </c>
      <c r="T449" s="32">
        <f t="shared" ca="1" si="334"/>
        <v>0</v>
      </c>
      <c r="U449" s="37">
        <f t="shared" ca="1" si="353"/>
        <v>0</v>
      </c>
      <c r="V449" s="40">
        <f t="shared" ca="1" si="335"/>
        <v>0</v>
      </c>
      <c r="W449" s="41">
        <f t="shared" ca="1" si="336"/>
        <v>0</v>
      </c>
      <c r="X449" s="43"/>
      <c r="Y449" s="46"/>
      <c r="Z449" s="126"/>
      <c r="AA449" s="136"/>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824">
        <f t="shared" ca="1" si="337"/>
        <v>0</v>
      </c>
      <c r="BM449" s="824">
        <f t="shared" ca="1" si="338"/>
        <v>0</v>
      </c>
      <c r="BN449" s="824">
        <f t="shared" ca="1" si="339"/>
        <v>0</v>
      </c>
      <c r="BO449" s="824">
        <f t="shared" ca="1" si="350"/>
        <v>0</v>
      </c>
      <c r="BP449" s="824">
        <f t="shared" ca="1" si="350"/>
        <v>0</v>
      </c>
      <c r="BQ449" s="824">
        <f t="shared" ca="1" si="350"/>
        <v>0</v>
      </c>
      <c r="BR449" s="824">
        <f t="shared" ca="1" si="350"/>
        <v>0</v>
      </c>
      <c r="BS449" s="824">
        <f t="shared" ca="1" si="350"/>
        <v>0</v>
      </c>
      <c r="BT449" s="824">
        <f t="shared" ca="1" si="350"/>
        <v>0</v>
      </c>
      <c r="BU449" s="824">
        <f t="shared" ca="1" si="350"/>
        <v>0</v>
      </c>
      <c r="BV449" s="824">
        <f t="shared" ca="1" si="350"/>
        <v>0</v>
      </c>
      <c r="BW449" s="824">
        <f t="shared" ca="1" si="350"/>
        <v>0</v>
      </c>
      <c r="BX449" s="824">
        <f t="shared" ca="1" si="350"/>
        <v>0</v>
      </c>
      <c r="BY449" s="824">
        <f t="shared" ca="1" si="350"/>
        <v>0</v>
      </c>
      <c r="BZ449" s="824">
        <f t="shared" ca="1" si="350"/>
        <v>0</v>
      </c>
      <c r="CA449" s="824">
        <f t="shared" ca="1" si="350"/>
        <v>0</v>
      </c>
      <c r="CB449" s="824">
        <f t="shared" ca="1" si="350"/>
        <v>0</v>
      </c>
      <c r="CC449" s="824">
        <f t="shared" ca="1" si="350"/>
        <v>0</v>
      </c>
      <c r="CD449" s="824">
        <f t="shared" ca="1" si="350"/>
        <v>0</v>
      </c>
      <c r="CE449" s="824">
        <f t="shared" ca="1" si="349"/>
        <v>0</v>
      </c>
      <c r="CF449" s="824">
        <f t="shared" ca="1" si="349"/>
        <v>0</v>
      </c>
      <c r="CG449" s="824">
        <f t="shared" ca="1" si="349"/>
        <v>0</v>
      </c>
      <c r="CH449" s="824">
        <f t="shared" ca="1" si="349"/>
        <v>0</v>
      </c>
      <c r="CI449" s="824">
        <f t="shared" ca="1" si="349"/>
        <v>0</v>
      </c>
      <c r="CJ449" s="824">
        <f t="shared" ca="1" si="349"/>
        <v>0</v>
      </c>
      <c r="CK449" s="824">
        <f t="shared" ca="1" si="349"/>
        <v>0</v>
      </c>
      <c r="CL449" s="824">
        <f t="shared" ca="1" si="349"/>
        <v>0</v>
      </c>
      <c r="CM449" s="824">
        <f t="shared" ca="1" si="349"/>
        <v>0</v>
      </c>
      <c r="CN449" s="824">
        <f t="shared" ca="1" si="349"/>
        <v>0</v>
      </c>
      <c r="CO449" s="824">
        <f t="shared" ca="1" si="349"/>
        <v>0</v>
      </c>
      <c r="CP449" s="824">
        <f t="shared" ca="1" si="349"/>
        <v>0</v>
      </c>
      <c r="CQ449" s="824">
        <f t="shared" ca="1" si="349"/>
        <v>0</v>
      </c>
      <c r="CR449" s="824">
        <f t="shared" ca="1" si="349"/>
        <v>0</v>
      </c>
      <c r="CS449" s="824">
        <f t="shared" ca="1" si="349"/>
        <v>0</v>
      </c>
      <c r="CT449" s="824">
        <f t="shared" ca="1" si="352"/>
        <v>0</v>
      </c>
      <c r="CU449" s="824">
        <f t="shared" ca="1" si="352"/>
        <v>0</v>
      </c>
      <c r="CV449" s="824">
        <f t="shared" ca="1" si="352"/>
        <v>0</v>
      </c>
      <c r="CW449" s="824">
        <f t="shared" ca="1" si="352"/>
        <v>0</v>
      </c>
      <c r="CX449" s="824">
        <f t="shared" ca="1" si="352"/>
        <v>0</v>
      </c>
      <c r="CY449" s="824">
        <f t="shared" ca="1" si="352"/>
        <v>0</v>
      </c>
      <c r="CZ449" s="824">
        <f t="shared" ca="1" si="352"/>
        <v>0</v>
      </c>
      <c r="DA449" s="824">
        <f t="shared" ca="1" si="352"/>
        <v>0</v>
      </c>
      <c r="DB449" s="824">
        <f t="shared" ca="1" si="352"/>
        <v>0</v>
      </c>
      <c r="DC449" s="824">
        <f t="shared" ca="1" si="352"/>
        <v>0</v>
      </c>
      <c r="DD449" s="824">
        <f t="shared" ca="1" si="352"/>
        <v>0</v>
      </c>
      <c r="DE449" s="824">
        <f t="shared" ca="1" si="352"/>
        <v>0</v>
      </c>
      <c r="DF449" s="824">
        <f t="shared" ca="1" si="352"/>
        <v>0</v>
      </c>
      <c r="DG449" s="824">
        <f t="shared" ca="1" si="352"/>
        <v>0</v>
      </c>
      <c r="DH449" s="824">
        <f t="shared" ca="1" si="352"/>
        <v>0</v>
      </c>
      <c r="DI449" s="824">
        <f t="shared" ca="1" si="352"/>
        <v>0</v>
      </c>
      <c r="DJ449" s="824">
        <f t="shared" ca="1" si="314"/>
        <v>0</v>
      </c>
      <c r="DK449" s="824">
        <f t="shared" ca="1" si="314"/>
        <v>0</v>
      </c>
      <c r="DL449" s="824">
        <f t="shared" ca="1" si="314"/>
        <v>0</v>
      </c>
    </row>
    <row r="450" spans="2:116" ht="12" thickBot="1" x14ac:dyDescent="0.3">
      <c r="B450" s="1673"/>
      <c r="C450" s="1680"/>
      <c r="D450" s="15" t="s">
        <v>182</v>
      </c>
      <c r="E450" s="116"/>
      <c r="F450" s="116">
        <f ca="1">SUBTOTAL(109,'3.2 I&amp;W'!$X$185)</f>
        <v>0</v>
      </c>
      <c r="G450" s="116">
        <f ca="1">SUBTOTAL(109,'3.2 I&amp;W'!$Y$185)</f>
        <v>0</v>
      </c>
      <c r="H450" s="116">
        <f ca="1">SUBTOTAL(109,'3.2 I&amp;W'!$AD$185)</f>
        <v>0</v>
      </c>
      <c r="I450" s="116">
        <f ca="1">SUBTOTAL(109,'3.2 I&amp;W'!$AE$185)</f>
        <v>0</v>
      </c>
      <c r="J450" s="116"/>
      <c r="K450" s="116"/>
      <c r="L450" s="116"/>
      <c r="M450" s="116">
        <f ca="1">SUBTOTAL(109,'3.2 I&amp;W'!$AI$185)</f>
        <v>0</v>
      </c>
      <c r="N450" s="156">
        <f t="shared" ca="1" si="340"/>
        <v>0</v>
      </c>
      <c r="O450" s="116">
        <f ca="1">SUBTOTAL(109,'3.2 I&amp;W'!$S$185)</f>
        <v>0</v>
      </c>
      <c r="P450" s="30">
        <f t="shared" ca="1" si="330"/>
        <v>0</v>
      </c>
      <c r="Q450" s="31">
        <f t="shared" ca="1" si="331"/>
        <v>0</v>
      </c>
      <c r="R450" s="31">
        <f t="shared" ca="1" si="332"/>
        <v>0</v>
      </c>
      <c r="S450" s="31">
        <f t="shared" ca="1" si="333"/>
        <v>0</v>
      </c>
      <c r="T450" s="32">
        <f t="shared" ca="1" si="334"/>
        <v>0</v>
      </c>
      <c r="U450" s="37">
        <f t="shared" ca="1" si="353"/>
        <v>0</v>
      </c>
      <c r="V450" s="40">
        <f t="shared" ca="1" si="335"/>
        <v>0</v>
      </c>
      <c r="W450" s="41">
        <f t="shared" ca="1" si="336"/>
        <v>0</v>
      </c>
      <c r="X450" s="43"/>
      <c r="Y450" s="46"/>
      <c r="Z450" s="126"/>
      <c r="AA450" s="136"/>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824">
        <f t="shared" ca="1" si="337"/>
        <v>0</v>
      </c>
      <c r="BM450" s="824">
        <f t="shared" ca="1" si="338"/>
        <v>0</v>
      </c>
      <c r="BN450" s="824">
        <f t="shared" ca="1" si="339"/>
        <v>0</v>
      </c>
      <c r="BO450" s="824">
        <f t="shared" ca="1" si="350"/>
        <v>0</v>
      </c>
      <c r="BP450" s="824">
        <f t="shared" ca="1" si="350"/>
        <v>0</v>
      </c>
      <c r="BQ450" s="824">
        <f t="shared" ca="1" si="350"/>
        <v>0</v>
      </c>
      <c r="BR450" s="824">
        <f t="shared" ca="1" si="350"/>
        <v>0</v>
      </c>
      <c r="BS450" s="824">
        <f t="shared" ca="1" si="350"/>
        <v>0</v>
      </c>
      <c r="BT450" s="824">
        <f t="shared" ca="1" si="350"/>
        <v>0</v>
      </c>
      <c r="BU450" s="824">
        <f t="shared" ca="1" si="350"/>
        <v>0</v>
      </c>
      <c r="BV450" s="824">
        <f t="shared" ca="1" si="350"/>
        <v>0</v>
      </c>
      <c r="BW450" s="824">
        <f t="shared" ca="1" si="350"/>
        <v>0</v>
      </c>
      <c r="BX450" s="824">
        <f t="shared" ca="1" si="350"/>
        <v>0</v>
      </c>
      <c r="BY450" s="824">
        <f t="shared" ca="1" si="350"/>
        <v>0</v>
      </c>
      <c r="BZ450" s="824">
        <f t="shared" ca="1" si="350"/>
        <v>0</v>
      </c>
      <c r="CA450" s="824">
        <f t="shared" ca="1" si="350"/>
        <v>0</v>
      </c>
      <c r="CB450" s="824">
        <f t="shared" ca="1" si="350"/>
        <v>0</v>
      </c>
      <c r="CC450" s="824">
        <f t="shared" ca="1" si="350"/>
        <v>0</v>
      </c>
      <c r="CD450" s="824">
        <f t="shared" ca="1" si="350"/>
        <v>0</v>
      </c>
      <c r="CE450" s="824">
        <f t="shared" ca="1" si="349"/>
        <v>0</v>
      </c>
      <c r="CF450" s="824">
        <f t="shared" ca="1" si="349"/>
        <v>0</v>
      </c>
      <c r="CG450" s="824">
        <f t="shared" ca="1" si="349"/>
        <v>0</v>
      </c>
      <c r="CH450" s="824">
        <f t="shared" ca="1" si="349"/>
        <v>0</v>
      </c>
      <c r="CI450" s="824">
        <f t="shared" ca="1" si="349"/>
        <v>0</v>
      </c>
      <c r="CJ450" s="824">
        <f t="shared" ca="1" si="349"/>
        <v>0</v>
      </c>
      <c r="CK450" s="824">
        <f t="shared" ca="1" si="349"/>
        <v>0</v>
      </c>
      <c r="CL450" s="824">
        <f t="shared" ca="1" si="349"/>
        <v>0</v>
      </c>
      <c r="CM450" s="824">
        <f t="shared" ca="1" si="349"/>
        <v>0</v>
      </c>
      <c r="CN450" s="824">
        <f t="shared" ca="1" si="349"/>
        <v>0</v>
      </c>
      <c r="CO450" s="824">
        <f t="shared" ca="1" si="349"/>
        <v>0</v>
      </c>
      <c r="CP450" s="824">
        <f t="shared" ca="1" si="349"/>
        <v>0</v>
      </c>
      <c r="CQ450" s="824">
        <f t="shared" ca="1" si="349"/>
        <v>0</v>
      </c>
      <c r="CR450" s="824">
        <f t="shared" ca="1" si="349"/>
        <v>0</v>
      </c>
      <c r="CS450" s="824">
        <f t="shared" ca="1" si="349"/>
        <v>0</v>
      </c>
      <c r="CT450" s="824">
        <f t="shared" ca="1" si="352"/>
        <v>0</v>
      </c>
      <c r="CU450" s="824">
        <f t="shared" ca="1" si="352"/>
        <v>0</v>
      </c>
      <c r="CV450" s="824">
        <f t="shared" ca="1" si="352"/>
        <v>0</v>
      </c>
      <c r="CW450" s="824">
        <f t="shared" ca="1" si="352"/>
        <v>0</v>
      </c>
      <c r="CX450" s="824">
        <f t="shared" ca="1" si="352"/>
        <v>0</v>
      </c>
      <c r="CY450" s="824">
        <f t="shared" ca="1" si="352"/>
        <v>0</v>
      </c>
      <c r="CZ450" s="824">
        <f t="shared" ca="1" si="352"/>
        <v>0</v>
      </c>
      <c r="DA450" s="824">
        <f t="shared" ca="1" si="352"/>
        <v>0</v>
      </c>
      <c r="DB450" s="824">
        <f t="shared" ca="1" si="352"/>
        <v>0</v>
      </c>
      <c r="DC450" s="824">
        <f t="shared" ca="1" si="352"/>
        <v>0</v>
      </c>
      <c r="DD450" s="824">
        <f t="shared" ca="1" si="352"/>
        <v>0</v>
      </c>
      <c r="DE450" s="824">
        <f t="shared" ca="1" si="352"/>
        <v>0</v>
      </c>
      <c r="DF450" s="824">
        <f t="shared" ca="1" si="352"/>
        <v>0</v>
      </c>
      <c r="DG450" s="824">
        <f t="shared" ca="1" si="352"/>
        <v>0</v>
      </c>
      <c r="DH450" s="824">
        <f t="shared" ca="1" si="352"/>
        <v>0</v>
      </c>
      <c r="DI450" s="824">
        <f t="shared" ca="1" si="352"/>
        <v>0</v>
      </c>
      <c r="DJ450" s="824">
        <f t="shared" ca="1" si="314"/>
        <v>0</v>
      </c>
      <c r="DK450" s="824">
        <f t="shared" ca="1" si="314"/>
        <v>0</v>
      </c>
      <c r="DL450" s="824">
        <f t="shared" ca="1" si="314"/>
        <v>0</v>
      </c>
    </row>
    <row r="451" spans="2:116" ht="12" thickBot="1" x14ac:dyDescent="0.3">
      <c r="B451" s="1673"/>
      <c r="C451" s="1680"/>
      <c r="D451" s="15" t="s">
        <v>183</v>
      </c>
      <c r="E451" s="165"/>
      <c r="F451" s="116">
        <f ca="1">SUBTOTAL(109,'3.2 I&amp;W'!$X$188)</f>
        <v>0</v>
      </c>
      <c r="G451" s="116">
        <f ca="1">SUBTOTAL(109,'3.2 I&amp;W'!$Y$188)</f>
        <v>0</v>
      </c>
      <c r="H451" s="116">
        <f ca="1">SUBTOTAL(109,'3.2 I&amp;W'!$AD$188)</f>
        <v>2.4037706591677386E-3</v>
      </c>
      <c r="I451" s="116">
        <f ca="1">SUBTOTAL(109,'3.2 I&amp;W'!$AE$188)</f>
        <v>368</v>
      </c>
      <c r="J451" s="116"/>
      <c r="K451" s="116"/>
      <c r="L451" s="116"/>
      <c r="M451" s="116">
        <f ca="1">SUBTOTAL(109,'3.2 I&amp;W'!$AI$188)</f>
        <v>50</v>
      </c>
      <c r="N451" s="156">
        <f t="shared" ca="1" si="340"/>
        <v>0</v>
      </c>
      <c r="O451" s="116">
        <f>SUBTOTAL(109,'3.2 I&amp;W'!$S$188)</f>
        <v>153092.80799999999</v>
      </c>
      <c r="P451" s="30">
        <f t="shared" ca="1" si="330"/>
        <v>0</v>
      </c>
      <c r="Q451" s="31">
        <f t="shared" ca="1" si="331"/>
        <v>0</v>
      </c>
      <c r="R451" s="31">
        <f t="shared" ca="1" si="332"/>
        <v>0</v>
      </c>
      <c r="S451" s="31">
        <f t="shared" ca="1" si="333"/>
        <v>0</v>
      </c>
      <c r="T451" s="32">
        <f t="shared" ca="1" si="334"/>
        <v>0</v>
      </c>
      <c r="U451" s="37">
        <f t="shared" ca="1" si="353"/>
        <v>22965.18942201394</v>
      </c>
      <c r="V451" s="40">
        <f t="shared" ca="1" si="335"/>
        <v>0</v>
      </c>
      <c r="W451" s="41">
        <f t="shared" ca="1" si="336"/>
        <v>11820.823048403066</v>
      </c>
      <c r="X451" s="43"/>
      <c r="Y451" s="46"/>
      <c r="Z451" s="126"/>
      <c r="AA451" s="136"/>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824">
        <f t="shared" ca="1" si="337"/>
        <v>50</v>
      </c>
      <c r="BM451" s="824">
        <f t="shared" ca="1" si="338"/>
        <v>0</v>
      </c>
      <c r="BN451" s="824">
        <f t="shared" si="339"/>
        <v>153092.80799999999</v>
      </c>
      <c r="BO451" s="824">
        <f t="shared" ca="1" si="350"/>
        <v>0</v>
      </c>
      <c r="BP451" s="824">
        <f t="shared" ca="1" si="350"/>
        <v>0</v>
      </c>
      <c r="BQ451" s="824">
        <f t="shared" ca="1" si="350"/>
        <v>0</v>
      </c>
      <c r="BR451" s="824">
        <f t="shared" ca="1" si="350"/>
        <v>0</v>
      </c>
      <c r="BS451" s="824">
        <f t="shared" ca="1" si="350"/>
        <v>0</v>
      </c>
      <c r="BT451" s="824">
        <f t="shared" ca="1" si="350"/>
        <v>0</v>
      </c>
      <c r="BU451" s="824">
        <f t="shared" ca="1" si="350"/>
        <v>0</v>
      </c>
      <c r="BV451" s="824">
        <f t="shared" ca="1" si="350"/>
        <v>0</v>
      </c>
      <c r="BW451" s="824">
        <f t="shared" ca="1" si="350"/>
        <v>0</v>
      </c>
      <c r="BX451" s="824">
        <f t="shared" ca="1" si="350"/>
        <v>0</v>
      </c>
      <c r="BY451" s="824">
        <f t="shared" ca="1" si="350"/>
        <v>0</v>
      </c>
      <c r="BZ451" s="824">
        <f t="shared" ca="1" si="350"/>
        <v>0</v>
      </c>
      <c r="CA451" s="824">
        <f t="shared" ca="1" si="350"/>
        <v>0</v>
      </c>
      <c r="CB451" s="824">
        <f t="shared" ca="1" si="350"/>
        <v>0</v>
      </c>
      <c r="CC451" s="824">
        <f t="shared" ca="1" si="350"/>
        <v>0</v>
      </c>
      <c r="CD451" s="824">
        <f t="shared" ca="1" si="350"/>
        <v>0</v>
      </c>
      <c r="CE451" s="824">
        <f t="shared" ca="1" si="349"/>
        <v>0</v>
      </c>
      <c r="CF451" s="824">
        <f t="shared" ca="1" si="349"/>
        <v>0</v>
      </c>
      <c r="CG451" s="824">
        <f t="shared" ca="1" si="349"/>
        <v>0</v>
      </c>
      <c r="CH451" s="824">
        <f t="shared" ca="1" si="349"/>
        <v>0</v>
      </c>
      <c r="CI451" s="824">
        <f t="shared" ca="1" si="349"/>
        <v>0</v>
      </c>
      <c r="CJ451" s="824">
        <f t="shared" ca="1" si="349"/>
        <v>0</v>
      </c>
      <c r="CK451" s="824">
        <f t="shared" ca="1" si="349"/>
        <v>0</v>
      </c>
      <c r="CL451" s="824">
        <f t="shared" ca="1" si="349"/>
        <v>0</v>
      </c>
      <c r="CM451" s="824">
        <f t="shared" ca="1" si="349"/>
        <v>0</v>
      </c>
      <c r="CN451" s="824">
        <f t="shared" ca="1" si="349"/>
        <v>0</v>
      </c>
      <c r="CO451" s="824">
        <f t="shared" ca="1" si="349"/>
        <v>0</v>
      </c>
      <c r="CP451" s="824">
        <f t="shared" ca="1" si="349"/>
        <v>0</v>
      </c>
      <c r="CQ451" s="824">
        <f t="shared" ca="1" si="349"/>
        <v>0</v>
      </c>
      <c r="CR451" s="824">
        <f t="shared" ca="1" si="349"/>
        <v>0</v>
      </c>
      <c r="CS451" s="824">
        <f t="shared" ca="1" si="349"/>
        <v>0</v>
      </c>
      <c r="CT451" s="824">
        <f t="shared" ca="1" si="352"/>
        <v>0</v>
      </c>
      <c r="CU451" s="824">
        <f t="shared" ca="1" si="352"/>
        <v>0</v>
      </c>
      <c r="CV451" s="824">
        <f t="shared" ca="1" si="352"/>
        <v>0</v>
      </c>
      <c r="CW451" s="824">
        <f t="shared" ca="1" si="352"/>
        <v>0</v>
      </c>
      <c r="CX451" s="824">
        <f t="shared" ca="1" si="352"/>
        <v>0</v>
      </c>
      <c r="CY451" s="824">
        <f t="shared" ca="1" si="352"/>
        <v>0</v>
      </c>
      <c r="CZ451" s="824">
        <f t="shared" ca="1" si="352"/>
        <v>0</v>
      </c>
      <c r="DA451" s="824">
        <f t="shared" ca="1" si="352"/>
        <v>0</v>
      </c>
      <c r="DB451" s="824">
        <f t="shared" ca="1" si="352"/>
        <v>0</v>
      </c>
      <c r="DC451" s="824">
        <f t="shared" ca="1" si="352"/>
        <v>0</v>
      </c>
      <c r="DD451" s="824">
        <f t="shared" ca="1" si="352"/>
        <v>0</v>
      </c>
      <c r="DE451" s="824">
        <f t="shared" ca="1" si="352"/>
        <v>0</v>
      </c>
      <c r="DF451" s="824">
        <f t="shared" ca="1" si="352"/>
        <v>0</v>
      </c>
      <c r="DG451" s="824">
        <f t="shared" ca="1" si="352"/>
        <v>0</v>
      </c>
      <c r="DH451" s="824">
        <f t="shared" ca="1" si="352"/>
        <v>0</v>
      </c>
      <c r="DI451" s="824">
        <f t="shared" ca="1" si="352"/>
        <v>0</v>
      </c>
      <c r="DJ451" s="824">
        <f t="shared" ca="1" si="314"/>
        <v>0</v>
      </c>
      <c r="DK451" s="824">
        <f t="shared" ca="1" si="314"/>
        <v>0</v>
      </c>
      <c r="DL451" s="824">
        <f t="shared" ca="1" si="314"/>
        <v>0</v>
      </c>
    </row>
    <row r="452" spans="2:116" ht="12" thickBot="1" x14ac:dyDescent="0.3">
      <c r="B452" s="1673"/>
      <c r="C452" s="1680"/>
      <c r="D452" s="15" t="s">
        <v>183</v>
      </c>
      <c r="E452" s="116"/>
      <c r="F452" s="116">
        <f ca="1">SUBTOTAL(109,'3.2 I&amp;W'!$X$189)</f>
        <v>0</v>
      </c>
      <c r="G452" s="116">
        <f ca="1">SUBTOTAL(109,'3.2 I&amp;W'!$Y$189)</f>
        <v>0</v>
      </c>
      <c r="H452" s="116">
        <f ca="1">SUBTOTAL(109,'3.2 I&amp;W'!$AD$189)</f>
        <v>0</v>
      </c>
      <c r="I452" s="116">
        <f ca="1">SUBTOTAL(109,'3.2 I&amp;W'!$AE$189)</f>
        <v>0</v>
      </c>
      <c r="J452" s="116"/>
      <c r="K452" s="116"/>
      <c r="L452" s="116"/>
      <c r="M452" s="116">
        <f ca="1">SUBTOTAL(109,'3.2 I&amp;W'!$AI$189)</f>
        <v>0</v>
      </c>
      <c r="N452" s="156">
        <f t="shared" ca="1" si="340"/>
        <v>0</v>
      </c>
      <c r="O452" s="116">
        <f ca="1">SUBTOTAL(109,'3.2 I&amp;W'!$S$189)</f>
        <v>0</v>
      </c>
      <c r="P452" s="30">
        <f t="shared" ca="1" si="330"/>
        <v>0</v>
      </c>
      <c r="Q452" s="31">
        <f t="shared" ca="1" si="331"/>
        <v>0</v>
      </c>
      <c r="R452" s="31">
        <f t="shared" ca="1" si="332"/>
        <v>0</v>
      </c>
      <c r="S452" s="31">
        <f t="shared" ca="1" si="333"/>
        <v>0</v>
      </c>
      <c r="T452" s="32">
        <f t="shared" ca="1" si="334"/>
        <v>0</v>
      </c>
      <c r="U452" s="37">
        <f t="shared" ca="1" si="353"/>
        <v>0</v>
      </c>
      <c r="V452" s="40">
        <f t="shared" ca="1" si="335"/>
        <v>0</v>
      </c>
      <c r="W452" s="41">
        <f t="shared" ca="1" si="336"/>
        <v>0</v>
      </c>
      <c r="X452" s="43"/>
      <c r="Y452" s="46"/>
      <c r="Z452" s="126"/>
      <c r="AA452" s="136"/>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824">
        <f t="shared" ca="1" si="337"/>
        <v>0</v>
      </c>
      <c r="BM452" s="824">
        <f t="shared" ca="1" si="338"/>
        <v>0</v>
      </c>
      <c r="BN452" s="824">
        <f t="shared" ca="1" si="339"/>
        <v>0</v>
      </c>
      <c r="BO452" s="824">
        <f t="shared" ca="1" si="350"/>
        <v>0</v>
      </c>
      <c r="BP452" s="824">
        <f t="shared" ca="1" si="350"/>
        <v>0</v>
      </c>
      <c r="BQ452" s="824">
        <f t="shared" ca="1" si="350"/>
        <v>0</v>
      </c>
      <c r="BR452" s="824">
        <f t="shared" ca="1" si="350"/>
        <v>0</v>
      </c>
      <c r="BS452" s="824">
        <f t="shared" ca="1" si="350"/>
        <v>0</v>
      </c>
      <c r="BT452" s="824">
        <f t="shared" ca="1" si="350"/>
        <v>0</v>
      </c>
      <c r="BU452" s="824">
        <f t="shared" ca="1" si="350"/>
        <v>0</v>
      </c>
      <c r="BV452" s="824">
        <f t="shared" ca="1" si="350"/>
        <v>0</v>
      </c>
      <c r="BW452" s="824">
        <f t="shared" ca="1" si="350"/>
        <v>0</v>
      </c>
      <c r="BX452" s="824">
        <f t="shared" ca="1" si="350"/>
        <v>0</v>
      </c>
      <c r="BY452" s="824">
        <f t="shared" ca="1" si="350"/>
        <v>0</v>
      </c>
      <c r="BZ452" s="824">
        <f t="shared" ca="1" si="350"/>
        <v>0</v>
      </c>
      <c r="CA452" s="824">
        <f t="shared" ca="1" si="350"/>
        <v>0</v>
      </c>
      <c r="CB452" s="824">
        <f t="shared" ca="1" si="350"/>
        <v>0</v>
      </c>
      <c r="CC452" s="824">
        <f t="shared" ca="1" si="350"/>
        <v>0</v>
      </c>
      <c r="CD452" s="824">
        <f t="shared" ca="1" si="350"/>
        <v>0</v>
      </c>
      <c r="CE452" s="824">
        <f t="shared" ca="1" si="349"/>
        <v>0</v>
      </c>
      <c r="CF452" s="824">
        <f t="shared" ca="1" si="349"/>
        <v>0</v>
      </c>
      <c r="CG452" s="824">
        <f t="shared" ca="1" si="349"/>
        <v>0</v>
      </c>
      <c r="CH452" s="824">
        <f t="shared" ca="1" si="349"/>
        <v>0</v>
      </c>
      <c r="CI452" s="824">
        <f t="shared" ca="1" si="349"/>
        <v>0</v>
      </c>
      <c r="CJ452" s="824">
        <f t="shared" ca="1" si="349"/>
        <v>0</v>
      </c>
      <c r="CK452" s="824">
        <f t="shared" ca="1" si="349"/>
        <v>0</v>
      </c>
      <c r="CL452" s="824">
        <f t="shared" ca="1" si="349"/>
        <v>0</v>
      </c>
      <c r="CM452" s="824">
        <f t="shared" ca="1" si="349"/>
        <v>0</v>
      </c>
      <c r="CN452" s="824">
        <f t="shared" ca="1" si="349"/>
        <v>0</v>
      </c>
      <c r="CO452" s="824">
        <f t="shared" ca="1" si="349"/>
        <v>0</v>
      </c>
      <c r="CP452" s="824">
        <f t="shared" ca="1" si="349"/>
        <v>0</v>
      </c>
      <c r="CQ452" s="824">
        <f t="shared" ca="1" si="349"/>
        <v>0</v>
      </c>
      <c r="CR452" s="824">
        <f t="shared" ca="1" si="349"/>
        <v>0</v>
      </c>
      <c r="CS452" s="824">
        <f t="shared" ca="1" si="349"/>
        <v>0</v>
      </c>
      <c r="CT452" s="824">
        <f t="shared" ca="1" si="352"/>
        <v>0</v>
      </c>
      <c r="CU452" s="824">
        <f t="shared" ca="1" si="352"/>
        <v>0</v>
      </c>
      <c r="CV452" s="824">
        <f t="shared" ca="1" si="352"/>
        <v>0</v>
      </c>
      <c r="CW452" s="824">
        <f t="shared" ca="1" si="352"/>
        <v>0</v>
      </c>
      <c r="CX452" s="824">
        <f t="shared" ca="1" si="352"/>
        <v>0</v>
      </c>
      <c r="CY452" s="824">
        <f t="shared" ca="1" si="352"/>
        <v>0</v>
      </c>
      <c r="CZ452" s="824">
        <f t="shared" ca="1" si="352"/>
        <v>0</v>
      </c>
      <c r="DA452" s="824">
        <f t="shared" ca="1" si="352"/>
        <v>0</v>
      </c>
      <c r="DB452" s="824">
        <f t="shared" ca="1" si="352"/>
        <v>0</v>
      </c>
      <c r="DC452" s="824">
        <f t="shared" ca="1" si="352"/>
        <v>0</v>
      </c>
      <c r="DD452" s="824">
        <f t="shared" ca="1" si="352"/>
        <v>0</v>
      </c>
      <c r="DE452" s="824">
        <f t="shared" ca="1" si="352"/>
        <v>0</v>
      </c>
      <c r="DF452" s="824">
        <f t="shared" ca="1" si="352"/>
        <v>0</v>
      </c>
      <c r="DG452" s="824">
        <f t="shared" ca="1" si="352"/>
        <v>0</v>
      </c>
      <c r="DH452" s="824">
        <f t="shared" ca="1" si="352"/>
        <v>0</v>
      </c>
      <c r="DI452" s="824">
        <f t="shared" ca="1" si="352"/>
        <v>0</v>
      </c>
      <c r="DJ452" s="824">
        <f t="shared" ca="1" si="314"/>
        <v>0</v>
      </c>
      <c r="DK452" s="824">
        <f t="shared" ca="1" si="314"/>
        <v>0</v>
      </c>
      <c r="DL452" s="824">
        <f t="shared" ca="1" si="314"/>
        <v>0</v>
      </c>
    </row>
    <row r="453" spans="2:116" ht="12" thickBot="1" x14ac:dyDescent="0.3">
      <c r="B453" s="1673"/>
      <c r="C453" s="1680"/>
      <c r="D453" s="15" t="s">
        <v>183</v>
      </c>
      <c r="E453" s="165"/>
      <c r="F453" s="116">
        <f ca="1">SUBTOTAL(109,'3.2 I&amp;W'!$X$190)</f>
        <v>0</v>
      </c>
      <c r="G453" s="116">
        <f ca="1">SUBTOTAL(109,'3.2 I&amp;W'!$Y$190)</f>
        <v>0</v>
      </c>
      <c r="H453" s="116">
        <f ca="1">SUBTOTAL(109,'3.2 I&amp;W'!$AD$190)</f>
        <v>0</v>
      </c>
      <c r="I453" s="116">
        <f ca="1">SUBTOTAL(109,'3.2 I&amp;W'!$AE$190)</f>
        <v>0</v>
      </c>
      <c r="J453" s="116"/>
      <c r="K453" s="116"/>
      <c r="L453" s="116"/>
      <c r="M453" s="116">
        <f ca="1">SUBTOTAL(109,'3.2 I&amp;W'!$AI$190)</f>
        <v>0</v>
      </c>
      <c r="N453" s="156">
        <f t="shared" ca="1" si="340"/>
        <v>0</v>
      </c>
      <c r="O453" s="116">
        <f ca="1">SUBTOTAL(109,'3.2 I&amp;W'!$S$190)</f>
        <v>0</v>
      </c>
      <c r="P453" s="30">
        <f t="shared" ca="1" si="330"/>
        <v>0</v>
      </c>
      <c r="Q453" s="31">
        <f t="shared" ca="1" si="331"/>
        <v>0</v>
      </c>
      <c r="R453" s="31">
        <f t="shared" ca="1" si="332"/>
        <v>0</v>
      </c>
      <c r="S453" s="31">
        <f t="shared" ca="1" si="333"/>
        <v>0</v>
      </c>
      <c r="T453" s="32">
        <f t="shared" ca="1" si="334"/>
        <v>0</v>
      </c>
      <c r="U453" s="37">
        <f t="shared" ca="1" si="353"/>
        <v>0</v>
      </c>
      <c r="V453" s="40">
        <f t="shared" ca="1" si="335"/>
        <v>0</v>
      </c>
      <c r="W453" s="41">
        <f t="shared" ca="1" si="336"/>
        <v>0</v>
      </c>
      <c r="X453" s="43"/>
      <c r="Y453" s="46"/>
      <c r="Z453" s="126"/>
      <c r="AA453" s="136"/>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824">
        <f t="shared" ca="1" si="337"/>
        <v>0</v>
      </c>
      <c r="BM453" s="824">
        <f t="shared" ca="1" si="338"/>
        <v>0</v>
      </c>
      <c r="BN453" s="824">
        <f t="shared" ca="1" si="339"/>
        <v>0</v>
      </c>
      <c r="BO453" s="824">
        <f t="shared" ca="1" si="350"/>
        <v>0</v>
      </c>
      <c r="BP453" s="824">
        <f t="shared" ca="1" si="350"/>
        <v>0</v>
      </c>
      <c r="BQ453" s="824">
        <f t="shared" ca="1" si="350"/>
        <v>0</v>
      </c>
      <c r="BR453" s="824">
        <f t="shared" ca="1" si="350"/>
        <v>0</v>
      </c>
      <c r="BS453" s="824">
        <f t="shared" ca="1" si="350"/>
        <v>0</v>
      </c>
      <c r="BT453" s="824">
        <f t="shared" ca="1" si="350"/>
        <v>0</v>
      </c>
      <c r="BU453" s="824">
        <f t="shared" ca="1" si="350"/>
        <v>0</v>
      </c>
      <c r="BV453" s="824">
        <f t="shared" ca="1" si="350"/>
        <v>0</v>
      </c>
      <c r="BW453" s="824">
        <f t="shared" ca="1" si="350"/>
        <v>0</v>
      </c>
      <c r="BX453" s="824">
        <f t="shared" ca="1" si="350"/>
        <v>0</v>
      </c>
      <c r="BY453" s="824">
        <f t="shared" ca="1" si="350"/>
        <v>0</v>
      </c>
      <c r="BZ453" s="824">
        <f t="shared" ca="1" si="350"/>
        <v>0</v>
      </c>
      <c r="CA453" s="824">
        <f t="shared" ca="1" si="350"/>
        <v>0</v>
      </c>
      <c r="CB453" s="824">
        <f t="shared" ca="1" si="350"/>
        <v>0</v>
      </c>
      <c r="CC453" s="824">
        <f t="shared" ca="1" si="350"/>
        <v>0</v>
      </c>
      <c r="CD453" s="824">
        <f t="shared" ca="1" si="350"/>
        <v>0</v>
      </c>
      <c r="CE453" s="824">
        <f t="shared" ca="1" si="349"/>
        <v>0</v>
      </c>
      <c r="CF453" s="824">
        <f t="shared" ca="1" si="349"/>
        <v>0</v>
      </c>
      <c r="CG453" s="824">
        <f t="shared" ca="1" si="349"/>
        <v>0</v>
      </c>
      <c r="CH453" s="824">
        <f t="shared" ca="1" si="349"/>
        <v>0</v>
      </c>
      <c r="CI453" s="824">
        <f t="shared" ca="1" si="349"/>
        <v>0</v>
      </c>
      <c r="CJ453" s="824">
        <f t="shared" ca="1" si="349"/>
        <v>0</v>
      </c>
      <c r="CK453" s="824">
        <f t="shared" ca="1" si="349"/>
        <v>0</v>
      </c>
      <c r="CL453" s="824">
        <f t="shared" ca="1" si="349"/>
        <v>0</v>
      </c>
      <c r="CM453" s="824">
        <f t="shared" ca="1" si="349"/>
        <v>0</v>
      </c>
      <c r="CN453" s="824">
        <f t="shared" ca="1" si="349"/>
        <v>0</v>
      </c>
      <c r="CO453" s="824">
        <f t="shared" ca="1" si="349"/>
        <v>0</v>
      </c>
      <c r="CP453" s="824">
        <f t="shared" ca="1" si="349"/>
        <v>0</v>
      </c>
      <c r="CQ453" s="824">
        <f t="shared" ca="1" si="349"/>
        <v>0</v>
      </c>
      <c r="CR453" s="824">
        <f t="shared" ca="1" si="349"/>
        <v>0</v>
      </c>
      <c r="CS453" s="824">
        <f t="shared" ca="1" si="349"/>
        <v>0</v>
      </c>
      <c r="CT453" s="824">
        <f t="shared" ca="1" si="352"/>
        <v>0</v>
      </c>
      <c r="CU453" s="824">
        <f t="shared" ca="1" si="352"/>
        <v>0</v>
      </c>
      <c r="CV453" s="824">
        <f t="shared" ca="1" si="352"/>
        <v>0</v>
      </c>
      <c r="CW453" s="824">
        <f t="shared" ca="1" si="352"/>
        <v>0</v>
      </c>
      <c r="CX453" s="824">
        <f t="shared" ca="1" si="352"/>
        <v>0</v>
      </c>
      <c r="CY453" s="824">
        <f t="shared" ca="1" si="352"/>
        <v>0</v>
      </c>
      <c r="CZ453" s="824">
        <f t="shared" ca="1" si="352"/>
        <v>0</v>
      </c>
      <c r="DA453" s="824">
        <f t="shared" ca="1" si="352"/>
        <v>0</v>
      </c>
      <c r="DB453" s="824">
        <f t="shared" ca="1" si="352"/>
        <v>0</v>
      </c>
      <c r="DC453" s="824">
        <f t="shared" ca="1" si="352"/>
        <v>0</v>
      </c>
      <c r="DD453" s="824">
        <f t="shared" ca="1" si="352"/>
        <v>0</v>
      </c>
      <c r="DE453" s="824">
        <f t="shared" ca="1" si="352"/>
        <v>0</v>
      </c>
      <c r="DF453" s="824">
        <f t="shared" ca="1" si="352"/>
        <v>0</v>
      </c>
      <c r="DG453" s="824">
        <f t="shared" ca="1" si="352"/>
        <v>0</v>
      </c>
      <c r="DH453" s="824">
        <f t="shared" ca="1" si="352"/>
        <v>0</v>
      </c>
      <c r="DI453" s="824">
        <f t="shared" ca="1" si="352"/>
        <v>0</v>
      </c>
      <c r="DJ453" s="824">
        <f t="shared" ca="1" si="314"/>
        <v>0</v>
      </c>
      <c r="DK453" s="824">
        <f t="shared" ca="1" si="314"/>
        <v>0</v>
      </c>
      <c r="DL453" s="824">
        <f t="shared" ca="1" si="314"/>
        <v>0</v>
      </c>
    </row>
    <row r="454" spans="2:116" ht="12" thickBot="1" x14ac:dyDescent="0.3">
      <c r="B454" s="1673"/>
      <c r="C454" s="1680"/>
      <c r="D454" s="15" t="s">
        <v>183</v>
      </c>
      <c r="E454" s="116"/>
      <c r="F454" s="116">
        <f ca="1">SUBTOTAL(109,'3.2 I&amp;W'!$X$191)</f>
        <v>0</v>
      </c>
      <c r="G454" s="116">
        <f ca="1">SUBTOTAL(109,'3.2 I&amp;W'!$Y$191)</f>
        <v>0</v>
      </c>
      <c r="H454" s="116">
        <f ca="1">SUBTOTAL(109,'3.2 I&amp;W'!$AD$191)</f>
        <v>0</v>
      </c>
      <c r="I454" s="116">
        <f ca="1">SUBTOTAL(109,'3.2 I&amp;W'!$AE$191)</f>
        <v>0</v>
      </c>
      <c r="J454" s="116"/>
      <c r="K454" s="116"/>
      <c r="L454" s="116"/>
      <c r="M454" s="116">
        <f ca="1">SUBTOTAL(109,'3.2 I&amp;W'!$AI$191)</f>
        <v>0</v>
      </c>
      <c r="N454" s="156">
        <f t="shared" ca="1" si="340"/>
        <v>0</v>
      </c>
      <c r="O454" s="116">
        <f ca="1">SUBTOTAL(109,'3.2 I&amp;W'!$S$191)</f>
        <v>0</v>
      </c>
      <c r="P454" s="30">
        <f t="shared" ca="1" si="330"/>
        <v>0</v>
      </c>
      <c r="Q454" s="31">
        <f t="shared" ca="1" si="331"/>
        <v>0</v>
      </c>
      <c r="R454" s="31">
        <f t="shared" ca="1" si="332"/>
        <v>0</v>
      </c>
      <c r="S454" s="31">
        <f t="shared" ca="1" si="333"/>
        <v>0</v>
      </c>
      <c r="T454" s="32">
        <f t="shared" ca="1" si="334"/>
        <v>0</v>
      </c>
      <c r="U454" s="37">
        <f t="shared" ca="1" si="353"/>
        <v>0</v>
      </c>
      <c r="V454" s="40">
        <f t="shared" ca="1" si="335"/>
        <v>0</v>
      </c>
      <c r="W454" s="41">
        <f t="shared" ca="1" si="336"/>
        <v>0</v>
      </c>
      <c r="X454" s="43"/>
      <c r="Y454" s="46"/>
      <c r="Z454" s="126"/>
      <c r="AA454" s="136"/>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824">
        <f t="shared" ca="1" si="337"/>
        <v>0</v>
      </c>
      <c r="BM454" s="824">
        <f t="shared" ca="1" si="338"/>
        <v>0</v>
      </c>
      <c r="BN454" s="824">
        <f t="shared" ca="1" si="339"/>
        <v>0</v>
      </c>
      <c r="BO454" s="824">
        <f t="shared" ca="1" si="350"/>
        <v>0</v>
      </c>
      <c r="BP454" s="824">
        <f t="shared" ca="1" si="350"/>
        <v>0</v>
      </c>
      <c r="BQ454" s="824">
        <f t="shared" ca="1" si="350"/>
        <v>0</v>
      </c>
      <c r="BR454" s="824">
        <f t="shared" ca="1" si="350"/>
        <v>0</v>
      </c>
      <c r="BS454" s="824">
        <f t="shared" ca="1" si="350"/>
        <v>0</v>
      </c>
      <c r="BT454" s="824">
        <f t="shared" ca="1" si="350"/>
        <v>0</v>
      </c>
      <c r="BU454" s="824">
        <f t="shared" ca="1" si="350"/>
        <v>0</v>
      </c>
      <c r="BV454" s="824">
        <f t="shared" ca="1" si="350"/>
        <v>0</v>
      </c>
      <c r="BW454" s="824">
        <f t="shared" ca="1" si="350"/>
        <v>0</v>
      </c>
      <c r="BX454" s="824">
        <f t="shared" ca="1" si="350"/>
        <v>0</v>
      </c>
      <c r="BY454" s="824">
        <f t="shared" ca="1" si="350"/>
        <v>0</v>
      </c>
      <c r="BZ454" s="824">
        <f t="shared" ca="1" si="350"/>
        <v>0</v>
      </c>
      <c r="CA454" s="824">
        <f t="shared" ca="1" si="350"/>
        <v>0</v>
      </c>
      <c r="CB454" s="824">
        <f t="shared" ca="1" si="350"/>
        <v>0</v>
      </c>
      <c r="CC454" s="824">
        <f t="shared" ca="1" si="350"/>
        <v>0</v>
      </c>
      <c r="CD454" s="824">
        <f t="shared" ca="1" si="350"/>
        <v>0</v>
      </c>
      <c r="CE454" s="824">
        <f t="shared" ca="1" si="349"/>
        <v>0</v>
      </c>
      <c r="CF454" s="824">
        <f t="shared" ca="1" si="349"/>
        <v>0</v>
      </c>
      <c r="CG454" s="824">
        <f t="shared" ca="1" si="349"/>
        <v>0</v>
      </c>
      <c r="CH454" s="824">
        <f t="shared" ca="1" si="349"/>
        <v>0</v>
      </c>
      <c r="CI454" s="824">
        <f t="shared" ca="1" si="349"/>
        <v>0</v>
      </c>
      <c r="CJ454" s="824">
        <f t="shared" ca="1" si="349"/>
        <v>0</v>
      </c>
      <c r="CK454" s="824">
        <f t="shared" ca="1" si="349"/>
        <v>0</v>
      </c>
      <c r="CL454" s="824">
        <f t="shared" ca="1" si="349"/>
        <v>0</v>
      </c>
      <c r="CM454" s="824">
        <f t="shared" ca="1" si="349"/>
        <v>0</v>
      </c>
      <c r="CN454" s="824">
        <f t="shared" ca="1" si="349"/>
        <v>0</v>
      </c>
      <c r="CO454" s="824">
        <f t="shared" ca="1" si="349"/>
        <v>0</v>
      </c>
      <c r="CP454" s="824">
        <f t="shared" ca="1" si="349"/>
        <v>0</v>
      </c>
      <c r="CQ454" s="824">
        <f t="shared" ca="1" si="349"/>
        <v>0</v>
      </c>
      <c r="CR454" s="824">
        <f t="shared" ca="1" si="349"/>
        <v>0</v>
      </c>
      <c r="CS454" s="824">
        <f t="shared" ca="1" si="349"/>
        <v>0</v>
      </c>
      <c r="CT454" s="824">
        <f t="shared" ca="1" si="352"/>
        <v>0</v>
      </c>
      <c r="CU454" s="824">
        <f t="shared" ca="1" si="352"/>
        <v>0</v>
      </c>
      <c r="CV454" s="824">
        <f t="shared" ca="1" si="352"/>
        <v>0</v>
      </c>
      <c r="CW454" s="824">
        <f t="shared" ca="1" si="352"/>
        <v>0</v>
      </c>
      <c r="CX454" s="824">
        <f t="shared" ca="1" si="352"/>
        <v>0</v>
      </c>
      <c r="CY454" s="824">
        <f t="shared" ca="1" si="352"/>
        <v>0</v>
      </c>
      <c r="CZ454" s="824">
        <f t="shared" ca="1" si="352"/>
        <v>0</v>
      </c>
      <c r="DA454" s="824">
        <f t="shared" ca="1" si="352"/>
        <v>0</v>
      </c>
      <c r="DB454" s="824">
        <f t="shared" ca="1" si="352"/>
        <v>0</v>
      </c>
      <c r="DC454" s="824">
        <f t="shared" ca="1" si="352"/>
        <v>0</v>
      </c>
      <c r="DD454" s="824">
        <f t="shared" ca="1" si="352"/>
        <v>0</v>
      </c>
      <c r="DE454" s="824">
        <f t="shared" ca="1" si="352"/>
        <v>0</v>
      </c>
      <c r="DF454" s="824">
        <f t="shared" ca="1" si="352"/>
        <v>0</v>
      </c>
      <c r="DG454" s="824">
        <f t="shared" ca="1" si="352"/>
        <v>0</v>
      </c>
      <c r="DH454" s="824">
        <f t="shared" ca="1" si="352"/>
        <v>0</v>
      </c>
      <c r="DI454" s="824">
        <f t="shared" ca="1" si="352"/>
        <v>0</v>
      </c>
      <c r="DJ454" s="824">
        <f t="shared" ca="1" si="314"/>
        <v>0</v>
      </c>
      <c r="DK454" s="824">
        <f t="shared" ca="1" si="314"/>
        <v>0</v>
      </c>
      <c r="DL454" s="824">
        <f t="shared" ca="1" si="314"/>
        <v>0</v>
      </c>
    </row>
    <row r="455" spans="2:116" ht="12" thickBot="1" x14ac:dyDescent="0.3">
      <c r="B455" s="1673"/>
      <c r="C455" s="1680"/>
      <c r="D455" s="15" t="s">
        <v>183</v>
      </c>
      <c r="E455" s="165"/>
      <c r="F455" s="116">
        <f ca="1">SUBTOTAL(109,'3.2 I&amp;W'!$X$192)</f>
        <v>0</v>
      </c>
      <c r="G455" s="116">
        <f ca="1">SUBTOTAL(109,'3.2 I&amp;W'!$Y$192)</f>
        <v>0</v>
      </c>
      <c r="H455" s="116">
        <f ca="1">SUBTOTAL(109,'3.2 I&amp;W'!$AD$192)</f>
        <v>0</v>
      </c>
      <c r="I455" s="116">
        <f ca="1">SUBTOTAL(109,'3.2 I&amp;W'!$AE$192)</f>
        <v>0</v>
      </c>
      <c r="J455" s="116"/>
      <c r="K455" s="116"/>
      <c r="L455" s="116"/>
      <c r="M455" s="116">
        <f ca="1">SUBTOTAL(109,'3.2 I&amp;W'!$AI$192)</f>
        <v>0</v>
      </c>
      <c r="N455" s="156">
        <f t="shared" ca="1" si="340"/>
        <v>0</v>
      </c>
      <c r="O455" s="116">
        <f ca="1">SUBTOTAL(109,'3.2 I&amp;W'!$S$192)</f>
        <v>0</v>
      </c>
      <c r="P455" s="30">
        <f t="shared" ca="1" si="330"/>
        <v>0</v>
      </c>
      <c r="Q455" s="31">
        <f t="shared" ca="1" si="331"/>
        <v>0</v>
      </c>
      <c r="R455" s="31">
        <f t="shared" ca="1" si="332"/>
        <v>0</v>
      </c>
      <c r="S455" s="31">
        <f t="shared" ca="1" si="333"/>
        <v>0</v>
      </c>
      <c r="T455" s="32">
        <f t="shared" ca="1" si="334"/>
        <v>0</v>
      </c>
      <c r="U455" s="37">
        <f t="shared" ca="1" si="353"/>
        <v>0</v>
      </c>
      <c r="V455" s="40">
        <f t="shared" ca="1" si="335"/>
        <v>0</v>
      </c>
      <c r="W455" s="41">
        <f t="shared" ca="1" si="336"/>
        <v>0</v>
      </c>
      <c r="X455" s="43"/>
      <c r="Y455" s="46"/>
      <c r="Z455" s="126"/>
      <c r="AA455" s="136"/>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824">
        <f t="shared" ca="1" si="337"/>
        <v>0</v>
      </c>
      <c r="BM455" s="824">
        <f t="shared" ca="1" si="338"/>
        <v>0</v>
      </c>
      <c r="BN455" s="824">
        <f t="shared" ca="1" si="339"/>
        <v>0</v>
      </c>
      <c r="BO455" s="824">
        <f t="shared" ca="1" si="350"/>
        <v>0</v>
      </c>
      <c r="BP455" s="824">
        <f t="shared" ca="1" si="350"/>
        <v>0</v>
      </c>
      <c r="BQ455" s="824">
        <f t="shared" ca="1" si="350"/>
        <v>0</v>
      </c>
      <c r="BR455" s="824">
        <f t="shared" ca="1" si="350"/>
        <v>0</v>
      </c>
      <c r="BS455" s="824">
        <f t="shared" ca="1" si="350"/>
        <v>0</v>
      </c>
      <c r="BT455" s="824">
        <f t="shared" ca="1" si="350"/>
        <v>0</v>
      </c>
      <c r="BU455" s="824">
        <f t="shared" ca="1" si="350"/>
        <v>0</v>
      </c>
      <c r="BV455" s="824">
        <f t="shared" ca="1" si="350"/>
        <v>0</v>
      </c>
      <c r="BW455" s="824">
        <f t="shared" ca="1" si="350"/>
        <v>0</v>
      </c>
      <c r="BX455" s="824">
        <f t="shared" ca="1" si="350"/>
        <v>0</v>
      </c>
      <c r="BY455" s="824">
        <f t="shared" ca="1" si="350"/>
        <v>0</v>
      </c>
      <c r="BZ455" s="824">
        <f t="shared" ca="1" si="350"/>
        <v>0</v>
      </c>
      <c r="CA455" s="824">
        <f t="shared" ca="1" si="350"/>
        <v>0</v>
      </c>
      <c r="CB455" s="824">
        <f t="shared" ca="1" si="350"/>
        <v>0</v>
      </c>
      <c r="CC455" s="824">
        <f t="shared" ca="1" si="350"/>
        <v>0</v>
      </c>
      <c r="CD455" s="824">
        <f t="shared" ref="CD455:CS470" ca="1" si="354">IF(OR(IF($BL455*1&lt;$BL$196,$BL455*1=CD$198,FALSE),IF($BL455*2&lt;$BL$196,$BL455*2=CD$198,FALSE),IF($BL455*3&lt;$BL$196,$BL455*3=CD$198,FALSE),IF($BL455*4&lt;$BL$196,$BL455*4=CD$198,FALSE),IF($BL455*5&lt;$BL$196,$BL455*5=CD$198,FALSE)),$BN455*$BM$196^CD$198,0)</f>
        <v>0</v>
      </c>
      <c r="CE455" s="824">
        <f t="shared" ca="1" si="354"/>
        <v>0</v>
      </c>
      <c r="CF455" s="824">
        <f t="shared" ca="1" si="354"/>
        <v>0</v>
      </c>
      <c r="CG455" s="824">
        <f t="shared" ca="1" si="354"/>
        <v>0</v>
      </c>
      <c r="CH455" s="824">
        <f t="shared" ca="1" si="354"/>
        <v>0</v>
      </c>
      <c r="CI455" s="824">
        <f t="shared" ca="1" si="354"/>
        <v>0</v>
      </c>
      <c r="CJ455" s="824">
        <f t="shared" ca="1" si="354"/>
        <v>0</v>
      </c>
      <c r="CK455" s="824">
        <f t="shared" ca="1" si="354"/>
        <v>0</v>
      </c>
      <c r="CL455" s="824">
        <f t="shared" ca="1" si="354"/>
        <v>0</v>
      </c>
      <c r="CM455" s="824">
        <f t="shared" ca="1" si="354"/>
        <v>0</v>
      </c>
      <c r="CN455" s="824">
        <f t="shared" ca="1" si="354"/>
        <v>0</v>
      </c>
      <c r="CO455" s="824">
        <f t="shared" ca="1" si="354"/>
        <v>0</v>
      </c>
      <c r="CP455" s="824">
        <f t="shared" ca="1" si="354"/>
        <v>0</v>
      </c>
      <c r="CQ455" s="824">
        <f t="shared" ca="1" si="354"/>
        <v>0</v>
      </c>
      <c r="CR455" s="824">
        <f t="shared" ca="1" si="354"/>
        <v>0</v>
      </c>
      <c r="CS455" s="824">
        <f t="shared" ca="1" si="354"/>
        <v>0</v>
      </c>
      <c r="CT455" s="824">
        <f t="shared" ca="1" si="352"/>
        <v>0</v>
      </c>
      <c r="CU455" s="824">
        <f t="shared" ca="1" si="352"/>
        <v>0</v>
      </c>
      <c r="CV455" s="824">
        <f t="shared" ca="1" si="352"/>
        <v>0</v>
      </c>
      <c r="CW455" s="824">
        <f t="shared" ca="1" si="352"/>
        <v>0</v>
      </c>
      <c r="CX455" s="824">
        <f t="shared" ca="1" si="352"/>
        <v>0</v>
      </c>
      <c r="CY455" s="824">
        <f t="shared" ca="1" si="352"/>
        <v>0</v>
      </c>
      <c r="CZ455" s="824">
        <f t="shared" ca="1" si="352"/>
        <v>0</v>
      </c>
      <c r="DA455" s="824">
        <f t="shared" ca="1" si="352"/>
        <v>0</v>
      </c>
      <c r="DB455" s="824">
        <f t="shared" ca="1" si="352"/>
        <v>0</v>
      </c>
      <c r="DC455" s="824">
        <f t="shared" ca="1" si="352"/>
        <v>0</v>
      </c>
      <c r="DD455" s="824">
        <f t="shared" ca="1" si="352"/>
        <v>0</v>
      </c>
      <c r="DE455" s="824">
        <f t="shared" ca="1" si="352"/>
        <v>0</v>
      </c>
      <c r="DF455" s="824">
        <f t="shared" ca="1" si="352"/>
        <v>0</v>
      </c>
      <c r="DG455" s="824">
        <f t="shared" ca="1" si="352"/>
        <v>0</v>
      </c>
      <c r="DH455" s="824">
        <f t="shared" ca="1" si="352"/>
        <v>0</v>
      </c>
      <c r="DI455" s="824">
        <f t="shared" ca="1" si="352"/>
        <v>0</v>
      </c>
      <c r="DJ455" s="824">
        <f t="shared" ca="1" si="314"/>
        <v>0</v>
      </c>
      <c r="DK455" s="824">
        <f t="shared" ca="1" si="314"/>
        <v>0</v>
      </c>
      <c r="DL455" s="824">
        <f t="shared" ca="1" si="314"/>
        <v>0</v>
      </c>
    </row>
    <row r="456" spans="2:116" ht="12" thickBot="1" x14ac:dyDescent="0.3">
      <c r="B456" s="1673"/>
      <c r="C456" s="1680"/>
      <c r="D456" s="15" t="s">
        <v>183</v>
      </c>
      <c r="E456" s="116"/>
      <c r="F456" s="116">
        <f ca="1">SUBTOTAL(109,'3.2 I&amp;W'!$X$193)</f>
        <v>0</v>
      </c>
      <c r="G456" s="116">
        <f ca="1">SUBTOTAL(109,'3.2 I&amp;W'!$Y$193)</f>
        <v>0</v>
      </c>
      <c r="H456" s="116">
        <f ca="1">SUBTOTAL(109,'3.2 I&amp;W'!$AD$193)</f>
        <v>0</v>
      </c>
      <c r="I456" s="116">
        <f ca="1">SUBTOTAL(109,'3.2 I&amp;W'!$AE$193)</f>
        <v>0</v>
      </c>
      <c r="J456" s="116"/>
      <c r="K456" s="116"/>
      <c r="L456" s="116"/>
      <c r="M456" s="116">
        <f ca="1">SUBTOTAL(109,'3.2 I&amp;W'!$AI$193)</f>
        <v>0</v>
      </c>
      <c r="N456" s="156">
        <f t="shared" ca="1" si="340"/>
        <v>0</v>
      </c>
      <c r="O456" s="116">
        <f ca="1">SUBTOTAL(109,'3.2 I&amp;W'!$S$193)</f>
        <v>0</v>
      </c>
      <c r="P456" s="30">
        <f t="shared" ca="1" si="330"/>
        <v>0</v>
      </c>
      <c r="Q456" s="31">
        <f t="shared" ca="1" si="331"/>
        <v>0</v>
      </c>
      <c r="R456" s="31">
        <f t="shared" ca="1" si="332"/>
        <v>0</v>
      </c>
      <c r="S456" s="31">
        <f t="shared" ca="1" si="333"/>
        <v>0</v>
      </c>
      <c r="T456" s="32">
        <f t="shared" ca="1" si="334"/>
        <v>0</v>
      </c>
      <c r="U456" s="37">
        <f t="shared" ca="1" si="353"/>
        <v>0</v>
      </c>
      <c r="V456" s="40">
        <f t="shared" ca="1" si="335"/>
        <v>0</v>
      </c>
      <c r="W456" s="41">
        <f t="shared" ca="1" si="336"/>
        <v>0</v>
      </c>
      <c r="X456" s="43"/>
      <c r="Y456" s="46"/>
      <c r="Z456" s="126"/>
      <c r="AA456" s="136"/>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824">
        <f t="shared" ca="1" si="337"/>
        <v>0</v>
      </c>
      <c r="BM456" s="824">
        <f t="shared" ca="1" si="338"/>
        <v>0</v>
      </c>
      <c r="BN456" s="824">
        <f t="shared" ca="1" si="339"/>
        <v>0</v>
      </c>
      <c r="BO456" s="824">
        <f t="shared" ref="BO456:CD471" ca="1" si="355">IF(OR(IF($BL456*1&lt;$BL$196,$BL456*1=BO$198,FALSE),IF($BL456*2&lt;$BL$196,$BL456*2=BO$198,FALSE),IF($BL456*3&lt;$BL$196,$BL456*3=BO$198,FALSE),IF($BL456*4&lt;$BL$196,$BL456*4=BO$198,FALSE),IF($BL456*5&lt;$BL$196,$BL456*5=BO$198,FALSE)),$BN456*$BM$196^BO$198,0)</f>
        <v>0</v>
      </c>
      <c r="BP456" s="824">
        <f t="shared" ca="1" si="355"/>
        <v>0</v>
      </c>
      <c r="BQ456" s="824">
        <f t="shared" ca="1" si="355"/>
        <v>0</v>
      </c>
      <c r="BR456" s="824">
        <f t="shared" ca="1" si="355"/>
        <v>0</v>
      </c>
      <c r="BS456" s="824">
        <f t="shared" ca="1" si="355"/>
        <v>0</v>
      </c>
      <c r="BT456" s="824">
        <f t="shared" ca="1" si="355"/>
        <v>0</v>
      </c>
      <c r="BU456" s="824">
        <f t="shared" ca="1" si="355"/>
        <v>0</v>
      </c>
      <c r="BV456" s="824">
        <f t="shared" ca="1" si="355"/>
        <v>0</v>
      </c>
      <c r="BW456" s="824">
        <f t="shared" ca="1" si="355"/>
        <v>0</v>
      </c>
      <c r="BX456" s="824">
        <f t="shared" ca="1" si="355"/>
        <v>0</v>
      </c>
      <c r="BY456" s="824">
        <f t="shared" ca="1" si="355"/>
        <v>0</v>
      </c>
      <c r="BZ456" s="824">
        <f t="shared" ca="1" si="355"/>
        <v>0</v>
      </c>
      <c r="CA456" s="824">
        <f t="shared" ca="1" si="355"/>
        <v>0</v>
      </c>
      <c r="CB456" s="824">
        <f t="shared" ca="1" si="355"/>
        <v>0</v>
      </c>
      <c r="CC456" s="824">
        <f t="shared" ca="1" si="355"/>
        <v>0</v>
      </c>
      <c r="CD456" s="824">
        <f t="shared" ca="1" si="355"/>
        <v>0</v>
      </c>
      <c r="CE456" s="824">
        <f t="shared" ca="1" si="354"/>
        <v>0</v>
      </c>
      <c r="CF456" s="824">
        <f t="shared" ca="1" si="354"/>
        <v>0</v>
      </c>
      <c r="CG456" s="824">
        <f t="shared" ca="1" si="354"/>
        <v>0</v>
      </c>
      <c r="CH456" s="824">
        <f t="shared" ca="1" si="354"/>
        <v>0</v>
      </c>
      <c r="CI456" s="824">
        <f t="shared" ca="1" si="354"/>
        <v>0</v>
      </c>
      <c r="CJ456" s="824">
        <f t="shared" ca="1" si="354"/>
        <v>0</v>
      </c>
      <c r="CK456" s="824">
        <f t="shared" ca="1" si="354"/>
        <v>0</v>
      </c>
      <c r="CL456" s="824">
        <f t="shared" ca="1" si="354"/>
        <v>0</v>
      </c>
      <c r="CM456" s="824">
        <f t="shared" ca="1" si="354"/>
        <v>0</v>
      </c>
      <c r="CN456" s="824">
        <f t="shared" ca="1" si="354"/>
        <v>0</v>
      </c>
      <c r="CO456" s="824">
        <f t="shared" ca="1" si="354"/>
        <v>0</v>
      </c>
      <c r="CP456" s="824">
        <f t="shared" ca="1" si="354"/>
        <v>0</v>
      </c>
      <c r="CQ456" s="824">
        <f t="shared" ca="1" si="354"/>
        <v>0</v>
      </c>
      <c r="CR456" s="824">
        <f t="shared" ca="1" si="354"/>
        <v>0</v>
      </c>
      <c r="CS456" s="824">
        <f t="shared" ca="1" si="354"/>
        <v>0</v>
      </c>
      <c r="CT456" s="824">
        <f t="shared" ca="1" si="352"/>
        <v>0</v>
      </c>
      <c r="CU456" s="824">
        <f t="shared" ca="1" si="352"/>
        <v>0</v>
      </c>
      <c r="CV456" s="824">
        <f t="shared" ca="1" si="352"/>
        <v>0</v>
      </c>
      <c r="CW456" s="824">
        <f t="shared" ca="1" si="352"/>
        <v>0</v>
      </c>
      <c r="CX456" s="824">
        <f t="shared" ca="1" si="352"/>
        <v>0</v>
      </c>
      <c r="CY456" s="824">
        <f t="shared" ca="1" si="352"/>
        <v>0</v>
      </c>
      <c r="CZ456" s="824">
        <f t="shared" ca="1" si="352"/>
        <v>0</v>
      </c>
      <c r="DA456" s="824">
        <f t="shared" ca="1" si="352"/>
        <v>0</v>
      </c>
      <c r="DB456" s="824">
        <f t="shared" ca="1" si="352"/>
        <v>0</v>
      </c>
      <c r="DC456" s="824">
        <f t="shared" ca="1" si="352"/>
        <v>0</v>
      </c>
      <c r="DD456" s="824">
        <f t="shared" ca="1" si="352"/>
        <v>0</v>
      </c>
      <c r="DE456" s="824">
        <f t="shared" ca="1" si="352"/>
        <v>0</v>
      </c>
      <c r="DF456" s="824">
        <f t="shared" ca="1" si="352"/>
        <v>0</v>
      </c>
      <c r="DG456" s="824">
        <f t="shared" ca="1" si="352"/>
        <v>0</v>
      </c>
      <c r="DH456" s="824">
        <f t="shared" ca="1" si="352"/>
        <v>0</v>
      </c>
      <c r="DI456" s="824">
        <f t="shared" ref="DI456" ca="1" si="356">IF(OR(IF($BL456*1&lt;$BL$196,$BL456*1=DI$198,FALSE),IF($BL456*2&lt;$BL$196,$BL456*2=DI$198,FALSE),IF($BL456*3&lt;$BL$196,$BL456*3=DI$198,FALSE),IF($BL456*4&lt;$BL$196,$BL456*4=DI$198,FALSE),IF($BL456*5&lt;$BL$196,$BL456*5=DI$198,FALSE)),$BN456*$BM$196^DI$198,0)</f>
        <v>0</v>
      </c>
      <c r="DJ456" s="824">
        <f t="shared" ca="1" si="314"/>
        <v>0</v>
      </c>
      <c r="DK456" s="824">
        <f t="shared" ca="1" si="314"/>
        <v>0</v>
      </c>
      <c r="DL456" s="824">
        <f t="shared" ca="1" si="314"/>
        <v>0</v>
      </c>
    </row>
    <row r="457" spans="2:116" ht="12" thickBot="1" x14ac:dyDescent="0.3">
      <c r="B457" s="1673"/>
      <c r="C457" s="1680"/>
      <c r="D457" s="15" t="s">
        <v>183</v>
      </c>
      <c r="E457" s="165"/>
      <c r="F457" s="116">
        <f ca="1">SUBTOTAL(109,'3.2 I&amp;W'!$X$194)</f>
        <v>0</v>
      </c>
      <c r="G457" s="116">
        <f ca="1">SUBTOTAL(109,'3.2 I&amp;W'!$Y$194)</f>
        <v>0</v>
      </c>
      <c r="H457" s="116">
        <f ca="1">SUBTOTAL(109,'3.2 I&amp;W'!$AD$194)</f>
        <v>0</v>
      </c>
      <c r="I457" s="116">
        <f ca="1">SUBTOTAL(109,'3.2 I&amp;W'!$AE$194)</f>
        <v>0</v>
      </c>
      <c r="J457" s="116"/>
      <c r="K457" s="116"/>
      <c r="L457" s="116"/>
      <c r="M457" s="116">
        <f ca="1">SUBTOTAL(109,'3.2 I&amp;W'!$AI$194)</f>
        <v>0</v>
      </c>
      <c r="N457" s="156">
        <f t="shared" ca="1" si="340"/>
        <v>0</v>
      </c>
      <c r="O457" s="116">
        <f ca="1">SUBTOTAL(109,'3.2 I&amp;W'!$S$194)</f>
        <v>0</v>
      </c>
      <c r="P457" s="30">
        <f t="shared" ca="1" si="330"/>
        <v>0</v>
      </c>
      <c r="Q457" s="31">
        <f t="shared" ca="1" si="331"/>
        <v>0</v>
      </c>
      <c r="R457" s="31">
        <f t="shared" ca="1" si="332"/>
        <v>0</v>
      </c>
      <c r="S457" s="31">
        <f t="shared" ca="1" si="333"/>
        <v>0</v>
      </c>
      <c r="T457" s="32">
        <f t="shared" ca="1" si="334"/>
        <v>0</v>
      </c>
      <c r="U457" s="37">
        <f t="shared" ca="1" si="353"/>
        <v>0</v>
      </c>
      <c r="V457" s="40">
        <f t="shared" ca="1" si="335"/>
        <v>0</v>
      </c>
      <c r="W457" s="41">
        <f t="shared" ca="1" si="336"/>
        <v>0</v>
      </c>
      <c r="X457" s="43"/>
      <c r="Y457" s="46"/>
      <c r="Z457" s="126"/>
      <c r="AA457" s="136"/>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824">
        <f t="shared" ca="1" si="337"/>
        <v>0</v>
      </c>
      <c r="BM457" s="824">
        <f t="shared" ca="1" si="338"/>
        <v>0</v>
      </c>
      <c r="BN457" s="824">
        <f t="shared" ca="1" si="339"/>
        <v>0</v>
      </c>
      <c r="BO457" s="824">
        <f t="shared" ca="1" si="355"/>
        <v>0</v>
      </c>
      <c r="BP457" s="824">
        <f t="shared" ca="1" si="355"/>
        <v>0</v>
      </c>
      <c r="BQ457" s="824">
        <f t="shared" ca="1" si="355"/>
        <v>0</v>
      </c>
      <c r="BR457" s="824">
        <f t="shared" ca="1" si="355"/>
        <v>0</v>
      </c>
      <c r="BS457" s="824">
        <f t="shared" ca="1" si="355"/>
        <v>0</v>
      </c>
      <c r="BT457" s="824">
        <f t="shared" ca="1" si="355"/>
        <v>0</v>
      </c>
      <c r="BU457" s="824">
        <f t="shared" ca="1" si="355"/>
        <v>0</v>
      </c>
      <c r="BV457" s="824">
        <f t="shared" ca="1" si="355"/>
        <v>0</v>
      </c>
      <c r="BW457" s="824">
        <f t="shared" ca="1" si="355"/>
        <v>0</v>
      </c>
      <c r="BX457" s="824">
        <f t="shared" ca="1" si="355"/>
        <v>0</v>
      </c>
      <c r="BY457" s="824">
        <f t="shared" ca="1" si="355"/>
        <v>0</v>
      </c>
      <c r="BZ457" s="824">
        <f t="shared" ca="1" si="355"/>
        <v>0</v>
      </c>
      <c r="CA457" s="824">
        <f t="shared" ca="1" si="355"/>
        <v>0</v>
      </c>
      <c r="CB457" s="824">
        <f t="shared" ca="1" si="355"/>
        <v>0</v>
      </c>
      <c r="CC457" s="824">
        <f t="shared" ca="1" si="355"/>
        <v>0</v>
      </c>
      <c r="CD457" s="824">
        <f t="shared" ca="1" si="355"/>
        <v>0</v>
      </c>
      <c r="CE457" s="824">
        <f t="shared" ca="1" si="354"/>
        <v>0</v>
      </c>
      <c r="CF457" s="824">
        <f t="shared" ca="1" si="354"/>
        <v>0</v>
      </c>
      <c r="CG457" s="824">
        <f t="shared" ca="1" si="354"/>
        <v>0</v>
      </c>
      <c r="CH457" s="824">
        <f t="shared" ca="1" si="354"/>
        <v>0</v>
      </c>
      <c r="CI457" s="824">
        <f t="shared" ca="1" si="354"/>
        <v>0</v>
      </c>
      <c r="CJ457" s="824">
        <f t="shared" ca="1" si="354"/>
        <v>0</v>
      </c>
      <c r="CK457" s="824">
        <f t="shared" ca="1" si="354"/>
        <v>0</v>
      </c>
      <c r="CL457" s="824">
        <f t="shared" ca="1" si="354"/>
        <v>0</v>
      </c>
      <c r="CM457" s="824">
        <f t="shared" ca="1" si="354"/>
        <v>0</v>
      </c>
      <c r="CN457" s="824">
        <f t="shared" ca="1" si="354"/>
        <v>0</v>
      </c>
      <c r="CO457" s="824">
        <f t="shared" ca="1" si="354"/>
        <v>0</v>
      </c>
      <c r="CP457" s="824">
        <f t="shared" ca="1" si="354"/>
        <v>0</v>
      </c>
      <c r="CQ457" s="824">
        <f t="shared" ca="1" si="354"/>
        <v>0</v>
      </c>
      <c r="CR457" s="824">
        <f t="shared" ca="1" si="354"/>
        <v>0</v>
      </c>
      <c r="CS457" s="824">
        <f t="shared" ca="1" si="354"/>
        <v>0</v>
      </c>
      <c r="CT457" s="824">
        <f t="shared" ref="CT457:DI472" ca="1" si="357">IF(OR(IF($BL457*1&lt;$BL$196,$BL457*1=CT$198,FALSE),IF($BL457*2&lt;$BL$196,$BL457*2=CT$198,FALSE),IF($BL457*3&lt;$BL$196,$BL457*3=CT$198,FALSE),IF($BL457*4&lt;$BL$196,$BL457*4=CT$198,FALSE),IF($BL457*5&lt;$BL$196,$BL457*5=CT$198,FALSE)),$BN457*$BM$196^CT$198,0)</f>
        <v>0</v>
      </c>
      <c r="CU457" s="824">
        <f t="shared" ca="1" si="357"/>
        <v>0</v>
      </c>
      <c r="CV457" s="824">
        <f t="shared" ca="1" si="357"/>
        <v>0</v>
      </c>
      <c r="CW457" s="824">
        <f t="shared" ca="1" si="357"/>
        <v>0</v>
      </c>
      <c r="CX457" s="824">
        <f t="shared" ca="1" si="357"/>
        <v>0</v>
      </c>
      <c r="CY457" s="824">
        <f t="shared" ca="1" si="357"/>
        <v>0</v>
      </c>
      <c r="CZ457" s="824">
        <f t="shared" ca="1" si="357"/>
        <v>0</v>
      </c>
      <c r="DA457" s="824">
        <f t="shared" ca="1" si="357"/>
        <v>0</v>
      </c>
      <c r="DB457" s="824">
        <f t="shared" ca="1" si="357"/>
        <v>0</v>
      </c>
      <c r="DC457" s="824">
        <f t="shared" ca="1" si="357"/>
        <v>0</v>
      </c>
      <c r="DD457" s="824">
        <f t="shared" ca="1" si="357"/>
        <v>0</v>
      </c>
      <c r="DE457" s="824">
        <f t="shared" ca="1" si="357"/>
        <v>0</v>
      </c>
      <c r="DF457" s="824">
        <f t="shared" ca="1" si="357"/>
        <v>0</v>
      </c>
      <c r="DG457" s="824">
        <f t="shared" ca="1" si="357"/>
        <v>0</v>
      </c>
      <c r="DH457" s="824">
        <f t="shared" ca="1" si="357"/>
        <v>0</v>
      </c>
      <c r="DI457" s="824">
        <f t="shared" ca="1" si="357"/>
        <v>0</v>
      </c>
      <c r="DJ457" s="824">
        <f t="shared" ca="1" si="314"/>
        <v>0</v>
      </c>
      <c r="DK457" s="824">
        <f t="shared" ca="1" si="314"/>
        <v>0</v>
      </c>
      <c r="DL457" s="824">
        <f t="shared" ca="1" si="314"/>
        <v>0</v>
      </c>
    </row>
    <row r="458" spans="2:116" ht="12" thickBot="1" x14ac:dyDescent="0.3">
      <c r="B458" s="1673"/>
      <c r="C458" s="1680"/>
      <c r="D458" s="15" t="s">
        <v>15</v>
      </c>
      <c r="E458" s="116"/>
      <c r="F458" s="116">
        <f ca="1">SUBTOTAL(109,'3.2 I&amp;W'!$X$197)</f>
        <v>0</v>
      </c>
      <c r="G458" s="116">
        <f ca="1">SUBTOTAL(109,'3.2 I&amp;W'!$Y$197)</f>
        <v>0</v>
      </c>
      <c r="H458" s="116">
        <f ca="1">SUBTOTAL(109,'3.2 I&amp;W'!$AD$197)</f>
        <v>1.0183990766515039E-2</v>
      </c>
      <c r="I458" s="116">
        <f ca="1">SUBTOTAL(109,'3.2 I&amp;W'!$AE$197)</f>
        <v>360</v>
      </c>
      <c r="J458" s="116"/>
      <c r="K458" s="116"/>
      <c r="L458" s="116"/>
      <c r="M458" s="116">
        <f ca="1">SUBTOTAL(109,'3.2 I&amp;W'!$AI$197)</f>
        <v>25</v>
      </c>
      <c r="N458" s="156">
        <f t="shared" ca="1" si="340"/>
        <v>1</v>
      </c>
      <c r="O458" s="116">
        <f>SUBTOTAL(109,'3.2 I&amp;W'!$S$197)</f>
        <v>35349.599999999999</v>
      </c>
      <c r="P458" s="30">
        <f t="shared" ca="1" si="330"/>
        <v>32042.242915794082</v>
      </c>
      <c r="Q458" s="31">
        <f t="shared" ca="1" si="331"/>
        <v>0</v>
      </c>
      <c r="R458" s="31">
        <f t="shared" ca="1" si="332"/>
        <v>0</v>
      </c>
      <c r="S458" s="31">
        <f t="shared" ca="1" si="333"/>
        <v>0</v>
      </c>
      <c r="T458" s="32">
        <f t="shared" ca="1" si="334"/>
        <v>0</v>
      </c>
      <c r="U458" s="37">
        <f t="shared" ca="1" si="353"/>
        <v>15771.479700095048</v>
      </c>
      <c r="V458" s="40">
        <f t="shared" ca="1" si="335"/>
        <v>0</v>
      </c>
      <c r="W458" s="41">
        <f t="shared" ca="1" si="336"/>
        <v>11563.848634307347</v>
      </c>
      <c r="X458" s="43"/>
      <c r="Y458" s="46"/>
      <c r="Z458" s="126"/>
      <c r="AA458" s="136"/>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824">
        <f t="shared" ca="1" si="337"/>
        <v>25</v>
      </c>
      <c r="BM458" s="824">
        <f t="shared" ca="1" si="338"/>
        <v>1</v>
      </c>
      <c r="BN458" s="824">
        <f t="shared" si="339"/>
        <v>35349.599999999999</v>
      </c>
      <c r="BO458" s="824">
        <f t="shared" ca="1" si="355"/>
        <v>0</v>
      </c>
      <c r="BP458" s="824">
        <f t="shared" ca="1" si="355"/>
        <v>0</v>
      </c>
      <c r="BQ458" s="824">
        <f t="shared" ca="1" si="355"/>
        <v>0</v>
      </c>
      <c r="BR458" s="824">
        <f t="shared" ca="1" si="355"/>
        <v>0</v>
      </c>
      <c r="BS458" s="824">
        <f t="shared" ca="1" si="355"/>
        <v>0</v>
      </c>
      <c r="BT458" s="824">
        <f t="shared" ca="1" si="355"/>
        <v>0</v>
      </c>
      <c r="BU458" s="824">
        <f t="shared" ca="1" si="355"/>
        <v>0</v>
      </c>
      <c r="BV458" s="824">
        <f t="shared" ca="1" si="355"/>
        <v>0</v>
      </c>
      <c r="BW458" s="824">
        <f t="shared" ca="1" si="355"/>
        <v>0</v>
      </c>
      <c r="BX458" s="824">
        <f t="shared" ca="1" si="355"/>
        <v>0</v>
      </c>
      <c r="BY458" s="824">
        <f t="shared" ca="1" si="355"/>
        <v>0</v>
      </c>
      <c r="BZ458" s="824">
        <f t="shared" ca="1" si="355"/>
        <v>0</v>
      </c>
      <c r="CA458" s="824">
        <f t="shared" ca="1" si="355"/>
        <v>0</v>
      </c>
      <c r="CB458" s="824">
        <f t="shared" ca="1" si="355"/>
        <v>0</v>
      </c>
      <c r="CC458" s="824">
        <f t="shared" ca="1" si="355"/>
        <v>0</v>
      </c>
      <c r="CD458" s="824">
        <f t="shared" ca="1" si="355"/>
        <v>0</v>
      </c>
      <c r="CE458" s="824">
        <f t="shared" ca="1" si="354"/>
        <v>0</v>
      </c>
      <c r="CF458" s="824">
        <f t="shared" ca="1" si="354"/>
        <v>0</v>
      </c>
      <c r="CG458" s="824">
        <f t="shared" ca="1" si="354"/>
        <v>0</v>
      </c>
      <c r="CH458" s="824">
        <f t="shared" ca="1" si="354"/>
        <v>0</v>
      </c>
      <c r="CI458" s="824">
        <f t="shared" ca="1" si="354"/>
        <v>0</v>
      </c>
      <c r="CJ458" s="824">
        <f t="shared" ca="1" si="354"/>
        <v>0</v>
      </c>
      <c r="CK458" s="824">
        <f t="shared" ca="1" si="354"/>
        <v>0</v>
      </c>
      <c r="CL458" s="824">
        <f t="shared" ca="1" si="354"/>
        <v>0</v>
      </c>
      <c r="CM458" s="824">
        <f t="shared" ca="1" si="354"/>
        <v>52568.695803746785</v>
      </c>
      <c r="CN458" s="824">
        <f t="shared" ca="1" si="354"/>
        <v>0</v>
      </c>
      <c r="CO458" s="824">
        <f t="shared" ca="1" si="354"/>
        <v>0</v>
      </c>
      <c r="CP458" s="824">
        <f t="shared" ca="1" si="354"/>
        <v>0</v>
      </c>
      <c r="CQ458" s="824">
        <f t="shared" ca="1" si="354"/>
        <v>0</v>
      </c>
      <c r="CR458" s="824">
        <f t="shared" ca="1" si="354"/>
        <v>0</v>
      </c>
      <c r="CS458" s="824">
        <f t="shared" ca="1" si="354"/>
        <v>0</v>
      </c>
      <c r="CT458" s="824">
        <f t="shared" ca="1" si="357"/>
        <v>0</v>
      </c>
      <c r="CU458" s="824">
        <f t="shared" ca="1" si="357"/>
        <v>0</v>
      </c>
      <c r="CV458" s="824">
        <f t="shared" ca="1" si="357"/>
        <v>0</v>
      </c>
      <c r="CW458" s="824">
        <f t="shared" ca="1" si="357"/>
        <v>0</v>
      </c>
      <c r="CX458" s="824">
        <f t="shared" ca="1" si="357"/>
        <v>0</v>
      </c>
      <c r="CY458" s="824">
        <f t="shared" ca="1" si="357"/>
        <v>0</v>
      </c>
      <c r="CZ458" s="824">
        <f t="shared" ca="1" si="357"/>
        <v>0</v>
      </c>
      <c r="DA458" s="824">
        <f t="shared" ca="1" si="357"/>
        <v>0</v>
      </c>
      <c r="DB458" s="824">
        <f t="shared" ca="1" si="357"/>
        <v>0</v>
      </c>
      <c r="DC458" s="824">
        <f t="shared" ca="1" si="357"/>
        <v>0</v>
      </c>
      <c r="DD458" s="824">
        <f t="shared" ca="1" si="357"/>
        <v>0</v>
      </c>
      <c r="DE458" s="824">
        <f t="shared" ca="1" si="357"/>
        <v>0</v>
      </c>
      <c r="DF458" s="824">
        <f t="shared" ca="1" si="357"/>
        <v>0</v>
      </c>
      <c r="DG458" s="824">
        <f t="shared" ca="1" si="357"/>
        <v>0</v>
      </c>
      <c r="DH458" s="824">
        <f t="shared" ca="1" si="357"/>
        <v>0</v>
      </c>
      <c r="DI458" s="824">
        <f t="shared" ca="1" si="357"/>
        <v>0</v>
      </c>
      <c r="DJ458" s="824">
        <f t="shared" ca="1" si="314"/>
        <v>0</v>
      </c>
      <c r="DK458" s="824">
        <f t="shared" ca="1" si="314"/>
        <v>0</v>
      </c>
      <c r="DL458" s="824">
        <f t="shared" ca="1" si="314"/>
        <v>0</v>
      </c>
    </row>
    <row r="459" spans="2:116" ht="12" thickBot="1" x14ac:dyDescent="0.3">
      <c r="B459" s="1673"/>
      <c r="C459" s="1680"/>
      <c r="D459" s="15" t="s">
        <v>15</v>
      </c>
      <c r="E459" s="165"/>
      <c r="F459" s="116">
        <f ca="1">SUBTOTAL(109,'3.2 I&amp;W'!$X$198)</f>
        <v>0</v>
      </c>
      <c r="G459" s="116">
        <f ca="1">SUBTOTAL(109,'3.2 I&amp;W'!$Y$198)</f>
        <v>0</v>
      </c>
      <c r="H459" s="116">
        <f ca="1">SUBTOTAL(109,'3.2 I&amp;W'!$AD$198)</f>
        <v>0</v>
      </c>
      <c r="I459" s="116">
        <f ca="1">SUBTOTAL(109,'3.2 I&amp;W'!$AE$198)</f>
        <v>0</v>
      </c>
      <c r="J459" s="116"/>
      <c r="K459" s="116"/>
      <c r="L459" s="116"/>
      <c r="M459" s="116">
        <f ca="1">SUBTOTAL(109,'3.2 I&amp;W'!$AI$198)</f>
        <v>0</v>
      </c>
      <c r="N459" s="156">
        <f t="shared" ca="1" si="340"/>
        <v>0</v>
      </c>
      <c r="O459" s="116">
        <f ca="1">SUBTOTAL(109,'3.2 I&amp;W'!$S$198)</f>
        <v>0</v>
      </c>
      <c r="P459" s="30">
        <f t="shared" ca="1" si="330"/>
        <v>0</v>
      </c>
      <c r="Q459" s="31">
        <f t="shared" ca="1" si="331"/>
        <v>0</v>
      </c>
      <c r="R459" s="31">
        <f t="shared" ca="1" si="332"/>
        <v>0</v>
      </c>
      <c r="S459" s="31">
        <f t="shared" ca="1" si="333"/>
        <v>0</v>
      </c>
      <c r="T459" s="32">
        <f t="shared" ca="1" si="334"/>
        <v>0</v>
      </c>
      <c r="U459" s="37">
        <f t="shared" ca="1" si="353"/>
        <v>0</v>
      </c>
      <c r="V459" s="40">
        <f t="shared" ca="1" si="335"/>
        <v>0</v>
      </c>
      <c r="W459" s="41">
        <f t="shared" ca="1" si="336"/>
        <v>0</v>
      </c>
      <c r="X459" s="43"/>
      <c r="Y459" s="46"/>
      <c r="Z459" s="126"/>
      <c r="AA459" s="136"/>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824">
        <f t="shared" ca="1" si="337"/>
        <v>0</v>
      </c>
      <c r="BM459" s="824">
        <f t="shared" ca="1" si="338"/>
        <v>0</v>
      </c>
      <c r="BN459" s="824">
        <f t="shared" ca="1" si="339"/>
        <v>0</v>
      </c>
      <c r="BO459" s="824">
        <f t="shared" ca="1" si="355"/>
        <v>0</v>
      </c>
      <c r="BP459" s="824">
        <f t="shared" ca="1" si="355"/>
        <v>0</v>
      </c>
      <c r="BQ459" s="824">
        <f t="shared" ca="1" si="355"/>
        <v>0</v>
      </c>
      <c r="BR459" s="824">
        <f t="shared" ca="1" si="355"/>
        <v>0</v>
      </c>
      <c r="BS459" s="824">
        <f t="shared" ca="1" si="355"/>
        <v>0</v>
      </c>
      <c r="BT459" s="824">
        <f t="shared" ca="1" si="355"/>
        <v>0</v>
      </c>
      <c r="BU459" s="824">
        <f t="shared" ca="1" si="355"/>
        <v>0</v>
      </c>
      <c r="BV459" s="824">
        <f t="shared" ca="1" si="355"/>
        <v>0</v>
      </c>
      <c r="BW459" s="824">
        <f t="shared" ca="1" si="355"/>
        <v>0</v>
      </c>
      <c r="BX459" s="824">
        <f t="shared" ca="1" si="355"/>
        <v>0</v>
      </c>
      <c r="BY459" s="824">
        <f t="shared" ca="1" si="355"/>
        <v>0</v>
      </c>
      <c r="BZ459" s="824">
        <f t="shared" ca="1" si="355"/>
        <v>0</v>
      </c>
      <c r="CA459" s="824">
        <f t="shared" ca="1" si="355"/>
        <v>0</v>
      </c>
      <c r="CB459" s="824">
        <f t="shared" ca="1" si="355"/>
        <v>0</v>
      </c>
      <c r="CC459" s="824">
        <f t="shared" ca="1" si="355"/>
        <v>0</v>
      </c>
      <c r="CD459" s="824">
        <f t="shared" ca="1" si="355"/>
        <v>0</v>
      </c>
      <c r="CE459" s="824">
        <f t="shared" ca="1" si="354"/>
        <v>0</v>
      </c>
      <c r="CF459" s="824">
        <f t="shared" ca="1" si="354"/>
        <v>0</v>
      </c>
      <c r="CG459" s="824">
        <f t="shared" ca="1" si="354"/>
        <v>0</v>
      </c>
      <c r="CH459" s="824">
        <f t="shared" ca="1" si="354"/>
        <v>0</v>
      </c>
      <c r="CI459" s="824">
        <f t="shared" ca="1" si="354"/>
        <v>0</v>
      </c>
      <c r="CJ459" s="824">
        <f t="shared" ca="1" si="354"/>
        <v>0</v>
      </c>
      <c r="CK459" s="824">
        <f t="shared" ca="1" si="354"/>
        <v>0</v>
      </c>
      <c r="CL459" s="824">
        <f t="shared" ca="1" si="354"/>
        <v>0</v>
      </c>
      <c r="CM459" s="824">
        <f t="shared" ca="1" si="354"/>
        <v>0</v>
      </c>
      <c r="CN459" s="824">
        <f t="shared" ca="1" si="354"/>
        <v>0</v>
      </c>
      <c r="CO459" s="824">
        <f t="shared" ca="1" si="354"/>
        <v>0</v>
      </c>
      <c r="CP459" s="824">
        <f t="shared" ca="1" si="354"/>
        <v>0</v>
      </c>
      <c r="CQ459" s="824">
        <f t="shared" ca="1" si="354"/>
        <v>0</v>
      </c>
      <c r="CR459" s="824">
        <f t="shared" ca="1" si="354"/>
        <v>0</v>
      </c>
      <c r="CS459" s="824">
        <f t="shared" ca="1" si="354"/>
        <v>0</v>
      </c>
      <c r="CT459" s="824">
        <f t="shared" ca="1" si="357"/>
        <v>0</v>
      </c>
      <c r="CU459" s="824">
        <f t="shared" ca="1" si="357"/>
        <v>0</v>
      </c>
      <c r="CV459" s="824">
        <f t="shared" ca="1" si="357"/>
        <v>0</v>
      </c>
      <c r="CW459" s="824">
        <f t="shared" ca="1" si="357"/>
        <v>0</v>
      </c>
      <c r="CX459" s="824">
        <f t="shared" ca="1" si="357"/>
        <v>0</v>
      </c>
      <c r="CY459" s="824">
        <f t="shared" ca="1" si="357"/>
        <v>0</v>
      </c>
      <c r="CZ459" s="824">
        <f t="shared" ca="1" si="357"/>
        <v>0</v>
      </c>
      <c r="DA459" s="824">
        <f t="shared" ca="1" si="357"/>
        <v>0</v>
      </c>
      <c r="DB459" s="824">
        <f t="shared" ca="1" si="357"/>
        <v>0</v>
      </c>
      <c r="DC459" s="824">
        <f t="shared" ca="1" si="357"/>
        <v>0</v>
      </c>
      <c r="DD459" s="824">
        <f t="shared" ca="1" si="357"/>
        <v>0</v>
      </c>
      <c r="DE459" s="824">
        <f t="shared" ca="1" si="357"/>
        <v>0</v>
      </c>
      <c r="DF459" s="824">
        <f t="shared" ca="1" si="357"/>
        <v>0</v>
      </c>
      <c r="DG459" s="824">
        <f t="shared" ca="1" si="357"/>
        <v>0</v>
      </c>
      <c r="DH459" s="824">
        <f t="shared" ca="1" si="357"/>
        <v>0</v>
      </c>
      <c r="DI459" s="824">
        <f t="shared" ca="1" si="357"/>
        <v>0</v>
      </c>
      <c r="DJ459" s="824">
        <f t="shared" ca="1" si="314"/>
        <v>0</v>
      </c>
      <c r="DK459" s="824">
        <f t="shared" ca="1" si="314"/>
        <v>0</v>
      </c>
      <c r="DL459" s="824">
        <f t="shared" ca="1" si="314"/>
        <v>0</v>
      </c>
    </row>
    <row r="460" spans="2:116" ht="12" thickBot="1" x14ac:dyDescent="0.3">
      <c r="B460" s="1673"/>
      <c r="C460" s="1680"/>
      <c r="D460" s="15" t="s">
        <v>15</v>
      </c>
      <c r="E460" s="116"/>
      <c r="F460" s="116">
        <f ca="1">SUBTOTAL(109,'3.2 I&amp;W'!$X$199)</f>
        <v>0</v>
      </c>
      <c r="G460" s="116">
        <f ca="1">SUBTOTAL(109,'3.2 I&amp;W'!$Y$199)</f>
        <v>0</v>
      </c>
      <c r="H460" s="116">
        <f ca="1">SUBTOTAL(109,'3.2 I&amp;W'!$AD$199)</f>
        <v>0</v>
      </c>
      <c r="I460" s="116">
        <f ca="1">SUBTOTAL(109,'3.2 I&amp;W'!$AE$199)</f>
        <v>0</v>
      </c>
      <c r="J460" s="116"/>
      <c r="K460" s="116"/>
      <c r="L460" s="116"/>
      <c r="M460" s="116">
        <f ca="1">SUBTOTAL(109,'3.2 I&amp;W'!$AI$199)</f>
        <v>0</v>
      </c>
      <c r="N460" s="156">
        <f t="shared" ca="1" si="340"/>
        <v>0</v>
      </c>
      <c r="O460" s="116">
        <f ca="1">SUBTOTAL(109,'3.2 I&amp;W'!$S$199)</f>
        <v>0</v>
      </c>
      <c r="P460" s="30">
        <f t="shared" ca="1" si="330"/>
        <v>0</v>
      </c>
      <c r="Q460" s="31">
        <f t="shared" ca="1" si="331"/>
        <v>0</v>
      </c>
      <c r="R460" s="31">
        <f t="shared" ca="1" si="332"/>
        <v>0</v>
      </c>
      <c r="S460" s="31">
        <f t="shared" ca="1" si="333"/>
        <v>0</v>
      </c>
      <c r="T460" s="32">
        <f t="shared" ca="1" si="334"/>
        <v>0</v>
      </c>
      <c r="U460" s="37">
        <f t="shared" ca="1" si="353"/>
        <v>0</v>
      </c>
      <c r="V460" s="40">
        <f t="shared" ca="1" si="335"/>
        <v>0</v>
      </c>
      <c r="W460" s="41">
        <f t="shared" ca="1" si="336"/>
        <v>0</v>
      </c>
      <c r="X460" s="43"/>
      <c r="Y460" s="46"/>
      <c r="Z460" s="126"/>
      <c r="AA460" s="136"/>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824">
        <f t="shared" ca="1" si="337"/>
        <v>0</v>
      </c>
      <c r="BM460" s="824">
        <f t="shared" ca="1" si="338"/>
        <v>0</v>
      </c>
      <c r="BN460" s="824">
        <f t="shared" ca="1" si="339"/>
        <v>0</v>
      </c>
      <c r="BO460" s="824">
        <f t="shared" ca="1" si="355"/>
        <v>0</v>
      </c>
      <c r="BP460" s="824">
        <f t="shared" ca="1" si="355"/>
        <v>0</v>
      </c>
      <c r="BQ460" s="824">
        <f t="shared" ca="1" si="355"/>
        <v>0</v>
      </c>
      <c r="BR460" s="824">
        <f t="shared" ca="1" si="355"/>
        <v>0</v>
      </c>
      <c r="BS460" s="824">
        <f t="shared" ca="1" si="355"/>
        <v>0</v>
      </c>
      <c r="BT460" s="824">
        <f t="shared" ca="1" si="355"/>
        <v>0</v>
      </c>
      <c r="BU460" s="824">
        <f t="shared" ca="1" si="355"/>
        <v>0</v>
      </c>
      <c r="BV460" s="824">
        <f t="shared" ca="1" si="355"/>
        <v>0</v>
      </c>
      <c r="BW460" s="824">
        <f t="shared" ca="1" si="355"/>
        <v>0</v>
      </c>
      <c r="BX460" s="824">
        <f t="shared" ca="1" si="355"/>
        <v>0</v>
      </c>
      <c r="BY460" s="824">
        <f t="shared" ca="1" si="355"/>
        <v>0</v>
      </c>
      <c r="BZ460" s="824">
        <f t="shared" ca="1" si="355"/>
        <v>0</v>
      </c>
      <c r="CA460" s="824">
        <f t="shared" ca="1" si="355"/>
        <v>0</v>
      </c>
      <c r="CB460" s="824">
        <f t="shared" ca="1" si="355"/>
        <v>0</v>
      </c>
      <c r="CC460" s="824">
        <f t="shared" ca="1" si="355"/>
        <v>0</v>
      </c>
      <c r="CD460" s="824">
        <f t="shared" ca="1" si="355"/>
        <v>0</v>
      </c>
      <c r="CE460" s="824">
        <f t="shared" ca="1" si="354"/>
        <v>0</v>
      </c>
      <c r="CF460" s="824">
        <f t="shared" ca="1" si="354"/>
        <v>0</v>
      </c>
      <c r="CG460" s="824">
        <f t="shared" ca="1" si="354"/>
        <v>0</v>
      </c>
      <c r="CH460" s="824">
        <f t="shared" ca="1" si="354"/>
        <v>0</v>
      </c>
      <c r="CI460" s="824">
        <f t="shared" ca="1" si="354"/>
        <v>0</v>
      </c>
      <c r="CJ460" s="824">
        <f t="shared" ca="1" si="354"/>
        <v>0</v>
      </c>
      <c r="CK460" s="824">
        <f t="shared" ca="1" si="354"/>
        <v>0</v>
      </c>
      <c r="CL460" s="824">
        <f t="shared" ca="1" si="354"/>
        <v>0</v>
      </c>
      <c r="CM460" s="824">
        <f t="shared" ca="1" si="354"/>
        <v>0</v>
      </c>
      <c r="CN460" s="824">
        <f t="shared" ca="1" si="354"/>
        <v>0</v>
      </c>
      <c r="CO460" s="824">
        <f t="shared" ca="1" si="354"/>
        <v>0</v>
      </c>
      <c r="CP460" s="824">
        <f t="shared" ca="1" si="354"/>
        <v>0</v>
      </c>
      <c r="CQ460" s="824">
        <f t="shared" ca="1" si="354"/>
        <v>0</v>
      </c>
      <c r="CR460" s="824">
        <f t="shared" ca="1" si="354"/>
        <v>0</v>
      </c>
      <c r="CS460" s="824">
        <f t="shared" ca="1" si="354"/>
        <v>0</v>
      </c>
      <c r="CT460" s="824">
        <f t="shared" ca="1" si="357"/>
        <v>0</v>
      </c>
      <c r="CU460" s="824">
        <f t="shared" ca="1" si="357"/>
        <v>0</v>
      </c>
      <c r="CV460" s="824">
        <f t="shared" ca="1" si="357"/>
        <v>0</v>
      </c>
      <c r="CW460" s="824">
        <f t="shared" ca="1" si="357"/>
        <v>0</v>
      </c>
      <c r="CX460" s="824">
        <f t="shared" ca="1" si="357"/>
        <v>0</v>
      </c>
      <c r="CY460" s="824">
        <f t="shared" ca="1" si="357"/>
        <v>0</v>
      </c>
      <c r="CZ460" s="824">
        <f t="shared" ca="1" si="357"/>
        <v>0</v>
      </c>
      <c r="DA460" s="824">
        <f t="shared" ca="1" si="357"/>
        <v>0</v>
      </c>
      <c r="DB460" s="824">
        <f t="shared" ca="1" si="357"/>
        <v>0</v>
      </c>
      <c r="DC460" s="824">
        <f t="shared" ca="1" si="357"/>
        <v>0</v>
      </c>
      <c r="DD460" s="824">
        <f t="shared" ca="1" si="357"/>
        <v>0</v>
      </c>
      <c r="DE460" s="824">
        <f t="shared" ca="1" si="357"/>
        <v>0</v>
      </c>
      <c r="DF460" s="824">
        <f t="shared" ca="1" si="357"/>
        <v>0</v>
      </c>
      <c r="DG460" s="824">
        <f t="shared" ca="1" si="357"/>
        <v>0</v>
      </c>
      <c r="DH460" s="824">
        <f t="shared" ca="1" si="357"/>
        <v>0</v>
      </c>
      <c r="DI460" s="824">
        <f t="shared" ca="1" si="357"/>
        <v>0</v>
      </c>
      <c r="DJ460" s="824">
        <f t="shared" ca="1" si="314"/>
        <v>0</v>
      </c>
      <c r="DK460" s="824">
        <f t="shared" ca="1" si="314"/>
        <v>0</v>
      </c>
      <c r="DL460" s="824">
        <f t="shared" ca="1" si="314"/>
        <v>0</v>
      </c>
    </row>
    <row r="461" spans="2:116" ht="12" thickBot="1" x14ac:dyDescent="0.3">
      <c r="B461" s="1673"/>
      <c r="C461" s="1680"/>
      <c r="D461" s="15" t="s">
        <v>15</v>
      </c>
      <c r="E461" s="165"/>
      <c r="F461" s="116">
        <f ca="1">SUBTOTAL(109,'3.2 I&amp;W'!$X$200)</f>
        <v>0</v>
      </c>
      <c r="G461" s="116">
        <f ca="1">SUBTOTAL(109,'3.2 I&amp;W'!$Y$200)</f>
        <v>0</v>
      </c>
      <c r="H461" s="116">
        <f ca="1">SUBTOTAL(109,'3.2 I&amp;W'!$AD$200)</f>
        <v>0</v>
      </c>
      <c r="I461" s="116">
        <f ca="1">SUBTOTAL(109,'3.2 I&amp;W'!$AE$200)</f>
        <v>0</v>
      </c>
      <c r="J461" s="116"/>
      <c r="K461" s="116"/>
      <c r="L461" s="116"/>
      <c r="M461" s="116">
        <f ca="1">SUBTOTAL(109,'3.2 I&amp;W'!$AI$200)</f>
        <v>0</v>
      </c>
      <c r="N461" s="156">
        <f t="shared" ca="1" si="340"/>
        <v>0</v>
      </c>
      <c r="O461" s="116">
        <f ca="1">SUBTOTAL(109,'3.2 I&amp;W'!$S$200)</f>
        <v>0</v>
      </c>
      <c r="P461" s="30">
        <f t="shared" ca="1" si="330"/>
        <v>0</v>
      </c>
      <c r="Q461" s="31">
        <f t="shared" ca="1" si="331"/>
        <v>0</v>
      </c>
      <c r="R461" s="31">
        <f t="shared" ca="1" si="332"/>
        <v>0</v>
      </c>
      <c r="S461" s="31">
        <f t="shared" ca="1" si="333"/>
        <v>0</v>
      </c>
      <c r="T461" s="32">
        <f t="shared" ca="1" si="334"/>
        <v>0</v>
      </c>
      <c r="U461" s="37">
        <f t="shared" ca="1" si="353"/>
        <v>0</v>
      </c>
      <c r="V461" s="40">
        <f t="shared" ca="1" si="335"/>
        <v>0</v>
      </c>
      <c r="W461" s="41">
        <f t="shared" ca="1" si="336"/>
        <v>0</v>
      </c>
      <c r="X461" s="43"/>
      <c r="Y461" s="46"/>
      <c r="Z461" s="126"/>
      <c r="AA461" s="136"/>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824">
        <f t="shared" ca="1" si="337"/>
        <v>0</v>
      </c>
      <c r="BM461" s="824">
        <f t="shared" ca="1" si="338"/>
        <v>0</v>
      </c>
      <c r="BN461" s="824">
        <f t="shared" ca="1" si="339"/>
        <v>0</v>
      </c>
      <c r="BO461" s="824">
        <f t="shared" ca="1" si="355"/>
        <v>0</v>
      </c>
      <c r="BP461" s="824">
        <f t="shared" ca="1" si="355"/>
        <v>0</v>
      </c>
      <c r="BQ461" s="824">
        <f t="shared" ca="1" si="355"/>
        <v>0</v>
      </c>
      <c r="BR461" s="824">
        <f t="shared" ca="1" si="355"/>
        <v>0</v>
      </c>
      <c r="BS461" s="824">
        <f t="shared" ca="1" si="355"/>
        <v>0</v>
      </c>
      <c r="BT461" s="824">
        <f t="shared" ca="1" si="355"/>
        <v>0</v>
      </c>
      <c r="BU461" s="824">
        <f t="shared" ca="1" si="355"/>
        <v>0</v>
      </c>
      <c r="BV461" s="824">
        <f t="shared" ca="1" si="355"/>
        <v>0</v>
      </c>
      <c r="BW461" s="824">
        <f t="shared" ca="1" si="355"/>
        <v>0</v>
      </c>
      <c r="BX461" s="824">
        <f t="shared" ca="1" si="355"/>
        <v>0</v>
      </c>
      <c r="BY461" s="824">
        <f t="shared" ca="1" si="355"/>
        <v>0</v>
      </c>
      <c r="BZ461" s="824">
        <f t="shared" ca="1" si="355"/>
        <v>0</v>
      </c>
      <c r="CA461" s="824">
        <f t="shared" ca="1" si="355"/>
        <v>0</v>
      </c>
      <c r="CB461" s="824">
        <f t="shared" ca="1" si="355"/>
        <v>0</v>
      </c>
      <c r="CC461" s="824">
        <f t="shared" ca="1" si="355"/>
        <v>0</v>
      </c>
      <c r="CD461" s="824">
        <f t="shared" ca="1" si="355"/>
        <v>0</v>
      </c>
      <c r="CE461" s="824">
        <f t="shared" ca="1" si="354"/>
        <v>0</v>
      </c>
      <c r="CF461" s="824">
        <f t="shared" ca="1" si="354"/>
        <v>0</v>
      </c>
      <c r="CG461" s="824">
        <f t="shared" ca="1" si="354"/>
        <v>0</v>
      </c>
      <c r="CH461" s="824">
        <f t="shared" ca="1" si="354"/>
        <v>0</v>
      </c>
      <c r="CI461" s="824">
        <f t="shared" ca="1" si="354"/>
        <v>0</v>
      </c>
      <c r="CJ461" s="824">
        <f t="shared" ca="1" si="354"/>
        <v>0</v>
      </c>
      <c r="CK461" s="824">
        <f t="shared" ca="1" si="354"/>
        <v>0</v>
      </c>
      <c r="CL461" s="824">
        <f t="shared" ca="1" si="354"/>
        <v>0</v>
      </c>
      <c r="CM461" s="824">
        <f t="shared" ca="1" si="354"/>
        <v>0</v>
      </c>
      <c r="CN461" s="824">
        <f t="shared" ca="1" si="354"/>
        <v>0</v>
      </c>
      <c r="CO461" s="824">
        <f t="shared" ca="1" si="354"/>
        <v>0</v>
      </c>
      <c r="CP461" s="824">
        <f t="shared" ca="1" si="354"/>
        <v>0</v>
      </c>
      <c r="CQ461" s="824">
        <f t="shared" ca="1" si="354"/>
        <v>0</v>
      </c>
      <c r="CR461" s="824">
        <f t="shared" ca="1" si="354"/>
        <v>0</v>
      </c>
      <c r="CS461" s="824">
        <f t="shared" ca="1" si="354"/>
        <v>0</v>
      </c>
      <c r="CT461" s="824">
        <f t="shared" ca="1" si="357"/>
        <v>0</v>
      </c>
      <c r="CU461" s="824">
        <f t="shared" ca="1" si="357"/>
        <v>0</v>
      </c>
      <c r="CV461" s="824">
        <f t="shared" ca="1" si="357"/>
        <v>0</v>
      </c>
      <c r="CW461" s="824">
        <f t="shared" ca="1" si="357"/>
        <v>0</v>
      </c>
      <c r="CX461" s="824">
        <f t="shared" ca="1" si="357"/>
        <v>0</v>
      </c>
      <c r="CY461" s="824">
        <f t="shared" ca="1" si="357"/>
        <v>0</v>
      </c>
      <c r="CZ461" s="824">
        <f t="shared" ca="1" si="357"/>
        <v>0</v>
      </c>
      <c r="DA461" s="824">
        <f t="shared" ca="1" si="357"/>
        <v>0</v>
      </c>
      <c r="DB461" s="824">
        <f t="shared" ca="1" si="357"/>
        <v>0</v>
      </c>
      <c r="DC461" s="824">
        <f t="shared" ca="1" si="357"/>
        <v>0</v>
      </c>
      <c r="DD461" s="824">
        <f t="shared" ca="1" si="357"/>
        <v>0</v>
      </c>
      <c r="DE461" s="824">
        <f t="shared" ca="1" si="357"/>
        <v>0</v>
      </c>
      <c r="DF461" s="824">
        <f t="shared" ca="1" si="357"/>
        <v>0</v>
      </c>
      <c r="DG461" s="824">
        <f t="shared" ca="1" si="357"/>
        <v>0</v>
      </c>
      <c r="DH461" s="824">
        <f t="shared" ca="1" si="357"/>
        <v>0</v>
      </c>
      <c r="DI461" s="824">
        <f t="shared" ca="1" si="357"/>
        <v>0</v>
      </c>
      <c r="DJ461" s="824">
        <f t="shared" ca="1" si="314"/>
        <v>0</v>
      </c>
      <c r="DK461" s="824">
        <f t="shared" ca="1" si="314"/>
        <v>0</v>
      </c>
      <c r="DL461" s="824">
        <f t="shared" ca="1" si="314"/>
        <v>0</v>
      </c>
    </row>
    <row r="462" spans="2:116" ht="12" thickBot="1" x14ac:dyDescent="0.3">
      <c r="B462" s="1673"/>
      <c r="C462" s="1680"/>
      <c r="D462" s="15" t="s">
        <v>11</v>
      </c>
      <c r="E462" s="116"/>
      <c r="F462" s="116">
        <f ca="1">SUBTOTAL(109,'3.2 I&amp;W'!$X$207)</f>
        <v>0</v>
      </c>
      <c r="G462" s="116">
        <f ca="1">SUBTOTAL(109,'3.2 I&amp;W'!$Y$207)</f>
        <v>0</v>
      </c>
      <c r="H462" s="116">
        <f ca="1">SUBTOTAL(109,'3.2 I&amp;W'!$AD$207)</f>
        <v>0</v>
      </c>
      <c r="I462" s="116">
        <f ca="1">SUBTOTAL(109,'3.2 I&amp;W'!$AE$207)</f>
        <v>0</v>
      </c>
      <c r="J462" s="116"/>
      <c r="K462" s="116"/>
      <c r="L462" s="116"/>
      <c r="M462" s="116">
        <f ca="1">SUBTOTAL(109,'3.2 I&amp;W'!$AI$207)</f>
        <v>50</v>
      </c>
      <c r="N462" s="156">
        <f t="shared" ca="1" si="340"/>
        <v>0</v>
      </c>
      <c r="O462" s="116">
        <f ca="1">SUBTOTAL(109,'3.2 I&amp;W'!$S$207)</f>
        <v>158175.552</v>
      </c>
      <c r="P462" s="30">
        <f t="shared" ca="1" si="330"/>
        <v>0</v>
      </c>
      <c r="Q462" s="31">
        <f t="shared" ca="1" si="331"/>
        <v>0</v>
      </c>
      <c r="R462" s="31">
        <f t="shared" ca="1" si="332"/>
        <v>0</v>
      </c>
      <c r="S462" s="31">
        <f t="shared" ca="1" si="333"/>
        <v>0</v>
      </c>
      <c r="T462" s="32">
        <f t="shared" ca="1" si="334"/>
        <v>0</v>
      </c>
      <c r="U462" s="37">
        <f t="shared" ca="1" si="353"/>
        <v>23727.643127504827</v>
      </c>
      <c r="V462" s="40">
        <f t="shared" ca="1" si="335"/>
        <v>0</v>
      </c>
      <c r="W462" s="41">
        <f t="shared" ca="1" si="336"/>
        <v>0</v>
      </c>
      <c r="X462" s="43"/>
      <c r="Y462" s="46"/>
      <c r="Z462" s="126"/>
      <c r="AA462" s="136"/>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824">
        <f t="shared" ca="1" si="337"/>
        <v>50</v>
      </c>
      <c r="BM462" s="824">
        <f t="shared" ca="1" si="338"/>
        <v>0</v>
      </c>
      <c r="BN462" s="824">
        <f t="shared" ca="1" si="339"/>
        <v>158175.552</v>
      </c>
      <c r="BO462" s="824">
        <f t="shared" ca="1" si="355"/>
        <v>0</v>
      </c>
      <c r="BP462" s="824">
        <f t="shared" ca="1" si="355"/>
        <v>0</v>
      </c>
      <c r="BQ462" s="824">
        <f t="shared" ca="1" si="355"/>
        <v>0</v>
      </c>
      <c r="BR462" s="824">
        <f t="shared" ca="1" si="355"/>
        <v>0</v>
      </c>
      <c r="BS462" s="824">
        <f t="shared" ca="1" si="355"/>
        <v>0</v>
      </c>
      <c r="BT462" s="824">
        <f t="shared" ca="1" si="355"/>
        <v>0</v>
      </c>
      <c r="BU462" s="824">
        <f t="shared" ca="1" si="355"/>
        <v>0</v>
      </c>
      <c r="BV462" s="824">
        <f t="shared" ca="1" si="355"/>
        <v>0</v>
      </c>
      <c r="BW462" s="824">
        <f t="shared" ca="1" si="355"/>
        <v>0</v>
      </c>
      <c r="BX462" s="824">
        <f t="shared" ca="1" si="355"/>
        <v>0</v>
      </c>
      <c r="BY462" s="824">
        <f t="shared" ca="1" si="355"/>
        <v>0</v>
      </c>
      <c r="BZ462" s="824">
        <f t="shared" ca="1" si="355"/>
        <v>0</v>
      </c>
      <c r="CA462" s="824">
        <f t="shared" ca="1" si="355"/>
        <v>0</v>
      </c>
      <c r="CB462" s="824">
        <f t="shared" ca="1" si="355"/>
        <v>0</v>
      </c>
      <c r="CC462" s="824">
        <f t="shared" ca="1" si="355"/>
        <v>0</v>
      </c>
      <c r="CD462" s="824">
        <f t="shared" ca="1" si="355"/>
        <v>0</v>
      </c>
      <c r="CE462" s="824">
        <f t="shared" ca="1" si="354"/>
        <v>0</v>
      </c>
      <c r="CF462" s="824">
        <f t="shared" ca="1" si="354"/>
        <v>0</v>
      </c>
      <c r="CG462" s="824">
        <f t="shared" ca="1" si="354"/>
        <v>0</v>
      </c>
      <c r="CH462" s="824">
        <f t="shared" ca="1" si="354"/>
        <v>0</v>
      </c>
      <c r="CI462" s="824">
        <f t="shared" ca="1" si="354"/>
        <v>0</v>
      </c>
      <c r="CJ462" s="824">
        <f t="shared" ca="1" si="354"/>
        <v>0</v>
      </c>
      <c r="CK462" s="824">
        <f t="shared" ca="1" si="354"/>
        <v>0</v>
      </c>
      <c r="CL462" s="824">
        <f t="shared" ca="1" si="354"/>
        <v>0</v>
      </c>
      <c r="CM462" s="824">
        <f t="shared" ca="1" si="354"/>
        <v>0</v>
      </c>
      <c r="CN462" s="824">
        <f t="shared" ca="1" si="354"/>
        <v>0</v>
      </c>
      <c r="CO462" s="824">
        <f t="shared" ca="1" si="354"/>
        <v>0</v>
      </c>
      <c r="CP462" s="824">
        <f t="shared" ca="1" si="354"/>
        <v>0</v>
      </c>
      <c r="CQ462" s="824">
        <f t="shared" ca="1" si="354"/>
        <v>0</v>
      </c>
      <c r="CR462" s="824">
        <f t="shared" ca="1" si="354"/>
        <v>0</v>
      </c>
      <c r="CS462" s="824">
        <f t="shared" ca="1" si="354"/>
        <v>0</v>
      </c>
      <c r="CT462" s="824">
        <f t="shared" ca="1" si="357"/>
        <v>0</v>
      </c>
      <c r="CU462" s="824">
        <f t="shared" ca="1" si="357"/>
        <v>0</v>
      </c>
      <c r="CV462" s="824">
        <f t="shared" ca="1" si="357"/>
        <v>0</v>
      </c>
      <c r="CW462" s="824">
        <f t="shared" ca="1" si="357"/>
        <v>0</v>
      </c>
      <c r="CX462" s="824">
        <f t="shared" ca="1" si="357"/>
        <v>0</v>
      </c>
      <c r="CY462" s="824">
        <f t="shared" ca="1" si="357"/>
        <v>0</v>
      </c>
      <c r="CZ462" s="824">
        <f t="shared" ca="1" si="357"/>
        <v>0</v>
      </c>
      <c r="DA462" s="824">
        <f t="shared" ca="1" si="357"/>
        <v>0</v>
      </c>
      <c r="DB462" s="824">
        <f t="shared" ca="1" si="357"/>
        <v>0</v>
      </c>
      <c r="DC462" s="824">
        <f t="shared" ca="1" si="357"/>
        <v>0</v>
      </c>
      <c r="DD462" s="824">
        <f t="shared" ca="1" si="357"/>
        <v>0</v>
      </c>
      <c r="DE462" s="824">
        <f t="shared" ca="1" si="357"/>
        <v>0</v>
      </c>
      <c r="DF462" s="824">
        <f t="shared" ca="1" si="357"/>
        <v>0</v>
      </c>
      <c r="DG462" s="824">
        <f t="shared" ca="1" si="357"/>
        <v>0</v>
      </c>
      <c r="DH462" s="824">
        <f t="shared" ca="1" si="357"/>
        <v>0</v>
      </c>
      <c r="DI462" s="824">
        <f t="shared" ca="1" si="357"/>
        <v>0</v>
      </c>
      <c r="DJ462" s="824">
        <f t="shared" ca="1" si="314"/>
        <v>0</v>
      </c>
      <c r="DK462" s="824">
        <f t="shared" ca="1" si="314"/>
        <v>0</v>
      </c>
      <c r="DL462" s="824">
        <f t="shared" ca="1" si="314"/>
        <v>0</v>
      </c>
    </row>
    <row r="463" spans="2:116" ht="12" thickBot="1" x14ac:dyDescent="0.3">
      <c r="B463" s="1673"/>
      <c r="C463" s="1680"/>
      <c r="D463" s="15" t="s">
        <v>11</v>
      </c>
      <c r="E463" s="165"/>
      <c r="F463" s="116">
        <f ca="1">SUBTOTAL(109,'3.2 I&amp;W'!$X$208)</f>
        <v>0</v>
      </c>
      <c r="G463" s="116">
        <f ca="1">SUBTOTAL(109,'3.2 I&amp;W'!$Y$208)</f>
        <v>0</v>
      </c>
      <c r="H463" s="116">
        <f ca="1">SUBTOTAL(109,'3.2 I&amp;W'!$AD$208)</f>
        <v>0</v>
      </c>
      <c r="I463" s="116">
        <f ca="1">SUBTOTAL(109,'3.2 I&amp;W'!$AE$208)</f>
        <v>0</v>
      </c>
      <c r="J463" s="116"/>
      <c r="K463" s="116"/>
      <c r="L463" s="116"/>
      <c r="M463" s="116">
        <f ca="1">SUBTOTAL(109,'3.2 I&amp;W'!$AI$208)</f>
        <v>0</v>
      </c>
      <c r="N463" s="156">
        <f t="shared" ca="1" si="340"/>
        <v>0</v>
      </c>
      <c r="O463" s="116">
        <f ca="1">SUBTOTAL(109,'3.2 I&amp;W'!$S$208)</f>
        <v>0</v>
      </c>
      <c r="P463" s="30">
        <f t="shared" ca="1" si="330"/>
        <v>0</v>
      </c>
      <c r="Q463" s="31">
        <f t="shared" ca="1" si="331"/>
        <v>0</v>
      </c>
      <c r="R463" s="31">
        <f t="shared" ca="1" si="332"/>
        <v>0</v>
      </c>
      <c r="S463" s="31">
        <f t="shared" ca="1" si="333"/>
        <v>0</v>
      </c>
      <c r="T463" s="32">
        <f t="shared" ca="1" si="334"/>
        <v>0</v>
      </c>
      <c r="U463" s="37">
        <f t="shared" ca="1" si="353"/>
        <v>0</v>
      </c>
      <c r="V463" s="40">
        <f t="shared" ca="1" si="335"/>
        <v>0</v>
      </c>
      <c r="W463" s="41">
        <f t="shared" ca="1" si="336"/>
        <v>0</v>
      </c>
      <c r="X463" s="43"/>
      <c r="Y463" s="46"/>
      <c r="Z463" s="126"/>
      <c r="AA463" s="136"/>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824">
        <f t="shared" ca="1" si="337"/>
        <v>0</v>
      </c>
      <c r="BM463" s="824">
        <f t="shared" ca="1" si="338"/>
        <v>0</v>
      </c>
      <c r="BN463" s="824">
        <f t="shared" ca="1" si="339"/>
        <v>0</v>
      </c>
      <c r="BO463" s="824">
        <f t="shared" ca="1" si="355"/>
        <v>0</v>
      </c>
      <c r="BP463" s="824">
        <f t="shared" ca="1" si="355"/>
        <v>0</v>
      </c>
      <c r="BQ463" s="824">
        <f t="shared" ca="1" si="355"/>
        <v>0</v>
      </c>
      <c r="BR463" s="824">
        <f t="shared" ca="1" si="355"/>
        <v>0</v>
      </c>
      <c r="BS463" s="824">
        <f t="shared" ca="1" si="355"/>
        <v>0</v>
      </c>
      <c r="BT463" s="824">
        <f t="shared" ca="1" si="355"/>
        <v>0</v>
      </c>
      <c r="BU463" s="824">
        <f t="shared" ca="1" si="355"/>
        <v>0</v>
      </c>
      <c r="BV463" s="824">
        <f t="shared" ca="1" si="355"/>
        <v>0</v>
      </c>
      <c r="BW463" s="824">
        <f t="shared" ca="1" si="355"/>
        <v>0</v>
      </c>
      <c r="BX463" s="824">
        <f t="shared" ca="1" si="355"/>
        <v>0</v>
      </c>
      <c r="BY463" s="824">
        <f t="shared" ca="1" si="355"/>
        <v>0</v>
      </c>
      <c r="BZ463" s="824">
        <f t="shared" ca="1" si="355"/>
        <v>0</v>
      </c>
      <c r="CA463" s="824">
        <f t="shared" ca="1" si="355"/>
        <v>0</v>
      </c>
      <c r="CB463" s="824">
        <f t="shared" ca="1" si="355"/>
        <v>0</v>
      </c>
      <c r="CC463" s="824">
        <f t="shared" ca="1" si="355"/>
        <v>0</v>
      </c>
      <c r="CD463" s="824">
        <f t="shared" ca="1" si="355"/>
        <v>0</v>
      </c>
      <c r="CE463" s="824">
        <f t="shared" ca="1" si="354"/>
        <v>0</v>
      </c>
      <c r="CF463" s="824">
        <f t="shared" ca="1" si="354"/>
        <v>0</v>
      </c>
      <c r="CG463" s="824">
        <f t="shared" ca="1" si="354"/>
        <v>0</v>
      </c>
      <c r="CH463" s="824">
        <f t="shared" ca="1" si="354"/>
        <v>0</v>
      </c>
      <c r="CI463" s="824">
        <f t="shared" ca="1" si="354"/>
        <v>0</v>
      </c>
      <c r="CJ463" s="824">
        <f t="shared" ca="1" si="354"/>
        <v>0</v>
      </c>
      <c r="CK463" s="824">
        <f t="shared" ca="1" si="354"/>
        <v>0</v>
      </c>
      <c r="CL463" s="824">
        <f t="shared" ca="1" si="354"/>
        <v>0</v>
      </c>
      <c r="CM463" s="824">
        <f t="shared" ca="1" si="354"/>
        <v>0</v>
      </c>
      <c r="CN463" s="824">
        <f t="shared" ca="1" si="354"/>
        <v>0</v>
      </c>
      <c r="CO463" s="824">
        <f t="shared" ca="1" si="354"/>
        <v>0</v>
      </c>
      <c r="CP463" s="824">
        <f t="shared" ca="1" si="354"/>
        <v>0</v>
      </c>
      <c r="CQ463" s="824">
        <f t="shared" ca="1" si="354"/>
        <v>0</v>
      </c>
      <c r="CR463" s="824">
        <f t="shared" ca="1" si="354"/>
        <v>0</v>
      </c>
      <c r="CS463" s="824">
        <f t="shared" ca="1" si="354"/>
        <v>0</v>
      </c>
      <c r="CT463" s="824">
        <f t="shared" ca="1" si="357"/>
        <v>0</v>
      </c>
      <c r="CU463" s="824">
        <f t="shared" ca="1" si="357"/>
        <v>0</v>
      </c>
      <c r="CV463" s="824">
        <f t="shared" ca="1" si="357"/>
        <v>0</v>
      </c>
      <c r="CW463" s="824">
        <f t="shared" ca="1" si="357"/>
        <v>0</v>
      </c>
      <c r="CX463" s="824">
        <f t="shared" ca="1" si="357"/>
        <v>0</v>
      </c>
      <c r="CY463" s="824">
        <f t="shared" ca="1" si="357"/>
        <v>0</v>
      </c>
      <c r="CZ463" s="824">
        <f t="shared" ca="1" si="357"/>
        <v>0</v>
      </c>
      <c r="DA463" s="824">
        <f t="shared" ca="1" si="357"/>
        <v>0</v>
      </c>
      <c r="DB463" s="824">
        <f t="shared" ca="1" si="357"/>
        <v>0</v>
      </c>
      <c r="DC463" s="824">
        <f t="shared" ca="1" si="357"/>
        <v>0</v>
      </c>
      <c r="DD463" s="824">
        <f t="shared" ca="1" si="357"/>
        <v>0</v>
      </c>
      <c r="DE463" s="824">
        <f t="shared" ca="1" si="357"/>
        <v>0</v>
      </c>
      <c r="DF463" s="824">
        <f t="shared" ca="1" si="357"/>
        <v>0</v>
      </c>
      <c r="DG463" s="824">
        <f t="shared" ca="1" si="357"/>
        <v>0</v>
      </c>
      <c r="DH463" s="824">
        <f t="shared" ca="1" si="357"/>
        <v>0</v>
      </c>
      <c r="DI463" s="824">
        <f t="shared" ca="1" si="357"/>
        <v>0</v>
      </c>
      <c r="DJ463" s="824">
        <f t="shared" ca="1" si="314"/>
        <v>0</v>
      </c>
      <c r="DK463" s="824">
        <f t="shared" ca="1" si="314"/>
        <v>0</v>
      </c>
      <c r="DL463" s="824">
        <f t="shared" ca="1" si="314"/>
        <v>0</v>
      </c>
    </row>
    <row r="464" spans="2:116" ht="12" thickBot="1" x14ac:dyDescent="0.3">
      <c r="B464" s="1673"/>
      <c r="C464" s="1680"/>
      <c r="D464" s="15" t="s">
        <v>11</v>
      </c>
      <c r="E464" s="116"/>
      <c r="F464" s="116">
        <f ca="1">SUBTOTAL(109,'3.2 I&amp;W'!$X$209)</f>
        <v>0</v>
      </c>
      <c r="G464" s="116">
        <f ca="1">SUBTOTAL(109,'3.2 I&amp;W'!$Y$209)</f>
        <v>0</v>
      </c>
      <c r="H464" s="116">
        <f ca="1">SUBTOTAL(109,'3.2 I&amp;W'!$AD$209)</f>
        <v>0</v>
      </c>
      <c r="I464" s="116">
        <f ca="1">SUBTOTAL(109,'3.2 I&amp;W'!$AE$209)</f>
        <v>0</v>
      </c>
      <c r="J464" s="116"/>
      <c r="K464" s="116"/>
      <c r="L464" s="116"/>
      <c r="M464" s="116">
        <f ca="1">SUBTOTAL(109,'3.2 I&amp;W'!$AI$209)</f>
        <v>0</v>
      </c>
      <c r="N464" s="156">
        <f t="shared" ca="1" si="340"/>
        <v>0</v>
      </c>
      <c r="O464" s="116">
        <f ca="1">SUBTOTAL(109,'3.2 I&amp;W'!$S$209)</f>
        <v>0</v>
      </c>
      <c r="P464" s="30">
        <f t="shared" ca="1" si="330"/>
        <v>0</v>
      </c>
      <c r="Q464" s="31">
        <f t="shared" ca="1" si="331"/>
        <v>0</v>
      </c>
      <c r="R464" s="31">
        <f t="shared" ca="1" si="332"/>
        <v>0</v>
      </c>
      <c r="S464" s="31">
        <f t="shared" ca="1" si="333"/>
        <v>0</v>
      </c>
      <c r="T464" s="32">
        <f t="shared" ca="1" si="334"/>
        <v>0</v>
      </c>
      <c r="U464" s="37">
        <f t="shared" ca="1" si="353"/>
        <v>0</v>
      </c>
      <c r="V464" s="40">
        <f t="shared" ca="1" si="335"/>
        <v>0</v>
      </c>
      <c r="W464" s="41">
        <f t="shared" ca="1" si="336"/>
        <v>0</v>
      </c>
      <c r="X464" s="43"/>
      <c r="Y464" s="46"/>
      <c r="Z464" s="126"/>
      <c r="AA464" s="136"/>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824">
        <f t="shared" ca="1" si="337"/>
        <v>0</v>
      </c>
      <c r="BM464" s="824">
        <f t="shared" ca="1" si="338"/>
        <v>0</v>
      </c>
      <c r="BN464" s="824">
        <f t="shared" ca="1" si="339"/>
        <v>0</v>
      </c>
      <c r="BO464" s="824">
        <f t="shared" ca="1" si="355"/>
        <v>0</v>
      </c>
      <c r="BP464" s="824">
        <f t="shared" ca="1" si="355"/>
        <v>0</v>
      </c>
      <c r="BQ464" s="824">
        <f t="shared" ca="1" si="355"/>
        <v>0</v>
      </c>
      <c r="BR464" s="824">
        <f t="shared" ca="1" si="355"/>
        <v>0</v>
      </c>
      <c r="BS464" s="824">
        <f t="shared" ca="1" si="355"/>
        <v>0</v>
      </c>
      <c r="BT464" s="824">
        <f t="shared" ca="1" si="355"/>
        <v>0</v>
      </c>
      <c r="BU464" s="824">
        <f t="shared" ca="1" si="355"/>
        <v>0</v>
      </c>
      <c r="BV464" s="824">
        <f t="shared" ca="1" si="355"/>
        <v>0</v>
      </c>
      <c r="BW464" s="824">
        <f t="shared" ca="1" si="355"/>
        <v>0</v>
      </c>
      <c r="BX464" s="824">
        <f t="shared" ca="1" si="355"/>
        <v>0</v>
      </c>
      <c r="BY464" s="824">
        <f t="shared" ca="1" si="355"/>
        <v>0</v>
      </c>
      <c r="BZ464" s="824">
        <f t="shared" ca="1" si="355"/>
        <v>0</v>
      </c>
      <c r="CA464" s="824">
        <f t="shared" ca="1" si="355"/>
        <v>0</v>
      </c>
      <c r="CB464" s="824">
        <f t="shared" ca="1" si="355"/>
        <v>0</v>
      </c>
      <c r="CC464" s="824">
        <f t="shared" ca="1" si="355"/>
        <v>0</v>
      </c>
      <c r="CD464" s="824">
        <f t="shared" ca="1" si="355"/>
        <v>0</v>
      </c>
      <c r="CE464" s="824">
        <f t="shared" ca="1" si="354"/>
        <v>0</v>
      </c>
      <c r="CF464" s="824">
        <f t="shared" ca="1" si="354"/>
        <v>0</v>
      </c>
      <c r="CG464" s="824">
        <f t="shared" ca="1" si="354"/>
        <v>0</v>
      </c>
      <c r="CH464" s="824">
        <f t="shared" ca="1" si="354"/>
        <v>0</v>
      </c>
      <c r="CI464" s="824">
        <f t="shared" ca="1" si="354"/>
        <v>0</v>
      </c>
      <c r="CJ464" s="824">
        <f t="shared" ca="1" si="354"/>
        <v>0</v>
      </c>
      <c r="CK464" s="824">
        <f t="shared" ca="1" si="354"/>
        <v>0</v>
      </c>
      <c r="CL464" s="824">
        <f t="shared" ca="1" si="354"/>
        <v>0</v>
      </c>
      <c r="CM464" s="824">
        <f t="shared" ca="1" si="354"/>
        <v>0</v>
      </c>
      <c r="CN464" s="824">
        <f t="shared" ca="1" si="354"/>
        <v>0</v>
      </c>
      <c r="CO464" s="824">
        <f t="shared" ca="1" si="354"/>
        <v>0</v>
      </c>
      <c r="CP464" s="824">
        <f t="shared" ca="1" si="354"/>
        <v>0</v>
      </c>
      <c r="CQ464" s="824">
        <f t="shared" ca="1" si="354"/>
        <v>0</v>
      </c>
      <c r="CR464" s="824">
        <f t="shared" ca="1" si="354"/>
        <v>0</v>
      </c>
      <c r="CS464" s="824">
        <f t="shared" ca="1" si="354"/>
        <v>0</v>
      </c>
      <c r="CT464" s="824">
        <f t="shared" ca="1" si="357"/>
        <v>0</v>
      </c>
      <c r="CU464" s="824">
        <f t="shared" ca="1" si="357"/>
        <v>0</v>
      </c>
      <c r="CV464" s="824">
        <f t="shared" ca="1" si="357"/>
        <v>0</v>
      </c>
      <c r="CW464" s="824">
        <f t="shared" ca="1" si="357"/>
        <v>0</v>
      </c>
      <c r="CX464" s="824">
        <f t="shared" ca="1" si="357"/>
        <v>0</v>
      </c>
      <c r="CY464" s="824">
        <f t="shared" ca="1" si="357"/>
        <v>0</v>
      </c>
      <c r="CZ464" s="824">
        <f t="shared" ca="1" si="357"/>
        <v>0</v>
      </c>
      <c r="DA464" s="824">
        <f t="shared" ca="1" si="357"/>
        <v>0</v>
      </c>
      <c r="DB464" s="824">
        <f t="shared" ca="1" si="357"/>
        <v>0</v>
      </c>
      <c r="DC464" s="824">
        <f t="shared" ca="1" si="357"/>
        <v>0</v>
      </c>
      <c r="DD464" s="824">
        <f t="shared" ca="1" si="357"/>
        <v>0</v>
      </c>
      <c r="DE464" s="824">
        <f t="shared" ca="1" si="357"/>
        <v>0</v>
      </c>
      <c r="DF464" s="824">
        <f t="shared" ca="1" si="357"/>
        <v>0</v>
      </c>
      <c r="DG464" s="824">
        <f t="shared" ca="1" si="357"/>
        <v>0</v>
      </c>
      <c r="DH464" s="824">
        <f t="shared" ca="1" si="357"/>
        <v>0</v>
      </c>
      <c r="DI464" s="824">
        <f t="shared" ca="1" si="357"/>
        <v>0</v>
      </c>
      <c r="DJ464" s="824">
        <f t="shared" ca="1" si="314"/>
        <v>0</v>
      </c>
      <c r="DK464" s="824">
        <f t="shared" ca="1" si="314"/>
        <v>0</v>
      </c>
      <c r="DL464" s="824">
        <f t="shared" ca="1" si="314"/>
        <v>0</v>
      </c>
    </row>
    <row r="465" spans="2:116" ht="11.25" customHeight="1" thickBot="1" x14ac:dyDescent="0.3">
      <c r="B465" s="1673"/>
      <c r="C465" s="1680"/>
      <c r="D465" s="15" t="s">
        <v>11</v>
      </c>
      <c r="E465" s="165"/>
      <c r="F465" s="116">
        <f ca="1">SUBTOTAL(109,'3.2 I&amp;W'!$X$210)</f>
        <v>0</v>
      </c>
      <c r="G465" s="116">
        <f ca="1">SUBTOTAL(109,'3.2 I&amp;W'!$Y$210)</f>
        <v>0</v>
      </c>
      <c r="H465" s="116">
        <f ca="1">SUBTOTAL(109,'3.2 I&amp;W'!$AD$210)</f>
        <v>0</v>
      </c>
      <c r="I465" s="116">
        <f ca="1">SUBTOTAL(109,'3.2 I&amp;W'!$AE$210)</f>
        <v>0</v>
      </c>
      <c r="J465" s="116"/>
      <c r="K465" s="116"/>
      <c r="L465" s="116"/>
      <c r="M465" s="116">
        <f ca="1">SUBTOTAL(109,'3.2 I&amp;W'!$AI$210)</f>
        <v>0</v>
      </c>
      <c r="N465" s="156">
        <f t="shared" ca="1" si="340"/>
        <v>0</v>
      </c>
      <c r="O465" s="116">
        <f ca="1">SUBTOTAL(109,'3.2 I&amp;W'!$S$210)</f>
        <v>0</v>
      </c>
      <c r="P465" s="30">
        <f t="shared" ca="1" si="330"/>
        <v>0</v>
      </c>
      <c r="Q465" s="31">
        <f t="shared" ca="1" si="331"/>
        <v>0</v>
      </c>
      <c r="R465" s="31">
        <f t="shared" ca="1" si="332"/>
        <v>0</v>
      </c>
      <c r="S465" s="31">
        <f t="shared" ca="1" si="333"/>
        <v>0</v>
      </c>
      <c r="T465" s="32">
        <f t="shared" ca="1" si="334"/>
        <v>0</v>
      </c>
      <c r="U465" s="37">
        <f t="shared" ca="1" si="353"/>
        <v>0</v>
      </c>
      <c r="V465" s="40">
        <f t="shared" ca="1" si="335"/>
        <v>0</v>
      </c>
      <c r="W465" s="41">
        <f t="shared" ca="1" si="336"/>
        <v>0</v>
      </c>
      <c r="X465" s="43"/>
      <c r="Y465" s="46"/>
      <c r="Z465" s="126"/>
      <c r="AA465" s="136"/>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824">
        <f t="shared" ca="1" si="337"/>
        <v>0</v>
      </c>
      <c r="BM465" s="824">
        <f t="shared" ca="1" si="338"/>
        <v>0</v>
      </c>
      <c r="BN465" s="824">
        <f t="shared" ca="1" si="339"/>
        <v>0</v>
      </c>
      <c r="BO465" s="824">
        <f t="shared" ca="1" si="355"/>
        <v>0</v>
      </c>
      <c r="BP465" s="824">
        <f t="shared" ca="1" si="355"/>
        <v>0</v>
      </c>
      <c r="BQ465" s="824">
        <f t="shared" ca="1" si="355"/>
        <v>0</v>
      </c>
      <c r="BR465" s="824">
        <f t="shared" ca="1" si="355"/>
        <v>0</v>
      </c>
      <c r="BS465" s="824">
        <f t="shared" ca="1" si="355"/>
        <v>0</v>
      </c>
      <c r="BT465" s="824">
        <f t="shared" ca="1" si="355"/>
        <v>0</v>
      </c>
      <c r="BU465" s="824">
        <f t="shared" ca="1" si="355"/>
        <v>0</v>
      </c>
      <c r="BV465" s="824">
        <f t="shared" ca="1" si="355"/>
        <v>0</v>
      </c>
      <c r="BW465" s="824">
        <f t="shared" ca="1" si="355"/>
        <v>0</v>
      </c>
      <c r="BX465" s="824">
        <f t="shared" ca="1" si="355"/>
        <v>0</v>
      </c>
      <c r="BY465" s="824">
        <f t="shared" ca="1" si="355"/>
        <v>0</v>
      </c>
      <c r="BZ465" s="824">
        <f t="shared" ca="1" si="355"/>
        <v>0</v>
      </c>
      <c r="CA465" s="824">
        <f t="shared" ca="1" si="355"/>
        <v>0</v>
      </c>
      <c r="CB465" s="824">
        <f t="shared" ca="1" si="355"/>
        <v>0</v>
      </c>
      <c r="CC465" s="824">
        <f t="shared" ca="1" si="355"/>
        <v>0</v>
      </c>
      <c r="CD465" s="824">
        <f t="shared" ca="1" si="355"/>
        <v>0</v>
      </c>
      <c r="CE465" s="824">
        <f t="shared" ca="1" si="354"/>
        <v>0</v>
      </c>
      <c r="CF465" s="824">
        <f t="shared" ca="1" si="354"/>
        <v>0</v>
      </c>
      <c r="CG465" s="824">
        <f t="shared" ca="1" si="354"/>
        <v>0</v>
      </c>
      <c r="CH465" s="824">
        <f t="shared" ca="1" si="354"/>
        <v>0</v>
      </c>
      <c r="CI465" s="824">
        <f t="shared" ca="1" si="354"/>
        <v>0</v>
      </c>
      <c r="CJ465" s="824">
        <f t="shared" ca="1" si="354"/>
        <v>0</v>
      </c>
      <c r="CK465" s="824">
        <f t="shared" ca="1" si="354"/>
        <v>0</v>
      </c>
      <c r="CL465" s="824">
        <f t="shared" ca="1" si="354"/>
        <v>0</v>
      </c>
      <c r="CM465" s="824">
        <f t="shared" ca="1" si="354"/>
        <v>0</v>
      </c>
      <c r="CN465" s="824">
        <f t="shared" ca="1" si="354"/>
        <v>0</v>
      </c>
      <c r="CO465" s="824">
        <f t="shared" ca="1" si="354"/>
        <v>0</v>
      </c>
      <c r="CP465" s="824">
        <f t="shared" ca="1" si="354"/>
        <v>0</v>
      </c>
      <c r="CQ465" s="824">
        <f t="shared" ca="1" si="354"/>
        <v>0</v>
      </c>
      <c r="CR465" s="824">
        <f t="shared" ca="1" si="354"/>
        <v>0</v>
      </c>
      <c r="CS465" s="824">
        <f t="shared" ca="1" si="354"/>
        <v>0</v>
      </c>
      <c r="CT465" s="824">
        <f t="shared" ca="1" si="357"/>
        <v>0</v>
      </c>
      <c r="CU465" s="824">
        <f t="shared" ca="1" si="357"/>
        <v>0</v>
      </c>
      <c r="CV465" s="824">
        <f t="shared" ca="1" si="357"/>
        <v>0</v>
      </c>
      <c r="CW465" s="824">
        <f t="shared" ca="1" si="357"/>
        <v>0</v>
      </c>
      <c r="CX465" s="824">
        <f t="shared" ca="1" si="357"/>
        <v>0</v>
      </c>
      <c r="CY465" s="824">
        <f t="shared" ca="1" si="357"/>
        <v>0</v>
      </c>
      <c r="CZ465" s="824">
        <f t="shared" ca="1" si="357"/>
        <v>0</v>
      </c>
      <c r="DA465" s="824">
        <f t="shared" ca="1" si="357"/>
        <v>0</v>
      </c>
      <c r="DB465" s="824">
        <f t="shared" ca="1" si="357"/>
        <v>0</v>
      </c>
      <c r="DC465" s="824">
        <f t="shared" ca="1" si="357"/>
        <v>0</v>
      </c>
      <c r="DD465" s="824">
        <f t="shared" ca="1" si="357"/>
        <v>0</v>
      </c>
      <c r="DE465" s="824">
        <f t="shared" ca="1" si="357"/>
        <v>0</v>
      </c>
      <c r="DF465" s="824">
        <f t="shared" ca="1" si="357"/>
        <v>0</v>
      </c>
      <c r="DG465" s="824">
        <f t="shared" ca="1" si="357"/>
        <v>0</v>
      </c>
      <c r="DH465" s="824">
        <f t="shared" ca="1" si="357"/>
        <v>0</v>
      </c>
      <c r="DI465" s="824">
        <f t="shared" ca="1" si="357"/>
        <v>0</v>
      </c>
      <c r="DJ465" s="824">
        <f t="shared" ref="DJ465:DL479" ca="1" si="358">IF(OR(IF($BL465*1&lt;$BL$196,$BL465*1=DJ$198,FALSE),IF($BL465*2&lt;$BL$196,$BL465*2=DJ$198,FALSE),IF($BL465*3&lt;$BL$196,$BL465*3=DJ$198,FALSE),IF($BL465*4&lt;$BL$196,$BL465*4=DJ$198,FALSE),IF($BL465*5&lt;$BL$196,$BL465*5=DJ$198,FALSE)),$BN465*$BM$196^DJ$198,0)</f>
        <v>0</v>
      </c>
      <c r="DK465" s="824">
        <f t="shared" ca="1" si="358"/>
        <v>0</v>
      </c>
      <c r="DL465" s="824">
        <f t="shared" ca="1" si="358"/>
        <v>0</v>
      </c>
    </row>
    <row r="466" spans="2:116" ht="12" thickBot="1" x14ac:dyDescent="0.3">
      <c r="B466" s="1673"/>
      <c r="C466" s="1680"/>
      <c r="D466" s="15" t="s">
        <v>11</v>
      </c>
      <c r="E466" s="116"/>
      <c r="F466" s="116">
        <f ca="1">SUBTOTAL(109,'3.2 I&amp;W'!$X$211)</f>
        <v>0</v>
      </c>
      <c r="G466" s="116">
        <f ca="1">SUBTOTAL(109,'3.2 I&amp;W'!$Y$211)</f>
        <v>0</v>
      </c>
      <c r="H466" s="116">
        <f ca="1">SUBTOTAL(109,'3.2 I&amp;W'!$AD$211)</f>
        <v>0</v>
      </c>
      <c r="I466" s="116">
        <f ca="1">SUBTOTAL(109,'3.2 I&amp;W'!$AE$211)</f>
        <v>0</v>
      </c>
      <c r="J466" s="116"/>
      <c r="K466" s="116"/>
      <c r="L466" s="116"/>
      <c r="M466" s="116">
        <f ca="1">SUBTOTAL(109,'3.2 I&amp;W'!$AI$211)</f>
        <v>0</v>
      </c>
      <c r="N466" s="156">
        <f t="shared" ca="1" si="340"/>
        <v>0</v>
      </c>
      <c r="O466" s="116">
        <f ca="1">SUBTOTAL(109,'3.2 I&amp;W'!$S$211)</f>
        <v>0</v>
      </c>
      <c r="P466" s="30">
        <f t="shared" ca="1" si="330"/>
        <v>0</v>
      </c>
      <c r="Q466" s="31">
        <f t="shared" ca="1" si="331"/>
        <v>0</v>
      </c>
      <c r="R466" s="31">
        <f t="shared" ca="1" si="332"/>
        <v>0</v>
      </c>
      <c r="S466" s="31">
        <f t="shared" ca="1" si="333"/>
        <v>0</v>
      </c>
      <c r="T466" s="32">
        <f t="shared" ca="1" si="334"/>
        <v>0</v>
      </c>
      <c r="U466" s="37">
        <f t="shared" ca="1" si="353"/>
        <v>0</v>
      </c>
      <c r="V466" s="40">
        <f t="shared" ca="1" si="335"/>
        <v>0</v>
      </c>
      <c r="W466" s="41">
        <f t="shared" ca="1" si="336"/>
        <v>0</v>
      </c>
      <c r="X466" s="43"/>
      <c r="Y466" s="46"/>
      <c r="Z466" s="126"/>
      <c r="AA466" s="136"/>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824">
        <f t="shared" ca="1" si="337"/>
        <v>0</v>
      </c>
      <c r="BM466" s="824">
        <f t="shared" ca="1" si="338"/>
        <v>0</v>
      </c>
      <c r="BN466" s="824">
        <f t="shared" ca="1" si="339"/>
        <v>0</v>
      </c>
      <c r="BO466" s="824">
        <f t="shared" ca="1" si="355"/>
        <v>0</v>
      </c>
      <c r="BP466" s="824">
        <f t="shared" ca="1" si="355"/>
        <v>0</v>
      </c>
      <c r="BQ466" s="824">
        <f t="shared" ca="1" si="355"/>
        <v>0</v>
      </c>
      <c r="BR466" s="824">
        <f t="shared" ca="1" si="355"/>
        <v>0</v>
      </c>
      <c r="BS466" s="824">
        <f t="shared" ca="1" si="355"/>
        <v>0</v>
      </c>
      <c r="BT466" s="824">
        <f t="shared" ca="1" si="355"/>
        <v>0</v>
      </c>
      <c r="BU466" s="824">
        <f t="shared" ca="1" si="355"/>
        <v>0</v>
      </c>
      <c r="BV466" s="824">
        <f t="shared" ca="1" si="355"/>
        <v>0</v>
      </c>
      <c r="BW466" s="824">
        <f t="shared" ca="1" si="355"/>
        <v>0</v>
      </c>
      <c r="BX466" s="824">
        <f t="shared" ca="1" si="355"/>
        <v>0</v>
      </c>
      <c r="BY466" s="824">
        <f t="shared" ca="1" si="355"/>
        <v>0</v>
      </c>
      <c r="BZ466" s="824">
        <f t="shared" ca="1" si="355"/>
        <v>0</v>
      </c>
      <c r="CA466" s="824">
        <f t="shared" ca="1" si="355"/>
        <v>0</v>
      </c>
      <c r="CB466" s="824">
        <f t="shared" ca="1" si="355"/>
        <v>0</v>
      </c>
      <c r="CC466" s="824">
        <f t="shared" ca="1" si="355"/>
        <v>0</v>
      </c>
      <c r="CD466" s="824">
        <f t="shared" ca="1" si="355"/>
        <v>0</v>
      </c>
      <c r="CE466" s="824">
        <f t="shared" ca="1" si="354"/>
        <v>0</v>
      </c>
      <c r="CF466" s="824">
        <f t="shared" ca="1" si="354"/>
        <v>0</v>
      </c>
      <c r="CG466" s="824">
        <f t="shared" ca="1" si="354"/>
        <v>0</v>
      </c>
      <c r="CH466" s="824">
        <f t="shared" ca="1" si="354"/>
        <v>0</v>
      </c>
      <c r="CI466" s="824">
        <f t="shared" ca="1" si="354"/>
        <v>0</v>
      </c>
      <c r="CJ466" s="824">
        <f t="shared" ca="1" si="354"/>
        <v>0</v>
      </c>
      <c r="CK466" s="824">
        <f t="shared" ca="1" si="354"/>
        <v>0</v>
      </c>
      <c r="CL466" s="824">
        <f t="shared" ca="1" si="354"/>
        <v>0</v>
      </c>
      <c r="CM466" s="824">
        <f t="shared" ca="1" si="354"/>
        <v>0</v>
      </c>
      <c r="CN466" s="824">
        <f t="shared" ca="1" si="354"/>
        <v>0</v>
      </c>
      <c r="CO466" s="824">
        <f t="shared" ca="1" si="354"/>
        <v>0</v>
      </c>
      <c r="CP466" s="824">
        <f t="shared" ca="1" si="354"/>
        <v>0</v>
      </c>
      <c r="CQ466" s="824">
        <f t="shared" ca="1" si="354"/>
        <v>0</v>
      </c>
      <c r="CR466" s="824">
        <f t="shared" ca="1" si="354"/>
        <v>0</v>
      </c>
      <c r="CS466" s="824">
        <f t="shared" ca="1" si="354"/>
        <v>0</v>
      </c>
      <c r="CT466" s="824">
        <f t="shared" ca="1" si="357"/>
        <v>0</v>
      </c>
      <c r="CU466" s="824">
        <f t="shared" ca="1" si="357"/>
        <v>0</v>
      </c>
      <c r="CV466" s="824">
        <f t="shared" ca="1" si="357"/>
        <v>0</v>
      </c>
      <c r="CW466" s="824">
        <f t="shared" ca="1" si="357"/>
        <v>0</v>
      </c>
      <c r="CX466" s="824">
        <f t="shared" ca="1" si="357"/>
        <v>0</v>
      </c>
      <c r="CY466" s="824">
        <f t="shared" ca="1" si="357"/>
        <v>0</v>
      </c>
      <c r="CZ466" s="824">
        <f t="shared" ca="1" si="357"/>
        <v>0</v>
      </c>
      <c r="DA466" s="824">
        <f t="shared" ca="1" si="357"/>
        <v>0</v>
      </c>
      <c r="DB466" s="824">
        <f t="shared" ca="1" si="357"/>
        <v>0</v>
      </c>
      <c r="DC466" s="824">
        <f t="shared" ca="1" si="357"/>
        <v>0</v>
      </c>
      <c r="DD466" s="824">
        <f t="shared" ca="1" si="357"/>
        <v>0</v>
      </c>
      <c r="DE466" s="824">
        <f t="shared" ca="1" si="357"/>
        <v>0</v>
      </c>
      <c r="DF466" s="824">
        <f t="shared" ca="1" si="357"/>
        <v>0</v>
      </c>
      <c r="DG466" s="824">
        <f t="shared" ca="1" si="357"/>
        <v>0</v>
      </c>
      <c r="DH466" s="824">
        <f t="shared" ca="1" si="357"/>
        <v>0</v>
      </c>
      <c r="DI466" s="824">
        <f t="shared" ca="1" si="357"/>
        <v>0</v>
      </c>
      <c r="DJ466" s="824">
        <f t="shared" ca="1" si="358"/>
        <v>0</v>
      </c>
      <c r="DK466" s="824">
        <f t="shared" ca="1" si="358"/>
        <v>0</v>
      </c>
      <c r="DL466" s="824">
        <f t="shared" ca="1" si="358"/>
        <v>0</v>
      </c>
    </row>
    <row r="467" spans="2:116" ht="11.25" customHeight="1" thickBot="1" x14ac:dyDescent="0.3">
      <c r="B467" s="1673"/>
      <c r="C467" s="1680"/>
      <c r="D467" s="15" t="s">
        <v>265</v>
      </c>
      <c r="E467" s="165"/>
      <c r="F467" s="116">
        <f ca="1">SUBTOTAL(109,'3.2 I&amp;W'!$X$216)</f>
        <v>0</v>
      </c>
      <c r="G467" s="116">
        <f ca="1">SUBTOTAL(109,'3.2 I&amp;W'!$Y$216)</f>
        <v>0</v>
      </c>
      <c r="H467" s="116">
        <f ca="1">SUBTOTAL(109,'3.2 I&amp;W'!$AD$216)</f>
        <v>0</v>
      </c>
      <c r="I467" s="116">
        <f ca="1">SUBTOTAL(109,'3.2 I&amp;W'!$AE$216)</f>
        <v>0</v>
      </c>
      <c r="J467" s="116"/>
      <c r="K467" s="116"/>
      <c r="L467" s="116"/>
      <c r="M467" s="116">
        <f ca="1">SUBTOTAL(109,'3.2 I&amp;W'!$AI$216)</f>
        <v>0</v>
      </c>
      <c r="N467" s="156">
        <f t="shared" ca="1" si="340"/>
        <v>0</v>
      </c>
      <c r="O467" s="116">
        <f ca="1">SUBTOTAL(109,'3.2 I&amp;W'!$S$216)</f>
        <v>0</v>
      </c>
      <c r="P467" s="30">
        <f t="shared" ca="1" si="330"/>
        <v>0</v>
      </c>
      <c r="Q467" s="31">
        <f t="shared" ca="1" si="331"/>
        <v>0</v>
      </c>
      <c r="R467" s="31">
        <f t="shared" ca="1" si="332"/>
        <v>0</v>
      </c>
      <c r="S467" s="31">
        <f t="shared" ca="1" si="333"/>
        <v>0</v>
      </c>
      <c r="T467" s="32">
        <f t="shared" ca="1" si="334"/>
        <v>0</v>
      </c>
      <c r="U467" s="37">
        <f t="shared" ca="1" si="353"/>
        <v>0</v>
      </c>
      <c r="V467" s="40">
        <f t="shared" ca="1" si="335"/>
        <v>0</v>
      </c>
      <c r="W467" s="41">
        <f t="shared" ca="1" si="336"/>
        <v>0</v>
      </c>
      <c r="X467" s="43"/>
      <c r="Y467" s="46"/>
      <c r="Z467" s="126"/>
      <c r="AA467" s="136"/>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824">
        <f t="shared" ca="1" si="337"/>
        <v>0</v>
      </c>
      <c r="BM467" s="824">
        <f t="shared" ca="1" si="338"/>
        <v>0</v>
      </c>
      <c r="BN467" s="824">
        <f t="shared" ca="1" si="339"/>
        <v>0</v>
      </c>
      <c r="BO467" s="824">
        <f t="shared" ca="1" si="355"/>
        <v>0</v>
      </c>
      <c r="BP467" s="824">
        <f t="shared" ca="1" si="355"/>
        <v>0</v>
      </c>
      <c r="BQ467" s="824">
        <f t="shared" ca="1" si="355"/>
        <v>0</v>
      </c>
      <c r="BR467" s="824">
        <f t="shared" ca="1" si="355"/>
        <v>0</v>
      </c>
      <c r="BS467" s="824">
        <f t="shared" ca="1" si="355"/>
        <v>0</v>
      </c>
      <c r="BT467" s="824">
        <f t="shared" ca="1" si="355"/>
        <v>0</v>
      </c>
      <c r="BU467" s="824">
        <f t="shared" ca="1" si="355"/>
        <v>0</v>
      </c>
      <c r="BV467" s="824">
        <f t="shared" ca="1" si="355"/>
        <v>0</v>
      </c>
      <c r="BW467" s="824">
        <f t="shared" ca="1" si="355"/>
        <v>0</v>
      </c>
      <c r="BX467" s="824">
        <f t="shared" ca="1" si="355"/>
        <v>0</v>
      </c>
      <c r="BY467" s="824">
        <f t="shared" ca="1" si="355"/>
        <v>0</v>
      </c>
      <c r="BZ467" s="824">
        <f t="shared" ca="1" si="355"/>
        <v>0</v>
      </c>
      <c r="CA467" s="824">
        <f t="shared" ca="1" si="355"/>
        <v>0</v>
      </c>
      <c r="CB467" s="824">
        <f t="shared" ca="1" si="355"/>
        <v>0</v>
      </c>
      <c r="CC467" s="824">
        <f t="shared" ca="1" si="355"/>
        <v>0</v>
      </c>
      <c r="CD467" s="824">
        <f t="shared" ca="1" si="355"/>
        <v>0</v>
      </c>
      <c r="CE467" s="824">
        <f t="shared" ca="1" si="354"/>
        <v>0</v>
      </c>
      <c r="CF467" s="824">
        <f t="shared" ca="1" si="354"/>
        <v>0</v>
      </c>
      <c r="CG467" s="824">
        <f t="shared" ca="1" si="354"/>
        <v>0</v>
      </c>
      <c r="CH467" s="824">
        <f t="shared" ca="1" si="354"/>
        <v>0</v>
      </c>
      <c r="CI467" s="824">
        <f t="shared" ca="1" si="354"/>
        <v>0</v>
      </c>
      <c r="CJ467" s="824">
        <f t="shared" ca="1" si="354"/>
        <v>0</v>
      </c>
      <c r="CK467" s="824">
        <f t="shared" ca="1" si="354"/>
        <v>0</v>
      </c>
      <c r="CL467" s="824">
        <f t="shared" ca="1" si="354"/>
        <v>0</v>
      </c>
      <c r="CM467" s="824">
        <f t="shared" ca="1" si="354"/>
        <v>0</v>
      </c>
      <c r="CN467" s="824">
        <f t="shared" ca="1" si="354"/>
        <v>0</v>
      </c>
      <c r="CO467" s="824">
        <f t="shared" ca="1" si="354"/>
        <v>0</v>
      </c>
      <c r="CP467" s="824">
        <f t="shared" ca="1" si="354"/>
        <v>0</v>
      </c>
      <c r="CQ467" s="824">
        <f t="shared" ca="1" si="354"/>
        <v>0</v>
      </c>
      <c r="CR467" s="824">
        <f t="shared" ca="1" si="354"/>
        <v>0</v>
      </c>
      <c r="CS467" s="824">
        <f t="shared" ca="1" si="354"/>
        <v>0</v>
      </c>
      <c r="CT467" s="824">
        <f t="shared" ca="1" si="357"/>
        <v>0</v>
      </c>
      <c r="CU467" s="824">
        <f t="shared" ca="1" si="357"/>
        <v>0</v>
      </c>
      <c r="CV467" s="824">
        <f t="shared" ca="1" si="357"/>
        <v>0</v>
      </c>
      <c r="CW467" s="824">
        <f t="shared" ca="1" si="357"/>
        <v>0</v>
      </c>
      <c r="CX467" s="824">
        <f t="shared" ca="1" si="357"/>
        <v>0</v>
      </c>
      <c r="CY467" s="824">
        <f t="shared" ca="1" si="357"/>
        <v>0</v>
      </c>
      <c r="CZ467" s="824">
        <f t="shared" ca="1" si="357"/>
        <v>0</v>
      </c>
      <c r="DA467" s="824">
        <f t="shared" ca="1" si="357"/>
        <v>0</v>
      </c>
      <c r="DB467" s="824">
        <f t="shared" ca="1" si="357"/>
        <v>0</v>
      </c>
      <c r="DC467" s="824">
        <f t="shared" ca="1" si="357"/>
        <v>0</v>
      </c>
      <c r="DD467" s="824">
        <f t="shared" ca="1" si="357"/>
        <v>0</v>
      </c>
      <c r="DE467" s="824">
        <f t="shared" ca="1" si="357"/>
        <v>0</v>
      </c>
      <c r="DF467" s="824">
        <f t="shared" ca="1" si="357"/>
        <v>0</v>
      </c>
      <c r="DG467" s="824">
        <f t="shared" ca="1" si="357"/>
        <v>0</v>
      </c>
      <c r="DH467" s="824">
        <f t="shared" ca="1" si="357"/>
        <v>0</v>
      </c>
      <c r="DI467" s="824">
        <f t="shared" ca="1" si="357"/>
        <v>0</v>
      </c>
      <c r="DJ467" s="824">
        <f t="shared" ca="1" si="358"/>
        <v>0</v>
      </c>
      <c r="DK467" s="824">
        <f t="shared" ca="1" si="358"/>
        <v>0</v>
      </c>
      <c r="DL467" s="824">
        <f t="shared" ca="1" si="358"/>
        <v>0</v>
      </c>
    </row>
    <row r="468" spans="2:116" ht="12" thickBot="1" x14ac:dyDescent="0.3">
      <c r="B468" s="1673"/>
      <c r="C468" s="1680"/>
      <c r="D468" s="15" t="s">
        <v>9</v>
      </c>
      <c r="E468" s="116"/>
      <c r="F468" s="116"/>
      <c r="G468" s="116"/>
      <c r="H468" s="116"/>
      <c r="I468" s="116"/>
      <c r="J468" s="116"/>
      <c r="K468" s="116"/>
      <c r="L468" s="116"/>
      <c r="M468" s="116"/>
      <c r="N468" s="156">
        <f t="shared" si="340"/>
        <v>0</v>
      </c>
      <c r="O468" s="396">
        <f ca="1">SUBTOTAL(109,'3.2 I&amp;W'!$S$220)</f>
        <v>526746</v>
      </c>
      <c r="P468" s="30">
        <f t="shared" si="330"/>
        <v>0</v>
      </c>
      <c r="Q468" s="31">
        <f t="shared" si="331"/>
        <v>0</v>
      </c>
      <c r="R468" s="31">
        <f t="shared" si="332"/>
        <v>0</v>
      </c>
      <c r="S468" s="31">
        <f t="shared" si="333"/>
        <v>0</v>
      </c>
      <c r="T468" s="32">
        <f t="shared" si="334"/>
        <v>0</v>
      </c>
      <c r="U468" s="37">
        <f t="shared" si="353"/>
        <v>0</v>
      </c>
      <c r="V468" s="40">
        <f t="shared" si="335"/>
        <v>0</v>
      </c>
      <c r="W468" s="41">
        <f t="shared" si="336"/>
        <v>0</v>
      </c>
      <c r="X468" s="43"/>
      <c r="Y468" s="46"/>
      <c r="Z468" s="126"/>
      <c r="AA468" s="136"/>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824">
        <f t="shared" si="337"/>
        <v>0</v>
      </c>
      <c r="BM468" s="824">
        <f t="shared" si="338"/>
        <v>0</v>
      </c>
      <c r="BN468" s="824">
        <f t="shared" ca="1" si="339"/>
        <v>526746</v>
      </c>
      <c r="BO468" s="824">
        <f t="shared" si="355"/>
        <v>0</v>
      </c>
      <c r="BP468" s="824">
        <f t="shared" si="355"/>
        <v>0</v>
      </c>
      <c r="BQ468" s="824">
        <f t="shared" si="355"/>
        <v>0</v>
      </c>
      <c r="BR468" s="824">
        <f t="shared" si="355"/>
        <v>0</v>
      </c>
      <c r="BS468" s="824">
        <f t="shared" si="355"/>
        <v>0</v>
      </c>
      <c r="BT468" s="824">
        <f t="shared" si="355"/>
        <v>0</v>
      </c>
      <c r="BU468" s="824">
        <f t="shared" si="355"/>
        <v>0</v>
      </c>
      <c r="BV468" s="824">
        <f t="shared" si="355"/>
        <v>0</v>
      </c>
      <c r="BW468" s="824">
        <f t="shared" si="355"/>
        <v>0</v>
      </c>
      <c r="BX468" s="824">
        <f t="shared" si="355"/>
        <v>0</v>
      </c>
      <c r="BY468" s="824">
        <f t="shared" si="355"/>
        <v>0</v>
      </c>
      <c r="BZ468" s="824">
        <f t="shared" si="355"/>
        <v>0</v>
      </c>
      <c r="CA468" s="824">
        <f t="shared" si="355"/>
        <v>0</v>
      </c>
      <c r="CB468" s="824">
        <f t="shared" si="355"/>
        <v>0</v>
      </c>
      <c r="CC468" s="824">
        <f t="shared" si="355"/>
        <v>0</v>
      </c>
      <c r="CD468" s="824">
        <f t="shared" si="355"/>
        <v>0</v>
      </c>
      <c r="CE468" s="824">
        <f t="shared" si="354"/>
        <v>0</v>
      </c>
      <c r="CF468" s="824">
        <f t="shared" si="354"/>
        <v>0</v>
      </c>
      <c r="CG468" s="824">
        <f t="shared" si="354"/>
        <v>0</v>
      </c>
      <c r="CH468" s="824">
        <f t="shared" si="354"/>
        <v>0</v>
      </c>
      <c r="CI468" s="824">
        <f t="shared" si="354"/>
        <v>0</v>
      </c>
      <c r="CJ468" s="824">
        <f t="shared" si="354"/>
        <v>0</v>
      </c>
      <c r="CK468" s="824">
        <f t="shared" si="354"/>
        <v>0</v>
      </c>
      <c r="CL468" s="824">
        <f t="shared" si="354"/>
        <v>0</v>
      </c>
      <c r="CM468" s="824">
        <f t="shared" si="354"/>
        <v>0</v>
      </c>
      <c r="CN468" s="824">
        <f t="shared" si="354"/>
        <v>0</v>
      </c>
      <c r="CO468" s="824">
        <f t="shared" si="354"/>
        <v>0</v>
      </c>
      <c r="CP468" s="824">
        <f t="shared" si="354"/>
        <v>0</v>
      </c>
      <c r="CQ468" s="824">
        <f t="shared" si="354"/>
        <v>0</v>
      </c>
      <c r="CR468" s="824">
        <f t="shared" si="354"/>
        <v>0</v>
      </c>
      <c r="CS468" s="824">
        <f t="shared" si="354"/>
        <v>0</v>
      </c>
      <c r="CT468" s="824">
        <f t="shared" si="357"/>
        <v>0</v>
      </c>
      <c r="CU468" s="824">
        <f t="shared" si="357"/>
        <v>0</v>
      </c>
      <c r="CV468" s="824">
        <f t="shared" si="357"/>
        <v>0</v>
      </c>
      <c r="CW468" s="824">
        <f t="shared" si="357"/>
        <v>0</v>
      </c>
      <c r="CX468" s="824">
        <f t="shared" si="357"/>
        <v>0</v>
      </c>
      <c r="CY468" s="824">
        <f t="shared" si="357"/>
        <v>0</v>
      </c>
      <c r="CZ468" s="824">
        <f t="shared" si="357"/>
        <v>0</v>
      </c>
      <c r="DA468" s="824">
        <f t="shared" si="357"/>
        <v>0</v>
      </c>
      <c r="DB468" s="824">
        <f t="shared" si="357"/>
        <v>0</v>
      </c>
      <c r="DC468" s="824">
        <f t="shared" si="357"/>
        <v>0</v>
      </c>
      <c r="DD468" s="824">
        <f t="shared" si="357"/>
        <v>0</v>
      </c>
      <c r="DE468" s="824">
        <f t="shared" si="357"/>
        <v>0</v>
      </c>
      <c r="DF468" s="824">
        <f t="shared" si="357"/>
        <v>0</v>
      </c>
      <c r="DG468" s="824">
        <f t="shared" si="357"/>
        <v>0</v>
      </c>
      <c r="DH468" s="824">
        <f t="shared" si="357"/>
        <v>0</v>
      </c>
      <c r="DI468" s="824">
        <f t="shared" si="357"/>
        <v>0</v>
      </c>
      <c r="DJ468" s="824">
        <f t="shared" si="358"/>
        <v>0</v>
      </c>
      <c r="DK468" s="824">
        <f t="shared" si="358"/>
        <v>0</v>
      </c>
      <c r="DL468" s="824">
        <f t="shared" si="358"/>
        <v>0</v>
      </c>
    </row>
    <row r="469" spans="2:116" ht="12" thickBot="1" x14ac:dyDescent="0.3">
      <c r="B469" s="1673"/>
      <c r="C469" s="1680"/>
      <c r="D469" s="15" t="s">
        <v>3</v>
      </c>
      <c r="E469" s="165"/>
      <c r="F469" s="116">
        <f>SUBTOTAL(109,'3.2 I&amp;W'!$X$233)</f>
        <v>0</v>
      </c>
      <c r="G469" s="116">
        <f>SUBTOTAL(109,'3.2 I&amp;W'!$Y$233)</f>
        <v>0</v>
      </c>
      <c r="H469" s="116">
        <f>SUBTOTAL(109,'3.2 I&amp;W'!$AD$233)</f>
        <v>0</v>
      </c>
      <c r="I469" s="116">
        <f>SUBTOTAL(109,'3.2 I&amp;W'!$AE$233)</f>
        <v>0</v>
      </c>
      <c r="J469" s="116"/>
      <c r="K469" s="116"/>
      <c r="L469" s="116"/>
      <c r="M469" s="116">
        <f>SUBTOTAL(109,'3.2 I&amp;W'!$AI$233)</f>
        <v>0</v>
      </c>
      <c r="N469" s="156">
        <f t="shared" si="340"/>
        <v>0</v>
      </c>
      <c r="O469" s="116">
        <f ca="1">SUBTOTAL(109,'3.2 I&amp;W'!$S$233)</f>
        <v>0</v>
      </c>
      <c r="P469" s="30">
        <f t="shared" si="330"/>
        <v>0</v>
      </c>
      <c r="Q469" s="31">
        <f t="shared" si="331"/>
        <v>0</v>
      </c>
      <c r="R469" s="31">
        <f t="shared" si="332"/>
        <v>0</v>
      </c>
      <c r="S469" s="31">
        <f t="shared" si="333"/>
        <v>0</v>
      </c>
      <c r="T469" s="32">
        <f t="shared" si="334"/>
        <v>0</v>
      </c>
      <c r="U469" s="37">
        <f t="shared" si="353"/>
        <v>0</v>
      </c>
      <c r="V469" s="40">
        <f t="shared" si="335"/>
        <v>0</v>
      </c>
      <c r="W469" s="41">
        <f t="shared" si="336"/>
        <v>0</v>
      </c>
      <c r="X469" s="43"/>
      <c r="Y469" s="46"/>
      <c r="Z469" s="126"/>
      <c r="AA469" s="136"/>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824">
        <f t="shared" ref="BL469:BL479" si="359">M469</f>
        <v>0</v>
      </c>
      <c r="BM469" s="824">
        <f t="shared" ref="BM469:BM479" si="360">N469</f>
        <v>0</v>
      </c>
      <c r="BN469" s="824">
        <f t="shared" ref="BN469:BN479" ca="1" si="361">O469</f>
        <v>0</v>
      </c>
      <c r="BO469" s="824">
        <f t="shared" si="355"/>
        <v>0</v>
      </c>
      <c r="BP469" s="824">
        <f t="shared" si="355"/>
        <v>0</v>
      </c>
      <c r="BQ469" s="824">
        <f t="shared" si="355"/>
        <v>0</v>
      </c>
      <c r="BR469" s="824">
        <f t="shared" si="355"/>
        <v>0</v>
      </c>
      <c r="BS469" s="824">
        <f t="shared" si="355"/>
        <v>0</v>
      </c>
      <c r="BT469" s="824">
        <f t="shared" si="355"/>
        <v>0</v>
      </c>
      <c r="BU469" s="824">
        <f t="shared" si="355"/>
        <v>0</v>
      </c>
      <c r="BV469" s="824">
        <f t="shared" si="355"/>
        <v>0</v>
      </c>
      <c r="BW469" s="824">
        <f t="shared" si="355"/>
        <v>0</v>
      </c>
      <c r="BX469" s="824">
        <f t="shared" si="355"/>
        <v>0</v>
      </c>
      <c r="BY469" s="824">
        <f t="shared" si="355"/>
        <v>0</v>
      </c>
      <c r="BZ469" s="824">
        <f t="shared" si="355"/>
        <v>0</v>
      </c>
      <c r="CA469" s="824">
        <f t="shared" si="355"/>
        <v>0</v>
      </c>
      <c r="CB469" s="824">
        <f t="shared" si="355"/>
        <v>0</v>
      </c>
      <c r="CC469" s="824">
        <f t="shared" si="355"/>
        <v>0</v>
      </c>
      <c r="CD469" s="824">
        <f t="shared" si="355"/>
        <v>0</v>
      </c>
      <c r="CE469" s="824">
        <f t="shared" si="354"/>
        <v>0</v>
      </c>
      <c r="CF469" s="824">
        <f t="shared" si="354"/>
        <v>0</v>
      </c>
      <c r="CG469" s="824">
        <f t="shared" si="354"/>
        <v>0</v>
      </c>
      <c r="CH469" s="824">
        <f t="shared" si="354"/>
        <v>0</v>
      </c>
      <c r="CI469" s="824">
        <f t="shared" si="354"/>
        <v>0</v>
      </c>
      <c r="CJ469" s="824">
        <f t="shared" si="354"/>
        <v>0</v>
      </c>
      <c r="CK469" s="824">
        <f t="shared" si="354"/>
        <v>0</v>
      </c>
      <c r="CL469" s="824">
        <f t="shared" si="354"/>
        <v>0</v>
      </c>
      <c r="CM469" s="824">
        <f t="shared" si="354"/>
        <v>0</v>
      </c>
      <c r="CN469" s="824">
        <f t="shared" si="354"/>
        <v>0</v>
      </c>
      <c r="CO469" s="824">
        <f t="shared" si="354"/>
        <v>0</v>
      </c>
      <c r="CP469" s="824">
        <f t="shared" si="354"/>
        <v>0</v>
      </c>
      <c r="CQ469" s="824">
        <f t="shared" si="354"/>
        <v>0</v>
      </c>
      <c r="CR469" s="824">
        <f t="shared" si="354"/>
        <v>0</v>
      </c>
      <c r="CS469" s="824">
        <f t="shared" si="354"/>
        <v>0</v>
      </c>
      <c r="CT469" s="824">
        <f t="shared" si="357"/>
        <v>0</v>
      </c>
      <c r="CU469" s="824">
        <f t="shared" si="357"/>
        <v>0</v>
      </c>
      <c r="CV469" s="824">
        <f t="shared" si="357"/>
        <v>0</v>
      </c>
      <c r="CW469" s="824">
        <f t="shared" si="357"/>
        <v>0</v>
      </c>
      <c r="CX469" s="824">
        <f t="shared" si="357"/>
        <v>0</v>
      </c>
      <c r="CY469" s="824">
        <f t="shared" si="357"/>
        <v>0</v>
      </c>
      <c r="CZ469" s="824">
        <f t="shared" si="357"/>
        <v>0</v>
      </c>
      <c r="DA469" s="824">
        <f t="shared" si="357"/>
        <v>0</v>
      </c>
      <c r="DB469" s="824">
        <f t="shared" si="357"/>
        <v>0</v>
      </c>
      <c r="DC469" s="824">
        <f t="shared" si="357"/>
        <v>0</v>
      </c>
      <c r="DD469" s="824">
        <f t="shared" si="357"/>
        <v>0</v>
      </c>
      <c r="DE469" s="824">
        <f t="shared" si="357"/>
        <v>0</v>
      </c>
      <c r="DF469" s="824">
        <f t="shared" si="357"/>
        <v>0</v>
      </c>
      <c r="DG469" s="824">
        <f t="shared" si="357"/>
        <v>0</v>
      </c>
      <c r="DH469" s="824">
        <f t="shared" si="357"/>
        <v>0</v>
      </c>
      <c r="DI469" s="824">
        <f t="shared" si="357"/>
        <v>0</v>
      </c>
      <c r="DJ469" s="824">
        <f t="shared" si="358"/>
        <v>0</v>
      </c>
      <c r="DK469" s="824">
        <f t="shared" si="358"/>
        <v>0</v>
      </c>
      <c r="DL469" s="824">
        <f t="shared" si="358"/>
        <v>0</v>
      </c>
    </row>
    <row r="470" spans="2:116" ht="12" thickBot="1" x14ac:dyDescent="0.3">
      <c r="B470" s="1673"/>
      <c r="C470" s="1680"/>
      <c r="D470" s="15" t="s">
        <v>1</v>
      </c>
      <c r="E470" s="116"/>
      <c r="F470" s="116">
        <f>SUBTOTAL(109,'3.2 I&amp;W'!$X$234)</f>
        <v>0</v>
      </c>
      <c r="G470" s="116">
        <f>SUBTOTAL(109,'3.2 I&amp;W'!$Y$234)</f>
        <v>0</v>
      </c>
      <c r="H470" s="116">
        <f>SUBTOTAL(109,'3.2 I&amp;W'!$AD$234)</f>
        <v>0</v>
      </c>
      <c r="I470" s="116">
        <f>SUBTOTAL(109,'3.2 I&amp;W'!$AE$234)</f>
        <v>0</v>
      </c>
      <c r="J470" s="116"/>
      <c r="K470" s="116"/>
      <c r="L470" s="116"/>
      <c r="M470" s="116">
        <f>SUBTOTAL(109,'3.2 I&amp;W'!$AI$234)</f>
        <v>0</v>
      </c>
      <c r="N470" s="156">
        <f t="shared" si="340"/>
        <v>0</v>
      </c>
      <c r="O470" s="116">
        <f ca="1">SUBTOTAL(109,'3.2 I&amp;W'!$S$234)</f>
        <v>0</v>
      </c>
      <c r="P470" s="30">
        <f t="shared" si="330"/>
        <v>0</v>
      </c>
      <c r="Q470" s="31">
        <f t="shared" si="331"/>
        <v>0</v>
      </c>
      <c r="R470" s="31">
        <f t="shared" si="332"/>
        <v>0</v>
      </c>
      <c r="S470" s="31">
        <f t="shared" si="333"/>
        <v>0</v>
      </c>
      <c r="T470" s="32">
        <f t="shared" si="334"/>
        <v>0</v>
      </c>
      <c r="U470" s="37">
        <f t="shared" si="353"/>
        <v>0</v>
      </c>
      <c r="V470" s="40">
        <f t="shared" si="335"/>
        <v>0</v>
      </c>
      <c r="W470" s="41">
        <f t="shared" si="336"/>
        <v>0</v>
      </c>
      <c r="X470" s="43"/>
      <c r="Y470" s="46"/>
      <c r="Z470" s="126"/>
      <c r="AA470" s="136"/>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824">
        <f t="shared" si="359"/>
        <v>0</v>
      </c>
      <c r="BM470" s="824">
        <f t="shared" si="360"/>
        <v>0</v>
      </c>
      <c r="BN470" s="824">
        <f t="shared" ca="1" si="361"/>
        <v>0</v>
      </c>
      <c r="BO470" s="824">
        <f t="shared" si="355"/>
        <v>0</v>
      </c>
      <c r="BP470" s="824">
        <f t="shared" si="355"/>
        <v>0</v>
      </c>
      <c r="BQ470" s="824">
        <f t="shared" si="355"/>
        <v>0</v>
      </c>
      <c r="BR470" s="824">
        <f t="shared" si="355"/>
        <v>0</v>
      </c>
      <c r="BS470" s="824">
        <f t="shared" si="355"/>
        <v>0</v>
      </c>
      <c r="BT470" s="824">
        <f t="shared" si="355"/>
        <v>0</v>
      </c>
      <c r="BU470" s="824">
        <f t="shared" si="355"/>
        <v>0</v>
      </c>
      <c r="BV470" s="824">
        <f t="shared" si="355"/>
        <v>0</v>
      </c>
      <c r="BW470" s="824">
        <f t="shared" si="355"/>
        <v>0</v>
      </c>
      <c r="BX470" s="824">
        <f t="shared" si="355"/>
        <v>0</v>
      </c>
      <c r="BY470" s="824">
        <f t="shared" si="355"/>
        <v>0</v>
      </c>
      <c r="BZ470" s="824">
        <f t="shared" si="355"/>
        <v>0</v>
      </c>
      <c r="CA470" s="824">
        <f t="shared" si="355"/>
        <v>0</v>
      </c>
      <c r="CB470" s="824">
        <f t="shared" si="355"/>
        <v>0</v>
      </c>
      <c r="CC470" s="824">
        <f t="shared" si="355"/>
        <v>0</v>
      </c>
      <c r="CD470" s="824">
        <f t="shared" si="355"/>
        <v>0</v>
      </c>
      <c r="CE470" s="824">
        <f t="shared" si="354"/>
        <v>0</v>
      </c>
      <c r="CF470" s="824">
        <f t="shared" si="354"/>
        <v>0</v>
      </c>
      <c r="CG470" s="824">
        <f t="shared" si="354"/>
        <v>0</v>
      </c>
      <c r="CH470" s="824">
        <f t="shared" si="354"/>
        <v>0</v>
      </c>
      <c r="CI470" s="824">
        <f t="shared" si="354"/>
        <v>0</v>
      </c>
      <c r="CJ470" s="824">
        <f t="shared" si="354"/>
        <v>0</v>
      </c>
      <c r="CK470" s="824">
        <f t="shared" si="354"/>
        <v>0</v>
      </c>
      <c r="CL470" s="824">
        <f t="shared" si="354"/>
        <v>0</v>
      </c>
      <c r="CM470" s="824">
        <f t="shared" si="354"/>
        <v>0</v>
      </c>
      <c r="CN470" s="824">
        <f t="shared" si="354"/>
        <v>0</v>
      </c>
      <c r="CO470" s="824">
        <f t="shared" si="354"/>
        <v>0</v>
      </c>
      <c r="CP470" s="824">
        <f t="shared" si="354"/>
        <v>0</v>
      </c>
      <c r="CQ470" s="824">
        <f t="shared" si="354"/>
        <v>0</v>
      </c>
      <c r="CR470" s="824">
        <f t="shared" si="354"/>
        <v>0</v>
      </c>
      <c r="CS470" s="824">
        <f t="shared" si="354"/>
        <v>0</v>
      </c>
      <c r="CT470" s="824">
        <f t="shared" si="357"/>
        <v>0</v>
      </c>
      <c r="CU470" s="824">
        <f t="shared" si="357"/>
        <v>0</v>
      </c>
      <c r="CV470" s="824">
        <f t="shared" si="357"/>
        <v>0</v>
      </c>
      <c r="CW470" s="824">
        <f t="shared" si="357"/>
        <v>0</v>
      </c>
      <c r="CX470" s="824">
        <f t="shared" si="357"/>
        <v>0</v>
      </c>
      <c r="CY470" s="824">
        <f t="shared" si="357"/>
        <v>0</v>
      </c>
      <c r="CZ470" s="824">
        <f t="shared" si="357"/>
        <v>0</v>
      </c>
      <c r="DA470" s="824">
        <f t="shared" si="357"/>
        <v>0</v>
      </c>
      <c r="DB470" s="824">
        <f t="shared" si="357"/>
        <v>0</v>
      </c>
      <c r="DC470" s="824">
        <f t="shared" si="357"/>
        <v>0</v>
      </c>
      <c r="DD470" s="824">
        <f t="shared" si="357"/>
        <v>0</v>
      </c>
      <c r="DE470" s="824">
        <f t="shared" si="357"/>
        <v>0</v>
      </c>
      <c r="DF470" s="824">
        <f t="shared" si="357"/>
        <v>0</v>
      </c>
      <c r="DG470" s="824">
        <f t="shared" si="357"/>
        <v>0</v>
      </c>
      <c r="DH470" s="824">
        <f t="shared" si="357"/>
        <v>0</v>
      </c>
      <c r="DI470" s="824">
        <f t="shared" si="357"/>
        <v>0</v>
      </c>
      <c r="DJ470" s="824">
        <f t="shared" si="358"/>
        <v>0</v>
      </c>
      <c r="DK470" s="824">
        <f t="shared" si="358"/>
        <v>0</v>
      </c>
      <c r="DL470" s="824">
        <f t="shared" si="358"/>
        <v>0</v>
      </c>
    </row>
    <row r="471" spans="2:116" ht="12" thickBot="1" x14ac:dyDescent="0.3">
      <c r="B471" s="1673"/>
      <c r="C471" s="1680"/>
      <c r="D471" s="183" t="s">
        <v>0</v>
      </c>
      <c r="E471" s="182"/>
      <c r="F471" s="11">
        <f>SUBTOTAL(109,'3.2 I&amp;W'!$X$238)</f>
        <v>0</v>
      </c>
      <c r="G471" s="11">
        <f>SUBTOTAL(109,'3.2 I&amp;W'!$Y$238)</f>
        <v>0</v>
      </c>
      <c r="H471" s="11">
        <f>SUBTOTAL(109,'3.2 I&amp;W'!$AD$238)</f>
        <v>0</v>
      </c>
      <c r="I471" s="11">
        <f>SUBTOTAL(109,'3.2 I&amp;W'!$AE$238)</f>
        <v>0</v>
      </c>
      <c r="J471" s="11"/>
      <c r="K471" s="11"/>
      <c r="L471" s="11"/>
      <c r="M471" s="11">
        <f>SUBTOTAL(109,'3.2 I&amp;W'!$AI$238)</f>
        <v>0</v>
      </c>
      <c r="N471" s="156">
        <f t="shared" si="340"/>
        <v>0</v>
      </c>
      <c r="O471" s="11">
        <f ca="1">SUBTOTAL(109,'3.2 I&amp;W'!$S$239)</f>
        <v>0</v>
      </c>
      <c r="P471" s="65">
        <f t="shared" si="330"/>
        <v>0</v>
      </c>
      <c r="Q471" s="66">
        <f t="shared" si="331"/>
        <v>0</v>
      </c>
      <c r="R471" s="66">
        <f t="shared" si="332"/>
        <v>0</v>
      </c>
      <c r="S471" s="66">
        <f t="shared" si="333"/>
        <v>0</v>
      </c>
      <c r="T471" s="67">
        <f t="shared" si="334"/>
        <v>0</v>
      </c>
      <c r="U471" s="37">
        <f t="shared" si="353"/>
        <v>0</v>
      </c>
      <c r="V471" s="40">
        <f t="shared" ref="V471:V487" si="362">G471*$I$169</f>
        <v>0</v>
      </c>
      <c r="W471" s="41">
        <f t="shared" ref="W471:W487" si="363">(I471+J471)*$I$167</f>
        <v>0</v>
      </c>
      <c r="X471" s="184"/>
      <c r="Y471" s="185"/>
      <c r="Z471" s="198"/>
      <c r="AA471" s="186"/>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824">
        <f t="shared" si="359"/>
        <v>0</v>
      </c>
      <c r="BM471" s="824">
        <f t="shared" si="360"/>
        <v>0</v>
      </c>
      <c r="BN471" s="824">
        <f t="shared" ca="1" si="361"/>
        <v>0</v>
      </c>
      <c r="BO471" s="824">
        <f t="shared" si="355"/>
        <v>0</v>
      </c>
      <c r="BP471" s="824">
        <f t="shared" si="355"/>
        <v>0</v>
      </c>
      <c r="BQ471" s="824">
        <f t="shared" si="355"/>
        <v>0</v>
      </c>
      <c r="BR471" s="824">
        <f t="shared" si="355"/>
        <v>0</v>
      </c>
      <c r="BS471" s="824">
        <f t="shared" si="355"/>
        <v>0</v>
      </c>
      <c r="BT471" s="824">
        <f t="shared" si="355"/>
        <v>0</v>
      </c>
      <c r="BU471" s="824">
        <f t="shared" si="355"/>
        <v>0</v>
      </c>
      <c r="BV471" s="824">
        <f t="shared" si="355"/>
        <v>0</v>
      </c>
      <c r="BW471" s="824">
        <f t="shared" si="355"/>
        <v>0</v>
      </c>
      <c r="BX471" s="824">
        <f t="shared" si="355"/>
        <v>0</v>
      </c>
      <c r="BY471" s="824">
        <f t="shared" si="355"/>
        <v>0</v>
      </c>
      <c r="BZ471" s="824">
        <f t="shared" si="355"/>
        <v>0</v>
      </c>
      <c r="CA471" s="824">
        <f t="shared" si="355"/>
        <v>0</v>
      </c>
      <c r="CB471" s="824">
        <f t="shared" si="355"/>
        <v>0</v>
      </c>
      <c r="CC471" s="824">
        <f t="shared" si="355"/>
        <v>0</v>
      </c>
      <c r="CD471" s="824">
        <f t="shared" ref="CD471:CS479" si="364">IF(OR(IF($BL471*1&lt;$BL$196,$BL471*1=CD$198,FALSE),IF($BL471*2&lt;$BL$196,$BL471*2=CD$198,FALSE),IF($BL471*3&lt;$BL$196,$BL471*3=CD$198,FALSE),IF($BL471*4&lt;$BL$196,$BL471*4=CD$198,FALSE),IF($BL471*5&lt;$BL$196,$BL471*5=CD$198,FALSE)),$BN471*$BM$196^CD$198,0)</f>
        <v>0</v>
      </c>
      <c r="CE471" s="824">
        <f t="shared" si="364"/>
        <v>0</v>
      </c>
      <c r="CF471" s="824">
        <f t="shared" si="364"/>
        <v>0</v>
      </c>
      <c r="CG471" s="824">
        <f t="shared" si="364"/>
        <v>0</v>
      </c>
      <c r="CH471" s="824">
        <f t="shared" si="364"/>
        <v>0</v>
      </c>
      <c r="CI471" s="824">
        <f t="shared" si="364"/>
        <v>0</v>
      </c>
      <c r="CJ471" s="824">
        <f t="shared" si="364"/>
        <v>0</v>
      </c>
      <c r="CK471" s="824">
        <f t="shared" si="364"/>
        <v>0</v>
      </c>
      <c r="CL471" s="824">
        <f t="shared" si="364"/>
        <v>0</v>
      </c>
      <c r="CM471" s="824">
        <f t="shared" si="364"/>
        <v>0</v>
      </c>
      <c r="CN471" s="824">
        <f t="shared" si="364"/>
        <v>0</v>
      </c>
      <c r="CO471" s="824">
        <f t="shared" si="364"/>
        <v>0</v>
      </c>
      <c r="CP471" s="824">
        <f t="shared" si="364"/>
        <v>0</v>
      </c>
      <c r="CQ471" s="824">
        <f t="shared" si="364"/>
        <v>0</v>
      </c>
      <c r="CR471" s="824">
        <f t="shared" si="364"/>
        <v>0</v>
      </c>
      <c r="CS471" s="824">
        <f t="shared" si="364"/>
        <v>0</v>
      </c>
      <c r="CT471" s="824">
        <f t="shared" si="357"/>
        <v>0</v>
      </c>
      <c r="CU471" s="824">
        <f t="shared" si="357"/>
        <v>0</v>
      </c>
      <c r="CV471" s="824">
        <f t="shared" si="357"/>
        <v>0</v>
      </c>
      <c r="CW471" s="824">
        <f t="shared" si="357"/>
        <v>0</v>
      </c>
      <c r="CX471" s="824">
        <f t="shared" si="357"/>
        <v>0</v>
      </c>
      <c r="CY471" s="824">
        <f t="shared" si="357"/>
        <v>0</v>
      </c>
      <c r="CZ471" s="824">
        <f t="shared" si="357"/>
        <v>0</v>
      </c>
      <c r="DA471" s="824">
        <f t="shared" si="357"/>
        <v>0</v>
      </c>
      <c r="DB471" s="824">
        <f t="shared" si="357"/>
        <v>0</v>
      </c>
      <c r="DC471" s="824">
        <f t="shared" si="357"/>
        <v>0</v>
      </c>
      <c r="DD471" s="824">
        <f t="shared" si="357"/>
        <v>0</v>
      </c>
      <c r="DE471" s="824">
        <f t="shared" si="357"/>
        <v>0</v>
      </c>
      <c r="DF471" s="824">
        <f t="shared" si="357"/>
        <v>0</v>
      </c>
      <c r="DG471" s="824">
        <f t="shared" si="357"/>
        <v>0</v>
      </c>
      <c r="DH471" s="824">
        <f t="shared" si="357"/>
        <v>0</v>
      </c>
      <c r="DI471" s="824">
        <f t="shared" si="357"/>
        <v>0</v>
      </c>
      <c r="DJ471" s="824">
        <f t="shared" si="358"/>
        <v>0</v>
      </c>
      <c r="DK471" s="824">
        <f t="shared" si="358"/>
        <v>0</v>
      </c>
      <c r="DL471" s="824">
        <f t="shared" si="358"/>
        <v>0</v>
      </c>
    </row>
    <row r="472" spans="2:116" ht="12" thickBot="1" x14ac:dyDescent="0.3">
      <c r="B472" s="1673"/>
      <c r="C472" s="1060"/>
      <c r="D472" s="199">
        <f>'3.2 I&amp;W'!F415:F415</f>
        <v>0</v>
      </c>
      <c r="E472" s="116"/>
      <c r="F472" s="11">
        <f ca="1">SUBTOTAL(109,'3.2 I&amp;W'!$X$246)</f>
        <v>0</v>
      </c>
      <c r="G472" s="11">
        <f ca="1">SUBTOTAL(109,'3.2 I&amp;W'!$Y$246)</f>
        <v>0</v>
      </c>
      <c r="H472" s="11">
        <f ca="1">SUBTOTAL(109,'3.2 I&amp;W'!$AD$246)</f>
        <v>0</v>
      </c>
      <c r="I472" s="11">
        <f ca="1">SUBTOTAL(109,'3.2 I&amp;W'!$AE$246)</f>
        <v>0</v>
      </c>
      <c r="J472" s="116"/>
      <c r="K472" s="116"/>
      <c r="L472" s="116"/>
      <c r="M472" s="11">
        <f ca="1">SUBTOTAL(109,'3.2 I&amp;W'!$AI$246)</f>
        <v>100</v>
      </c>
      <c r="N472" s="156">
        <f t="shared" ca="1" si="340"/>
        <v>0</v>
      </c>
      <c r="O472" s="200">
        <f ca="1">SUBTOTAL(109,'3.2 I&amp;W'!$S$246)</f>
        <v>1116603.8639999998</v>
      </c>
      <c r="P472" s="65">
        <f ca="1">IF(N472&gt;=1,O472*$G$158^(1*M472)/($G$157^(1*M472)),0)</f>
        <v>0</v>
      </c>
      <c r="Q472" s="66">
        <f ca="1">IF(N472&gt;=2,O472*$G$158^(2*M472)/($G$157^(2*M472)),0)</f>
        <v>0</v>
      </c>
      <c r="R472" s="66">
        <f ca="1">IF(N472&gt;=3,O472*$G$158^(3*M472)/($G$157^(3*M472)),0)</f>
        <v>0</v>
      </c>
      <c r="S472" s="66">
        <f ca="1">IF(N472&gt;=4,O472*$G$158^(4*M472)/($G$157^(4*M472)),0)</f>
        <v>0</v>
      </c>
      <c r="T472" s="67">
        <f ca="1">IF(N472&gt;=5,O472*$G$158^(5*M472)/($G$157^(5*M472)),0)</f>
        <v>0</v>
      </c>
      <c r="U472" s="37">
        <f ca="1">IF(M472=0,0,O472*$G$158^(N472*M472)*((N472+1)*M472-$G$154)/M472*(1/$G$157^$G$154))</f>
        <v>362916.29736939806</v>
      </c>
      <c r="V472" s="40">
        <f t="shared" ca="1" si="362"/>
        <v>0</v>
      </c>
      <c r="W472" s="41">
        <f t="shared" ca="1" si="363"/>
        <v>0</v>
      </c>
      <c r="X472" s="197"/>
      <c r="Y472" s="193"/>
      <c r="Z472" s="48"/>
      <c r="AA472" s="194"/>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824">
        <f t="shared" ca="1" si="359"/>
        <v>100</v>
      </c>
      <c r="BM472" s="824">
        <f t="shared" ca="1" si="360"/>
        <v>0</v>
      </c>
      <c r="BN472" s="824">
        <f t="shared" ca="1" si="361"/>
        <v>1116603.8639999998</v>
      </c>
      <c r="BO472" s="824">
        <f t="shared" ref="BO472:CD479" ca="1" si="365">IF(OR(IF($BL472*1&lt;$BL$196,$BL472*1=BO$198,FALSE),IF($BL472*2&lt;$BL$196,$BL472*2=BO$198,FALSE),IF($BL472*3&lt;$BL$196,$BL472*3=BO$198,FALSE),IF($BL472*4&lt;$BL$196,$BL472*4=BO$198,FALSE),IF($BL472*5&lt;$BL$196,$BL472*5=BO$198,FALSE)),$BN472*$BM$196^BO$198,0)</f>
        <v>0</v>
      </c>
      <c r="BP472" s="824">
        <f t="shared" ca="1" si="365"/>
        <v>0</v>
      </c>
      <c r="BQ472" s="824">
        <f t="shared" ca="1" si="365"/>
        <v>0</v>
      </c>
      <c r="BR472" s="824">
        <f t="shared" ca="1" si="365"/>
        <v>0</v>
      </c>
      <c r="BS472" s="824">
        <f t="shared" ca="1" si="365"/>
        <v>0</v>
      </c>
      <c r="BT472" s="824">
        <f t="shared" ca="1" si="365"/>
        <v>0</v>
      </c>
      <c r="BU472" s="824">
        <f t="shared" ca="1" si="365"/>
        <v>0</v>
      </c>
      <c r="BV472" s="824">
        <f t="shared" ca="1" si="365"/>
        <v>0</v>
      </c>
      <c r="BW472" s="824">
        <f t="shared" ca="1" si="365"/>
        <v>0</v>
      </c>
      <c r="BX472" s="824">
        <f t="shared" ca="1" si="365"/>
        <v>0</v>
      </c>
      <c r="BY472" s="824">
        <f t="shared" ca="1" si="365"/>
        <v>0</v>
      </c>
      <c r="BZ472" s="824">
        <f t="shared" ca="1" si="365"/>
        <v>0</v>
      </c>
      <c r="CA472" s="824">
        <f t="shared" ca="1" si="365"/>
        <v>0</v>
      </c>
      <c r="CB472" s="824">
        <f t="shared" ca="1" si="365"/>
        <v>0</v>
      </c>
      <c r="CC472" s="824">
        <f t="shared" ca="1" si="365"/>
        <v>0</v>
      </c>
      <c r="CD472" s="824">
        <f t="shared" ca="1" si="365"/>
        <v>0</v>
      </c>
      <c r="CE472" s="824">
        <f t="shared" ca="1" si="364"/>
        <v>0</v>
      </c>
      <c r="CF472" s="824">
        <f t="shared" ca="1" si="364"/>
        <v>0</v>
      </c>
      <c r="CG472" s="824">
        <f t="shared" ca="1" si="364"/>
        <v>0</v>
      </c>
      <c r="CH472" s="824">
        <f t="shared" ca="1" si="364"/>
        <v>0</v>
      </c>
      <c r="CI472" s="824">
        <f t="shared" ca="1" si="364"/>
        <v>0</v>
      </c>
      <c r="CJ472" s="824">
        <f t="shared" ca="1" si="364"/>
        <v>0</v>
      </c>
      <c r="CK472" s="824">
        <f t="shared" ca="1" si="364"/>
        <v>0</v>
      </c>
      <c r="CL472" s="824">
        <f t="shared" ca="1" si="364"/>
        <v>0</v>
      </c>
      <c r="CM472" s="824">
        <f t="shared" ca="1" si="364"/>
        <v>0</v>
      </c>
      <c r="CN472" s="824">
        <f t="shared" ca="1" si="364"/>
        <v>0</v>
      </c>
      <c r="CO472" s="824">
        <f t="shared" ca="1" si="364"/>
        <v>0</v>
      </c>
      <c r="CP472" s="824">
        <f t="shared" ca="1" si="364"/>
        <v>0</v>
      </c>
      <c r="CQ472" s="824">
        <f t="shared" ca="1" si="364"/>
        <v>0</v>
      </c>
      <c r="CR472" s="824">
        <f t="shared" ca="1" si="364"/>
        <v>0</v>
      </c>
      <c r="CS472" s="824">
        <f t="shared" ca="1" si="364"/>
        <v>0</v>
      </c>
      <c r="CT472" s="824">
        <f t="shared" ca="1" si="357"/>
        <v>0</v>
      </c>
      <c r="CU472" s="824">
        <f t="shared" ca="1" si="357"/>
        <v>0</v>
      </c>
      <c r="CV472" s="824">
        <f t="shared" ca="1" si="357"/>
        <v>0</v>
      </c>
      <c r="CW472" s="824">
        <f t="shared" ca="1" si="357"/>
        <v>0</v>
      </c>
      <c r="CX472" s="824">
        <f t="shared" ca="1" si="357"/>
        <v>0</v>
      </c>
      <c r="CY472" s="824">
        <f t="shared" ca="1" si="357"/>
        <v>0</v>
      </c>
      <c r="CZ472" s="824">
        <f t="shared" ca="1" si="357"/>
        <v>0</v>
      </c>
      <c r="DA472" s="824">
        <f t="shared" ca="1" si="357"/>
        <v>0</v>
      </c>
      <c r="DB472" s="824">
        <f t="shared" ca="1" si="357"/>
        <v>0</v>
      </c>
      <c r="DC472" s="824">
        <f t="shared" ca="1" si="357"/>
        <v>0</v>
      </c>
      <c r="DD472" s="824">
        <f t="shared" ca="1" si="357"/>
        <v>0</v>
      </c>
      <c r="DE472" s="824">
        <f t="shared" ca="1" si="357"/>
        <v>0</v>
      </c>
      <c r="DF472" s="824">
        <f t="shared" ca="1" si="357"/>
        <v>0</v>
      </c>
      <c r="DG472" s="824">
        <f t="shared" ca="1" si="357"/>
        <v>0</v>
      </c>
      <c r="DH472" s="824">
        <f t="shared" ca="1" si="357"/>
        <v>0</v>
      </c>
      <c r="DI472" s="824">
        <f t="shared" ref="DI472" ca="1" si="366">IF(OR(IF($BL472*1&lt;$BL$196,$BL472*1=DI$198,FALSE),IF($BL472*2&lt;$BL$196,$BL472*2=DI$198,FALSE),IF($BL472*3&lt;$BL$196,$BL472*3=DI$198,FALSE),IF($BL472*4&lt;$BL$196,$BL472*4=DI$198,FALSE),IF($BL472*5&lt;$BL$196,$BL472*5=DI$198,FALSE)),$BN472*$BM$196^DI$198,0)</f>
        <v>0</v>
      </c>
      <c r="DJ472" s="824">
        <f t="shared" ca="1" si="358"/>
        <v>0</v>
      </c>
      <c r="DK472" s="824">
        <f t="shared" ca="1" si="358"/>
        <v>0</v>
      </c>
      <c r="DL472" s="824">
        <f t="shared" ca="1" si="358"/>
        <v>0</v>
      </c>
    </row>
    <row r="473" spans="2:116" ht="12" thickBot="1" x14ac:dyDescent="0.3">
      <c r="B473" s="1673"/>
      <c r="C473" s="1060"/>
      <c r="D473" s="199">
        <f>'3.2 I&amp;W'!F416:F416</f>
        <v>0</v>
      </c>
      <c r="E473" s="116"/>
      <c r="F473" s="11">
        <f ca="1">SUBTOTAL(109,'3.2 I&amp;W'!$X$247)</f>
        <v>0</v>
      </c>
      <c r="G473" s="11">
        <f ca="1">SUBTOTAL(109,'3.2 I&amp;W'!$Y$247)</f>
        <v>0</v>
      </c>
      <c r="H473" s="11">
        <f ca="1">SUBTOTAL(109,'3.2 I&amp;W'!$AD$247)</f>
        <v>0</v>
      </c>
      <c r="I473" s="11">
        <f ca="1">SUBTOTAL(109,'3.2 I&amp;W'!$AE$247)</f>
        <v>0</v>
      </c>
      <c r="J473" s="116"/>
      <c r="K473" s="116"/>
      <c r="L473" s="116"/>
      <c r="M473" s="11">
        <f ca="1">SUBTOTAL(109,'3.2 I&amp;W'!$AI$247)</f>
        <v>50</v>
      </c>
      <c r="N473" s="156">
        <f t="shared" ca="1" si="340"/>
        <v>0</v>
      </c>
      <c r="O473" s="200">
        <f ca="1">SUBTOTAL(109,'3.2 I&amp;W'!$S$247)</f>
        <v>22720.5</v>
      </c>
      <c r="P473" s="65">
        <f ca="1">IF(N473&gt;=1,O473*$G$158^(1*M473)/($G$157^(1*M473)),0)</f>
        <v>0</v>
      </c>
      <c r="Q473" s="66">
        <f ca="1">IF(N473&gt;=2,O473*$G$158^(2*M473)/($G$157^(2*M473)),0)</f>
        <v>0</v>
      </c>
      <c r="R473" s="66">
        <f ca="1">IF(N473&gt;=3,O473*$G$158^(3*M473)/($G$157^(3*M473)),0)</f>
        <v>0</v>
      </c>
      <c r="S473" s="66">
        <f ca="1">IF(N473&gt;=4,O473*$G$158^(4*M473)/($G$157^(4*M473)),0)</f>
        <v>0</v>
      </c>
      <c r="T473" s="67">
        <f ca="1">IF(N473&gt;=5,O473*$G$158^(5*M473)/($G$157^(5*M473)),0)</f>
        <v>0</v>
      </c>
      <c r="U473" s="37">
        <f ca="1">IF(M473=0,0,O473*$G$158^(N473*M473)*((N473+1)*M473-$G$154)/M473*(1/$G$157^$G$154))</f>
        <v>3408.2632167989746</v>
      </c>
      <c r="V473" s="40">
        <f t="shared" ca="1" si="362"/>
        <v>0</v>
      </c>
      <c r="W473" s="41">
        <f t="shared" ca="1" si="363"/>
        <v>0</v>
      </c>
      <c r="X473" s="191"/>
      <c r="Y473" s="193"/>
      <c r="Z473" s="48"/>
      <c r="AA473" s="194"/>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824">
        <f t="shared" ca="1" si="359"/>
        <v>50</v>
      </c>
      <c r="BM473" s="824">
        <f t="shared" ca="1" si="360"/>
        <v>0</v>
      </c>
      <c r="BN473" s="824">
        <f t="shared" ca="1" si="361"/>
        <v>22720.5</v>
      </c>
      <c r="BO473" s="824">
        <f t="shared" ca="1" si="365"/>
        <v>0</v>
      </c>
      <c r="BP473" s="824">
        <f t="shared" ca="1" si="365"/>
        <v>0</v>
      </c>
      <c r="BQ473" s="824">
        <f t="shared" ca="1" si="365"/>
        <v>0</v>
      </c>
      <c r="BR473" s="824">
        <f t="shared" ca="1" si="365"/>
        <v>0</v>
      </c>
      <c r="BS473" s="824">
        <f t="shared" ca="1" si="365"/>
        <v>0</v>
      </c>
      <c r="BT473" s="824">
        <f t="shared" ca="1" si="365"/>
        <v>0</v>
      </c>
      <c r="BU473" s="824">
        <f t="shared" ca="1" si="365"/>
        <v>0</v>
      </c>
      <c r="BV473" s="824">
        <f t="shared" ca="1" si="365"/>
        <v>0</v>
      </c>
      <c r="BW473" s="824">
        <f t="shared" ca="1" si="365"/>
        <v>0</v>
      </c>
      <c r="BX473" s="824">
        <f t="shared" ca="1" si="365"/>
        <v>0</v>
      </c>
      <c r="BY473" s="824">
        <f t="shared" ca="1" si="365"/>
        <v>0</v>
      </c>
      <c r="BZ473" s="824">
        <f t="shared" ca="1" si="365"/>
        <v>0</v>
      </c>
      <c r="CA473" s="824">
        <f t="shared" ca="1" si="365"/>
        <v>0</v>
      </c>
      <c r="CB473" s="824">
        <f t="shared" ca="1" si="365"/>
        <v>0</v>
      </c>
      <c r="CC473" s="824">
        <f t="shared" ca="1" si="365"/>
        <v>0</v>
      </c>
      <c r="CD473" s="824">
        <f t="shared" ca="1" si="365"/>
        <v>0</v>
      </c>
      <c r="CE473" s="824">
        <f t="shared" ca="1" si="364"/>
        <v>0</v>
      </c>
      <c r="CF473" s="824">
        <f t="shared" ca="1" si="364"/>
        <v>0</v>
      </c>
      <c r="CG473" s="824">
        <f t="shared" ca="1" si="364"/>
        <v>0</v>
      </c>
      <c r="CH473" s="824">
        <f t="shared" ca="1" si="364"/>
        <v>0</v>
      </c>
      <c r="CI473" s="824">
        <f t="shared" ca="1" si="364"/>
        <v>0</v>
      </c>
      <c r="CJ473" s="824">
        <f t="shared" ca="1" si="364"/>
        <v>0</v>
      </c>
      <c r="CK473" s="824">
        <f t="shared" ca="1" si="364"/>
        <v>0</v>
      </c>
      <c r="CL473" s="824">
        <f t="shared" ca="1" si="364"/>
        <v>0</v>
      </c>
      <c r="CM473" s="824">
        <f t="shared" ca="1" si="364"/>
        <v>0</v>
      </c>
      <c r="CN473" s="824">
        <f t="shared" ca="1" si="364"/>
        <v>0</v>
      </c>
      <c r="CO473" s="824">
        <f t="shared" ca="1" si="364"/>
        <v>0</v>
      </c>
      <c r="CP473" s="824">
        <f t="shared" ca="1" si="364"/>
        <v>0</v>
      </c>
      <c r="CQ473" s="824">
        <f t="shared" ca="1" si="364"/>
        <v>0</v>
      </c>
      <c r="CR473" s="824">
        <f t="shared" ca="1" si="364"/>
        <v>0</v>
      </c>
      <c r="CS473" s="824">
        <f t="shared" ca="1" si="364"/>
        <v>0</v>
      </c>
      <c r="CT473" s="824">
        <f t="shared" ref="CT473:DI479" ca="1" si="367">IF(OR(IF($BL473*1&lt;$BL$196,$BL473*1=CT$198,FALSE),IF($BL473*2&lt;$BL$196,$BL473*2=CT$198,FALSE),IF($BL473*3&lt;$BL$196,$BL473*3=CT$198,FALSE),IF($BL473*4&lt;$BL$196,$BL473*4=CT$198,FALSE),IF($BL473*5&lt;$BL$196,$BL473*5=CT$198,FALSE)),$BN473*$BM$196^CT$198,0)</f>
        <v>0</v>
      </c>
      <c r="CU473" s="824">
        <f t="shared" ca="1" si="367"/>
        <v>0</v>
      </c>
      <c r="CV473" s="824">
        <f t="shared" ca="1" si="367"/>
        <v>0</v>
      </c>
      <c r="CW473" s="824">
        <f t="shared" ca="1" si="367"/>
        <v>0</v>
      </c>
      <c r="CX473" s="824">
        <f t="shared" ca="1" si="367"/>
        <v>0</v>
      </c>
      <c r="CY473" s="824">
        <f t="shared" ca="1" si="367"/>
        <v>0</v>
      </c>
      <c r="CZ473" s="824">
        <f t="shared" ca="1" si="367"/>
        <v>0</v>
      </c>
      <c r="DA473" s="824">
        <f t="shared" ca="1" si="367"/>
        <v>0</v>
      </c>
      <c r="DB473" s="824">
        <f t="shared" ca="1" si="367"/>
        <v>0</v>
      </c>
      <c r="DC473" s="824">
        <f t="shared" ca="1" si="367"/>
        <v>0</v>
      </c>
      <c r="DD473" s="824">
        <f t="shared" ca="1" si="367"/>
        <v>0</v>
      </c>
      <c r="DE473" s="824">
        <f t="shared" ca="1" si="367"/>
        <v>0</v>
      </c>
      <c r="DF473" s="824">
        <f t="shared" ca="1" si="367"/>
        <v>0</v>
      </c>
      <c r="DG473" s="824">
        <f t="shared" ca="1" si="367"/>
        <v>0</v>
      </c>
      <c r="DH473" s="824">
        <f t="shared" ca="1" si="367"/>
        <v>0</v>
      </c>
      <c r="DI473" s="824">
        <f t="shared" ca="1" si="367"/>
        <v>0</v>
      </c>
      <c r="DJ473" s="824">
        <f t="shared" ca="1" si="358"/>
        <v>0</v>
      </c>
      <c r="DK473" s="824">
        <f t="shared" ca="1" si="358"/>
        <v>0</v>
      </c>
      <c r="DL473" s="824">
        <f t="shared" ca="1" si="358"/>
        <v>0</v>
      </c>
    </row>
    <row r="474" spans="2:116" ht="12" thickBot="1" x14ac:dyDescent="0.3">
      <c r="B474" s="1673"/>
      <c r="C474" s="1060"/>
      <c r="D474" s="199">
        <f>'3.2 I&amp;W'!F417:F417</f>
        <v>0</v>
      </c>
      <c r="E474" s="116"/>
      <c r="F474" s="11">
        <f ca="1">SUBTOTAL(109,'3.2 I&amp;W'!$X$248)</f>
        <v>0</v>
      </c>
      <c r="G474" s="11">
        <f ca="1">SUBTOTAL(109,'3.2 I&amp;W'!$Y$248)</f>
        <v>0</v>
      </c>
      <c r="H474" s="11">
        <f ca="1">SUBTOTAL(109,'3.2 I&amp;W'!$AD$248)</f>
        <v>0</v>
      </c>
      <c r="I474" s="11">
        <f ca="1">SUBTOTAL(109,'3.2 I&amp;W'!$AE$248)</f>
        <v>0</v>
      </c>
      <c r="J474" s="116"/>
      <c r="K474" s="116"/>
      <c r="L474" s="116"/>
      <c r="M474" s="11">
        <f ca="1">SUBTOTAL(109,'3.2 I&amp;W'!$AI$248)</f>
        <v>100</v>
      </c>
      <c r="N474" s="156">
        <f t="shared" ca="1" si="340"/>
        <v>0</v>
      </c>
      <c r="O474" s="200">
        <f ca="1">SUBTOTAL(109,'3.2 I&amp;W'!$S$248)</f>
        <v>507862.68</v>
      </c>
      <c r="P474" s="65">
        <f ca="1">IF(N474&gt;=1,O474*$G$158^(1*M474)/($G$157^(1*M474)),0)</f>
        <v>0</v>
      </c>
      <c r="Q474" s="66">
        <f ca="1">IF(N474&gt;=2,O474*$G$158^(2*M474)/($G$157^(2*M474)),0)</f>
        <v>0</v>
      </c>
      <c r="R474" s="66">
        <f ca="1">IF(N474&gt;=3,O474*$G$158^(3*M474)/($G$157^(3*M474)),0)</f>
        <v>0</v>
      </c>
      <c r="S474" s="66">
        <f ca="1">IF(N474&gt;=4,O474*$G$158^(4*M474)/($G$157^(4*M474)),0)</f>
        <v>0</v>
      </c>
      <c r="T474" s="67">
        <f ca="1">IF(N474&gt;=5,O474*$G$158^(5*M474)/($G$157^(5*M474)),0)</f>
        <v>0</v>
      </c>
      <c r="U474" s="37">
        <f ca="1">IF(M474=0,0,O474*$G$158^(N474*M474)*((N474+1)*M474-$G$154)/M474*(1/$G$157^$G$154))</f>
        <v>165064.48646652675</v>
      </c>
      <c r="V474" s="40">
        <f t="shared" ca="1" si="362"/>
        <v>0</v>
      </c>
      <c r="W474" s="41">
        <f t="shared" ca="1" si="363"/>
        <v>0</v>
      </c>
      <c r="X474" s="191"/>
      <c r="Y474" s="193"/>
      <c r="Z474" s="48"/>
      <c r="AA474" s="194"/>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824">
        <f t="shared" ca="1" si="359"/>
        <v>100</v>
      </c>
      <c r="BM474" s="824">
        <f t="shared" ca="1" si="360"/>
        <v>0</v>
      </c>
      <c r="BN474" s="824">
        <f t="shared" ca="1" si="361"/>
        <v>507862.68</v>
      </c>
      <c r="BO474" s="824">
        <f t="shared" ca="1" si="365"/>
        <v>0</v>
      </c>
      <c r="BP474" s="824">
        <f t="shared" ca="1" si="365"/>
        <v>0</v>
      </c>
      <c r="BQ474" s="824">
        <f t="shared" ca="1" si="365"/>
        <v>0</v>
      </c>
      <c r="BR474" s="824">
        <f t="shared" ca="1" si="365"/>
        <v>0</v>
      </c>
      <c r="BS474" s="824">
        <f t="shared" ca="1" si="365"/>
        <v>0</v>
      </c>
      <c r="BT474" s="824">
        <f t="shared" ca="1" si="365"/>
        <v>0</v>
      </c>
      <c r="BU474" s="824">
        <f t="shared" ca="1" si="365"/>
        <v>0</v>
      </c>
      <c r="BV474" s="824">
        <f t="shared" ca="1" si="365"/>
        <v>0</v>
      </c>
      <c r="BW474" s="824">
        <f t="shared" ca="1" si="365"/>
        <v>0</v>
      </c>
      <c r="BX474" s="824">
        <f t="shared" ca="1" si="365"/>
        <v>0</v>
      </c>
      <c r="BY474" s="824">
        <f t="shared" ca="1" si="365"/>
        <v>0</v>
      </c>
      <c r="BZ474" s="824">
        <f t="shared" ca="1" si="365"/>
        <v>0</v>
      </c>
      <c r="CA474" s="824">
        <f t="shared" ca="1" si="365"/>
        <v>0</v>
      </c>
      <c r="CB474" s="824">
        <f t="shared" ca="1" si="365"/>
        <v>0</v>
      </c>
      <c r="CC474" s="824">
        <f t="shared" ca="1" si="365"/>
        <v>0</v>
      </c>
      <c r="CD474" s="824">
        <f t="shared" ca="1" si="365"/>
        <v>0</v>
      </c>
      <c r="CE474" s="824">
        <f t="shared" ca="1" si="364"/>
        <v>0</v>
      </c>
      <c r="CF474" s="824">
        <f t="shared" ca="1" si="364"/>
        <v>0</v>
      </c>
      <c r="CG474" s="824">
        <f t="shared" ca="1" si="364"/>
        <v>0</v>
      </c>
      <c r="CH474" s="824">
        <f t="shared" ca="1" si="364"/>
        <v>0</v>
      </c>
      <c r="CI474" s="824">
        <f t="shared" ca="1" si="364"/>
        <v>0</v>
      </c>
      <c r="CJ474" s="824">
        <f t="shared" ca="1" si="364"/>
        <v>0</v>
      </c>
      <c r="CK474" s="824">
        <f t="shared" ca="1" si="364"/>
        <v>0</v>
      </c>
      <c r="CL474" s="824">
        <f t="shared" ca="1" si="364"/>
        <v>0</v>
      </c>
      <c r="CM474" s="824">
        <f t="shared" ca="1" si="364"/>
        <v>0</v>
      </c>
      <c r="CN474" s="824">
        <f t="shared" ca="1" si="364"/>
        <v>0</v>
      </c>
      <c r="CO474" s="824">
        <f t="shared" ca="1" si="364"/>
        <v>0</v>
      </c>
      <c r="CP474" s="824">
        <f t="shared" ca="1" si="364"/>
        <v>0</v>
      </c>
      <c r="CQ474" s="824">
        <f t="shared" ca="1" si="364"/>
        <v>0</v>
      </c>
      <c r="CR474" s="824">
        <f t="shared" ca="1" si="364"/>
        <v>0</v>
      </c>
      <c r="CS474" s="824">
        <f t="shared" ca="1" si="364"/>
        <v>0</v>
      </c>
      <c r="CT474" s="824">
        <f t="shared" ca="1" si="367"/>
        <v>0</v>
      </c>
      <c r="CU474" s="824">
        <f t="shared" ca="1" si="367"/>
        <v>0</v>
      </c>
      <c r="CV474" s="824">
        <f t="shared" ca="1" si="367"/>
        <v>0</v>
      </c>
      <c r="CW474" s="824">
        <f t="shared" ca="1" si="367"/>
        <v>0</v>
      </c>
      <c r="CX474" s="824">
        <f t="shared" ca="1" si="367"/>
        <v>0</v>
      </c>
      <c r="CY474" s="824">
        <f t="shared" ca="1" si="367"/>
        <v>0</v>
      </c>
      <c r="CZ474" s="824">
        <f t="shared" ca="1" si="367"/>
        <v>0</v>
      </c>
      <c r="DA474" s="824">
        <f t="shared" ca="1" si="367"/>
        <v>0</v>
      </c>
      <c r="DB474" s="824">
        <f t="shared" ca="1" si="367"/>
        <v>0</v>
      </c>
      <c r="DC474" s="824">
        <f t="shared" ca="1" si="367"/>
        <v>0</v>
      </c>
      <c r="DD474" s="824">
        <f t="shared" ca="1" si="367"/>
        <v>0</v>
      </c>
      <c r="DE474" s="824">
        <f t="shared" ca="1" si="367"/>
        <v>0</v>
      </c>
      <c r="DF474" s="824">
        <f t="shared" ca="1" si="367"/>
        <v>0</v>
      </c>
      <c r="DG474" s="824">
        <f t="shared" ca="1" si="367"/>
        <v>0</v>
      </c>
      <c r="DH474" s="824">
        <f t="shared" ca="1" si="367"/>
        <v>0</v>
      </c>
      <c r="DI474" s="824">
        <f t="shared" ca="1" si="367"/>
        <v>0</v>
      </c>
      <c r="DJ474" s="824">
        <f t="shared" ca="1" si="358"/>
        <v>0</v>
      </c>
      <c r="DK474" s="824">
        <f t="shared" ca="1" si="358"/>
        <v>0</v>
      </c>
      <c r="DL474" s="824">
        <f t="shared" ca="1" si="358"/>
        <v>0</v>
      </c>
    </row>
    <row r="475" spans="2:116" ht="12" thickBot="1" x14ac:dyDescent="0.3">
      <c r="B475" s="1673"/>
      <c r="C475" s="1060"/>
      <c r="D475" s="199">
        <f>'3.2 I&amp;W'!F418:F418</f>
        <v>0</v>
      </c>
      <c r="E475" s="116"/>
      <c r="F475" s="11">
        <f ca="1">SUBTOTAL(109,'3.2 I&amp;W'!$X$249)</f>
        <v>0</v>
      </c>
      <c r="G475" s="11">
        <f ca="1">SUBTOTAL(109,'3.2 I&amp;W'!$Y$249)</f>
        <v>0</v>
      </c>
      <c r="H475" s="11">
        <f ca="1">SUBTOTAL(109,'3.2 I&amp;W'!$AD$249)</f>
        <v>0</v>
      </c>
      <c r="I475" s="11">
        <f ca="1">SUBTOTAL(109,'3.2 I&amp;W'!$AE$249)</f>
        <v>0</v>
      </c>
      <c r="J475" s="116"/>
      <c r="K475" s="116"/>
      <c r="L475" s="116"/>
      <c r="M475" s="11">
        <f ca="1">SUBTOTAL(109,'3.2 I&amp;W'!$AI$249)</f>
        <v>50</v>
      </c>
      <c r="N475" s="156">
        <f t="shared" ca="1" si="340"/>
        <v>0</v>
      </c>
      <c r="O475" s="200">
        <f ca="1">SUBTOTAL(109,'3.2 I&amp;W'!$S$249)</f>
        <v>138950.43599999999</v>
      </c>
      <c r="P475" s="65">
        <f ca="1">IF(N475&gt;=1,O475*$G$158^(1*M475)/($G$157^(1*M475)),0)</f>
        <v>0</v>
      </c>
      <c r="Q475" s="66">
        <f ca="1">IF(N475&gt;=2,O475*$G$158^(2*M475)/($G$157^(2*M475)),0)</f>
        <v>0</v>
      </c>
      <c r="R475" s="66">
        <f ca="1">IF(N475&gt;=3,O475*$G$158^(3*M475)/($G$157^(3*M475)),0)</f>
        <v>0</v>
      </c>
      <c r="S475" s="66">
        <f ca="1">IF(N475&gt;=4,O475*$G$158^(4*M475)/($G$157^(4*M475)),0)</f>
        <v>0</v>
      </c>
      <c r="T475" s="67">
        <f ca="1">IF(N475&gt;=5,O475*$G$158^(5*M475)/($G$157^(5*M475)),0)</f>
        <v>0</v>
      </c>
      <c r="U475" s="37">
        <f ca="1">IF(M475=0,0,O475*$G$158^(N475*M475)*((N475+1)*M475-$G$154)/M475*(1/$G$157^$G$154))</f>
        <v>20843.716466494137</v>
      </c>
      <c r="V475" s="40">
        <f t="shared" ca="1" si="362"/>
        <v>0</v>
      </c>
      <c r="W475" s="41">
        <f t="shared" ca="1" si="363"/>
        <v>0</v>
      </c>
      <c r="X475" s="191"/>
      <c r="Y475" s="193"/>
      <c r="Z475" s="48"/>
      <c r="AA475" s="194"/>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824">
        <f t="shared" ca="1" si="359"/>
        <v>50</v>
      </c>
      <c r="BM475" s="824">
        <f t="shared" ca="1" si="360"/>
        <v>0</v>
      </c>
      <c r="BN475" s="824">
        <f t="shared" ca="1" si="361"/>
        <v>138950.43599999999</v>
      </c>
      <c r="BO475" s="824">
        <f t="shared" ca="1" si="365"/>
        <v>0</v>
      </c>
      <c r="BP475" s="824">
        <f t="shared" ca="1" si="365"/>
        <v>0</v>
      </c>
      <c r="BQ475" s="824">
        <f t="shared" ca="1" si="365"/>
        <v>0</v>
      </c>
      <c r="BR475" s="824">
        <f t="shared" ca="1" si="365"/>
        <v>0</v>
      </c>
      <c r="BS475" s="824">
        <f t="shared" ca="1" si="365"/>
        <v>0</v>
      </c>
      <c r="BT475" s="824">
        <f t="shared" ca="1" si="365"/>
        <v>0</v>
      </c>
      <c r="BU475" s="824">
        <f t="shared" ca="1" si="365"/>
        <v>0</v>
      </c>
      <c r="BV475" s="824">
        <f t="shared" ca="1" si="365"/>
        <v>0</v>
      </c>
      <c r="BW475" s="824">
        <f t="shared" ca="1" si="365"/>
        <v>0</v>
      </c>
      <c r="BX475" s="824">
        <f t="shared" ca="1" si="365"/>
        <v>0</v>
      </c>
      <c r="BY475" s="824">
        <f t="shared" ca="1" si="365"/>
        <v>0</v>
      </c>
      <c r="BZ475" s="824">
        <f t="shared" ca="1" si="365"/>
        <v>0</v>
      </c>
      <c r="CA475" s="824">
        <f t="shared" ca="1" si="365"/>
        <v>0</v>
      </c>
      <c r="CB475" s="824">
        <f t="shared" ca="1" si="365"/>
        <v>0</v>
      </c>
      <c r="CC475" s="824">
        <f t="shared" ca="1" si="365"/>
        <v>0</v>
      </c>
      <c r="CD475" s="824">
        <f t="shared" ca="1" si="365"/>
        <v>0</v>
      </c>
      <c r="CE475" s="824">
        <f t="shared" ca="1" si="364"/>
        <v>0</v>
      </c>
      <c r="CF475" s="824">
        <f t="shared" ca="1" si="364"/>
        <v>0</v>
      </c>
      <c r="CG475" s="824">
        <f t="shared" ca="1" si="364"/>
        <v>0</v>
      </c>
      <c r="CH475" s="824">
        <f t="shared" ca="1" si="364"/>
        <v>0</v>
      </c>
      <c r="CI475" s="824">
        <f t="shared" ca="1" si="364"/>
        <v>0</v>
      </c>
      <c r="CJ475" s="824">
        <f t="shared" ca="1" si="364"/>
        <v>0</v>
      </c>
      <c r="CK475" s="824">
        <f t="shared" ca="1" si="364"/>
        <v>0</v>
      </c>
      <c r="CL475" s="824">
        <f t="shared" ca="1" si="364"/>
        <v>0</v>
      </c>
      <c r="CM475" s="824">
        <f t="shared" ca="1" si="364"/>
        <v>0</v>
      </c>
      <c r="CN475" s="824">
        <f t="shared" ca="1" si="364"/>
        <v>0</v>
      </c>
      <c r="CO475" s="824">
        <f t="shared" ca="1" si="364"/>
        <v>0</v>
      </c>
      <c r="CP475" s="824">
        <f t="shared" ca="1" si="364"/>
        <v>0</v>
      </c>
      <c r="CQ475" s="824">
        <f t="shared" ca="1" si="364"/>
        <v>0</v>
      </c>
      <c r="CR475" s="824">
        <f t="shared" ca="1" si="364"/>
        <v>0</v>
      </c>
      <c r="CS475" s="824">
        <f t="shared" ca="1" si="364"/>
        <v>0</v>
      </c>
      <c r="CT475" s="824">
        <f t="shared" ca="1" si="367"/>
        <v>0</v>
      </c>
      <c r="CU475" s="824">
        <f t="shared" ca="1" si="367"/>
        <v>0</v>
      </c>
      <c r="CV475" s="824">
        <f t="shared" ca="1" si="367"/>
        <v>0</v>
      </c>
      <c r="CW475" s="824">
        <f t="shared" ca="1" si="367"/>
        <v>0</v>
      </c>
      <c r="CX475" s="824">
        <f t="shared" ca="1" si="367"/>
        <v>0</v>
      </c>
      <c r="CY475" s="824">
        <f t="shared" ca="1" si="367"/>
        <v>0</v>
      </c>
      <c r="CZ475" s="824">
        <f t="shared" ca="1" si="367"/>
        <v>0</v>
      </c>
      <c r="DA475" s="824">
        <f t="shared" ca="1" si="367"/>
        <v>0</v>
      </c>
      <c r="DB475" s="824">
        <f t="shared" ca="1" si="367"/>
        <v>0</v>
      </c>
      <c r="DC475" s="824">
        <f t="shared" ca="1" si="367"/>
        <v>0</v>
      </c>
      <c r="DD475" s="824">
        <f t="shared" ca="1" si="367"/>
        <v>0</v>
      </c>
      <c r="DE475" s="824">
        <f t="shared" ca="1" si="367"/>
        <v>0</v>
      </c>
      <c r="DF475" s="824">
        <f t="shared" ca="1" si="367"/>
        <v>0</v>
      </c>
      <c r="DG475" s="824">
        <f t="shared" ca="1" si="367"/>
        <v>0</v>
      </c>
      <c r="DH475" s="824">
        <f t="shared" ca="1" si="367"/>
        <v>0</v>
      </c>
      <c r="DI475" s="824">
        <f t="shared" ca="1" si="367"/>
        <v>0</v>
      </c>
      <c r="DJ475" s="824">
        <f t="shared" ca="1" si="358"/>
        <v>0</v>
      </c>
      <c r="DK475" s="824">
        <f t="shared" ca="1" si="358"/>
        <v>0</v>
      </c>
      <c r="DL475" s="824">
        <f t="shared" ca="1" si="358"/>
        <v>0</v>
      </c>
    </row>
    <row r="476" spans="2:116" ht="12" thickBot="1" x14ac:dyDescent="0.3">
      <c r="B476" s="1673"/>
      <c r="C476" s="1060"/>
      <c r="D476" s="199">
        <f>'3.2 I&amp;W'!F419:F419</f>
        <v>0</v>
      </c>
      <c r="E476" s="116"/>
      <c r="F476" s="11">
        <f ca="1">SUBTOTAL(109,'3.2 I&amp;W'!$X$250)</f>
        <v>0</v>
      </c>
      <c r="G476" s="11">
        <f ca="1">SUBTOTAL(109,'3.2 I&amp;W'!$Y$250)</f>
        <v>0</v>
      </c>
      <c r="H476" s="11">
        <f ca="1">SUBTOTAL(109,'3.2 I&amp;W'!$AD$250)</f>
        <v>0</v>
      </c>
      <c r="I476" s="11">
        <f ca="1">SUBTOTAL(109,'3.2 I&amp;W'!$AE$250)</f>
        <v>0</v>
      </c>
      <c r="J476" s="116"/>
      <c r="K476" s="116"/>
      <c r="L476" s="116"/>
      <c r="M476" s="11">
        <f ca="1">SUBTOTAL(109,'3.2 I&amp;W'!$AI$250)</f>
        <v>100</v>
      </c>
      <c r="N476" s="156">
        <f t="shared" ca="1" si="340"/>
        <v>0</v>
      </c>
      <c r="O476" s="200">
        <f ca="1">SUBTOTAL(109,'3.2 I&amp;W'!$S$250)</f>
        <v>59679.18</v>
      </c>
      <c r="P476" s="65">
        <f ca="1">IF(N476&gt;=1,O476*$G$158^(1*M476)/($G$157^(1*M476)),0)</f>
        <v>0</v>
      </c>
      <c r="Q476" s="66">
        <f ca="1">IF(N476&gt;=2,O476*$G$158^(2*M476)/($G$157^(2*M476)),0)</f>
        <v>0</v>
      </c>
      <c r="R476" s="66">
        <f ca="1">IF(N476&gt;=3,O476*$G$158^(3*M476)/($G$157^(3*M476)),0)</f>
        <v>0</v>
      </c>
      <c r="S476" s="66">
        <f ca="1">IF(N476&gt;=4,O476*$G$158^(4*M476)/($G$157^(4*M476)),0)</f>
        <v>0</v>
      </c>
      <c r="T476" s="67">
        <f ca="1">IF(N476&gt;=5,O476*$G$158^(5*M476)/($G$157^(5*M476)),0)</f>
        <v>0</v>
      </c>
      <c r="U476" s="37">
        <f ca="1">IF(M476=0,0,O476*$G$158^(N476*M476)*((N476+1)*M476-$G$154)/M476*(1/$G$157^$G$154))</f>
        <v>19396.804662715946</v>
      </c>
      <c r="V476" s="40">
        <f t="shared" ca="1" si="362"/>
        <v>0</v>
      </c>
      <c r="W476" s="41">
        <f t="shared" ca="1" si="363"/>
        <v>0</v>
      </c>
      <c r="X476" s="191"/>
      <c r="Y476" s="193"/>
      <c r="Z476" s="48"/>
      <c r="AA476" s="194"/>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824">
        <f t="shared" ca="1" si="359"/>
        <v>100</v>
      </c>
      <c r="BM476" s="824">
        <f t="shared" ca="1" si="360"/>
        <v>0</v>
      </c>
      <c r="BN476" s="824">
        <f t="shared" ca="1" si="361"/>
        <v>59679.18</v>
      </c>
      <c r="BO476" s="824">
        <f t="shared" ca="1" si="365"/>
        <v>0</v>
      </c>
      <c r="BP476" s="824">
        <f t="shared" ca="1" si="365"/>
        <v>0</v>
      </c>
      <c r="BQ476" s="824">
        <f t="shared" ca="1" si="365"/>
        <v>0</v>
      </c>
      <c r="BR476" s="824">
        <f t="shared" ca="1" si="365"/>
        <v>0</v>
      </c>
      <c r="BS476" s="824">
        <f t="shared" ca="1" si="365"/>
        <v>0</v>
      </c>
      <c r="BT476" s="824">
        <f t="shared" ca="1" si="365"/>
        <v>0</v>
      </c>
      <c r="BU476" s="824">
        <f t="shared" ca="1" si="365"/>
        <v>0</v>
      </c>
      <c r="BV476" s="824">
        <f t="shared" ca="1" si="365"/>
        <v>0</v>
      </c>
      <c r="BW476" s="824">
        <f t="shared" ca="1" si="365"/>
        <v>0</v>
      </c>
      <c r="BX476" s="824">
        <f t="shared" ca="1" si="365"/>
        <v>0</v>
      </c>
      <c r="BY476" s="824">
        <f t="shared" ca="1" si="365"/>
        <v>0</v>
      </c>
      <c r="BZ476" s="824">
        <f t="shared" ca="1" si="365"/>
        <v>0</v>
      </c>
      <c r="CA476" s="824">
        <f t="shared" ca="1" si="365"/>
        <v>0</v>
      </c>
      <c r="CB476" s="824">
        <f t="shared" ca="1" si="365"/>
        <v>0</v>
      </c>
      <c r="CC476" s="824">
        <f t="shared" ca="1" si="365"/>
        <v>0</v>
      </c>
      <c r="CD476" s="824">
        <f t="shared" ca="1" si="365"/>
        <v>0</v>
      </c>
      <c r="CE476" s="824">
        <f t="shared" ca="1" si="364"/>
        <v>0</v>
      </c>
      <c r="CF476" s="824">
        <f t="shared" ca="1" si="364"/>
        <v>0</v>
      </c>
      <c r="CG476" s="824">
        <f t="shared" ca="1" si="364"/>
        <v>0</v>
      </c>
      <c r="CH476" s="824">
        <f t="shared" ca="1" si="364"/>
        <v>0</v>
      </c>
      <c r="CI476" s="824">
        <f t="shared" ca="1" si="364"/>
        <v>0</v>
      </c>
      <c r="CJ476" s="824">
        <f t="shared" ca="1" si="364"/>
        <v>0</v>
      </c>
      <c r="CK476" s="824">
        <f t="shared" ca="1" si="364"/>
        <v>0</v>
      </c>
      <c r="CL476" s="824">
        <f t="shared" ca="1" si="364"/>
        <v>0</v>
      </c>
      <c r="CM476" s="824">
        <f t="shared" ca="1" si="364"/>
        <v>0</v>
      </c>
      <c r="CN476" s="824">
        <f t="shared" ca="1" si="364"/>
        <v>0</v>
      </c>
      <c r="CO476" s="824">
        <f t="shared" ca="1" si="364"/>
        <v>0</v>
      </c>
      <c r="CP476" s="824">
        <f t="shared" ca="1" si="364"/>
        <v>0</v>
      </c>
      <c r="CQ476" s="824">
        <f t="shared" ca="1" si="364"/>
        <v>0</v>
      </c>
      <c r="CR476" s="824">
        <f t="shared" ca="1" si="364"/>
        <v>0</v>
      </c>
      <c r="CS476" s="824">
        <f t="shared" ca="1" si="364"/>
        <v>0</v>
      </c>
      <c r="CT476" s="824">
        <f t="shared" ca="1" si="367"/>
        <v>0</v>
      </c>
      <c r="CU476" s="824">
        <f t="shared" ca="1" si="367"/>
        <v>0</v>
      </c>
      <c r="CV476" s="824">
        <f t="shared" ca="1" si="367"/>
        <v>0</v>
      </c>
      <c r="CW476" s="824">
        <f t="shared" ca="1" si="367"/>
        <v>0</v>
      </c>
      <c r="CX476" s="824">
        <f t="shared" ca="1" si="367"/>
        <v>0</v>
      </c>
      <c r="CY476" s="824">
        <f t="shared" ca="1" si="367"/>
        <v>0</v>
      </c>
      <c r="CZ476" s="824">
        <f t="shared" ca="1" si="367"/>
        <v>0</v>
      </c>
      <c r="DA476" s="824">
        <f t="shared" ca="1" si="367"/>
        <v>0</v>
      </c>
      <c r="DB476" s="824">
        <f t="shared" ca="1" si="367"/>
        <v>0</v>
      </c>
      <c r="DC476" s="824">
        <f t="shared" ca="1" si="367"/>
        <v>0</v>
      </c>
      <c r="DD476" s="824">
        <f t="shared" ca="1" si="367"/>
        <v>0</v>
      </c>
      <c r="DE476" s="824">
        <f t="shared" ca="1" si="367"/>
        <v>0</v>
      </c>
      <c r="DF476" s="824">
        <f t="shared" ca="1" si="367"/>
        <v>0</v>
      </c>
      <c r="DG476" s="824">
        <f t="shared" ca="1" si="367"/>
        <v>0</v>
      </c>
      <c r="DH476" s="824">
        <f t="shared" ca="1" si="367"/>
        <v>0</v>
      </c>
      <c r="DI476" s="824">
        <f t="shared" ca="1" si="367"/>
        <v>0</v>
      </c>
      <c r="DJ476" s="824">
        <f t="shared" ca="1" si="358"/>
        <v>0</v>
      </c>
      <c r="DK476" s="824">
        <f t="shared" ca="1" si="358"/>
        <v>0</v>
      </c>
      <c r="DL476" s="824">
        <f t="shared" ca="1" si="358"/>
        <v>0</v>
      </c>
    </row>
    <row r="477" spans="2:116" ht="12" thickBot="1" x14ac:dyDescent="0.3">
      <c r="B477" s="1673"/>
      <c r="C477" s="1060"/>
      <c r="D477" s="199">
        <f>'3.2 I&amp;W'!F424:F424</f>
        <v>0</v>
      </c>
      <c r="E477" s="116"/>
      <c r="F477" s="116"/>
      <c r="G477" s="116"/>
      <c r="H477" s="116"/>
      <c r="I477" s="116"/>
      <c r="J477" s="116"/>
      <c r="K477" s="116"/>
      <c r="L477" s="116"/>
      <c r="M477" s="116"/>
      <c r="N477" s="156">
        <f t="shared" si="340"/>
        <v>0</v>
      </c>
      <c r="O477" s="200">
        <f ca="1">IF(E477="j",0,IF('3.2 I&amp;W'!$S$254="",0,'3.2 I&amp;W'!$S$254))</f>
        <v>0</v>
      </c>
      <c r="P477" s="30"/>
      <c r="Q477" s="31"/>
      <c r="R477" s="31"/>
      <c r="S477" s="31"/>
      <c r="T477" s="188"/>
      <c r="U477" s="190"/>
      <c r="V477" s="40">
        <f t="shared" si="362"/>
        <v>0</v>
      </c>
      <c r="W477" s="41">
        <f t="shared" si="363"/>
        <v>0</v>
      </c>
      <c r="X477" s="191"/>
      <c r="Y477" s="193"/>
      <c r="Z477" s="48"/>
      <c r="AA477" s="194"/>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824">
        <f t="shared" si="359"/>
        <v>0</v>
      </c>
      <c r="BM477" s="824">
        <f t="shared" si="360"/>
        <v>0</v>
      </c>
      <c r="BN477" s="824">
        <f t="shared" ca="1" si="361"/>
        <v>0</v>
      </c>
      <c r="BO477" s="824">
        <f t="shared" si="365"/>
        <v>0</v>
      </c>
      <c r="BP477" s="824">
        <f t="shared" si="365"/>
        <v>0</v>
      </c>
      <c r="BQ477" s="824">
        <f t="shared" si="365"/>
        <v>0</v>
      </c>
      <c r="BR477" s="824">
        <f t="shared" si="365"/>
        <v>0</v>
      </c>
      <c r="BS477" s="824">
        <f t="shared" si="365"/>
        <v>0</v>
      </c>
      <c r="BT477" s="824">
        <f t="shared" si="365"/>
        <v>0</v>
      </c>
      <c r="BU477" s="824">
        <f t="shared" si="365"/>
        <v>0</v>
      </c>
      <c r="BV477" s="824">
        <f t="shared" si="365"/>
        <v>0</v>
      </c>
      <c r="BW477" s="824">
        <f t="shared" si="365"/>
        <v>0</v>
      </c>
      <c r="BX477" s="824">
        <f t="shared" si="365"/>
        <v>0</v>
      </c>
      <c r="BY477" s="824">
        <f t="shared" si="365"/>
        <v>0</v>
      </c>
      <c r="BZ477" s="824">
        <f t="shared" si="365"/>
        <v>0</v>
      </c>
      <c r="CA477" s="824">
        <f t="shared" si="365"/>
        <v>0</v>
      </c>
      <c r="CB477" s="824">
        <f t="shared" si="365"/>
        <v>0</v>
      </c>
      <c r="CC477" s="824">
        <f t="shared" si="365"/>
        <v>0</v>
      </c>
      <c r="CD477" s="824">
        <f t="shared" si="365"/>
        <v>0</v>
      </c>
      <c r="CE477" s="824">
        <f t="shared" si="364"/>
        <v>0</v>
      </c>
      <c r="CF477" s="824">
        <f t="shared" si="364"/>
        <v>0</v>
      </c>
      <c r="CG477" s="824">
        <f t="shared" si="364"/>
        <v>0</v>
      </c>
      <c r="CH477" s="824">
        <f t="shared" si="364"/>
        <v>0</v>
      </c>
      <c r="CI477" s="824">
        <f t="shared" si="364"/>
        <v>0</v>
      </c>
      <c r="CJ477" s="824">
        <f t="shared" si="364"/>
        <v>0</v>
      </c>
      <c r="CK477" s="824">
        <f t="shared" si="364"/>
        <v>0</v>
      </c>
      <c r="CL477" s="824">
        <f t="shared" si="364"/>
        <v>0</v>
      </c>
      <c r="CM477" s="824">
        <f t="shared" si="364"/>
        <v>0</v>
      </c>
      <c r="CN477" s="824">
        <f t="shared" si="364"/>
        <v>0</v>
      </c>
      <c r="CO477" s="824">
        <f t="shared" si="364"/>
        <v>0</v>
      </c>
      <c r="CP477" s="824">
        <f t="shared" si="364"/>
        <v>0</v>
      </c>
      <c r="CQ477" s="824">
        <f t="shared" si="364"/>
        <v>0</v>
      </c>
      <c r="CR477" s="824">
        <f t="shared" si="364"/>
        <v>0</v>
      </c>
      <c r="CS477" s="824">
        <f t="shared" si="364"/>
        <v>0</v>
      </c>
      <c r="CT477" s="824">
        <f t="shared" si="367"/>
        <v>0</v>
      </c>
      <c r="CU477" s="824">
        <f t="shared" si="367"/>
        <v>0</v>
      </c>
      <c r="CV477" s="824">
        <f t="shared" si="367"/>
        <v>0</v>
      </c>
      <c r="CW477" s="824">
        <f t="shared" si="367"/>
        <v>0</v>
      </c>
      <c r="CX477" s="824">
        <f t="shared" si="367"/>
        <v>0</v>
      </c>
      <c r="CY477" s="824">
        <f t="shared" si="367"/>
        <v>0</v>
      </c>
      <c r="CZ477" s="824">
        <f t="shared" si="367"/>
        <v>0</v>
      </c>
      <c r="DA477" s="824">
        <f t="shared" si="367"/>
        <v>0</v>
      </c>
      <c r="DB477" s="824">
        <f t="shared" si="367"/>
        <v>0</v>
      </c>
      <c r="DC477" s="824">
        <f t="shared" si="367"/>
        <v>0</v>
      </c>
      <c r="DD477" s="824">
        <f t="shared" si="367"/>
        <v>0</v>
      </c>
      <c r="DE477" s="824">
        <f t="shared" si="367"/>
        <v>0</v>
      </c>
      <c r="DF477" s="824">
        <f t="shared" si="367"/>
        <v>0</v>
      </c>
      <c r="DG477" s="824">
        <f t="shared" si="367"/>
        <v>0</v>
      </c>
      <c r="DH477" s="824">
        <f t="shared" si="367"/>
        <v>0</v>
      </c>
      <c r="DI477" s="824">
        <f t="shared" si="367"/>
        <v>0</v>
      </c>
      <c r="DJ477" s="824">
        <f t="shared" si="358"/>
        <v>0</v>
      </c>
      <c r="DK477" s="824">
        <f t="shared" si="358"/>
        <v>0</v>
      </c>
      <c r="DL477" s="824">
        <f t="shared" si="358"/>
        <v>0</v>
      </c>
    </row>
    <row r="478" spans="2:116" ht="12" thickBot="1" x14ac:dyDescent="0.3">
      <c r="B478" s="1673"/>
      <c r="C478" s="1060"/>
      <c r="D478" s="199"/>
      <c r="E478" s="116"/>
      <c r="F478" s="116"/>
      <c r="G478" s="116"/>
      <c r="H478" s="116"/>
      <c r="I478" s="116"/>
      <c r="J478" s="116"/>
      <c r="K478" s="116"/>
      <c r="L478" s="116"/>
      <c r="M478" s="116"/>
      <c r="N478" s="156">
        <f t="shared" si="340"/>
        <v>0</v>
      </c>
      <c r="O478" s="200"/>
      <c r="P478" s="30"/>
      <c r="Q478" s="31"/>
      <c r="R478" s="31"/>
      <c r="S478" s="31"/>
      <c r="T478" s="188"/>
      <c r="U478" s="190"/>
      <c r="V478" s="40">
        <f t="shared" si="362"/>
        <v>0</v>
      </c>
      <c r="W478" s="41">
        <f t="shared" si="363"/>
        <v>0</v>
      </c>
      <c r="X478" s="191"/>
      <c r="Y478" s="193"/>
      <c r="Z478" s="48"/>
      <c r="AA478" s="194"/>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824">
        <f t="shared" si="359"/>
        <v>0</v>
      </c>
      <c r="BM478" s="824">
        <f t="shared" si="360"/>
        <v>0</v>
      </c>
      <c r="BN478" s="824">
        <f t="shared" si="361"/>
        <v>0</v>
      </c>
      <c r="BO478" s="824">
        <f t="shared" si="365"/>
        <v>0</v>
      </c>
      <c r="BP478" s="824">
        <f t="shared" si="365"/>
        <v>0</v>
      </c>
      <c r="BQ478" s="824">
        <f t="shared" si="365"/>
        <v>0</v>
      </c>
      <c r="BR478" s="824">
        <f t="shared" si="365"/>
        <v>0</v>
      </c>
      <c r="BS478" s="824">
        <f t="shared" si="365"/>
        <v>0</v>
      </c>
      <c r="BT478" s="824">
        <f t="shared" si="365"/>
        <v>0</v>
      </c>
      <c r="BU478" s="824">
        <f t="shared" si="365"/>
        <v>0</v>
      </c>
      <c r="BV478" s="824">
        <f t="shared" si="365"/>
        <v>0</v>
      </c>
      <c r="BW478" s="824">
        <f t="shared" si="365"/>
        <v>0</v>
      </c>
      <c r="BX478" s="824">
        <f t="shared" si="365"/>
        <v>0</v>
      </c>
      <c r="BY478" s="824">
        <f t="shared" si="365"/>
        <v>0</v>
      </c>
      <c r="BZ478" s="824">
        <f t="shared" si="365"/>
        <v>0</v>
      </c>
      <c r="CA478" s="824">
        <f t="shared" si="365"/>
        <v>0</v>
      </c>
      <c r="CB478" s="824">
        <f t="shared" si="365"/>
        <v>0</v>
      </c>
      <c r="CC478" s="824">
        <f t="shared" si="365"/>
        <v>0</v>
      </c>
      <c r="CD478" s="824">
        <f t="shared" si="365"/>
        <v>0</v>
      </c>
      <c r="CE478" s="824">
        <f t="shared" si="364"/>
        <v>0</v>
      </c>
      <c r="CF478" s="824">
        <f t="shared" si="364"/>
        <v>0</v>
      </c>
      <c r="CG478" s="824">
        <f t="shared" si="364"/>
        <v>0</v>
      </c>
      <c r="CH478" s="824">
        <f t="shared" si="364"/>
        <v>0</v>
      </c>
      <c r="CI478" s="824">
        <f t="shared" si="364"/>
        <v>0</v>
      </c>
      <c r="CJ478" s="824">
        <f t="shared" si="364"/>
        <v>0</v>
      </c>
      <c r="CK478" s="824">
        <f t="shared" si="364"/>
        <v>0</v>
      </c>
      <c r="CL478" s="824">
        <f t="shared" si="364"/>
        <v>0</v>
      </c>
      <c r="CM478" s="824">
        <f t="shared" si="364"/>
        <v>0</v>
      </c>
      <c r="CN478" s="824">
        <f t="shared" si="364"/>
        <v>0</v>
      </c>
      <c r="CO478" s="824">
        <f t="shared" si="364"/>
        <v>0</v>
      </c>
      <c r="CP478" s="824">
        <f t="shared" si="364"/>
        <v>0</v>
      </c>
      <c r="CQ478" s="824">
        <f t="shared" si="364"/>
        <v>0</v>
      </c>
      <c r="CR478" s="824">
        <f t="shared" si="364"/>
        <v>0</v>
      </c>
      <c r="CS478" s="824">
        <f t="shared" si="364"/>
        <v>0</v>
      </c>
      <c r="CT478" s="824">
        <f t="shared" si="367"/>
        <v>0</v>
      </c>
      <c r="CU478" s="824">
        <f t="shared" si="367"/>
        <v>0</v>
      </c>
      <c r="CV478" s="824">
        <f t="shared" si="367"/>
        <v>0</v>
      </c>
      <c r="CW478" s="824">
        <f t="shared" si="367"/>
        <v>0</v>
      </c>
      <c r="CX478" s="824">
        <f t="shared" si="367"/>
        <v>0</v>
      </c>
      <c r="CY478" s="824">
        <f t="shared" si="367"/>
        <v>0</v>
      </c>
      <c r="CZ478" s="824">
        <f t="shared" si="367"/>
        <v>0</v>
      </c>
      <c r="DA478" s="824">
        <f t="shared" si="367"/>
        <v>0</v>
      </c>
      <c r="DB478" s="824">
        <f t="shared" si="367"/>
        <v>0</v>
      </c>
      <c r="DC478" s="824">
        <f t="shared" si="367"/>
        <v>0</v>
      </c>
      <c r="DD478" s="824">
        <f t="shared" si="367"/>
        <v>0</v>
      </c>
      <c r="DE478" s="824">
        <f t="shared" si="367"/>
        <v>0</v>
      </c>
      <c r="DF478" s="824">
        <f t="shared" si="367"/>
        <v>0</v>
      </c>
      <c r="DG478" s="824">
        <f t="shared" si="367"/>
        <v>0</v>
      </c>
      <c r="DH478" s="824">
        <f t="shared" si="367"/>
        <v>0</v>
      </c>
      <c r="DI478" s="824">
        <f t="shared" si="367"/>
        <v>0</v>
      </c>
      <c r="DJ478" s="824">
        <f t="shared" si="358"/>
        <v>0</v>
      </c>
      <c r="DK478" s="824">
        <f t="shared" si="358"/>
        <v>0</v>
      </c>
      <c r="DL478" s="824">
        <f t="shared" si="358"/>
        <v>0</v>
      </c>
    </row>
    <row r="479" spans="2:116" ht="12" thickBot="1" x14ac:dyDescent="0.3">
      <c r="B479" s="1673"/>
      <c r="C479" s="1060"/>
      <c r="D479" s="199"/>
      <c r="E479" s="116"/>
      <c r="F479" s="11"/>
      <c r="G479" s="17"/>
      <c r="H479" s="11"/>
      <c r="I479" s="11"/>
      <c r="J479" s="11"/>
      <c r="K479" s="11"/>
      <c r="L479" s="11"/>
      <c r="M479" s="11"/>
      <c r="N479" s="156">
        <f t="shared" si="340"/>
        <v>0</v>
      </c>
      <c r="O479" s="200"/>
      <c r="P479" s="33"/>
      <c r="Q479" s="34"/>
      <c r="R479" s="34"/>
      <c r="S479" s="34"/>
      <c r="T479" s="189"/>
      <c r="U479" s="190"/>
      <c r="V479" s="40">
        <f t="shared" si="362"/>
        <v>0</v>
      </c>
      <c r="W479" s="41">
        <f t="shared" si="363"/>
        <v>0</v>
      </c>
      <c r="X479" s="192"/>
      <c r="Y479" s="195"/>
      <c r="Z479" s="49"/>
      <c r="AA479" s="196"/>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824">
        <f t="shared" si="359"/>
        <v>0</v>
      </c>
      <c r="BM479" s="824">
        <f t="shared" si="360"/>
        <v>0</v>
      </c>
      <c r="BN479" s="824">
        <f t="shared" si="361"/>
        <v>0</v>
      </c>
      <c r="BO479" s="824">
        <f t="shared" si="365"/>
        <v>0</v>
      </c>
      <c r="BP479" s="824">
        <f t="shared" si="365"/>
        <v>0</v>
      </c>
      <c r="BQ479" s="824">
        <f t="shared" si="365"/>
        <v>0</v>
      </c>
      <c r="BR479" s="824">
        <f t="shared" si="365"/>
        <v>0</v>
      </c>
      <c r="BS479" s="824">
        <f t="shared" si="365"/>
        <v>0</v>
      </c>
      <c r="BT479" s="824">
        <f t="shared" si="365"/>
        <v>0</v>
      </c>
      <c r="BU479" s="824">
        <f t="shared" si="365"/>
        <v>0</v>
      </c>
      <c r="BV479" s="824">
        <f t="shared" si="365"/>
        <v>0</v>
      </c>
      <c r="BW479" s="824">
        <f t="shared" si="365"/>
        <v>0</v>
      </c>
      <c r="BX479" s="824">
        <f t="shared" si="365"/>
        <v>0</v>
      </c>
      <c r="BY479" s="824">
        <f t="shared" si="365"/>
        <v>0</v>
      </c>
      <c r="BZ479" s="824">
        <f t="shared" si="365"/>
        <v>0</v>
      </c>
      <c r="CA479" s="824">
        <f t="shared" si="365"/>
        <v>0</v>
      </c>
      <c r="CB479" s="824">
        <f t="shared" si="365"/>
        <v>0</v>
      </c>
      <c r="CC479" s="824">
        <f t="shared" si="365"/>
        <v>0</v>
      </c>
      <c r="CD479" s="824">
        <f t="shared" si="365"/>
        <v>0</v>
      </c>
      <c r="CE479" s="824">
        <f t="shared" si="364"/>
        <v>0</v>
      </c>
      <c r="CF479" s="824">
        <f t="shared" si="364"/>
        <v>0</v>
      </c>
      <c r="CG479" s="824">
        <f t="shared" si="364"/>
        <v>0</v>
      </c>
      <c r="CH479" s="824">
        <f t="shared" si="364"/>
        <v>0</v>
      </c>
      <c r="CI479" s="824">
        <f t="shared" si="364"/>
        <v>0</v>
      </c>
      <c r="CJ479" s="824">
        <f t="shared" si="364"/>
        <v>0</v>
      </c>
      <c r="CK479" s="824">
        <f t="shared" si="364"/>
        <v>0</v>
      </c>
      <c r="CL479" s="824">
        <f t="shared" si="364"/>
        <v>0</v>
      </c>
      <c r="CM479" s="824">
        <f t="shared" si="364"/>
        <v>0</v>
      </c>
      <c r="CN479" s="824">
        <f t="shared" si="364"/>
        <v>0</v>
      </c>
      <c r="CO479" s="824">
        <f t="shared" si="364"/>
        <v>0</v>
      </c>
      <c r="CP479" s="824">
        <f t="shared" si="364"/>
        <v>0</v>
      </c>
      <c r="CQ479" s="824">
        <f t="shared" si="364"/>
        <v>0</v>
      </c>
      <c r="CR479" s="824">
        <f t="shared" si="364"/>
        <v>0</v>
      </c>
      <c r="CS479" s="824">
        <f t="shared" si="364"/>
        <v>0</v>
      </c>
      <c r="CT479" s="824">
        <f t="shared" si="367"/>
        <v>0</v>
      </c>
      <c r="CU479" s="824">
        <f t="shared" si="367"/>
        <v>0</v>
      </c>
      <c r="CV479" s="824">
        <f t="shared" si="367"/>
        <v>0</v>
      </c>
      <c r="CW479" s="824">
        <f t="shared" si="367"/>
        <v>0</v>
      </c>
      <c r="CX479" s="824">
        <f t="shared" si="367"/>
        <v>0</v>
      </c>
      <c r="CY479" s="824">
        <f t="shared" si="367"/>
        <v>0</v>
      </c>
      <c r="CZ479" s="824">
        <f t="shared" si="367"/>
        <v>0</v>
      </c>
      <c r="DA479" s="824">
        <f t="shared" si="367"/>
        <v>0</v>
      </c>
      <c r="DB479" s="824">
        <f t="shared" si="367"/>
        <v>0</v>
      </c>
      <c r="DC479" s="824">
        <f t="shared" si="367"/>
        <v>0</v>
      </c>
      <c r="DD479" s="824">
        <f t="shared" si="367"/>
        <v>0</v>
      </c>
      <c r="DE479" s="824">
        <f t="shared" si="367"/>
        <v>0</v>
      </c>
      <c r="DF479" s="824">
        <f t="shared" si="367"/>
        <v>0</v>
      </c>
      <c r="DG479" s="824">
        <f t="shared" si="367"/>
        <v>0</v>
      </c>
      <c r="DH479" s="824">
        <f t="shared" si="367"/>
        <v>0</v>
      </c>
      <c r="DI479" s="824">
        <f t="shared" si="367"/>
        <v>0</v>
      </c>
      <c r="DJ479" s="824">
        <f t="shared" si="358"/>
        <v>0</v>
      </c>
      <c r="DK479" s="824">
        <f t="shared" si="358"/>
        <v>0</v>
      </c>
      <c r="DL479" s="824">
        <f t="shared" si="358"/>
        <v>0</v>
      </c>
    </row>
    <row r="480" spans="2:116" ht="11.25" customHeight="1" thickBot="1" x14ac:dyDescent="0.3">
      <c r="B480" s="1673"/>
      <c r="C480" s="1680" t="s">
        <v>275</v>
      </c>
      <c r="D480" s="18" t="str">
        <f>'3.2 Fi&amp;Fo'!$D$47</f>
        <v>Verwaltung und Management</v>
      </c>
      <c r="E480" s="166"/>
      <c r="F480" s="13"/>
      <c r="G480" s="11"/>
      <c r="H480" s="13"/>
      <c r="I480" s="13"/>
      <c r="J480" s="64">
        <f>SUBTOTAL(109,'3.2 Fi&amp;Fo'!$K$47)</f>
        <v>0</v>
      </c>
      <c r="K480" s="12"/>
      <c r="L480" s="12"/>
      <c r="M480" s="13"/>
      <c r="N480" s="178"/>
      <c r="O480" s="21"/>
      <c r="P480" s="65">
        <f t="shared" ref="P480:P487" si="368">IF(N480&gt;=1,O480*$G$158^(1*M480)/($G$157^(1*M480)),0)</f>
        <v>0</v>
      </c>
      <c r="Q480" s="66">
        <f t="shared" ref="Q480:Q487" si="369">IF(N480&gt;=2,O480*$G$158^(2*M480)/($G$157^(2*M480)),0)</f>
        <v>0</v>
      </c>
      <c r="R480" s="66">
        <f t="shared" ref="R480:R487" si="370">IF(N480&gt;=3,O480*$G$158^(3*M480)/($G$157^(3*M480)),0)</f>
        <v>0</v>
      </c>
      <c r="S480" s="66">
        <f t="shared" ref="S480:S487" si="371">IF(N480&gt;=4,O480*$G$158^(4*M480)/($G$157^(4*M480)),0)</f>
        <v>0</v>
      </c>
      <c r="T480" s="67">
        <f t="shared" ref="T480:T487" si="372">IF(N480&gt;=5,O480*$G$158^(5*M480)/($G$157^(5*M480)),0)</f>
        <v>0</v>
      </c>
      <c r="U480" s="37">
        <f t="shared" ref="U480:U510" si="373">IF(M480=0,0,O480*$G$158^(N480*M480)*((N480+1)*M480-$G$154)/M480*(1/$G$157^$G$154))</f>
        <v>0</v>
      </c>
      <c r="V480" s="40">
        <f t="shared" si="362"/>
        <v>0</v>
      </c>
      <c r="W480" s="41">
        <f t="shared" si="363"/>
        <v>0</v>
      </c>
      <c r="X480" s="42"/>
      <c r="Y480" s="45"/>
      <c r="Z480" s="127"/>
      <c r="AA480" s="136"/>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824"/>
      <c r="BM480" s="824"/>
      <c r="BN480" s="824"/>
      <c r="BO480" s="824"/>
      <c r="BP480" s="824"/>
      <c r="BQ480" s="824"/>
      <c r="BR480" s="824"/>
      <c r="BS480" s="824"/>
      <c r="BT480" s="824"/>
      <c r="BU480" s="824"/>
      <c r="BV480" s="824"/>
      <c r="BW480" s="824"/>
      <c r="BX480" s="824"/>
      <c r="BY480" s="824"/>
      <c r="BZ480" s="824"/>
      <c r="CA480" s="824"/>
      <c r="CB480" s="824"/>
      <c r="CC480" s="824"/>
      <c r="CD480" s="824"/>
      <c r="CE480" s="824"/>
      <c r="CF480" s="824"/>
      <c r="CG480" s="824"/>
      <c r="CH480" s="824"/>
      <c r="CI480" s="824"/>
      <c r="CJ480" s="824"/>
      <c r="CK480" s="824"/>
      <c r="CL480" s="824"/>
      <c r="CM480" s="824"/>
      <c r="CN480" s="824"/>
      <c r="CO480" s="824"/>
      <c r="CP480" s="824"/>
      <c r="CQ480" s="824"/>
      <c r="CR480" s="824"/>
      <c r="CS480" s="824"/>
      <c r="CT480" s="824"/>
      <c r="CU480" s="824"/>
      <c r="CV480" s="824"/>
      <c r="CW480" s="824"/>
      <c r="CX480" s="824"/>
      <c r="CY480" s="824"/>
      <c r="CZ480" s="824"/>
      <c r="DA480" s="824"/>
      <c r="DB480" s="824"/>
      <c r="DC480" s="824"/>
      <c r="DD480" s="824"/>
      <c r="DE480" s="824"/>
      <c r="DF480" s="824"/>
      <c r="DG480" s="824"/>
      <c r="DH480" s="824"/>
      <c r="DI480" s="824"/>
      <c r="DJ480" s="824"/>
      <c r="DK480" s="824"/>
      <c r="DL480" s="824"/>
    </row>
    <row r="481" spans="2:116" ht="12" thickBot="1" x14ac:dyDescent="0.3">
      <c r="B481" s="1673"/>
      <c r="C481" s="1680"/>
      <c r="D481" s="16" t="str">
        <f>'3.2 Fi&amp;Fo'!$D$48</f>
        <v>Gebühren, Steuern und Abgaben</v>
      </c>
      <c r="E481" s="97"/>
      <c r="F481" s="9"/>
      <c r="G481" s="116"/>
      <c r="H481" s="9"/>
      <c r="I481" s="9"/>
      <c r="J481" s="5">
        <f ca="1">SUBTOTAL(109,'3.2 Fi&amp;Fo'!$K$48)-'PV-Einspeisung'!AB83</f>
        <v>2996.3999999999996</v>
      </c>
      <c r="K481" s="116"/>
      <c r="L481" s="116"/>
      <c r="M481" s="9"/>
      <c r="N481" s="179"/>
      <c r="O481" s="22"/>
      <c r="P481" s="30">
        <f t="shared" si="368"/>
        <v>0</v>
      </c>
      <c r="Q481" s="31">
        <f t="shared" si="369"/>
        <v>0</v>
      </c>
      <c r="R481" s="31">
        <f t="shared" si="370"/>
        <v>0</v>
      </c>
      <c r="S481" s="31">
        <f t="shared" si="371"/>
        <v>0</v>
      </c>
      <c r="T481" s="32">
        <f t="shared" si="372"/>
        <v>0</v>
      </c>
      <c r="U481" s="37">
        <f t="shared" si="373"/>
        <v>0</v>
      </c>
      <c r="V481" s="40">
        <f t="shared" si="362"/>
        <v>0</v>
      </c>
      <c r="W481" s="41">
        <f t="shared" ca="1" si="363"/>
        <v>96249.766799551478</v>
      </c>
      <c r="X481" s="43"/>
      <c r="Y481" s="46"/>
      <c r="Z481" s="126"/>
      <c r="AA481" s="136"/>
      <c r="AB481" s="3"/>
      <c r="AC481" s="1665" t="s">
        <v>328</v>
      </c>
      <c r="AD481" s="1665"/>
      <c r="AE481" s="1665"/>
      <c r="AF481" s="850" t="str">
        <f>LISTEN!$B$3</f>
        <v>Heizöl</v>
      </c>
      <c r="AG481" s="850" t="str">
        <f>LISTEN!$C$3</f>
        <v>Erdgas</v>
      </c>
      <c r="AH481" s="850" t="str">
        <f>LISTEN!$D$3</f>
        <v>Kohle</v>
      </c>
      <c r="AI481" s="850" t="str">
        <f>LISTEN!$E$3</f>
        <v>Fernwärme ne.</v>
      </c>
      <c r="AJ481" s="850" t="str">
        <f>LISTEN!$F$3</f>
        <v>Fernwärme e.</v>
      </c>
      <c r="AK481" s="850" t="str">
        <f>LISTEN!$G$3</f>
        <v>Biomasse</v>
      </c>
      <c r="AL481" s="850" t="str">
        <f>LISTEN!$H$3</f>
        <v>Strom</v>
      </c>
      <c r="AM481" s="850" t="str">
        <f>LISTEN!$I$3</f>
        <v>Wärmepumpenstrom</v>
      </c>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824"/>
      <c r="BM481" s="824"/>
      <c r="BN481" s="827" t="s">
        <v>580</v>
      </c>
      <c r="BO481" s="827">
        <v>1</v>
      </c>
      <c r="BP481" s="827">
        <v>2</v>
      </c>
      <c r="BQ481" s="827">
        <v>3</v>
      </c>
      <c r="BR481" s="827">
        <v>4</v>
      </c>
      <c r="BS481" s="827">
        <v>5</v>
      </c>
      <c r="BT481" s="827">
        <v>6</v>
      </c>
      <c r="BU481" s="827">
        <v>7</v>
      </c>
      <c r="BV481" s="827">
        <v>8</v>
      </c>
      <c r="BW481" s="827">
        <v>9</v>
      </c>
      <c r="BX481" s="827">
        <v>10</v>
      </c>
      <c r="BY481" s="827">
        <v>11</v>
      </c>
      <c r="BZ481" s="827">
        <v>12</v>
      </c>
      <c r="CA481" s="827">
        <v>13</v>
      </c>
      <c r="CB481" s="827">
        <v>14</v>
      </c>
      <c r="CC481" s="827">
        <v>15</v>
      </c>
      <c r="CD481" s="827">
        <v>16</v>
      </c>
      <c r="CE481" s="827">
        <v>17</v>
      </c>
      <c r="CF481" s="827">
        <v>18</v>
      </c>
      <c r="CG481" s="827">
        <v>19</v>
      </c>
      <c r="CH481" s="827">
        <v>20</v>
      </c>
      <c r="CI481" s="827">
        <v>21</v>
      </c>
      <c r="CJ481" s="827">
        <v>22</v>
      </c>
      <c r="CK481" s="827">
        <v>23</v>
      </c>
      <c r="CL481" s="827">
        <v>24</v>
      </c>
      <c r="CM481" s="827">
        <v>25</v>
      </c>
      <c r="CN481" s="827">
        <v>26</v>
      </c>
      <c r="CO481" s="827">
        <v>27</v>
      </c>
      <c r="CP481" s="827">
        <v>28</v>
      </c>
      <c r="CQ481" s="827">
        <v>29</v>
      </c>
      <c r="CR481" s="827">
        <v>30</v>
      </c>
      <c r="CS481" s="827">
        <v>31</v>
      </c>
      <c r="CT481" s="827">
        <v>32</v>
      </c>
      <c r="CU481" s="827">
        <v>33</v>
      </c>
      <c r="CV481" s="827">
        <v>34</v>
      </c>
      <c r="CW481" s="827">
        <v>35</v>
      </c>
      <c r="CX481" s="827">
        <v>36</v>
      </c>
      <c r="CY481" s="827">
        <v>37</v>
      </c>
      <c r="CZ481" s="827">
        <v>38</v>
      </c>
      <c r="DA481" s="827">
        <v>39</v>
      </c>
      <c r="DB481" s="827">
        <v>40</v>
      </c>
      <c r="DC481" s="827">
        <v>41</v>
      </c>
      <c r="DD481" s="827">
        <v>42</v>
      </c>
      <c r="DE481" s="827">
        <v>43</v>
      </c>
      <c r="DF481" s="827">
        <v>44</v>
      </c>
      <c r="DG481" s="827">
        <v>45</v>
      </c>
      <c r="DH481" s="827">
        <v>46</v>
      </c>
      <c r="DI481" s="827">
        <v>47</v>
      </c>
      <c r="DJ481" s="827">
        <v>48</v>
      </c>
      <c r="DK481" s="827">
        <v>49</v>
      </c>
      <c r="DL481" s="827">
        <v>50</v>
      </c>
    </row>
    <row r="482" spans="2:116" ht="12" thickBot="1" x14ac:dyDescent="0.3">
      <c r="B482" s="1673"/>
      <c r="C482" s="1680"/>
      <c r="D482" s="16" t="str">
        <f>'3.2 Fi&amp;Fo'!$D$56</f>
        <v>Technisches Gebäudemanagement</v>
      </c>
      <c r="E482" s="97"/>
      <c r="F482" s="9"/>
      <c r="G482" s="116"/>
      <c r="H482" s="9"/>
      <c r="I482" s="9"/>
      <c r="J482" s="5">
        <f>SUBTOTAL(109,'3.2 Fi&amp;Fo'!$K$56)</f>
        <v>0</v>
      </c>
      <c r="K482" s="116"/>
      <c r="L482" s="116"/>
      <c r="M482" s="9"/>
      <c r="N482" s="179"/>
      <c r="O482" s="22"/>
      <c r="P482" s="30">
        <f t="shared" si="368"/>
        <v>0</v>
      </c>
      <c r="Q482" s="31">
        <f t="shared" si="369"/>
        <v>0</v>
      </c>
      <c r="R482" s="31">
        <f t="shared" si="370"/>
        <v>0</v>
      </c>
      <c r="S482" s="31">
        <f t="shared" si="371"/>
        <v>0</v>
      </c>
      <c r="T482" s="32">
        <f t="shared" si="372"/>
        <v>0</v>
      </c>
      <c r="U482" s="37">
        <f t="shared" si="373"/>
        <v>0</v>
      </c>
      <c r="V482" s="40">
        <f t="shared" si="362"/>
        <v>0</v>
      </c>
      <c r="W482" s="41">
        <f t="shared" si="363"/>
        <v>0</v>
      </c>
      <c r="X482" s="43"/>
      <c r="Y482" s="46"/>
      <c r="Z482" s="128"/>
      <c r="AA482" s="136"/>
      <c r="AB482" s="3"/>
      <c r="AC482" s="156" t="s">
        <v>329</v>
      </c>
      <c r="AD482" s="156" t="s">
        <v>199</v>
      </c>
      <c r="AE482" s="156" t="s">
        <v>198</v>
      </c>
      <c r="AF482" s="850">
        <f ca="1">SUMIF($L$483:$L$501,AF481,$K$483:$K$501)</f>
        <v>0</v>
      </c>
      <c r="AG482" s="850">
        <f t="shared" ref="AG482:AM482" ca="1" si="374">SUMIF($L$483:$L$501,AG481,$K$483:$K$501)</f>
        <v>0</v>
      </c>
      <c r="AH482" s="850">
        <f t="shared" ca="1" si="374"/>
        <v>0</v>
      </c>
      <c r="AI482" s="850">
        <f t="shared" ca="1" si="374"/>
        <v>0</v>
      </c>
      <c r="AJ482" s="850">
        <f t="shared" ca="1" si="374"/>
        <v>0</v>
      </c>
      <c r="AK482" s="850">
        <f t="shared" ca="1" si="374"/>
        <v>0</v>
      </c>
      <c r="AL482" s="850">
        <f t="shared" ca="1" si="374"/>
        <v>6085.9719359999999</v>
      </c>
      <c r="AM482" s="850">
        <f t="shared" ca="1" si="374"/>
        <v>5374.1396412000004</v>
      </c>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824"/>
      <c r="BM482" s="824"/>
      <c r="BN482" s="828"/>
      <c r="BO482" s="828">
        <f ca="1">SUM(BO373:BO479)</f>
        <v>0</v>
      </c>
      <c r="BP482" s="828">
        <f ca="1">SUM(BP373:BP479)</f>
        <v>0</v>
      </c>
      <c r="BQ482" s="828">
        <f ca="1">SUM(BQ373:BQ479)</f>
        <v>0</v>
      </c>
      <c r="BR482" s="828">
        <f ca="1">SUM(BR373:BR479)</f>
        <v>0</v>
      </c>
      <c r="BS482" s="828">
        <f t="shared" ref="BS482:DL482" ca="1" si="375">SUM(BS373:BS479)</f>
        <v>0</v>
      </c>
      <c r="BT482" s="828">
        <f t="shared" ca="1" si="375"/>
        <v>0</v>
      </c>
      <c r="BU482" s="828">
        <f t="shared" ca="1" si="375"/>
        <v>0</v>
      </c>
      <c r="BV482" s="828">
        <f t="shared" ca="1" si="375"/>
        <v>0</v>
      </c>
      <c r="BW482" s="828">
        <f t="shared" ca="1" si="375"/>
        <v>0</v>
      </c>
      <c r="BX482" s="828">
        <f t="shared" ca="1" si="375"/>
        <v>0</v>
      </c>
      <c r="BY482" s="828">
        <f t="shared" ca="1" si="375"/>
        <v>0</v>
      </c>
      <c r="BZ482" s="828">
        <f t="shared" ca="1" si="375"/>
        <v>0</v>
      </c>
      <c r="CA482" s="828">
        <f t="shared" ca="1" si="375"/>
        <v>0</v>
      </c>
      <c r="CB482" s="828">
        <f t="shared" ca="1" si="375"/>
        <v>0</v>
      </c>
      <c r="CC482" s="828">
        <f t="shared" ca="1" si="375"/>
        <v>27819.795727419776</v>
      </c>
      <c r="CD482" s="828">
        <f t="shared" ca="1" si="375"/>
        <v>0</v>
      </c>
      <c r="CE482" s="828">
        <f t="shared" ca="1" si="375"/>
        <v>0</v>
      </c>
      <c r="CF482" s="828">
        <f t="shared" ca="1" si="375"/>
        <v>0</v>
      </c>
      <c r="CG482" s="828">
        <f t="shared" ca="1" si="375"/>
        <v>0</v>
      </c>
      <c r="CH482" s="828">
        <f t="shared" ca="1" si="375"/>
        <v>32983.937103226628</v>
      </c>
      <c r="CI482" s="828">
        <f t="shared" ca="1" si="375"/>
        <v>0</v>
      </c>
      <c r="CJ482" s="828">
        <f t="shared" ca="1" si="375"/>
        <v>0</v>
      </c>
      <c r="CK482" s="828">
        <f t="shared" ca="1" si="375"/>
        <v>0</v>
      </c>
      <c r="CL482" s="828">
        <f t="shared" ca="1" si="375"/>
        <v>0</v>
      </c>
      <c r="CM482" s="828">
        <f t="shared" ca="1" si="375"/>
        <v>56634.748264498943</v>
      </c>
      <c r="CN482" s="828">
        <f t="shared" ca="1" si="375"/>
        <v>0</v>
      </c>
      <c r="CO482" s="828">
        <f t="shared" ca="1" si="375"/>
        <v>0</v>
      </c>
      <c r="CP482" s="828">
        <f t="shared" ca="1" si="375"/>
        <v>0</v>
      </c>
      <c r="CQ482" s="828">
        <f t="shared" ca="1" si="375"/>
        <v>0</v>
      </c>
      <c r="CR482" s="828">
        <f t="shared" ca="1" si="375"/>
        <v>150514.72851978976</v>
      </c>
      <c r="CS482" s="828">
        <f t="shared" ca="1" si="375"/>
        <v>0</v>
      </c>
      <c r="CT482" s="828">
        <f t="shared" ca="1" si="375"/>
        <v>0</v>
      </c>
      <c r="CU482" s="828">
        <f t="shared" ca="1" si="375"/>
        <v>0</v>
      </c>
      <c r="CV482" s="828">
        <f t="shared" ca="1" si="375"/>
        <v>0</v>
      </c>
      <c r="CW482" s="828">
        <f t="shared" ca="1" si="375"/>
        <v>0</v>
      </c>
      <c r="CX482" s="828">
        <f t="shared" ca="1" si="375"/>
        <v>0</v>
      </c>
      <c r="CY482" s="828">
        <f t="shared" ca="1" si="375"/>
        <v>0</v>
      </c>
      <c r="CZ482" s="828">
        <f t="shared" ca="1" si="375"/>
        <v>0</v>
      </c>
      <c r="DA482" s="828">
        <f t="shared" ca="1" si="375"/>
        <v>0</v>
      </c>
      <c r="DB482" s="828">
        <f t="shared" ca="1" si="375"/>
        <v>0</v>
      </c>
      <c r="DC482" s="828">
        <f t="shared" ca="1" si="375"/>
        <v>0</v>
      </c>
      <c r="DD482" s="828">
        <f t="shared" ca="1" si="375"/>
        <v>0</v>
      </c>
      <c r="DE482" s="828">
        <f t="shared" ca="1" si="375"/>
        <v>0</v>
      </c>
      <c r="DF482" s="828">
        <f t="shared" ca="1" si="375"/>
        <v>0</v>
      </c>
      <c r="DG482" s="828">
        <f t="shared" ca="1" si="375"/>
        <v>0</v>
      </c>
      <c r="DH482" s="828">
        <f t="shared" ca="1" si="375"/>
        <v>0</v>
      </c>
      <c r="DI482" s="828">
        <f t="shared" ca="1" si="375"/>
        <v>0</v>
      </c>
      <c r="DJ482" s="828">
        <f t="shared" ca="1" si="375"/>
        <v>0</v>
      </c>
      <c r="DK482" s="828">
        <f t="shared" ca="1" si="375"/>
        <v>0</v>
      </c>
      <c r="DL482" s="828">
        <f t="shared" ca="1" si="375"/>
        <v>0</v>
      </c>
    </row>
    <row r="483" spans="2:116" ht="12" thickBot="1" x14ac:dyDescent="0.3">
      <c r="B483" s="1673"/>
      <c r="C483" s="1680"/>
      <c r="D483" s="97" t="str">
        <f>'3.2 Fi&amp;Fo'!$E$63</f>
        <v>Heizung</v>
      </c>
      <c r="E483" s="97"/>
      <c r="F483" s="9"/>
      <c r="G483" s="116"/>
      <c r="H483" s="9"/>
      <c r="I483" s="9"/>
      <c r="J483" s="116"/>
      <c r="K483" s="5">
        <f ca="1">SUBTOTAL(109,'3.2 Fi&amp;Fo'!$K$63)</f>
        <v>2348.5075944</v>
      </c>
      <c r="L483" s="5" t="str">
        <f ca="1">'2. Energie KW.'!F46</f>
        <v>Wärmepumpenstrom</v>
      </c>
      <c r="M483" s="9"/>
      <c r="N483" s="179"/>
      <c r="O483" s="22"/>
      <c r="P483" s="30">
        <f t="shared" si="368"/>
        <v>0</v>
      </c>
      <c r="Q483" s="31">
        <f t="shared" si="369"/>
        <v>0</v>
      </c>
      <c r="R483" s="31">
        <f t="shared" si="370"/>
        <v>0</v>
      </c>
      <c r="S483" s="31">
        <f t="shared" si="371"/>
        <v>0</v>
      </c>
      <c r="T483" s="32">
        <f t="shared" si="372"/>
        <v>0</v>
      </c>
      <c r="U483" s="37">
        <f t="shared" si="373"/>
        <v>0</v>
      </c>
      <c r="V483" s="40">
        <f t="shared" si="362"/>
        <v>0</v>
      </c>
      <c r="W483" s="41">
        <f t="shared" si="363"/>
        <v>0</v>
      </c>
      <c r="X483" s="43">
        <f ca="1">IFERROR(K483*VLOOKUP(L483,$A$159:$I$166,9,FALSE),0)</f>
        <v>104412.65526028254</v>
      </c>
      <c r="Y483" s="46"/>
      <c r="Z483" s="128"/>
      <c r="AA483" s="136">
        <f ca="1">K483*$O$151</f>
        <v>0</v>
      </c>
      <c r="AB483" s="3"/>
      <c r="AC483" s="156">
        <f ca="1">IF(L483="f",K483,0)</f>
        <v>0</v>
      </c>
      <c r="AD483" s="156">
        <f ca="1">IF(L483="s",K483,0)</f>
        <v>0</v>
      </c>
      <c r="AE483" s="156">
        <f ca="1">IF(L483="b",K483,0)</f>
        <v>0</v>
      </c>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row>
    <row r="484" spans="2:116" ht="12" thickBot="1" x14ac:dyDescent="0.3">
      <c r="B484" s="1673"/>
      <c r="C484" s="1680"/>
      <c r="D484" s="97" t="str">
        <f>'3.2 Fi&amp;Fo'!$E$64</f>
        <v>Heizung 2</v>
      </c>
      <c r="E484" s="97"/>
      <c r="F484" s="9"/>
      <c r="G484" s="116"/>
      <c r="H484" s="9"/>
      <c r="I484" s="9"/>
      <c r="J484" s="116"/>
      <c r="K484" s="5">
        <f ca="1">SUBTOTAL(109,'3.2 Fi&amp;Fo'!$K$64)</f>
        <v>0</v>
      </c>
      <c r="L484" s="5">
        <f ca="1">'2. Energie KW.'!F47</f>
        <v>0</v>
      </c>
      <c r="M484" s="9"/>
      <c r="N484" s="179"/>
      <c r="O484" s="22"/>
      <c r="P484" s="30">
        <f t="shared" si="368"/>
        <v>0</v>
      </c>
      <c r="Q484" s="31">
        <f t="shared" si="369"/>
        <v>0</v>
      </c>
      <c r="R484" s="31">
        <f t="shared" si="370"/>
        <v>0</v>
      </c>
      <c r="S484" s="31">
        <f t="shared" si="371"/>
        <v>0</v>
      </c>
      <c r="T484" s="32">
        <f t="shared" si="372"/>
        <v>0</v>
      </c>
      <c r="U484" s="37">
        <f t="shared" si="373"/>
        <v>0</v>
      </c>
      <c r="V484" s="40">
        <f t="shared" si="362"/>
        <v>0</v>
      </c>
      <c r="W484" s="41">
        <f t="shared" si="363"/>
        <v>0</v>
      </c>
      <c r="X484" s="43">
        <f t="shared" ref="X484:X503" ca="1" si="376">IFERROR(K484*VLOOKUP(L484,$A$159:$I$166,9,FALSE),0)</f>
        <v>0</v>
      </c>
      <c r="Y484" s="46"/>
      <c r="Z484" s="128"/>
      <c r="AA484" s="136">
        <f ca="1">K484*$O$151</f>
        <v>0</v>
      </c>
      <c r="AB484" s="3"/>
      <c r="AC484" s="156">
        <f t="shared" ref="AC484:AC504" ca="1" si="377">IF(L484="f",K484,0)</f>
        <v>0</v>
      </c>
      <c r="AD484" s="156">
        <f t="shared" ref="AD484:AD504" ca="1" si="378">IF(L484="s",K484,0)</f>
        <v>0</v>
      </c>
      <c r="AE484" s="156">
        <f t="shared" ref="AE484:AE504" ca="1" si="379">IF(L484="b",K484,0)</f>
        <v>0</v>
      </c>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row>
    <row r="485" spans="2:116" ht="12" thickBot="1" x14ac:dyDescent="0.3">
      <c r="B485" s="1673"/>
      <c r="C485" s="1680"/>
      <c r="D485" s="97" t="str">
        <f>'3.2 Fi&amp;Fo'!$E$65</f>
        <v>Warmwasser</v>
      </c>
      <c r="E485" s="97"/>
      <c r="F485" s="9"/>
      <c r="G485" s="116"/>
      <c r="H485" s="9"/>
      <c r="I485" s="9"/>
      <c r="J485" s="116"/>
      <c r="K485" s="5">
        <f ca="1">SUBTOTAL(109,'3.2 Fi&amp;Fo'!$K$65)</f>
        <v>3025.6320468000004</v>
      </c>
      <c r="L485" s="5" t="str">
        <f ca="1">'2. Energie KW.'!F48</f>
        <v>Wärmepumpenstrom</v>
      </c>
      <c r="M485" s="9"/>
      <c r="N485" s="179"/>
      <c r="O485" s="22"/>
      <c r="P485" s="30">
        <f t="shared" si="368"/>
        <v>0</v>
      </c>
      <c r="Q485" s="31">
        <f t="shared" si="369"/>
        <v>0</v>
      </c>
      <c r="R485" s="31">
        <f t="shared" si="370"/>
        <v>0</v>
      </c>
      <c r="S485" s="31">
        <f t="shared" si="371"/>
        <v>0</v>
      </c>
      <c r="T485" s="32">
        <f t="shared" si="372"/>
        <v>0</v>
      </c>
      <c r="U485" s="37">
        <f t="shared" si="373"/>
        <v>0</v>
      </c>
      <c r="V485" s="40">
        <f t="shared" si="362"/>
        <v>0</v>
      </c>
      <c r="W485" s="41">
        <f t="shared" si="363"/>
        <v>0</v>
      </c>
      <c r="X485" s="43">
        <f t="shared" ca="1" si="376"/>
        <v>134517.03396671437</v>
      </c>
      <c r="Y485" s="46"/>
      <c r="Z485" s="128"/>
      <c r="AA485" s="136">
        <f ca="1">K485*$O$151</f>
        <v>0</v>
      </c>
      <c r="AB485" s="3"/>
      <c r="AC485" s="156">
        <f t="shared" ca="1" si="377"/>
        <v>0</v>
      </c>
      <c r="AD485" s="156">
        <f t="shared" ca="1" si="378"/>
        <v>0</v>
      </c>
      <c r="AE485" s="156">
        <f t="shared" ca="1" si="379"/>
        <v>0</v>
      </c>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row>
    <row r="486" spans="2:116" ht="12" thickBot="1" x14ac:dyDescent="0.3">
      <c r="B486" s="1673"/>
      <c r="C486" s="1680"/>
      <c r="D486" s="97" t="str">
        <f>'3.2 Fi&amp;Fo'!$E$66</f>
        <v>Warmwasser 2</v>
      </c>
      <c r="E486" s="97"/>
      <c r="F486" s="9"/>
      <c r="G486" s="116"/>
      <c r="H486" s="9"/>
      <c r="I486" s="9"/>
      <c r="J486" s="116"/>
      <c r="K486" s="5">
        <f ca="1">SUBTOTAL(109,'3.2 Fi&amp;Fo'!$K$66)</f>
        <v>0</v>
      </c>
      <c r="L486" s="5">
        <f ca="1">'2. Energie KW.'!F49</f>
        <v>0</v>
      </c>
      <c r="M486" s="9"/>
      <c r="N486" s="179"/>
      <c r="O486" s="22"/>
      <c r="P486" s="30">
        <f t="shared" si="368"/>
        <v>0</v>
      </c>
      <c r="Q486" s="31">
        <f t="shared" si="369"/>
        <v>0</v>
      </c>
      <c r="R486" s="31">
        <f t="shared" si="370"/>
        <v>0</v>
      </c>
      <c r="S486" s="31">
        <f t="shared" si="371"/>
        <v>0</v>
      </c>
      <c r="T486" s="32">
        <f t="shared" si="372"/>
        <v>0</v>
      </c>
      <c r="U486" s="37">
        <f t="shared" si="373"/>
        <v>0</v>
      </c>
      <c r="V486" s="40">
        <f t="shared" si="362"/>
        <v>0</v>
      </c>
      <c r="W486" s="41">
        <f t="shared" si="363"/>
        <v>0</v>
      </c>
      <c r="X486" s="43">
        <f t="shared" ca="1" si="376"/>
        <v>0</v>
      </c>
      <c r="Y486" s="46"/>
      <c r="Z486" s="128"/>
      <c r="AA486" s="136">
        <f ca="1">K486*$O$151</f>
        <v>0</v>
      </c>
      <c r="AB486" s="3"/>
      <c r="AC486" s="156">
        <f t="shared" ca="1" si="377"/>
        <v>0</v>
      </c>
      <c r="AD486" s="156">
        <f t="shared" ca="1" si="378"/>
        <v>0</v>
      </c>
      <c r="AE486" s="156">
        <f t="shared" ca="1" si="379"/>
        <v>0</v>
      </c>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row>
    <row r="487" spans="2:116" ht="12" thickBot="1" x14ac:dyDescent="0.3">
      <c r="B487" s="1673"/>
      <c r="C487" s="1680"/>
      <c r="D487" s="97" t="str">
        <f>'3.2 Fi&amp;Fo'!$E$67</f>
        <v>Klimatisierung</v>
      </c>
      <c r="E487" s="97"/>
      <c r="F487" s="9"/>
      <c r="G487" s="116"/>
      <c r="H487" s="9"/>
      <c r="I487" s="9"/>
      <c r="J487" s="116"/>
      <c r="K487" s="5">
        <f ca="1">SUBTOTAL(109,'3.2 Fi&amp;Fo'!$K$67)</f>
        <v>0</v>
      </c>
      <c r="L487" s="5">
        <f ca="1">'2. Energie KW.'!F50</f>
        <v>0</v>
      </c>
      <c r="M487" s="9"/>
      <c r="N487" s="179"/>
      <c r="O487" s="22"/>
      <c r="P487" s="30">
        <f t="shared" si="368"/>
        <v>0</v>
      </c>
      <c r="Q487" s="31">
        <f t="shared" si="369"/>
        <v>0</v>
      </c>
      <c r="R487" s="31">
        <f t="shared" si="370"/>
        <v>0</v>
      </c>
      <c r="S487" s="31">
        <f t="shared" si="371"/>
        <v>0</v>
      </c>
      <c r="T487" s="32">
        <f t="shared" si="372"/>
        <v>0</v>
      </c>
      <c r="U487" s="37">
        <f t="shared" si="373"/>
        <v>0</v>
      </c>
      <c r="V487" s="40">
        <f t="shared" si="362"/>
        <v>0</v>
      </c>
      <c r="W487" s="41">
        <f t="shared" si="363"/>
        <v>0</v>
      </c>
      <c r="X487" s="43">
        <f t="shared" ca="1" si="376"/>
        <v>0</v>
      </c>
      <c r="Y487" s="46"/>
      <c r="Z487" s="128"/>
      <c r="AA487" s="136">
        <f ca="1">K487*$O$151</f>
        <v>0</v>
      </c>
      <c r="AB487" s="3"/>
      <c r="AC487" s="156">
        <f t="shared" ca="1" si="377"/>
        <v>0</v>
      </c>
      <c r="AD487" s="156">
        <f t="shared" ca="1" si="378"/>
        <v>0</v>
      </c>
      <c r="AE487" s="156">
        <f t="shared" ca="1" si="379"/>
        <v>0</v>
      </c>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row>
    <row r="488" spans="2:116" ht="12" thickBot="1" x14ac:dyDescent="0.3">
      <c r="B488" s="1673"/>
      <c r="C488" s="1680"/>
      <c r="D488" s="97"/>
      <c r="E488" s="97"/>
      <c r="F488" s="9"/>
      <c r="G488" s="116"/>
      <c r="H488" s="9"/>
      <c r="I488" s="9"/>
      <c r="J488" s="116"/>
      <c r="K488" s="5"/>
      <c r="L488" s="5"/>
      <c r="M488" s="9"/>
      <c r="N488" s="179"/>
      <c r="O488" s="22"/>
      <c r="P488" s="30"/>
      <c r="Q488" s="31"/>
      <c r="R488" s="31"/>
      <c r="S488" s="31"/>
      <c r="T488" s="32"/>
      <c r="U488" s="37"/>
      <c r="V488" s="40"/>
      <c r="W488" s="41"/>
      <c r="X488" s="43"/>
      <c r="Y488" s="46"/>
      <c r="Z488" s="128"/>
      <c r="AA488" s="136"/>
      <c r="AB488" s="3"/>
      <c r="AC488" s="156"/>
      <c r="AD488" s="156"/>
      <c r="AE488" s="156"/>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row>
    <row r="489" spans="2:116" ht="12" thickBot="1" x14ac:dyDescent="0.3">
      <c r="B489" s="1673"/>
      <c r="C489" s="1680"/>
      <c r="D489" s="97" t="str">
        <f>'3.2 Fi&amp;Fo'!$E$68</f>
        <v>Kühlung</v>
      </c>
      <c r="E489" s="97"/>
      <c r="F489" s="9"/>
      <c r="G489" s="116"/>
      <c r="H489" s="9"/>
      <c r="I489" s="9"/>
      <c r="J489" s="116"/>
      <c r="K489" s="5">
        <f ca="1">SUBTOTAL(109,'3.2 Fi&amp;Fo'!$K$68)</f>
        <v>0</v>
      </c>
      <c r="L489" s="5">
        <f ca="1">'2. Energie KW.'!F51</f>
        <v>0</v>
      </c>
      <c r="M489" s="9"/>
      <c r="N489" s="179"/>
      <c r="O489" s="22"/>
      <c r="P489" s="30">
        <f>IF(N489&gt;=1,O489*$G$158^(1*M489)/($G$157^(1*M489)),0)</f>
        <v>0</v>
      </c>
      <c r="Q489" s="31">
        <f>IF(N489&gt;=2,O489*$G$158^(2*M489)/($G$157^(2*M489)),0)</f>
        <v>0</v>
      </c>
      <c r="R489" s="31">
        <f>IF(N489&gt;=3,O489*$G$158^(3*M489)/($G$157^(3*M489)),0)</f>
        <v>0</v>
      </c>
      <c r="S489" s="31">
        <f>IF(N489&gt;=4,O489*$G$158^(4*M489)/($G$157^(4*M489)),0)</f>
        <v>0</v>
      </c>
      <c r="T489" s="32">
        <f>IF(N489&gt;=5,O489*$G$158^(5*M489)/($G$157^(5*M489)),0)</f>
        <v>0</v>
      </c>
      <c r="U489" s="37">
        <f t="shared" si="373"/>
        <v>0</v>
      </c>
      <c r="V489" s="40">
        <f t="shared" ref="V489:V510" si="380">G489*$I$169</f>
        <v>0</v>
      </c>
      <c r="W489" s="41">
        <f t="shared" ref="W489:W510" si="381">(I489+J489)*$I$167</f>
        <v>0</v>
      </c>
      <c r="X489" s="43">
        <f t="shared" ca="1" si="376"/>
        <v>0</v>
      </c>
      <c r="Y489" s="46"/>
      <c r="Z489" s="128"/>
      <c r="AA489" s="136">
        <f t="shared" ref="AA489:AA504" ca="1" si="382">K489*$O$151</f>
        <v>0</v>
      </c>
      <c r="AB489" s="3"/>
      <c r="AC489" s="156">
        <f t="shared" ref="AC489:AC493" ca="1" si="383">IF(L489="f",K489,0)</f>
        <v>0</v>
      </c>
      <c r="AD489" s="156">
        <f t="shared" ref="AD489:AD493" ca="1" si="384">IF(L489="s",K489,0)</f>
        <v>0</v>
      </c>
      <c r="AE489" s="156">
        <f t="shared" ref="AE489:AE493" ca="1" si="385">IF(L489="b",K489,0)</f>
        <v>0</v>
      </c>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row>
    <row r="490" spans="2:116" ht="12" thickBot="1" x14ac:dyDescent="0.3">
      <c r="B490" s="1673"/>
      <c r="C490" s="1680"/>
      <c r="D490" s="97" t="str">
        <f>'3.2 Fi&amp;Fo'!$E$69</f>
        <v>Hilfstrom Heizung</v>
      </c>
      <c r="E490" s="97"/>
      <c r="F490" s="9"/>
      <c r="G490" s="116"/>
      <c r="H490" s="9"/>
      <c r="I490" s="9"/>
      <c r="J490" s="116"/>
      <c r="K490" s="5">
        <f>SUBTOTAL(109,'3.2 Fi&amp;Fo'!$K$69)</f>
        <v>186.41715839999998</v>
      </c>
      <c r="L490" s="5" t="str">
        <f>'2. Energie KW.'!F52</f>
        <v>Strom</v>
      </c>
      <c r="M490" s="9"/>
      <c r="N490" s="179"/>
      <c r="O490" s="22"/>
      <c r="P490" s="30">
        <f>IF(N490&gt;=1,O490*$G$158^(1*M490)/($G$157^(1*M490)),0)</f>
        <v>0</v>
      </c>
      <c r="Q490" s="31">
        <f>IF(N490&gt;=2,O490*$G$158^(2*M490)/($G$157^(2*M490)),0)</f>
        <v>0</v>
      </c>
      <c r="R490" s="31">
        <f>IF(N490&gt;=3,O490*$G$158^(3*M490)/($G$157^(3*M490)),0)</f>
        <v>0</v>
      </c>
      <c r="S490" s="31">
        <f>IF(N490&gt;=4,O490*$G$158^(4*M490)/($G$157^(4*M490)),0)</f>
        <v>0</v>
      </c>
      <c r="T490" s="32">
        <f>IF(N490&gt;=5,O490*$G$158^(5*M490)/($G$157^(5*M490)),0)</f>
        <v>0</v>
      </c>
      <c r="U490" s="37">
        <f t="shared" si="373"/>
        <v>0</v>
      </c>
      <c r="V490" s="40">
        <f t="shared" si="380"/>
        <v>0</v>
      </c>
      <c r="W490" s="41">
        <f t="shared" si="381"/>
        <v>0</v>
      </c>
      <c r="X490" s="43">
        <f t="shared" si="376"/>
        <v>6959.6282927508328</v>
      </c>
      <c r="Y490" s="46"/>
      <c r="Z490" s="128"/>
      <c r="AA490" s="136">
        <f t="shared" si="382"/>
        <v>0</v>
      </c>
      <c r="AB490" s="3"/>
      <c r="AC490" s="156">
        <f t="shared" si="383"/>
        <v>0</v>
      </c>
      <c r="AD490" s="156">
        <f t="shared" si="384"/>
        <v>0</v>
      </c>
      <c r="AE490" s="156">
        <f t="shared" si="385"/>
        <v>0</v>
      </c>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row>
    <row r="491" spans="2:116" ht="12" thickBot="1" x14ac:dyDescent="0.3">
      <c r="B491" s="1673"/>
      <c r="C491" s="1680"/>
      <c r="D491" s="97" t="str">
        <f>'3.2 Fi&amp;Fo'!$E$70</f>
        <v>Hilfsstrom Warmwasser</v>
      </c>
      <c r="E491" s="97"/>
      <c r="F491" s="9"/>
      <c r="G491" s="116"/>
      <c r="H491" s="9"/>
      <c r="I491" s="9"/>
      <c r="J491" s="116"/>
      <c r="K491" s="5">
        <f ca="1">SUBTOTAL(109,'3.2 Fi&amp;Fo'!$K$70)</f>
        <v>109.657152</v>
      </c>
      <c r="L491" s="5" t="str">
        <f>'2. Energie KW.'!F53</f>
        <v>Strom</v>
      </c>
      <c r="M491" s="9"/>
      <c r="N491" s="179"/>
      <c r="O491" s="22"/>
      <c r="P491" s="30">
        <f>IF(N491&gt;=1,O491*$G$158^(1*M491)/($G$157^(1*M491)),0)</f>
        <v>0</v>
      </c>
      <c r="Q491" s="31">
        <f>IF(N491&gt;=2,O491*$G$158^(2*M491)/($G$157^(2*M491)),0)</f>
        <v>0</v>
      </c>
      <c r="R491" s="31">
        <f>IF(N491&gt;=3,O491*$G$158^(3*M491)/($G$157^(3*M491)),0)</f>
        <v>0</v>
      </c>
      <c r="S491" s="31">
        <f>IF(N491&gt;=4,O491*$G$158^(4*M491)/($G$157^(4*M491)),0)</f>
        <v>0</v>
      </c>
      <c r="T491" s="32">
        <f>IF(N491&gt;=5,O491*$G$158^(5*M491)/($G$157^(5*M491)),0)</f>
        <v>0</v>
      </c>
      <c r="U491" s="37">
        <f t="shared" si="373"/>
        <v>0</v>
      </c>
      <c r="V491" s="40">
        <f t="shared" si="380"/>
        <v>0</v>
      </c>
      <c r="W491" s="41">
        <f t="shared" si="381"/>
        <v>0</v>
      </c>
      <c r="X491" s="43">
        <f t="shared" ca="1" si="376"/>
        <v>4093.8989957357844</v>
      </c>
      <c r="Y491" s="46"/>
      <c r="Z491" s="128"/>
      <c r="AA491" s="136">
        <f t="shared" ca="1" si="382"/>
        <v>0</v>
      </c>
      <c r="AB491" s="3"/>
      <c r="AC491" s="156">
        <f t="shared" si="383"/>
        <v>0</v>
      </c>
      <c r="AD491" s="156">
        <f t="shared" si="384"/>
        <v>0</v>
      </c>
      <c r="AE491" s="156">
        <f t="shared" si="385"/>
        <v>0</v>
      </c>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row>
    <row r="492" spans="2:116" ht="12" thickBot="1" x14ac:dyDescent="0.3">
      <c r="B492" s="1673"/>
      <c r="C492" s="1680"/>
      <c r="D492" s="97" t="str">
        <f>'3.2 Fi&amp;Fo'!$E$71</f>
        <v>Hilfsstrom Solaranlage</v>
      </c>
      <c r="E492" s="97"/>
      <c r="F492" s="9"/>
      <c r="G492" s="116"/>
      <c r="H492" s="9"/>
      <c r="I492" s="9"/>
      <c r="J492" s="116"/>
      <c r="K492" s="5">
        <f ca="1">SUBTOTAL(109,'3.2 Fi&amp;Fo'!$K$71)</f>
        <v>0</v>
      </c>
      <c r="L492" s="5" t="str">
        <f>'2. Energie KW.'!F54</f>
        <v>Strom</v>
      </c>
      <c r="M492" s="9"/>
      <c r="N492" s="179"/>
      <c r="O492" s="22"/>
      <c r="P492" s="30">
        <f t="shared" ref="P492:P506" si="386">IF(N492&gt;=1,O492*$G$158^(1*M492)/($G$157^(1*M492)),0)</f>
        <v>0</v>
      </c>
      <c r="Q492" s="31">
        <f t="shared" ref="Q492:Q506" si="387">IF(N492&gt;=2,O492*$G$158^(2*M492)/($G$157^(2*M492)),0)</f>
        <v>0</v>
      </c>
      <c r="R492" s="31">
        <f t="shared" ref="R492:R506" si="388">IF(N492&gt;=3,O492*$G$158^(3*M492)/($G$157^(3*M492)),0)</f>
        <v>0</v>
      </c>
      <c r="S492" s="31">
        <f t="shared" ref="S492:S506" si="389">IF(N492&gt;=4,O492*$G$158^(4*M492)/($G$157^(4*M492)),0)</f>
        <v>0</v>
      </c>
      <c r="T492" s="32">
        <f t="shared" ref="T492:T506" si="390">IF(N492&gt;=5,O492*$G$158^(5*M492)/($G$157^(5*M492)),0)</f>
        <v>0</v>
      </c>
      <c r="U492" s="37">
        <f t="shared" si="373"/>
        <v>0</v>
      </c>
      <c r="V492" s="40">
        <f t="shared" si="380"/>
        <v>0</v>
      </c>
      <c r="W492" s="41">
        <f t="shared" si="381"/>
        <v>0</v>
      </c>
      <c r="X492" s="43">
        <f t="shared" ca="1" si="376"/>
        <v>0</v>
      </c>
      <c r="Y492" s="46"/>
      <c r="Z492" s="128"/>
      <c r="AA492" s="136">
        <f t="shared" ca="1" si="382"/>
        <v>0</v>
      </c>
      <c r="AB492" s="3"/>
      <c r="AC492" s="156">
        <f t="shared" si="383"/>
        <v>0</v>
      </c>
      <c r="AD492" s="156">
        <f t="shared" si="384"/>
        <v>0</v>
      </c>
      <c r="AE492" s="156">
        <f t="shared" si="385"/>
        <v>0</v>
      </c>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row>
    <row r="493" spans="2:116" ht="12" thickBot="1" x14ac:dyDescent="0.3">
      <c r="B493" s="1673"/>
      <c r="C493" s="1680"/>
      <c r="D493" s="97" t="str">
        <f>'3.2 Fi&amp;Fo'!$E$72</f>
        <v>Hilfsstrom Klimatisierung</v>
      </c>
      <c r="E493" s="97"/>
      <c r="F493" s="9"/>
      <c r="G493" s="116"/>
      <c r="H493" s="9"/>
      <c r="I493" s="9"/>
      <c r="J493" s="116"/>
      <c r="K493" s="5">
        <f ca="1">SUBTOTAL(109,'3.2 Fi&amp;Fo'!$K$72)</f>
        <v>0</v>
      </c>
      <c r="L493" s="5" t="str">
        <f>'2. Energie KW.'!F55</f>
        <v>Strom</v>
      </c>
      <c r="M493" s="9"/>
      <c r="N493" s="179"/>
      <c r="O493" s="22"/>
      <c r="P493" s="30">
        <f t="shared" si="386"/>
        <v>0</v>
      </c>
      <c r="Q493" s="31">
        <f t="shared" si="387"/>
        <v>0</v>
      </c>
      <c r="R493" s="31">
        <f t="shared" si="388"/>
        <v>0</v>
      </c>
      <c r="S493" s="31">
        <f t="shared" si="389"/>
        <v>0</v>
      </c>
      <c r="T493" s="32">
        <f t="shared" si="390"/>
        <v>0</v>
      </c>
      <c r="U493" s="37">
        <f t="shared" si="373"/>
        <v>0</v>
      </c>
      <c r="V493" s="40">
        <f t="shared" si="380"/>
        <v>0</v>
      </c>
      <c r="W493" s="41">
        <f t="shared" si="381"/>
        <v>0</v>
      </c>
      <c r="X493" s="43">
        <f t="shared" ca="1" si="376"/>
        <v>0</v>
      </c>
      <c r="Y493" s="46"/>
      <c r="Z493" s="128"/>
      <c r="AA493" s="136">
        <f t="shared" ca="1" si="382"/>
        <v>0</v>
      </c>
      <c r="AB493" s="3"/>
      <c r="AC493" s="156">
        <f t="shared" si="383"/>
        <v>0</v>
      </c>
      <c r="AD493" s="156">
        <f t="shared" si="384"/>
        <v>0</v>
      </c>
      <c r="AE493" s="156">
        <f t="shared" si="385"/>
        <v>0</v>
      </c>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row>
    <row r="494" spans="2:116" ht="12" thickBot="1" x14ac:dyDescent="0.3">
      <c r="B494" s="1673"/>
      <c r="C494" s="1680"/>
      <c r="D494" s="97" t="str">
        <f>'3.2 Fi&amp;Fo'!$E$73</f>
        <v>Hilfsstrom Lüftung</v>
      </c>
      <c r="E494" s="97"/>
      <c r="F494" s="9"/>
      <c r="G494" s="116"/>
      <c r="H494" s="9"/>
      <c r="I494" s="9"/>
      <c r="J494" s="116"/>
      <c r="K494" s="5">
        <f ca="1">SUBTOTAL(109,'3.2 Fi&amp;Fo'!$K$73)</f>
        <v>307.04002559999998</v>
      </c>
      <c r="L494" s="5" t="str">
        <f>'2. Energie KW.'!F56</f>
        <v>Strom</v>
      </c>
      <c r="M494" s="9"/>
      <c r="N494" s="179"/>
      <c r="O494" s="22"/>
      <c r="P494" s="30">
        <f t="shared" si="386"/>
        <v>0</v>
      </c>
      <c r="Q494" s="31">
        <f t="shared" si="387"/>
        <v>0</v>
      </c>
      <c r="R494" s="31">
        <f t="shared" si="388"/>
        <v>0</v>
      </c>
      <c r="S494" s="31">
        <f t="shared" si="389"/>
        <v>0</v>
      </c>
      <c r="T494" s="32">
        <f t="shared" si="390"/>
        <v>0</v>
      </c>
      <c r="U494" s="37">
        <f t="shared" si="373"/>
        <v>0</v>
      </c>
      <c r="V494" s="40">
        <f t="shared" si="380"/>
        <v>0</v>
      </c>
      <c r="W494" s="41">
        <f t="shared" si="381"/>
        <v>0</v>
      </c>
      <c r="X494" s="43">
        <f t="shared" ca="1" si="376"/>
        <v>11462.917188060195</v>
      </c>
      <c r="Y494" s="46"/>
      <c r="Z494" s="128"/>
      <c r="AA494" s="136">
        <f t="shared" ca="1" si="382"/>
        <v>0</v>
      </c>
      <c r="AB494" s="3"/>
      <c r="AC494" s="156">
        <f t="shared" si="377"/>
        <v>0</v>
      </c>
      <c r="AD494" s="156">
        <f t="shared" si="378"/>
        <v>0</v>
      </c>
      <c r="AE494" s="156">
        <f t="shared" si="379"/>
        <v>0</v>
      </c>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row>
    <row r="495" spans="2:116" ht="12" thickBot="1" x14ac:dyDescent="0.3">
      <c r="B495" s="1673"/>
      <c r="C495" s="1680"/>
      <c r="D495" s="97" t="str">
        <f>'3.2 Fi&amp;Fo'!$E$74</f>
        <v>Hilfsstrom Kühlung</v>
      </c>
      <c r="E495" s="97"/>
      <c r="F495" s="9"/>
      <c r="G495" s="116"/>
      <c r="H495" s="9"/>
      <c r="I495" s="9"/>
      <c r="J495" s="116"/>
      <c r="K495" s="5">
        <f ca="1">SUBTOTAL(109,'3.2 Fi&amp;Fo'!$K$74)</f>
        <v>0</v>
      </c>
      <c r="L495" s="5" t="str">
        <f>'2. Energie KW.'!F57</f>
        <v>Strom</v>
      </c>
      <c r="M495" s="9"/>
      <c r="N495" s="179"/>
      <c r="O495" s="22"/>
      <c r="P495" s="30">
        <f t="shared" si="386"/>
        <v>0</v>
      </c>
      <c r="Q495" s="31">
        <f t="shared" si="387"/>
        <v>0</v>
      </c>
      <c r="R495" s="31">
        <f t="shared" si="388"/>
        <v>0</v>
      </c>
      <c r="S495" s="31">
        <f t="shared" si="389"/>
        <v>0</v>
      </c>
      <c r="T495" s="32">
        <f t="shared" si="390"/>
        <v>0</v>
      </c>
      <c r="U495" s="37">
        <f t="shared" si="373"/>
        <v>0</v>
      </c>
      <c r="V495" s="40">
        <f t="shared" si="380"/>
        <v>0</v>
      </c>
      <c r="W495" s="41">
        <f t="shared" si="381"/>
        <v>0</v>
      </c>
      <c r="X495" s="43">
        <f t="shared" ca="1" si="376"/>
        <v>0</v>
      </c>
      <c r="Y495" s="46"/>
      <c r="Z495" s="128"/>
      <c r="AA495" s="136">
        <f t="shared" ca="1" si="382"/>
        <v>0</v>
      </c>
      <c r="AB495" s="3"/>
      <c r="AC495" s="156">
        <f t="shared" si="377"/>
        <v>0</v>
      </c>
      <c r="AD495" s="156">
        <f t="shared" si="378"/>
        <v>0</v>
      </c>
      <c r="AE495" s="156">
        <f t="shared" si="379"/>
        <v>0</v>
      </c>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row>
    <row r="496" spans="2:116" ht="12" thickBot="1" x14ac:dyDescent="0.3">
      <c r="B496" s="1673"/>
      <c r="C496" s="1680"/>
      <c r="D496" s="97" t="str">
        <f>'3.2 Fi&amp;Fo'!$E$75</f>
        <v>Beleuchtung</v>
      </c>
      <c r="E496" s="97"/>
      <c r="F496" s="9"/>
      <c r="G496" s="116"/>
      <c r="H496" s="9"/>
      <c r="I496" s="9"/>
      <c r="J496" s="116"/>
      <c r="K496" s="5">
        <f ca="1">SUBTOTAL(109,'3.2 Fi&amp;Fo'!$K$75)</f>
        <v>0</v>
      </c>
      <c r="L496" s="5" t="str">
        <f>'2. Energie KW.'!F58</f>
        <v>Strom</v>
      </c>
      <c r="M496" s="9"/>
      <c r="N496" s="179"/>
      <c r="O496" s="22"/>
      <c r="P496" s="30">
        <f t="shared" si="386"/>
        <v>0</v>
      </c>
      <c r="Q496" s="31">
        <f t="shared" si="387"/>
        <v>0</v>
      </c>
      <c r="R496" s="31">
        <f t="shared" si="388"/>
        <v>0</v>
      </c>
      <c r="S496" s="31">
        <f t="shared" si="389"/>
        <v>0</v>
      </c>
      <c r="T496" s="32">
        <f t="shared" si="390"/>
        <v>0</v>
      </c>
      <c r="U496" s="37">
        <f t="shared" si="373"/>
        <v>0</v>
      </c>
      <c r="V496" s="40">
        <f t="shared" si="380"/>
        <v>0</v>
      </c>
      <c r="W496" s="41">
        <f t="shared" si="381"/>
        <v>0</v>
      </c>
      <c r="X496" s="43">
        <f t="shared" ca="1" si="376"/>
        <v>0</v>
      </c>
      <c r="Y496" s="46"/>
      <c r="Z496" s="128"/>
      <c r="AA496" s="136">
        <f t="shared" ca="1" si="382"/>
        <v>0</v>
      </c>
      <c r="AB496" s="3"/>
      <c r="AC496" s="156">
        <f t="shared" si="377"/>
        <v>0</v>
      </c>
      <c r="AD496" s="156">
        <f t="shared" si="378"/>
        <v>0</v>
      </c>
      <c r="AE496" s="156">
        <f t="shared" si="379"/>
        <v>0</v>
      </c>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row>
    <row r="497" spans="2:63" ht="12" thickBot="1" x14ac:dyDescent="0.3">
      <c r="B497" s="1673"/>
      <c r="C497" s="1680"/>
      <c r="D497" s="97" t="str">
        <f>'3.2 Fi&amp;Fo'!$E$76</f>
        <v>EDV</v>
      </c>
      <c r="E497" s="97"/>
      <c r="F497" s="9"/>
      <c r="G497" s="116"/>
      <c r="H497" s="9"/>
      <c r="I497" s="9"/>
      <c r="J497" s="116"/>
      <c r="K497" s="5">
        <f ca="1">SUBTOTAL(109,'3.2 Fi&amp;Fo'!$K$76)</f>
        <v>0</v>
      </c>
      <c r="L497" s="5" t="str">
        <f>'2. Energie KW.'!F59</f>
        <v>Strom</v>
      </c>
      <c r="M497" s="9"/>
      <c r="N497" s="179"/>
      <c r="O497" s="22"/>
      <c r="P497" s="30">
        <f t="shared" si="386"/>
        <v>0</v>
      </c>
      <c r="Q497" s="31">
        <f t="shared" si="387"/>
        <v>0</v>
      </c>
      <c r="R497" s="31">
        <f t="shared" si="388"/>
        <v>0</v>
      </c>
      <c r="S497" s="31">
        <f t="shared" si="389"/>
        <v>0</v>
      </c>
      <c r="T497" s="32">
        <f t="shared" si="390"/>
        <v>0</v>
      </c>
      <c r="U497" s="37">
        <f t="shared" si="373"/>
        <v>0</v>
      </c>
      <c r="V497" s="40">
        <f t="shared" si="380"/>
        <v>0</v>
      </c>
      <c r="W497" s="41">
        <f t="shared" si="381"/>
        <v>0</v>
      </c>
      <c r="X497" s="43">
        <f t="shared" ca="1" si="376"/>
        <v>0</v>
      </c>
      <c r="Y497" s="46"/>
      <c r="Z497" s="128"/>
      <c r="AA497" s="136">
        <f t="shared" ca="1" si="382"/>
        <v>0</v>
      </c>
      <c r="AB497" s="3"/>
      <c r="AC497" s="156">
        <f t="shared" si="377"/>
        <v>0</v>
      </c>
      <c r="AD497" s="156">
        <f t="shared" si="378"/>
        <v>0</v>
      </c>
      <c r="AE497" s="156">
        <f t="shared" si="379"/>
        <v>0</v>
      </c>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row>
    <row r="498" spans="2:63" ht="12" thickBot="1" x14ac:dyDescent="0.3">
      <c r="B498" s="1673"/>
      <c r="C498" s="1680"/>
      <c r="D498" s="97" t="str">
        <f>'3.2 Fi&amp;Fo'!$E$77</f>
        <v>Haushaltsstrom</v>
      </c>
      <c r="E498" s="97"/>
      <c r="F498" s="9"/>
      <c r="G498" s="116"/>
      <c r="H498" s="9"/>
      <c r="I498" s="9"/>
      <c r="J498" s="116"/>
      <c r="K498" s="5">
        <f ca="1">SUBTOTAL(109,'3.2 Fi&amp;Fo'!$K$77)</f>
        <v>5482.8576000000003</v>
      </c>
      <c r="L498" s="5" t="str">
        <f>'2. Energie KW.'!F60</f>
        <v>Strom</v>
      </c>
      <c r="M498" s="9"/>
      <c r="N498" s="179"/>
      <c r="O498" s="22"/>
      <c r="P498" s="30">
        <f t="shared" si="386"/>
        <v>0</v>
      </c>
      <c r="Q498" s="31">
        <f t="shared" si="387"/>
        <v>0</v>
      </c>
      <c r="R498" s="31">
        <f t="shared" si="388"/>
        <v>0</v>
      </c>
      <c r="S498" s="31">
        <f t="shared" si="389"/>
        <v>0</v>
      </c>
      <c r="T498" s="32">
        <f t="shared" si="390"/>
        <v>0</v>
      </c>
      <c r="U498" s="37">
        <f t="shared" si="373"/>
        <v>0</v>
      </c>
      <c r="V498" s="40">
        <f t="shared" si="380"/>
        <v>0</v>
      </c>
      <c r="W498" s="41">
        <f t="shared" si="381"/>
        <v>0</v>
      </c>
      <c r="X498" s="43">
        <f t="shared" ca="1" si="376"/>
        <v>204694.94978678922</v>
      </c>
      <c r="Y498" s="46"/>
      <c r="Z498" s="128"/>
      <c r="AA498" s="136">
        <f t="shared" ca="1" si="382"/>
        <v>0</v>
      </c>
      <c r="AB498" s="3"/>
      <c r="AC498" s="156">
        <f t="shared" si="377"/>
        <v>0</v>
      </c>
      <c r="AD498" s="156">
        <f t="shared" si="378"/>
        <v>0</v>
      </c>
      <c r="AE498" s="156">
        <f t="shared" si="379"/>
        <v>0</v>
      </c>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row>
    <row r="499" spans="2:63" ht="12" thickBot="1" x14ac:dyDescent="0.3">
      <c r="B499" s="1673"/>
      <c r="C499" s="1680"/>
      <c r="D499" s="97" t="str">
        <f>'3.2 Fi&amp;Fo'!$E$78</f>
        <v>Befeuchten</v>
      </c>
      <c r="E499" s="97"/>
      <c r="F499" s="9"/>
      <c r="G499" s="116"/>
      <c r="H499" s="9"/>
      <c r="I499" s="9"/>
      <c r="J499" s="116"/>
      <c r="K499" s="5">
        <f ca="1">SUBTOTAL(109,'3.2 Fi&amp;Fo'!$K$78)</f>
        <v>0</v>
      </c>
      <c r="L499" s="5">
        <f ca="1">'2. Energie KW.'!F61</f>
        <v>0</v>
      </c>
      <c r="M499" s="9"/>
      <c r="N499" s="179"/>
      <c r="O499" s="22"/>
      <c r="P499" s="30">
        <f t="shared" si="386"/>
        <v>0</v>
      </c>
      <c r="Q499" s="31">
        <f t="shared" si="387"/>
        <v>0</v>
      </c>
      <c r="R499" s="31">
        <f t="shared" si="388"/>
        <v>0</v>
      </c>
      <c r="S499" s="31">
        <f t="shared" si="389"/>
        <v>0</v>
      </c>
      <c r="T499" s="32">
        <f t="shared" si="390"/>
        <v>0</v>
      </c>
      <c r="U499" s="37">
        <f t="shared" si="373"/>
        <v>0</v>
      </c>
      <c r="V499" s="40">
        <f t="shared" si="380"/>
        <v>0</v>
      </c>
      <c r="W499" s="41">
        <f t="shared" si="381"/>
        <v>0</v>
      </c>
      <c r="X499" s="43">
        <f t="shared" ca="1" si="376"/>
        <v>0</v>
      </c>
      <c r="Y499" s="46"/>
      <c r="Z499" s="128"/>
      <c r="AA499" s="136">
        <f t="shared" ca="1" si="382"/>
        <v>0</v>
      </c>
      <c r="AB499" s="3"/>
      <c r="AC499" s="156">
        <f t="shared" ca="1" si="377"/>
        <v>0</v>
      </c>
      <c r="AD499" s="156">
        <f t="shared" ca="1" si="378"/>
        <v>0</v>
      </c>
      <c r="AE499" s="156">
        <f t="shared" ca="1" si="379"/>
        <v>0</v>
      </c>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row>
    <row r="500" spans="2:63" ht="12" thickBot="1" x14ac:dyDescent="0.3">
      <c r="B500" s="1673"/>
      <c r="C500" s="1680"/>
      <c r="D500" s="97" t="str">
        <f>'3.2 Fi&amp;Fo'!$E$79</f>
        <v>Entfeuchten</v>
      </c>
      <c r="E500" s="97"/>
      <c r="F500" s="9"/>
      <c r="G500" s="116"/>
      <c r="H500" s="9"/>
      <c r="I500" s="9"/>
      <c r="J500" s="116"/>
      <c r="K500" s="5">
        <f ca="1">SUBTOTAL(109,'3.2 Fi&amp;Fo'!$K$79)</f>
        <v>0</v>
      </c>
      <c r="L500" s="5">
        <f ca="1">'2. Energie KW.'!F62</f>
        <v>0</v>
      </c>
      <c r="M500" s="9"/>
      <c r="N500" s="179"/>
      <c r="O500" s="22"/>
      <c r="P500" s="30">
        <f t="shared" si="386"/>
        <v>0</v>
      </c>
      <c r="Q500" s="31">
        <f t="shared" si="387"/>
        <v>0</v>
      </c>
      <c r="R500" s="31">
        <f t="shared" si="388"/>
        <v>0</v>
      </c>
      <c r="S500" s="31">
        <f t="shared" si="389"/>
        <v>0</v>
      </c>
      <c r="T500" s="32">
        <f t="shared" si="390"/>
        <v>0</v>
      </c>
      <c r="U500" s="37">
        <f t="shared" si="373"/>
        <v>0</v>
      </c>
      <c r="V500" s="40">
        <f t="shared" si="380"/>
        <v>0</v>
      </c>
      <c r="W500" s="41">
        <f t="shared" si="381"/>
        <v>0</v>
      </c>
      <c r="X500" s="43">
        <f t="shared" ca="1" si="376"/>
        <v>0</v>
      </c>
      <c r="Y500" s="46"/>
      <c r="Z500" s="128"/>
      <c r="AA500" s="136">
        <f t="shared" ca="1" si="382"/>
        <v>0</v>
      </c>
      <c r="AB500" s="3"/>
      <c r="AC500" s="156">
        <f t="shared" ca="1" si="377"/>
        <v>0</v>
      </c>
      <c r="AD500" s="156">
        <f t="shared" ca="1" si="378"/>
        <v>0</v>
      </c>
      <c r="AE500" s="156">
        <f t="shared" ca="1" si="379"/>
        <v>0</v>
      </c>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row>
    <row r="501" spans="2:63" ht="12" thickBot="1" x14ac:dyDescent="0.3">
      <c r="B501" s="1673"/>
      <c r="C501" s="1680"/>
      <c r="D501" s="97" t="str">
        <f>'3.2 Fi&amp;Fo'!$E$80</f>
        <v>Sonstiges</v>
      </c>
      <c r="E501" s="97"/>
      <c r="F501" s="9"/>
      <c r="G501" s="116"/>
      <c r="H501" s="9"/>
      <c r="I501" s="9"/>
      <c r="J501" s="116"/>
      <c r="K501" s="5">
        <f ca="1">SUBTOTAL(109,'3.2 Fi&amp;Fo'!$K$80)</f>
        <v>0</v>
      </c>
      <c r="L501" s="5">
        <f ca="1">'2. Energie KW.'!F63</f>
        <v>0</v>
      </c>
      <c r="M501" s="9"/>
      <c r="N501" s="179"/>
      <c r="O501" s="22"/>
      <c r="P501" s="30">
        <f t="shared" si="386"/>
        <v>0</v>
      </c>
      <c r="Q501" s="31">
        <f t="shared" si="387"/>
        <v>0</v>
      </c>
      <c r="R501" s="31">
        <f t="shared" si="388"/>
        <v>0</v>
      </c>
      <c r="S501" s="31">
        <f t="shared" si="389"/>
        <v>0</v>
      </c>
      <c r="T501" s="32">
        <f t="shared" si="390"/>
        <v>0</v>
      </c>
      <c r="U501" s="37">
        <f t="shared" si="373"/>
        <v>0</v>
      </c>
      <c r="V501" s="40">
        <f t="shared" si="380"/>
        <v>0</v>
      </c>
      <c r="W501" s="41">
        <f t="shared" si="381"/>
        <v>0</v>
      </c>
      <c r="X501" s="43">
        <f t="shared" ca="1" si="376"/>
        <v>0</v>
      </c>
      <c r="Y501" s="46"/>
      <c r="Z501" s="128"/>
      <c r="AA501" s="136">
        <f t="shared" ca="1" si="382"/>
        <v>0</v>
      </c>
      <c r="AB501" s="3"/>
      <c r="AC501" s="156">
        <f t="shared" ca="1" si="377"/>
        <v>0</v>
      </c>
      <c r="AD501" s="156">
        <f t="shared" ca="1" si="378"/>
        <v>0</v>
      </c>
      <c r="AE501" s="156">
        <f t="shared" ca="1" si="379"/>
        <v>0</v>
      </c>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row>
    <row r="502" spans="2:63" ht="12" thickBot="1" x14ac:dyDescent="0.3">
      <c r="B502" s="1673"/>
      <c r="C502" s="1680"/>
      <c r="D502" s="97" t="str">
        <f>'3.2 Fi&amp;Fo'!$E$84</f>
        <v>Eigennutzung PV</v>
      </c>
      <c r="E502" s="97"/>
      <c r="F502" s="9"/>
      <c r="G502" s="116"/>
      <c r="H502" s="9"/>
      <c r="I502" s="9"/>
      <c r="J502" s="116"/>
      <c r="K502" s="5"/>
      <c r="L502" s="5"/>
      <c r="M502" s="9"/>
      <c r="N502" s="179"/>
      <c r="O502" s="22"/>
      <c r="P502" s="30">
        <f t="shared" si="386"/>
        <v>0</v>
      </c>
      <c r="Q502" s="31">
        <f t="shared" si="387"/>
        <v>0</v>
      </c>
      <c r="R502" s="31">
        <f t="shared" si="388"/>
        <v>0</v>
      </c>
      <c r="S502" s="31">
        <f t="shared" si="389"/>
        <v>0</v>
      </c>
      <c r="T502" s="32">
        <f t="shared" si="390"/>
        <v>0</v>
      </c>
      <c r="U502" s="37">
        <f t="shared" si="373"/>
        <v>0</v>
      </c>
      <c r="V502" s="40">
        <f t="shared" si="380"/>
        <v>0</v>
      </c>
      <c r="W502" s="41">
        <f t="shared" si="381"/>
        <v>0</v>
      </c>
      <c r="X502" s="43">
        <f t="shared" si="376"/>
        <v>0</v>
      </c>
      <c r="Y502" s="46"/>
      <c r="Z502" s="128"/>
      <c r="AA502" s="136">
        <f t="shared" si="382"/>
        <v>0</v>
      </c>
      <c r="AB502" s="3"/>
      <c r="AC502" s="156">
        <f t="shared" si="377"/>
        <v>0</v>
      </c>
      <c r="AD502" s="156">
        <f t="shared" si="378"/>
        <v>0</v>
      </c>
      <c r="AE502" s="156">
        <f t="shared" si="379"/>
        <v>0</v>
      </c>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row>
    <row r="503" spans="2:63" ht="12" thickBot="1" x14ac:dyDescent="0.3">
      <c r="B503" s="1673"/>
      <c r="C503" s="1680"/>
      <c r="D503" s="97" t="str">
        <f>'3.2 Fi&amp;Fo'!$E$85</f>
        <v>Stromeinspeisung PV</v>
      </c>
      <c r="E503" s="97"/>
      <c r="F503" s="9"/>
      <c r="G503" s="116"/>
      <c r="H503" s="9"/>
      <c r="I503" s="9"/>
      <c r="J503" s="116"/>
      <c r="K503" s="5"/>
      <c r="L503" s="5"/>
      <c r="M503" s="9"/>
      <c r="N503" s="179"/>
      <c r="O503" s="22"/>
      <c r="P503" s="30">
        <f t="shared" si="386"/>
        <v>0</v>
      </c>
      <c r="Q503" s="31">
        <f t="shared" si="387"/>
        <v>0</v>
      </c>
      <c r="R503" s="31">
        <f t="shared" si="388"/>
        <v>0</v>
      </c>
      <c r="S503" s="31">
        <f t="shared" si="389"/>
        <v>0</v>
      </c>
      <c r="T503" s="32">
        <f t="shared" si="390"/>
        <v>0</v>
      </c>
      <c r="U503" s="37">
        <f t="shared" si="373"/>
        <v>0</v>
      </c>
      <c r="V503" s="40">
        <f t="shared" si="380"/>
        <v>0</v>
      </c>
      <c r="W503" s="41">
        <f t="shared" si="381"/>
        <v>0</v>
      </c>
      <c r="X503" s="43">
        <f t="shared" si="376"/>
        <v>0</v>
      </c>
      <c r="Y503" s="46"/>
      <c r="Z503" s="128"/>
      <c r="AA503" s="136">
        <f t="shared" si="382"/>
        <v>0</v>
      </c>
      <c r="AB503" s="3"/>
      <c r="AC503" s="156">
        <f t="shared" si="377"/>
        <v>0</v>
      </c>
      <c r="AD503" s="156">
        <f t="shared" si="378"/>
        <v>0</v>
      </c>
      <c r="AE503" s="156">
        <f t="shared" si="379"/>
        <v>0</v>
      </c>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row>
    <row r="504" spans="2:63" ht="12" thickBot="1" x14ac:dyDescent="0.3">
      <c r="B504" s="1673"/>
      <c r="C504" s="1680"/>
      <c r="D504" s="16" t="str">
        <f>'3.2 Fi&amp;Fo'!$D$89</f>
        <v>Wasser und Abwasser</v>
      </c>
      <c r="E504" s="97"/>
      <c r="F504" s="9"/>
      <c r="G504" s="116"/>
      <c r="H504" s="9"/>
      <c r="I504" s="9"/>
      <c r="J504" s="5">
        <f>SUBTOTAL(109,'3.2 Fi&amp;Fo'!$K$89)</f>
        <v>0</v>
      </c>
      <c r="K504" s="5"/>
      <c r="L504" s="5"/>
      <c r="M504" s="9"/>
      <c r="N504" s="179"/>
      <c r="O504" s="22"/>
      <c r="P504" s="30">
        <f t="shared" si="386"/>
        <v>0</v>
      </c>
      <c r="Q504" s="31">
        <f t="shared" si="387"/>
        <v>0</v>
      </c>
      <c r="R504" s="31">
        <f t="shared" si="388"/>
        <v>0</v>
      </c>
      <c r="S504" s="31">
        <f t="shared" si="389"/>
        <v>0</v>
      </c>
      <c r="T504" s="32">
        <f t="shared" si="390"/>
        <v>0</v>
      </c>
      <c r="U504" s="37">
        <f t="shared" si="373"/>
        <v>0</v>
      </c>
      <c r="V504" s="40">
        <f t="shared" si="380"/>
        <v>0</v>
      </c>
      <c r="W504" s="41">
        <f t="shared" si="381"/>
        <v>0</v>
      </c>
      <c r="X504" s="43"/>
      <c r="Y504" s="46"/>
      <c r="Z504" s="128"/>
      <c r="AA504" s="136">
        <f t="shared" si="382"/>
        <v>0</v>
      </c>
      <c r="AB504" s="3"/>
      <c r="AC504" s="157">
        <f t="shared" si="377"/>
        <v>0</v>
      </c>
      <c r="AD504" s="157">
        <f t="shared" si="378"/>
        <v>0</v>
      </c>
      <c r="AE504" s="157">
        <f t="shared" si="379"/>
        <v>0</v>
      </c>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row>
    <row r="505" spans="2:63" ht="12" thickBot="1" x14ac:dyDescent="0.3">
      <c r="B505" s="1673"/>
      <c r="C505" s="1680"/>
      <c r="D505" s="16" t="str">
        <f>'3.2 Fi&amp;Fo'!$D$93</f>
        <v>Reinigung und Pflege</v>
      </c>
      <c r="E505" s="97"/>
      <c r="F505" s="9"/>
      <c r="G505" s="116"/>
      <c r="H505" s="9"/>
      <c r="I505" s="9"/>
      <c r="J505" s="5">
        <f>SUBTOTAL(109,'3.2 Fi&amp;Fo'!$K$93)</f>
        <v>0</v>
      </c>
      <c r="K505" s="116"/>
      <c r="L505" s="116"/>
      <c r="M505" s="9"/>
      <c r="N505" s="179"/>
      <c r="O505" s="22"/>
      <c r="P505" s="30">
        <f t="shared" si="386"/>
        <v>0</v>
      </c>
      <c r="Q505" s="31">
        <f t="shared" si="387"/>
        <v>0</v>
      </c>
      <c r="R505" s="31">
        <f t="shared" si="388"/>
        <v>0</v>
      </c>
      <c r="S505" s="31">
        <f t="shared" si="389"/>
        <v>0</v>
      </c>
      <c r="T505" s="32">
        <f t="shared" si="390"/>
        <v>0</v>
      </c>
      <c r="U505" s="37">
        <f t="shared" si="373"/>
        <v>0</v>
      </c>
      <c r="V505" s="40">
        <f t="shared" si="380"/>
        <v>0</v>
      </c>
      <c r="W505" s="41">
        <f t="shared" si="381"/>
        <v>0</v>
      </c>
      <c r="X505" s="43"/>
      <c r="Y505" s="46"/>
      <c r="Z505" s="129"/>
      <c r="AA505" s="155"/>
      <c r="AB505" s="161" t="s">
        <v>285</v>
      </c>
      <c r="AC505" s="158">
        <f ca="1">SUM(AC483:AC504)</f>
        <v>0</v>
      </c>
      <c r="AD505" s="159">
        <f ca="1">SUM(AD483:AD504)</f>
        <v>0</v>
      </c>
      <c r="AE505" s="160">
        <f ca="1">SUM(AE483:AE504)</f>
        <v>0</v>
      </c>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row>
    <row r="506" spans="2:63" ht="12" thickBot="1" x14ac:dyDescent="0.3">
      <c r="B506" s="1673"/>
      <c r="C506" s="1680"/>
      <c r="D506" s="16" t="s">
        <v>344</v>
      </c>
      <c r="E506" s="97"/>
      <c r="F506" s="9"/>
      <c r="G506" s="116"/>
      <c r="H506" s="9"/>
      <c r="I506" s="9"/>
      <c r="J506" s="5">
        <f>SUBTOTAL(109,'3.2 Fi&amp;Fo'!$K$100)</f>
        <v>0</v>
      </c>
      <c r="K506" s="116"/>
      <c r="L506" s="116"/>
      <c r="M506" s="9"/>
      <c r="N506" s="179"/>
      <c r="O506" s="22"/>
      <c r="P506" s="30">
        <f t="shared" si="386"/>
        <v>0</v>
      </c>
      <c r="Q506" s="31">
        <f t="shared" si="387"/>
        <v>0</v>
      </c>
      <c r="R506" s="31">
        <f t="shared" si="388"/>
        <v>0</v>
      </c>
      <c r="S506" s="31">
        <f t="shared" si="389"/>
        <v>0</v>
      </c>
      <c r="T506" s="32">
        <f t="shared" si="390"/>
        <v>0</v>
      </c>
      <c r="U506" s="37">
        <f t="shared" si="373"/>
        <v>0</v>
      </c>
      <c r="V506" s="40">
        <f t="shared" si="380"/>
        <v>0</v>
      </c>
      <c r="W506" s="41">
        <f t="shared" si="381"/>
        <v>0</v>
      </c>
      <c r="X506" s="43"/>
      <c r="Y506" s="46"/>
      <c r="Z506" s="129"/>
      <c r="AA506" s="136"/>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row>
    <row r="507" spans="2:63" ht="12" thickBot="1" x14ac:dyDescent="0.3">
      <c r="B507" s="1673"/>
      <c r="C507" s="1680"/>
      <c r="D507" s="97" t="s">
        <v>272</v>
      </c>
      <c r="E507" s="97"/>
      <c r="F507" s="9"/>
      <c r="G507" s="116"/>
      <c r="H507" s="9"/>
      <c r="I507" s="9"/>
      <c r="J507" s="5">
        <f>SUBTOTAL(109,'3.2 Fi&amp;Fo'!$K$104)</f>
        <v>0</v>
      </c>
      <c r="K507" s="116"/>
      <c r="L507" s="116"/>
      <c r="M507" s="9"/>
      <c r="N507" s="179"/>
      <c r="O507" s="22"/>
      <c r="P507" s="30">
        <f>IF(N507&gt;=1,O507*$G$158^(1*M507)/($G$157^(1*M507)),0)</f>
        <v>0</v>
      </c>
      <c r="Q507" s="31">
        <f>IF(N507&gt;=2,O507*$G$158^(2*M507)/($G$157^(2*M507)),0)</f>
        <v>0</v>
      </c>
      <c r="R507" s="31">
        <f>IF(N507&gt;=3,O507*$G$158^(3*M507)/($G$157^(3*M507)),0)</f>
        <v>0</v>
      </c>
      <c r="S507" s="31">
        <f>IF(N507&gt;=4,O507*$G$158^(4*M507)/($G$157^(4*M507)),0)</f>
        <v>0</v>
      </c>
      <c r="T507" s="32">
        <f>IF(N507&gt;=5,O507*$G$158^(5*M507)/($G$157^(5*M507)),0)</f>
        <v>0</v>
      </c>
      <c r="U507" s="37">
        <f t="shared" si="373"/>
        <v>0</v>
      </c>
      <c r="V507" s="40">
        <f t="shared" si="380"/>
        <v>0</v>
      </c>
      <c r="W507" s="41">
        <f t="shared" si="381"/>
        <v>0</v>
      </c>
      <c r="X507" s="43"/>
      <c r="Y507" s="46"/>
      <c r="Z507" s="129"/>
      <c r="AA507" s="136"/>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row>
    <row r="508" spans="2:63" ht="12" thickBot="1" x14ac:dyDescent="0.3">
      <c r="B508" s="1673"/>
      <c r="C508" s="1680"/>
      <c r="D508" s="97" t="s">
        <v>272</v>
      </c>
      <c r="E508" s="97"/>
      <c r="F508" s="9"/>
      <c r="G508" s="116"/>
      <c r="H508" s="9"/>
      <c r="I508" s="9"/>
      <c r="J508" s="5">
        <f>SUBTOTAL(109,'3.2 Fi&amp;Fo'!$K$105)</f>
        <v>0</v>
      </c>
      <c r="K508" s="116"/>
      <c r="L508" s="116"/>
      <c r="M508" s="9"/>
      <c r="N508" s="179"/>
      <c r="O508" s="22"/>
      <c r="P508" s="30">
        <f>IF(N508&gt;=1,O508*$G$158^(1*M508)/($G$157^(1*M508)),0)</f>
        <v>0</v>
      </c>
      <c r="Q508" s="31">
        <f>IF(N508&gt;=2,O508*$G$158^(2*M508)/($G$157^(2*M508)),0)</f>
        <v>0</v>
      </c>
      <c r="R508" s="31">
        <f>IF(N508&gt;=3,O508*$G$158^(3*M508)/($G$157^(3*M508)),0)</f>
        <v>0</v>
      </c>
      <c r="S508" s="31">
        <f>IF(N508&gt;=4,O508*$G$158^(4*M508)/($G$157^(4*M508)),0)</f>
        <v>0</v>
      </c>
      <c r="T508" s="32">
        <f>IF(N508&gt;=5,O508*$G$158^(5*M508)/($G$157^(5*M508)),0)</f>
        <v>0</v>
      </c>
      <c r="U508" s="37">
        <f t="shared" si="373"/>
        <v>0</v>
      </c>
      <c r="V508" s="40">
        <f t="shared" si="380"/>
        <v>0</v>
      </c>
      <c r="W508" s="41">
        <f t="shared" si="381"/>
        <v>0</v>
      </c>
      <c r="X508" s="43"/>
      <c r="Y508" s="46"/>
      <c r="Z508" s="129"/>
      <c r="AA508" s="136"/>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row>
    <row r="509" spans="2:63" ht="12" thickBot="1" x14ac:dyDescent="0.3">
      <c r="B509" s="1673"/>
      <c r="C509" s="1680"/>
      <c r="D509" s="98" t="s">
        <v>272</v>
      </c>
      <c r="E509" s="97"/>
      <c r="F509" s="19"/>
      <c r="G509" s="63"/>
      <c r="H509" s="19"/>
      <c r="I509" s="19"/>
      <c r="J509" s="5">
        <f>SUBTOTAL(109,'3.2 Fi&amp;Fo'!$K$106)</f>
        <v>0</v>
      </c>
      <c r="K509" s="116"/>
      <c r="L509" s="116"/>
      <c r="M509" s="9"/>
      <c r="N509" s="179"/>
      <c r="O509" s="22"/>
      <c r="P509" s="30">
        <f>IF(N509&gt;=1,O509*$G$158^(1*M509)/($G$157^(1*M509)),0)</f>
        <v>0</v>
      </c>
      <c r="Q509" s="31">
        <f>IF(N509&gt;=2,O509*$G$158^(2*M509)/($G$157^(2*M509)),0)</f>
        <v>0</v>
      </c>
      <c r="R509" s="31">
        <f>IF(N509&gt;=3,O509*$G$158^(3*M509)/($G$157^(3*M509)),0)</f>
        <v>0</v>
      </c>
      <c r="S509" s="31">
        <f>IF(N509&gt;=4,O509*$G$158^(4*M509)/($G$157^(4*M509)),0)</f>
        <v>0</v>
      </c>
      <c r="T509" s="32">
        <f>IF(N509&gt;=5,O509*$G$158^(5*M509)/($G$157^(5*M509)),0)</f>
        <v>0</v>
      </c>
      <c r="U509" s="37">
        <f t="shared" si="373"/>
        <v>0</v>
      </c>
      <c r="V509" s="40">
        <f t="shared" si="380"/>
        <v>0</v>
      </c>
      <c r="W509" s="41">
        <f t="shared" si="381"/>
        <v>0</v>
      </c>
      <c r="X509" s="43"/>
      <c r="Y509" s="46"/>
      <c r="Z509" s="129"/>
      <c r="AA509" s="136"/>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row>
    <row r="510" spans="2:63" ht="12" thickBot="1" x14ac:dyDescent="0.3">
      <c r="B510" s="1674"/>
      <c r="C510" s="1681"/>
      <c r="D510" s="330" t="s">
        <v>406</v>
      </c>
      <c r="E510" s="97"/>
      <c r="F510" s="17"/>
      <c r="G510" s="17"/>
      <c r="H510" s="17"/>
      <c r="I510" s="17"/>
      <c r="J510" s="5">
        <f>-SUBTOTAL(109,'3.2 Fi&amp;Fo'!$K$110)</f>
        <v>0</v>
      </c>
      <c r="K510" s="17"/>
      <c r="L510" s="17"/>
      <c r="M510" s="19"/>
      <c r="N510" s="180"/>
      <c r="O510" s="23"/>
      <c r="P510" s="30">
        <f>IF(N510&gt;=1,O510*$G$158^(1*M510)/($G$157^(1*M510)),0)</f>
        <v>0</v>
      </c>
      <c r="Q510" s="31">
        <f>IF(N510&gt;=2,O510*$G$158^(2*M510)/($G$157^(2*M510)),0)</f>
        <v>0</v>
      </c>
      <c r="R510" s="31">
        <f>IF(N510&gt;=3,O510*$G$158^(3*M510)/($G$157^(3*M510)),0)</f>
        <v>0</v>
      </c>
      <c r="S510" s="31">
        <f>IF(N510&gt;=4,O510*$G$158^(4*M510)/($G$157^(4*M510)),0)</f>
        <v>0</v>
      </c>
      <c r="T510" s="32">
        <f>IF(N510&gt;=5,O510*$G$158^(5*M510)/($G$157^(5*M510)),0)</f>
        <v>0</v>
      </c>
      <c r="U510" s="37">
        <f t="shared" si="373"/>
        <v>0</v>
      </c>
      <c r="V510" s="40">
        <f t="shared" si="380"/>
        <v>0</v>
      </c>
      <c r="W510" s="41">
        <f t="shared" si="381"/>
        <v>0</v>
      </c>
      <c r="X510" s="44"/>
      <c r="Y510" s="47"/>
      <c r="Z510" s="130"/>
      <c r="AA510" s="134"/>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row>
    <row r="511" spans="2:63" x14ac:dyDescent="0.25">
      <c r="G511" s="300" t="str">
        <f t="shared" ref="G511" si="391">G371</f>
        <v>Kosten für Instandsetzung</v>
      </c>
      <c r="I511" s="300" t="str">
        <f t="shared" ref="I511:K511" si="392">I371</f>
        <v>Kosten für Wartung</v>
      </c>
      <c r="J511" s="300" t="str">
        <f t="shared" si="392"/>
        <v>Betriebsgebundene Kosten</v>
      </c>
      <c r="K511" s="300" t="str">
        <f t="shared" si="392"/>
        <v>Verbrauchsgebunden Kosten</v>
      </c>
    </row>
    <row r="512" spans="2:63" x14ac:dyDescent="0.25">
      <c r="D512" s="300" t="s">
        <v>581</v>
      </c>
      <c r="G512" s="300">
        <f t="shared" ref="G512" ca="1" si="393">SUM(G373:G510)</f>
        <v>0</v>
      </c>
      <c r="I512" s="300">
        <f t="shared" ref="I512:K512" ca="1" si="394">SUM(I373:I510)</f>
        <v>3365.9</v>
      </c>
      <c r="J512" s="300">
        <f t="shared" ca="1" si="394"/>
        <v>2996.3999999999996</v>
      </c>
      <c r="K512" s="300">
        <f t="shared" ca="1" si="394"/>
        <v>11460.111577200001</v>
      </c>
    </row>
    <row r="515" spans="2:108" s="112" customFormat="1" ht="11.25" customHeight="1" x14ac:dyDescent="0.25">
      <c r="CR515" s="300"/>
      <c r="CS515" s="300"/>
      <c r="CT515" s="300"/>
      <c r="CU515" s="300"/>
      <c r="CV515" s="300"/>
      <c r="CW515" s="300"/>
      <c r="CX515" s="300"/>
      <c r="CY515" s="300"/>
      <c r="CZ515" s="300"/>
      <c r="DA515" s="300"/>
      <c r="DB515" s="300"/>
      <c r="DC515" s="300"/>
      <c r="DD515" s="300"/>
    </row>
    <row r="516" spans="2:108" s="112" customFormat="1" x14ac:dyDescent="0.25"/>
    <row r="517" spans="2:108" s="112" customFormat="1" ht="11.25" customHeight="1" x14ac:dyDescent="0.25"/>
    <row r="518" spans="2:108" s="112" customFormat="1" ht="12" customHeight="1" x14ac:dyDescent="0.25">
      <c r="Q518" s="154"/>
    </row>
    <row r="519" spans="2:108" s="112" customFormat="1" x14ac:dyDescent="0.25"/>
    <row r="520" spans="2:108" s="112" customFormat="1" x14ac:dyDescent="0.25"/>
    <row r="521" spans="2:108" s="112" customFormat="1" x14ac:dyDescent="0.25"/>
    <row r="522" spans="2:108" x14ac:dyDescent="0.25">
      <c r="CR522" s="112"/>
      <c r="CS522" s="112"/>
      <c r="CT522" s="112"/>
      <c r="CU522" s="112"/>
      <c r="CV522" s="112"/>
      <c r="CW522" s="112"/>
      <c r="CX522" s="112"/>
      <c r="CY522" s="112"/>
      <c r="CZ522" s="112"/>
      <c r="DA522" s="112"/>
      <c r="DB522" s="112"/>
      <c r="DC522" s="112"/>
      <c r="DD522" s="112"/>
    </row>
    <row r="523" spans="2:108" ht="12" thickBot="1" x14ac:dyDescent="0.3"/>
    <row r="524" spans="2:108" x14ac:dyDescent="0.25">
      <c r="B524" s="1672" t="str">
        <f>E8</f>
        <v>PHSol</v>
      </c>
      <c r="C524" s="1675"/>
      <c r="D524" s="1676"/>
      <c r="E524" s="1676"/>
      <c r="F524" s="1676"/>
      <c r="G524" s="1676"/>
      <c r="H524" s="1676"/>
      <c r="I524" s="1676"/>
      <c r="J524" s="1676"/>
      <c r="K524" s="1676"/>
      <c r="L524" s="1676"/>
      <c r="M524" s="1676"/>
      <c r="N524" s="1676"/>
      <c r="O524" s="1676"/>
      <c r="P524" s="1676"/>
      <c r="Q524" s="1676"/>
      <c r="R524" s="1676"/>
      <c r="S524" s="1676"/>
      <c r="T524" s="1676"/>
      <c r="U524" s="1676"/>
      <c r="V524" s="1676"/>
      <c r="W524" s="1676"/>
      <c r="X524" s="1676"/>
      <c r="Y524" s="1676"/>
      <c r="Z524" s="1676"/>
      <c r="AA524" s="1676"/>
      <c r="AB524" s="1676"/>
      <c r="AC524" s="1676"/>
      <c r="AD524" s="1676"/>
      <c r="AE524" s="1676"/>
      <c r="AF524" s="1676"/>
      <c r="AG524" s="1676"/>
      <c r="AH524" s="1676"/>
      <c r="AI524" s="1676"/>
      <c r="AJ524" s="1676"/>
      <c r="AK524" s="1676"/>
      <c r="AL524" s="1676"/>
      <c r="AM524" s="1676"/>
      <c r="AN524" s="1676"/>
      <c r="AO524" s="1676"/>
      <c r="AP524" s="1676"/>
      <c r="AQ524" s="1676"/>
      <c r="AR524" s="1676"/>
      <c r="AS524" s="1676"/>
      <c r="AT524" s="1676"/>
      <c r="AU524" s="1676"/>
      <c r="AV524" s="1676"/>
      <c r="AW524" s="1676"/>
      <c r="AX524" s="1676"/>
      <c r="AY524" s="1676"/>
      <c r="AZ524" s="1676"/>
      <c r="BA524" s="1676"/>
      <c r="BB524" s="1676"/>
      <c r="BC524" s="1676"/>
      <c r="BD524" s="1676"/>
      <c r="BE524" s="1676"/>
      <c r="BF524" s="1676"/>
      <c r="BG524" s="1676"/>
      <c r="BH524" s="1676"/>
      <c r="BI524" s="1676"/>
      <c r="BJ524" s="1676"/>
      <c r="BK524" s="1676"/>
      <c r="BL524" s="1676"/>
    </row>
    <row r="525" spans="2:108" x14ac:dyDescent="0.25">
      <c r="B525" s="1673"/>
      <c r="C525" s="3"/>
      <c r="D525" s="3"/>
      <c r="E525" s="3"/>
      <c r="F525" s="3"/>
      <c r="G525" s="3"/>
      <c r="H525" s="3"/>
      <c r="I525" s="3"/>
      <c r="J525" s="3"/>
      <c r="K525" s="3"/>
      <c r="L525" s="3"/>
      <c r="M525" s="3"/>
      <c r="N525" s="3"/>
      <c r="O525" s="3"/>
      <c r="P525" s="3"/>
      <c r="Q525" s="3"/>
      <c r="R525" s="3"/>
      <c r="S525" s="3"/>
      <c r="T525" s="3"/>
      <c r="U525" s="3"/>
      <c r="V525" s="96"/>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row>
    <row r="526" spans="2:108" x14ac:dyDescent="0.25">
      <c r="B526" s="1673"/>
      <c r="C526" s="3"/>
      <c r="D526" s="3"/>
      <c r="E526" s="3"/>
      <c r="F526" s="3"/>
      <c r="G526" s="3"/>
      <c r="H526" s="3"/>
      <c r="I526" s="3"/>
      <c r="J526" s="3"/>
      <c r="K526" s="3"/>
      <c r="L526" s="3"/>
      <c r="M526" s="3"/>
      <c r="N526" s="3"/>
      <c r="O526" s="3"/>
      <c r="P526" s="3"/>
      <c r="Q526" s="3"/>
      <c r="R526" s="3"/>
      <c r="S526" s="3"/>
      <c r="T526" s="3"/>
      <c r="U526" s="3"/>
      <c r="V526" s="96"/>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row>
    <row r="527" spans="2:108" x14ac:dyDescent="0.25">
      <c r="B527" s="1673"/>
      <c r="C527" s="3"/>
      <c r="D527" s="3"/>
      <c r="E527" s="3"/>
      <c r="F527" s="3"/>
      <c r="G527" s="61"/>
      <c r="H527" s="3"/>
      <c r="I527" s="3"/>
      <c r="J527" s="3"/>
      <c r="K527" s="3"/>
      <c r="L527" s="3"/>
      <c r="M527" s="3"/>
      <c r="N527" s="3"/>
      <c r="O527" s="3"/>
      <c r="P527" s="3"/>
      <c r="Q527" s="3"/>
      <c r="R527" s="3"/>
      <c r="S527" s="3"/>
      <c r="T527" s="3"/>
      <c r="U527" s="3"/>
      <c r="V527" s="96"/>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row>
    <row r="528" spans="2:108" x14ac:dyDescent="0.25">
      <c r="B528" s="1673"/>
      <c r="C528" s="3"/>
      <c r="D528" s="3"/>
      <c r="E528" s="3"/>
      <c r="F528" s="3"/>
      <c r="G528" s="3"/>
      <c r="H528" s="3"/>
      <c r="I528" s="3"/>
      <c r="J528" s="3"/>
      <c r="K528" s="3"/>
      <c r="L528" s="3"/>
      <c r="M528" s="3"/>
      <c r="N528" s="3"/>
      <c r="O528" s="3"/>
      <c r="P528" s="3"/>
      <c r="Q528" s="3"/>
      <c r="R528" s="3"/>
      <c r="S528" s="3"/>
      <c r="T528" s="3"/>
      <c r="U528" s="3"/>
      <c r="V528" s="96"/>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row>
    <row r="529" spans="2:116" x14ac:dyDescent="0.25">
      <c r="B529" s="1673"/>
      <c r="C529" s="3"/>
      <c r="D529" s="3"/>
      <c r="E529" s="3"/>
      <c r="F529" s="3"/>
      <c r="G529" s="3"/>
      <c r="H529" s="3"/>
      <c r="I529" s="3"/>
      <c r="J529" s="3"/>
      <c r="K529" s="3"/>
      <c r="L529" s="3"/>
      <c r="M529" s="3"/>
      <c r="N529" s="3"/>
      <c r="O529" s="3"/>
      <c r="P529" s="3"/>
      <c r="Q529" s="3"/>
      <c r="R529" s="3"/>
      <c r="S529" s="3"/>
      <c r="T529" s="3"/>
      <c r="U529" s="3"/>
      <c r="V529" s="96"/>
      <c r="W529" s="3"/>
      <c r="X529" s="3"/>
      <c r="Y529" s="3"/>
      <c r="Z529" s="59"/>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row>
    <row r="530" spans="2:116" x14ac:dyDescent="0.25">
      <c r="B530" s="1673"/>
      <c r="C530" s="3"/>
      <c r="D530" s="3"/>
      <c r="E530" s="3"/>
      <c r="F530" s="3"/>
      <c r="G530" s="3"/>
      <c r="H530" s="3"/>
      <c r="I530" s="3"/>
      <c r="J530" s="3"/>
      <c r="K530" s="3"/>
      <c r="L530" s="3"/>
      <c r="M530" s="3"/>
      <c r="N530" s="3"/>
      <c r="O530" s="3"/>
      <c r="P530" s="3"/>
      <c r="Q530" s="3"/>
      <c r="R530" s="3"/>
      <c r="S530" s="3"/>
      <c r="T530" s="3"/>
      <c r="U530" s="3"/>
      <c r="V530" s="96"/>
      <c r="W530" s="3"/>
      <c r="X530" s="3"/>
      <c r="Y530" s="3"/>
      <c r="Z530" s="3"/>
      <c r="AA530" s="59"/>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row>
    <row r="531" spans="2:116" x14ac:dyDescent="0.25">
      <c r="B531" s="1673"/>
      <c r="C531" s="3"/>
      <c r="D531" s="3"/>
      <c r="E531" s="3"/>
      <c r="F531" s="3"/>
      <c r="G531" s="3"/>
      <c r="H531" s="3"/>
      <c r="I531" s="3"/>
      <c r="J531" s="3"/>
      <c r="K531" s="3"/>
      <c r="L531" s="3"/>
      <c r="M531" s="3"/>
      <c r="N531" s="3"/>
      <c r="O531" s="3"/>
      <c r="P531" s="3"/>
      <c r="Q531" s="3"/>
      <c r="R531" s="3"/>
      <c r="S531" s="3"/>
      <c r="T531" s="3"/>
      <c r="U531" s="3"/>
      <c r="V531" s="96"/>
      <c r="W531" s="3"/>
      <c r="X531" s="3"/>
      <c r="Y531" s="3"/>
      <c r="Z531" s="3"/>
      <c r="AA531" s="59"/>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row>
    <row r="532" spans="2:116" x14ac:dyDescent="0.25">
      <c r="B532" s="1673"/>
      <c r="C532" s="3"/>
      <c r="D532" s="3"/>
      <c r="E532" s="3"/>
      <c r="F532" s="3"/>
      <c r="G532" s="3"/>
      <c r="H532" s="3"/>
      <c r="I532" s="3"/>
      <c r="J532" s="3"/>
      <c r="K532" s="3"/>
      <c r="L532" s="3"/>
      <c r="M532" s="3"/>
      <c r="N532" s="3"/>
      <c r="O532" s="3"/>
      <c r="P532" s="3"/>
      <c r="Q532" s="3"/>
      <c r="R532" s="3"/>
      <c r="S532" s="3"/>
      <c r="T532" s="3"/>
      <c r="U532" s="3"/>
      <c r="V532" s="96"/>
      <c r="W532" s="3"/>
      <c r="X532" s="3"/>
      <c r="Y532" s="3"/>
      <c r="Z532" s="59"/>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row>
    <row r="533" spans="2:116" x14ac:dyDescent="0.25">
      <c r="B533" s="1673"/>
      <c r="C533" s="3"/>
      <c r="D533" s="3"/>
      <c r="E533" s="3"/>
      <c r="F533" s="3"/>
      <c r="G533" s="3"/>
      <c r="H533" s="3"/>
      <c r="I533" s="3"/>
      <c r="J533" s="3"/>
      <c r="K533" s="3"/>
      <c r="L533" s="3"/>
      <c r="M533" s="3"/>
      <c r="N533" s="3"/>
      <c r="O533" s="3"/>
      <c r="P533" s="3"/>
      <c r="Q533" s="3"/>
      <c r="R533" s="3"/>
      <c r="S533" s="3"/>
      <c r="T533" s="3"/>
      <c r="U533" s="3"/>
      <c r="V533" s="96"/>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row>
    <row r="534" spans="2:116" x14ac:dyDescent="0.25">
      <c r="B534" s="1673"/>
      <c r="C534" s="3"/>
      <c r="D534" s="3"/>
      <c r="E534" s="3"/>
      <c r="F534" s="3"/>
      <c r="G534" s="3"/>
      <c r="H534" s="3"/>
      <c r="I534" s="3"/>
      <c r="J534" s="3"/>
      <c r="K534" s="3"/>
      <c r="L534" s="3"/>
      <c r="M534" s="3"/>
      <c r="N534" s="3"/>
      <c r="O534" s="3"/>
      <c r="P534" s="3"/>
      <c r="Q534" s="3"/>
      <c r="R534" s="3"/>
      <c r="S534" s="3"/>
      <c r="T534" s="3"/>
      <c r="U534" s="3"/>
      <c r="V534" s="96"/>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row>
    <row r="535" spans="2:116" x14ac:dyDescent="0.25">
      <c r="B535" s="1673"/>
      <c r="C535" s="3"/>
      <c r="D535" s="3"/>
      <c r="E535" s="3"/>
      <c r="F535" s="3"/>
      <c r="G535" s="3"/>
      <c r="H535" s="3"/>
      <c r="I535" s="3"/>
      <c r="J535" s="3"/>
      <c r="K535" s="3"/>
      <c r="L535" s="3"/>
      <c r="M535" s="3"/>
      <c r="N535" s="3"/>
      <c r="O535" s="3"/>
      <c r="P535" s="3"/>
      <c r="Q535" s="3"/>
      <c r="R535" s="3"/>
      <c r="S535" s="3"/>
      <c r="T535" s="3"/>
      <c r="U535" s="3"/>
      <c r="V535" s="96"/>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row>
    <row r="536" spans="2:116" x14ac:dyDescent="0.25">
      <c r="B536" s="1673"/>
      <c r="C536" s="3"/>
      <c r="D536" s="3"/>
      <c r="E536" s="3"/>
      <c r="F536" s="3"/>
      <c r="G536" s="3"/>
      <c r="H536" s="3"/>
      <c r="I536" s="3"/>
      <c r="J536" s="3"/>
      <c r="K536" s="3"/>
      <c r="L536" s="3"/>
      <c r="M536" s="3"/>
      <c r="N536" s="3"/>
      <c r="O536" s="3"/>
      <c r="P536" s="3"/>
      <c r="Q536" s="3"/>
      <c r="R536" s="3"/>
      <c r="S536" s="3"/>
      <c r="T536" s="3"/>
      <c r="U536" s="3"/>
      <c r="V536" s="96"/>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row>
    <row r="537" spans="2:116" x14ac:dyDescent="0.25">
      <c r="B537" s="1673"/>
      <c r="C537" s="3"/>
      <c r="D537" s="3"/>
      <c r="E537" s="3"/>
      <c r="F537" s="3"/>
      <c r="G537" s="3"/>
      <c r="H537" s="3"/>
      <c r="I537" s="3"/>
      <c r="J537" s="3"/>
      <c r="K537" s="3"/>
      <c r="L537" s="3"/>
      <c r="M537" s="3"/>
      <c r="N537" s="3"/>
      <c r="O537" s="3"/>
      <c r="P537" s="3"/>
      <c r="Q537" s="3"/>
      <c r="R537" s="3"/>
      <c r="S537" s="3"/>
      <c r="T537" s="3"/>
      <c r="U537" s="3"/>
      <c r="V537" s="96"/>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row>
    <row r="538" spans="2:116" x14ac:dyDescent="0.25">
      <c r="B538" s="1673"/>
      <c r="C538" s="3"/>
      <c r="D538" s="3"/>
      <c r="E538" s="3"/>
      <c r="F538" s="3"/>
      <c r="G538" s="3"/>
      <c r="H538" s="3"/>
      <c r="I538" s="3"/>
      <c r="J538" s="3"/>
      <c r="K538" s="3"/>
      <c r="L538" s="3"/>
      <c r="M538" s="3"/>
      <c r="N538" s="3"/>
      <c r="O538" s="3"/>
      <c r="P538" s="3"/>
      <c r="Q538" s="3"/>
      <c r="R538" s="3"/>
      <c r="S538" s="3"/>
      <c r="T538" s="3"/>
      <c r="U538" s="3"/>
      <c r="V538" s="96"/>
      <c r="W538" s="3"/>
      <c r="X538" s="3"/>
      <c r="Y538" s="3"/>
      <c r="Z538" s="3"/>
      <c r="AA538" s="3"/>
      <c r="AB538" s="3"/>
      <c r="AC538" s="3"/>
      <c r="AD538" s="3"/>
      <c r="AE538" s="3"/>
      <c r="AF538" s="3"/>
      <c r="AG538" s="3"/>
      <c r="AH538" s="3"/>
      <c r="AI538" s="3"/>
      <c r="AJ538" s="3"/>
      <c r="AK538" s="61"/>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row>
    <row r="539" spans="2:116" x14ac:dyDescent="0.25">
      <c r="B539" s="1673"/>
      <c r="C539" s="3"/>
      <c r="D539" s="3"/>
      <c r="E539" s="3"/>
      <c r="F539" s="3"/>
      <c r="G539" s="3"/>
      <c r="H539" s="3"/>
      <c r="I539" s="3"/>
      <c r="J539" s="3"/>
      <c r="K539" s="3"/>
      <c r="L539" s="3"/>
      <c r="M539" s="3"/>
      <c r="N539" s="3"/>
      <c r="O539" s="3"/>
      <c r="P539" s="3"/>
      <c r="Q539" s="3"/>
      <c r="R539" s="3"/>
      <c r="S539" s="3"/>
      <c r="T539" s="3"/>
      <c r="U539" s="3"/>
      <c r="V539" s="96"/>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row>
    <row r="540" spans="2:116" ht="11.25" customHeight="1" x14ac:dyDescent="0.25">
      <c r="B540" s="1673"/>
      <c r="C540" s="3"/>
      <c r="D540" s="3"/>
      <c r="E540" s="3"/>
      <c r="F540" s="3"/>
      <c r="G540" s="3"/>
      <c r="H540" s="3"/>
      <c r="I540" s="3"/>
      <c r="J540" s="3"/>
      <c r="K540" s="3"/>
      <c r="L540" s="3"/>
      <c r="M540" s="3"/>
      <c r="N540" s="3"/>
      <c r="O540" s="3"/>
      <c r="P540" s="3"/>
      <c r="Q540" s="3"/>
      <c r="R540" s="3"/>
      <c r="S540" s="3"/>
      <c r="T540" s="3"/>
      <c r="U540" s="3"/>
      <c r="V540" s="96"/>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row>
    <row r="541" spans="2:116" x14ac:dyDescent="0.25">
      <c r="B541" s="1673"/>
      <c r="C541" s="3"/>
      <c r="D541" s="3"/>
      <c r="E541" s="3"/>
      <c r="F541" s="3"/>
      <c r="G541" s="3"/>
      <c r="H541" s="3"/>
      <c r="I541" s="3"/>
      <c r="J541" s="3"/>
      <c r="K541" s="3"/>
      <c r="L541" s="3"/>
      <c r="M541" s="3"/>
      <c r="N541" s="3"/>
      <c r="O541" s="3"/>
      <c r="P541" s="3"/>
      <c r="Q541" s="3"/>
      <c r="R541" s="3"/>
      <c r="S541" s="3"/>
      <c r="T541" s="3"/>
      <c r="U541" s="3"/>
      <c r="V541" s="96"/>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row>
    <row r="542" spans="2:116" ht="11.25" customHeight="1" x14ac:dyDescent="0.25">
      <c r="B542" s="1673"/>
      <c r="C542" s="3"/>
      <c r="D542" s="3"/>
      <c r="E542" s="3"/>
      <c r="F542" s="3"/>
      <c r="G542" s="3"/>
      <c r="H542" s="3"/>
      <c r="I542" s="3"/>
      <c r="J542" s="3"/>
      <c r="K542" s="3"/>
      <c r="L542" s="3"/>
      <c r="M542" s="3"/>
      <c r="N542" s="3"/>
      <c r="O542" s="3"/>
      <c r="P542" s="3"/>
      <c r="Q542" s="3"/>
      <c r="R542" s="3"/>
      <c r="S542" s="3"/>
      <c r="T542" s="3"/>
      <c r="U542" s="3"/>
      <c r="V542" s="96"/>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row>
    <row r="543" spans="2:116" ht="12" thickBot="1" x14ac:dyDescent="0.3">
      <c r="B543" s="1673"/>
      <c r="C543" s="3"/>
      <c r="D543" s="3"/>
      <c r="E543" s="3"/>
      <c r="F543" s="3"/>
      <c r="G543" s="3"/>
      <c r="H543" s="3"/>
      <c r="I543" s="3"/>
      <c r="J543" s="3"/>
      <c r="K543" s="3"/>
      <c r="L543" s="3"/>
      <c r="M543" s="3"/>
      <c r="N543" s="3"/>
      <c r="O543" s="3"/>
      <c r="P543" s="3"/>
      <c r="Q543" s="3"/>
      <c r="R543" s="3"/>
      <c r="S543" s="3"/>
      <c r="T543" s="3"/>
      <c r="U543" s="3"/>
      <c r="V543" s="96"/>
      <c r="W543" s="3"/>
      <c r="X543" s="3"/>
      <c r="Y543" s="3"/>
      <c r="Z543" s="3"/>
      <c r="AA543" s="3"/>
      <c r="AB543" s="3"/>
      <c r="AC543" s="3"/>
      <c r="AD543" s="3"/>
      <c r="AE543" s="3"/>
      <c r="AF543" s="3"/>
      <c r="AG543" s="3"/>
      <c r="AH543" s="3"/>
      <c r="AI543" s="59"/>
      <c r="AJ543" s="59"/>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row>
    <row r="544" spans="2:116" ht="18" x14ac:dyDescent="0.25">
      <c r="B544" s="1673"/>
      <c r="C544" s="3"/>
      <c r="D544" s="3"/>
      <c r="E544" s="3"/>
      <c r="F544" s="3"/>
      <c r="G544" s="3"/>
      <c r="H544" s="3"/>
      <c r="I544" s="3"/>
      <c r="J544" s="3"/>
      <c r="K544" s="3"/>
      <c r="L544" s="3"/>
      <c r="M544" s="3"/>
      <c r="N544" s="3"/>
      <c r="O544" s="3"/>
      <c r="P544" s="3"/>
      <c r="Q544" s="3"/>
      <c r="R544" s="3"/>
      <c r="S544" s="3"/>
      <c r="T544" s="3"/>
      <c r="U544" s="3"/>
      <c r="V544" s="96"/>
      <c r="W544" s="3"/>
      <c r="X544" s="3"/>
      <c r="Y544" s="3"/>
      <c r="Z544" s="3"/>
      <c r="AA544" s="3"/>
      <c r="AB544" s="71"/>
      <c r="AC544" s="72"/>
      <c r="AD544" s="72"/>
      <c r="AE544" s="72"/>
      <c r="AF544" s="72"/>
      <c r="AG544" s="72"/>
      <c r="AH544" s="68"/>
      <c r="AI544" s="68"/>
      <c r="AJ544" s="69"/>
      <c r="AK544" s="68"/>
      <c r="AL544" s="68"/>
      <c r="AM544" s="70"/>
      <c r="AN544" s="830"/>
      <c r="AO544" s="830"/>
      <c r="AP544" s="830"/>
      <c r="AQ544" s="830"/>
      <c r="AR544" s="830"/>
      <c r="AS544" s="830"/>
      <c r="AT544" s="830"/>
      <c r="AU544" s="830"/>
      <c r="AV544" s="830"/>
      <c r="AW544" s="830"/>
      <c r="AX544" s="830"/>
      <c r="AY544" s="830"/>
      <c r="AZ544" s="830"/>
      <c r="BA544" s="830"/>
      <c r="BB544" s="830"/>
      <c r="BC544" s="830"/>
      <c r="BD544" s="830"/>
      <c r="BE544" s="830"/>
      <c r="BF544" s="830"/>
      <c r="BG544" s="830"/>
      <c r="BH544" s="830"/>
      <c r="BI544" s="830"/>
      <c r="BJ544" s="830"/>
      <c r="BK544" s="3"/>
      <c r="BL544" s="826" t="s">
        <v>576</v>
      </c>
      <c r="BM544" s="824"/>
      <c r="BN544" s="824"/>
      <c r="BO544" s="824"/>
      <c r="BP544" s="824"/>
      <c r="BQ544" s="824"/>
      <c r="BR544" s="824"/>
      <c r="BS544" s="824"/>
      <c r="BT544" s="824"/>
      <c r="BU544" s="824"/>
      <c r="BV544" s="824"/>
      <c r="BW544" s="824"/>
      <c r="BX544" s="824"/>
      <c r="BY544" s="824"/>
      <c r="BZ544" s="824"/>
      <c r="CA544" s="824"/>
      <c r="CB544" s="824"/>
      <c r="CC544" s="824"/>
      <c r="CD544" s="824"/>
      <c r="CE544" s="824"/>
      <c r="CF544" s="824"/>
      <c r="CG544" s="824"/>
      <c r="CH544" s="824"/>
      <c r="CI544" s="824"/>
      <c r="CJ544" s="824"/>
      <c r="CK544" s="824"/>
      <c r="CL544" s="824"/>
      <c r="CM544" s="824"/>
      <c r="CN544" s="824"/>
      <c r="CO544" s="824"/>
      <c r="CP544" s="824"/>
      <c r="CQ544" s="824"/>
      <c r="CR544" s="824"/>
      <c r="CS544" s="824"/>
      <c r="CT544" s="824"/>
      <c r="CU544" s="824"/>
      <c r="CV544" s="824"/>
      <c r="CW544" s="824"/>
      <c r="CX544" s="824"/>
      <c r="CY544" s="824"/>
      <c r="CZ544" s="824"/>
      <c r="DA544" s="824"/>
      <c r="DB544" s="824"/>
      <c r="DC544" s="824"/>
      <c r="DD544" s="824"/>
      <c r="DE544" s="824"/>
      <c r="DF544" s="824"/>
      <c r="DG544" s="824"/>
      <c r="DH544" s="824"/>
      <c r="DI544" s="824"/>
      <c r="DJ544" s="824"/>
      <c r="DK544" s="824"/>
      <c r="DL544" s="824"/>
    </row>
    <row r="545" spans="2:116" ht="26.25" thickBot="1" x14ac:dyDescent="0.3">
      <c r="B545" s="1673"/>
      <c r="C545" s="3"/>
      <c r="D545" s="3"/>
      <c r="E545" s="3"/>
      <c r="F545" s="96"/>
      <c r="G545" s="96"/>
      <c r="H545" s="96"/>
      <c r="I545" s="96"/>
      <c r="J545" s="96"/>
      <c r="K545" s="96"/>
      <c r="L545" s="96"/>
      <c r="M545" s="96"/>
      <c r="N545" s="96"/>
      <c r="O545" s="96"/>
      <c r="P545" s="96"/>
      <c r="Q545" s="96"/>
      <c r="R545" s="96"/>
      <c r="S545" s="96"/>
      <c r="T545" s="96"/>
      <c r="U545" s="96"/>
      <c r="V545" s="96"/>
      <c r="W545" s="3"/>
      <c r="X545" s="3"/>
      <c r="Y545" s="3"/>
      <c r="Z545" s="3"/>
      <c r="AA545" s="3"/>
      <c r="AB545" s="92" t="s">
        <v>287</v>
      </c>
      <c r="AC545" s="72"/>
      <c r="AD545" s="72"/>
      <c r="AE545" s="72"/>
      <c r="AF545" s="72"/>
      <c r="AG545" s="72"/>
      <c r="AH545" s="72"/>
      <c r="AI545" s="72"/>
      <c r="AJ545" s="72"/>
      <c r="AK545" s="73"/>
      <c r="AL545" s="72"/>
      <c r="AM545" s="74"/>
      <c r="AN545" s="831"/>
      <c r="AO545" s="831"/>
      <c r="AP545" s="831"/>
      <c r="AQ545" s="831"/>
      <c r="AR545" s="831"/>
      <c r="AS545" s="831"/>
      <c r="AT545" s="831"/>
      <c r="AU545" s="831"/>
      <c r="AV545" s="831"/>
      <c r="AW545" s="831"/>
      <c r="AX545" s="831"/>
      <c r="AY545" s="831"/>
      <c r="AZ545" s="831"/>
      <c r="BA545" s="831"/>
      <c r="BB545" s="831"/>
      <c r="BC545" s="831"/>
      <c r="BD545" s="831"/>
      <c r="BE545" s="831"/>
      <c r="BF545" s="831"/>
      <c r="BG545" s="831"/>
      <c r="BH545" s="831"/>
      <c r="BI545" s="831"/>
      <c r="BJ545" s="831"/>
      <c r="BK545" s="3"/>
      <c r="BL545" s="824" t="s">
        <v>200</v>
      </c>
      <c r="BM545" s="824" t="s">
        <v>579</v>
      </c>
      <c r="BN545" s="824"/>
      <c r="BO545" s="824"/>
      <c r="BP545" s="824"/>
      <c r="BQ545" s="824"/>
      <c r="BR545" s="824"/>
      <c r="BS545" s="824"/>
      <c r="BT545" s="824"/>
      <c r="BU545" s="824"/>
      <c r="BV545" s="824"/>
      <c r="BW545" s="824"/>
      <c r="BX545" s="824"/>
      <c r="BY545" s="824"/>
      <c r="BZ545" s="824"/>
      <c r="CA545" s="824"/>
      <c r="CB545" s="824"/>
      <c r="CC545" s="824"/>
      <c r="CD545" s="824"/>
      <c r="CE545" s="824"/>
      <c r="CF545" s="824"/>
      <c r="CG545" s="824"/>
      <c r="CH545" s="824"/>
      <c r="CI545" s="824"/>
      <c r="CJ545" s="824"/>
      <c r="CK545" s="824"/>
      <c r="CL545" s="824"/>
      <c r="CM545" s="824"/>
      <c r="CN545" s="824"/>
      <c r="CO545" s="824"/>
      <c r="CP545" s="824"/>
      <c r="CQ545" s="824"/>
      <c r="CR545" s="824"/>
      <c r="CS545" s="824"/>
      <c r="CT545" s="824"/>
      <c r="CU545" s="824"/>
      <c r="CV545" s="824"/>
      <c r="CW545" s="824"/>
      <c r="CX545" s="824"/>
      <c r="CY545" s="824"/>
      <c r="CZ545" s="824"/>
      <c r="DA545" s="824"/>
      <c r="DB545" s="824"/>
      <c r="DC545" s="824"/>
      <c r="DD545" s="824"/>
      <c r="DE545" s="824"/>
      <c r="DF545" s="824"/>
      <c r="DG545" s="824"/>
      <c r="DH545" s="824"/>
      <c r="DI545" s="824"/>
      <c r="DJ545" s="824"/>
      <c r="DK545" s="824"/>
      <c r="DL545" s="824"/>
    </row>
    <row r="546" spans="2:116" ht="12" thickBot="1" x14ac:dyDescent="0.3">
      <c r="B546" s="1673"/>
      <c r="C546" s="3"/>
      <c r="D546" s="3"/>
      <c r="E546" s="3"/>
      <c r="F546" s="96"/>
      <c r="G546" s="96"/>
      <c r="H546" s="1669" t="s">
        <v>273</v>
      </c>
      <c r="I546" s="1670"/>
      <c r="J546" s="1671"/>
      <c r="K546" s="96"/>
      <c r="L546" s="96"/>
      <c r="M546" s="96"/>
      <c r="N546" s="96"/>
      <c r="O546" s="96"/>
      <c r="P546" s="96"/>
      <c r="Q546" s="96"/>
      <c r="R546" s="96"/>
      <c r="S546" s="96"/>
      <c r="T546" s="96"/>
      <c r="U546" s="96"/>
      <c r="V546" s="96"/>
      <c r="W546" s="3"/>
      <c r="X546" s="3"/>
      <c r="Y546" s="1677" t="s">
        <v>278</v>
      </c>
      <c r="Z546" s="1678"/>
      <c r="AA546" s="3"/>
      <c r="AB546" s="71"/>
      <c r="AC546" s="73"/>
      <c r="AD546" s="72"/>
      <c r="AE546" s="72"/>
      <c r="AF546" s="72"/>
      <c r="AG546" s="73"/>
      <c r="AH546" s="75" t="s">
        <v>250</v>
      </c>
      <c r="AI546" s="76">
        <f ca="1">IRR(AK553:AK603)</f>
        <v>3.3016558150813502E-2</v>
      </c>
      <c r="AJ546" s="72"/>
      <c r="AK546" s="72"/>
      <c r="AL546" s="72"/>
      <c r="AM546" s="77"/>
      <c r="AN546" s="832"/>
      <c r="AO546" s="832"/>
      <c r="AP546" s="832"/>
      <c r="AQ546" s="832"/>
      <c r="AR546" s="832"/>
      <c r="AS546" s="832"/>
      <c r="AT546" s="832"/>
      <c r="AU546" s="832"/>
      <c r="AV546" s="832"/>
      <c r="AW546" s="832"/>
      <c r="AX546" s="832"/>
      <c r="AY546" s="832"/>
      <c r="AZ546" s="832"/>
      <c r="BA546" s="832"/>
      <c r="BB546" s="832"/>
      <c r="BC546" s="832"/>
      <c r="BD546" s="832"/>
      <c r="BE546" s="832"/>
      <c r="BF546" s="832"/>
      <c r="BG546" s="832"/>
      <c r="BH546" s="832"/>
      <c r="BI546" s="832"/>
      <c r="BJ546" s="832"/>
      <c r="BK546" s="93"/>
      <c r="BL546" s="824">
        <f>$G$154</f>
        <v>35</v>
      </c>
      <c r="BM546" s="825">
        <f>$G$158</f>
        <v>1.016</v>
      </c>
      <c r="BN546" s="824"/>
      <c r="BO546" s="824"/>
      <c r="BP546" s="824"/>
      <c r="BQ546" s="824"/>
      <c r="BR546" s="824"/>
      <c r="BS546" s="824"/>
      <c r="BT546" s="824"/>
      <c r="BU546" s="824"/>
      <c r="BV546" s="824"/>
      <c r="BW546" s="824"/>
      <c r="BX546" s="824"/>
      <c r="BY546" s="824"/>
      <c r="BZ546" s="824"/>
      <c r="CA546" s="824"/>
      <c r="CB546" s="824"/>
      <c r="CC546" s="824"/>
      <c r="CD546" s="824"/>
      <c r="CE546" s="824"/>
      <c r="CF546" s="824"/>
      <c r="CG546" s="824"/>
      <c r="CH546" s="824"/>
      <c r="CI546" s="824"/>
      <c r="CJ546" s="824"/>
      <c r="CK546" s="824"/>
      <c r="CL546" s="824"/>
      <c r="CM546" s="824"/>
      <c r="CN546" s="824"/>
      <c r="CO546" s="824"/>
      <c r="CP546" s="824"/>
      <c r="CQ546" s="824"/>
      <c r="CR546" s="824"/>
      <c r="CS546" s="824"/>
      <c r="CT546" s="824"/>
      <c r="CU546" s="824"/>
      <c r="CV546" s="824"/>
      <c r="CW546" s="824"/>
      <c r="CX546" s="824"/>
      <c r="CY546" s="824"/>
      <c r="CZ546" s="824"/>
      <c r="DA546" s="824"/>
      <c r="DB546" s="824"/>
      <c r="DC546" s="824"/>
      <c r="DD546" s="824"/>
      <c r="DE546" s="824"/>
      <c r="DF546" s="824"/>
      <c r="DG546" s="824"/>
      <c r="DH546" s="824"/>
      <c r="DI546" s="824"/>
      <c r="DJ546" s="824"/>
      <c r="DK546" s="824"/>
      <c r="DL546" s="824"/>
    </row>
    <row r="547" spans="2:116" ht="12" thickBot="1" x14ac:dyDescent="0.3">
      <c r="B547" s="1673"/>
      <c r="C547" s="3"/>
      <c r="D547" s="3"/>
      <c r="E547" s="3"/>
      <c r="F547" s="116" t="s">
        <v>252</v>
      </c>
      <c r="G547" s="116" t="s">
        <v>257</v>
      </c>
      <c r="H547" s="116" t="s">
        <v>251</v>
      </c>
      <c r="I547" s="116" t="s">
        <v>258</v>
      </c>
      <c r="J547" s="116" t="s">
        <v>273</v>
      </c>
      <c r="K547" s="116" t="s">
        <v>268</v>
      </c>
      <c r="L547" s="116" t="s">
        <v>197</v>
      </c>
      <c r="M547" s="116" t="s">
        <v>189</v>
      </c>
      <c r="N547" s="156" t="s">
        <v>210</v>
      </c>
      <c r="O547" s="1061" t="s">
        <v>62</v>
      </c>
      <c r="P547" s="1666" t="s">
        <v>241</v>
      </c>
      <c r="Q547" s="1667"/>
      <c r="R547" s="1667"/>
      <c r="S547" s="1667"/>
      <c r="T547" s="1668"/>
      <c r="U547" s="35" t="s">
        <v>242</v>
      </c>
      <c r="V547" s="38" t="s">
        <v>254</v>
      </c>
      <c r="W547" s="52" t="s">
        <v>277</v>
      </c>
      <c r="X547" s="53" t="s">
        <v>288</v>
      </c>
      <c r="Y547" s="54" t="s">
        <v>289</v>
      </c>
      <c r="Z547" s="50" t="s">
        <v>290</v>
      </c>
      <c r="AA547" s="133" t="s">
        <v>298</v>
      </c>
      <c r="AB547" s="72"/>
      <c r="AC547" s="78"/>
      <c r="AD547" s="78"/>
      <c r="AE547" s="72"/>
      <c r="AF547" s="72"/>
      <c r="AG547" s="72"/>
      <c r="AH547" s="72"/>
      <c r="AI547" s="72"/>
      <c r="AJ547" s="72"/>
      <c r="AK547" s="73"/>
      <c r="AL547" s="72"/>
      <c r="AM547" s="79"/>
      <c r="AN547" s="830"/>
      <c r="AO547" s="830"/>
      <c r="AP547" s="830"/>
      <c r="AQ547" s="830"/>
      <c r="AR547" s="830"/>
      <c r="AS547" s="830"/>
      <c r="AT547" s="830"/>
      <c r="AU547" s="830"/>
      <c r="AV547" s="830"/>
      <c r="AW547" s="830"/>
      <c r="AX547" s="848"/>
      <c r="AY547" s="848"/>
      <c r="AZ547" s="848"/>
      <c r="BA547" s="848"/>
      <c r="BB547" s="848"/>
      <c r="BC547" s="848"/>
      <c r="BD547" s="848"/>
      <c r="BE547" s="848"/>
      <c r="BF547" s="848"/>
      <c r="BG547" s="848"/>
      <c r="BH547" s="848"/>
      <c r="BI547" s="848"/>
      <c r="BJ547" s="848"/>
      <c r="BK547" s="61"/>
      <c r="BL547" s="824"/>
      <c r="BM547" s="824"/>
      <c r="BN547" s="824"/>
      <c r="BO547" s="824" t="s">
        <v>481</v>
      </c>
      <c r="BP547" s="824"/>
      <c r="BQ547" s="824"/>
      <c r="BR547" s="824"/>
      <c r="BS547" s="824"/>
      <c r="BT547" s="824"/>
      <c r="BU547" s="824"/>
      <c r="BV547" s="824"/>
      <c r="BW547" s="824"/>
      <c r="BX547" s="824"/>
      <c r="BY547" s="824"/>
      <c r="BZ547" s="824"/>
      <c r="CA547" s="824"/>
      <c r="CB547" s="824"/>
      <c r="CC547" s="824"/>
      <c r="CD547" s="824"/>
      <c r="CE547" s="824"/>
      <c r="CF547" s="824"/>
      <c r="CG547" s="824"/>
      <c r="CH547" s="824"/>
      <c r="CI547" s="824"/>
      <c r="CJ547" s="824"/>
      <c r="CK547" s="824"/>
      <c r="CL547" s="824"/>
      <c r="CM547" s="824"/>
      <c r="CN547" s="824"/>
      <c r="CO547" s="824"/>
      <c r="CP547" s="824"/>
      <c r="CQ547" s="824"/>
      <c r="CR547" s="824"/>
      <c r="CS547" s="824"/>
      <c r="CT547" s="824"/>
      <c r="CU547" s="824"/>
      <c r="CV547" s="824"/>
      <c r="CW547" s="824"/>
      <c r="CX547" s="824"/>
      <c r="CY547" s="824"/>
      <c r="CZ547" s="824"/>
      <c r="DA547" s="824"/>
      <c r="DB547" s="824"/>
      <c r="DC547" s="824"/>
      <c r="DD547" s="824"/>
      <c r="DE547" s="824"/>
      <c r="DF547" s="824"/>
      <c r="DG547" s="824"/>
      <c r="DH547" s="824"/>
      <c r="DI547" s="824"/>
      <c r="DJ547" s="824"/>
      <c r="DK547" s="824"/>
      <c r="DL547" s="824"/>
    </row>
    <row r="548" spans="2:116" ht="12" thickBot="1" x14ac:dyDescent="0.3">
      <c r="B548" s="1673"/>
      <c r="C548" s="95" t="s">
        <v>266</v>
      </c>
      <c r="D548" s="10" t="s">
        <v>235</v>
      </c>
      <c r="E548" s="11" t="s">
        <v>356</v>
      </c>
      <c r="F548" s="11" t="s">
        <v>262</v>
      </c>
      <c r="G548" s="11" t="s">
        <v>261</v>
      </c>
      <c r="H548" s="11" t="s">
        <v>259</v>
      </c>
      <c r="I548" s="11" t="s">
        <v>260</v>
      </c>
      <c r="J548" s="11" t="s">
        <v>274</v>
      </c>
      <c r="K548" s="11" t="s">
        <v>271</v>
      </c>
      <c r="L548" s="11"/>
      <c r="M548" s="11" t="s">
        <v>211</v>
      </c>
      <c r="N548" s="157" t="s">
        <v>212</v>
      </c>
      <c r="O548" s="20" t="s">
        <v>291</v>
      </c>
      <c r="P548" s="24" t="s">
        <v>236</v>
      </c>
      <c r="Q548" s="25" t="s">
        <v>237</v>
      </c>
      <c r="R548" s="25" t="s">
        <v>238</v>
      </c>
      <c r="S548" s="25" t="s">
        <v>239</v>
      </c>
      <c r="T548" s="26" t="s">
        <v>240</v>
      </c>
      <c r="U548" s="36" t="s">
        <v>243</v>
      </c>
      <c r="V548" s="39" t="s">
        <v>253</v>
      </c>
      <c r="W548" s="55" t="s">
        <v>354</v>
      </c>
      <c r="X548" s="56" t="s">
        <v>353</v>
      </c>
      <c r="Y548" s="57"/>
      <c r="Z548" s="58"/>
      <c r="AA548" s="134"/>
      <c r="AB548" s="72"/>
      <c r="AC548" s="72"/>
      <c r="AD548" s="80"/>
      <c r="AE548" s="72"/>
      <c r="AF548" s="72"/>
      <c r="AG548" s="72"/>
      <c r="AH548" s="72"/>
      <c r="AI548" s="72"/>
      <c r="AJ548" s="72"/>
      <c r="AK548" s="73"/>
      <c r="AL548" s="72"/>
      <c r="AM548" s="81"/>
      <c r="AN548" s="833" t="s">
        <v>200</v>
      </c>
      <c r="AO548" s="847">
        <f>$G$154</f>
        <v>35</v>
      </c>
      <c r="AP548" s="833"/>
      <c r="AQ548" s="833"/>
      <c r="AR548" s="833"/>
      <c r="AS548" s="833"/>
      <c r="AT548" s="833"/>
      <c r="AU548" s="833"/>
      <c r="AV548" s="833"/>
      <c r="AW548" s="833"/>
      <c r="AX548" s="833"/>
      <c r="AY548" s="833"/>
      <c r="AZ548" s="833"/>
      <c r="BA548" s="833"/>
      <c r="BB548" s="833"/>
      <c r="BC548" s="833"/>
      <c r="BD548" s="833"/>
      <c r="BE548" s="833"/>
      <c r="BF548" s="833"/>
      <c r="BG548" s="833"/>
      <c r="BH548" s="833"/>
      <c r="BI548" s="833"/>
      <c r="BJ548" s="833"/>
      <c r="BK548" s="61"/>
      <c r="BL548" s="824" t="s">
        <v>577</v>
      </c>
      <c r="BM548" s="824" t="s">
        <v>210</v>
      </c>
      <c r="BN548" s="824" t="s">
        <v>578</v>
      </c>
      <c r="BO548" s="824">
        <v>1</v>
      </c>
      <c r="BP548" s="824">
        <v>2</v>
      </c>
      <c r="BQ548" s="824">
        <v>3</v>
      </c>
      <c r="BR548" s="824">
        <v>4</v>
      </c>
      <c r="BS548" s="824">
        <v>5</v>
      </c>
      <c r="BT548" s="824">
        <v>6</v>
      </c>
      <c r="BU548" s="824">
        <v>7</v>
      </c>
      <c r="BV548" s="824">
        <v>8</v>
      </c>
      <c r="BW548" s="824">
        <v>9</v>
      </c>
      <c r="BX548" s="824">
        <v>10</v>
      </c>
      <c r="BY548" s="824">
        <v>11</v>
      </c>
      <c r="BZ548" s="824">
        <v>12</v>
      </c>
      <c r="CA548" s="824">
        <v>13</v>
      </c>
      <c r="CB548" s="824">
        <v>14</v>
      </c>
      <c r="CC548" s="824">
        <v>15</v>
      </c>
      <c r="CD548" s="824">
        <v>16</v>
      </c>
      <c r="CE548" s="824">
        <v>17</v>
      </c>
      <c r="CF548" s="824">
        <v>18</v>
      </c>
      <c r="CG548" s="824">
        <v>19</v>
      </c>
      <c r="CH548" s="824">
        <v>20</v>
      </c>
      <c r="CI548" s="824">
        <v>21</v>
      </c>
      <c r="CJ548" s="824">
        <v>22</v>
      </c>
      <c r="CK548" s="824">
        <v>23</v>
      </c>
      <c r="CL548" s="824">
        <v>24</v>
      </c>
      <c r="CM548" s="824">
        <v>25</v>
      </c>
      <c r="CN548" s="824">
        <v>26</v>
      </c>
      <c r="CO548" s="824">
        <v>27</v>
      </c>
      <c r="CP548" s="824">
        <v>28</v>
      </c>
      <c r="CQ548" s="824">
        <v>29</v>
      </c>
      <c r="CR548" s="824">
        <v>30</v>
      </c>
      <c r="CS548" s="824">
        <v>31</v>
      </c>
      <c r="CT548" s="824">
        <v>32</v>
      </c>
      <c r="CU548" s="824">
        <v>33</v>
      </c>
      <c r="CV548" s="824">
        <v>34</v>
      </c>
      <c r="CW548" s="824">
        <v>35</v>
      </c>
      <c r="CX548" s="824">
        <v>36</v>
      </c>
      <c r="CY548" s="824">
        <v>37</v>
      </c>
      <c r="CZ548" s="824">
        <v>38</v>
      </c>
      <c r="DA548" s="824">
        <v>39</v>
      </c>
      <c r="DB548" s="824">
        <v>40</v>
      </c>
      <c r="DC548" s="824">
        <v>41</v>
      </c>
      <c r="DD548" s="824">
        <v>42</v>
      </c>
      <c r="DE548" s="824">
        <v>43</v>
      </c>
      <c r="DF548" s="824">
        <v>44</v>
      </c>
      <c r="DG548" s="824">
        <v>45</v>
      </c>
      <c r="DH548" s="824">
        <v>46</v>
      </c>
      <c r="DI548" s="824">
        <v>47</v>
      </c>
      <c r="DJ548" s="824">
        <v>48</v>
      </c>
      <c r="DK548" s="824">
        <v>49</v>
      </c>
      <c r="DL548" s="824">
        <v>50</v>
      </c>
    </row>
    <row r="549" spans="2:116" ht="12" thickBot="1" x14ac:dyDescent="0.3">
      <c r="B549" s="1673"/>
      <c r="C549" s="1679" t="s">
        <v>267</v>
      </c>
      <c r="D549" s="14" t="s">
        <v>61</v>
      </c>
      <c r="E549" s="12"/>
      <c r="F549" s="12">
        <f>SUBTOTAL(109,'3.3 I&amp;W'!$U$27)</f>
        <v>0</v>
      </c>
      <c r="G549" s="12">
        <f>SUBTOTAL(109,'3.3 I&amp;W'!$V$27)</f>
        <v>0</v>
      </c>
      <c r="H549" s="12">
        <f>SUBTOTAL(109,'3.3 I&amp;W'!$AA$27)</f>
        <v>0</v>
      </c>
      <c r="I549" s="12">
        <f>SUBTOTAL(109,'3.3 I&amp;W'!$AB$27)</f>
        <v>0</v>
      </c>
      <c r="J549" s="12"/>
      <c r="K549" s="12"/>
      <c r="L549" s="12"/>
      <c r="M549" s="12">
        <f ca="1">SUBTOTAL(109,'3.3 I&amp;W'!$AI$27)</f>
        <v>0</v>
      </c>
      <c r="N549" s="156">
        <f ca="1">IF(OR(M549=0,M549="",M549=$G$154),0,ROUNDDOWN($G$154/M549,0)+IF(MOD($G$154,M549)=0,-1))</f>
        <v>0</v>
      </c>
      <c r="O549" s="12">
        <f ca="1">SUBTOTAL(109,'3.3 I&amp;W'!$S$27)</f>
        <v>432000</v>
      </c>
      <c r="P549" s="27">
        <f ca="1">IF(N549&gt;=1,O549*$G$158^(1*M549)/($G$157^(1*M549)),0)</f>
        <v>0</v>
      </c>
      <c r="Q549" s="28">
        <f t="shared" ref="Q549:Q566" ca="1" si="395">IF(N549&gt;=2,O549*$G$158^(2*M549)/($G$157^(2*M549)),0)</f>
        <v>0</v>
      </c>
      <c r="R549" s="28">
        <f t="shared" ref="R549:R566" ca="1" si="396">IF(N549&gt;=3,O549*$G$158^(3*M549)/($G$157^(3*M549)),0)</f>
        <v>0</v>
      </c>
      <c r="S549" s="28">
        <f t="shared" ref="S549:S566" ca="1" si="397">IF(N549&gt;=4,O549*$G$158^(4*M549)/($G$157^(4*M549)),0)</f>
        <v>0</v>
      </c>
      <c r="T549" s="29">
        <f t="shared" ref="T549:T566" ca="1" si="398">IF(N549&gt;=5,O549*$G$158^(5*M549)/($G$157^(5*M549)),0)</f>
        <v>0</v>
      </c>
      <c r="U549" s="37">
        <f ca="1">IF(M549=0,0,O549*$G$158^(N549*M549)*((N549+1)*M549-$G$154)/M549*(1/$G$157^$G$154))</f>
        <v>0</v>
      </c>
      <c r="V549" s="40">
        <f>G549*$I$169</f>
        <v>0</v>
      </c>
      <c r="W549" s="41">
        <f t="shared" ref="W549:W580" si="399">(I549+J549)*$I$167</f>
        <v>0</v>
      </c>
      <c r="X549" s="42"/>
      <c r="Y549" s="45"/>
      <c r="Z549" s="124"/>
      <c r="AA549" s="135"/>
      <c r="AB549" s="72"/>
      <c r="AC549" s="72"/>
      <c r="AD549" s="72"/>
      <c r="AE549" s="72"/>
      <c r="AF549" s="72"/>
      <c r="AG549" s="72"/>
      <c r="AH549" s="72"/>
      <c r="AI549" s="72"/>
      <c r="AJ549" s="72"/>
      <c r="AK549" s="72"/>
      <c r="AL549" s="72"/>
      <c r="AM549" s="79"/>
      <c r="AN549" s="830"/>
      <c r="AO549" s="830"/>
      <c r="AP549" s="830"/>
      <c r="AQ549" s="830"/>
      <c r="AR549" s="830"/>
      <c r="AS549" s="830"/>
      <c r="AT549" s="830"/>
      <c r="AU549" s="830"/>
      <c r="AV549" s="830"/>
      <c r="AW549" s="830"/>
      <c r="AX549" s="830"/>
      <c r="AY549" s="830"/>
      <c r="AZ549" s="830"/>
      <c r="BA549" s="830"/>
      <c r="BB549" s="830"/>
      <c r="BC549" s="830"/>
      <c r="BD549" s="830"/>
      <c r="BE549" s="830"/>
      <c r="BF549" s="830"/>
      <c r="BG549" s="830"/>
      <c r="BH549" s="830"/>
      <c r="BI549" s="830"/>
      <c r="BJ549" s="830"/>
      <c r="BK549" s="3"/>
      <c r="BL549" s="824">
        <f t="shared" ref="BL549:BL580" ca="1" si="400">M549</f>
        <v>0</v>
      </c>
      <c r="BM549" s="824">
        <f t="shared" ref="BM549:BM580" ca="1" si="401">N549</f>
        <v>0</v>
      </c>
      <c r="BN549" s="824">
        <f t="shared" ref="BN549:BN580" ca="1" si="402">O549</f>
        <v>432000</v>
      </c>
      <c r="BO549" s="824">
        <f ca="1">IF(OR(IF($BL549*1&lt;$BL$196,$BL549*1=BO$198,FALSE),IF($BL549*2&lt;$BL$196,$BL549*2=BO$198,FALSE),IF($BL549*3&lt;$BL$196,$BL549*3=BO$198,FALSE),IF($BL549*4&lt;$BL$196,$BL549*4=BO$198,FALSE),IF($BL549*5&lt;$BL$196,$BL549*5=BO$198,FALSE)),$BN549*$BM$196^BO$198,0)</f>
        <v>0</v>
      </c>
      <c r="BP549" s="824">
        <f t="shared" ref="BP549:DL555" ca="1" si="403">IF(OR(IF($BL549*1&lt;$BL$196,$BL549*1=BP$198,FALSE),IF($BL549*2&lt;$BL$196,$BL549*2=BP$198,FALSE),IF($BL549*3&lt;$BL$196,$BL549*3=BP$198,FALSE),IF($BL549*4&lt;$BL$196,$BL549*4=BP$198,FALSE),IF($BL549*5&lt;$BL$196,$BL549*5=BP$198,FALSE)),$BN549*$BM$196^BP$198,0)</f>
        <v>0</v>
      </c>
      <c r="BQ549" s="824">
        <f t="shared" ca="1" si="403"/>
        <v>0</v>
      </c>
      <c r="BR549" s="824">
        <f t="shared" ca="1" si="403"/>
        <v>0</v>
      </c>
      <c r="BS549" s="824">
        <f t="shared" ca="1" si="403"/>
        <v>0</v>
      </c>
      <c r="BT549" s="824">
        <f t="shared" ca="1" si="403"/>
        <v>0</v>
      </c>
      <c r="BU549" s="824">
        <f t="shared" ca="1" si="403"/>
        <v>0</v>
      </c>
      <c r="BV549" s="824">
        <f t="shared" ca="1" si="403"/>
        <v>0</v>
      </c>
      <c r="BW549" s="824">
        <f t="shared" ca="1" si="403"/>
        <v>0</v>
      </c>
      <c r="BX549" s="824">
        <f t="shared" ca="1" si="403"/>
        <v>0</v>
      </c>
      <c r="BY549" s="824">
        <f t="shared" ca="1" si="403"/>
        <v>0</v>
      </c>
      <c r="BZ549" s="824">
        <f t="shared" ca="1" si="403"/>
        <v>0</v>
      </c>
      <c r="CA549" s="824">
        <f t="shared" ca="1" si="403"/>
        <v>0</v>
      </c>
      <c r="CB549" s="824">
        <f t="shared" ca="1" si="403"/>
        <v>0</v>
      </c>
      <c r="CC549" s="824">
        <f t="shared" ca="1" si="403"/>
        <v>0</v>
      </c>
      <c r="CD549" s="824">
        <f t="shared" ca="1" si="403"/>
        <v>0</v>
      </c>
      <c r="CE549" s="824">
        <f t="shared" ca="1" si="403"/>
        <v>0</v>
      </c>
      <c r="CF549" s="824">
        <f t="shared" ca="1" si="403"/>
        <v>0</v>
      </c>
      <c r="CG549" s="824">
        <f t="shared" ca="1" si="403"/>
        <v>0</v>
      </c>
      <c r="CH549" s="824">
        <f t="shared" ca="1" si="403"/>
        <v>0</v>
      </c>
      <c r="CI549" s="824">
        <f t="shared" ca="1" si="403"/>
        <v>0</v>
      </c>
      <c r="CJ549" s="824">
        <f t="shared" ca="1" si="403"/>
        <v>0</v>
      </c>
      <c r="CK549" s="824">
        <f t="shared" ca="1" si="403"/>
        <v>0</v>
      </c>
      <c r="CL549" s="824">
        <f t="shared" ca="1" si="403"/>
        <v>0</v>
      </c>
      <c r="CM549" s="824">
        <f t="shared" ca="1" si="403"/>
        <v>0</v>
      </c>
      <c r="CN549" s="824">
        <f t="shared" ca="1" si="403"/>
        <v>0</v>
      </c>
      <c r="CO549" s="824">
        <f t="shared" ca="1" si="403"/>
        <v>0</v>
      </c>
      <c r="CP549" s="824">
        <f t="shared" ca="1" si="403"/>
        <v>0</v>
      </c>
      <c r="CQ549" s="824">
        <f t="shared" ca="1" si="403"/>
        <v>0</v>
      </c>
      <c r="CR549" s="824">
        <f t="shared" ca="1" si="403"/>
        <v>0</v>
      </c>
      <c r="CS549" s="824">
        <f t="shared" ca="1" si="403"/>
        <v>0</v>
      </c>
      <c r="CT549" s="824">
        <f t="shared" ca="1" si="403"/>
        <v>0</v>
      </c>
      <c r="CU549" s="824">
        <f t="shared" ca="1" si="403"/>
        <v>0</v>
      </c>
      <c r="CV549" s="824">
        <f t="shared" ca="1" si="403"/>
        <v>0</v>
      </c>
      <c r="CW549" s="824">
        <f t="shared" ca="1" si="403"/>
        <v>0</v>
      </c>
      <c r="CX549" s="824">
        <f t="shared" ca="1" si="403"/>
        <v>0</v>
      </c>
      <c r="CY549" s="824">
        <f t="shared" ca="1" si="403"/>
        <v>0</v>
      </c>
      <c r="CZ549" s="824">
        <f t="shared" ca="1" si="403"/>
        <v>0</v>
      </c>
      <c r="DA549" s="824">
        <f t="shared" ca="1" si="403"/>
        <v>0</v>
      </c>
      <c r="DB549" s="824">
        <f t="shared" ca="1" si="403"/>
        <v>0</v>
      </c>
      <c r="DC549" s="824">
        <f t="shared" ca="1" si="403"/>
        <v>0</v>
      </c>
      <c r="DD549" s="824">
        <f t="shared" ca="1" si="403"/>
        <v>0</v>
      </c>
      <c r="DE549" s="824">
        <f t="shared" ca="1" si="403"/>
        <v>0</v>
      </c>
      <c r="DF549" s="824">
        <f t="shared" ca="1" si="403"/>
        <v>0</v>
      </c>
      <c r="DG549" s="824">
        <f t="shared" ca="1" si="403"/>
        <v>0</v>
      </c>
      <c r="DH549" s="824">
        <f t="shared" ca="1" si="403"/>
        <v>0</v>
      </c>
      <c r="DI549" s="824">
        <f t="shared" ca="1" si="403"/>
        <v>0</v>
      </c>
      <c r="DJ549" s="824">
        <f t="shared" ca="1" si="403"/>
        <v>0</v>
      </c>
      <c r="DK549" s="824">
        <f t="shared" ca="1" si="403"/>
        <v>0</v>
      </c>
      <c r="DL549" s="824">
        <f t="shared" ca="1" si="403"/>
        <v>0</v>
      </c>
    </row>
    <row r="550" spans="2:116" ht="13.5" thickBot="1" x14ac:dyDescent="0.3">
      <c r="B550" s="1673"/>
      <c r="C550" s="1680"/>
      <c r="D550" s="15" t="s">
        <v>50</v>
      </c>
      <c r="E550" s="116"/>
      <c r="F550" s="116">
        <f>SUBTOTAL(109,'3.3 I&amp;W'!$U$34)</f>
        <v>0</v>
      </c>
      <c r="G550" s="116">
        <f>SUBTOTAL(109,'3.3 I&amp;W'!$V$34)</f>
        <v>0</v>
      </c>
      <c r="H550" s="116">
        <f>SUBTOTAL(109,'3.3 I&amp;W'!$AA$34)</f>
        <v>0</v>
      </c>
      <c r="I550" s="116">
        <f>SUBTOTAL(109,'3.3 I&amp;W'!$AB$34)</f>
        <v>0</v>
      </c>
      <c r="J550" s="116"/>
      <c r="K550" s="116"/>
      <c r="L550" s="116"/>
      <c r="M550" s="116">
        <f ca="1">SUBTOTAL(109,'3.3 I&amp;W'!$AI$34)</f>
        <v>100</v>
      </c>
      <c r="N550" s="156">
        <f t="shared" ref="N550:N613" ca="1" si="404">IF(OR(M550=0,M550="",M550=$G$154),0,ROUNDDOWN($G$154/M550,0)+IF(MOD($G$154,M550)=0,-1))</f>
        <v>0</v>
      </c>
      <c r="O550" s="116">
        <f ca="1">SUBTOTAL(109,'3.3 I&amp;W'!$S$34)</f>
        <v>89427.599999999991</v>
      </c>
      <c r="P550" s="30">
        <f ca="1">IF(N550&gt;=1,O550*$G$158^(1*M550)/($G$157^(1*M550)),0)</f>
        <v>0</v>
      </c>
      <c r="Q550" s="31">
        <f t="shared" ca="1" si="395"/>
        <v>0</v>
      </c>
      <c r="R550" s="31">
        <f t="shared" ca="1" si="396"/>
        <v>0</v>
      </c>
      <c r="S550" s="31">
        <f t="shared" ca="1" si="397"/>
        <v>0</v>
      </c>
      <c r="T550" s="32">
        <f t="shared" ca="1" si="398"/>
        <v>0</v>
      </c>
      <c r="U550" s="37">
        <f t="shared" ref="U550:U620" ca="1" si="405">IF(M550=0,0,O550*$G$158^(N550*M550)*((N550+1)*M550-$G$154)/M550*(1/$G$157^$G$154))</f>
        <v>29065.575107692428</v>
      </c>
      <c r="V550" s="40">
        <f t="shared" ref="V550:V580" si="406">G550*$I$169</f>
        <v>0</v>
      </c>
      <c r="W550" s="41">
        <f t="shared" si="399"/>
        <v>0</v>
      </c>
      <c r="X550" s="43"/>
      <c r="Y550" s="46"/>
      <c r="Z550" s="126"/>
      <c r="AA550" s="136"/>
      <c r="AB550" s="72"/>
      <c r="AC550" s="72"/>
      <c r="AD550" s="72"/>
      <c r="AE550" s="72"/>
      <c r="AF550" s="72"/>
      <c r="AG550" s="72"/>
      <c r="AH550" s="72"/>
      <c r="AI550" s="72"/>
      <c r="AJ550" s="72"/>
      <c r="AK550" s="72"/>
      <c r="AL550" s="72"/>
      <c r="AM550" s="82"/>
      <c r="AN550" s="834"/>
      <c r="AO550" s="834"/>
      <c r="AP550" s="834"/>
      <c r="AQ550" s="834"/>
      <c r="AR550" s="834"/>
      <c r="AS550" s="834"/>
      <c r="AT550" s="834"/>
      <c r="AU550" s="834"/>
      <c r="AV550" s="834"/>
      <c r="AW550" s="834"/>
      <c r="AX550" s="854"/>
      <c r="AY550" s="851" t="s">
        <v>582</v>
      </c>
      <c r="AZ550" s="840"/>
      <c r="BA550" s="840"/>
      <c r="BB550" s="840"/>
      <c r="BC550" s="840"/>
      <c r="BD550" s="840"/>
      <c r="BE550" s="840"/>
      <c r="BF550" s="840"/>
      <c r="BG550" s="840"/>
      <c r="BH550" s="855" t="s">
        <v>276</v>
      </c>
      <c r="BI550" s="855"/>
      <c r="BJ550" s="855"/>
      <c r="BK550" s="856"/>
      <c r="BL550" s="824">
        <f t="shared" ca="1" si="400"/>
        <v>100</v>
      </c>
      <c r="BM550" s="824">
        <f t="shared" ca="1" si="401"/>
        <v>0</v>
      </c>
      <c r="BN550" s="824">
        <f t="shared" ca="1" si="402"/>
        <v>89427.599999999991</v>
      </c>
      <c r="BO550" s="824">
        <f t="shared" ref="BO550:CD567" ca="1" si="407">IF(OR(IF($BL550*1&lt;$BL$196,$BL550*1=BO$198,FALSE),IF($BL550*2&lt;$BL$196,$BL550*2=BO$198,FALSE),IF($BL550*3&lt;$BL$196,$BL550*3=BO$198,FALSE),IF($BL550*4&lt;$BL$196,$BL550*4=BO$198,FALSE),IF($BL550*5&lt;$BL$196,$BL550*5=BO$198,FALSE)),$BN550*$BM$196^BO$198,0)</f>
        <v>0</v>
      </c>
      <c r="BP550" s="824">
        <f t="shared" ca="1" si="403"/>
        <v>0</v>
      </c>
      <c r="BQ550" s="824">
        <f t="shared" ca="1" si="403"/>
        <v>0</v>
      </c>
      <c r="BR550" s="824">
        <f t="shared" ca="1" si="403"/>
        <v>0</v>
      </c>
      <c r="BS550" s="824">
        <f t="shared" ca="1" si="403"/>
        <v>0</v>
      </c>
      <c r="BT550" s="824">
        <f t="shared" ca="1" si="403"/>
        <v>0</v>
      </c>
      <c r="BU550" s="824">
        <f t="shared" ca="1" si="403"/>
        <v>0</v>
      </c>
      <c r="BV550" s="824">
        <f t="shared" ca="1" si="403"/>
        <v>0</v>
      </c>
      <c r="BW550" s="824">
        <f t="shared" ca="1" si="403"/>
        <v>0</v>
      </c>
      <c r="BX550" s="824">
        <f t="shared" ca="1" si="403"/>
        <v>0</v>
      </c>
      <c r="BY550" s="824">
        <f t="shared" ca="1" si="403"/>
        <v>0</v>
      </c>
      <c r="BZ550" s="824">
        <f t="shared" ca="1" si="403"/>
        <v>0</v>
      </c>
      <c r="CA550" s="824">
        <f t="shared" ca="1" si="403"/>
        <v>0</v>
      </c>
      <c r="CB550" s="824">
        <f t="shared" ca="1" si="403"/>
        <v>0</v>
      </c>
      <c r="CC550" s="824">
        <f t="shared" ca="1" si="403"/>
        <v>0</v>
      </c>
      <c r="CD550" s="824">
        <f t="shared" ca="1" si="403"/>
        <v>0</v>
      </c>
      <c r="CE550" s="824">
        <f t="shared" ca="1" si="403"/>
        <v>0</v>
      </c>
      <c r="CF550" s="824">
        <f t="shared" ca="1" si="403"/>
        <v>0</v>
      </c>
      <c r="CG550" s="824">
        <f t="shared" ca="1" si="403"/>
        <v>0</v>
      </c>
      <c r="CH550" s="824">
        <f t="shared" ca="1" si="403"/>
        <v>0</v>
      </c>
      <c r="CI550" s="824">
        <f t="shared" ca="1" si="403"/>
        <v>0</v>
      </c>
      <c r="CJ550" s="824">
        <f t="shared" ca="1" si="403"/>
        <v>0</v>
      </c>
      <c r="CK550" s="824">
        <f t="shared" ca="1" si="403"/>
        <v>0</v>
      </c>
      <c r="CL550" s="824">
        <f t="shared" ca="1" si="403"/>
        <v>0</v>
      </c>
      <c r="CM550" s="824">
        <f t="shared" ca="1" si="403"/>
        <v>0</v>
      </c>
      <c r="CN550" s="824">
        <f t="shared" ca="1" si="403"/>
        <v>0</v>
      </c>
      <c r="CO550" s="824">
        <f t="shared" ca="1" si="403"/>
        <v>0</v>
      </c>
      <c r="CP550" s="824">
        <f t="shared" ca="1" si="403"/>
        <v>0</v>
      </c>
      <c r="CQ550" s="824">
        <f t="shared" ca="1" si="403"/>
        <v>0</v>
      </c>
      <c r="CR550" s="824">
        <f t="shared" ca="1" si="403"/>
        <v>0</v>
      </c>
      <c r="CS550" s="824">
        <f t="shared" ca="1" si="403"/>
        <v>0</v>
      </c>
      <c r="CT550" s="824">
        <f t="shared" ca="1" si="403"/>
        <v>0</v>
      </c>
      <c r="CU550" s="824">
        <f t="shared" ca="1" si="403"/>
        <v>0</v>
      </c>
      <c r="CV550" s="824">
        <f t="shared" ca="1" si="403"/>
        <v>0</v>
      </c>
      <c r="CW550" s="824">
        <f t="shared" ca="1" si="403"/>
        <v>0</v>
      </c>
      <c r="CX550" s="824">
        <f t="shared" ca="1" si="403"/>
        <v>0</v>
      </c>
      <c r="CY550" s="824">
        <f t="shared" ca="1" si="403"/>
        <v>0</v>
      </c>
      <c r="CZ550" s="824">
        <f t="shared" ca="1" si="403"/>
        <v>0</v>
      </c>
      <c r="DA550" s="824">
        <f t="shared" ca="1" si="403"/>
        <v>0</v>
      </c>
      <c r="DB550" s="824">
        <f t="shared" ca="1" si="403"/>
        <v>0</v>
      </c>
      <c r="DC550" s="824">
        <f t="shared" ca="1" si="403"/>
        <v>0</v>
      </c>
      <c r="DD550" s="824">
        <f t="shared" ca="1" si="403"/>
        <v>0</v>
      </c>
      <c r="DE550" s="824">
        <f t="shared" ca="1" si="403"/>
        <v>0</v>
      </c>
      <c r="DF550" s="824">
        <f t="shared" ca="1" si="403"/>
        <v>0</v>
      </c>
      <c r="DG550" s="824">
        <f t="shared" ca="1" si="403"/>
        <v>0</v>
      </c>
      <c r="DH550" s="824">
        <f t="shared" ca="1" si="403"/>
        <v>0</v>
      </c>
      <c r="DI550" s="824">
        <f t="shared" ca="1" si="403"/>
        <v>0</v>
      </c>
      <c r="DJ550" s="824">
        <f t="shared" ca="1" si="403"/>
        <v>0</v>
      </c>
      <c r="DK550" s="824">
        <f t="shared" ca="1" si="403"/>
        <v>0</v>
      </c>
      <c r="DL550" s="824">
        <f t="shared" ca="1" si="403"/>
        <v>0</v>
      </c>
    </row>
    <row r="551" spans="2:116" ht="12" thickBot="1" x14ac:dyDescent="0.3">
      <c r="B551" s="1673"/>
      <c r="C551" s="1680"/>
      <c r="D551" s="15" t="s">
        <v>125</v>
      </c>
      <c r="E551" s="116"/>
      <c r="F551" s="116">
        <f ca="1">SUBTOTAL(109,'3.3 I&amp;W'!$X$43)</f>
        <v>0</v>
      </c>
      <c r="G551" s="116">
        <f ca="1">SUBTOTAL(109,'3.3 I&amp;W'!$Y$43)</f>
        <v>0</v>
      </c>
      <c r="H551" s="116">
        <f ca="1">SUBTOTAL(109,'3.3 I&amp;W'!$AD$43)</f>
        <v>5.9945403570901585E-4</v>
      </c>
      <c r="I551" s="116">
        <f ca="1">SUBTOTAL(109,'3.3 I&amp;W'!$AE$43)</f>
        <v>42.9</v>
      </c>
      <c r="J551" s="116"/>
      <c r="K551" s="116"/>
      <c r="L551" s="116"/>
      <c r="M551" s="116">
        <f ca="1">SUBTOTAL(109,'3.3 I&amp;W'!$AI$43)</f>
        <v>30</v>
      </c>
      <c r="N551" s="156">
        <f t="shared" ca="1" si="404"/>
        <v>1</v>
      </c>
      <c r="O551" s="116">
        <f ca="1">SUBTOTAL(109,'3.3 I&amp;W'!$S$43)</f>
        <v>71565.119999999995</v>
      </c>
      <c r="P551" s="30">
        <f t="shared" ref="P551:P566" ca="1" si="408">IF(N551&gt;=1,O551*$G$158^(1*M551)/($G$157^(1*M551)),0)</f>
        <v>63607.377384804036</v>
      </c>
      <c r="Q551" s="31">
        <f t="shared" ca="1" si="395"/>
        <v>0</v>
      </c>
      <c r="R551" s="31">
        <f t="shared" ca="1" si="396"/>
        <v>0</v>
      </c>
      <c r="S551" s="31">
        <f t="shared" ca="1" si="397"/>
        <v>0</v>
      </c>
      <c r="T551" s="32">
        <f t="shared" ca="1" si="398"/>
        <v>0</v>
      </c>
      <c r="U551" s="37">
        <f t="shared" ca="1" si="405"/>
        <v>48009.301191579703</v>
      </c>
      <c r="V551" s="40">
        <f t="shared" ca="1" si="406"/>
        <v>0</v>
      </c>
      <c r="W551" s="41">
        <f t="shared" ca="1" si="399"/>
        <v>1378.0252955882922</v>
      </c>
      <c r="X551" s="43"/>
      <c r="Y551" s="46"/>
      <c r="Z551" s="126"/>
      <c r="AA551" s="136"/>
      <c r="AB551" s="71"/>
      <c r="AC551" s="1660" t="s">
        <v>191</v>
      </c>
      <c r="AD551" s="1661"/>
      <c r="AE551" s="1661"/>
      <c r="AF551" s="1662"/>
      <c r="AG551" s="1660" t="s">
        <v>112</v>
      </c>
      <c r="AH551" s="1661"/>
      <c r="AI551" s="1661"/>
      <c r="AJ551" s="1662"/>
      <c r="AK551" s="72" t="s">
        <v>249</v>
      </c>
      <c r="AL551" s="72" t="s">
        <v>269</v>
      </c>
      <c r="AM551" s="79" t="s">
        <v>402</v>
      </c>
      <c r="AN551" s="835"/>
      <c r="AO551" s="835"/>
      <c r="AP551" s="835"/>
      <c r="AQ551" s="853"/>
      <c r="AR551" s="839">
        <f>$G$169</f>
        <v>1.016</v>
      </c>
      <c r="AS551" s="839">
        <f>$G$167</f>
        <v>1.016</v>
      </c>
      <c r="AT551" s="835"/>
      <c r="AU551" s="853"/>
      <c r="AV551" s="853"/>
      <c r="AW551" s="835"/>
      <c r="AX551" s="839">
        <f>G508</f>
        <v>0</v>
      </c>
      <c r="AY551" s="842"/>
      <c r="AZ551" s="842">
        <f>$G$159</f>
        <v>1</v>
      </c>
      <c r="BA551" s="842">
        <f>$G$160</f>
        <v>1</v>
      </c>
      <c r="BB551" s="842">
        <f>$G$161</f>
        <v>1</v>
      </c>
      <c r="BC551" s="842">
        <f>$G$162</f>
        <v>1</v>
      </c>
      <c r="BD551" s="842">
        <f>$G$163</f>
        <v>1</v>
      </c>
      <c r="BE551" s="842">
        <f>$G$164</f>
        <v>1</v>
      </c>
      <c r="BF551" s="842">
        <f>$G$165</f>
        <v>1.0249999999999999</v>
      </c>
      <c r="BG551" s="842">
        <f>$G$166</f>
        <v>1.0349999999999999</v>
      </c>
      <c r="BH551" s="857"/>
      <c r="BI551" s="857">
        <f>$G$167</f>
        <v>1.016</v>
      </c>
      <c r="BJ551" s="857">
        <f>$G$167</f>
        <v>1.016</v>
      </c>
      <c r="BK551" s="856"/>
      <c r="BL551" s="824">
        <f t="shared" ca="1" si="400"/>
        <v>30</v>
      </c>
      <c r="BM551" s="824">
        <f t="shared" ca="1" si="401"/>
        <v>1</v>
      </c>
      <c r="BN551" s="824">
        <f t="shared" ca="1" si="402"/>
        <v>71565.119999999995</v>
      </c>
      <c r="BO551" s="824">
        <f t="shared" ca="1" si="407"/>
        <v>0</v>
      </c>
      <c r="BP551" s="824">
        <f t="shared" ca="1" si="403"/>
        <v>0</v>
      </c>
      <c r="BQ551" s="824">
        <f t="shared" ca="1" si="403"/>
        <v>0</v>
      </c>
      <c r="BR551" s="824">
        <f t="shared" ca="1" si="403"/>
        <v>0</v>
      </c>
      <c r="BS551" s="824">
        <f t="shared" ca="1" si="403"/>
        <v>0</v>
      </c>
      <c r="BT551" s="824">
        <f t="shared" ca="1" si="403"/>
        <v>0</v>
      </c>
      <c r="BU551" s="824">
        <f t="shared" ca="1" si="403"/>
        <v>0</v>
      </c>
      <c r="BV551" s="824">
        <f t="shared" ca="1" si="403"/>
        <v>0</v>
      </c>
      <c r="BW551" s="824">
        <f t="shared" ca="1" si="403"/>
        <v>0</v>
      </c>
      <c r="BX551" s="824">
        <f t="shared" ca="1" si="403"/>
        <v>0</v>
      </c>
      <c r="BY551" s="824">
        <f t="shared" ca="1" si="403"/>
        <v>0</v>
      </c>
      <c r="BZ551" s="824">
        <f t="shared" ca="1" si="403"/>
        <v>0</v>
      </c>
      <c r="CA551" s="824">
        <f t="shared" ca="1" si="403"/>
        <v>0</v>
      </c>
      <c r="CB551" s="824">
        <f t="shared" ca="1" si="403"/>
        <v>0</v>
      </c>
      <c r="CC551" s="824">
        <f t="shared" ca="1" si="403"/>
        <v>0</v>
      </c>
      <c r="CD551" s="824">
        <f t="shared" ca="1" si="403"/>
        <v>0</v>
      </c>
      <c r="CE551" s="824">
        <f t="shared" ca="1" si="403"/>
        <v>0</v>
      </c>
      <c r="CF551" s="824">
        <f t="shared" ca="1" si="403"/>
        <v>0</v>
      </c>
      <c r="CG551" s="824">
        <f t="shared" ca="1" si="403"/>
        <v>0</v>
      </c>
      <c r="CH551" s="824">
        <f t="shared" ca="1" si="403"/>
        <v>0</v>
      </c>
      <c r="CI551" s="824">
        <f t="shared" ca="1" si="403"/>
        <v>0</v>
      </c>
      <c r="CJ551" s="824">
        <f t="shared" ca="1" si="403"/>
        <v>0</v>
      </c>
      <c r="CK551" s="824">
        <f t="shared" ca="1" si="403"/>
        <v>0</v>
      </c>
      <c r="CL551" s="824">
        <f t="shared" ca="1" si="403"/>
        <v>0</v>
      </c>
      <c r="CM551" s="824">
        <f t="shared" ca="1" si="403"/>
        <v>0</v>
      </c>
      <c r="CN551" s="824">
        <f t="shared" ca="1" si="403"/>
        <v>0</v>
      </c>
      <c r="CO551" s="824">
        <f t="shared" ca="1" si="403"/>
        <v>0</v>
      </c>
      <c r="CP551" s="824">
        <f t="shared" ca="1" si="403"/>
        <v>0</v>
      </c>
      <c r="CQ551" s="824">
        <f t="shared" ca="1" si="403"/>
        <v>0</v>
      </c>
      <c r="CR551" s="824">
        <f t="shared" ca="1" si="403"/>
        <v>115215.95986039846</v>
      </c>
      <c r="CS551" s="824">
        <f t="shared" ca="1" si="403"/>
        <v>0</v>
      </c>
      <c r="CT551" s="824">
        <f t="shared" ca="1" si="403"/>
        <v>0</v>
      </c>
      <c r="CU551" s="824">
        <f t="shared" ca="1" si="403"/>
        <v>0</v>
      </c>
      <c r="CV551" s="824">
        <f t="shared" ca="1" si="403"/>
        <v>0</v>
      </c>
      <c r="CW551" s="824">
        <f t="shared" ca="1" si="403"/>
        <v>0</v>
      </c>
      <c r="CX551" s="824">
        <f t="shared" ca="1" si="403"/>
        <v>0</v>
      </c>
      <c r="CY551" s="824">
        <f t="shared" ca="1" si="403"/>
        <v>0</v>
      </c>
      <c r="CZ551" s="824">
        <f t="shared" ca="1" si="403"/>
        <v>0</v>
      </c>
      <c r="DA551" s="824">
        <f t="shared" ca="1" si="403"/>
        <v>0</v>
      </c>
      <c r="DB551" s="824">
        <f t="shared" ca="1" si="403"/>
        <v>0</v>
      </c>
      <c r="DC551" s="824">
        <f t="shared" ca="1" si="403"/>
        <v>0</v>
      </c>
      <c r="DD551" s="824">
        <f t="shared" ca="1" si="403"/>
        <v>0</v>
      </c>
      <c r="DE551" s="824">
        <f t="shared" ca="1" si="403"/>
        <v>0</v>
      </c>
      <c r="DF551" s="824">
        <f t="shared" ca="1" si="403"/>
        <v>0</v>
      </c>
      <c r="DG551" s="824">
        <f t="shared" ca="1" si="403"/>
        <v>0</v>
      </c>
      <c r="DH551" s="824">
        <f t="shared" ca="1" si="403"/>
        <v>0</v>
      </c>
      <c r="DI551" s="824">
        <f t="shared" ca="1" si="403"/>
        <v>0</v>
      </c>
      <c r="DJ551" s="824">
        <f t="shared" ca="1" si="403"/>
        <v>0</v>
      </c>
      <c r="DK551" s="824">
        <f t="shared" ca="1" si="403"/>
        <v>0</v>
      </c>
      <c r="DL551" s="824">
        <f t="shared" ca="1" si="403"/>
        <v>0</v>
      </c>
    </row>
    <row r="552" spans="2:116" ht="12" thickBot="1" x14ac:dyDescent="0.3">
      <c r="B552" s="1673"/>
      <c r="C552" s="1680"/>
      <c r="D552" s="15" t="s">
        <v>125</v>
      </c>
      <c r="E552" s="165"/>
      <c r="F552" s="116">
        <f ca="1">SUBTOTAL(109,'3.3 I&amp;W'!$X$44)</f>
        <v>0</v>
      </c>
      <c r="G552" s="116">
        <f ca="1">SUBTOTAL(109,'3.3 I&amp;W'!$Y$44)</f>
        <v>0</v>
      </c>
      <c r="H552" s="116">
        <f ca="1">SUBTOTAL(109,'3.3 I&amp;W'!$AD$44)</f>
        <v>0</v>
      </c>
      <c r="I552" s="116">
        <f ca="1">SUBTOTAL(109,'3.3 I&amp;W'!$AE$44)</f>
        <v>0</v>
      </c>
      <c r="J552" s="116"/>
      <c r="K552" s="116"/>
      <c r="L552" s="116"/>
      <c r="M552" s="116">
        <f ca="1">SUBTOTAL(109,'3.3 I&amp;W'!$AI$44)</f>
        <v>0</v>
      </c>
      <c r="N552" s="156">
        <f t="shared" ca="1" si="404"/>
        <v>0</v>
      </c>
      <c r="O552" s="116">
        <f ca="1">SUBTOTAL(109,'3.3 I&amp;W'!$S$44)</f>
        <v>0</v>
      </c>
      <c r="P552" s="30">
        <f t="shared" ca="1" si="408"/>
        <v>0</v>
      </c>
      <c r="Q552" s="31">
        <f t="shared" ca="1" si="395"/>
        <v>0</v>
      </c>
      <c r="R552" s="31">
        <f t="shared" ca="1" si="396"/>
        <v>0</v>
      </c>
      <c r="S552" s="31">
        <f t="shared" ca="1" si="397"/>
        <v>0</v>
      </c>
      <c r="T552" s="32">
        <f t="shared" ca="1" si="398"/>
        <v>0</v>
      </c>
      <c r="U552" s="37">
        <f t="shared" ca="1" si="405"/>
        <v>0</v>
      </c>
      <c r="V552" s="40">
        <f t="shared" ca="1" si="406"/>
        <v>0</v>
      </c>
      <c r="W552" s="41">
        <f t="shared" ca="1" si="399"/>
        <v>0</v>
      </c>
      <c r="X552" s="43"/>
      <c r="Y552" s="46"/>
      <c r="Z552" s="126"/>
      <c r="AA552" s="136"/>
      <c r="AB552" s="83" t="s">
        <v>248</v>
      </c>
      <c r="AC552" s="71" t="s">
        <v>245</v>
      </c>
      <c r="AD552" s="72" t="s">
        <v>246</v>
      </c>
      <c r="AE552" s="72" t="s">
        <v>205</v>
      </c>
      <c r="AF552" s="79" t="s">
        <v>247</v>
      </c>
      <c r="AG552" s="71" t="s">
        <v>245</v>
      </c>
      <c r="AH552" s="207" t="s">
        <v>246</v>
      </c>
      <c r="AI552" s="207" t="s">
        <v>205</v>
      </c>
      <c r="AJ552" s="208" t="s">
        <v>247</v>
      </c>
      <c r="AK552" s="72"/>
      <c r="AL552" s="72"/>
      <c r="AM552" s="79"/>
      <c r="AN552" s="843" t="s">
        <v>248</v>
      </c>
      <c r="AO552" s="836" t="s">
        <v>192</v>
      </c>
      <c r="AP552" s="836" t="s">
        <v>280</v>
      </c>
      <c r="AQ552" s="836" t="s">
        <v>284</v>
      </c>
      <c r="AR552" s="836" t="s">
        <v>332</v>
      </c>
      <c r="AS552" s="836" t="s">
        <v>281</v>
      </c>
      <c r="AT552" s="836" t="s">
        <v>282</v>
      </c>
      <c r="AU552" s="837" t="s">
        <v>544</v>
      </c>
      <c r="AV552" s="837" t="s">
        <v>542</v>
      </c>
      <c r="AW552" s="836" t="s">
        <v>396</v>
      </c>
      <c r="AX552" s="836" t="s">
        <v>414</v>
      </c>
      <c r="AY552" s="842" t="s">
        <v>481</v>
      </c>
      <c r="AZ552" s="852" t="str">
        <f>$AF$307</f>
        <v>Heizöl</v>
      </c>
      <c r="BA552" s="852" t="str">
        <f>$AG$307</f>
        <v>Erdgas</v>
      </c>
      <c r="BB552" s="852" t="str">
        <f>$AH$307</f>
        <v>Kohle</v>
      </c>
      <c r="BC552" s="852" t="str">
        <f>$AI$307</f>
        <v>Fernwärme ne.</v>
      </c>
      <c r="BD552" s="852" t="str">
        <f>$AJ$307</f>
        <v>Fernwärme e.</v>
      </c>
      <c r="BE552" s="852" t="str">
        <f>$AK$307</f>
        <v>Biomasse</v>
      </c>
      <c r="BF552" s="852" t="str">
        <f>$AL$307</f>
        <v>Strom</v>
      </c>
      <c r="BG552" s="852" t="str">
        <f>$AM$307</f>
        <v>Wärmepumpenstrom</v>
      </c>
      <c r="BH552" s="857" t="s">
        <v>481</v>
      </c>
      <c r="BI552" s="857" t="s">
        <v>63</v>
      </c>
      <c r="BJ552" s="857" t="s">
        <v>583</v>
      </c>
      <c r="BK552" s="856" t="s">
        <v>584</v>
      </c>
      <c r="BL552" s="824">
        <f t="shared" ca="1" si="400"/>
        <v>0</v>
      </c>
      <c r="BM552" s="824">
        <f t="shared" ca="1" si="401"/>
        <v>0</v>
      </c>
      <c r="BN552" s="824">
        <f t="shared" ca="1" si="402"/>
        <v>0</v>
      </c>
      <c r="BO552" s="824">
        <f t="shared" ca="1" si="407"/>
        <v>0</v>
      </c>
      <c r="BP552" s="824">
        <f t="shared" ca="1" si="407"/>
        <v>0</v>
      </c>
      <c r="BQ552" s="824">
        <f t="shared" ca="1" si="407"/>
        <v>0</v>
      </c>
      <c r="BR552" s="824">
        <f t="shared" ca="1" si="407"/>
        <v>0</v>
      </c>
      <c r="BS552" s="824">
        <f t="shared" ca="1" si="407"/>
        <v>0</v>
      </c>
      <c r="BT552" s="824">
        <f t="shared" ca="1" si="407"/>
        <v>0</v>
      </c>
      <c r="BU552" s="824">
        <f t="shared" ca="1" si="407"/>
        <v>0</v>
      </c>
      <c r="BV552" s="824">
        <f t="shared" ca="1" si="407"/>
        <v>0</v>
      </c>
      <c r="BW552" s="824">
        <f t="shared" ca="1" si="407"/>
        <v>0</v>
      </c>
      <c r="BX552" s="824">
        <f t="shared" ca="1" si="407"/>
        <v>0</v>
      </c>
      <c r="BY552" s="824">
        <f t="shared" ca="1" si="407"/>
        <v>0</v>
      </c>
      <c r="BZ552" s="824">
        <f t="shared" ca="1" si="407"/>
        <v>0</v>
      </c>
      <c r="CA552" s="824">
        <f t="shared" ca="1" si="407"/>
        <v>0</v>
      </c>
      <c r="CB552" s="824">
        <f t="shared" ca="1" si="407"/>
        <v>0</v>
      </c>
      <c r="CC552" s="824">
        <f t="shared" ca="1" si="407"/>
        <v>0</v>
      </c>
      <c r="CD552" s="824">
        <f t="shared" ca="1" si="407"/>
        <v>0</v>
      </c>
      <c r="CE552" s="824">
        <f t="shared" ca="1" si="403"/>
        <v>0</v>
      </c>
      <c r="CF552" s="824">
        <f t="shared" ca="1" si="403"/>
        <v>0</v>
      </c>
      <c r="CG552" s="824">
        <f t="shared" ca="1" si="403"/>
        <v>0</v>
      </c>
      <c r="CH552" s="824">
        <f t="shared" ca="1" si="403"/>
        <v>0</v>
      </c>
      <c r="CI552" s="824">
        <f t="shared" ca="1" si="403"/>
        <v>0</v>
      </c>
      <c r="CJ552" s="824">
        <f t="shared" ca="1" si="403"/>
        <v>0</v>
      </c>
      <c r="CK552" s="824">
        <f t="shared" ca="1" si="403"/>
        <v>0</v>
      </c>
      <c r="CL552" s="824">
        <f t="shared" ca="1" si="403"/>
        <v>0</v>
      </c>
      <c r="CM552" s="824">
        <f t="shared" ca="1" si="403"/>
        <v>0</v>
      </c>
      <c r="CN552" s="824">
        <f t="shared" ca="1" si="403"/>
        <v>0</v>
      </c>
      <c r="CO552" s="824">
        <f t="shared" ca="1" si="403"/>
        <v>0</v>
      </c>
      <c r="CP552" s="824">
        <f t="shared" ca="1" si="403"/>
        <v>0</v>
      </c>
      <c r="CQ552" s="824">
        <f t="shared" ca="1" si="403"/>
        <v>0</v>
      </c>
      <c r="CR552" s="824">
        <f t="shared" ca="1" si="403"/>
        <v>0</v>
      </c>
      <c r="CS552" s="824">
        <f t="shared" ca="1" si="403"/>
        <v>0</v>
      </c>
      <c r="CT552" s="824">
        <f t="shared" ca="1" si="403"/>
        <v>0</v>
      </c>
      <c r="CU552" s="824">
        <f t="shared" ca="1" si="403"/>
        <v>0</v>
      </c>
      <c r="CV552" s="824">
        <f t="shared" ca="1" si="403"/>
        <v>0</v>
      </c>
      <c r="CW552" s="824">
        <f t="shared" ca="1" si="403"/>
        <v>0</v>
      </c>
      <c r="CX552" s="824">
        <f t="shared" ca="1" si="403"/>
        <v>0</v>
      </c>
      <c r="CY552" s="824">
        <f t="shared" ca="1" si="403"/>
        <v>0</v>
      </c>
      <c r="CZ552" s="824">
        <f t="shared" ca="1" si="403"/>
        <v>0</v>
      </c>
      <c r="DA552" s="824">
        <f t="shared" ca="1" si="403"/>
        <v>0</v>
      </c>
      <c r="DB552" s="824">
        <f t="shared" ca="1" si="403"/>
        <v>0</v>
      </c>
      <c r="DC552" s="824">
        <f t="shared" ca="1" si="403"/>
        <v>0</v>
      </c>
      <c r="DD552" s="824">
        <f t="shared" ca="1" si="403"/>
        <v>0</v>
      </c>
      <c r="DE552" s="824">
        <f t="shared" ca="1" si="403"/>
        <v>0</v>
      </c>
      <c r="DF552" s="824">
        <f t="shared" ca="1" si="403"/>
        <v>0</v>
      </c>
      <c r="DG552" s="824">
        <f t="shared" ca="1" si="403"/>
        <v>0</v>
      </c>
      <c r="DH552" s="824">
        <f t="shared" ca="1" si="403"/>
        <v>0</v>
      </c>
      <c r="DI552" s="824">
        <f t="shared" ca="1" si="403"/>
        <v>0</v>
      </c>
      <c r="DJ552" s="824">
        <f t="shared" ca="1" si="403"/>
        <v>0</v>
      </c>
      <c r="DK552" s="824">
        <f t="shared" ca="1" si="403"/>
        <v>0</v>
      </c>
      <c r="DL552" s="824">
        <f t="shared" ca="1" si="403"/>
        <v>0</v>
      </c>
    </row>
    <row r="553" spans="2:116" ht="12" thickBot="1" x14ac:dyDescent="0.3">
      <c r="B553" s="1673"/>
      <c r="C553" s="1680"/>
      <c r="D553" s="15" t="s">
        <v>125</v>
      </c>
      <c r="E553" s="116"/>
      <c r="F553" s="116">
        <f ca="1">SUBTOTAL(109,'3.3 I&amp;W'!$X$45)</f>
        <v>0</v>
      </c>
      <c r="G553" s="116">
        <f ca="1">SUBTOTAL(109,'3.3 I&amp;W'!$Y$45)</f>
        <v>0</v>
      </c>
      <c r="H553" s="116">
        <f ca="1">SUBTOTAL(109,'3.3 I&amp;W'!$AD$45)</f>
        <v>0</v>
      </c>
      <c r="I553" s="116">
        <f ca="1">SUBTOTAL(109,'3.3 I&amp;W'!$AE$45)</f>
        <v>0</v>
      </c>
      <c r="J553" s="116"/>
      <c r="K553" s="116"/>
      <c r="L553" s="116"/>
      <c r="M553" s="116">
        <f ca="1">SUBTOTAL(109,'3.3 I&amp;W'!$AI$45)</f>
        <v>50</v>
      </c>
      <c r="N553" s="156">
        <f t="shared" ca="1" si="404"/>
        <v>0</v>
      </c>
      <c r="O553" s="116">
        <f ca="1">SUBTOTAL(109,'3.3 I&amp;W'!$S$45)</f>
        <v>93488.099999999991</v>
      </c>
      <c r="P553" s="30">
        <f t="shared" ca="1" si="408"/>
        <v>0</v>
      </c>
      <c r="Q553" s="31">
        <f t="shared" ca="1" si="395"/>
        <v>0</v>
      </c>
      <c r="R553" s="31">
        <f t="shared" ca="1" si="396"/>
        <v>0</v>
      </c>
      <c r="S553" s="31">
        <f t="shared" ca="1" si="397"/>
        <v>0</v>
      </c>
      <c r="T553" s="32">
        <f t="shared" ca="1" si="398"/>
        <v>0</v>
      </c>
      <c r="U553" s="37">
        <f t="shared" ca="1" si="405"/>
        <v>14023.989456148596</v>
      </c>
      <c r="V553" s="40">
        <f t="shared" ca="1" si="406"/>
        <v>0</v>
      </c>
      <c r="W553" s="41">
        <f t="shared" ca="1" si="399"/>
        <v>0</v>
      </c>
      <c r="X553" s="43"/>
      <c r="Y553" s="46"/>
      <c r="Z553" s="126"/>
      <c r="AA553" s="136"/>
      <c r="AB553" s="83">
        <v>0</v>
      </c>
      <c r="AC553" s="84"/>
      <c r="AD553" s="72"/>
      <c r="AE553" s="72"/>
      <c r="AF553" s="85">
        <f ca="1">'3.3 Fi&amp;Fo'!$F$25</f>
        <v>1234161.06</v>
      </c>
      <c r="AG553" s="71"/>
      <c r="AH553" s="207"/>
      <c r="AI553" s="207"/>
      <c r="AJ553" s="209">
        <f>'3.3 Fi&amp;Fo'!$G$19</f>
        <v>1702597.6</v>
      </c>
      <c r="AK553" s="86">
        <f ca="1">AF553+AJ553</f>
        <v>2936758.66</v>
      </c>
      <c r="AL553" s="80">
        <f>'3.3 Fi&amp;Fo'!$G$14</f>
        <v>20750</v>
      </c>
      <c r="AM553" s="85">
        <f>'3.3 Fi&amp;Fo'!$G$17</f>
        <v>1114633.632</v>
      </c>
      <c r="AN553" s="838">
        <v>0</v>
      </c>
      <c r="AO553" s="844">
        <v>0</v>
      </c>
      <c r="AP553" s="844">
        <f>BN658</f>
        <v>0</v>
      </c>
      <c r="AQ553" s="844">
        <f>IF(AN553=$AO$198,$E$16*$G$157^AN553,0)</f>
        <v>0</v>
      </c>
      <c r="AR553" s="844">
        <v>0</v>
      </c>
      <c r="AS553" s="844">
        <v>0</v>
      </c>
      <c r="AT553" s="844">
        <v>0</v>
      </c>
      <c r="AU553" s="844">
        <v>0</v>
      </c>
      <c r="AV553" s="844">
        <v>0</v>
      </c>
      <c r="AW553" s="844">
        <f>IF(ISNA(VLOOKUP(B524,$N$6:$O$10,2,FALSE)),0,VLOOKUP(B524,$N$6:$O$10,2,FALSE))</f>
        <v>0</v>
      </c>
      <c r="AX553" s="844">
        <v>0</v>
      </c>
      <c r="AY553" s="841">
        <f>AN553</f>
        <v>0</v>
      </c>
      <c r="AZ553" s="842">
        <v>0</v>
      </c>
      <c r="BA553" s="842">
        <v>0</v>
      </c>
      <c r="BB553" s="842">
        <v>0</v>
      </c>
      <c r="BC553" s="842">
        <v>0</v>
      </c>
      <c r="BD553" s="842">
        <v>0</v>
      </c>
      <c r="BE553" s="842">
        <v>0</v>
      </c>
      <c r="BF553" s="842">
        <v>0</v>
      </c>
      <c r="BG553" s="842">
        <v>0</v>
      </c>
      <c r="BH553" s="858">
        <f>AN553</f>
        <v>0</v>
      </c>
      <c r="BI553" s="858">
        <v>0</v>
      </c>
      <c r="BJ553" s="858">
        <v>0</v>
      </c>
      <c r="BK553" s="859">
        <v>0</v>
      </c>
      <c r="BL553" s="824">
        <f t="shared" ca="1" si="400"/>
        <v>50</v>
      </c>
      <c r="BM553" s="824">
        <f t="shared" ca="1" si="401"/>
        <v>0</v>
      </c>
      <c r="BN553" s="824">
        <f t="shared" ca="1" si="402"/>
        <v>93488.099999999991</v>
      </c>
      <c r="BO553" s="824">
        <f t="shared" ca="1" si="407"/>
        <v>0</v>
      </c>
      <c r="BP553" s="824">
        <f t="shared" ca="1" si="407"/>
        <v>0</v>
      </c>
      <c r="BQ553" s="824">
        <f t="shared" ca="1" si="407"/>
        <v>0</v>
      </c>
      <c r="BR553" s="824">
        <f t="shared" ca="1" si="407"/>
        <v>0</v>
      </c>
      <c r="BS553" s="824">
        <f t="shared" ca="1" si="407"/>
        <v>0</v>
      </c>
      <c r="BT553" s="824">
        <f t="shared" ca="1" si="407"/>
        <v>0</v>
      </c>
      <c r="BU553" s="824">
        <f t="shared" ca="1" si="407"/>
        <v>0</v>
      </c>
      <c r="BV553" s="824">
        <f t="shared" ca="1" si="407"/>
        <v>0</v>
      </c>
      <c r="BW553" s="824">
        <f t="shared" ca="1" si="407"/>
        <v>0</v>
      </c>
      <c r="BX553" s="824">
        <f t="shared" ca="1" si="407"/>
        <v>0</v>
      </c>
      <c r="BY553" s="824">
        <f t="shared" ca="1" si="407"/>
        <v>0</v>
      </c>
      <c r="BZ553" s="824">
        <f t="shared" ca="1" si="407"/>
        <v>0</v>
      </c>
      <c r="CA553" s="824">
        <f t="shared" ca="1" si="407"/>
        <v>0</v>
      </c>
      <c r="CB553" s="824">
        <f t="shared" ca="1" si="407"/>
        <v>0</v>
      </c>
      <c r="CC553" s="824">
        <f t="shared" ca="1" si="407"/>
        <v>0</v>
      </c>
      <c r="CD553" s="824">
        <f t="shared" ca="1" si="407"/>
        <v>0</v>
      </c>
      <c r="CE553" s="824">
        <f t="shared" ca="1" si="403"/>
        <v>0</v>
      </c>
      <c r="CF553" s="824">
        <f t="shared" ca="1" si="403"/>
        <v>0</v>
      </c>
      <c r="CG553" s="824">
        <f t="shared" ca="1" si="403"/>
        <v>0</v>
      </c>
      <c r="CH553" s="824">
        <f t="shared" ca="1" si="403"/>
        <v>0</v>
      </c>
      <c r="CI553" s="824">
        <f t="shared" ca="1" si="403"/>
        <v>0</v>
      </c>
      <c r="CJ553" s="824">
        <f t="shared" ca="1" si="403"/>
        <v>0</v>
      </c>
      <c r="CK553" s="824">
        <f t="shared" ca="1" si="403"/>
        <v>0</v>
      </c>
      <c r="CL553" s="824">
        <f t="shared" ca="1" si="403"/>
        <v>0</v>
      </c>
      <c r="CM553" s="824">
        <f t="shared" ca="1" si="403"/>
        <v>0</v>
      </c>
      <c r="CN553" s="824">
        <f t="shared" ca="1" si="403"/>
        <v>0</v>
      </c>
      <c r="CO553" s="824">
        <f t="shared" ca="1" si="403"/>
        <v>0</v>
      </c>
      <c r="CP553" s="824">
        <f t="shared" ca="1" si="403"/>
        <v>0</v>
      </c>
      <c r="CQ553" s="824">
        <f t="shared" ca="1" si="403"/>
        <v>0</v>
      </c>
      <c r="CR553" s="824">
        <f t="shared" ca="1" si="403"/>
        <v>0</v>
      </c>
      <c r="CS553" s="824">
        <f t="shared" ca="1" si="403"/>
        <v>0</v>
      </c>
      <c r="CT553" s="824">
        <f t="shared" ca="1" si="403"/>
        <v>0</v>
      </c>
      <c r="CU553" s="824">
        <f t="shared" ca="1" si="403"/>
        <v>0</v>
      </c>
      <c r="CV553" s="824">
        <f t="shared" ca="1" si="403"/>
        <v>0</v>
      </c>
      <c r="CW553" s="824">
        <f t="shared" ca="1" si="403"/>
        <v>0</v>
      </c>
      <c r="CX553" s="824">
        <f t="shared" ca="1" si="403"/>
        <v>0</v>
      </c>
      <c r="CY553" s="824">
        <f t="shared" ca="1" si="403"/>
        <v>0</v>
      </c>
      <c r="CZ553" s="824">
        <f t="shared" ca="1" si="403"/>
        <v>0</v>
      </c>
      <c r="DA553" s="824">
        <f t="shared" ca="1" si="403"/>
        <v>0</v>
      </c>
      <c r="DB553" s="824">
        <f t="shared" ca="1" si="403"/>
        <v>0</v>
      </c>
      <c r="DC553" s="824">
        <f t="shared" ca="1" si="403"/>
        <v>0</v>
      </c>
      <c r="DD553" s="824">
        <f t="shared" ca="1" si="403"/>
        <v>0</v>
      </c>
      <c r="DE553" s="824">
        <f t="shared" ca="1" si="403"/>
        <v>0</v>
      </c>
      <c r="DF553" s="824">
        <f t="shared" ca="1" si="403"/>
        <v>0</v>
      </c>
      <c r="DG553" s="824">
        <f t="shared" ca="1" si="403"/>
        <v>0</v>
      </c>
      <c r="DH553" s="824">
        <f t="shared" ca="1" si="403"/>
        <v>0</v>
      </c>
      <c r="DI553" s="824">
        <f t="shared" ca="1" si="403"/>
        <v>0</v>
      </c>
      <c r="DJ553" s="824">
        <f t="shared" ca="1" si="403"/>
        <v>0</v>
      </c>
      <c r="DK553" s="824">
        <f t="shared" ca="1" si="403"/>
        <v>0</v>
      </c>
      <c r="DL553" s="824">
        <f t="shared" ca="1" si="403"/>
        <v>0</v>
      </c>
    </row>
    <row r="554" spans="2:116" ht="12" thickBot="1" x14ac:dyDescent="0.3">
      <c r="B554" s="1673"/>
      <c r="C554" s="1680"/>
      <c r="D554" s="15" t="s">
        <v>125</v>
      </c>
      <c r="E554" s="165"/>
      <c r="F554" s="116">
        <f ca="1">SUBTOTAL(109,'3.3 I&amp;W'!$X$46)</f>
        <v>0</v>
      </c>
      <c r="G554" s="116">
        <f ca="1">SUBTOTAL(109,'3.3 I&amp;W'!$Y$46)</f>
        <v>0</v>
      </c>
      <c r="H554" s="116">
        <f ca="1">SUBTOTAL(109,'3.3 I&amp;W'!$AD$46)</f>
        <v>0</v>
      </c>
      <c r="I554" s="116">
        <f ca="1">SUBTOTAL(109,'3.3 I&amp;W'!$AE$46)</f>
        <v>0</v>
      </c>
      <c r="J554" s="116"/>
      <c r="K554" s="116"/>
      <c r="L554" s="116"/>
      <c r="M554" s="116">
        <f ca="1">SUBTOTAL(109,'3.3 I&amp;W'!$AI$46)</f>
        <v>0</v>
      </c>
      <c r="N554" s="156">
        <f t="shared" ca="1" si="404"/>
        <v>0</v>
      </c>
      <c r="O554" s="116">
        <f ca="1">SUBTOTAL(109,'3.3 I&amp;W'!$S$46)</f>
        <v>0</v>
      </c>
      <c r="P554" s="30">
        <f t="shared" ca="1" si="408"/>
        <v>0</v>
      </c>
      <c r="Q554" s="31">
        <f t="shared" ca="1" si="395"/>
        <v>0</v>
      </c>
      <c r="R554" s="31">
        <f t="shared" ca="1" si="396"/>
        <v>0</v>
      </c>
      <c r="S554" s="31">
        <f t="shared" ca="1" si="397"/>
        <v>0</v>
      </c>
      <c r="T554" s="32">
        <f t="shared" ca="1" si="398"/>
        <v>0</v>
      </c>
      <c r="U554" s="37">
        <f t="shared" ca="1" si="405"/>
        <v>0</v>
      </c>
      <c r="V554" s="40">
        <f t="shared" ca="1" si="406"/>
        <v>0</v>
      </c>
      <c r="W554" s="41">
        <f t="shared" ca="1" si="399"/>
        <v>0</v>
      </c>
      <c r="X554" s="43"/>
      <c r="Y554" s="46"/>
      <c r="Z554" s="126"/>
      <c r="AA554" s="136"/>
      <c r="AB554" s="83">
        <v>1</v>
      </c>
      <c r="AC554" s="84">
        <f ca="1">IF(AF553&lt;=1,0,'3.3 Fi&amp;Fo'!$I$25)</f>
        <v>49369.168897197917</v>
      </c>
      <c r="AD554" s="72">
        <f ca="1">IF(AF553&lt;=1,0,AF553*'3.3 Fi&amp;Fo'!$H$25)</f>
        <v>24683.2212</v>
      </c>
      <c r="AE554" s="78">
        <f t="shared" ref="AE554:AE603" ca="1" si="409">AC554-AD554</f>
        <v>24685.947697197917</v>
      </c>
      <c r="AF554" s="85">
        <f t="shared" ref="AF554:AF603" ca="1" si="410">AF553-AE554</f>
        <v>1209475.112302802</v>
      </c>
      <c r="AG554" s="168">
        <f>IF(AJ553&lt;=1,0,IF(AB554&lt;='3.3 Fi&amp;Fo'!$F$34,'3.3 Fi&amp;Fo'!$J$34,IF(AB554&lt;='3.3 Fi&amp;Fo'!$F$35,'3.3 Fi&amp;Fo'!$J$35,IF(AB554&lt;='3.3 Fi&amp;Fo'!$F$36,'3.3 Fi&amp;Fo'!$J$36,IF(AB554&lt;='3.3 Fi&amp;Fo'!$F$37,'3.3 Fi&amp;Fo'!$J$37,IF(AB554&lt;='3.3 Fi&amp;Fo'!$F$38,'3.3 Fi&amp;Fo'!$J$38,IF(AB554&lt;='3.3 Fi&amp;Fo'!$F$39,'3.3 Fi&amp;Fo'!$J$39,IF(AB554&lt;='3.3 Fi&amp;Fo'!$F$40,'3.3 Fi&amp;Fo'!$J$40))))))))</f>
        <v>25550.964</v>
      </c>
      <c r="AH554" s="207">
        <f>IF(AJ553&lt;=1,0,AJ553*IF(AB554&lt;='3.3 Fi&amp;Fo'!$F$34,'3.3 Fi&amp;Fo'!$I$34,IF(AB554&lt;='3.3 Fi&amp;Fo'!$F$35,'3.3 Fi&amp;Fo'!$I$35,IF(AB554&lt;='3.3 Fi&amp;Fo'!$F$38,'3.3 Fi&amp;Fo'!$I$38,IF(AB554&lt;='3.3 Fi&amp;Fo'!$F$39,'3.3 Fi&amp;Fo'!$I$39,IF(AB554&lt;='3.3 Fi&amp;Fo'!$F$40,'3.3 Fi&amp;Fo'!$I$40))))))</f>
        <v>25538.964</v>
      </c>
      <c r="AI554" s="210">
        <f t="shared" ref="AI554:AI585" si="411">AG554-AH554</f>
        <v>12</v>
      </c>
      <c r="AJ554" s="209">
        <f t="shared" ref="AJ554:AJ603" si="412">AJ553-AI554</f>
        <v>1702585.6</v>
      </c>
      <c r="AK554" s="312">
        <f ca="1">-AC554-AG554+AL554-AM554</f>
        <v>-97212.805537197914</v>
      </c>
      <c r="AL554" s="169">
        <f>IF(AB554&lt;='3.3 Fi&amp;Fo'!$J$15,'3.3 Fi&amp;Fo'!$I$15,0)</f>
        <v>0</v>
      </c>
      <c r="AM554" s="169">
        <f>IF(AB554&lt;=$G$154,($AM$553*(1+$D$152)^AB554-$AM$553*(1+$D$152)^AB553),0)</f>
        <v>22292.672640000004</v>
      </c>
      <c r="AN554" s="838">
        <f>IF($AO$198&gt;1,1,"")</f>
        <v>1</v>
      </c>
      <c r="AO554" s="844">
        <f t="shared" ref="AO554:AO603" ca="1" si="413">AK554*-1</f>
        <v>97212.805537197914</v>
      </c>
      <c r="AP554" s="839">
        <f ca="1">BO658</f>
        <v>0</v>
      </c>
      <c r="AQ554" s="844">
        <f t="shared" ref="AQ554:AQ603" si="414">IF(AN554=$AO$198,$E$16*$G$157^AN554,0)</f>
        <v>0</v>
      </c>
      <c r="AR554" s="839">
        <f ca="1">G688</f>
        <v>0</v>
      </c>
      <c r="AS554" s="839">
        <f ca="1">SUM(BI554:BK554)</f>
        <v>6671.2999999999993</v>
      </c>
      <c r="AT554" s="839">
        <f ca="1">SUM(AZ554:BG554)</f>
        <v>8364.2718772799999</v>
      </c>
      <c r="AU554" s="839">
        <f ca="1">'PV-Einspeisung'!AA146*-1</f>
        <v>0</v>
      </c>
      <c r="AV554" s="839">
        <f ca="1">'PV-Einspeisung'!AE146*-1</f>
        <v>0</v>
      </c>
      <c r="AW554" s="839"/>
      <c r="AX554" s="839">
        <f ca="1">IF(-$Y$108*$G$152&lt;=0,-$Y$108*$G$152,0)*-1</f>
        <v>0</v>
      </c>
      <c r="AY554" s="841">
        <f t="shared" ref="AY554:AY603" si="415">AN554</f>
        <v>1</v>
      </c>
      <c r="AZ554" s="842">
        <f ca="1">AF658</f>
        <v>0</v>
      </c>
      <c r="BA554" s="842">
        <f t="shared" ref="BA554" ca="1" si="416">AG658</f>
        <v>0</v>
      </c>
      <c r="BB554" s="842">
        <f t="shared" ref="BB554" ca="1" si="417">AH658</f>
        <v>0</v>
      </c>
      <c r="BC554" s="842">
        <f t="shared" ref="BC554" ca="1" si="418">AI658</f>
        <v>0</v>
      </c>
      <c r="BD554" s="842">
        <f t="shared" ref="BD554" ca="1" si="419">AJ658</f>
        <v>0</v>
      </c>
      <c r="BE554" s="842">
        <f t="shared" ref="BE554" ca="1" si="420">AK658</f>
        <v>0</v>
      </c>
      <c r="BF554" s="842">
        <f t="shared" ref="BF554" ca="1" si="421">AL658</f>
        <v>6070.6199347199999</v>
      </c>
      <c r="BG554" s="842">
        <f t="shared" ref="BG554" ca="1" si="422">AM658</f>
        <v>2293.65194256</v>
      </c>
      <c r="BH554" s="858">
        <f t="shared" ref="BH554:BH603" si="423">AN554</f>
        <v>1</v>
      </c>
      <c r="BI554" s="858">
        <f ca="1">J688</f>
        <v>2996.3999999999996</v>
      </c>
      <c r="BJ554" s="858">
        <f ca="1">I688</f>
        <v>3674.9</v>
      </c>
      <c r="BK554" s="859">
        <f ca="1">'PV-Einspeisung'!AB146*-1</f>
        <v>0</v>
      </c>
      <c r="BL554" s="824">
        <f t="shared" ca="1" si="400"/>
        <v>0</v>
      </c>
      <c r="BM554" s="824">
        <f t="shared" ca="1" si="401"/>
        <v>0</v>
      </c>
      <c r="BN554" s="824">
        <f t="shared" ca="1" si="402"/>
        <v>0</v>
      </c>
      <c r="BO554" s="824">
        <f t="shared" ca="1" si="407"/>
        <v>0</v>
      </c>
      <c r="BP554" s="824">
        <f t="shared" ca="1" si="407"/>
        <v>0</v>
      </c>
      <c r="BQ554" s="824">
        <f t="shared" ca="1" si="407"/>
        <v>0</v>
      </c>
      <c r="BR554" s="824">
        <f t="shared" ca="1" si="407"/>
        <v>0</v>
      </c>
      <c r="BS554" s="824">
        <f t="shared" ca="1" si="407"/>
        <v>0</v>
      </c>
      <c r="BT554" s="824">
        <f t="shared" ca="1" si="407"/>
        <v>0</v>
      </c>
      <c r="BU554" s="824">
        <f t="shared" ca="1" si="407"/>
        <v>0</v>
      </c>
      <c r="BV554" s="824">
        <f t="shared" ca="1" si="407"/>
        <v>0</v>
      </c>
      <c r="BW554" s="824">
        <f t="shared" ca="1" si="407"/>
        <v>0</v>
      </c>
      <c r="BX554" s="824">
        <f t="shared" ca="1" si="407"/>
        <v>0</v>
      </c>
      <c r="BY554" s="824">
        <f t="shared" ca="1" si="407"/>
        <v>0</v>
      </c>
      <c r="BZ554" s="824">
        <f t="shared" ca="1" si="407"/>
        <v>0</v>
      </c>
      <c r="CA554" s="824">
        <f t="shared" ca="1" si="407"/>
        <v>0</v>
      </c>
      <c r="CB554" s="824">
        <f t="shared" ca="1" si="407"/>
        <v>0</v>
      </c>
      <c r="CC554" s="824">
        <f t="shared" ca="1" si="407"/>
        <v>0</v>
      </c>
      <c r="CD554" s="824">
        <f t="shared" ca="1" si="407"/>
        <v>0</v>
      </c>
      <c r="CE554" s="824">
        <f t="shared" ca="1" si="403"/>
        <v>0</v>
      </c>
      <c r="CF554" s="824">
        <f t="shared" ca="1" si="403"/>
        <v>0</v>
      </c>
      <c r="CG554" s="824">
        <f t="shared" ca="1" si="403"/>
        <v>0</v>
      </c>
      <c r="CH554" s="824">
        <f t="shared" ca="1" si="403"/>
        <v>0</v>
      </c>
      <c r="CI554" s="824">
        <f t="shared" ca="1" si="403"/>
        <v>0</v>
      </c>
      <c r="CJ554" s="824">
        <f t="shared" ca="1" si="403"/>
        <v>0</v>
      </c>
      <c r="CK554" s="824">
        <f t="shared" ca="1" si="403"/>
        <v>0</v>
      </c>
      <c r="CL554" s="824">
        <f t="shared" ca="1" si="403"/>
        <v>0</v>
      </c>
      <c r="CM554" s="824">
        <f t="shared" ca="1" si="403"/>
        <v>0</v>
      </c>
      <c r="CN554" s="824">
        <f t="shared" ca="1" si="403"/>
        <v>0</v>
      </c>
      <c r="CO554" s="824">
        <f t="shared" ca="1" si="403"/>
        <v>0</v>
      </c>
      <c r="CP554" s="824">
        <f t="shared" ca="1" si="403"/>
        <v>0</v>
      </c>
      <c r="CQ554" s="824">
        <f t="shared" ca="1" si="403"/>
        <v>0</v>
      </c>
      <c r="CR554" s="824">
        <f t="shared" ca="1" si="403"/>
        <v>0</v>
      </c>
      <c r="CS554" s="824">
        <f t="shared" ca="1" si="403"/>
        <v>0</v>
      </c>
      <c r="CT554" s="824">
        <f t="shared" ca="1" si="403"/>
        <v>0</v>
      </c>
      <c r="CU554" s="824">
        <f t="shared" ca="1" si="403"/>
        <v>0</v>
      </c>
      <c r="CV554" s="824">
        <f t="shared" ca="1" si="403"/>
        <v>0</v>
      </c>
      <c r="CW554" s="824">
        <f t="shared" ca="1" si="403"/>
        <v>0</v>
      </c>
      <c r="CX554" s="824">
        <f t="shared" ca="1" si="403"/>
        <v>0</v>
      </c>
      <c r="CY554" s="824">
        <f t="shared" ca="1" si="403"/>
        <v>0</v>
      </c>
      <c r="CZ554" s="824">
        <f t="shared" ca="1" si="403"/>
        <v>0</v>
      </c>
      <c r="DA554" s="824">
        <f t="shared" ca="1" si="403"/>
        <v>0</v>
      </c>
      <c r="DB554" s="824">
        <f t="shared" ca="1" si="403"/>
        <v>0</v>
      </c>
      <c r="DC554" s="824">
        <f t="shared" ca="1" si="403"/>
        <v>0</v>
      </c>
      <c r="DD554" s="824">
        <f t="shared" ca="1" si="403"/>
        <v>0</v>
      </c>
      <c r="DE554" s="824">
        <f t="shared" ca="1" si="403"/>
        <v>0</v>
      </c>
      <c r="DF554" s="824">
        <f t="shared" ca="1" si="403"/>
        <v>0</v>
      </c>
      <c r="DG554" s="824">
        <f t="shared" ca="1" si="403"/>
        <v>0</v>
      </c>
      <c r="DH554" s="824">
        <f t="shared" ca="1" si="403"/>
        <v>0</v>
      </c>
      <c r="DI554" s="824">
        <f t="shared" ca="1" si="403"/>
        <v>0</v>
      </c>
      <c r="DJ554" s="824">
        <f t="shared" ca="1" si="403"/>
        <v>0</v>
      </c>
      <c r="DK554" s="824">
        <f t="shared" ca="1" si="403"/>
        <v>0</v>
      </c>
      <c r="DL554" s="824">
        <f t="shared" ca="1" si="403"/>
        <v>0</v>
      </c>
    </row>
    <row r="555" spans="2:116" ht="12" thickBot="1" x14ac:dyDescent="0.3">
      <c r="B555" s="1673"/>
      <c r="C555" s="1680"/>
      <c r="D555" s="15" t="s">
        <v>126</v>
      </c>
      <c r="E555" s="116"/>
      <c r="F555" s="116">
        <f ca="1">SUBTOTAL(109,'3.3 I&amp;W'!$X$49)</f>
        <v>0</v>
      </c>
      <c r="G555" s="116">
        <f ca="1">SUBTOTAL(109,'3.3 I&amp;W'!$Y$49)</f>
        <v>0</v>
      </c>
      <c r="H555" s="116">
        <f ca="1">SUBTOTAL(109,'3.3 I&amp;W'!$AD$49)</f>
        <v>0</v>
      </c>
      <c r="I555" s="116">
        <f ca="1">SUBTOTAL(109,'3.3 I&amp;W'!$AE$49)</f>
        <v>0</v>
      </c>
      <c r="J555" s="116"/>
      <c r="K555" s="116"/>
      <c r="L555" s="116"/>
      <c r="M555" s="116">
        <f ca="1">SUBTOTAL(109,'3.3 I&amp;W'!$AI$49)</f>
        <v>0</v>
      </c>
      <c r="N555" s="156">
        <f t="shared" ca="1" si="404"/>
        <v>0</v>
      </c>
      <c r="O555" s="116">
        <f ca="1">SUBTOTAL(109,'3.3 I&amp;W'!$S$49)</f>
        <v>0</v>
      </c>
      <c r="P555" s="30">
        <f t="shared" ca="1" si="408"/>
        <v>0</v>
      </c>
      <c r="Q555" s="31">
        <f t="shared" ca="1" si="395"/>
        <v>0</v>
      </c>
      <c r="R555" s="31">
        <f t="shared" ca="1" si="396"/>
        <v>0</v>
      </c>
      <c r="S555" s="31">
        <f t="shared" ca="1" si="397"/>
        <v>0</v>
      </c>
      <c r="T555" s="32">
        <f t="shared" ca="1" si="398"/>
        <v>0</v>
      </c>
      <c r="U555" s="37">
        <f t="shared" ca="1" si="405"/>
        <v>0</v>
      </c>
      <c r="V555" s="40">
        <f t="shared" ca="1" si="406"/>
        <v>0</v>
      </c>
      <c r="W555" s="41">
        <f t="shared" ca="1" si="399"/>
        <v>0</v>
      </c>
      <c r="X555" s="43"/>
      <c r="Y555" s="46"/>
      <c r="Z555" s="126"/>
      <c r="AA555" s="136"/>
      <c r="AB555" s="83">
        <v>2</v>
      </c>
      <c r="AC555" s="84">
        <f ca="1">IF(AF554&lt;=1,0,'3.3 Fi&amp;Fo'!$I$25)</f>
        <v>49369.168897197917</v>
      </c>
      <c r="AD555" s="72">
        <f ca="1">IF(AF554&lt;=1,0,AF554*'3.3 Fi&amp;Fo'!$H$25)</f>
        <v>24189.502246056039</v>
      </c>
      <c r="AE555" s="78">
        <f t="shared" ca="1" si="409"/>
        <v>25179.666651141877</v>
      </c>
      <c r="AF555" s="85">
        <f t="shared" ca="1" si="410"/>
        <v>1184295.4456516602</v>
      </c>
      <c r="AG555" s="168">
        <f>IF(AJ554&lt;=1,0,IF(AB555&lt;='3.3 Fi&amp;Fo'!$F$34,'3.3 Fi&amp;Fo'!$J$34,IF(AB555&lt;='3.3 Fi&amp;Fo'!$F$35,'3.3 Fi&amp;Fo'!$J$35,IF(AB555&lt;='3.3 Fi&amp;Fo'!$F$36,'3.3 Fi&amp;Fo'!$J$36,IF(AB555&lt;='3.3 Fi&amp;Fo'!$F$37,'3.3 Fi&amp;Fo'!$J$37,IF(AB555&lt;='3.3 Fi&amp;Fo'!$F$38,'3.3 Fi&amp;Fo'!$J$38,IF(AB555&lt;='3.3 Fi&amp;Fo'!$F$39,'3.3 Fi&amp;Fo'!$J$39,IF(AB555&lt;='3.3 Fi&amp;Fo'!$F$40,'3.3 Fi&amp;Fo'!$J$40))))))))</f>
        <v>25550.964</v>
      </c>
      <c r="AH555" s="207">
        <f>IF(AJ554&lt;=1,0,AJ554*IF(AB555&lt;='3.3 Fi&amp;Fo'!$F$34,'3.3 Fi&amp;Fo'!$I$34,IF(AB555&lt;='3.3 Fi&amp;Fo'!$F$35,'3.3 Fi&amp;Fo'!$I$35,IF(AB555&lt;='3.3 Fi&amp;Fo'!$F$38,'3.3 Fi&amp;Fo'!$I$38,IF(AB555&lt;='3.3 Fi&amp;Fo'!$F$39,'3.3 Fi&amp;Fo'!$I$39,IF(AB555&lt;='3.3 Fi&amp;Fo'!$F$40,'3.3 Fi&amp;Fo'!$I$40))))))</f>
        <v>25538.784</v>
      </c>
      <c r="AI555" s="210">
        <f t="shared" si="411"/>
        <v>12.180000000000291</v>
      </c>
      <c r="AJ555" s="209">
        <f t="shared" si="412"/>
        <v>1702573.4200000002</v>
      </c>
      <c r="AK555" s="312">
        <f t="shared" ref="AK555:AK585" ca="1" si="424">-AC555-AG555+AL555-AM555</f>
        <v>-97658.658989997988</v>
      </c>
      <c r="AL555" s="169">
        <f>IF(AB555&lt;='3.3 Fi&amp;Fo'!$J$15,'3.3 Fi&amp;Fo'!$I$15,0)</f>
        <v>0</v>
      </c>
      <c r="AM555" s="169">
        <f t="shared" ref="AM555:AM603" si="425">IF(AB555&lt;=$G$154,($AM$553*(1+$D$152)^AB555-$AM$553*(1+$D$152)^AB554),0)</f>
        <v>22738.526092800079</v>
      </c>
      <c r="AN555" s="838">
        <f>IF($AO$198&gt;AN554,AN554+1,"")</f>
        <v>2</v>
      </c>
      <c r="AO555" s="844">
        <f t="shared" ca="1" si="413"/>
        <v>97658.658989997988</v>
      </c>
      <c r="AP555" s="839">
        <f ca="1">BP658</f>
        <v>0</v>
      </c>
      <c r="AQ555" s="844">
        <f t="shared" si="414"/>
        <v>0</v>
      </c>
      <c r="AR555" s="839">
        <f ca="1">IF(AN555="","",AR554*$AR$201)</f>
        <v>0</v>
      </c>
      <c r="AS555" s="839">
        <f t="shared" ref="AS555:AS603" ca="1" si="426">SUM(BI555:BK555)</f>
        <v>6778.0407999999998</v>
      </c>
      <c r="AT555" s="839">
        <f t="shared" ref="AT555:AT603" ca="1" si="427">SUM(AZ555:BG555)</f>
        <v>8596.3151936375998</v>
      </c>
      <c r="AU555" s="839">
        <f ca="1">'PV-Einspeisung'!AA147*-1</f>
        <v>0</v>
      </c>
      <c r="AV555" s="839">
        <f ca="1">'PV-Einspeisung'!AE147*-1</f>
        <v>0</v>
      </c>
      <c r="AW555" s="839"/>
      <c r="AX555" s="839">
        <f ca="1">IF(AN555="","",AX554*$AX$201)</f>
        <v>0</v>
      </c>
      <c r="AY555" s="841">
        <f t="shared" si="415"/>
        <v>2</v>
      </c>
      <c r="AZ555" s="842">
        <f ca="1">IF($AN555="","",AZ554*$AZ$201)</f>
        <v>0</v>
      </c>
      <c r="BA555" s="842">
        <f ca="1">IF($AN555="","",BA554*$BA$201)</f>
        <v>0</v>
      </c>
      <c r="BB555" s="842">
        <f ca="1">IF($AN555="","",BB554*$BB$201)</f>
        <v>0</v>
      </c>
      <c r="BC555" s="842">
        <f ca="1">IF($AN555="","",BC554*$BC$201)</f>
        <v>0</v>
      </c>
      <c r="BD555" s="842">
        <f ca="1">IF($AN555="","",BD554*$BD$201)</f>
        <v>0</v>
      </c>
      <c r="BE555" s="842">
        <f ca="1">IF($AN555="","",BE554*$BE$201)</f>
        <v>0</v>
      </c>
      <c r="BF555" s="842">
        <f ca="1">IF($AN555="","",BF554*$BF$201)</f>
        <v>6222.3854330879994</v>
      </c>
      <c r="BG555" s="842">
        <f ca="1">IF($AN555="","",BG554*$BG$201)</f>
        <v>2373.9297605495999</v>
      </c>
      <c r="BH555" s="858">
        <f t="shared" si="423"/>
        <v>2</v>
      </c>
      <c r="BI555" s="857">
        <f ca="1">IF($AN555="","",BI554*$BI$201)</f>
        <v>3044.3423999999995</v>
      </c>
      <c r="BJ555" s="857">
        <f ca="1">IF($AN555="","",BJ554*$BJ$201)</f>
        <v>3733.6984000000002</v>
      </c>
      <c r="BK555" s="859">
        <f ca="1">'PV-Einspeisung'!AB147*-1</f>
        <v>0</v>
      </c>
      <c r="BL555" s="824">
        <f t="shared" ca="1" si="400"/>
        <v>0</v>
      </c>
      <c r="BM555" s="824">
        <f t="shared" ca="1" si="401"/>
        <v>0</v>
      </c>
      <c r="BN555" s="824">
        <f t="shared" ca="1" si="402"/>
        <v>0</v>
      </c>
      <c r="BO555" s="824">
        <f t="shared" ca="1" si="407"/>
        <v>0</v>
      </c>
      <c r="BP555" s="824">
        <f t="shared" ca="1" si="407"/>
        <v>0</v>
      </c>
      <c r="BQ555" s="824">
        <f t="shared" ca="1" si="407"/>
        <v>0</v>
      </c>
      <c r="BR555" s="824">
        <f t="shared" ca="1" si="407"/>
        <v>0</v>
      </c>
      <c r="BS555" s="824">
        <f t="shared" ca="1" si="407"/>
        <v>0</v>
      </c>
      <c r="BT555" s="824">
        <f t="shared" ca="1" si="407"/>
        <v>0</v>
      </c>
      <c r="BU555" s="824">
        <f t="shared" ca="1" si="407"/>
        <v>0</v>
      </c>
      <c r="BV555" s="824">
        <f t="shared" ca="1" si="407"/>
        <v>0</v>
      </c>
      <c r="BW555" s="824">
        <f t="shared" ca="1" si="407"/>
        <v>0</v>
      </c>
      <c r="BX555" s="824">
        <f t="shared" ca="1" si="407"/>
        <v>0</v>
      </c>
      <c r="BY555" s="824">
        <f t="shared" ca="1" si="407"/>
        <v>0</v>
      </c>
      <c r="BZ555" s="824">
        <f t="shared" ca="1" si="407"/>
        <v>0</v>
      </c>
      <c r="CA555" s="824">
        <f t="shared" ca="1" si="407"/>
        <v>0</v>
      </c>
      <c r="CB555" s="824">
        <f t="shared" ca="1" si="407"/>
        <v>0</v>
      </c>
      <c r="CC555" s="824">
        <f t="shared" ca="1" si="407"/>
        <v>0</v>
      </c>
      <c r="CD555" s="824">
        <f t="shared" ca="1" si="407"/>
        <v>0</v>
      </c>
      <c r="CE555" s="824">
        <f t="shared" ca="1" si="403"/>
        <v>0</v>
      </c>
      <c r="CF555" s="824">
        <f t="shared" ca="1" si="403"/>
        <v>0</v>
      </c>
      <c r="CG555" s="824">
        <f t="shared" ca="1" si="403"/>
        <v>0</v>
      </c>
      <c r="CH555" s="824">
        <f t="shared" ca="1" si="403"/>
        <v>0</v>
      </c>
      <c r="CI555" s="824">
        <f t="shared" ca="1" si="403"/>
        <v>0</v>
      </c>
      <c r="CJ555" s="824">
        <f t="shared" ca="1" si="403"/>
        <v>0</v>
      </c>
      <c r="CK555" s="824">
        <f t="shared" ref="CK555:CZ581" ca="1" si="428">IF(OR(IF($BL555*1&lt;$BL$196,$BL555*1=CK$198,FALSE),IF($BL555*2&lt;$BL$196,$BL555*2=CK$198,FALSE),IF($BL555*3&lt;$BL$196,$BL555*3=CK$198,FALSE),IF($BL555*4&lt;$BL$196,$BL555*4=CK$198,FALSE),IF($BL555*5&lt;$BL$196,$BL555*5=CK$198,FALSE)),$BN555*$BM$196^CK$198,0)</f>
        <v>0</v>
      </c>
      <c r="CL555" s="824">
        <f t="shared" ca="1" si="428"/>
        <v>0</v>
      </c>
      <c r="CM555" s="824">
        <f t="shared" ca="1" si="428"/>
        <v>0</v>
      </c>
      <c r="CN555" s="824">
        <f t="shared" ca="1" si="428"/>
        <v>0</v>
      </c>
      <c r="CO555" s="824">
        <f t="shared" ca="1" si="428"/>
        <v>0</v>
      </c>
      <c r="CP555" s="824">
        <f t="shared" ca="1" si="428"/>
        <v>0</v>
      </c>
      <c r="CQ555" s="824">
        <f t="shared" ca="1" si="428"/>
        <v>0</v>
      </c>
      <c r="CR555" s="824">
        <f t="shared" ca="1" si="428"/>
        <v>0</v>
      </c>
      <c r="CS555" s="824">
        <f t="shared" ca="1" si="428"/>
        <v>0</v>
      </c>
      <c r="CT555" s="824">
        <f t="shared" ca="1" si="428"/>
        <v>0</v>
      </c>
      <c r="CU555" s="824">
        <f t="shared" ca="1" si="428"/>
        <v>0</v>
      </c>
      <c r="CV555" s="824">
        <f t="shared" ca="1" si="428"/>
        <v>0</v>
      </c>
      <c r="CW555" s="824">
        <f t="shared" ca="1" si="428"/>
        <v>0</v>
      </c>
      <c r="CX555" s="824">
        <f t="shared" ca="1" si="428"/>
        <v>0</v>
      </c>
      <c r="CY555" s="824">
        <f t="shared" ca="1" si="428"/>
        <v>0</v>
      </c>
      <c r="CZ555" s="824">
        <f t="shared" ca="1" si="428"/>
        <v>0</v>
      </c>
      <c r="DA555" s="824">
        <f t="shared" ref="DA555:DL576" ca="1" si="429">IF(OR(IF($BL555*1&lt;$BL$196,$BL555*1=DA$198,FALSE),IF($BL555*2&lt;$BL$196,$BL555*2=DA$198,FALSE),IF($BL555*3&lt;$BL$196,$BL555*3=DA$198,FALSE),IF($BL555*4&lt;$BL$196,$BL555*4=DA$198,FALSE),IF($BL555*5&lt;$BL$196,$BL555*5=DA$198,FALSE)),$BN555*$BM$196^DA$198,0)</f>
        <v>0</v>
      </c>
      <c r="DB555" s="824">
        <f t="shared" ca="1" si="429"/>
        <v>0</v>
      </c>
      <c r="DC555" s="824">
        <f t="shared" ca="1" si="429"/>
        <v>0</v>
      </c>
      <c r="DD555" s="824">
        <f t="shared" ca="1" si="429"/>
        <v>0</v>
      </c>
      <c r="DE555" s="824">
        <f t="shared" ca="1" si="429"/>
        <v>0</v>
      </c>
      <c r="DF555" s="824">
        <f t="shared" ca="1" si="429"/>
        <v>0</v>
      </c>
      <c r="DG555" s="824">
        <f t="shared" ca="1" si="429"/>
        <v>0</v>
      </c>
      <c r="DH555" s="824">
        <f t="shared" ca="1" si="429"/>
        <v>0</v>
      </c>
      <c r="DI555" s="824">
        <f t="shared" ca="1" si="429"/>
        <v>0</v>
      </c>
      <c r="DJ555" s="824">
        <f t="shared" ca="1" si="429"/>
        <v>0</v>
      </c>
      <c r="DK555" s="824">
        <f t="shared" ca="1" si="429"/>
        <v>0</v>
      </c>
      <c r="DL555" s="824">
        <f t="shared" ca="1" si="429"/>
        <v>0</v>
      </c>
    </row>
    <row r="556" spans="2:116" ht="12" thickBot="1" x14ac:dyDescent="0.3">
      <c r="B556" s="1673"/>
      <c r="C556" s="1680"/>
      <c r="D556" s="15" t="s">
        <v>126</v>
      </c>
      <c r="E556" s="165"/>
      <c r="F556" s="116">
        <f ca="1">SUBTOTAL(109,'3.3 I&amp;W'!$X$50)</f>
        <v>0</v>
      </c>
      <c r="G556" s="116">
        <f ca="1">SUBTOTAL(109,'3.3 I&amp;W'!$Y$50)</f>
        <v>0</v>
      </c>
      <c r="H556" s="116">
        <f ca="1">SUBTOTAL(109,'3.3 I&amp;W'!$AD$50)</f>
        <v>0</v>
      </c>
      <c r="I556" s="116">
        <f ca="1">SUBTOTAL(109,'3.3 I&amp;W'!$AE$50)</f>
        <v>0</v>
      </c>
      <c r="J556" s="116"/>
      <c r="K556" s="116"/>
      <c r="L556" s="116"/>
      <c r="M556" s="116">
        <f ca="1">SUBTOTAL(109,'3.3 I&amp;W'!$AI$50)</f>
        <v>0</v>
      </c>
      <c r="N556" s="156">
        <f t="shared" ca="1" si="404"/>
        <v>0</v>
      </c>
      <c r="O556" s="116">
        <f ca="1">SUBTOTAL(109,'3.3 I&amp;W'!$S$50)</f>
        <v>0</v>
      </c>
      <c r="P556" s="30">
        <f t="shared" ca="1" si="408"/>
        <v>0</v>
      </c>
      <c r="Q556" s="31">
        <f t="shared" ca="1" si="395"/>
        <v>0</v>
      </c>
      <c r="R556" s="31">
        <f t="shared" ca="1" si="396"/>
        <v>0</v>
      </c>
      <c r="S556" s="31">
        <f t="shared" ca="1" si="397"/>
        <v>0</v>
      </c>
      <c r="T556" s="32">
        <f t="shared" ca="1" si="398"/>
        <v>0</v>
      </c>
      <c r="U556" s="37">
        <f t="shared" ca="1" si="405"/>
        <v>0</v>
      </c>
      <c r="V556" s="40">
        <f t="shared" ca="1" si="406"/>
        <v>0</v>
      </c>
      <c r="W556" s="41">
        <f t="shared" ca="1" si="399"/>
        <v>0</v>
      </c>
      <c r="X556" s="43"/>
      <c r="Y556" s="46"/>
      <c r="Z556" s="126"/>
      <c r="AA556" s="136"/>
      <c r="AB556" s="83">
        <v>3</v>
      </c>
      <c r="AC556" s="84">
        <f ca="1">IF(AF555&lt;=1,0,'3.3 Fi&amp;Fo'!$I$25)</f>
        <v>49369.168897197917</v>
      </c>
      <c r="AD556" s="72">
        <f ca="1">IF(AF555&lt;=1,0,AF555*'3.3 Fi&amp;Fo'!$H$25)</f>
        <v>23685.908913033203</v>
      </c>
      <c r="AE556" s="78">
        <f t="shared" ca="1" si="409"/>
        <v>25683.259984164713</v>
      </c>
      <c r="AF556" s="85">
        <f t="shared" ca="1" si="410"/>
        <v>1158612.1856674955</v>
      </c>
      <c r="AG556" s="168">
        <f>IF(AJ555&lt;=1,0,IF(AB556&lt;='3.3 Fi&amp;Fo'!$F$34,'3.3 Fi&amp;Fo'!$J$34,IF(AB556&lt;='3.3 Fi&amp;Fo'!$F$35,'3.3 Fi&amp;Fo'!$J$35,IF(AB556&lt;='3.3 Fi&amp;Fo'!$F$36,'3.3 Fi&amp;Fo'!$J$36,IF(AB556&lt;='3.3 Fi&amp;Fo'!$F$37,'3.3 Fi&amp;Fo'!$J$37,IF(AB556&lt;='3.3 Fi&amp;Fo'!$F$38,'3.3 Fi&amp;Fo'!$J$38,IF(AB556&lt;='3.3 Fi&amp;Fo'!$F$39,'3.3 Fi&amp;Fo'!$J$39,IF(AB556&lt;='3.3 Fi&amp;Fo'!$F$40,'3.3 Fi&amp;Fo'!$J$40))))))))</f>
        <v>25550.964</v>
      </c>
      <c r="AH556" s="207">
        <f>IF(AJ555&lt;=1,0,AJ555*IF(AB556&lt;='3.3 Fi&amp;Fo'!$F$34,'3.3 Fi&amp;Fo'!$I$34,IF(AB556&lt;='3.3 Fi&amp;Fo'!$F$35,'3.3 Fi&amp;Fo'!$I$35,IF(AB556&lt;='3.3 Fi&amp;Fo'!$F$38,'3.3 Fi&amp;Fo'!$I$38,IF(AB556&lt;='3.3 Fi&amp;Fo'!$F$39,'3.3 Fi&amp;Fo'!$I$39,IF(AB556&lt;='3.3 Fi&amp;Fo'!$F$40,'3.3 Fi&amp;Fo'!$I$40))))))</f>
        <v>25538.601300000002</v>
      </c>
      <c r="AI556" s="210">
        <f t="shared" si="411"/>
        <v>12.362699999997858</v>
      </c>
      <c r="AJ556" s="209">
        <f t="shared" si="412"/>
        <v>1702561.0573000002</v>
      </c>
      <c r="AK556" s="312">
        <f t="shared" ca="1" si="424"/>
        <v>-98113.429511853668</v>
      </c>
      <c r="AL556" s="169">
        <f>IF(AB556&lt;='3.3 Fi&amp;Fo'!$J$15,'3.3 Fi&amp;Fo'!$I$15,0)</f>
        <v>0</v>
      </c>
      <c r="AM556" s="169">
        <f t="shared" si="425"/>
        <v>23193.296614655759</v>
      </c>
      <c r="AN556" s="838">
        <f t="shared" ref="AN556:AN603" si="430">IF($AO$198&gt;AN555,AN555+1,"")</f>
        <v>3</v>
      </c>
      <c r="AO556" s="844">
        <f t="shared" ca="1" si="413"/>
        <v>98113.429511853668</v>
      </c>
      <c r="AP556" s="839">
        <f ca="1">BQ658</f>
        <v>0</v>
      </c>
      <c r="AQ556" s="844">
        <f t="shared" si="414"/>
        <v>0</v>
      </c>
      <c r="AR556" s="839">
        <f t="shared" ref="AR556:AR603" ca="1" si="431">IF(AN556="","",AR555*$AR$201)</f>
        <v>0</v>
      </c>
      <c r="AS556" s="839">
        <f t="shared" ca="1" si="426"/>
        <v>6886.4894528000004</v>
      </c>
      <c r="AT556" s="839">
        <f t="shared" ca="1" si="427"/>
        <v>8834.9623710840351</v>
      </c>
      <c r="AU556" s="839">
        <f ca="1">'PV-Einspeisung'!AA148*-1</f>
        <v>0</v>
      </c>
      <c r="AV556" s="839">
        <f ca="1">'PV-Einspeisung'!AE148*-1</f>
        <v>0</v>
      </c>
      <c r="AW556" s="839"/>
      <c r="AX556" s="839">
        <f t="shared" ref="AX556:AX603" ca="1" si="432">IF(AN556="","",AX555*$AX$201)</f>
        <v>0</v>
      </c>
      <c r="AY556" s="841">
        <f t="shared" si="415"/>
        <v>3</v>
      </c>
      <c r="AZ556" s="842">
        <f t="shared" ref="AZ556:AZ593" ca="1" si="433">IF($AN556="","",AZ555*$AZ$201)</f>
        <v>0</v>
      </c>
      <c r="BA556" s="842">
        <f t="shared" ref="BA556:BA603" ca="1" si="434">IF($AN556="","",BA555*$BA$201)</f>
        <v>0</v>
      </c>
      <c r="BB556" s="842">
        <f t="shared" ref="BB556:BB603" ca="1" si="435">IF($AN556="","",BB555*$BB$201)</f>
        <v>0</v>
      </c>
      <c r="BC556" s="842">
        <f t="shared" ref="BC556:BC603" ca="1" si="436">IF($AN556="","",BC555*$BC$201)</f>
        <v>0</v>
      </c>
      <c r="BD556" s="842">
        <f t="shared" ref="BD556:BD603" ca="1" si="437">IF($AN556="","",BD555*$BD$201)</f>
        <v>0</v>
      </c>
      <c r="BE556" s="842">
        <f t="shared" ref="BE556:BE603" ca="1" si="438">IF($AN556="","",BE555*$BE$201)</f>
        <v>0</v>
      </c>
      <c r="BF556" s="842">
        <f t="shared" ref="BF556:BF603" ca="1" si="439">IF($AN556="","",BF555*$BF$201)</f>
        <v>6377.945068915199</v>
      </c>
      <c r="BG556" s="842">
        <f t="shared" ref="BG556:BG603" ca="1" si="440">IF($AN556="","",BG555*$BG$201)</f>
        <v>2457.0173021688356</v>
      </c>
      <c r="BH556" s="858">
        <f t="shared" si="423"/>
        <v>3</v>
      </c>
      <c r="BI556" s="857">
        <f t="shared" ref="BI556:BI603" ca="1" si="441">IF($AN556="","",BI555*$BI$201)</f>
        <v>3093.0518783999996</v>
      </c>
      <c r="BJ556" s="857">
        <f t="shared" ref="BJ556:BJ603" ca="1" si="442">IF($AN556="","",BJ555*$BJ$201)</f>
        <v>3793.4375744000004</v>
      </c>
      <c r="BK556" s="859">
        <f ca="1">'PV-Einspeisung'!AB148*-1</f>
        <v>0</v>
      </c>
      <c r="BL556" s="824">
        <f t="shared" ca="1" si="400"/>
        <v>0</v>
      </c>
      <c r="BM556" s="824">
        <f t="shared" ca="1" si="401"/>
        <v>0</v>
      </c>
      <c r="BN556" s="824">
        <f t="shared" ca="1" si="402"/>
        <v>0</v>
      </c>
      <c r="BO556" s="824">
        <f t="shared" ca="1" si="407"/>
        <v>0</v>
      </c>
      <c r="BP556" s="824">
        <f t="shared" ca="1" si="407"/>
        <v>0</v>
      </c>
      <c r="BQ556" s="824">
        <f t="shared" ca="1" si="407"/>
        <v>0</v>
      </c>
      <c r="BR556" s="824">
        <f t="shared" ca="1" si="407"/>
        <v>0</v>
      </c>
      <c r="BS556" s="824">
        <f t="shared" ca="1" si="407"/>
        <v>0</v>
      </c>
      <c r="BT556" s="824">
        <f t="shared" ca="1" si="407"/>
        <v>0</v>
      </c>
      <c r="BU556" s="824">
        <f t="shared" ca="1" si="407"/>
        <v>0</v>
      </c>
      <c r="BV556" s="824">
        <f t="shared" ca="1" si="407"/>
        <v>0</v>
      </c>
      <c r="BW556" s="824">
        <f t="shared" ca="1" si="407"/>
        <v>0</v>
      </c>
      <c r="BX556" s="824">
        <f t="shared" ca="1" si="407"/>
        <v>0</v>
      </c>
      <c r="BY556" s="824">
        <f t="shared" ca="1" si="407"/>
        <v>0</v>
      </c>
      <c r="BZ556" s="824">
        <f t="shared" ca="1" si="407"/>
        <v>0</v>
      </c>
      <c r="CA556" s="824">
        <f t="shared" ca="1" si="407"/>
        <v>0</v>
      </c>
      <c r="CB556" s="824">
        <f t="shared" ca="1" si="407"/>
        <v>0</v>
      </c>
      <c r="CC556" s="824">
        <f t="shared" ca="1" si="407"/>
        <v>0</v>
      </c>
      <c r="CD556" s="824">
        <f t="shared" ca="1" si="407"/>
        <v>0</v>
      </c>
      <c r="CE556" s="824">
        <f t="shared" ref="CE556:CT572" ca="1" si="443">IF(OR(IF($BL556*1&lt;$BL$196,$BL556*1=CE$198,FALSE),IF($BL556*2&lt;$BL$196,$BL556*2=CE$198,FALSE),IF($BL556*3&lt;$BL$196,$BL556*3=CE$198,FALSE),IF($BL556*4&lt;$BL$196,$BL556*4=CE$198,FALSE),IF($BL556*5&lt;$BL$196,$BL556*5=CE$198,FALSE)),$BN556*$BM$196^CE$198,0)</f>
        <v>0</v>
      </c>
      <c r="CF556" s="824">
        <f t="shared" ca="1" si="443"/>
        <v>0</v>
      </c>
      <c r="CG556" s="824">
        <f t="shared" ca="1" si="443"/>
        <v>0</v>
      </c>
      <c r="CH556" s="824">
        <f t="shared" ca="1" si="443"/>
        <v>0</v>
      </c>
      <c r="CI556" s="824">
        <f t="shared" ca="1" si="443"/>
        <v>0</v>
      </c>
      <c r="CJ556" s="824">
        <f t="shared" ca="1" si="443"/>
        <v>0</v>
      </c>
      <c r="CK556" s="824">
        <f t="shared" ca="1" si="443"/>
        <v>0</v>
      </c>
      <c r="CL556" s="824">
        <f t="shared" ca="1" si="443"/>
        <v>0</v>
      </c>
      <c r="CM556" s="824">
        <f t="shared" ca="1" si="443"/>
        <v>0</v>
      </c>
      <c r="CN556" s="824">
        <f t="shared" ca="1" si="443"/>
        <v>0</v>
      </c>
      <c r="CO556" s="824">
        <f t="shared" ca="1" si="443"/>
        <v>0</v>
      </c>
      <c r="CP556" s="824">
        <f t="shared" ca="1" si="443"/>
        <v>0</v>
      </c>
      <c r="CQ556" s="824">
        <f t="shared" ca="1" si="443"/>
        <v>0</v>
      </c>
      <c r="CR556" s="824">
        <f t="shared" ca="1" si="443"/>
        <v>0</v>
      </c>
      <c r="CS556" s="824">
        <f t="shared" ca="1" si="443"/>
        <v>0</v>
      </c>
      <c r="CT556" s="824">
        <f t="shared" ca="1" si="443"/>
        <v>0</v>
      </c>
      <c r="CU556" s="824">
        <f t="shared" ca="1" si="428"/>
        <v>0</v>
      </c>
      <c r="CV556" s="824">
        <f t="shared" ca="1" si="428"/>
        <v>0</v>
      </c>
      <c r="CW556" s="824">
        <f t="shared" ca="1" si="428"/>
        <v>0</v>
      </c>
      <c r="CX556" s="824">
        <f t="shared" ca="1" si="428"/>
        <v>0</v>
      </c>
      <c r="CY556" s="824">
        <f t="shared" ca="1" si="428"/>
        <v>0</v>
      </c>
      <c r="CZ556" s="824">
        <f t="shared" ca="1" si="428"/>
        <v>0</v>
      </c>
      <c r="DA556" s="824">
        <f t="shared" ca="1" si="429"/>
        <v>0</v>
      </c>
      <c r="DB556" s="824">
        <f t="shared" ca="1" si="429"/>
        <v>0</v>
      </c>
      <c r="DC556" s="824">
        <f t="shared" ca="1" si="429"/>
        <v>0</v>
      </c>
      <c r="DD556" s="824">
        <f t="shared" ca="1" si="429"/>
        <v>0</v>
      </c>
      <c r="DE556" s="824">
        <f t="shared" ca="1" si="429"/>
        <v>0</v>
      </c>
      <c r="DF556" s="824">
        <f t="shared" ca="1" si="429"/>
        <v>0</v>
      </c>
      <c r="DG556" s="824">
        <f t="shared" ca="1" si="429"/>
        <v>0</v>
      </c>
      <c r="DH556" s="824">
        <f t="shared" ca="1" si="429"/>
        <v>0</v>
      </c>
      <c r="DI556" s="824">
        <f t="shared" ca="1" si="429"/>
        <v>0</v>
      </c>
      <c r="DJ556" s="824">
        <f t="shared" ca="1" si="429"/>
        <v>0</v>
      </c>
      <c r="DK556" s="824">
        <f t="shared" ca="1" si="429"/>
        <v>0</v>
      </c>
      <c r="DL556" s="824">
        <f t="shared" ca="1" si="429"/>
        <v>0</v>
      </c>
    </row>
    <row r="557" spans="2:116" ht="12" thickBot="1" x14ac:dyDescent="0.3">
      <c r="B557" s="1673"/>
      <c r="C557" s="1680"/>
      <c r="D557" s="15" t="s">
        <v>126</v>
      </c>
      <c r="E557" s="116"/>
      <c r="F557" s="116">
        <f ca="1">SUBTOTAL(109,'3.3 I&amp;W'!$X$51)</f>
        <v>0</v>
      </c>
      <c r="G557" s="116">
        <f ca="1">SUBTOTAL(109,'3.3 I&amp;W'!$Y$51)</f>
        <v>0</v>
      </c>
      <c r="H557" s="116">
        <f ca="1">SUBTOTAL(109,'3.3 I&amp;W'!$AD$51)</f>
        <v>0</v>
      </c>
      <c r="I557" s="116">
        <f ca="1">SUBTOTAL(109,'3.3 I&amp;W'!$AE$51)</f>
        <v>0</v>
      </c>
      <c r="J557" s="116"/>
      <c r="K557" s="116"/>
      <c r="L557" s="116"/>
      <c r="M557" s="116">
        <f ca="1">SUBTOTAL(109,'3.3 I&amp;W'!$AI$51)</f>
        <v>0</v>
      </c>
      <c r="N557" s="156">
        <f t="shared" ca="1" si="404"/>
        <v>0</v>
      </c>
      <c r="O557" s="116">
        <f ca="1">SUBTOTAL(109,'3.3 I&amp;W'!$S$51)</f>
        <v>0</v>
      </c>
      <c r="P557" s="30">
        <f t="shared" ca="1" si="408"/>
        <v>0</v>
      </c>
      <c r="Q557" s="31">
        <f t="shared" ca="1" si="395"/>
        <v>0</v>
      </c>
      <c r="R557" s="31">
        <f t="shared" ca="1" si="396"/>
        <v>0</v>
      </c>
      <c r="S557" s="31">
        <f t="shared" ca="1" si="397"/>
        <v>0</v>
      </c>
      <c r="T557" s="32">
        <f t="shared" ca="1" si="398"/>
        <v>0</v>
      </c>
      <c r="U557" s="37">
        <f t="shared" ca="1" si="405"/>
        <v>0</v>
      </c>
      <c r="V557" s="40">
        <f t="shared" ca="1" si="406"/>
        <v>0</v>
      </c>
      <c r="W557" s="41">
        <f t="shared" ca="1" si="399"/>
        <v>0</v>
      </c>
      <c r="X557" s="43"/>
      <c r="Y557" s="46"/>
      <c r="Z557" s="126"/>
      <c r="AA557" s="136"/>
      <c r="AB557" s="83">
        <v>4</v>
      </c>
      <c r="AC557" s="84">
        <f ca="1">IF(AF556&lt;=1,0,'3.3 Fi&amp;Fo'!$I$25)</f>
        <v>49369.168897197917</v>
      </c>
      <c r="AD557" s="72">
        <f ca="1">IF(AF556&lt;=1,0,AF556*'3.3 Fi&amp;Fo'!$H$25)</f>
        <v>23172.243713349912</v>
      </c>
      <c r="AE557" s="78">
        <f t="shared" ca="1" si="409"/>
        <v>26196.925183848005</v>
      </c>
      <c r="AF557" s="85">
        <f t="shared" ca="1" si="410"/>
        <v>1132415.2604836475</v>
      </c>
      <c r="AG557" s="168">
        <f>IF(AJ556&lt;=1,0,IF(AB557&lt;='3.3 Fi&amp;Fo'!$F$34,'3.3 Fi&amp;Fo'!$J$34,IF(AB557&lt;='3.3 Fi&amp;Fo'!$F$35,'3.3 Fi&amp;Fo'!$J$35,IF(AB557&lt;='3.3 Fi&amp;Fo'!$F$36,'3.3 Fi&amp;Fo'!$J$36,IF(AB557&lt;='3.3 Fi&amp;Fo'!$F$37,'3.3 Fi&amp;Fo'!$J$37,IF(AB557&lt;='3.3 Fi&amp;Fo'!$F$38,'3.3 Fi&amp;Fo'!$J$38,IF(AB557&lt;='3.3 Fi&amp;Fo'!$F$39,'3.3 Fi&amp;Fo'!$J$39,IF(AB557&lt;='3.3 Fi&amp;Fo'!$F$40,'3.3 Fi&amp;Fo'!$J$40))))))))</f>
        <v>25550.964</v>
      </c>
      <c r="AH557" s="207">
        <f>IF(AJ556&lt;=1,0,AJ556*IF(AB557&lt;='3.3 Fi&amp;Fo'!$F$34,'3.3 Fi&amp;Fo'!$I$34,IF(AB557&lt;='3.3 Fi&amp;Fo'!$F$35,'3.3 Fi&amp;Fo'!$I$35,IF(AB557&lt;='3.3 Fi&amp;Fo'!$F$38,'3.3 Fi&amp;Fo'!$I$38,IF(AB557&lt;='3.3 Fi&amp;Fo'!$F$39,'3.3 Fi&amp;Fo'!$I$39,IF(AB557&lt;='3.3 Fi&amp;Fo'!$F$40,'3.3 Fi&amp;Fo'!$I$40))))))</f>
        <v>25538.415859500001</v>
      </c>
      <c r="AI557" s="210">
        <f t="shared" si="411"/>
        <v>12.548140499999135</v>
      </c>
      <c r="AJ557" s="209">
        <f t="shared" si="412"/>
        <v>1702548.5091595002</v>
      </c>
      <c r="AK557" s="312">
        <f t="shared" ca="1" si="424"/>
        <v>-98577.295444147137</v>
      </c>
      <c r="AL557" s="169">
        <f>IF(AB557&lt;='3.3 Fi&amp;Fo'!$J$15,'3.3 Fi&amp;Fo'!$I$15,0)</f>
        <v>0</v>
      </c>
      <c r="AM557" s="169">
        <f t="shared" si="425"/>
        <v>23657.162546949228</v>
      </c>
      <c r="AN557" s="838">
        <f t="shared" si="430"/>
        <v>4</v>
      </c>
      <c r="AO557" s="844">
        <f t="shared" ca="1" si="413"/>
        <v>98577.295444147137</v>
      </c>
      <c r="AP557" s="839">
        <f ca="1">BR658</f>
        <v>0</v>
      </c>
      <c r="AQ557" s="844">
        <f t="shared" si="414"/>
        <v>0</v>
      </c>
      <c r="AR557" s="839">
        <f t="shared" ca="1" si="431"/>
        <v>0</v>
      </c>
      <c r="AS557" s="839">
        <f t="shared" ca="1" si="426"/>
        <v>6996.6732840448003</v>
      </c>
      <c r="AT557" s="839">
        <f t="shared" ca="1" si="427"/>
        <v>9080.406603382824</v>
      </c>
      <c r="AU557" s="839">
        <f ca="1">'PV-Einspeisung'!AA149*-1</f>
        <v>0</v>
      </c>
      <c r="AV557" s="839">
        <f ca="1">'PV-Einspeisung'!AE149*-1</f>
        <v>0</v>
      </c>
      <c r="AW557" s="839"/>
      <c r="AX557" s="839">
        <f t="shared" ca="1" si="432"/>
        <v>0</v>
      </c>
      <c r="AY557" s="841">
        <f t="shared" si="415"/>
        <v>4</v>
      </c>
      <c r="AZ557" s="842">
        <f t="shared" ca="1" si="433"/>
        <v>0</v>
      </c>
      <c r="BA557" s="842">
        <f t="shared" ca="1" si="434"/>
        <v>0</v>
      </c>
      <c r="BB557" s="842">
        <f t="shared" ca="1" si="435"/>
        <v>0</v>
      </c>
      <c r="BC557" s="842">
        <f t="shared" ca="1" si="436"/>
        <v>0</v>
      </c>
      <c r="BD557" s="842">
        <f t="shared" ca="1" si="437"/>
        <v>0</v>
      </c>
      <c r="BE557" s="842">
        <f t="shared" ca="1" si="438"/>
        <v>0</v>
      </c>
      <c r="BF557" s="842">
        <f t="shared" ca="1" si="439"/>
        <v>6537.3936956380785</v>
      </c>
      <c r="BG557" s="842">
        <f t="shared" ca="1" si="440"/>
        <v>2543.0129077447446</v>
      </c>
      <c r="BH557" s="858">
        <f t="shared" si="423"/>
        <v>4</v>
      </c>
      <c r="BI557" s="857">
        <f t="shared" ca="1" si="441"/>
        <v>3142.5407084543995</v>
      </c>
      <c r="BJ557" s="857">
        <f t="shared" ca="1" si="442"/>
        <v>3854.1325755904004</v>
      </c>
      <c r="BK557" s="859">
        <f ca="1">'PV-Einspeisung'!AB149*-1</f>
        <v>0</v>
      </c>
      <c r="BL557" s="824">
        <f t="shared" ca="1" si="400"/>
        <v>0</v>
      </c>
      <c r="BM557" s="824">
        <f t="shared" ca="1" si="401"/>
        <v>0</v>
      </c>
      <c r="BN557" s="824">
        <f t="shared" ca="1" si="402"/>
        <v>0</v>
      </c>
      <c r="BO557" s="824">
        <f t="shared" ca="1" si="407"/>
        <v>0</v>
      </c>
      <c r="BP557" s="824">
        <f t="shared" ca="1" si="407"/>
        <v>0</v>
      </c>
      <c r="BQ557" s="824">
        <f t="shared" ca="1" si="407"/>
        <v>0</v>
      </c>
      <c r="BR557" s="824">
        <f t="shared" ca="1" si="407"/>
        <v>0</v>
      </c>
      <c r="BS557" s="824">
        <f t="shared" ca="1" si="407"/>
        <v>0</v>
      </c>
      <c r="BT557" s="824">
        <f t="shared" ca="1" si="407"/>
        <v>0</v>
      </c>
      <c r="BU557" s="824">
        <f t="shared" ca="1" si="407"/>
        <v>0</v>
      </c>
      <c r="BV557" s="824">
        <f t="shared" ca="1" si="407"/>
        <v>0</v>
      </c>
      <c r="BW557" s="824">
        <f t="shared" ca="1" si="407"/>
        <v>0</v>
      </c>
      <c r="BX557" s="824">
        <f t="shared" ca="1" si="407"/>
        <v>0</v>
      </c>
      <c r="BY557" s="824">
        <f t="shared" ca="1" si="407"/>
        <v>0</v>
      </c>
      <c r="BZ557" s="824">
        <f t="shared" ca="1" si="407"/>
        <v>0</v>
      </c>
      <c r="CA557" s="824">
        <f t="shared" ca="1" si="407"/>
        <v>0</v>
      </c>
      <c r="CB557" s="824">
        <f t="shared" ca="1" si="407"/>
        <v>0</v>
      </c>
      <c r="CC557" s="824">
        <f t="shared" ca="1" si="407"/>
        <v>0</v>
      </c>
      <c r="CD557" s="824">
        <f t="shared" ca="1" si="407"/>
        <v>0</v>
      </c>
      <c r="CE557" s="824">
        <f t="shared" ca="1" si="443"/>
        <v>0</v>
      </c>
      <c r="CF557" s="824">
        <f t="shared" ca="1" si="443"/>
        <v>0</v>
      </c>
      <c r="CG557" s="824">
        <f t="shared" ca="1" si="443"/>
        <v>0</v>
      </c>
      <c r="CH557" s="824">
        <f t="shared" ca="1" si="443"/>
        <v>0</v>
      </c>
      <c r="CI557" s="824">
        <f t="shared" ca="1" si="443"/>
        <v>0</v>
      </c>
      <c r="CJ557" s="824">
        <f t="shared" ca="1" si="443"/>
        <v>0</v>
      </c>
      <c r="CK557" s="824">
        <f t="shared" ca="1" si="443"/>
        <v>0</v>
      </c>
      <c r="CL557" s="824">
        <f t="shared" ca="1" si="443"/>
        <v>0</v>
      </c>
      <c r="CM557" s="824">
        <f t="shared" ca="1" si="443"/>
        <v>0</v>
      </c>
      <c r="CN557" s="824">
        <f t="shared" ca="1" si="443"/>
        <v>0</v>
      </c>
      <c r="CO557" s="824">
        <f t="shared" ca="1" si="443"/>
        <v>0</v>
      </c>
      <c r="CP557" s="824">
        <f t="shared" ca="1" si="443"/>
        <v>0</v>
      </c>
      <c r="CQ557" s="824">
        <f t="shared" ca="1" si="443"/>
        <v>0</v>
      </c>
      <c r="CR557" s="824">
        <f t="shared" ca="1" si="443"/>
        <v>0</v>
      </c>
      <c r="CS557" s="824">
        <f t="shared" ca="1" si="443"/>
        <v>0</v>
      </c>
      <c r="CT557" s="824">
        <f t="shared" ca="1" si="443"/>
        <v>0</v>
      </c>
      <c r="CU557" s="824">
        <f t="shared" ca="1" si="428"/>
        <v>0</v>
      </c>
      <c r="CV557" s="824">
        <f t="shared" ca="1" si="428"/>
        <v>0</v>
      </c>
      <c r="CW557" s="824">
        <f t="shared" ca="1" si="428"/>
        <v>0</v>
      </c>
      <c r="CX557" s="824">
        <f t="shared" ca="1" si="428"/>
        <v>0</v>
      </c>
      <c r="CY557" s="824">
        <f t="shared" ca="1" si="428"/>
        <v>0</v>
      </c>
      <c r="CZ557" s="824">
        <f t="shared" ca="1" si="428"/>
        <v>0</v>
      </c>
      <c r="DA557" s="824">
        <f t="shared" ca="1" si="429"/>
        <v>0</v>
      </c>
      <c r="DB557" s="824">
        <f t="shared" ca="1" si="429"/>
        <v>0</v>
      </c>
      <c r="DC557" s="824">
        <f t="shared" ca="1" si="429"/>
        <v>0</v>
      </c>
      <c r="DD557" s="824">
        <f t="shared" ca="1" si="429"/>
        <v>0</v>
      </c>
      <c r="DE557" s="824">
        <f t="shared" ca="1" si="429"/>
        <v>0</v>
      </c>
      <c r="DF557" s="824">
        <f t="shared" ca="1" si="429"/>
        <v>0</v>
      </c>
      <c r="DG557" s="824">
        <f t="shared" ca="1" si="429"/>
        <v>0</v>
      </c>
      <c r="DH557" s="824">
        <f t="shared" ca="1" si="429"/>
        <v>0</v>
      </c>
      <c r="DI557" s="824">
        <f t="shared" ca="1" si="429"/>
        <v>0</v>
      </c>
      <c r="DJ557" s="824">
        <f t="shared" ca="1" si="429"/>
        <v>0</v>
      </c>
      <c r="DK557" s="824">
        <f t="shared" ca="1" si="429"/>
        <v>0</v>
      </c>
      <c r="DL557" s="824">
        <f t="shared" ca="1" si="429"/>
        <v>0</v>
      </c>
    </row>
    <row r="558" spans="2:116" ht="12" thickBot="1" x14ac:dyDescent="0.3">
      <c r="B558" s="1673"/>
      <c r="C558" s="1680"/>
      <c r="D558" s="15" t="s">
        <v>126</v>
      </c>
      <c r="E558" s="165"/>
      <c r="F558" s="116">
        <f ca="1">SUBTOTAL(109,'3.3 I&amp;W'!$X$52)</f>
        <v>0</v>
      </c>
      <c r="G558" s="116">
        <f ca="1">SUBTOTAL(109,'3.3 I&amp;W'!$Y$52)</f>
        <v>0</v>
      </c>
      <c r="H558" s="116">
        <f ca="1">SUBTOTAL(109,'3.3 I&amp;W'!$AD$52)</f>
        <v>0</v>
      </c>
      <c r="I558" s="116">
        <f ca="1">SUBTOTAL(109,'3.3 I&amp;W'!$AE$52)</f>
        <v>0</v>
      </c>
      <c r="J558" s="116"/>
      <c r="K558" s="116"/>
      <c r="L558" s="116"/>
      <c r="M558" s="116">
        <f ca="1">SUBTOTAL(109,'3.3 I&amp;W'!$AI$52)</f>
        <v>0</v>
      </c>
      <c r="N558" s="156">
        <f t="shared" ca="1" si="404"/>
        <v>0</v>
      </c>
      <c r="O558" s="116">
        <f ca="1">SUBTOTAL(109,'3.3 I&amp;W'!$S$52)</f>
        <v>0</v>
      </c>
      <c r="P558" s="30">
        <f t="shared" ca="1" si="408"/>
        <v>0</v>
      </c>
      <c r="Q558" s="31">
        <f t="shared" ca="1" si="395"/>
        <v>0</v>
      </c>
      <c r="R558" s="31">
        <f t="shared" ca="1" si="396"/>
        <v>0</v>
      </c>
      <c r="S558" s="31">
        <f t="shared" ca="1" si="397"/>
        <v>0</v>
      </c>
      <c r="T558" s="32">
        <f t="shared" ca="1" si="398"/>
        <v>0</v>
      </c>
      <c r="U558" s="37">
        <f t="shared" ca="1" si="405"/>
        <v>0</v>
      </c>
      <c r="V558" s="40">
        <f t="shared" ca="1" si="406"/>
        <v>0</v>
      </c>
      <c r="W558" s="41">
        <f t="shared" ca="1" si="399"/>
        <v>0</v>
      </c>
      <c r="X558" s="43"/>
      <c r="Y558" s="46"/>
      <c r="Z558" s="126"/>
      <c r="AA558" s="136"/>
      <c r="AB558" s="83">
        <v>5</v>
      </c>
      <c r="AC558" s="84">
        <f ca="1">IF(AF557&lt;=1,0,'3.3 Fi&amp;Fo'!$I$25)</f>
        <v>49369.168897197917</v>
      </c>
      <c r="AD558" s="72">
        <f ca="1">IF(AF557&lt;=1,0,AF557*'3.3 Fi&amp;Fo'!$H$25)</f>
        <v>22648.305209672948</v>
      </c>
      <c r="AE558" s="78">
        <f t="shared" ca="1" si="409"/>
        <v>26720.863687524969</v>
      </c>
      <c r="AF558" s="85">
        <f t="shared" ca="1" si="410"/>
        <v>1105694.3967961224</v>
      </c>
      <c r="AG558" s="168">
        <f>IF(AJ557&lt;=1,0,IF(AB558&lt;='3.3 Fi&amp;Fo'!$F$34,'3.3 Fi&amp;Fo'!$J$34,IF(AB558&lt;='3.3 Fi&amp;Fo'!$F$35,'3.3 Fi&amp;Fo'!$J$35,IF(AB558&lt;='3.3 Fi&amp;Fo'!$F$36,'3.3 Fi&amp;Fo'!$J$36,IF(AB558&lt;='3.3 Fi&amp;Fo'!$F$37,'3.3 Fi&amp;Fo'!$J$37,IF(AB558&lt;='3.3 Fi&amp;Fo'!$F$38,'3.3 Fi&amp;Fo'!$J$38,IF(AB558&lt;='3.3 Fi&amp;Fo'!$F$39,'3.3 Fi&amp;Fo'!$J$39,IF(AB558&lt;='3.3 Fi&amp;Fo'!$F$40,'3.3 Fi&amp;Fo'!$J$40))))))))</f>
        <v>25550.964</v>
      </c>
      <c r="AH558" s="207">
        <f>IF(AJ557&lt;=1,0,AJ557*IF(AB558&lt;='3.3 Fi&amp;Fo'!$F$34,'3.3 Fi&amp;Fo'!$I$34,IF(AB558&lt;='3.3 Fi&amp;Fo'!$F$35,'3.3 Fi&amp;Fo'!$I$35,IF(AB558&lt;='3.3 Fi&amp;Fo'!$F$38,'3.3 Fi&amp;Fo'!$I$38,IF(AB558&lt;='3.3 Fi&amp;Fo'!$F$39,'3.3 Fi&amp;Fo'!$I$39,IF(AB558&lt;='3.3 Fi&amp;Fo'!$F$40,'3.3 Fi&amp;Fo'!$I$40))))))</f>
        <v>25538.227637392501</v>
      </c>
      <c r="AI558" s="210">
        <f t="shared" si="411"/>
        <v>12.73636260749845</v>
      </c>
      <c r="AJ558" s="209">
        <f t="shared" si="412"/>
        <v>1702535.7727968928</v>
      </c>
      <c r="AK558" s="312">
        <f t="shared" ca="1" si="424"/>
        <v>-99050.438695086108</v>
      </c>
      <c r="AL558" s="169">
        <f>IF(AB558&lt;='3.3 Fi&amp;Fo'!$J$15,'3.3 Fi&amp;Fo'!$I$15,0)</f>
        <v>0</v>
      </c>
      <c r="AM558" s="169">
        <f t="shared" si="425"/>
        <v>24130.305797888199</v>
      </c>
      <c r="AN558" s="838">
        <f t="shared" si="430"/>
        <v>5</v>
      </c>
      <c r="AO558" s="844">
        <f t="shared" ca="1" si="413"/>
        <v>99050.438695086108</v>
      </c>
      <c r="AP558" s="839">
        <f ca="1">BS658</f>
        <v>0</v>
      </c>
      <c r="AQ558" s="844">
        <f t="shared" si="414"/>
        <v>0</v>
      </c>
      <c r="AR558" s="839">
        <f t="shared" ca="1" si="431"/>
        <v>0</v>
      </c>
      <c r="AS558" s="839">
        <f t="shared" ca="1" si="426"/>
        <v>7108.620056589516</v>
      </c>
      <c r="AT558" s="839">
        <f t="shared" ca="1" si="427"/>
        <v>9332.8468975448413</v>
      </c>
      <c r="AU558" s="839">
        <f ca="1">'PV-Einspeisung'!AA150*-1</f>
        <v>0</v>
      </c>
      <c r="AV558" s="839">
        <f ca="1">'PV-Einspeisung'!AE150*-1</f>
        <v>0</v>
      </c>
      <c r="AW558" s="839"/>
      <c r="AX558" s="839">
        <f t="shared" ca="1" si="432"/>
        <v>0</v>
      </c>
      <c r="AY558" s="841">
        <f t="shared" si="415"/>
        <v>5</v>
      </c>
      <c r="AZ558" s="842">
        <f t="shared" ca="1" si="433"/>
        <v>0</v>
      </c>
      <c r="BA558" s="842">
        <f t="shared" ca="1" si="434"/>
        <v>0</v>
      </c>
      <c r="BB558" s="842">
        <f t="shared" ca="1" si="435"/>
        <v>0</v>
      </c>
      <c r="BC558" s="842">
        <f t="shared" ca="1" si="436"/>
        <v>0</v>
      </c>
      <c r="BD558" s="842">
        <f t="shared" ca="1" si="437"/>
        <v>0</v>
      </c>
      <c r="BE558" s="842">
        <f t="shared" ca="1" si="438"/>
        <v>0</v>
      </c>
      <c r="BF558" s="842">
        <f t="shared" ca="1" si="439"/>
        <v>6700.8285380290299</v>
      </c>
      <c r="BG558" s="842">
        <f t="shared" ca="1" si="440"/>
        <v>2632.0183595158105</v>
      </c>
      <c r="BH558" s="858">
        <f t="shared" si="423"/>
        <v>5</v>
      </c>
      <c r="BI558" s="857">
        <f t="shared" ca="1" si="441"/>
        <v>3192.8213597896697</v>
      </c>
      <c r="BJ558" s="857">
        <f t="shared" ca="1" si="442"/>
        <v>3915.7986967998468</v>
      </c>
      <c r="BK558" s="859">
        <f ca="1">'PV-Einspeisung'!AB150*-1</f>
        <v>0</v>
      </c>
      <c r="BL558" s="824">
        <f t="shared" ca="1" si="400"/>
        <v>0</v>
      </c>
      <c r="BM558" s="824">
        <f t="shared" ca="1" si="401"/>
        <v>0</v>
      </c>
      <c r="BN558" s="824">
        <f t="shared" ca="1" si="402"/>
        <v>0</v>
      </c>
      <c r="BO558" s="824">
        <f t="shared" ca="1" si="407"/>
        <v>0</v>
      </c>
      <c r="BP558" s="824">
        <f t="shared" ca="1" si="407"/>
        <v>0</v>
      </c>
      <c r="BQ558" s="824">
        <f t="shared" ca="1" si="407"/>
        <v>0</v>
      </c>
      <c r="BR558" s="824">
        <f t="shared" ca="1" si="407"/>
        <v>0</v>
      </c>
      <c r="BS558" s="824">
        <f t="shared" ca="1" si="407"/>
        <v>0</v>
      </c>
      <c r="BT558" s="824">
        <f t="shared" ca="1" si="407"/>
        <v>0</v>
      </c>
      <c r="BU558" s="824">
        <f t="shared" ca="1" si="407"/>
        <v>0</v>
      </c>
      <c r="BV558" s="824">
        <f t="shared" ca="1" si="407"/>
        <v>0</v>
      </c>
      <c r="BW558" s="824">
        <f t="shared" ca="1" si="407"/>
        <v>0</v>
      </c>
      <c r="BX558" s="824">
        <f t="shared" ca="1" si="407"/>
        <v>0</v>
      </c>
      <c r="BY558" s="824">
        <f t="shared" ca="1" si="407"/>
        <v>0</v>
      </c>
      <c r="BZ558" s="824">
        <f t="shared" ca="1" si="407"/>
        <v>0</v>
      </c>
      <c r="CA558" s="824">
        <f t="shared" ca="1" si="407"/>
        <v>0</v>
      </c>
      <c r="CB558" s="824">
        <f t="shared" ca="1" si="407"/>
        <v>0</v>
      </c>
      <c r="CC558" s="824">
        <f t="shared" ca="1" si="407"/>
        <v>0</v>
      </c>
      <c r="CD558" s="824">
        <f t="shared" ca="1" si="407"/>
        <v>0</v>
      </c>
      <c r="CE558" s="824">
        <f t="shared" ca="1" si="443"/>
        <v>0</v>
      </c>
      <c r="CF558" s="824">
        <f t="shared" ca="1" si="443"/>
        <v>0</v>
      </c>
      <c r="CG558" s="824">
        <f t="shared" ca="1" si="443"/>
        <v>0</v>
      </c>
      <c r="CH558" s="824">
        <f t="shared" ca="1" si="443"/>
        <v>0</v>
      </c>
      <c r="CI558" s="824">
        <f t="shared" ca="1" si="443"/>
        <v>0</v>
      </c>
      <c r="CJ558" s="824">
        <f t="shared" ca="1" si="443"/>
        <v>0</v>
      </c>
      <c r="CK558" s="824">
        <f t="shared" ca="1" si="443"/>
        <v>0</v>
      </c>
      <c r="CL558" s="824">
        <f t="shared" ca="1" si="443"/>
        <v>0</v>
      </c>
      <c r="CM558" s="824">
        <f t="shared" ca="1" si="443"/>
        <v>0</v>
      </c>
      <c r="CN558" s="824">
        <f t="shared" ca="1" si="443"/>
        <v>0</v>
      </c>
      <c r="CO558" s="824">
        <f t="shared" ca="1" si="443"/>
        <v>0</v>
      </c>
      <c r="CP558" s="824">
        <f t="shared" ca="1" si="443"/>
        <v>0</v>
      </c>
      <c r="CQ558" s="824">
        <f t="shared" ca="1" si="443"/>
        <v>0</v>
      </c>
      <c r="CR558" s="824">
        <f t="shared" ca="1" si="443"/>
        <v>0</v>
      </c>
      <c r="CS558" s="824">
        <f t="shared" ca="1" si="443"/>
        <v>0</v>
      </c>
      <c r="CT558" s="824">
        <f t="shared" ca="1" si="443"/>
        <v>0</v>
      </c>
      <c r="CU558" s="824">
        <f t="shared" ca="1" si="428"/>
        <v>0</v>
      </c>
      <c r="CV558" s="824">
        <f t="shared" ca="1" si="428"/>
        <v>0</v>
      </c>
      <c r="CW558" s="824">
        <f t="shared" ca="1" si="428"/>
        <v>0</v>
      </c>
      <c r="CX558" s="824">
        <f t="shared" ca="1" si="428"/>
        <v>0</v>
      </c>
      <c r="CY558" s="824">
        <f t="shared" ca="1" si="428"/>
        <v>0</v>
      </c>
      <c r="CZ558" s="824">
        <f t="shared" ca="1" si="428"/>
        <v>0</v>
      </c>
      <c r="DA558" s="824">
        <f t="shared" ca="1" si="429"/>
        <v>0</v>
      </c>
      <c r="DB558" s="824">
        <f t="shared" ca="1" si="429"/>
        <v>0</v>
      </c>
      <c r="DC558" s="824">
        <f t="shared" ca="1" si="429"/>
        <v>0</v>
      </c>
      <c r="DD558" s="824">
        <f t="shared" ca="1" si="429"/>
        <v>0</v>
      </c>
      <c r="DE558" s="824">
        <f t="shared" ca="1" si="429"/>
        <v>0</v>
      </c>
      <c r="DF558" s="824">
        <f t="shared" ca="1" si="429"/>
        <v>0</v>
      </c>
      <c r="DG558" s="824">
        <f t="shared" ca="1" si="429"/>
        <v>0</v>
      </c>
      <c r="DH558" s="824">
        <f t="shared" ca="1" si="429"/>
        <v>0</v>
      </c>
      <c r="DI558" s="824">
        <f t="shared" ca="1" si="429"/>
        <v>0</v>
      </c>
      <c r="DJ558" s="824">
        <f t="shared" ca="1" si="429"/>
        <v>0</v>
      </c>
      <c r="DK558" s="824">
        <f t="shared" ca="1" si="429"/>
        <v>0</v>
      </c>
      <c r="DL558" s="824">
        <f t="shared" ca="1" si="429"/>
        <v>0</v>
      </c>
    </row>
    <row r="559" spans="2:116" ht="12" thickBot="1" x14ac:dyDescent="0.3">
      <c r="B559" s="1673"/>
      <c r="C559" s="1680"/>
      <c r="D559" s="15" t="s">
        <v>127</v>
      </c>
      <c r="E559" s="116"/>
      <c r="F559" s="116">
        <f ca="1">SUBTOTAL(109,'3.3 I&amp;W'!$X$56)</f>
        <v>0</v>
      </c>
      <c r="G559" s="116">
        <f ca="1">SUBTOTAL(109,'3.3 I&amp;W'!$Y$56)</f>
        <v>0</v>
      </c>
      <c r="H559" s="116">
        <f ca="1">SUBTOTAL(109,'3.3 I&amp;W'!$AD$56)</f>
        <v>0</v>
      </c>
      <c r="I559" s="116">
        <f ca="1">SUBTOTAL(109,'3.3 I&amp;W'!$AE$56)</f>
        <v>0</v>
      </c>
      <c r="J559" s="116"/>
      <c r="K559" s="116"/>
      <c r="L559" s="116"/>
      <c r="M559" s="116">
        <f ca="1">SUBTOTAL(109,'3.3 I&amp;W'!$AI$56)</f>
        <v>0</v>
      </c>
      <c r="N559" s="156">
        <f t="shared" ca="1" si="404"/>
        <v>0</v>
      </c>
      <c r="O559" s="116">
        <f ca="1">SUBTOTAL(109,'3.3 I&amp;W'!$S$56)</f>
        <v>0</v>
      </c>
      <c r="P559" s="30">
        <f t="shared" ca="1" si="408"/>
        <v>0</v>
      </c>
      <c r="Q559" s="31">
        <f t="shared" ca="1" si="395"/>
        <v>0</v>
      </c>
      <c r="R559" s="31">
        <f t="shared" ca="1" si="396"/>
        <v>0</v>
      </c>
      <c r="S559" s="31">
        <f t="shared" ca="1" si="397"/>
        <v>0</v>
      </c>
      <c r="T559" s="32">
        <f t="shared" ca="1" si="398"/>
        <v>0</v>
      </c>
      <c r="U559" s="37">
        <f t="shared" ca="1" si="405"/>
        <v>0</v>
      </c>
      <c r="V559" s="40">
        <f t="shared" ca="1" si="406"/>
        <v>0</v>
      </c>
      <c r="W559" s="41">
        <f t="shared" ca="1" si="399"/>
        <v>0</v>
      </c>
      <c r="X559" s="43"/>
      <c r="Y559" s="46"/>
      <c r="Z559" s="126"/>
      <c r="AA559" s="136"/>
      <c r="AB559" s="83">
        <v>6</v>
      </c>
      <c r="AC559" s="84">
        <f ca="1">IF(AF558&lt;=1,0,'3.3 Fi&amp;Fo'!$I$25)</f>
        <v>49369.168897197917</v>
      </c>
      <c r="AD559" s="72">
        <f ca="1">IF(AF558&lt;=1,0,AF558*'3.3 Fi&amp;Fo'!$H$25)</f>
        <v>22113.887935922448</v>
      </c>
      <c r="AE559" s="78">
        <f t="shared" ca="1" si="409"/>
        <v>27255.280961275468</v>
      </c>
      <c r="AF559" s="85">
        <f t="shared" ca="1" si="410"/>
        <v>1078439.1158348469</v>
      </c>
      <c r="AG559" s="168">
        <f>IF(AJ558&lt;=1,0,IF(AB559&lt;='3.3 Fi&amp;Fo'!$F$34,'3.3 Fi&amp;Fo'!$J$34,IF(AB559&lt;='3.3 Fi&amp;Fo'!$F$35,'3.3 Fi&amp;Fo'!$J$35,IF(AB559&lt;='3.3 Fi&amp;Fo'!$F$36,'3.3 Fi&amp;Fo'!$J$36,IF(AB559&lt;='3.3 Fi&amp;Fo'!$F$37,'3.3 Fi&amp;Fo'!$J$37,IF(AB559&lt;='3.3 Fi&amp;Fo'!$F$38,'3.3 Fi&amp;Fo'!$J$38,IF(AB559&lt;='3.3 Fi&amp;Fo'!$F$39,'3.3 Fi&amp;Fo'!$J$39,IF(AB559&lt;='3.3 Fi&amp;Fo'!$F$40,'3.3 Fi&amp;Fo'!$J$40))))))))</f>
        <v>42576.94</v>
      </c>
      <c r="AH559" s="207">
        <f>IF(AJ558&lt;=1,0,AJ558*IF(AB559&lt;='3.3 Fi&amp;Fo'!$F$34,'3.3 Fi&amp;Fo'!$I$34,IF(AB559&lt;='3.3 Fi&amp;Fo'!$F$35,'3.3 Fi&amp;Fo'!$I$35,IF(AB559&lt;='3.3 Fi&amp;Fo'!$F$38,'3.3 Fi&amp;Fo'!$I$38,IF(AB559&lt;='3.3 Fi&amp;Fo'!$F$39,'3.3 Fi&amp;Fo'!$I$39,IF(AB559&lt;='3.3 Fi&amp;Fo'!$F$40,'3.3 Fi&amp;Fo'!$I$40))))))</f>
        <v>42563.394319922321</v>
      </c>
      <c r="AI559" s="210">
        <f t="shared" si="411"/>
        <v>13.545680077681027</v>
      </c>
      <c r="AJ559" s="209">
        <f t="shared" si="412"/>
        <v>1702522.227116815</v>
      </c>
      <c r="AK559" s="312">
        <f t="shared" ca="1" si="424"/>
        <v>-116559.02081104384</v>
      </c>
      <c r="AL559" s="169">
        <f>IF(AB559&lt;='3.3 Fi&amp;Fo'!$J$15,'3.3 Fi&amp;Fo'!$I$15,0)</f>
        <v>0</v>
      </c>
      <c r="AM559" s="169">
        <f t="shared" si="425"/>
        <v>24612.911913845921</v>
      </c>
      <c r="AN559" s="838">
        <f t="shared" si="430"/>
        <v>6</v>
      </c>
      <c r="AO559" s="844">
        <f t="shared" ca="1" si="413"/>
        <v>116559.02081104384</v>
      </c>
      <c r="AP559" s="839">
        <f ca="1">BT658</f>
        <v>0</v>
      </c>
      <c r="AQ559" s="844">
        <f t="shared" si="414"/>
        <v>0</v>
      </c>
      <c r="AR559" s="839">
        <f t="shared" ca="1" si="431"/>
        <v>0</v>
      </c>
      <c r="AS559" s="839">
        <f t="shared" ca="1" si="426"/>
        <v>7222.3579774949485</v>
      </c>
      <c r="AT559" s="839">
        <f t="shared" ca="1" si="427"/>
        <v>9592.4882535786201</v>
      </c>
      <c r="AU559" s="839">
        <f ca="1">'PV-Einspeisung'!AA151*-1</f>
        <v>0</v>
      </c>
      <c r="AV559" s="839">
        <f ca="1">'PV-Einspeisung'!AE151*-1</f>
        <v>0</v>
      </c>
      <c r="AW559" s="839"/>
      <c r="AX559" s="839">
        <f t="shared" ca="1" si="432"/>
        <v>0</v>
      </c>
      <c r="AY559" s="841">
        <f t="shared" si="415"/>
        <v>6</v>
      </c>
      <c r="AZ559" s="842">
        <f t="shared" ca="1" si="433"/>
        <v>0</v>
      </c>
      <c r="BA559" s="842">
        <f t="shared" ca="1" si="434"/>
        <v>0</v>
      </c>
      <c r="BB559" s="842">
        <f t="shared" ca="1" si="435"/>
        <v>0</v>
      </c>
      <c r="BC559" s="842">
        <f t="shared" ca="1" si="436"/>
        <v>0</v>
      </c>
      <c r="BD559" s="842">
        <f t="shared" ca="1" si="437"/>
        <v>0</v>
      </c>
      <c r="BE559" s="842">
        <f t="shared" ca="1" si="438"/>
        <v>0</v>
      </c>
      <c r="BF559" s="842">
        <f t="shared" ca="1" si="439"/>
        <v>6868.3492514797554</v>
      </c>
      <c r="BG559" s="842">
        <f t="shared" ca="1" si="440"/>
        <v>2724.1390020988638</v>
      </c>
      <c r="BH559" s="858">
        <f t="shared" si="423"/>
        <v>6</v>
      </c>
      <c r="BI559" s="857">
        <f t="shared" ca="1" si="441"/>
        <v>3243.9065015463043</v>
      </c>
      <c r="BJ559" s="857">
        <f t="shared" ca="1" si="442"/>
        <v>3978.4514759486442</v>
      </c>
      <c r="BK559" s="859">
        <f ca="1">'PV-Einspeisung'!AB151*-1</f>
        <v>0</v>
      </c>
      <c r="BL559" s="824">
        <f t="shared" ca="1" si="400"/>
        <v>0</v>
      </c>
      <c r="BM559" s="824">
        <f t="shared" ca="1" si="401"/>
        <v>0</v>
      </c>
      <c r="BN559" s="824">
        <f t="shared" ca="1" si="402"/>
        <v>0</v>
      </c>
      <c r="BO559" s="824">
        <f t="shared" ca="1" si="407"/>
        <v>0</v>
      </c>
      <c r="BP559" s="824">
        <f t="shared" ca="1" si="407"/>
        <v>0</v>
      </c>
      <c r="BQ559" s="824">
        <f t="shared" ca="1" si="407"/>
        <v>0</v>
      </c>
      <c r="BR559" s="824">
        <f t="shared" ca="1" si="407"/>
        <v>0</v>
      </c>
      <c r="BS559" s="824">
        <f t="shared" ca="1" si="407"/>
        <v>0</v>
      </c>
      <c r="BT559" s="824">
        <f t="shared" ca="1" si="407"/>
        <v>0</v>
      </c>
      <c r="BU559" s="824">
        <f t="shared" ca="1" si="407"/>
        <v>0</v>
      </c>
      <c r="BV559" s="824">
        <f t="shared" ca="1" si="407"/>
        <v>0</v>
      </c>
      <c r="BW559" s="824">
        <f t="shared" ca="1" si="407"/>
        <v>0</v>
      </c>
      <c r="BX559" s="824">
        <f t="shared" ca="1" si="407"/>
        <v>0</v>
      </c>
      <c r="BY559" s="824">
        <f t="shared" ca="1" si="407"/>
        <v>0</v>
      </c>
      <c r="BZ559" s="824">
        <f t="shared" ca="1" si="407"/>
        <v>0</v>
      </c>
      <c r="CA559" s="824">
        <f t="shared" ca="1" si="407"/>
        <v>0</v>
      </c>
      <c r="CB559" s="824">
        <f t="shared" ca="1" si="407"/>
        <v>0</v>
      </c>
      <c r="CC559" s="824">
        <f t="shared" ca="1" si="407"/>
        <v>0</v>
      </c>
      <c r="CD559" s="824">
        <f t="shared" ca="1" si="407"/>
        <v>0</v>
      </c>
      <c r="CE559" s="824">
        <f t="shared" ca="1" si="443"/>
        <v>0</v>
      </c>
      <c r="CF559" s="824">
        <f t="shared" ca="1" si="443"/>
        <v>0</v>
      </c>
      <c r="CG559" s="824">
        <f t="shared" ca="1" si="443"/>
        <v>0</v>
      </c>
      <c r="CH559" s="824">
        <f t="shared" ca="1" si="443"/>
        <v>0</v>
      </c>
      <c r="CI559" s="824">
        <f t="shared" ca="1" si="443"/>
        <v>0</v>
      </c>
      <c r="CJ559" s="824">
        <f t="shared" ca="1" si="443"/>
        <v>0</v>
      </c>
      <c r="CK559" s="824">
        <f t="shared" ca="1" si="443"/>
        <v>0</v>
      </c>
      <c r="CL559" s="824">
        <f t="shared" ca="1" si="443"/>
        <v>0</v>
      </c>
      <c r="CM559" s="824">
        <f t="shared" ca="1" si="443"/>
        <v>0</v>
      </c>
      <c r="CN559" s="824">
        <f t="shared" ca="1" si="443"/>
        <v>0</v>
      </c>
      <c r="CO559" s="824">
        <f t="shared" ca="1" si="443"/>
        <v>0</v>
      </c>
      <c r="CP559" s="824">
        <f t="shared" ca="1" si="443"/>
        <v>0</v>
      </c>
      <c r="CQ559" s="824">
        <f t="shared" ca="1" si="443"/>
        <v>0</v>
      </c>
      <c r="CR559" s="824">
        <f t="shared" ca="1" si="443"/>
        <v>0</v>
      </c>
      <c r="CS559" s="824">
        <f t="shared" ca="1" si="443"/>
        <v>0</v>
      </c>
      <c r="CT559" s="824">
        <f t="shared" ca="1" si="443"/>
        <v>0</v>
      </c>
      <c r="CU559" s="824">
        <f t="shared" ca="1" si="428"/>
        <v>0</v>
      </c>
      <c r="CV559" s="824">
        <f t="shared" ca="1" si="428"/>
        <v>0</v>
      </c>
      <c r="CW559" s="824">
        <f t="shared" ca="1" si="428"/>
        <v>0</v>
      </c>
      <c r="CX559" s="824">
        <f t="shared" ca="1" si="428"/>
        <v>0</v>
      </c>
      <c r="CY559" s="824">
        <f t="shared" ca="1" si="428"/>
        <v>0</v>
      </c>
      <c r="CZ559" s="824">
        <f t="shared" ca="1" si="428"/>
        <v>0</v>
      </c>
      <c r="DA559" s="824">
        <f t="shared" ca="1" si="429"/>
        <v>0</v>
      </c>
      <c r="DB559" s="824">
        <f t="shared" ca="1" si="429"/>
        <v>0</v>
      </c>
      <c r="DC559" s="824">
        <f t="shared" ca="1" si="429"/>
        <v>0</v>
      </c>
      <c r="DD559" s="824">
        <f t="shared" ca="1" si="429"/>
        <v>0</v>
      </c>
      <c r="DE559" s="824">
        <f t="shared" ca="1" si="429"/>
        <v>0</v>
      </c>
      <c r="DF559" s="824">
        <f t="shared" ca="1" si="429"/>
        <v>0</v>
      </c>
      <c r="DG559" s="824">
        <f t="shared" ca="1" si="429"/>
        <v>0</v>
      </c>
      <c r="DH559" s="824">
        <f t="shared" ca="1" si="429"/>
        <v>0</v>
      </c>
      <c r="DI559" s="824">
        <f t="shared" ca="1" si="429"/>
        <v>0</v>
      </c>
      <c r="DJ559" s="824">
        <f t="shared" ca="1" si="429"/>
        <v>0</v>
      </c>
      <c r="DK559" s="824">
        <f t="shared" ca="1" si="429"/>
        <v>0</v>
      </c>
      <c r="DL559" s="824">
        <f t="shared" ca="1" si="429"/>
        <v>0</v>
      </c>
    </row>
    <row r="560" spans="2:116" ht="12" thickBot="1" x14ac:dyDescent="0.3">
      <c r="B560" s="1673"/>
      <c r="C560" s="1680"/>
      <c r="D560" s="15" t="s">
        <v>127</v>
      </c>
      <c r="E560" s="165"/>
      <c r="F560" s="116">
        <f ca="1">SUBTOTAL(109,'3.3 I&amp;W'!$X$57)</f>
        <v>0</v>
      </c>
      <c r="G560" s="116">
        <f ca="1">SUBTOTAL(109,'3.3 I&amp;W'!$Y$57)</f>
        <v>0</v>
      </c>
      <c r="H560" s="116">
        <f ca="1">SUBTOTAL(109,'3.3 I&amp;W'!$AD$57)</f>
        <v>0</v>
      </c>
      <c r="I560" s="116">
        <f ca="1">SUBTOTAL(109,'3.3 I&amp;W'!$AE$57)</f>
        <v>0</v>
      </c>
      <c r="J560" s="116"/>
      <c r="K560" s="116"/>
      <c r="L560" s="116"/>
      <c r="M560" s="116">
        <f ca="1">SUBTOTAL(109,'3.3 I&amp;W'!$AI$57)</f>
        <v>0</v>
      </c>
      <c r="N560" s="156">
        <f t="shared" ca="1" si="404"/>
        <v>0</v>
      </c>
      <c r="O560" s="116">
        <f ca="1">SUBTOTAL(109,'3.3 I&amp;W'!$S$57)</f>
        <v>0</v>
      </c>
      <c r="P560" s="30">
        <f t="shared" ca="1" si="408"/>
        <v>0</v>
      </c>
      <c r="Q560" s="31">
        <f t="shared" ca="1" si="395"/>
        <v>0</v>
      </c>
      <c r="R560" s="31">
        <f t="shared" ca="1" si="396"/>
        <v>0</v>
      </c>
      <c r="S560" s="31">
        <f t="shared" ca="1" si="397"/>
        <v>0</v>
      </c>
      <c r="T560" s="32">
        <f t="shared" ca="1" si="398"/>
        <v>0</v>
      </c>
      <c r="U560" s="37">
        <f t="shared" ca="1" si="405"/>
        <v>0</v>
      </c>
      <c r="V560" s="40">
        <f t="shared" ca="1" si="406"/>
        <v>0</v>
      </c>
      <c r="W560" s="41">
        <f t="shared" ca="1" si="399"/>
        <v>0</v>
      </c>
      <c r="X560" s="43"/>
      <c r="Y560" s="46"/>
      <c r="Z560" s="126"/>
      <c r="AA560" s="136"/>
      <c r="AB560" s="83">
        <v>7</v>
      </c>
      <c r="AC560" s="84">
        <f ca="1">IF(AF559&lt;=1,0,'3.3 Fi&amp;Fo'!$I$25)</f>
        <v>49369.168897197917</v>
      </c>
      <c r="AD560" s="72">
        <f ca="1">IF(AF559&lt;=1,0,AF559*'3.3 Fi&amp;Fo'!$H$25)</f>
        <v>21568.782316696939</v>
      </c>
      <c r="AE560" s="78">
        <f t="shared" ca="1" si="409"/>
        <v>27800.386580500977</v>
      </c>
      <c r="AF560" s="85">
        <f t="shared" ca="1" si="410"/>
        <v>1050638.7292543459</v>
      </c>
      <c r="AG560" s="168">
        <f>IF(AJ559&lt;=1,0,IF(AB560&lt;='3.3 Fi&amp;Fo'!$F$34,'3.3 Fi&amp;Fo'!$J$34,IF(AB560&lt;='3.3 Fi&amp;Fo'!$F$35,'3.3 Fi&amp;Fo'!$J$35,IF(AB560&lt;='3.3 Fi&amp;Fo'!$F$36,'3.3 Fi&amp;Fo'!$J$36,IF(AB560&lt;='3.3 Fi&amp;Fo'!$F$37,'3.3 Fi&amp;Fo'!$J$37,IF(AB560&lt;='3.3 Fi&amp;Fo'!$F$38,'3.3 Fi&amp;Fo'!$J$38,IF(AB560&lt;='3.3 Fi&amp;Fo'!$F$39,'3.3 Fi&amp;Fo'!$J$39,IF(AB560&lt;='3.3 Fi&amp;Fo'!$F$40,'3.3 Fi&amp;Fo'!$J$40))))))))</f>
        <v>42576.94</v>
      </c>
      <c r="AH560" s="207">
        <f>IF(AJ559&lt;=1,0,AJ559*IF(AB560&lt;='3.3 Fi&amp;Fo'!$F$34,'3.3 Fi&amp;Fo'!$I$34,IF(AB560&lt;='3.3 Fi&amp;Fo'!$F$35,'3.3 Fi&amp;Fo'!$I$35,IF(AB560&lt;='3.3 Fi&amp;Fo'!$F$38,'3.3 Fi&amp;Fo'!$I$38,IF(AB560&lt;='3.3 Fi&amp;Fo'!$F$39,'3.3 Fi&amp;Fo'!$I$39,IF(AB560&lt;='3.3 Fi&amp;Fo'!$F$40,'3.3 Fi&amp;Fo'!$I$40))))))</f>
        <v>42563.055677920376</v>
      </c>
      <c r="AI560" s="210">
        <f t="shared" si="411"/>
        <v>13.884322079626145</v>
      </c>
      <c r="AJ560" s="209">
        <f t="shared" si="412"/>
        <v>1702508.3427947355</v>
      </c>
      <c r="AK560" s="312">
        <f t="shared" ca="1" si="424"/>
        <v>-117051.27904932031</v>
      </c>
      <c r="AL560" s="169">
        <f>IF(AB560&lt;='3.3 Fi&amp;Fo'!$J$15,'3.3 Fi&amp;Fo'!$I$15,0)</f>
        <v>0</v>
      </c>
      <c r="AM560" s="169">
        <f t="shared" si="425"/>
        <v>25105.170152122388</v>
      </c>
      <c r="AN560" s="838">
        <f t="shared" si="430"/>
        <v>7</v>
      </c>
      <c r="AO560" s="844">
        <f t="shared" ca="1" si="413"/>
        <v>117051.27904932031</v>
      </c>
      <c r="AP560" s="839">
        <f ca="1">BU658</f>
        <v>0</v>
      </c>
      <c r="AQ560" s="844">
        <f t="shared" si="414"/>
        <v>0</v>
      </c>
      <c r="AR560" s="839">
        <f t="shared" ca="1" si="431"/>
        <v>0</v>
      </c>
      <c r="AS560" s="839">
        <f t="shared" ca="1" si="426"/>
        <v>7337.9157051348684</v>
      </c>
      <c r="AT560" s="839">
        <f t="shared" ca="1" si="427"/>
        <v>9859.5418499390726</v>
      </c>
      <c r="AU560" s="839">
        <f ca="1">'PV-Einspeisung'!AA152*-1</f>
        <v>0</v>
      </c>
      <c r="AV560" s="839">
        <f ca="1">'PV-Einspeisung'!AE152*-1</f>
        <v>0</v>
      </c>
      <c r="AW560" s="839"/>
      <c r="AX560" s="839">
        <f t="shared" ca="1" si="432"/>
        <v>0</v>
      </c>
      <c r="AY560" s="841">
        <f t="shared" si="415"/>
        <v>7</v>
      </c>
      <c r="AZ560" s="842">
        <f t="shared" ca="1" si="433"/>
        <v>0</v>
      </c>
      <c r="BA560" s="842">
        <f t="shared" ca="1" si="434"/>
        <v>0</v>
      </c>
      <c r="BB560" s="842">
        <f t="shared" ca="1" si="435"/>
        <v>0</v>
      </c>
      <c r="BC560" s="842">
        <f t="shared" ca="1" si="436"/>
        <v>0</v>
      </c>
      <c r="BD560" s="842">
        <f t="shared" ca="1" si="437"/>
        <v>0</v>
      </c>
      <c r="BE560" s="842">
        <f t="shared" ca="1" si="438"/>
        <v>0</v>
      </c>
      <c r="BF560" s="842">
        <f t="shared" ca="1" si="439"/>
        <v>7040.0579827667489</v>
      </c>
      <c r="BG560" s="842">
        <f t="shared" ca="1" si="440"/>
        <v>2819.4838671723237</v>
      </c>
      <c r="BH560" s="858">
        <f t="shared" si="423"/>
        <v>7</v>
      </c>
      <c r="BI560" s="857">
        <f t="shared" ca="1" si="441"/>
        <v>3295.8090055710454</v>
      </c>
      <c r="BJ560" s="857">
        <f t="shared" ca="1" si="442"/>
        <v>4042.1066995638225</v>
      </c>
      <c r="BK560" s="859">
        <f ca="1">'PV-Einspeisung'!AB152*-1</f>
        <v>0</v>
      </c>
      <c r="BL560" s="824">
        <f t="shared" ca="1" si="400"/>
        <v>0</v>
      </c>
      <c r="BM560" s="824">
        <f t="shared" ca="1" si="401"/>
        <v>0</v>
      </c>
      <c r="BN560" s="824">
        <f t="shared" ca="1" si="402"/>
        <v>0</v>
      </c>
      <c r="BO560" s="824">
        <f t="shared" ca="1" si="407"/>
        <v>0</v>
      </c>
      <c r="BP560" s="824">
        <f t="shared" ca="1" si="407"/>
        <v>0</v>
      </c>
      <c r="BQ560" s="824">
        <f t="shared" ca="1" si="407"/>
        <v>0</v>
      </c>
      <c r="BR560" s="824">
        <f t="shared" ca="1" si="407"/>
        <v>0</v>
      </c>
      <c r="BS560" s="824">
        <f t="shared" ca="1" si="407"/>
        <v>0</v>
      </c>
      <c r="BT560" s="824">
        <f t="shared" ca="1" si="407"/>
        <v>0</v>
      </c>
      <c r="BU560" s="824">
        <f t="shared" ca="1" si="407"/>
        <v>0</v>
      </c>
      <c r="BV560" s="824">
        <f t="shared" ca="1" si="407"/>
        <v>0</v>
      </c>
      <c r="BW560" s="824">
        <f t="shared" ca="1" si="407"/>
        <v>0</v>
      </c>
      <c r="BX560" s="824">
        <f t="shared" ca="1" si="407"/>
        <v>0</v>
      </c>
      <c r="BY560" s="824">
        <f t="shared" ca="1" si="407"/>
        <v>0</v>
      </c>
      <c r="BZ560" s="824">
        <f t="shared" ca="1" si="407"/>
        <v>0</v>
      </c>
      <c r="CA560" s="824">
        <f t="shared" ca="1" si="407"/>
        <v>0</v>
      </c>
      <c r="CB560" s="824">
        <f t="shared" ca="1" si="407"/>
        <v>0</v>
      </c>
      <c r="CC560" s="824">
        <f t="shared" ca="1" si="407"/>
        <v>0</v>
      </c>
      <c r="CD560" s="824">
        <f t="shared" ca="1" si="407"/>
        <v>0</v>
      </c>
      <c r="CE560" s="824">
        <f t="shared" ca="1" si="443"/>
        <v>0</v>
      </c>
      <c r="CF560" s="824">
        <f t="shared" ca="1" si="443"/>
        <v>0</v>
      </c>
      <c r="CG560" s="824">
        <f t="shared" ca="1" si="443"/>
        <v>0</v>
      </c>
      <c r="CH560" s="824">
        <f t="shared" ca="1" si="443"/>
        <v>0</v>
      </c>
      <c r="CI560" s="824">
        <f t="shared" ca="1" si="443"/>
        <v>0</v>
      </c>
      <c r="CJ560" s="824">
        <f t="shared" ca="1" si="443"/>
        <v>0</v>
      </c>
      <c r="CK560" s="824">
        <f t="shared" ca="1" si="443"/>
        <v>0</v>
      </c>
      <c r="CL560" s="824">
        <f t="shared" ca="1" si="443"/>
        <v>0</v>
      </c>
      <c r="CM560" s="824">
        <f t="shared" ca="1" si="443"/>
        <v>0</v>
      </c>
      <c r="CN560" s="824">
        <f t="shared" ca="1" si="443"/>
        <v>0</v>
      </c>
      <c r="CO560" s="824">
        <f t="shared" ca="1" si="443"/>
        <v>0</v>
      </c>
      <c r="CP560" s="824">
        <f t="shared" ca="1" si="443"/>
        <v>0</v>
      </c>
      <c r="CQ560" s="824">
        <f t="shared" ca="1" si="443"/>
        <v>0</v>
      </c>
      <c r="CR560" s="824">
        <f t="shared" ca="1" si="443"/>
        <v>0</v>
      </c>
      <c r="CS560" s="824">
        <f t="shared" ca="1" si="443"/>
        <v>0</v>
      </c>
      <c r="CT560" s="824">
        <f t="shared" ca="1" si="443"/>
        <v>0</v>
      </c>
      <c r="CU560" s="824">
        <f t="shared" ca="1" si="428"/>
        <v>0</v>
      </c>
      <c r="CV560" s="824">
        <f t="shared" ca="1" si="428"/>
        <v>0</v>
      </c>
      <c r="CW560" s="824">
        <f t="shared" ca="1" si="428"/>
        <v>0</v>
      </c>
      <c r="CX560" s="824">
        <f t="shared" ca="1" si="428"/>
        <v>0</v>
      </c>
      <c r="CY560" s="824">
        <f t="shared" ca="1" si="428"/>
        <v>0</v>
      </c>
      <c r="CZ560" s="824">
        <f t="shared" ca="1" si="428"/>
        <v>0</v>
      </c>
      <c r="DA560" s="824">
        <f t="shared" ca="1" si="429"/>
        <v>0</v>
      </c>
      <c r="DB560" s="824">
        <f t="shared" ca="1" si="429"/>
        <v>0</v>
      </c>
      <c r="DC560" s="824">
        <f t="shared" ca="1" si="429"/>
        <v>0</v>
      </c>
      <c r="DD560" s="824">
        <f t="shared" ca="1" si="429"/>
        <v>0</v>
      </c>
      <c r="DE560" s="824">
        <f t="shared" ca="1" si="429"/>
        <v>0</v>
      </c>
      <c r="DF560" s="824">
        <f t="shared" ca="1" si="429"/>
        <v>0</v>
      </c>
      <c r="DG560" s="824">
        <f t="shared" ca="1" si="429"/>
        <v>0</v>
      </c>
      <c r="DH560" s="824">
        <f t="shared" ca="1" si="429"/>
        <v>0</v>
      </c>
      <c r="DI560" s="824">
        <f t="shared" ca="1" si="429"/>
        <v>0</v>
      </c>
      <c r="DJ560" s="824">
        <f t="shared" ca="1" si="429"/>
        <v>0</v>
      </c>
      <c r="DK560" s="824">
        <f t="shared" ca="1" si="429"/>
        <v>0</v>
      </c>
      <c r="DL560" s="824">
        <f t="shared" ca="1" si="429"/>
        <v>0</v>
      </c>
    </row>
    <row r="561" spans="2:116" ht="12" thickBot="1" x14ac:dyDescent="0.3">
      <c r="B561" s="1673"/>
      <c r="C561" s="1680"/>
      <c r="D561" s="15" t="s">
        <v>127</v>
      </c>
      <c r="E561" s="116"/>
      <c r="F561" s="116">
        <f ca="1">SUBTOTAL(109,'3.3 I&amp;W'!$X$58)</f>
        <v>0</v>
      </c>
      <c r="G561" s="116">
        <f ca="1">SUBTOTAL(109,'3.3 I&amp;W'!$Y$58)</f>
        <v>0</v>
      </c>
      <c r="H561" s="116">
        <f ca="1">SUBTOTAL(109,'3.3 I&amp;W'!$AD$58)</f>
        <v>0</v>
      </c>
      <c r="I561" s="116">
        <f ca="1">SUBTOTAL(109,'3.3 I&amp;W'!$AE$58)</f>
        <v>0</v>
      </c>
      <c r="J561" s="116"/>
      <c r="K561" s="116"/>
      <c r="L561" s="116"/>
      <c r="M561" s="116">
        <f ca="1">SUBTOTAL(109,'3.3 I&amp;W'!$AI$58)</f>
        <v>0</v>
      </c>
      <c r="N561" s="156">
        <f t="shared" ca="1" si="404"/>
        <v>0</v>
      </c>
      <c r="O561" s="116">
        <f ca="1">SUBTOTAL(109,'3.3 I&amp;W'!$S$58)</f>
        <v>0</v>
      </c>
      <c r="P561" s="30">
        <f t="shared" ca="1" si="408"/>
        <v>0</v>
      </c>
      <c r="Q561" s="31">
        <f t="shared" ca="1" si="395"/>
        <v>0</v>
      </c>
      <c r="R561" s="31">
        <f t="shared" ca="1" si="396"/>
        <v>0</v>
      </c>
      <c r="S561" s="31">
        <f t="shared" ca="1" si="397"/>
        <v>0</v>
      </c>
      <c r="T561" s="32">
        <f t="shared" ca="1" si="398"/>
        <v>0</v>
      </c>
      <c r="U561" s="37">
        <f t="shared" ca="1" si="405"/>
        <v>0</v>
      </c>
      <c r="V561" s="40">
        <f t="shared" ca="1" si="406"/>
        <v>0</v>
      </c>
      <c r="W561" s="41">
        <f t="shared" ca="1" si="399"/>
        <v>0</v>
      </c>
      <c r="X561" s="43"/>
      <c r="Y561" s="46"/>
      <c r="Z561" s="126"/>
      <c r="AA561" s="136"/>
      <c r="AB561" s="83">
        <v>8</v>
      </c>
      <c r="AC561" s="84">
        <f ca="1">IF(AF560&lt;=1,0,'3.3 Fi&amp;Fo'!$I$25)</f>
        <v>49369.168897197917</v>
      </c>
      <c r="AD561" s="72">
        <f ca="1">IF(AF560&lt;=1,0,AF560*'3.3 Fi&amp;Fo'!$H$25)</f>
        <v>21012.774585086918</v>
      </c>
      <c r="AE561" s="78">
        <f t="shared" ca="1" si="409"/>
        <v>28356.394312110999</v>
      </c>
      <c r="AF561" s="85">
        <f t="shared" ca="1" si="410"/>
        <v>1022282.3349422349</v>
      </c>
      <c r="AG561" s="168">
        <f>IF(AJ560&lt;=1,0,IF(AB561&lt;='3.3 Fi&amp;Fo'!$F$34,'3.3 Fi&amp;Fo'!$J$34,IF(AB561&lt;='3.3 Fi&amp;Fo'!$F$35,'3.3 Fi&amp;Fo'!$J$35,IF(AB561&lt;='3.3 Fi&amp;Fo'!$F$36,'3.3 Fi&amp;Fo'!$J$36,IF(AB561&lt;='3.3 Fi&amp;Fo'!$F$37,'3.3 Fi&amp;Fo'!$J$37,IF(AB561&lt;='3.3 Fi&amp;Fo'!$F$38,'3.3 Fi&amp;Fo'!$J$38,IF(AB561&lt;='3.3 Fi&amp;Fo'!$F$39,'3.3 Fi&amp;Fo'!$J$39,IF(AB561&lt;='3.3 Fi&amp;Fo'!$F$40,'3.3 Fi&amp;Fo'!$J$40))))))))</f>
        <v>42576.94</v>
      </c>
      <c r="AH561" s="207">
        <f>IF(AJ560&lt;=1,0,AJ560*IF(AB561&lt;='3.3 Fi&amp;Fo'!$F$34,'3.3 Fi&amp;Fo'!$I$34,IF(AB561&lt;='3.3 Fi&amp;Fo'!$F$35,'3.3 Fi&amp;Fo'!$I$35,IF(AB561&lt;='3.3 Fi&amp;Fo'!$F$38,'3.3 Fi&amp;Fo'!$I$38,IF(AB561&lt;='3.3 Fi&amp;Fo'!$F$39,'3.3 Fi&amp;Fo'!$I$39,IF(AB561&lt;='3.3 Fi&amp;Fo'!$F$40,'3.3 Fi&amp;Fo'!$I$40))))))</f>
        <v>42562.708569868388</v>
      </c>
      <c r="AI561" s="210">
        <f t="shared" si="411"/>
        <v>14.231430131614616</v>
      </c>
      <c r="AJ561" s="209">
        <f t="shared" si="412"/>
        <v>1702494.1113646037</v>
      </c>
      <c r="AK561" s="312">
        <f t="shared" ca="1" si="424"/>
        <v>-117553.38245236331</v>
      </c>
      <c r="AL561" s="169">
        <f>IF(AB561&lt;='3.3 Fi&amp;Fo'!$J$15,'3.3 Fi&amp;Fo'!$I$15,0)</f>
        <v>0</v>
      </c>
      <c r="AM561" s="169">
        <f t="shared" si="425"/>
        <v>25607.27355516539</v>
      </c>
      <c r="AN561" s="838">
        <f t="shared" si="430"/>
        <v>8</v>
      </c>
      <c r="AO561" s="844">
        <f t="shared" ca="1" si="413"/>
        <v>117553.38245236331</v>
      </c>
      <c r="AP561" s="839">
        <f ca="1">BV658</f>
        <v>0</v>
      </c>
      <c r="AQ561" s="844">
        <f t="shared" si="414"/>
        <v>0</v>
      </c>
      <c r="AR561" s="839">
        <f t="shared" ca="1" si="431"/>
        <v>0</v>
      </c>
      <c r="AS561" s="839">
        <f t="shared" ca="1" si="426"/>
        <v>7455.3223564170257</v>
      </c>
      <c r="AT561" s="839">
        <f t="shared" ca="1" si="427"/>
        <v>10134.225234859272</v>
      </c>
      <c r="AU561" s="839">
        <f ca="1">'PV-Einspeisung'!AA153*-1</f>
        <v>0</v>
      </c>
      <c r="AV561" s="839">
        <f ca="1">'PV-Einspeisung'!AE153*-1</f>
        <v>0</v>
      </c>
      <c r="AW561" s="839"/>
      <c r="AX561" s="839">
        <f t="shared" ca="1" si="432"/>
        <v>0</v>
      </c>
      <c r="AY561" s="841">
        <f t="shared" si="415"/>
        <v>8</v>
      </c>
      <c r="AZ561" s="842">
        <f t="shared" ca="1" si="433"/>
        <v>0</v>
      </c>
      <c r="BA561" s="842">
        <f t="shared" ca="1" si="434"/>
        <v>0</v>
      </c>
      <c r="BB561" s="842">
        <f t="shared" ca="1" si="435"/>
        <v>0</v>
      </c>
      <c r="BC561" s="842">
        <f t="shared" ca="1" si="436"/>
        <v>0</v>
      </c>
      <c r="BD561" s="842">
        <f t="shared" ca="1" si="437"/>
        <v>0</v>
      </c>
      <c r="BE561" s="842">
        <f t="shared" ca="1" si="438"/>
        <v>0</v>
      </c>
      <c r="BF561" s="842">
        <f t="shared" ca="1" si="439"/>
        <v>7216.0594323359173</v>
      </c>
      <c r="BG561" s="842">
        <f t="shared" ca="1" si="440"/>
        <v>2918.1658025233546</v>
      </c>
      <c r="BH561" s="858">
        <f t="shared" si="423"/>
        <v>8</v>
      </c>
      <c r="BI561" s="857">
        <f t="shared" ca="1" si="441"/>
        <v>3348.5419496601821</v>
      </c>
      <c r="BJ561" s="857">
        <f t="shared" ca="1" si="442"/>
        <v>4106.7804067568441</v>
      </c>
      <c r="BK561" s="859">
        <f ca="1">'PV-Einspeisung'!AB153*-1</f>
        <v>0</v>
      </c>
      <c r="BL561" s="824">
        <f t="shared" ca="1" si="400"/>
        <v>0</v>
      </c>
      <c r="BM561" s="824">
        <f t="shared" ca="1" si="401"/>
        <v>0</v>
      </c>
      <c r="BN561" s="824">
        <f t="shared" ca="1" si="402"/>
        <v>0</v>
      </c>
      <c r="BO561" s="824">
        <f t="shared" ca="1" si="407"/>
        <v>0</v>
      </c>
      <c r="BP561" s="824">
        <f t="shared" ca="1" si="407"/>
        <v>0</v>
      </c>
      <c r="BQ561" s="824">
        <f t="shared" ca="1" si="407"/>
        <v>0</v>
      </c>
      <c r="BR561" s="824">
        <f t="shared" ca="1" si="407"/>
        <v>0</v>
      </c>
      <c r="BS561" s="824">
        <f t="shared" ca="1" si="407"/>
        <v>0</v>
      </c>
      <c r="BT561" s="824">
        <f t="shared" ca="1" si="407"/>
        <v>0</v>
      </c>
      <c r="BU561" s="824">
        <f t="shared" ca="1" si="407"/>
        <v>0</v>
      </c>
      <c r="BV561" s="824">
        <f t="shared" ca="1" si="407"/>
        <v>0</v>
      </c>
      <c r="BW561" s="824">
        <f t="shared" ca="1" si="407"/>
        <v>0</v>
      </c>
      <c r="BX561" s="824">
        <f t="shared" ca="1" si="407"/>
        <v>0</v>
      </c>
      <c r="BY561" s="824">
        <f t="shared" ca="1" si="407"/>
        <v>0</v>
      </c>
      <c r="BZ561" s="824">
        <f t="shared" ca="1" si="407"/>
        <v>0</v>
      </c>
      <c r="CA561" s="824">
        <f t="shared" ca="1" si="407"/>
        <v>0</v>
      </c>
      <c r="CB561" s="824">
        <f t="shared" ca="1" si="407"/>
        <v>0</v>
      </c>
      <c r="CC561" s="824">
        <f t="shared" ca="1" si="407"/>
        <v>0</v>
      </c>
      <c r="CD561" s="824">
        <f t="shared" ca="1" si="407"/>
        <v>0</v>
      </c>
      <c r="CE561" s="824">
        <f t="shared" ca="1" si="443"/>
        <v>0</v>
      </c>
      <c r="CF561" s="824">
        <f t="shared" ca="1" si="443"/>
        <v>0</v>
      </c>
      <c r="CG561" s="824">
        <f t="shared" ca="1" si="443"/>
        <v>0</v>
      </c>
      <c r="CH561" s="824">
        <f t="shared" ca="1" si="443"/>
        <v>0</v>
      </c>
      <c r="CI561" s="824">
        <f t="shared" ca="1" si="443"/>
        <v>0</v>
      </c>
      <c r="CJ561" s="824">
        <f t="shared" ca="1" si="443"/>
        <v>0</v>
      </c>
      <c r="CK561" s="824">
        <f t="shared" ca="1" si="443"/>
        <v>0</v>
      </c>
      <c r="CL561" s="824">
        <f t="shared" ca="1" si="443"/>
        <v>0</v>
      </c>
      <c r="CM561" s="824">
        <f t="shared" ca="1" si="443"/>
        <v>0</v>
      </c>
      <c r="CN561" s="824">
        <f t="shared" ca="1" si="443"/>
        <v>0</v>
      </c>
      <c r="CO561" s="824">
        <f t="shared" ca="1" si="443"/>
        <v>0</v>
      </c>
      <c r="CP561" s="824">
        <f t="shared" ca="1" si="443"/>
        <v>0</v>
      </c>
      <c r="CQ561" s="824">
        <f t="shared" ca="1" si="443"/>
        <v>0</v>
      </c>
      <c r="CR561" s="824">
        <f t="shared" ca="1" si="443"/>
        <v>0</v>
      </c>
      <c r="CS561" s="824">
        <f t="shared" ca="1" si="443"/>
        <v>0</v>
      </c>
      <c r="CT561" s="824">
        <f t="shared" ca="1" si="443"/>
        <v>0</v>
      </c>
      <c r="CU561" s="824">
        <f t="shared" ca="1" si="428"/>
        <v>0</v>
      </c>
      <c r="CV561" s="824">
        <f t="shared" ca="1" si="428"/>
        <v>0</v>
      </c>
      <c r="CW561" s="824">
        <f t="shared" ca="1" si="428"/>
        <v>0</v>
      </c>
      <c r="CX561" s="824">
        <f t="shared" ca="1" si="428"/>
        <v>0</v>
      </c>
      <c r="CY561" s="824">
        <f t="shared" ca="1" si="428"/>
        <v>0</v>
      </c>
      <c r="CZ561" s="824">
        <f t="shared" ca="1" si="428"/>
        <v>0</v>
      </c>
      <c r="DA561" s="824">
        <f t="shared" ca="1" si="429"/>
        <v>0</v>
      </c>
      <c r="DB561" s="824">
        <f t="shared" ca="1" si="429"/>
        <v>0</v>
      </c>
      <c r="DC561" s="824">
        <f t="shared" ca="1" si="429"/>
        <v>0</v>
      </c>
      <c r="DD561" s="824">
        <f t="shared" ca="1" si="429"/>
        <v>0</v>
      </c>
      <c r="DE561" s="824">
        <f t="shared" ca="1" si="429"/>
        <v>0</v>
      </c>
      <c r="DF561" s="824">
        <f t="shared" ca="1" si="429"/>
        <v>0</v>
      </c>
      <c r="DG561" s="824">
        <f t="shared" ca="1" si="429"/>
        <v>0</v>
      </c>
      <c r="DH561" s="824">
        <f t="shared" ca="1" si="429"/>
        <v>0</v>
      </c>
      <c r="DI561" s="824">
        <f t="shared" ca="1" si="429"/>
        <v>0</v>
      </c>
      <c r="DJ561" s="824">
        <f t="shared" ca="1" si="429"/>
        <v>0</v>
      </c>
      <c r="DK561" s="824">
        <f t="shared" ca="1" si="429"/>
        <v>0</v>
      </c>
      <c r="DL561" s="824">
        <f t="shared" ca="1" si="429"/>
        <v>0</v>
      </c>
    </row>
    <row r="562" spans="2:116" ht="12" thickBot="1" x14ac:dyDescent="0.3">
      <c r="B562" s="1673"/>
      <c r="C562" s="1680"/>
      <c r="D562" s="15" t="s">
        <v>128</v>
      </c>
      <c r="E562" s="165"/>
      <c r="F562" s="116">
        <f ca="1">SUBTOTAL(109,'3.3 I&amp;W'!$X$61)</f>
        <v>0</v>
      </c>
      <c r="G562" s="116">
        <f ca="1">SUBTOTAL(109,'3.3 I&amp;W'!$Y$61)</f>
        <v>0</v>
      </c>
      <c r="H562" s="116">
        <f ca="1">SUBTOTAL(109,'3.3 I&amp;W'!$AD$61)</f>
        <v>0</v>
      </c>
      <c r="I562" s="116">
        <f ca="1">SUBTOTAL(109,'3.3 I&amp;W'!$AE$61)</f>
        <v>0</v>
      </c>
      <c r="J562" s="116"/>
      <c r="K562" s="116"/>
      <c r="L562" s="116"/>
      <c r="M562" s="116">
        <f ca="1">SUBTOTAL(109,'3.3 I&amp;W'!$AI$61)</f>
        <v>0</v>
      </c>
      <c r="N562" s="156">
        <f t="shared" ca="1" si="404"/>
        <v>0</v>
      </c>
      <c r="O562" s="116">
        <f ca="1">SUBTOTAL(109,'3.3 I&amp;W'!$S$61)</f>
        <v>0</v>
      </c>
      <c r="P562" s="30">
        <f t="shared" ca="1" si="408"/>
        <v>0</v>
      </c>
      <c r="Q562" s="31">
        <f t="shared" ca="1" si="395"/>
        <v>0</v>
      </c>
      <c r="R562" s="31">
        <f t="shared" ca="1" si="396"/>
        <v>0</v>
      </c>
      <c r="S562" s="31">
        <f t="shared" ca="1" si="397"/>
        <v>0</v>
      </c>
      <c r="T562" s="32">
        <f t="shared" ca="1" si="398"/>
        <v>0</v>
      </c>
      <c r="U562" s="37">
        <f t="shared" ca="1" si="405"/>
        <v>0</v>
      </c>
      <c r="V562" s="40">
        <f t="shared" ca="1" si="406"/>
        <v>0</v>
      </c>
      <c r="W562" s="41">
        <f t="shared" ca="1" si="399"/>
        <v>0</v>
      </c>
      <c r="X562" s="43"/>
      <c r="Y562" s="46"/>
      <c r="Z562" s="126"/>
      <c r="AA562" s="136"/>
      <c r="AB562" s="83">
        <v>9</v>
      </c>
      <c r="AC562" s="84">
        <f ca="1">IF(AF561&lt;=1,0,'3.3 Fi&amp;Fo'!$I$25)</f>
        <v>49369.168897197917</v>
      </c>
      <c r="AD562" s="72">
        <f ca="1">IF(AF561&lt;=1,0,AF561*'3.3 Fi&amp;Fo'!$H$25)</f>
        <v>20445.646698844699</v>
      </c>
      <c r="AE562" s="78">
        <f t="shared" ca="1" si="409"/>
        <v>28923.522198353217</v>
      </c>
      <c r="AF562" s="85">
        <f t="shared" ca="1" si="410"/>
        <v>993358.81274388172</v>
      </c>
      <c r="AG562" s="168">
        <f>IF(AJ561&lt;=1,0,IF(AB562&lt;='3.3 Fi&amp;Fo'!$F$34,'3.3 Fi&amp;Fo'!$J$34,IF(AB562&lt;='3.3 Fi&amp;Fo'!$F$35,'3.3 Fi&amp;Fo'!$J$35,IF(AB562&lt;='3.3 Fi&amp;Fo'!$F$36,'3.3 Fi&amp;Fo'!$J$36,IF(AB562&lt;='3.3 Fi&amp;Fo'!$F$37,'3.3 Fi&amp;Fo'!$J$37,IF(AB562&lt;='3.3 Fi&amp;Fo'!$F$38,'3.3 Fi&amp;Fo'!$J$38,IF(AB562&lt;='3.3 Fi&amp;Fo'!$F$39,'3.3 Fi&amp;Fo'!$J$39,IF(AB562&lt;='3.3 Fi&amp;Fo'!$F$40,'3.3 Fi&amp;Fo'!$J$40))))))))</f>
        <v>42576.94</v>
      </c>
      <c r="AH562" s="207">
        <f>IF(AJ561&lt;=1,0,AJ561*IF(AB562&lt;='3.3 Fi&amp;Fo'!$F$34,'3.3 Fi&amp;Fo'!$I$34,IF(AB562&lt;='3.3 Fi&amp;Fo'!$F$35,'3.3 Fi&amp;Fo'!$I$35,IF(AB562&lt;='3.3 Fi&amp;Fo'!$F$38,'3.3 Fi&amp;Fo'!$I$38,IF(AB562&lt;='3.3 Fi&amp;Fo'!$F$39,'3.3 Fi&amp;Fo'!$I$39,IF(AB562&lt;='3.3 Fi&amp;Fo'!$F$40,'3.3 Fi&amp;Fo'!$I$40))))))</f>
        <v>42562.352784115094</v>
      </c>
      <c r="AI562" s="210">
        <f t="shared" si="411"/>
        <v>14.587215884908801</v>
      </c>
      <c r="AJ562" s="209">
        <f t="shared" si="412"/>
        <v>1702479.5241487189</v>
      </c>
      <c r="AK562" s="312">
        <f t="shared" ca="1" si="424"/>
        <v>-118065.52792346656</v>
      </c>
      <c r="AL562" s="169">
        <f>IF(AB562&lt;='3.3 Fi&amp;Fo'!$J$15,'3.3 Fi&amp;Fo'!$I$15,0)</f>
        <v>0</v>
      </c>
      <c r="AM562" s="169">
        <f t="shared" si="425"/>
        <v>26119.419026268646</v>
      </c>
      <c r="AN562" s="838">
        <f t="shared" si="430"/>
        <v>9</v>
      </c>
      <c r="AO562" s="844">
        <f t="shared" ca="1" si="413"/>
        <v>118065.52792346656</v>
      </c>
      <c r="AP562" s="839">
        <f ca="1">BW658</f>
        <v>0</v>
      </c>
      <c r="AQ562" s="844">
        <f t="shared" si="414"/>
        <v>0</v>
      </c>
      <c r="AR562" s="839">
        <f t="shared" ca="1" si="431"/>
        <v>0</v>
      </c>
      <c r="AS562" s="839">
        <f t="shared" ca="1" si="426"/>
        <v>7574.6075141196989</v>
      </c>
      <c r="AT562" s="839">
        <f t="shared" ca="1" si="427"/>
        <v>10416.762523755986</v>
      </c>
      <c r="AU562" s="839">
        <f ca="1">'PV-Einspeisung'!AA154*-1</f>
        <v>0</v>
      </c>
      <c r="AV562" s="839">
        <f ca="1">'PV-Einspeisung'!AE154*-1</f>
        <v>0</v>
      </c>
      <c r="AW562" s="839"/>
      <c r="AX562" s="839">
        <f t="shared" ca="1" si="432"/>
        <v>0</v>
      </c>
      <c r="AY562" s="841">
        <f t="shared" si="415"/>
        <v>9</v>
      </c>
      <c r="AZ562" s="842">
        <f t="shared" ca="1" si="433"/>
        <v>0</v>
      </c>
      <c r="BA562" s="842">
        <f t="shared" ca="1" si="434"/>
        <v>0</v>
      </c>
      <c r="BB562" s="842">
        <f t="shared" ca="1" si="435"/>
        <v>0</v>
      </c>
      <c r="BC562" s="842">
        <f t="shared" ca="1" si="436"/>
        <v>0</v>
      </c>
      <c r="BD562" s="842">
        <f t="shared" ca="1" si="437"/>
        <v>0</v>
      </c>
      <c r="BE562" s="842">
        <f t="shared" ca="1" si="438"/>
        <v>0</v>
      </c>
      <c r="BF562" s="842">
        <f t="shared" ca="1" si="439"/>
        <v>7396.4609181443147</v>
      </c>
      <c r="BG562" s="842">
        <f t="shared" ca="1" si="440"/>
        <v>3020.3016056116717</v>
      </c>
      <c r="BH562" s="858">
        <f t="shared" si="423"/>
        <v>9</v>
      </c>
      <c r="BI562" s="857">
        <f t="shared" ca="1" si="441"/>
        <v>3402.1186208547451</v>
      </c>
      <c r="BJ562" s="857">
        <f t="shared" ca="1" si="442"/>
        <v>4172.4888932649537</v>
      </c>
      <c r="BK562" s="859">
        <f ca="1">'PV-Einspeisung'!AB154*-1</f>
        <v>0</v>
      </c>
      <c r="BL562" s="824">
        <f t="shared" ca="1" si="400"/>
        <v>0</v>
      </c>
      <c r="BM562" s="824">
        <f t="shared" ca="1" si="401"/>
        <v>0</v>
      </c>
      <c r="BN562" s="824">
        <f t="shared" ca="1" si="402"/>
        <v>0</v>
      </c>
      <c r="BO562" s="824">
        <f t="shared" ca="1" si="407"/>
        <v>0</v>
      </c>
      <c r="BP562" s="824">
        <f t="shared" ca="1" si="407"/>
        <v>0</v>
      </c>
      <c r="BQ562" s="824">
        <f t="shared" ca="1" si="407"/>
        <v>0</v>
      </c>
      <c r="BR562" s="824">
        <f t="shared" ca="1" si="407"/>
        <v>0</v>
      </c>
      <c r="BS562" s="824">
        <f t="shared" ca="1" si="407"/>
        <v>0</v>
      </c>
      <c r="BT562" s="824">
        <f t="shared" ca="1" si="407"/>
        <v>0</v>
      </c>
      <c r="BU562" s="824">
        <f t="shared" ca="1" si="407"/>
        <v>0</v>
      </c>
      <c r="BV562" s="824">
        <f t="shared" ca="1" si="407"/>
        <v>0</v>
      </c>
      <c r="BW562" s="824">
        <f t="shared" ca="1" si="407"/>
        <v>0</v>
      </c>
      <c r="BX562" s="824">
        <f t="shared" ca="1" si="407"/>
        <v>0</v>
      </c>
      <c r="BY562" s="824">
        <f t="shared" ca="1" si="407"/>
        <v>0</v>
      </c>
      <c r="BZ562" s="824">
        <f t="shared" ca="1" si="407"/>
        <v>0</v>
      </c>
      <c r="CA562" s="824">
        <f t="shared" ca="1" si="407"/>
        <v>0</v>
      </c>
      <c r="CB562" s="824">
        <f t="shared" ca="1" si="407"/>
        <v>0</v>
      </c>
      <c r="CC562" s="824">
        <f t="shared" ca="1" si="407"/>
        <v>0</v>
      </c>
      <c r="CD562" s="824">
        <f t="shared" ca="1" si="407"/>
        <v>0</v>
      </c>
      <c r="CE562" s="824">
        <f t="shared" ca="1" si="443"/>
        <v>0</v>
      </c>
      <c r="CF562" s="824">
        <f t="shared" ca="1" si="443"/>
        <v>0</v>
      </c>
      <c r="CG562" s="824">
        <f t="shared" ca="1" si="443"/>
        <v>0</v>
      </c>
      <c r="CH562" s="824">
        <f t="shared" ca="1" si="443"/>
        <v>0</v>
      </c>
      <c r="CI562" s="824">
        <f t="shared" ca="1" si="443"/>
        <v>0</v>
      </c>
      <c r="CJ562" s="824">
        <f t="shared" ca="1" si="443"/>
        <v>0</v>
      </c>
      <c r="CK562" s="824">
        <f t="shared" ca="1" si="443"/>
        <v>0</v>
      </c>
      <c r="CL562" s="824">
        <f t="shared" ca="1" si="443"/>
        <v>0</v>
      </c>
      <c r="CM562" s="824">
        <f t="shared" ca="1" si="443"/>
        <v>0</v>
      </c>
      <c r="CN562" s="824">
        <f t="shared" ca="1" si="443"/>
        <v>0</v>
      </c>
      <c r="CO562" s="824">
        <f t="shared" ca="1" si="443"/>
        <v>0</v>
      </c>
      <c r="CP562" s="824">
        <f t="shared" ca="1" si="443"/>
        <v>0</v>
      </c>
      <c r="CQ562" s="824">
        <f t="shared" ca="1" si="443"/>
        <v>0</v>
      </c>
      <c r="CR562" s="824">
        <f t="shared" ca="1" si="443"/>
        <v>0</v>
      </c>
      <c r="CS562" s="824">
        <f t="shared" ca="1" si="443"/>
        <v>0</v>
      </c>
      <c r="CT562" s="824">
        <f t="shared" ca="1" si="443"/>
        <v>0</v>
      </c>
      <c r="CU562" s="824">
        <f t="shared" ca="1" si="428"/>
        <v>0</v>
      </c>
      <c r="CV562" s="824">
        <f t="shared" ca="1" si="428"/>
        <v>0</v>
      </c>
      <c r="CW562" s="824">
        <f t="shared" ca="1" si="428"/>
        <v>0</v>
      </c>
      <c r="CX562" s="824">
        <f t="shared" ca="1" si="428"/>
        <v>0</v>
      </c>
      <c r="CY562" s="824">
        <f t="shared" ca="1" si="428"/>
        <v>0</v>
      </c>
      <c r="CZ562" s="824">
        <f t="shared" ca="1" si="428"/>
        <v>0</v>
      </c>
      <c r="DA562" s="824">
        <f t="shared" ca="1" si="429"/>
        <v>0</v>
      </c>
      <c r="DB562" s="824">
        <f t="shared" ca="1" si="429"/>
        <v>0</v>
      </c>
      <c r="DC562" s="824">
        <f t="shared" ca="1" si="429"/>
        <v>0</v>
      </c>
      <c r="DD562" s="824">
        <f t="shared" ca="1" si="429"/>
        <v>0</v>
      </c>
      <c r="DE562" s="824">
        <f t="shared" ca="1" si="429"/>
        <v>0</v>
      </c>
      <c r="DF562" s="824">
        <f t="shared" ca="1" si="429"/>
        <v>0</v>
      </c>
      <c r="DG562" s="824">
        <f t="shared" ca="1" si="429"/>
        <v>0</v>
      </c>
      <c r="DH562" s="824">
        <f t="shared" ca="1" si="429"/>
        <v>0</v>
      </c>
      <c r="DI562" s="824">
        <f t="shared" ca="1" si="429"/>
        <v>0</v>
      </c>
      <c r="DJ562" s="824">
        <f t="shared" ca="1" si="429"/>
        <v>0</v>
      </c>
      <c r="DK562" s="824">
        <f t="shared" ca="1" si="429"/>
        <v>0</v>
      </c>
      <c r="DL562" s="824">
        <f t="shared" ca="1" si="429"/>
        <v>0</v>
      </c>
    </row>
    <row r="563" spans="2:116" ht="12" thickBot="1" x14ac:dyDescent="0.3">
      <c r="B563" s="1673"/>
      <c r="C563" s="1680"/>
      <c r="D563" s="15" t="s">
        <v>128</v>
      </c>
      <c r="E563" s="116"/>
      <c r="F563" s="116">
        <f ca="1">SUBTOTAL(109,'3.3 I&amp;W'!$X$62)</f>
        <v>0</v>
      </c>
      <c r="G563" s="116">
        <f ca="1">SUBTOTAL(109,'3.3 I&amp;W'!$Y$62)</f>
        <v>0</v>
      </c>
      <c r="H563" s="116">
        <f ca="1">SUBTOTAL(109,'3.3 I&amp;W'!$AD$62)</f>
        <v>0</v>
      </c>
      <c r="I563" s="116">
        <f ca="1">SUBTOTAL(109,'3.3 I&amp;W'!$AE$62)</f>
        <v>0</v>
      </c>
      <c r="J563" s="116"/>
      <c r="K563" s="116"/>
      <c r="L563" s="116"/>
      <c r="M563" s="116">
        <f ca="1">SUBTOTAL(109,'3.3 I&amp;W'!$AI$62)</f>
        <v>0</v>
      </c>
      <c r="N563" s="156">
        <f t="shared" ca="1" si="404"/>
        <v>0</v>
      </c>
      <c r="O563" s="116">
        <f ca="1">SUBTOTAL(109,'3.3 I&amp;W'!$S$62)</f>
        <v>0</v>
      </c>
      <c r="P563" s="30">
        <f t="shared" ca="1" si="408"/>
        <v>0</v>
      </c>
      <c r="Q563" s="31">
        <f t="shared" ca="1" si="395"/>
        <v>0</v>
      </c>
      <c r="R563" s="31">
        <f t="shared" ca="1" si="396"/>
        <v>0</v>
      </c>
      <c r="S563" s="31">
        <f t="shared" ca="1" si="397"/>
        <v>0</v>
      </c>
      <c r="T563" s="32">
        <f t="shared" ca="1" si="398"/>
        <v>0</v>
      </c>
      <c r="U563" s="37">
        <f t="shared" ca="1" si="405"/>
        <v>0</v>
      </c>
      <c r="V563" s="40">
        <f t="shared" ca="1" si="406"/>
        <v>0</v>
      </c>
      <c r="W563" s="41">
        <f t="shared" ca="1" si="399"/>
        <v>0</v>
      </c>
      <c r="X563" s="43"/>
      <c r="Y563" s="46"/>
      <c r="Z563" s="126"/>
      <c r="AA563" s="136"/>
      <c r="AB563" s="83">
        <v>10</v>
      </c>
      <c r="AC563" s="84">
        <f ca="1">IF(AF562&lt;=1,0,'3.3 Fi&amp;Fo'!$I$25)</f>
        <v>49369.168897197917</v>
      </c>
      <c r="AD563" s="72">
        <f ca="1">IF(AF562&lt;=1,0,AF562*'3.3 Fi&amp;Fo'!$H$25)</f>
        <v>19867.176254877635</v>
      </c>
      <c r="AE563" s="78">
        <f t="shared" ca="1" si="409"/>
        <v>29501.992642320281</v>
      </c>
      <c r="AF563" s="85">
        <f t="shared" ca="1" si="410"/>
        <v>963856.82010156149</v>
      </c>
      <c r="AG563" s="168">
        <f>IF(AJ562&lt;=1,0,IF(AB563&lt;='3.3 Fi&amp;Fo'!$F$34,'3.3 Fi&amp;Fo'!$J$34,IF(AB563&lt;='3.3 Fi&amp;Fo'!$F$35,'3.3 Fi&amp;Fo'!$J$35,IF(AB563&lt;='3.3 Fi&amp;Fo'!$F$36,'3.3 Fi&amp;Fo'!$J$36,IF(AB563&lt;='3.3 Fi&amp;Fo'!$F$37,'3.3 Fi&amp;Fo'!$J$37,IF(AB563&lt;='3.3 Fi&amp;Fo'!$F$38,'3.3 Fi&amp;Fo'!$J$38,IF(AB563&lt;='3.3 Fi&amp;Fo'!$F$39,'3.3 Fi&amp;Fo'!$J$39,IF(AB563&lt;='3.3 Fi&amp;Fo'!$F$40,'3.3 Fi&amp;Fo'!$J$40))))))))</f>
        <v>42576.94</v>
      </c>
      <c r="AH563" s="207">
        <f>IF(AJ562&lt;=1,0,AJ562*IF(AB563&lt;='3.3 Fi&amp;Fo'!$F$34,'3.3 Fi&amp;Fo'!$I$34,IF(AB563&lt;='3.3 Fi&amp;Fo'!$F$35,'3.3 Fi&amp;Fo'!$I$35,IF(AB563&lt;='3.3 Fi&amp;Fo'!$F$38,'3.3 Fi&amp;Fo'!$I$38,IF(AB563&lt;='3.3 Fi&amp;Fo'!$F$39,'3.3 Fi&amp;Fo'!$I$39,IF(AB563&lt;='3.3 Fi&amp;Fo'!$F$40,'3.3 Fi&amp;Fo'!$I$40))))))</f>
        <v>42561.988103717973</v>
      </c>
      <c r="AI563" s="210">
        <f t="shared" si="411"/>
        <v>14.951896282029338</v>
      </c>
      <c r="AJ563" s="209">
        <f t="shared" si="412"/>
        <v>1702464.572252437</v>
      </c>
      <c r="AK563" s="312">
        <f t="shared" ca="1" si="424"/>
        <v>-118587.91630399173</v>
      </c>
      <c r="AL563" s="169">
        <f>IF(AB563&lt;='3.3 Fi&amp;Fo'!$J$15,'3.3 Fi&amp;Fo'!$I$15,0)</f>
        <v>0</v>
      </c>
      <c r="AM563" s="169">
        <f t="shared" si="425"/>
        <v>26641.807406793814</v>
      </c>
      <c r="AN563" s="838">
        <f t="shared" si="430"/>
        <v>10</v>
      </c>
      <c r="AO563" s="844">
        <f t="shared" ca="1" si="413"/>
        <v>118587.91630399173</v>
      </c>
      <c r="AP563" s="839">
        <f ca="1">BX658</f>
        <v>0</v>
      </c>
      <c r="AQ563" s="844">
        <f t="shared" si="414"/>
        <v>0</v>
      </c>
      <c r="AR563" s="839">
        <f t="shared" ca="1" si="431"/>
        <v>0</v>
      </c>
      <c r="AS563" s="839">
        <f t="shared" ca="1" si="426"/>
        <v>7695.8012343456139</v>
      </c>
      <c r="AT563" s="839">
        <f t="shared" ca="1" si="427"/>
        <v>10707.384602906002</v>
      </c>
      <c r="AU563" s="839">
        <f ca="1">'PV-Einspeisung'!AA155*-1</f>
        <v>0</v>
      </c>
      <c r="AV563" s="839">
        <f ca="1">'PV-Einspeisung'!AE155*-1</f>
        <v>0</v>
      </c>
      <c r="AW563" s="839"/>
      <c r="AX563" s="839">
        <f t="shared" ca="1" si="432"/>
        <v>0</v>
      </c>
      <c r="AY563" s="841">
        <f t="shared" si="415"/>
        <v>10</v>
      </c>
      <c r="AZ563" s="842">
        <f t="shared" ca="1" si="433"/>
        <v>0</v>
      </c>
      <c r="BA563" s="842">
        <f t="shared" ca="1" si="434"/>
        <v>0</v>
      </c>
      <c r="BB563" s="842">
        <f t="shared" ca="1" si="435"/>
        <v>0</v>
      </c>
      <c r="BC563" s="842">
        <f t="shared" ca="1" si="436"/>
        <v>0</v>
      </c>
      <c r="BD563" s="842">
        <f t="shared" ca="1" si="437"/>
        <v>0</v>
      </c>
      <c r="BE563" s="842">
        <f t="shared" ca="1" si="438"/>
        <v>0</v>
      </c>
      <c r="BF563" s="842">
        <f t="shared" ca="1" si="439"/>
        <v>7581.3724410979221</v>
      </c>
      <c r="BG563" s="842">
        <f t="shared" ca="1" si="440"/>
        <v>3126.0121618080798</v>
      </c>
      <c r="BH563" s="858">
        <f t="shared" si="423"/>
        <v>10</v>
      </c>
      <c r="BI563" s="857">
        <f t="shared" ca="1" si="441"/>
        <v>3456.5525187884209</v>
      </c>
      <c r="BJ563" s="857">
        <f t="shared" ca="1" si="442"/>
        <v>4239.2487155571935</v>
      </c>
      <c r="BK563" s="859">
        <f ca="1">'PV-Einspeisung'!AB155*-1</f>
        <v>0</v>
      </c>
      <c r="BL563" s="824">
        <f t="shared" ca="1" si="400"/>
        <v>0</v>
      </c>
      <c r="BM563" s="824">
        <f t="shared" ca="1" si="401"/>
        <v>0</v>
      </c>
      <c r="BN563" s="824">
        <f t="shared" ca="1" si="402"/>
        <v>0</v>
      </c>
      <c r="BO563" s="824">
        <f t="shared" ca="1" si="407"/>
        <v>0</v>
      </c>
      <c r="BP563" s="824">
        <f t="shared" ca="1" si="407"/>
        <v>0</v>
      </c>
      <c r="BQ563" s="824">
        <f t="shared" ca="1" si="407"/>
        <v>0</v>
      </c>
      <c r="BR563" s="824">
        <f t="shared" ca="1" si="407"/>
        <v>0</v>
      </c>
      <c r="BS563" s="824">
        <f t="shared" ca="1" si="407"/>
        <v>0</v>
      </c>
      <c r="BT563" s="824">
        <f t="shared" ca="1" si="407"/>
        <v>0</v>
      </c>
      <c r="BU563" s="824">
        <f t="shared" ca="1" si="407"/>
        <v>0</v>
      </c>
      <c r="BV563" s="824">
        <f t="shared" ca="1" si="407"/>
        <v>0</v>
      </c>
      <c r="BW563" s="824">
        <f t="shared" ca="1" si="407"/>
        <v>0</v>
      </c>
      <c r="BX563" s="824">
        <f t="shared" ca="1" si="407"/>
        <v>0</v>
      </c>
      <c r="BY563" s="824">
        <f t="shared" ca="1" si="407"/>
        <v>0</v>
      </c>
      <c r="BZ563" s="824">
        <f t="shared" ca="1" si="407"/>
        <v>0</v>
      </c>
      <c r="CA563" s="824">
        <f t="shared" ca="1" si="407"/>
        <v>0</v>
      </c>
      <c r="CB563" s="824">
        <f t="shared" ca="1" si="407"/>
        <v>0</v>
      </c>
      <c r="CC563" s="824">
        <f t="shared" ca="1" si="407"/>
        <v>0</v>
      </c>
      <c r="CD563" s="824">
        <f t="shared" ca="1" si="407"/>
        <v>0</v>
      </c>
      <c r="CE563" s="824">
        <f t="shared" ca="1" si="443"/>
        <v>0</v>
      </c>
      <c r="CF563" s="824">
        <f t="shared" ca="1" si="443"/>
        <v>0</v>
      </c>
      <c r="CG563" s="824">
        <f t="shared" ca="1" si="443"/>
        <v>0</v>
      </c>
      <c r="CH563" s="824">
        <f t="shared" ca="1" si="443"/>
        <v>0</v>
      </c>
      <c r="CI563" s="824">
        <f t="shared" ca="1" si="443"/>
        <v>0</v>
      </c>
      <c r="CJ563" s="824">
        <f t="shared" ca="1" si="443"/>
        <v>0</v>
      </c>
      <c r="CK563" s="824">
        <f t="shared" ca="1" si="443"/>
        <v>0</v>
      </c>
      <c r="CL563" s="824">
        <f t="shared" ca="1" si="443"/>
        <v>0</v>
      </c>
      <c r="CM563" s="824">
        <f t="shared" ca="1" si="443"/>
        <v>0</v>
      </c>
      <c r="CN563" s="824">
        <f t="shared" ca="1" si="443"/>
        <v>0</v>
      </c>
      <c r="CO563" s="824">
        <f t="shared" ca="1" si="443"/>
        <v>0</v>
      </c>
      <c r="CP563" s="824">
        <f t="shared" ca="1" si="443"/>
        <v>0</v>
      </c>
      <c r="CQ563" s="824">
        <f t="shared" ca="1" si="443"/>
        <v>0</v>
      </c>
      <c r="CR563" s="824">
        <f t="shared" ca="1" si="443"/>
        <v>0</v>
      </c>
      <c r="CS563" s="824">
        <f t="shared" ca="1" si="443"/>
        <v>0</v>
      </c>
      <c r="CT563" s="824">
        <f t="shared" ca="1" si="443"/>
        <v>0</v>
      </c>
      <c r="CU563" s="824">
        <f t="shared" ca="1" si="428"/>
        <v>0</v>
      </c>
      <c r="CV563" s="824">
        <f t="shared" ca="1" si="428"/>
        <v>0</v>
      </c>
      <c r="CW563" s="824">
        <f t="shared" ca="1" si="428"/>
        <v>0</v>
      </c>
      <c r="CX563" s="824">
        <f t="shared" ca="1" si="428"/>
        <v>0</v>
      </c>
      <c r="CY563" s="824">
        <f t="shared" ca="1" si="428"/>
        <v>0</v>
      </c>
      <c r="CZ563" s="824">
        <f t="shared" ca="1" si="428"/>
        <v>0</v>
      </c>
      <c r="DA563" s="824">
        <f t="shared" ca="1" si="429"/>
        <v>0</v>
      </c>
      <c r="DB563" s="824">
        <f t="shared" ca="1" si="429"/>
        <v>0</v>
      </c>
      <c r="DC563" s="824">
        <f t="shared" ca="1" si="429"/>
        <v>0</v>
      </c>
      <c r="DD563" s="824">
        <f t="shared" ca="1" si="429"/>
        <v>0</v>
      </c>
      <c r="DE563" s="824">
        <f t="shared" ca="1" si="429"/>
        <v>0</v>
      </c>
      <c r="DF563" s="824">
        <f t="shared" ca="1" si="429"/>
        <v>0</v>
      </c>
      <c r="DG563" s="824">
        <f t="shared" ca="1" si="429"/>
        <v>0</v>
      </c>
      <c r="DH563" s="824">
        <f t="shared" ca="1" si="429"/>
        <v>0</v>
      </c>
      <c r="DI563" s="824">
        <f t="shared" ca="1" si="429"/>
        <v>0</v>
      </c>
      <c r="DJ563" s="824">
        <f t="shared" ca="1" si="429"/>
        <v>0</v>
      </c>
      <c r="DK563" s="824">
        <f t="shared" ca="1" si="429"/>
        <v>0</v>
      </c>
      <c r="DL563" s="824">
        <f t="shared" ca="1" si="429"/>
        <v>0</v>
      </c>
    </row>
    <row r="564" spans="2:116" ht="12" thickBot="1" x14ac:dyDescent="0.3">
      <c r="B564" s="1673"/>
      <c r="C564" s="1680"/>
      <c r="D564" s="15" t="s">
        <v>128</v>
      </c>
      <c r="E564" s="165"/>
      <c r="F564" s="116">
        <f ca="1">SUBTOTAL(109,'3.3 I&amp;W'!$X$63)</f>
        <v>0</v>
      </c>
      <c r="G564" s="116">
        <f ca="1">SUBTOTAL(109,'3.3 I&amp;W'!$Y$63)</f>
        <v>0</v>
      </c>
      <c r="H564" s="116">
        <f ca="1">SUBTOTAL(109,'3.3 I&amp;W'!$AD$63)</f>
        <v>0</v>
      </c>
      <c r="I564" s="116">
        <f ca="1">SUBTOTAL(109,'3.3 I&amp;W'!$AE$63)</f>
        <v>0</v>
      </c>
      <c r="J564" s="116"/>
      <c r="K564" s="116"/>
      <c r="L564" s="116"/>
      <c r="M564" s="116">
        <f ca="1">SUBTOTAL(109,'3.3 I&amp;W'!$AI$63)</f>
        <v>0</v>
      </c>
      <c r="N564" s="156">
        <f t="shared" ca="1" si="404"/>
        <v>0</v>
      </c>
      <c r="O564" s="116">
        <f ca="1">SUBTOTAL(109,'3.3 I&amp;W'!$S$63)</f>
        <v>0</v>
      </c>
      <c r="P564" s="30">
        <f t="shared" ca="1" si="408"/>
        <v>0</v>
      </c>
      <c r="Q564" s="31">
        <f t="shared" ca="1" si="395"/>
        <v>0</v>
      </c>
      <c r="R564" s="31">
        <f t="shared" ca="1" si="396"/>
        <v>0</v>
      </c>
      <c r="S564" s="31">
        <f t="shared" ca="1" si="397"/>
        <v>0</v>
      </c>
      <c r="T564" s="32">
        <f t="shared" ca="1" si="398"/>
        <v>0</v>
      </c>
      <c r="U564" s="37">
        <f t="shared" ca="1" si="405"/>
        <v>0</v>
      </c>
      <c r="V564" s="40">
        <f t="shared" ca="1" si="406"/>
        <v>0</v>
      </c>
      <c r="W564" s="41">
        <f t="shared" ca="1" si="399"/>
        <v>0</v>
      </c>
      <c r="X564" s="43"/>
      <c r="Y564" s="46"/>
      <c r="Z564" s="126"/>
      <c r="AA564" s="136"/>
      <c r="AB564" s="83">
        <v>11</v>
      </c>
      <c r="AC564" s="84">
        <f ca="1">IF(AF563&lt;=1,0,'3.3 Fi&amp;Fo'!$I$25)</f>
        <v>49369.168897197917</v>
      </c>
      <c r="AD564" s="72">
        <f ca="1">IF(AF563&lt;=1,0,AF563*'3.3 Fi&amp;Fo'!$H$25)</f>
        <v>19277.136402031228</v>
      </c>
      <c r="AE564" s="78">
        <f t="shared" ca="1" si="409"/>
        <v>30092.032495166688</v>
      </c>
      <c r="AF564" s="85">
        <f t="shared" ca="1" si="410"/>
        <v>933764.78760639485</v>
      </c>
      <c r="AG564" s="168">
        <f>IF(AJ563&lt;=1,0,IF(AB564&lt;='3.3 Fi&amp;Fo'!$F$34,'3.3 Fi&amp;Fo'!$J$34,IF(AB564&lt;='3.3 Fi&amp;Fo'!$F$35,'3.3 Fi&amp;Fo'!$J$35,IF(AB564&lt;='3.3 Fi&amp;Fo'!$F$36,'3.3 Fi&amp;Fo'!$J$36,IF(AB564&lt;='3.3 Fi&amp;Fo'!$F$37,'3.3 Fi&amp;Fo'!$J$37,IF(AB564&lt;='3.3 Fi&amp;Fo'!$F$38,'3.3 Fi&amp;Fo'!$J$38,IF(AB564&lt;='3.3 Fi&amp;Fo'!$F$39,'3.3 Fi&amp;Fo'!$J$39,IF(AB564&lt;='3.3 Fi&amp;Fo'!$F$40,'3.3 Fi&amp;Fo'!$J$40))))))))</f>
        <v>59602.916000000012</v>
      </c>
      <c r="AH564" s="207">
        <f>IF(AJ563&lt;=1,0,AJ563*IF(AB564&lt;='3.3 Fi&amp;Fo'!$F$34,'3.3 Fi&amp;Fo'!$I$34,IF(AB564&lt;='3.3 Fi&amp;Fo'!$F$35,'3.3 Fi&amp;Fo'!$I$35,IF(AB564&lt;='3.3 Fi&amp;Fo'!$F$38,'3.3 Fi&amp;Fo'!$I$38,IF(AB564&lt;='3.3 Fi&amp;Fo'!$F$39,'3.3 Fi&amp;Fo'!$I$39,IF(AB564&lt;='3.3 Fi&amp;Fo'!$F$40,'3.3 Fi&amp;Fo'!$I$40))))))</f>
        <v>93635.551473884043</v>
      </c>
      <c r="AI564" s="210">
        <f t="shared" si="411"/>
        <v>-34032.635473884031</v>
      </c>
      <c r="AJ564" s="209">
        <f t="shared" si="412"/>
        <v>1736497.207726321</v>
      </c>
      <c r="AK564" s="312">
        <f t="shared" ca="1" si="424"/>
        <v>-136146.72845212757</v>
      </c>
      <c r="AL564" s="169">
        <f>IF(AB564&lt;='3.3 Fi&amp;Fo'!$J$15,'3.3 Fi&amp;Fo'!$I$15,0)</f>
        <v>0</v>
      </c>
      <c r="AM564" s="169">
        <f t="shared" si="425"/>
        <v>27174.643554929644</v>
      </c>
      <c r="AN564" s="838">
        <f t="shared" si="430"/>
        <v>11</v>
      </c>
      <c r="AO564" s="844">
        <f t="shared" ca="1" si="413"/>
        <v>136146.72845212757</v>
      </c>
      <c r="AP564" s="839">
        <f ca="1">BY658</f>
        <v>0</v>
      </c>
      <c r="AQ564" s="844">
        <f t="shared" si="414"/>
        <v>0</v>
      </c>
      <c r="AR564" s="839">
        <f t="shared" ca="1" si="431"/>
        <v>0</v>
      </c>
      <c r="AS564" s="839">
        <f t="shared" ca="1" si="426"/>
        <v>7818.9340540951443</v>
      </c>
      <c r="AT564" s="839">
        <f t="shared" ca="1" si="427"/>
        <v>11006.329339596732</v>
      </c>
      <c r="AU564" s="839">
        <f ca="1">'PV-Einspeisung'!AA156*-1</f>
        <v>0</v>
      </c>
      <c r="AV564" s="839">
        <f ca="1">'PV-Einspeisung'!AE156*-1</f>
        <v>0</v>
      </c>
      <c r="AW564" s="839"/>
      <c r="AX564" s="839">
        <f t="shared" ca="1" si="432"/>
        <v>0</v>
      </c>
      <c r="AY564" s="841">
        <f t="shared" si="415"/>
        <v>11</v>
      </c>
      <c r="AZ564" s="842">
        <f t="shared" ca="1" si="433"/>
        <v>0</v>
      </c>
      <c r="BA564" s="842">
        <f t="shared" ca="1" si="434"/>
        <v>0</v>
      </c>
      <c r="BB564" s="842">
        <f t="shared" ca="1" si="435"/>
        <v>0</v>
      </c>
      <c r="BC564" s="842">
        <f t="shared" ca="1" si="436"/>
        <v>0</v>
      </c>
      <c r="BD564" s="842">
        <f t="shared" ca="1" si="437"/>
        <v>0</v>
      </c>
      <c r="BE564" s="842">
        <f t="shared" ca="1" si="438"/>
        <v>0</v>
      </c>
      <c r="BF564" s="842">
        <f t="shared" ca="1" si="439"/>
        <v>7770.9067521253692</v>
      </c>
      <c r="BG564" s="842">
        <f t="shared" ca="1" si="440"/>
        <v>3235.4225874713625</v>
      </c>
      <c r="BH564" s="858">
        <f t="shared" si="423"/>
        <v>11</v>
      </c>
      <c r="BI564" s="857">
        <f t="shared" ca="1" si="441"/>
        <v>3511.8573590890355</v>
      </c>
      <c r="BJ564" s="857">
        <f t="shared" ca="1" si="442"/>
        <v>4307.0766950061088</v>
      </c>
      <c r="BK564" s="859">
        <f ca="1">'PV-Einspeisung'!AB156*-1</f>
        <v>0</v>
      </c>
      <c r="BL564" s="824">
        <f t="shared" ca="1" si="400"/>
        <v>0</v>
      </c>
      <c r="BM564" s="824">
        <f t="shared" ca="1" si="401"/>
        <v>0</v>
      </c>
      <c r="BN564" s="824">
        <f t="shared" ca="1" si="402"/>
        <v>0</v>
      </c>
      <c r="BO564" s="824">
        <f t="shared" ca="1" si="407"/>
        <v>0</v>
      </c>
      <c r="BP564" s="824">
        <f t="shared" ca="1" si="407"/>
        <v>0</v>
      </c>
      <c r="BQ564" s="824">
        <f t="shared" ca="1" si="407"/>
        <v>0</v>
      </c>
      <c r="BR564" s="824">
        <f t="shared" ca="1" si="407"/>
        <v>0</v>
      </c>
      <c r="BS564" s="824">
        <f t="shared" ca="1" si="407"/>
        <v>0</v>
      </c>
      <c r="BT564" s="824">
        <f t="shared" ca="1" si="407"/>
        <v>0</v>
      </c>
      <c r="BU564" s="824">
        <f t="shared" ca="1" si="407"/>
        <v>0</v>
      </c>
      <c r="BV564" s="824">
        <f t="shared" ca="1" si="407"/>
        <v>0</v>
      </c>
      <c r="BW564" s="824">
        <f t="shared" ca="1" si="407"/>
        <v>0</v>
      </c>
      <c r="BX564" s="824">
        <f t="shared" ca="1" si="407"/>
        <v>0</v>
      </c>
      <c r="BY564" s="824">
        <f t="shared" ca="1" si="407"/>
        <v>0</v>
      </c>
      <c r="BZ564" s="824">
        <f t="shared" ca="1" si="407"/>
        <v>0</v>
      </c>
      <c r="CA564" s="824">
        <f t="shared" ca="1" si="407"/>
        <v>0</v>
      </c>
      <c r="CB564" s="824">
        <f t="shared" ca="1" si="407"/>
        <v>0</v>
      </c>
      <c r="CC564" s="824">
        <f t="shared" ca="1" si="407"/>
        <v>0</v>
      </c>
      <c r="CD564" s="824">
        <f t="shared" ca="1" si="407"/>
        <v>0</v>
      </c>
      <c r="CE564" s="824">
        <f t="shared" ca="1" si="443"/>
        <v>0</v>
      </c>
      <c r="CF564" s="824">
        <f t="shared" ca="1" si="443"/>
        <v>0</v>
      </c>
      <c r="CG564" s="824">
        <f t="shared" ca="1" si="443"/>
        <v>0</v>
      </c>
      <c r="CH564" s="824">
        <f t="shared" ca="1" si="443"/>
        <v>0</v>
      </c>
      <c r="CI564" s="824">
        <f t="shared" ca="1" si="443"/>
        <v>0</v>
      </c>
      <c r="CJ564" s="824">
        <f t="shared" ca="1" si="443"/>
        <v>0</v>
      </c>
      <c r="CK564" s="824">
        <f t="shared" ca="1" si="443"/>
        <v>0</v>
      </c>
      <c r="CL564" s="824">
        <f t="shared" ca="1" si="443"/>
        <v>0</v>
      </c>
      <c r="CM564" s="824">
        <f t="shared" ca="1" si="443"/>
        <v>0</v>
      </c>
      <c r="CN564" s="824">
        <f t="shared" ca="1" si="443"/>
        <v>0</v>
      </c>
      <c r="CO564" s="824">
        <f t="shared" ca="1" si="443"/>
        <v>0</v>
      </c>
      <c r="CP564" s="824">
        <f t="shared" ca="1" si="443"/>
        <v>0</v>
      </c>
      <c r="CQ564" s="824">
        <f t="shared" ca="1" si="443"/>
        <v>0</v>
      </c>
      <c r="CR564" s="824">
        <f t="shared" ca="1" si="443"/>
        <v>0</v>
      </c>
      <c r="CS564" s="824">
        <f t="shared" ca="1" si="443"/>
        <v>0</v>
      </c>
      <c r="CT564" s="824">
        <f t="shared" ca="1" si="443"/>
        <v>0</v>
      </c>
      <c r="CU564" s="824">
        <f t="shared" ca="1" si="428"/>
        <v>0</v>
      </c>
      <c r="CV564" s="824">
        <f t="shared" ca="1" si="428"/>
        <v>0</v>
      </c>
      <c r="CW564" s="824">
        <f t="shared" ca="1" si="428"/>
        <v>0</v>
      </c>
      <c r="CX564" s="824">
        <f t="shared" ca="1" si="428"/>
        <v>0</v>
      </c>
      <c r="CY564" s="824">
        <f t="shared" ca="1" si="428"/>
        <v>0</v>
      </c>
      <c r="CZ564" s="824">
        <f t="shared" ca="1" si="428"/>
        <v>0</v>
      </c>
      <c r="DA564" s="824">
        <f t="shared" ca="1" si="429"/>
        <v>0</v>
      </c>
      <c r="DB564" s="824">
        <f t="shared" ca="1" si="429"/>
        <v>0</v>
      </c>
      <c r="DC564" s="824">
        <f t="shared" ca="1" si="429"/>
        <v>0</v>
      </c>
      <c r="DD564" s="824">
        <f t="shared" ca="1" si="429"/>
        <v>0</v>
      </c>
      <c r="DE564" s="824">
        <f t="shared" ca="1" si="429"/>
        <v>0</v>
      </c>
      <c r="DF564" s="824">
        <f t="shared" ca="1" si="429"/>
        <v>0</v>
      </c>
      <c r="DG564" s="824">
        <f t="shared" ca="1" si="429"/>
        <v>0</v>
      </c>
      <c r="DH564" s="824">
        <f t="shared" ca="1" si="429"/>
        <v>0</v>
      </c>
      <c r="DI564" s="824">
        <f t="shared" ca="1" si="429"/>
        <v>0</v>
      </c>
      <c r="DJ564" s="824">
        <f t="shared" ca="1" si="429"/>
        <v>0</v>
      </c>
      <c r="DK564" s="824">
        <f t="shared" ca="1" si="429"/>
        <v>0</v>
      </c>
      <c r="DL564" s="824">
        <f t="shared" ca="1" si="429"/>
        <v>0</v>
      </c>
    </row>
    <row r="565" spans="2:116" ht="12" thickBot="1" x14ac:dyDescent="0.3">
      <c r="B565" s="1673"/>
      <c r="C565" s="1680"/>
      <c r="D565" s="15" t="s">
        <v>132</v>
      </c>
      <c r="E565" s="116"/>
      <c r="F565" s="116">
        <f ca="1">SUBTOTAL(109,'3.3 I&amp;W'!$X$66)</f>
        <v>0</v>
      </c>
      <c r="G565" s="116">
        <f ca="1">SUBTOTAL(109,'3.3 I&amp;W'!$Y$66)</f>
        <v>0</v>
      </c>
      <c r="H565" s="116">
        <f ca="1">SUBTOTAL(109,'3.3 I&amp;W'!$AD$66)</f>
        <v>0</v>
      </c>
      <c r="I565" s="116">
        <f ca="1">SUBTOTAL(109,'3.3 I&amp;W'!$AE$66)</f>
        <v>0</v>
      </c>
      <c r="J565" s="116"/>
      <c r="K565" s="116"/>
      <c r="L565" s="116"/>
      <c r="M565" s="116">
        <f ca="1">SUBTOTAL(109,'3.3 I&amp;W'!$AI$66)</f>
        <v>0</v>
      </c>
      <c r="N565" s="156">
        <f t="shared" ca="1" si="404"/>
        <v>0</v>
      </c>
      <c r="O565" s="116">
        <f ca="1">SUBTOTAL(109,'3.3 I&amp;W'!$S$66)</f>
        <v>0</v>
      </c>
      <c r="P565" s="30">
        <f t="shared" ca="1" si="408"/>
        <v>0</v>
      </c>
      <c r="Q565" s="31">
        <f t="shared" ca="1" si="395"/>
        <v>0</v>
      </c>
      <c r="R565" s="31">
        <f t="shared" ca="1" si="396"/>
        <v>0</v>
      </c>
      <c r="S565" s="31">
        <f t="shared" ca="1" si="397"/>
        <v>0</v>
      </c>
      <c r="T565" s="32">
        <f t="shared" ca="1" si="398"/>
        <v>0</v>
      </c>
      <c r="U565" s="37">
        <f t="shared" ca="1" si="405"/>
        <v>0</v>
      </c>
      <c r="V565" s="40">
        <f t="shared" ca="1" si="406"/>
        <v>0</v>
      </c>
      <c r="W565" s="41">
        <f t="shared" ca="1" si="399"/>
        <v>0</v>
      </c>
      <c r="X565" s="43"/>
      <c r="Y565" s="46"/>
      <c r="Z565" s="126"/>
      <c r="AA565" s="136"/>
      <c r="AB565" s="83">
        <v>12</v>
      </c>
      <c r="AC565" s="84">
        <f ca="1">IF(AF564&lt;=1,0,'3.3 Fi&amp;Fo'!$I$25)</f>
        <v>49369.168897197917</v>
      </c>
      <c r="AD565" s="72">
        <f ca="1">IF(AF564&lt;=1,0,AF564*'3.3 Fi&amp;Fo'!$H$25)</f>
        <v>18675.295752127899</v>
      </c>
      <c r="AE565" s="78">
        <f t="shared" ca="1" si="409"/>
        <v>30693.873145070018</v>
      </c>
      <c r="AF565" s="85">
        <f t="shared" ca="1" si="410"/>
        <v>903070.91446132481</v>
      </c>
      <c r="AG565" s="168">
        <f>IF(AJ564&lt;=1,0,IF(AB565&lt;='3.3 Fi&amp;Fo'!$F$34,'3.3 Fi&amp;Fo'!$J$34,IF(AB565&lt;='3.3 Fi&amp;Fo'!$F$35,'3.3 Fi&amp;Fo'!$J$35,IF(AB565&lt;='3.3 Fi&amp;Fo'!$F$36,'3.3 Fi&amp;Fo'!$J$36,IF(AB565&lt;='3.3 Fi&amp;Fo'!$F$37,'3.3 Fi&amp;Fo'!$J$37,IF(AB565&lt;='3.3 Fi&amp;Fo'!$F$38,'3.3 Fi&amp;Fo'!$J$38,IF(AB565&lt;='3.3 Fi&amp;Fo'!$F$39,'3.3 Fi&amp;Fo'!$J$39,IF(AB565&lt;='3.3 Fi&amp;Fo'!$F$40,'3.3 Fi&amp;Fo'!$J$40))))))))</f>
        <v>59602.916000000012</v>
      </c>
      <c r="AH565" s="207">
        <f>IF(AJ564&lt;=1,0,AJ564*IF(AB565&lt;='3.3 Fi&amp;Fo'!$F$34,'3.3 Fi&amp;Fo'!$I$34,IF(AB565&lt;='3.3 Fi&amp;Fo'!$F$35,'3.3 Fi&amp;Fo'!$I$35,IF(AB565&lt;='3.3 Fi&amp;Fo'!$F$38,'3.3 Fi&amp;Fo'!$I$38,IF(AB565&lt;='3.3 Fi&amp;Fo'!$F$39,'3.3 Fi&amp;Fo'!$I$39,IF(AB565&lt;='3.3 Fi&amp;Fo'!$F$40,'3.3 Fi&amp;Fo'!$I$40))))))</f>
        <v>95507.346424947653</v>
      </c>
      <c r="AI565" s="210">
        <f t="shared" si="411"/>
        <v>-35904.430424947641</v>
      </c>
      <c r="AJ565" s="209">
        <f t="shared" si="412"/>
        <v>1772401.6381512685</v>
      </c>
      <c r="AK565" s="312">
        <f t="shared" ca="1" si="424"/>
        <v>-136690.22132322649</v>
      </c>
      <c r="AL565" s="169">
        <f>IF(AB565&lt;='3.3 Fi&amp;Fo'!$J$15,'3.3 Fi&amp;Fo'!$I$15,0)</f>
        <v>0</v>
      </c>
      <c r="AM565" s="169">
        <f t="shared" si="425"/>
        <v>27718.136426028563</v>
      </c>
      <c r="AN565" s="838">
        <f t="shared" si="430"/>
        <v>12</v>
      </c>
      <c r="AO565" s="844">
        <f t="shared" ca="1" si="413"/>
        <v>136690.22132322649</v>
      </c>
      <c r="AP565" s="839">
        <f ca="1">BZ658</f>
        <v>0</v>
      </c>
      <c r="AQ565" s="844">
        <f t="shared" si="414"/>
        <v>0</v>
      </c>
      <c r="AR565" s="839">
        <f t="shared" ca="1" si="431"/>
        <v>0</v>
      </c>
      <c r="AS565" s="839">
        <f t="shared" ca="1" si="426"/>
        <v>7944.036998960667</v>
      </c>
      <c r="AT565" s="839">
        <f t="shared" ca="1" si="427"/>
        <v>11313.841798961363</v>
      </c>
      <c r="AU565" s="839">
        <f ca="1">'PV-Einspeisung'!AA157*-1</f>
        <v>0</v>
      </c>
      <c r="AV565" s="839">
        <f ca="1">'PV-Einspeisung'!AE157*-1</f>
        <v>0</v>
      </c>
      <c r="AW565" s="839"/>
      <c r="AX565" s="839">
        <f t="shared" ca="1" si="432"/>
        <v>0</v>
      </c>
      <c r="AY565" s="841">
        <f t="shared" si="415"/>
        <v>12</v>
      </c>
      <c r="AZ565" s="842">
        <f t="shared" ca="1" si="433"/>
        <v>0</v>
      </c>
      <c r="BA565" s="842">
        <f t="shared" ca="1" si="434"/>
        <v>0</v>
      </c>
      <c r="BB565" s="842">
        <f t="shared" ca="1" si="435"/>
        <v>0</v>
      </c>
      <c r="BC565" s="842">
        <f t="shared" ca="1" si="436"/>
        <v>0</v>
      </c>
      <c r="BD565" s="842">
        <f t="shared" ca="1" si="437"/>
        <v>0</v>
      </c>
      <c r="BE565" s="842">
        <f t="shared" ca="1" si="438"/>
        <v>0</v>
      </c>
      <c r="BF565" s="842">
        <f t="shared" ca="1" si="439"/>
        <v>7965.1794209285026</v>
      </c>
      <c r="BG565" s="842">
        <f t="shared" ca="1" si="440"/>
        <v>3348.66237803286</v>
      </c>
      <c r="BH565" s="858">
        <f t="shared" si="423"/>
        <v>12</v>
      </c>
      <c r="BI565" s="857">
        <f t="shared" ca="1" si="441"/>
        <v>3568.0470768344603</v>
      </c>
      <c r="BJ565" s="857">
        <f t="shared" ca="1" si="442"/>
        <v>4375.9899221262067</v>
      </c>
      <c r="BK565" s="859">
        <f ca="1">'PV-Einspeisung'!AB157*-1</f>
        <v>0</v>
      </c>
      <c r="BL565" s="824">
        <f t="shared" ca="1" si="400"/>
        <v>0</v>
      </c>
      <c r="BM565" s="824">
        <f t="shared" ca="1" si="401"/>
        <v>0</v>
      </c>
      <c r="BN565" s="824">
        <f t="shared" ca="1" si="402"/>
        <v>0</v>
      </c>
      <c r="BO565" s="824">
        <f t="shared" ca="1" si="407"/>
        <v>0</v>
      </c>
      <c r="BP565" s="824">
        <f t="shared" ca="1" si="407"/>
        <v>0</v>
      </c>
      <c r="BQ565" s="824">
        <f t="shared" ca="1" si="407"/>
        <v>0</v>
      </c>
      <c r="BR565" s="824">
        <f t="shared" ca="1" si="407"/>
        <v>0</v>
      </c>
      <c r="BS565" s="824">
        <f t="shared" ca="1" si="407"/>
        <v>0</v>
      </c>
      <c r="BT565" s="824">
        <f t="shared" ca="1" si="407"/>
        <v>0</v>
      </c>
      <c r="BU565" s="824">
        <f t="shared" ca="1" si="407"/>
        <v>0</v>
      </c>
      <c r="BV565" s="824">
        <f t="shared" ca="1" si="407"/>
        <v>0</v>
      </c>
      <c r="BW565" s="824">
        <f t="shared" ca="1" si="407"/>
        <v>0</v>
      </c>
      <c r="BX565" s="824">
        <f t="shared" ca="1" si="407"/>
        <v>0</v>
      </c>
      <c r="BY565" s="824">
        <f t="shared" ca="1" si="407"/>
        <v>0</v>
      </c>
      <c r="BZ565" s="824">
        <f t="shared" ca="1" si="407"/>
        <v>0</v>
      </c>
      <c r="CA565" s="824">
        <f t="shared" ca="1" si="407"/>
        <v>0</v>
      </c>
      <c r="CB565" s="824">
        <f t="shared" ca="1" si="407"/>
        <v>0</v>
      </c>
      <c r="CC565" s="824">
        <f t="shared" ca="1" si="407"/>
        <v>0</v>
      </c>
      <c r="CD565" s="824">
        <f t="shared" ca="1" si="407"/>
        <v>0</v>
      </c>
      <c r="CE565" s="824">
        <f t="shared" ca="1" si="443"/>
        <v>0</v>
      </c>
      <c r="CF565" s="824">
        <f t="shared" ca="1" si="443"/>
        <v>0</v>
      </c>
      <c r="CG565" s="824">
        <f t="shared" ca="1" si="443"/>
        <v>0</v>
      </c>
      <c r="CH565" s="824">
        <f t="shared" ca="1" si="443"/>
        <v>0</v>
      </c>
      <c r="CI565" s="824">
        <f t="shared" ca="1" si="443"/>
        <v>0</v>
      </c>
      <c r="CJ565" s="824">
        <f t="shared" ca="1" si="443"/>
        <v>0</v>
      </c>
      <c r="CK565" s="824">
        <f t="shared" ca="1" si="443"/>
        <v>0</v>
      </c>
      <c r="CL565" s="824">
        <f t="shared" ca="1" si="443"/>
        <v>0</v>
      </c>
      <c r="CM565" s="824">
        <f t="shared" ca="1" si="443"/>
        <v>0</v>
      </c>
      <c r="CN565" s="824">
        <f t="shared" ca="1" si="443"/>
        <v>0</v>
      </c>
      <c r="CO565" s="824">
        <f t="shared" ca="1" si="443"/>
        <v>0</v>
      </c>
      <c r="CP565" s="824">
        <f t="shared" ca="1" si="443"/>
        <v>0</v>
      </c>
      <c r="CQ565" s="824">
        <f t="shared" ca="1" si="443"/>
        <v>0</v>
      </c>
      <c r="CR565" s="824">
        <f t="shared" ca="1" si="443"/>
        <v>0</v>
      </c>
      <c r="CS565" s="824">
        <f t="shared" ca="1" si="443"/>
        <v>0</v>
      </c>
      <c r="CT565" s="824">
        <f t="shared" ca="1" si="443"/>
        <v>0</v>
      </c>
      <c r="CU565" s="824">
        <f t="shared" ca="1" si="428"/>
        <v>0</v>
      </c>
      <c r="CV565" s="824">
        <f t="shared" ca="1" si="428"/>
        <v>0</v>
      </c>
      <c r="CW565" s="824">
        <f t="shared" ca="1" si="428"/>
        <v>0</v>
      </c>
      <c r="CX565" s="824">
        <f t="shared" ca="1" si="428"/>
        <v>0</v>
      </c>
      <c r="CY565" s="824">
        <f t="shared" ca="1" si="428"/>
        <v>0</v>
      </c>
      <c r="CZ565" s="824">
        <f t="shared" ca="1" si="428"/>
        <v>0</v>
      </c>
      <c r="DA565" s="824">
        <f t="shared" ca="1" si="429"/>
        <v>0</v>
      </c>
      <c r="DB565" s="824">
        <f t="shared" ca="1" si="429"/>
        <v>0</v>
      </c>
      <c r="DC565" s="824">
        <f t="shared" ca="1" si="429"/>
        <v>0</v>
      </c>
      <c r="DD565" s="824">
        <f t="shared" ca="1" si="429"/>
        <v>0</v>
      </c>
      <c r="DE565" s="824">
        <f t="shared" ca="1" si="429"/>
        <v>0</v>
      </c>
      <c r="DF565" s="824">
        <f t="shared" ca="1" si="429"/>
        <v>0</v>
      </c>
      <c r="DG565" s="824">
        <f t="shared" ca="1" si="429"/>
        <v>0</v>
      </c>
      <c r="DH565" s="824">
        <f t="shared" ca="1" si="429"/>
        <v>0</v>
      </c>
      <c r="DI565" s="824">
        <f t="shared" ca="1" si="429"/>
        <v>0</v>
      </c>
      <c r="DJ565" s="824">
        <f t="shared" ca="1" si="429"/>
        <v>0</v>
      </c>
      <c r="DK565" s="824">
        <f t="shared" ca="1" si="429"/>
        <v>0</v>
      </c>
      <c r="DL565" s="824">
        <f t="shared" ca="1" si="429"/>
        <v>0</v>
      </c>
    </row>
    <row r="566" spans="2:116" ht="12" thickBot="1" x14ac:dyDescent="0.3">
      <c r="B566" s="1673"/>
      <c r="C566" s="1680"/>
      <c r="D566" s="15" t="s">
        <v>132</v>
      </c>
      <c r="E566" s="165"/>
      <c r="F566" s="116">
        <f ca="1">SUBTOTAL(109,'3.3 I&amp;W'!$X$67)</f>
        <v>0</v>
      </c>
      <c r="G566" s="116">
        <f ca="1">SUBTOTAL(109,'3.3 I&amp;W'!$Y$67)</f>
        <v>0</v>
      </c>
      <c r="H566" s="116">
        <f ca="1">SUBTOTAL(109,'3.3 I&amp;W'!$AD$67)</f>
        <v>0</v>
      </c>
      <c r="I566" s="116">
        <f ca="1">SUBTOTAL(109,'3.3 I&amp;W'!$AE$67)</f>
        <v>0</v>
      </c>
      <c r="J566" s="116"/>
      <c r="K566" s="116"/>
      <c r="L566" s="116"/>
      <c r="M566" s="116">
        <f ca="1">SUBTOTAL(109,'3.3 I&amp;W'!$AI$67)</f>
        <v>0</v>
      </c>
      <c r="N566" s="156">
        <f t="shared" ca="1" si="404"/>
        <v>0</v>
      </c>
      <c r="O566" s="116">
        <f ca="1">SUBTOTAL(109,'3.3 I&amp;W'!$S$67)</f>
        <v>0</v>
      </c>
      <c r="P566" s="30">
        <f t="shared" ca="1" si="408"/>
        <v>0</v>
      </c>
      <c r="Q566" s="31">
        <f t="shared" ca="1" si="395"/>
        <v>0</v>
      </c>
      <c r="R566" s="31">
        <f t="shared" ca="1" si="396"/>
        <v>0</v>
      </c>
      <c r="S566" s="31">
        <f t="shared" ca="1" si="397"/>
        <v>0</v>
      </c>
      <c r="T566" s="32">
        <f t="shared" ca="1" si="398"/>
        <v>0</v>
      </c>
      <c r="U566" s="37">
        <f t="shared" ca="1" si="405"/>
        <v>0</v>
      </c>
      <c r="V566" s="40">
        <f t="shared" ca="1" si="406"/>
        <v>0</v>
      </c>
      <c r="W566" s="41">
        <f t="shared" ca="1" si="399"/>
        <v>0</v>
      </c>
      <c r="X566" s="43"/>
      <c r="Y566" s="46"/>
      <c r="Z566" s="126"/>
      <c r="AA566" s="136"/>
      <c r="AB566" s="83">
        <v>13</v>
      </c>
      <c r="AC566" s="84">
        <f ca="1">IF(AF565&lt;=1,0,'3.3 Fi&amp;Fo'!$I$25)</f>
        <v>49369.168897197917</v>
      </c>
      <c r="AD566" s="72">
        <f ca="1">IF(AF565&lt;=1,0,AF565*'3.3 Fi&amp;Fo'!$H$25)</f>
        <v>18061.418289226498</v>
      </c>
      <c r="AE566" s="78">
        <f t="shared" ca="1" si="409"/>
        <v>31307.750607971419</v>
      </c>
      <c r="AF566" s="85">
        <f t="shared" ca="1" si="410"/>
        <v>871763.16385335336</v>
      </c>
      <c r="AG566" s="168">
        <f>IF(AJ565&lt;=1,0,IF(AB566&lt;='3.3 Fi&amp;Fo'!$F$34,'3.3 Fi&amp;Fo'!$J$34,IF(AB566&lt;='3.3 Fi&amp;Fo'!$F$35,'3.3 Fi&amp;Fo'!$J$35,IF(AB566&lt;='3.3 Fi&amp;Fo'!$F$36,'3.3 Fi&amp;Fo'!$J$36,IF(AB566&lt;='3.3 Fi&amp;Fo'!$F$37,'3.3 Fi&amp;Fo'!$J$37,IF(AB566&lt;='3.3 Fi&amp;Fo'!$F$38,'3.3 Fi&amp;Fo'!$J$38,IF(AB566&lt;='3.3 Fi&amp;Fo'!$F$39,'3.3 Fi&amp;Fo'!$J$39,IF(AB566&lt;='3.3 Fi&amp;Fo'!$F$40,'3.3 Fi&amp;Fo'!$J$40))))))))</f>
        <v>59602.916000000012</v>
      </c>
      <c r="AH566" s="207">
        <f>IF(AJ565&lt;=1,0,AJ565*IF(AB566&lt;='3.3 Fi&amp;Fo'!$F$34,'3.3 Fi&amp;Fo'!$I$34,IF(AB566&lt;='3.3 Fi&amp;Fo'!$F$35,'3.3 Fi&amp;Fo'!$I$35,IF(AB566&lt;='3.3 Fi&amp;Fo'!$F$38,'3.3 Fi&amp;Fo'!$I$38,IF(AB566&lt;='3.3 Fi&amp;Fo'!$F$39,'3.3 Fi&amp;Fo'!$I$39,IF(AB566&lt;='3.3 Fi&amp;Fo'!$F$40,'3.3 Fi&amp;Fo'!$I$40))))))</f>
        <v>97482.090098319764</v>
      </c>
      <c r="AI566" s="210">
        <f t="shared" si="411"/>
        <v>-37879.174098319752</v>
      </c>
      <c r="AJ566" s="209">
        <f t="shared" si="412"/>
        <v>1810280.8122495883</v>
      </c>
      <c r="AK566" s="312">
        <f t="shared" ca="1" si="424"/>
        <v>-137244.58405174679</v>
      </c>
      <c r="AL566" s="169">
        <f>IF(AB566&lt;='3.3 Fi&amp;Fo'!$J$15,'3.3 Fi&amp;Fo'!$I$15,0)</f>
        <v>0</v>
      </c>
      <c r="AM566" s="169">
        <f t="shared" si="425"/>
        <v>28272.499154548859</v>
      </c>
      <c r="AN566" s="838">
        <f t="shared" si="430"/>
        <v>13</v>
      </c>
      <c r="AO566" s="844">
        <f t="shared" ca="1" si="413"/>
        <v>137244.58405174679</v>
      </c>
      <c r="AP566" s="839">
        <f ca="1">CA658</f>
        <v>0</v>
      </c>
      <c r="AQ566" s="844">
        <f t="shared" si="414"/>
        <v>0</v>
      </c>
      <c r="AR566" s="839">
        <f t="shared" ca="1" si="431"/>
        <v>0</v>
      </c>
      <c r="AS566" s="839">
        <f t="shared" ca="1" si="426"/>
        <v>8071.1415909440384</v>
      </c>
      <c r="AT566" s="839">
        <f t="shared" ca="1" si="427"/>
        <v>11630.174467715724</v>
      </c>
      <c r="AU566" s="839">
        <f ca="1">'PV-Einspeisung'!AA158*-1</f>
        <v>0</v>
      </c>
      <c r="AV566" s="839">
        <f ca="1">'PV-Einspeisung'!AE158*-1</f>
        <v>0</v>
      </c>
      <c r="AW566" s="839"/>
      <c r="AX566" s="839">
        <f t="shared" ca="1" si="432"/>
        <v>0</v>
      </c>
      <c r="AY566" s="841">
        <f t="shared" si="415"/>
        <v>13</v>
      </c>
      <c r="AZ566" s="842">
        <f t="shared" ca="1" si="433"/>
        <v>0</v>
      </c>
      <c r="BA566" s="842">
        <f t="shared" ca="1" si="434"/>
        <v>0</v>
      </c>
      <c r="BB566" s="842">
        <f t="shared" ca="1" si="435"/>
        <v>0</v>
      </c>
      <c r="BC566" s="842">
        <f t="shared" ca="1" si="436"/>
        <v>0</v>
      </c>
      <c r="BD566" s="842">
        <f t="shared" ca="1" si="437"/>
        <v>0</v>
      </c>
      <c r="BE566" s="842">
        <f t="shared" ca="1" si="438"/>
        <v>0</v>
      </c>
      <c r="BF566" s="842">
        <f t="shared" ca="1" si="439"/>
        <v>8164.3089064517144</v>
      </c>
      <c r="BG566" s="842">
        <f t="shared" ca="1" si="440"/>
        <v>3465.86556126401</v>
      </c>
      <c r="BH566" s="858">
        <f t="shared" si="423"/>
        <v>13</v>
      </c>
      <c r="BI566" s="857">
        <f t="shared" ca="1" si="441"/>
        <v>3625.1358300638117</v>
      </c>
      <c r="BJ566" s="857">
        <f t="shared" ca="1" si="442"/>
        <v>4446.0057608802263</v>
      </c>
      <c r="BK566" s="859">
        <f ca="1">'PV-Einspeisung'!AB158*-1</f>
        <v>0</v>
      </c>
      <c r="BL566" s="824">
        <f t="shared" ca="1" si="400"/>
        <v>0</v>
      </c>
      <c r="BM566" s="824">
        <f t="shared" ca="1" si="401"/>
        <v>0</v>
      </c>
      <c r="BN566" s="824">
        <f t="shared" ca="1" si="402"/>
        <v>0</v>
      </c>
      <c r="BO566" s="824">
        <f t="shared" ca="1" si="407"/>
        <v>0</v>
      </c>
      <c r="BP566" s="824">
        <f t="shared" ca="1" si="407"/>
        <v>0</v>
      </c>
      <c r="BQ566" s="824">
        <f t="shared" ca="1" si="407"/>
        <v>0</v>
      </c>
      <c r="BR566" s="824">
        <f t="shared" ca="1" si="407"/>
        <v>0</v>
      </c>
      <c r="BS566" s="824">
        <f t="shared" ca="1" si="407"/>
        <v>0</v>
      </c>
      <c r="BT566" s="824">
        <f t="shared" ca="1" si="407"/>
        <v>0</v>
      </c>
      <c r="BU566" s="824">
        <f t="shared" ca="1" si="407"/>
        <v>0</v>
      </c>
      <c r="BV566" s="824">
        <f t="shared" ca="1" si="407"/>
        <v>0</v>
      </c>
      <c r="BW566" s="824">
        <f t="shared" ca="1" si="407"/>
        <v>0</v>
      </c>
      <c r="BX566" s="824">
        <f t="shared" ca="1" si="407"/>
        <v>0</v>
      </c>
      <c r="BY566" s="824">
        <f t="shared" ca="1" si="407"/>
        <v>0</v>
      </c>
      <c r="BZ566" s="824">
        <f t="shared" ca="1" si="407"/>
        <v>0</v>
      </c>
      <c r="CA566" s="824">
        <f t="shared" ca="1" si="407"/>
        <v>0</v>
      </c>
      <c r="CB566" s="824">
        <f t="shared" ca="1" si="407"/>
        <v>0</v>
      </c>
      <c r="CC566" s="824">
        <f t="shared" ca="1" si="407"/>
        <v>0</v>
      </c>
      <c r="CD566" s="824">
        <f t="shared" ca="1" si="407"/>
        <v>0</v>
      </c>
      <c r="CE566" s="824">
        <f t="shared" ca="1" si="443"/>
        <v>0</v>
      </c>
      <c r="CF566" s="824">
        <f t="shared" ca="1" si="443"/>
        <v>0</v>
      </c>
      <c r="CG566" s="824">
        <f t="shared" ca="1" si="443"/>
        <v>0</v>
      </c>
      <c r="CH566" s="824">
        <f t="shared" ca="1" si="443"/>
        <v>0</v>
      </c>
      <c r="CI566" s="824">
        <f t="shared" ca="1" si="443"/>
        <v>0</v>
      </c>
      <c r="CJ566" s="824">
        <f t="shared" ca="1" si="443"/>
        <v>0</v>
      </c>
      <c r="CK566" s="824">
        <f t="shared" ca="1" si="443"/>
        <v>0</v>
      </c>
      <c r="CL566" s="824">
        <f t="shared" ca="1" si="443"/>
        <v>0</v>
      </c>
      <c r="CM566" s="824">
        <f t="shared" ca="1" si="443"/>
        <v>0</v>
      </c>
      <c r="CN566" s="824">
        <f t="shared" ca="1" si="443"/>
        <v>0</v>
      </c>
      <c r="CO566" s="824">
        <f t="shared" ca="1" si="443"/>
        <v>0</v>
      </c>
      <c r="CP566" s="824">
        <f t="shared" ca="1" si="443"/>
        <v>0</v>
      </c>
      <c r="CQ566" s="824">
        <f t="shared" ca="1" si="443"/>
        <v>0</v>
      </c>
      <c r="CR566" s="824">
        <f t="shared" ca="1" si="443"/>
        <v>0</v>
      </c>
      <c r="CS566" s="824">
        <f t="shared" ca="1" si="443"/>
        <v>0</v>
      </c>
      <c r="CT566" s="824">
        <f t="shared" ca="1" si="443"/>
        <v>0</v>
      </c>
      <c r="CU566" s="824">
        <f t="shared" ca="1" si="428"/>
        <v>0</v>
      </c>
      <c r="CV566" s="824">
        <f t="shared" ca="1" si="428"/>
        <v>0</v>
      </c>
      <c r="CW566" s="824">
        <f t="shared" ca="1" si="428"/>
        <v>0</v>
      </c>
      <c r="CX566" s="824">
        <f t="shared" ca="1" si="428"/>
        <v>0</v>
      </c>
      <c r="CY566" s="824">
        <f t="shared" ca="1" si="428"/>
        <v>0</v>
      </c>
      <c r="CZ566" s="824">
        <f t="shared" ca="1" si="428"/>
        <v>0</v>
      </c>
      <c r="DA566" s="824">
        <f t="shared" ca="1" si="429"/>
        <v>0</v>
      </c>
      <c r="DB566" s="824">
        <f t="shared" ca="1" si="429"/>
        <v>0</v>
      </c>
      <c r="DC566" s="824">
        <f t="shared" ca="1" si="429"/>
        <v>0</v>
      </c>
      <c r="DD566" s="824">
        <f t="shared" ca="1" si="429"/>
        <v>0</v>
      </c>
      <c r="DE566" s="824">
        <f t="shared" ca="1" si="429"/>
        <v>0</v>
      </c>
      <c r="DF566" s="824">
        <f t="shared" ca="1" si="429"/>
        <v>0</v>
      </c>
      <c r="DG566" s="824">
        <f t="shared" ca="1" si="429"/>
        <v>0</v>
      </c>
      <c r="DH566" s="824">
        <f t="shared" ca="1" si="429"/>
        <v>0</v>
      </c>
      <c r="DI566" s="824">
        <f t="shared" ca="1" si="429"/>
        <v>0</v>
      </c>
      <c r="DJ566" s="824">
        <f t="shared" ca="1" si="429"/>
        <v>0</v>
      </c>
      <c r="DK566" s="824">
        <f t="shared" ca="1" si="429"/>
        <v>0</v>
      </c>
      <c r="DL566" s="824">
        <f t="shared" ca="1" si="429"/>
        <v>0</v>
      </c>
    </row>
    <row r="567" spans="2:116" ht="12" thickBot="1" x14ac:dyDescent="0.3">
      <c r="B567" s="1673"/>
      <c r="C567" s="1680"/>
      <c r="D567" s="15" t="s">
        <v>323</v>
      </c>
      <c r="E567" s="116"/>
      <c r="F567" s="116">
        <f ca="1">SUBTOTAL(109,'3.3 I&amp;W'!$X$70)</f>
        <v>0</v>
      </c>
      <c r="G567" s="116">
        <f ca="1">SUBTOTAL(109,'3.3 I&amp;W'!$Y$70)</f>
        <v>0</v>
      </c>
      <c r="H567" s="116">
        <f ca="1">SUBTOTAL(109,'3.3 I&amp;W'!$AD$70)</f>
        <v>0</v>
      </c>
      <c r="I567" s="116">
        <f ca="1">SUBTOTAL(109,'3.3 I&amp;W'!$AE$70)</f>
        <v>0</v>
      </c>
      <c r="J567" s="116"/>
      <c r="K567" s="116"/>
      <c r="L567" s="116"/>
      <c r="M567" s="116">
        <f ca="1">SUBTOTAL(109,'3.3 I&amp;W'!$AI$70)</f>
        <v>100</v>
      </c>
      <c r="N567" s="156">
        <f t="shared" ca="1" si="404"/>
        <v>0</v>
      </c>
      <c r="O567" s="116">
        <f ca="1">SUBTOTAL(109,'3.3 I&amp;W'!$S$70)</f>
        <v>67231.199999999997</v>
      </c>
      <c r="P567" s="30">
        <f ca="1">IF(N567&gt;=1,O567*$G$158^(1*M567)/($G$157^(1*M567)),0)</f>
        <v>0</v>
      </c>
      <c r="Q567" s="31">
        <f ca="1">IF(N567&gt;=2,O567*$G$158^(2*M567)/($G$157^(2*M567)),0)</f>
        <v>0</v>
      </c>
      <c r="R567" s="31">
        <f ca="1">IF(N567&gt;=3,O567*$G$158^(3*M567)/($G$157^(3*M567)),0)</f>
        <v>0</v>
      </c>
      <c r="S567" s="31">
        <f ca="1">IF(N567&gt;=4,O567*$G$158^(4*M567)/($G$157^(4*M567)),0)</f>
        <v>0</v>
      </c>
      <c r="T567" s="32">
        <f ca="1">IF(N567&gt;=5,O567*$G$158^(5*M567)/($G$157^(5*M567)),0)</f>
        <v>0</v>
      </c>
      <c r="U567" s="37">
        <f t="shared" ca="1" si="405"/>
        <v>21851.346711533035</v>
      </c>
      <c r="V567" s="40">
        <f t="shared" ca="1" si="406"/>
        <v>0</v>
      </c>
      <c r="W567" s="41">
        <f t="shared" ca="1" si="399"/>
        <v>0</v>
      </c>
      <c r="X567" s="43"/>
      <c r="Y567" s="46"/>
      <c r="Z567" s="126"/>
      <c r="AA567" s="136"/>
      <c r="AB567" s="83">
        <v>14</v>
      </c>
      <c r="AC567" s="84">
        <f ca="1">IF(AF566&lt;=1,0,'3.3 Fi&amp;Fo'!$I$25)</f>
        <v>49369.168897197917</v>
      </c>
      <c r="AD567" s="72">
        <f ca="1">IF(AF566&lt;=1,0,AF566*'3.3 Fi&amp;Fo'!$H$25)</f>
        <v>17435.263277067068</v>
      </c>
      <c r="AE567" s="78">
        <f t="shared" ca="1" si="409"/>
        <v>31933.905620130849</v>
      </c>
      <c r="AF567" s="85">
        <f t="shared" ca="1" si="410"/>
        <v>839829.25823322253</v>
      </c>
      <c r="AG567" s="168">
        <f>IF(AJ566&lt;=1,0,IF(AB567&lt;='3.3 Fi&amp;Fo'!$F$34,'3.3 Fi&amp;Fo'!$J$34,IF(AB567&lt;='3.3 Fi&amp;Fo'!$F$35,'3.3 Fi&amp;Fo'!$J$35,IF(AB567&lt;='3.3 Fi&amp;Fo'!$F$36,'3.3 Fi&amp;Fo'!$J$36,IF(AB567&lt;='3.3 Fi&amp;Fo'!$F$37,'3.3 Fi&amp;Fo'!$J$37,IF(AB567&lt;='3.3 Fi&amp;Fo'!$F$38,'3.3 Fi&amp;Fo'!$J$38,IF(AB567&lt;='3.3 Fi&amp;Fo'!$F$39,'3.3 Fi&amp;Fo'!$J$39,IF(AB567&lt;='3.3 Fi&amp;Fo'!$F$40,'3.3 Fi&amp;Fo'!$J$40))))))))</f>
        <v>59602.916000000012</v>
      </c>
      <c r="AH567" s="207">
        <f>IF(AJ566&lt;=1,0,AJ566*IF(AB567&lt;='3.3 Fi&amp;Fo'!$F$34,'3.3 Fi&amp;Fo'!$I$34,IF(AB567&lt;='3.3 Fi&amp;Fo'!$F$35,'3.3 Fi&amp;Fo'!$I$35,IF(AB567&lt;='3.3 Fi&amp;Fo'!$F$38,'3.3 Fi&amp;Fo'!$I$38,IF(AB567&lt;='3.3 Fi&amp;Fo'!$F$39,'3.3 Fi&amp;Fo'!$I$39,IF(AB567&lt;='3.3 Fi&amp;Fo'!$F$40,'3.3 Fi&amp;Fo'!$I$40))))))</f>
        <v>99565.444673727354</v>
      </c>
      <c r="AI567" s="210">
        <f t="shared" si="411"/>
        <v>-39962.528673727342</v>
      </c>
      <c r="AJ567" s="209">
        <f t="shared" si="412"/>
        <v>1850243.3409233156</v>
      </c>
      <c r="AK567" s="312">
        <f t="shared" ca="1" si="424"/>
        <v>-137810.03403483811</v>
      </c>
      <c r="AL567" s="169">
        <f>IF(AB567&lt;='3.3 Fi&amp;Fo'!$J$15,'3.3 Fi&amp;Fo'!$I$15,0)</f>
        <v>0</v>
      </c>
      <c r="AM567" s="169">
        <f t="shared" si="425"/>
        <v>28837.949137640186</v>
      </c>
      <c r="AN567" s="838">
        <f t="shared" si="430"/>
        <v>14</v>
      </c>
      <c r="AO567" s="844">
        <f t="shared" ca="1" si="413"/>
        <v>137810.03403483811</v>
      </c>
      <c r="AP567" s="839">
        <f ca="1">CB658</f>
        <v>0</v>
      </c>
      <c r="AQ567" s="844">
        <f t="shared" si="414"/>
        <v>0</v>
      </c>
      <c r="AR567" s="839">
        <f t="shared" ca="1" si="431"/>
        <v>0</v>
      </c>
      <c r="AS567" s="839">
        <f t="shared" ca="1" si="426"/>
        <v>8200.2798563991419</v>
      </c>
      <c r="AT567" s="839">
        <f t="shared" ca="1" si="427"/>
        <v>11955.587485021257</v>
      </c>
      <c r="AU567" s="839">
        <f ca="1">'PV-Einspeisung'!AA159*-1</f>
        <v>0</v>
      </c>
      <c r="AV567" s="839">
        <f ca="1">'PV-Einspeisung'!AE159*-1</f>
        <v>0</v>
      </c>
      <c r="AW567" s="839"/>
      <c r="AX567" s="839">
        <f t="shared" ca="1" si="432"/>
        <v>0</v>
      </c>
      <c r="AY567" s="841">
        <f t="shared" si="415"/>
        <v>14</v>
      </c>
      <c r="AZ567" s="842">
        <f t="shared" ca="1" si="433"/>
        <v>0</v>
      </c>
      <c r="BA567" s="842">
        <f t="shared" ca="1" si="434"/>
        <v>0</v>
      </c>
      <c r="BB567" s="842">
        <f t="shared" ca="1" si="435"/>
        <v>0</v>
      </c>
      <c r="BC567" s="842">
        <f t="shared" ca="1" si="436"/>
        <v>0</v>
      </c>
      <c r="BD567" s="842">
        <f t="shared" ca="1" si="437"/>
        <v>0</v>
      </c>
      <c r="BE567" s="842">
        <f t="shared" ca="1" si="438"/>
        <v>0</v>
      </c>
      <c r="BF567" s="842">
        <f t="shared" ca="1" si="439"/>
        <v>8368.4166291130059</v>
      </c>
      <c r="BG567" s="842">
        <f t="shared" ca="1" si="440"/>
        <v>3587.1708559082499</v>
      </c>
      <c r="BH567" s="858">
        <f t="shared" si="423"/>
        <v>14</v>
      </c>
      <c r="BI567" s="857">
        <f t="shared" ca="1" si="441"/>
        <v>3683.1380033448327</v>
      </c>
      <c r="BJ567" s="857">
        <f t="shared" ca="1" si="442"/>
        <v>4517.1418530543096</v>
      </c>
      <c r="BK567" s="859">
        <f ca="1">'PV-Einspeisung'!AB159*-1</f>
        <v>0</v>
      </c>
      <c r="BL567" s="824">
        <f t="shared" ca="1" si="400"/>
        <v>100</v>
      </c>
      <c r="BM567" s="824">
        <f t="shared" ca="1" si="401"/>
        <v>0</v>
      </c>
      <c r="BN567" s="824">
        <f t="shared" ca="1" si="402"/>
        <v>67231.199999999997</v>
      </c>
      <c r="BO567" s="824">
        <f t="shared" ca="1" si="407"/>
        <v>0</v>
      </c>
      <c r="BP567" s="824">
        <f t="shared" ca="1" si="407"/>
        <v>0</v>
      </c>
      <c r="BQ567" s="824">
        <f t="shared" ca="1" si="407"/>
        <v>0</v>
      </c>
      <c r="BR567" s="824">
        <f t="shared" ca="1" si="407"/>
        <v>0</v>
      </c>
      <c r="BS567" s="824">
        <f t="shared" ca="1" si="407"/>
        <v>0</v>
      </c>
      <c r="BT567" s="824">
        <f t="shared" ca="1" si="407"/>
        <v>0</v>
      </c>
      <c r="BU567" s="824">
        <f t="shared" ca="1" si="407"/>
        <v>0</v>
      </c>
      <c r="BV567" s="824">
        <f t="shared" ca="1" si="407"/>
        <v>0</v>
      </c>
      <c r="BW567" s="824">
        <f t="shared" ca="1" si="407"/>
        <v>0</v>
      </c>
      <c r="BX567" s="824">
        <f t="shared" ca="1" si="407"/>
        <v>0</v>
      </c>
      <c r="BY567" s="824">
        <f t="shared" ca="1" si="407"/>
        <v>0</v>
      </c>
      <c r="BZ567" s="824">
        <f t="shared" ca="1" si="407"/>
        <v>0</v>
      </c>
      <c r="CA567" s="824">
        <f t="shared" ca="1" si="407"/>
        <v>0</v>
      </c>
      <c r="CB567" s="824">
        <f t="shared" ref="CB567:CQ567" ca="1" si="444">IF(OR(IF($BL567*1&lt;$BL$196,$BL567*1=CB$198,FALSE),IF($BL567*2&lt;$BL$196,$BL567*2=CB$198,FALSE),IF($BL567*3&lt;$BL$196,$BL567*3=CB$198,FALSE),IF($BL567*4&lt;$BL$196,$BL567*4=CB$198,FALSE),IF($BL567*5&lt;$BL$196,$BL567*5=CB$198,FALSE)),$BN567*$BM$196^CB$198,0)</f>
        <v>0</v>
      </c>
      <c r="CC567" s="824">
        <f t="shared" ca="1" si="444"/>
        <v>0</v>
      </c>
      <c r="CD567" s="824">
        <f t="shared" ca="1" si="444"/>
        <v>0</v>
      </c>
      <c r="CE567" s="824">
        <f t="shared" ca="1" si="444"/>
        <v>0</v>
      </c>
      <c r="CF567" s="824">
        <f t="shared" ca="1" si="444"/>
        <v>0</v>
      </c>
      <c r="CG567" s="824">
        <f t="shared" ca="1" si="444"/>
        <v>0</v>
      </c>
      <c r="CH567" s="824">
        <f t="shared" ca="1" si="444"/>
        <v>0</v>
      </c>
      <c r="CI567" s="824">
        <f t="shared" ca="1" si="444"/>
        <v>0</v>
      </c>
      <c r="CJ567" s="824">
        <f t="shared" ca="1" si="444"/>
        <v>0</v>
      </c>
      <c r="CK567" s="824">
        <f t="shared" ca="1" si="444"/>
        <v>0</v>
      </c>
      <c r="CL567" s="824">
        <f t="shared" ca="1" si="444"/>
        <v>0</v>
      </c>
      <c r="CM567" s="824">
        <f t="shared" ca="1" si="444"/>
        <v>0</v>
      </c>
      <c r="CN567" s="824">
        <f t="shared" ca="1" si="444"/>
        <v>0</v>
      </c>
      <c r="CO567" s="824">
        <f t="shared" ca="1" si="444"/>
        <v>0</v>
      </c>
      <c r="CP567" s="824">
        <f t="shared" ca="1" si="444"/>
        <v>0</v>
      </c>
      <c r="CQ567" s="824">
        <f t="shared" ca="1" si="444"/>
        <v>0</v>
      </c>
      <c r="CR567" s="824">
        <f t="shared" ca="1" si="443"/>
        <v>0</v>
      </c>
      <c r="CS567" s="824">
        <f t="shared" ca="1" si="443"/>
        <v>0</v>
      </c>
      <c r="CT567" s="824">
        <f t="shared" ca="1" si="443"/>
        <v>0</v>
      </c>
      <c r="CU567" s="824">
        <f t="shared" ca="1" si="428"/>
        <v>0</v>
      </c>
      <c r="CV567" s="824">
        <f t="shared" ca="1" si="428"/>
        <v>0</v>
      </c>
      <c r="CW567" s="824">
        <f t="shared" ca="1" si="428"/>
        <v>0</v>
      </c>
      <c r="CX567" s="824">
        <f t="shared" ca="1" si="428"/>
        <v>0</v>
      </c>
      <c r="CY567" s="824">
        <f t="shared" ca="1" si="428"/>
        <v>0</v>
      </c>
      <c r="CZ567" s="824">
        <f t="shared" ca="1" si="428"/>
        <v>0</v>
      </c>
      <c r="DA567" s="824">
        <f t="shared" ca="1" si="429"/>
        <v>0</v>
      </c>
      <c r="DB567" s="824">
        <f t="shared" ca="1" si="429"/>
        <v>0</v>
      </c>
      <c r="DC567" s="824">
        <f t="shared" ca="1" si="429"/>
        <v>0</v>
      </c>
      <c r="DD567" s="824">
        <f t="shared" ca="1" si="429"/>
        <v>0</v>
      </c>
      <c r="DE567" s="824">
        <f t="shared" ca="1" si="429"/>
        <v>0</v>
      </c>
      <c r="DF567" s="824">
        <f t="shared" ca="1" si="429"/>
        <v>0</v>
      </c>
      <c r="DG567" s="824">
        <f t="shared" ca="1" si="429"/>
        <v>0</v>
      </c>
      <c r="DH567" s="824">
        <f t="shared" ca="1" si="429"/>
        <v>0</v>
      </c>
      <c r="DI567" s="824">
        <f t="shared" ca="1" si="429"/>
        <v>0</v>
      </c>
      <c r="DJ567" s="824">
        <f t="shared" ca="1" si="429"/>
        <v>0</v>
      </c>
      <c r="DK567" s="824">
        <f t="shared" ca="1" si="429"/>
        <v>0</v>
      </c>
      <c r="DL567" s="824">
        <f t="shared" ca="1" si="429"/>
        <v>0</v>
      </c>
    </row>
    <row r="568" spans="2:116" ht="12" thickBot="1" x14ac:dyDescent="0.3">
      <c r="B568" s="1673"/>
      <c r="C568" s="1680"/>
      <c r="D568" s="15"/>
      <c r="E568" s="116"/>
      <c r="F568" s="116">
        <f ca="1">SUBTOTAL(109,'3.3 I&amp;W'!$X$71)</f>
        <v>0</v>
      </c>
      <c r="G568" s="116">
        <f ca="1">SUBTOTAL(109,'3.3 I&amp;W'!$Y$71)</f>
        <v>0</v>
      </c>
      <c r="H568" s="116">
        <f ca="1">SUBTOTAL(109,'3.3 I&amp;W'!$AD$71)</f>
        <v>0</v>
      </c>
      <c r="I568" s="116">
        <f ca="1">SUBTOTAL(109,'3.3 I&amp;W'!$AE$71)</f>
        <v>0</v>
      </c>
      <c r="J568" s="116"/>
      <c r="K568" s="116"/>
      <c r="L568" s="116"/>
      <c r="M568" s="116">
        <f ca="1">SUBTOTAL(109,'3.3 I&amp;W'!$AI$71)</f>
        <v>60</v>
      </c>
      <c r="N568" s="156">
        <f t="shared" ca="1" si="404"/>
        <v>0</v>
      </c>
      <c r="O568" s="116">
        <f ca="1">SUBTOTAL(109,'3.3 I&amp;W'!$S$71)</f>
        <v>13062.12</v>
      </c>
      <c r="P568" s="30">
        <f t="shared" ref="P568:P610" ca="1" si="445">IF(N568&gt;=1,O568*$G$158^(1*M568)/($G$157^(1*M568)),0)</f>
        <v>0</v>
      </c>
      <c r="Q568" s="31">
        <f t="shared" ref="Q568:Q610" ca="1" si="446">IF(N568&gt;=2,O568*$G$158^(2*M568)/($G$157^(2*M568)),0)</f>
        <v>0</v>
      </c>
      <c r="R568" s="31">
        <f t="shared" ref="R568:R610" ca="1" si="447">IF(N568&gt;=3,O568*$G$158^(3*M568)/($G$157^(3*M568)),0)</f>
        <v>0</v>
      </c>
      <c r="S568" s="31">
        <f t="shared" ref="S568:S610" ca="1" si="448">IF(N568&gt;=4,O568*$G$158^(4*M568)/($G$157^(4*M568)),0)</f>
        <v>0</v>
      </c>
      <c r="T568" s="32">
        <f t="shared" ref="T568:T610" ca="1" si="449">IF(N568&gt;=5,O568*$G$158^(5*M568)/($G$157^(5*M568)),0)</f>
        <v>0</v>
      </c>
      <c r="U568" s="37">
        <f t="shared" ca="1" si="405"/>
        <v>2721.4252870886439</v>
      </c>
      <c r="V568" s="40">
        <f t="shared" ca="1" si="406"/>
        <v>0</v>
      </c>
      <c r="W568" s="41">
        <f t="shared" ca="1" si="399"/>
        <v>0</v>
      </c>
      <c r="X568" s="43"/>
      <c r="Y568" s="46"/>
      <c r="Z568" s="126"/>
      <c r="AA568" s="136"/>
      <c r="AB568" s="83">
        <v>15</v>
      </c>
      <c r="AC568" s="84">
        <f ca="1">IF(AF567&lt;=1,0,'3.3 Fi&amp;Fo'!$I$25)</f>
        <v>49369.168897197917</v>
      </c>
      <c r="AD568" s="72">
        <f ca="1">IF(AF567&lt;=1,0,AF567*'3.3 Fi&amp;Fo'!$H$25)</f>
        <v>16796.585164664451</v>
      </c>
      <c r="AE568" s="78">
        <f t="shared" ca="1" si="409"/>
        <v>32572.583732533465</v>
      </c>
      <c r="AF568" s="85">
        <f t="shared" ca="1" si="410"/>
        <v>807256.67450068903</v>
      </c>
      <c r="AG568" s="168">
        <f>IF(AJ567&lt;=1,0,IF(AB568&lt;='3.3 Fi&amp;Fo'!$F$34,'3.3 Fi&amp;Fo'!$J$34,IF(AB568&lt;='3.3 Fi&amp;Fo'!$F$35,'3.3 Fi&amp;Fo'!$J$35,IF(AB568&lt;='3.3 Fi&amp;Fo'!$F$36,'3.3 Fi&amp;Fo'!$J$36,IF(AB568&lt;='3.3 Fi&amp;Fo'!$F$37,'3.3 Fi&amp;Fo'!$J$37,IF(AB568&lt;='3.3 Fi&amp;Fo'!$F$38,'3.3 Fi&amp;Fo'!$J$38,IF(AB568&lt;='3.3 Fi&amp;Fo'!$F$39,'3.3 Fi&amp;Fo'!$J$39,IF(AB568&lt;='3.3 Fi&amp;Fo'!$F$40,'3.3 Fi&amp;Fo'!$J$40))))))))</f>
        <v>59602.916000000012</v>
      </c>
      <c r="AH568" s="207">
        <f>IF(AJ567&lt;=1,0,AJ567*IF(AB568&lt;='3.3 Fi&amp;Fo'!$F$34,'3.3 Fi&amp;Fo'!$I$34,IF(AB568&lt;='3.3 Fi&amp;Fo'!$F$35,'3.3 Fi&amp;Fo'!$I$35,IF(AB568&lt;='3.3 Fi&amp;Fo'!$F$38,'3.3 Fi&amp;Fo'!$I$38,IF(AB568&lt;='3.3 Fi&amp;Fo'!$F$39,'3.3 Fi&amp;Fo'!$I$39,IF(AB568&lt;='3.3 Fi&amp;Fo'!$F$40,'3.3 Fi&amp;Fo'!$I$40))))))</f>
        <v>101763.38375078236</v>
      </c>
      <c r="AI568" s="210">
        <f t="shared" si="411"/>
        <v>-42160.467750782351</v>
      </c>
      <c r="AJ568" s="209">
        <f t="shared" si="412"/>
        <v>1892403.808674098</v>
      </c>
      <c r="AK568" s="312">
        <f t="shared" ca="1" si="424"/>
        <v>-138386.7930175901</v>
      </c>
      <c r="AL568" s="169">
        <f>IF(AB568&lt;='3.3 Fi&amp;Fo'!$J$15,'3.3 Fi&amp;Fo'!$I$15,0)</f>
        <v>0</v>
      </c>
      <c r="AM568" s="169">
        <f t="shared" si="425"/>
        <v>29414.70812039217</v>
      </c>
      <c r="AN568" s="838">
        <f t="shared" si="430"/>
        <v>15</v>
      </c>
      <c r="AO568" s="844">
        <f t="shared" ca="1" si="413"/>
        <v>138386.7930175901</v>
      </c>
      <c r="AP568" s="839">
        <f ca="1">CC658</f>
        <v>27819.795727419776</v>
      </c>
      <c r="AQ568" s="844">
        <f t="shared" si="414"/>
        <v>0</v>
      </c>
      <c r="AR568" s="839">
        <f t="shared" ca="1" si="431"/>
        <v>0</v>
      </c>
      <c r="AS568" s="839">
        <f t="shared" ca="1" si="426"/>
        <v>8331.4843341015294</v>
      </c>
      <c r="AT568" s="839">
        <f t="shared" ca="1" si="427"/>
        <v>12290.348880705869</v>
      </c>
      <c r="AU568" s="839">
        <f ca="1">'PV-Einspeisung'!AA160*-1</f>
        <v>0</v>
      </c>
      <c r="AV568" s="839">
        <f ca="1">'PV-Einspeisung'!AE160*-1</f>
        <v>0</v>
      </c>
      <c r="AW568" s="839"/>
      <c r="AX568" s="839">
        <f t="shared" ca="1" si="432"/>
        <v>0</v>
      </c>
      <c r="AY568" s="841">
        <f t="shared" si="415"/>
        <v>15</v>
      </c>
      <c r="AZ568" s="842">
        <f t="shared" ca="1" si="433"/>
        <v>0</v>
      </c>
      <c r="BA568" s="842">
        <f t="shared" ca="1" si="434"/>
        <v>0</v>
      </c>
      <c r="BB568" s="842">
        <f t="shared" ca="1" si="435"/>
        <v>0</v>
      </c>
      <c r="BC568" s="842">
        <f t="shared" ca="1" si="436"/>
        <v>0</v>
      </c>
      <c r="BD568" s="842">
        <f t="shared" ca="1" si="437"/>
        <v>0</v>
      </c>
      <c r="BE568" s="842">
        <f t="shared" ca="1" si="438"/>
        <v>0</v>
      </c>
      <c r="BF568" s="842">
        <f t="shared" ca="1" si="439"/>
        <v>8577.6270448408304</v>
      </c>
      <c r="BG568" s="842">
        <f t="shared" ca="1" si="440"/>
        <v>3712.7218358650384</v>
      </c>
      <c r="BH568" s="858">
        <f t="shared" si="423"/>
        <v>15</v>
      </c>
      <c r="BI568" s="857">
        <f t="shared" ca="1" si="441"/>
        <v>3742.0682113983498</v>
      </c>
      <c r="BJ568" s="857">
        <f t="shared" ca="1" si="442"/>
        <v>4589.4161227031791</v>
      </c>
      <c r="BK568" s="859">
        <f ca="1">'PV-Einspeisung'!AB160*-1</f>
        <v>0</v>
      </c>
      <c r="BL568" s="824">
        <f t="shared" ca="1" si="400"/>
        <v>60</v>
      </c>
      <c r="BM568" s="824">
        <f t="shared" ca="1" si="401"/>
        <v>0</v>
      </c>
      <c r="BN568" s="824">
        <f t="shared" ca="1" si="402"/>
        <v>13062.12</v>
      </c>
      <c r="BO568" s="824">
        <f t="shared" ref="BO568:CD583" ca="1" si="450">IF(OR(IF($BL568*1&lt;$BL$196,$BL568*1=BO$198,FALSE),IF($BL568*2&lt;$BL$196,$BL568*2=BO$198,FALSE),IF($BL568*3&lt;$BL$196,$BL568*3=BO$198,FALSE),IF($BL568*4&lt;$BL$196,$BL568*4=BO$198,FALSE),IF($BL568*5&lt;$BL$196,$BL568*5=BO$198,FALSE)),$BN568*$BM$196^BO$198,0)</f>
        <v>0</v>
      </c>
      <c r="BP568" s="824">
        <f t="shared" ca="1" si="450"/>
        <v>0</v>
      </c>
      <c r="BQ568" s="824">
        <f t="shared" ca="1" si="450"/>
        <v>0</v>
      </c>
      <c r="BR568" s="824">
        <f t="shared" ca="1" si="450"/>
        <v>0</v>
      </c>
      <c r="BS568" s="824">
        <f t="shared" ca="1" si="450"/>
        <v>0</v>
      </c>
      <c r="BT568" s="824">
        <f t="shared" ca="1" si="450"/>
        <v>0</v>
      </c>
      <c r="BU568" s="824">
        <f t="shared" ca="1" si="450"/>
        <v>0</v>
      </c>
      <c r="BV568" s="824">
        <f t="shared" ca="1" si="450"/>
        <v>0</v>
      </c>
      <c r="BW568" s="824">
        <f t="shared" ca="1" si="450"/>
        <v>0</v>
      </c>
      <c r="BX568" s="824">
        <f t="shared" ca="1" si="450"/>
        <v>0</v>
      </c>
      <c r="BY568" s="824">
        <f t="shared" ca="1" si="450"/>
        <v>0</v>
      </c>
      <c r="BZ568" s="824">
        <f t="shared" ca="1" si="450"/>
        <v>0</v>
      </c>
      <c r="CA568" s="824">
        <f t="shared" ca="1" si="450"/>
        <v>0</v>
      </c>
      <c r="CB568" s="824">
        <f t="shared" ca="1" si="450"/>
        <v>0</v>
      </c>
      <c r="CC568" s="824">
        <f t="shared" ca="1" si="450"/>
        <v>0</v>
      </c>
      <c r="CD568" s="824">
        <f t="shared" ca="1" si="450"/>
        <v>0</v>
      </c>
      <c r="CE568" s="824">
        <f t="shared" ca="1" si="443"/>
        <v>0</v>
      </c>
      <c r="CF568" s="824">
        <f t="shared" ca="1" si="443"/>
        <v>0</v>
      </c>
      <c r="CG568" s="824">
        <f t="shared" ca="1" si="443"/>
        <v>0</v>
      </c>
      <c r="CH568" s="824">
        <f t="shared" ca="1" si="443"/>
        <v>0</v>
      </c>
      <c r="CI568" s="824">
        <f t="shared" ca="1" si="443"/>
        <v>0</v>
      </c>
      <c r="CJ568" s="824">
        <f t="shared" ca="1" si="443"/>
        <v>0</v>
      </c>
      <c r="CK568" s="824">
        <f t="shared" ca="1" si="443"/>
        <v>0</v>
      </c>
      <c r="CL568" s="824">
        <f t="shared" ca="1" si="443"/>
        <v>0</v>
      </c>
      <c r="CM568" s="824">
        <f t="shared" ca="1" si="443"/>
        <v>0</v>
      </c>
      <c r="CN568" s="824">
        <f t="shared" ca="1" si="443"/>
        <v>0</v>
      </c>
      <c r="CO568" s="824">
        <f t="shared" ca="1" si="443"/>
        <v>0</v>
      </c>
      <c r="CP568" s="824">
        <f t="shared" ca="1" si="443"/>
        <v>0</v>
      </c>
      <c r="CQ568" s="824">
        <f t="shared" ca="1" si="443"/>
        <v>0</v>
      </c>
      <c r="CR568" s="824">
        <f t="shared" ca="1" si="443"/>
        <v>0</v>
      </c>
      <c r="CS568" s="824">
        <f t="shared" ca="1" si="443"/>
        <v>0</v>
      </c>
      <c r="CT568" s="824">
        <f t="shared" ca="1" si="443"/>
        <v>0</v>
      </c>
      <c r="CU568" s="824">
        <f t="shared" ca="1" si="428"/>
        <v>0</v>
      </c>
      <c r="CV568" s="824">
        <f t="shared" ca="1" si="428"/>
        <v>0</v>
      </c>
      <c r="CW568" s="824">
        <f t="shared" ca="1" si="428"/>
        <v>0</v>
      </c>
      <c r="CX568" s="824">
        <f t="shared" ca="1" si="428"/>
        <v>0</v>
      </c>
      <c r="CY568" s="824">
        <f t="shared" ca="1" si="428"/>
        <v>0</v>
      </c>
      <c r="CZ568" s="824">
        <f t="shared" ca="1" si="428"/>
        <v>0</v>
      </c>
      <c r="DA568" s="824">
        <f t="shared" ca="1" si="429"/>
        <v>0</v>
      </c>
      <c r="DB568" s="824">
        <f t="shared" ca="1" si="429"/>
        <v>0</v>
      </c>
      <c r="DC568" s="824">
        <f t="shared" ca="1" si="429"/>
        <v>0</v>
      </c>
      <c r="DD568" s="824">
        <f t="shared" ca="1" si="429"/>
        <v>0</v>
      </c>
      <c r="DE568" s="824">
        <f t="shared" ca="1" si="429"/>
        <v>0</v>
      </c>
      <c r="DF568" s="824">
        <f t="shared" ca="1" si="429"/>
        <v>0</v>
      </c>
      <c r="DG568" s="824">
        <f t="shared" ca="1" si="429"/>
        <v>0</v>
      </c>
      <c r="DH568" s="824">
        <f t="shared" ca="1" si="429"/>
        <v>0</v>
      </c>
      <c r="DI568" s="824">
        <f t="shared" ca="1" si="429"/>
        <v>0</v>
      </c>
      <c r="DJ568" s="824">
        <f t="shared" ca="1" si="429"/>
        <v>0</v>
      </c>
      <c r="DK568" s="824">
        <f t="shared" ca="1" si="429"/>
        <v>0</v>
      </c>
      <c r="DL568" s="824">
        <f t="shared" ca="1" si="429"/>
        <v>0</v>
      </c>
    </row>
    <row r="569" spans="2:116" ht="12" thickBot="1" x14ac:dyDescent="0.3">
      <c r="B569" s="1673"/>
      <c r="C569" s="1680"/>
      <c r="D569" s="15"/>
      <c r="E569" s="116"/>
      <c r="F569" s="116">
        <f ca="1">SUBTOTAL(109,'3.3 I&amp;W'!$X$72)</f>
        <v>0</v>
      </c>
      <c r="G569" s="116">
        <f ca="1">SUBTOTAL(109,'3.3 I&amp;W'!$Y$72)</f>
        <v>0</v>
      </c>
      <c r="H569" s="116">
        <f ca="1">SUBTOTAL(109,'3.3 I&amp;W'!$AD$72)</f>
        <v>0</v>
      </c>
      <c r="I569" s="116">
        <f ca="1">SUBTOTAL(109,'3.3 I&amp;W'!$AE$72)</f>
        <v>0</v>
      </c>
      <c r="J569" s="116"/>
      <c r="K569" s="116"/>
      <c r="L569" s="116"/>
      <c r="M569" s="116">
        <f ca="1">SUBTOTAL(109,'3.3 I&amp;W'!$AI$72)</f>
        <v>0</v>
      </c>
      <c r="N569" s="156">
        <f t="shared" ca="1" si="404"/>
        <v>0</v>
      </c>
      <c r="O569" s="116">
        <f ca="1">SUBTOTAL(109,'3.3 I&amp;W'!$S$72)</f>
        <v>0</v>
      </c>
      <c r="P569" s="30">
        <f t="shared" ca="1" si="445"/>
        <v>0</v>
      </c>
      <c r="Q569" s="31">
        <f t="shared" ca="1" si="446"/>
        <v>0</v>
      </c>
      <c r="R569" s="31">
        <f t="shared" ca="1" si="447"/>
        <v>0</v>
      </c>
      <c r="S569" s="31">
        <f t="shared" ca="1" si="448"/>
        <v>0</v>
      </c>
      <c r="T569" s="32">
        <f t="shared" ca="1" si="449"/>
        <v>0</v>
      </c>
      <c r="U569" s="37">
        <f t="shared" ca="1" si="405"/>
        <v>0</v>
      </c>
      <c r="V569" s="40">
        <f t="shared" ca="1" si="406"/>
        <v>0</v>
      </c>
      <c r="W569" s="41">
        <f t="shared" ca="1" si="399"/>
        <v>0</v>
      </c>
      <c r="X569" s="43"/>
      <c r="Y569" s="46"/>
      <c r="Z569" s="126"/>
      <c r="AA569" s="136"/>
      <c r="AB569" s="83">
        <v>16</v>
      </c>
      <c r="AC569" s="84">
        <f ca="1">IF(AF568&lt;=1,0,'3.3 Fi&amp;Fo'!$I$25)</f>
        <v>49369.168897197917</v>
      </c>
      <c r="AD569" s="72">
        <f ca="1">IF(AF568&lt;=1,0,AF568*'3.3 Fi&amp;Fo'!$H$25)</f>
        <v>16145.133490013781</v>
      </c>
      <c r="AE569" s="78">
        <f t="shared" ca="1" si="409"/>
        <v>33224.035407184136</v>
      </c>
      <c r="AF569" s="85">
        <f t="shared" ca="1" si="410"/>
        <v>774032.63909350487</v>
      </c>
      <c r="AG569" s="168">
        <f>IF(AJ568&lt;=1,0,IF(AB569&lt;='3.3 Fi&amp;Fo'!$F$34,'3.3 Fi&amp;Fo'!$J$34,IF(AB569&lt;='3.3 Fi&amp;Fo'!$F$35,'3.3 Fi&amp;Fo'!$J$35,IF(AB569&lt;='3.3 Fi&amp;Fo'!$F$36,'3.3 Fi&amp;Fo'!$J$36,IF(AB569&lt;='3.3 Fi&amp;Fo'!$F$37,'3.3 Fi&amp;Fo'!$J$37,IF(AB569&lt;='3.3 Fi&amp;Fo'!$F$38,'3.3 Fi&amp;Fo'!$J$38,IF(AB569&lt;='3.3 Fi&amp;Fo'!$F$39,'3.3 Fi&amp;Fo'!$J$39,IF(AB569&lt;='3.3 Fi&amp;Fo'!$F$40,'3.3 Fi&amp;Fo'!$J$40))))))))</f>
        <v>76628.892000000007</v>
      </c>
      <c r="AH569" s="207">
        <f>IF(AJ568&lt;=1,0,AJ568*IF(AB569&lt;='3.3 Fi&amp;Fo'!$F$34,'3.3 Fi&amp;Fo'!$I$34,IF(AB569&lt;='3.3 Fi&amp;Fo'!$F$35,'3.3 Fi&amp;Fo'!$I$35,IF(AB569&lt;='3.3 Fi&amp;Fo'!$F$38,'3.3 Fi&amp;Fo'!$I$38,IF(AB569&lt;='3.3 Fi&amp;Fo'!$F$39,'3.3 Fi&amp;Fo'!$I$39,IF(AB569&lt;='3.3 Fi&amp;Fo'!$F$40,'3.3 Fi&amp;Fo'!$I$40))))))</f>
        <v>104082.20947707539</v>
      </c>
      <c r="AI569" s="210">
        <f t="shared" si="411"/>
        <v>-27453.317477075383</v>
      </c>
      <c r="AJ569" s="209">
        <f t="shared" si="412"/>
        <v>1919857.1261511734</v>
      </c>
      <c r="AK569" s="312">
        <f t="shared" ca="1" si="424"/>
        <v>-156001.06317999878</v>
      </c>
      <c r="AL569" s="169">
        <f>IF(AB569&lt;='3.3 Fi&amp;Fo'!$J$15,'3.3 Fi&amp;Fo'!$I$15,0)</f>
        <v>0</v>
      </c>
      <c r="AM569" s="169">
        <f t="shared" si="425"/>
        <v>30003.002282800851</v>
      </c>
      <c r="AN569" s="838">
        <f t="shared" si="430"/>
        <v>16</v>
      </c>
      <c r="AO569" s="844">
        <f t="shared" ca="1" si="413"/>
        <v>156001.06317999878</v>
      </c>
      <c r="AP569" s="839">
        <f ca="1">CD658</f>
        <v>0</v>
      </c>
      <c r="AQ569" s="844">
        <f t="shared" si="414"/>
        <v>0</v>
      </c>
      <c r="AR569" s="839">
        <f t="shared" ca="1" si="431"/>
        <v>0</v>
      </c>
      <c r="AS569" s="839">
        <f t="shared" ca="1" si="426"/>
        <v>8464.7880834471543</v>
      </c>
      <c r="AT569" s="839">
        <f t="shared" ca="1" si="427"/>
        <v>12634.734821082164</v>
      </c>
      <c r="AU569" s="839">
        <f ca="1">'PV-Einspeisung'!AA161*-1</f>
        <v>0</v>
      </c>
      <c r="AV569" s="839">
        <f ca="1">'PV-Einspeisung'!AE161*-1</f>
        <v>0</v>
      </c>
      <c r="AW569" s="839"/>
      <c r="AX569" s="839">
        <f t="shared" ca="1" si="432"/>
        <v>0</v>
      </c>
      <c r="AY569" s="841">
        <f t="shared" si="415"/>
        <v>16</v>
      </c>
      <c r="AZ569" s="842">
        <f t="shared" ca="1" si="433"/>
        <v>0</v>
      </c>
      <c r="BA569" s="842">
        <f t="shared" ca="1" si="434"/>
        <v>0</v>
      </c>
      <c r="BB569" s="842">
        <f t="shared" ca="1" si="435"/>
        <v>0</v>
      </c>
      <c r="BC569" s="842">
        <f t="shared" ca="1" si="436"/>
        <v>0</v>
      </c>
      <c r="BD569" s="842">
        <f t="shared" ca="1" si="437"/>
        <v>0</v>
      </c>
      <c r="BE569" s="842">
        <f t="shared" ca="1" si="438"/>
        <v>0</v>
      </c>
      <c r="BF569" s="842">
        <f t="shared" ca="1" si="439"/>
        <v>8792.0677209618498</v>
      </c>
      <c r="BG569" s="842">
        <f t="shared" ca="1" si="440"/>
        <v>3842.6671001203144</v>
      </c>
      <c r="BH569" s="858">
        <f t="shared" si="423"/>
        <v>16</v>
      </c>
      <c r="BI569" s="857">
        <f t="shared" ca="1" si="441"/>
        <v>3801.9413027807236</v>
      </c>
      <c r="BJ569" s="857">
        <f t="shared" ca="1" si="442"/>
        <v>4662.8467806664303</v>
      </c>
      <c r="BK569" s="859">
        <f ca="1">'PV-Einspeisung'!AB161*-1</f>
        <v>0</v>
      </c>
      <c r="BL569" s="824">
        <f t="shared" ca="1" si="400"/>
        <v>0</v>
      </c>
      <c r="BM569" s="824">
        <f t="shared" ca="1" si="401"/>
        <v>0</v>
      </c>
      <c r="BN569" s="824">
        <f t="shared" ca="1" si="402"/>
        <v>0</v>
      </c>
      <c r="BO569" s="824">
        <f t="shared" ca="1" si="450"/>
        <v>0</v>
      </c>
      <c r="BP569" s="824">
        <f t="shared" ca="1" si="450"/>
        <v>0</v>
      </c>
      <c r="BQ569" s="824">
        <f t="shared" ca="1" si="450"/>
        <v>0</v>
      </c>
      <c r="BR569" s="824">
        <f t="shared" ca="1" si="450"/>
        <v>0</v>
      </c>
      <c r="BS569" s="824">
        <f t="shared" ca="1" si="450"/>
        <v>0</v>
      </c>
      <c r="BT569" s="824">
        <f t="shared" ca="1" si="450"/>
        <v>0</v>
      </c>
      <c r="BU569" s="824">
        <f t="shared" ca="1" si="450"/>
        <v>0</v>
      </c>
      <c r="BV569" s="824">
        <f t="shared" ca="1" si="450"/>
        <v>0</v>
      </c>
      <c r="BW569" s="824">
        <f t="shared" ca="1" si="450"/>
        <v>0</v>
      </c>
      <c r="BX569" s="824">
        <f t="shared" ca="1" si="450"/>
        <v>0</v>
      </c>
      <c r="BY569" s="824">
        <f t="shared" ca="1" si="450"/>
        <v>0</v>
      </c>
      <c r="BZ569" s="824">
        <f t="shared" ca="1" si="450"/>
        <v>0</v>
      </c>
      <c r="CA569" s="824">
        <f t="shared" ca="1" si="450"/>
        <v>0</v>
      </c>
      <c r="CB569" s="824">
        <f t="shared" ca="1" si="450"/>
        <v>0</v>
      </c>
      <c r="CC569" s="824">
        <f t="shared" ca="1" si="450"/>
        <v>0</v>
      </c>
      <c r="CD569" s="824">
        <f t="shared" ca="1" si="450"/>
        <v>0</v>
      </c>
      <c r="CE569" s="824">
        <f t="shared" ca="1" si="443"/>
        <v>0</v>
      </c>
      <c r="CF569" s="824">
        <f t="shared" ca="1" si="443"/>
        <v>0</v>
      </c>
      <c r="CG569" s="824">
        <f t="shared" ca="1" si="443"/>
        <v>0</v>
      </c>
      <c r="CH569" s="824">
        <f t="shared" ca="1" si="443"/>
        <v>0</v>
      </c>
      <c r="CI569" s="824">
        <f t="shared" ca="1" si="443"/>
        <v>0</v>
      </c>
      <c r="CJ569" s="824">
        <f t="shared" ca="1" si="443"/>
        <v>0</v>
      </c>
      <c r="CK569" s="824">
        <f t="shared" ca="1" si="443"/>
        <v>0</v>
      </c>
      <c r="CL569" s="824">
        <f t="shared" ca="1" si="443"/>
        <v>0</v>
      </c>
      <c r="CM569" s="824">
        <f t="shared" ca="1" si="443"/>
        <v>0</v>
      </c>
      <c r="CN569" s="824">
        <f t="shared" ca="1" si="443"/>
        <v>0</v>
      </c>
      <c r="CO569" s="824">
        <f t="shared" ca="1" si="443"/>
        <v>0</v>
      </c>
      <c r="CP569" s="824">
        <f t="shared" ca="1" si="443"/>
        <v>0</v>
      </c>
      <c r="CQ569" s="824">
        <f t="shared" ca="1" si="443"/>
        <v>0</v>
      </c>
      <c r="CR569" s="824">
        <f t="shared" ca="1" si="443"/>
        <v>0</v>
      </c>
      <c r="CS569" s="824">
        <f t="shared" ca="1" si="443"/>
        <v>0</v>
      </c>
      <c r="CT569" s="824">
        <f t="shared" ca="1" si="443"/>
        <v>0</v>
      </c>
      <c r="CU569" s="824">
        <f t="shared" ca="1" si="428"/>
        <v>0</v>
      </c>
      <c r="CV569" s="824">
        <f t="shared" ca="1" si="428"/>
        <v>0</v>
      </c>
      <c r="CW569" s="824">
        <f t="shared" ca="1" si="428"/>
        <v>0</v>
      </c>
      <c r="CX569" s="824">
        <f t="shared" ca="1" si="428"/>
        <v>0</v>
      </c>
      <c r="CY569" s="824">
        <f t="shared" ca="1" si="428"/>
        <v>0</v>
      </c>
      <c r="CZ569" s="824">
        <f t="shared" ca="1" si="428"/>
        <v>0</v>
      </c>
      <c r="DA569" s="824">
        <f t="shared" ca="1" si="429"/>
        <v>0</v>
      </c>
      <c r="DB569" s="824">
        <f t="shared" ca="1" si="429"/>
        <v>0</v>
      </c>
      <c r="DC569" s="824">
        <f t="shared" ca="1" si="429"/>
        <v>0</v>
      </c>
      <c r="DD569" s="824">
        <f t="shared" ca="1" si="429"/>
        <v>0</v>
      </c>
      <c r="DE569" s="824">
        <f t="shared" ca="1" si="429"/>
        <v>0</v>
      </c>
      <c r="DF569" s="824">
        <f t="shared" ca="1" si="429"/>
        <v>0</v>
      </c>
      <c r="DG569" s="824">
        <f t="shared" ca="1" si="429"/>
        <v>0</v>
      </c>
      <c r="DH569" s="824">
        <f t="shared" ca="1" si="429"/>
        <v>0</v>
      </c>
      <c r="DI569" s="824">
        <f t="shared" ca="1" si="429"/>
        <v>0</v>
      </c>
      <c r="DJ569" s="824">
        <f t="shared" ca="1" si="429"/>
        <v>0</v>
      </c>
      <c r="DK569" s="824">
        <f t="shared" ca="1" si="429"/>
        <v>0</v>
      </c>
      <c r="DL569" s="824">
        <f t="shared" ca="1" si="429"/>
        <v>0</v>
      </c>
    </row>
    <row r="570" spans="2:116" ht="12" thickBot="1" x14ac:dyDescent="0.3">
      <c r="B570" s="1673"/>
      <c r="C570" s="1680"/>
      <c r="D570" s="15" t="s">
        <v>129</v>
      </c>
      <c r="E570" s="165"/>
      <c r="F570" s="116">
        <f ca="1">SUBTOTAL(109,'3.3 I&amp;W'!$X$76)</f>
        <v>0</v>
      </c>
      <c r="G570" s="116">
        <f ca="1">SUBTOTAL(109,'3.3 I&amp;W'!$Y$76)</f>
        <v>0</v>
      </c>
      <c r="H570" s="116">
        <f ca="1">SUBTOTAL(109,'3.3 I&amp;W'!$AD$76)</f>
        <v>0</v>
      </c>
      <c r="I570" s="116">
        <f ca="1">SUBTOTAL(109,'3.3 I&amp;W'!$AE$76)</f>
        <v>0</v>
      </c>
      <c r="J570" s="116"/>
      <c r="K570" s="116"/>
      <c r="L570" s="116"/>
      <c r="M570" s="116">
        <f ca="1">SUBTOTAL(109,'3.3 I&amp;W'!$AI$76)</f>
        <v>50</v>
      </c>
      <c r="N570" s="156">
        <f t="shared" ca="1" si="404"/>
        <v>0</v>
      </c>
      <c r="O570" s="116">
        <f ca="1">SUBTOTAL(109,'3.3 I&amp;W'!$S$76)</f>
        <v>91980</v>
      </c>
      <c r="P570" s="30">
        <f t="shared" ca="1" si="445"/>
        <v>0</v>
      </c>
      <c r="Q570" s="31">
        <f t="shared" ca="1" si="446"/>
        <v>0</v>
      </c>
      <c r="R570" s="31">
        <f t="shared" ca="1" si="447"/>
        <v>0</v>
      </c>
      <c r="S570" s="31">
        <f t="shared" ca="1" si="448"/>
        <v>0</v>
      </c>
      <c r="T570" s="32">
        <f t="shared" ca="1" si="449"/>
        <v>0</v>
      </c>
      <c r="U570" s="37">
        <f t="shared" ca="1" si="405"/>
        <v>13797.761963036452</v>
      </c>
      <c r="V570" s="40">
        <f t="shared" ca="1" si="406"/>
        <v>0</v>
      </c>
      <c r="W570" s="41">
        <f t="shared" ca="1" si="399"/>
        <v>0</v>
      </c>
      <c r="X570" s="43"/>
      <c r="Y570" s="46"/>
      <c r="Z570" s="126"/>
      <c r="AA570" s="136"/>
      <c r="AB570" s="83">
        <v>17</v>
      </c>
      <c r="AC570" s="84">
        <f ca="1">IF(AF569&lt;=1,0,'3.3 Fi&amp;Fo'!$I$25)</f>
        <v>49369.168897197917</v>
      </c>
      <c r="AD570" s="72">
        <f ca="1">IF(AF569&lt;=1,0,AF569*'3.3 Fi&amp;Fo'!$H$25)</f>
        <v>15480.652781870098</v>
      </c>
      <c r="AE570" s="78">
        <f t="shared" ca="1" si="409"/>
        <v>33888.516115327817</v>
      </c>
      <c r="AF570" s="85">
        <f t="shared" ca="1" si="410"/>
        <v>740144.12297817704</v>
      </c>
      <c r="AG570" s="168">
        <f>IF(AJ569&lt;=1,0,IF(AB570&lt;='3.3 Fi&amp;Fo'!$F$34,'3.3 Fi&amp;Fo'!$J$34,IF(AB570&lt;='3.3 Fi&amp;Fo'!$F$35,'3.3 Fi&amp;Fo'!$J$35,IF(AB570&lt;='3.3 Fi&amp;Fo'!$F$36,'3.3 Fi&amp;Fo'!$J$36,IF(AB570&lt;='3.3 Fi&amp;Fo'!$F$37,'3.3 Fi&amp;Fo'!$J$37,IF(AB570&lt;='3.3 Fi&amp;Fo'!$F$38,'3.3 Fi&amp;Fo'!$J$38,IF(AB570&lt;='3.3 Fi&amp;Fo'!$F$39,'3.3 Fi&amp;Fo'!$J$39,IF(AB570&lt;='3.3 Fi&amp;Fo'!$F$40,'3.3 Fi&amp;Fo'!$J$40))))))))</f>
        <v>76628.892000000007</v>
      </c>
      <c r="AH570" s="207">
        <f>IF(AJ569&lt;=1,0,AJ569*IF(AB570&lt;='3.3 Fi&amp;Fo'!$F$34,'3.3 Fi&amp;Fo'!$I$34,IF(AB570&lt;='3.3 Fi&amp;Fo'!$F$35,'3.3 Fi&amp;Fo'!$I$35,IF(AB570&lt;='3.3 Fi&amp;Fo'!$F$38,'3.3 Fi&amp;Fo'!$I$38,IF(AB570&lt;='3.3 Fi&amp;Fo'!$F$39,'3.3 Fi&amp;Fo'!$I$39,IF(AB570&lt;='3.3 Fi&amp;Fo'!$F$40,'3.3 Fi&amp;Fo'!$I$40))))))</f>
        <v>105592.14193831454</v>
      </c>
      <c r="AI570" s="210">
        <f t="shared" si="411"/>
        <v>-28963.249938314533</v>
      </c>
      <c r="AJ570" s="209">
        <f t="shared" si="412"/>
        <v>1948820.3760894879</v>
      </c>
      <c r="AK570" s="312">
        <f t="shared" ca="1" si="424"/>
        <v>-156601.12322565482</v>
      </c>
      <c r="AL570" s="169">
        <f>IF(AB570&lt;='3.3 Fi&amp;Fo'!$J$15,'3.3 Fi&amp;Fo'!$I$15,0)</f>
        <v>0</v>
      </c>
      <c r="AM570" s="169">
        <f t="shared" si="425"/>
        <v>30603.062328456901</v>
      </c>
      <c r="AN570" s="838">
        <f t="shared" si="430"/>
        <v>17</v>
      </c>
      <c r="AO570" s="844">
        <f t="shared" ca="1" si="413"/>
        <v>156601.12322565482</v>
      </c>
      <c r="AP570" s="839">
        <f ca="1">CE658</f>
        <v>0</v>
      </c>
      <c r="AQ570" s="844">
        <f t="shared" si="414"/>
        <v>0</v>
      </c>
      <c r="AR570" s="839">
        <f t="shared" ca="1" si="431"/>
        <v>0</v>
      </c>
      <c r="AS570" s="839">
        <f t="shared" ca="1" si="426"/>
        <v>8600.2246927823089</v>
      </c>
      <c r="AT570" s="839">
        <f t="shared" ca="1" si="427"/>
        <v>12989.02986261042</v>
      </c>
      <c r="AU570" s="839">
        <f ca="1">'PV-Einspeisung'!AA162*-1</f>
        <v>0</v>
      </c>
      <c r="AV570" s="839">
        <f ca="1">'PV-Einspeisung'!AE162*-1</f>
        <v>0</v>
      </c>
      <c r="AW570" s="839"/>
      <c r="AX570" s="839">
        <f t="shared" ca="1" si="432"/>
        <v>0</v>
      </c>
      <c r="AY570" s="841">
        <f t="shared" si="415"/>
        <v>17</v>
      </c>
      <c r="AZ570" s="842">
        <f t="shared" ca="1" si="433"/>
        <v>0</v>
      </c>
      <c r="BA570" s="842">
        <f t="shared" ca="1" si="434"/>
        <v>0</v>
      </c>
      <c r="BB570" s="842">
        <f t="shared" ca="1" si="435"/>
        <v>0</v>
      </c>
      <c r="BC570" s="842">
        <f t="shared" ca="1" si="436"/>
        <v>0</v>
      </c>
      <c r="BD570" s="842">
        <f t="shared" ca="1" si="437"/>
        <v>0</v>
      </c>
      <c r="BE570" s="842">
        <f t="shared" ca="1" si="438"/>
        <v>0</v>
      </c>
      <c r="BF570" s="842">
        <f t="shared" ca="1" si="439"/>
        <v>9011.8694139858944</v>
      </c>
      <c r="BG570" s="842">
        <f t="shared" ca="1" si="440"/>
        <v>3977.1604486245251</v>
      </c>
      <c r="BH570" s="858">
        <f t="shared" si="423"/>
        <v>17</v>
      </c>
      <c r="BI570" s="857">
        <f t="shared" ca="1" si="441"/>
        <v>3862.7723636252153</v>
      </c>
      <c r="BJ570" s="857">
        <f t="shared" ca="1" si="442"/>
        <v>4737.4523291570931</v>
      </c>
      <c r="BK570" s="859">
        <f ca="1">'PV-Einspeisung'!AB162*-1</f>
        <v>0</v>
      </c>
      <c r="BL570" s="824">
        <f t="shared" ca="1" si="400"/>
        <v>50</v>
      </c>
      <c r="BM570" s="824">
        <f t="shared" ca="1" si="401"/>
        <v>0</v>
      </c>
      <c r="BN570" s="824">
        <f t="shared" ca="1" si="402"/>
        <v>91980</v>
      </c>
      <c r="BO570" s="824">
        <f t="shared" ca="1" si="450"/>
        <v>0</v>
      </c>
      <c r="BP570" s="824">
        <f t="shared" ca="1" si="450"/>
        <v>0</v>
      </c>
      <c r="BQ570" s="824">
        <f t="shared" ca="1" si="450"/>
        <v>0</v>
      </c>
      <c r="BR570" s="824">
        <f t="shared" ca="1" si="450"/>
        <v>0</v>
      </c>
      <c r="BS570" s="824">
        <f t="shared" ca="1" si="450"/>
        <v>0</v>
      </c>
      <c r="BT570" s="824">
        <f t="shared" ca="1" si="450"/>
        <v>0</v>
      </c>
      <c r="BU570" s="824">
        <f t="shared" ca="1" si="450"/>
        <v>0</v>
      </c>
      <c r="BV570" s="824">
        <f t="shared" ca="1" si="450"/>
        <v>0</v>
      </c>
      <c r="BW570" s="824">
        <f t="shared" ca="1" si="450"/>
        <v>0</v>
      </c>
      <c r="BX570" s="824">
        <f t="shared" ca="1" si="450"/>
        <v>0</v>
      </c>
      <c r="BY570" s="824">
        <f t="shared" ca="1" si="450"/>
        <v>0</v>
      </c>
      <c r="BZ570" s="824">
        <f t="shared" ca="1" si="450"/>
        <v>0</v>
      </c>
      <c r="CA570" s="824">
        <f t="shared" ca="1" si="450"/>
        <v>0</v>
      </c>
      <c r="CB570" s="824">
        <f t="shared" ca="1" si="450"/>
        <v>0</v>
      </c>
      <c r="CC570" s="824">
        <f t="shared" ca="1" si="450"/>
        <v>0</v>
      </c>
      <c r="CD570" s="824">
        <f t="shared" ca="1" si="450"/>
        <v>0</v>
      </c>
      <c r="CE570" s="824">
        <f t="shared" ca="1" si="443"/>
        <v>0</v>
      </c>
      <c r="CF570" s="824">
        <f t="shared" ca="1" si="443"/>
        <v>0</v>
      </c>
      <c r="CG570" s="824">
        <f t="shared" ca="1" si="443"/>
        <v>0</v>
      </c>
      <c r="CH570" s="824">
        <f t="shared" ca="1" si="443"/>
        <v>0</v>
      </c>
      <c r="CI570" s="824">
        <f t="shared" ca="1" si="443"/>
        <v>0</v>
      </c>
      <c r="CJ570" s="824">
        <f t="shared" ca="1" si="443"/>
        <v>0</v>
      </c>
      <c r="CK570" s="824">
        <f t="shared" ca="1" si="443"/>
        <v>0</v>
      </c>
      <c r="CL570" s="824">
        <f t="shared" ca="1" si="443"/>
        <v>0</v>
      </c>
      <c r="CM570" s="824">
        <f t="shared" ca="1" si="443"/>
        <v>0</v>
      </c>
      <c r="CN570" s="824">
        <f t="shared" ca="1" si="443"/>
        <v>0</v>
      </c>
      <c r="CO570" s="824">
        <f t="shared" ca="1" si="443"/>
        <v>0</v>
      </c>
      <c r="CP570" s="824">
        <f t="shared" ca="1" si="443"/>
        <v>0</v>
      </c>
      <c r="CQ570" s="824">
        <f t="shared" ca="1" si="443"/>
        <v>0</v>
      </c>
      <c r="CR570" s="824">
        <f t="shared" ca="1" si="443"/>
        <v>0</v>
      </c>
      <c r="CS570" s="824">
        <f t="shared" ca="1" si="443"/>
        <v>0</v>
      </c>
      <c r="CT570" s="824">
        <f t="shared" ca="1" si="443"/>
        <v>0</v>
      </c>
      <c r="CU570" s="824">
        <f t="shared" ca="1" si="428"/>
        <v>0</v>
      </c>
      <c r="CV570" s="824">
        <f t="shared" ca="1" si="428"/>
        <v>0</v>
      </c>
      <c r="CW570" s="824">
        <f t="shared" ca="1" si="428"/>
        <v>0</v>
      </c>
      <c r="CX570" s="824">
        <f t="shared" ca="1" si="428"/>
        <v>0</v>
      </c>
      <c r="CY570" s="824">
        <f t="shared" ca="1" si="428"/>
        <v>0</v>
      </c>
      <c r="CZ570" s="824">
        <f t="shared" ca="1" si="428"/>
        <v>0</v>
      </c>
      <c r="DA570" s="824">
        <f t="shared" ca="1" si="429"/>
        <v>0</v>
      </c>
      <c r="DB570" s="824">
        <f t="shared" ca="1" si="429"/>
        <v>0</v>
      </c>
      <c r="DC570" s="824">
        <f t="shared" ca="1" si="429"/>
        <v>0</v>
      </c>
      <c r="DD570" s="824">
        <f t="shared" ca="1" si="429"/>
        <v>0</v>
      </c>
      <c r="DE570" s="824">
        <f t="shared" ca="1" si="429"/>
        <v>0</v>
      </c>
      <c r="DF570" s="824">
        <f t="shared" ca="1" si="429"/>
        <v>0</v>
      </c>
      <c r="DG570" s="824">
        <f t="shared" ca="1" si="429"/>
        <v>0</v>
      </c>
      <c r="DH570" s="824">
        <f t="shared" ca="1" si="429"/>
        <v>0</v>
      </c>
      <c r="DI570" s="824">
        <f t="shared" ca="1" si="429"/>
        <v>0</v>
      </c>
      <c r="DJ570" s="824">
        <f t="shared" ca="1" si="429"/>
        <v>0</v>
      </c>
      <c r="DK570" s="824">
        <f t="shared" ca="1" si="429"/>
        <v>0</v>
      </c>
      <c r="DL570" s="824">
        <f t="shared" ca="1" si="429"/>
        <v>0</v>
      </c>
    </row>
    <row r="571" spans="2:116" ht="12" thickBot="1" x14ac:dyDescent="0.3">
      <c r="B571" s="1673"/>
      <c r="C571" s="1680"/>
      <c r="D571" s="15" t="s">
        <v>129</v>
      </c>
      <c r="E571" s="116"/>
      <c r="F571" s="116">
        <f ca="1">SUBTOTAL(109,'3.3 I&amp;W'!$X$77)</f>
        <v>0</v>
      </c>
      <c r="G571" s="116">
        <f ca="1">SUBTOTAL(109,'3.3 I&amp;W'!$Y$77)</f>
        <v>0</v>
      </c>
      <c r="H571" s="116">
        <f ca="1">SUBTOTAL(109,'3.3 I&amp;W'!$AD$77)</f>
        <v>0</v>
      </c>
      <c r="I571" s="116">
        <f ca="1">SUBTOTAL(109,'3.3 I&amp;W'!$AE$77)</f>
        <v>0</v>
      </c>
      <c r="J571" s="116"/>
      <c r="K571" s="116"/>
      <c r="L571" s="116"/>
      <c r="M571" s="116">
        <f ca="1">SUBTOTAL(109,'3.3 I&amp;W'!$AI$77)</f>
        <v>80</v>
      </c>
      <c r="N571" s="156">
        <f t="shared" ca="1" si="404"/>
        <v>0</v>
      </c>
      <c r="O571" s="116">
        <f ca="1">SUBTOTAL(109,'3.3 I&amp;W'!$S$77)</f>
        <v>14448</v>
      </c>
      <c r="P571" s="30">
        <f t="shared" ca="1" si="445"/>
        <v>0</v>
      </c>
      <c r="Q571" s="31">
        <f t="shared" ca="1" si="446"/>
        <v>0</v>
      </c>
      <c r="R571" s="31">
        <f t="shared" ca="1" si="447"/>
        <v>0</v>
      </c>
      <c r="S571" s="31">
        <f t="shared" ca="1" si="448"/>
        <v>0</v>
      </c>
      <c r="T571" s="32">
        <f t="shared" ca="1" si="449"/>
        <v>0</v>
      </c>
      <c r="U571" s="37">
        <f t="shared" ca="1" si="405"/>
        <v>4063.7244137710095</v>
      </c>
      <c r="V571" s="40">
        <f t="shared" ca="1" si="406"/>
        <v>0</v>
      </c>
      <c r="W571" s="41">
        <f t="shared" ca="1" si="399"/>
        <v>0</v>
      </c>
      <c r="X571" s="43"/>
      <c r="Y571" s="46"/>
      <c r="Z571" s="126"/>
      <c r="AA571" s="136"/>
      <c r="AB571" s="83">
        <v>18</v>
      </c>
      <c r="AC571" s="84">
        <f ca="1">IF(AF570&lt;=1,0,'3.3 Fi&amp;Fo'!$I$25)</f>
        <v>49369.168897197917</v>
      </c>
      <c r="AD571" s="72">
        <f ca="1">IF(AF570&lt;=1,0,AF570*'3.3 Fi&amp;Fo'!$H$25)</f>
        <v>14802.882459563541</v>
      </c>
      <c r="AE571" s="78">
        <f t="shared" ca="1" si="409"/>
        <v>34566.286437634379</v>
      </c>
      <c r="AF571" s="85">
        <f t="shared" ca="1" si="410"/>
        <v>705577.83654054266</v>
      </c>
      <c r="AG571" s="168">
        <f>IF(AJ570&lt;=1,0,IF(AB571&lt;='3.3 Fi&amp;Fo'!$F$34,'3.3 Fi&amp;Fo'!$J$34,IF(AB571&lt;='3.3 Fi&amp;Fo'!$F$35,'3.3 Fi&amp;Fo'!$J$35,IF(AB571&lt;='3.3 Fi&amp;Fo'!$F$36,'3.3 Fi&amp;Fo'!$J$36,IF(AB571&lt;='3.3 Fi&amp;Fo'!$F$37,'3.3 Fi&amp;Fo'!$J$37,IF(AB571&lt;='3.3 Fi&amp;Fo'!$F$38,'3.3 Fi&amp;Fo'!$J$38,IF(AB571&lt;='3.3 Fi&amp;Fo'!$F$39,'3.3 Fi&amp;Fo'!$J$39,IF(AB571&lt;='3.3 Fi&amp;Fo'!$F$40,'3.3 Fi&amp;Fo'!$J$40))))))))</f>
        <v>76628.892000000007</v>
      </c>
      <c r="AH571" s="207">
        <f>IF(AJ570&lt;=1,0,AJ570*IF(AB571&lt;='3.3 Fi&amp;Fo'!$F$34,'3.3 Fi&amp;Fo'!$I$34,IF(AB571&lt;='3.3 Fi&amp;Fo'!$F$35,'3.3 Fi&amp;Fo'!$I$35,IF(AB571&lt;='3.3 Fi&amp;Fo'!$F$38,'3.3 Fi&amp;Fo'!$I$38,IF(AB571&lt;='3.3 Fi&amp;Fo'!$F$39,'3.3 Fi&amp;Fo'!$I$39,IF(AB571&lt;='3.3 Fi&amp;Fo'!$F$40,'3.3 Fi&amp;Fo'!$I$40))))))</f>
        <v>107185.12068492184</v>
      </c>
      <c r="AI571" s="210">
        <f t="shared" si="411"/>
        <v>-30556.228684921836</v>
      </c>
      <c r="AJ571" s="209">
        <f t="shared" si="412"/>
        <v>1979376.6047744097</v>
      </c>
      <c r="AK571" s="312">
        <f t="shared" ca="1" si="424"/>
        <v>-157213.18447222339</v>
      </c>
      <c r="AL571" s="169">
        <f>IF(AB571&lt;='3.3 Fi&amp;Fo'!$J$15,'3.3 Fi&amp;Fo'!$I$15,0)</f>
        <v>0</v>
      </c>
      <c r="AM571" s="169">
        <f t="shared" si="425"/>
        <v>31215.123575025471</v>
      </c>
      <c r="AN571" s="838">
        <f t="shared" si="430"/>
        <v>18</v>
      </c>
      <c r="AO571" s="844">
        <f t="shared" ca="1" si="413"/>
        <v>157213.18447222339</v>
      </c>
      <c r="AP571" s="839">
        <f ca="1">CF658</f>
        <v>0</v>
      </c>
      <c r="AQ571" s="844">
        <f t="shared" si="414"/>
        <v>0</v>
      </c>
      <c r="AR571" s="839">
        <f t="shared" ca="1" si="431"/>
        <v>0</v>
      </c>
      <c r="AS571" s="839">
        <f t="shared" ca="1" si="426"/>
        <v>8737.8282878668251</v>
      </c>
      <c r="AT571" s="839">
        <f t="shared" ca="1" si="427"/>
        <v>13353.527213661924</v>
      </c>
      <c r="AU571" s="839">
        <f ca="1">'PV-Einspeisung'!AA163*-1</f>
        <v>0</v>
      </c>
      <c r="AV571" s="839">
        <f ca="1">'PV-Einspeisung'!AE163*-1</f>
        <v>0</v>
      </c>
      <c r="AW571" s="839"/>
      <c r="AX571" s="839">
        <f t="shared" ca="1" si="432"/>
        <v>0</v>
      </c>
      <c r="AY571" s="841">
        <f t="shared" si="415"/>
        <v>18</v>
      </c>
      <c r="AZ571" s="842">
        <f t="shared" ca="1" si="433"/>
        <v>0</v>
      </c>
      <c r="BA571" s="842">
        <f t="shared" ca="1" si="434"/>
        <v>0</v>
      </c>
      <c r="BB571" s="842">
        <f t="shared" ca="1" si="435"/>
        <v>0</v>
      </c>
      <c r="BC571" s="842">
        <f t="shared" ca="1" si="436"/>
        <v>0</v>
      </c>
      <c r="BD571" s="842">
        <f t="shared" ca="1" si="437"/>
        <v>0</v>
      </c>
      <c r="BE571" s="842">
        <f t="shared" ca="1" si="438"/>
        <v>0</v>
      </c>
      <c r="BF571" s="842">
        <f t="shared" ca="1" si="439"/>
        <v>9237.1661493355405</v>
      </c>
      <c r="BG571" s="842">
        <f t="shared" ca="1" si="440"/>
        <v>4116.3610643263828</v>
      </c>
      <c r="BH571" s="858">
        <f t="shared" si="423"/>
        <v>18</v>
      </c>
      <c r="BI571" s="857">
        <f t="shared" ca="1" si="441"/>
        <v>3924.576721443219</v>
      </c>
      <c r="BJ571" s="857">
        <f t="shared" ca="1" si="442"/>
        <v>4813.2515664236071</v>
      </c>
      <c r="BK571" s="859">
        <f ca="1">'PV-Einspeisung'!AB163*-1</f>
        <v>0</v>
      </c>
      <c r="BL571" s="824">
        <f t="shared" ca="1" si="400"/>
        <v>80</v>
      </c>
      <c r="BM571" s="824">
        <f t="shared" ca="1" si="401"/>
        <v>0</v>
      </c>
      <c r="BN571" s="824">
        <f t="shared" ca="1" si="402"/>
        <v>14448</v>
      </c>
      <c r="BO571" s="824">
        <f t="shared" ca="1" si="450"/>
        <v>0</v>
      </c>
      <c r="BP571" s="824">
        <f t="shared" ca="1" si="450"/>
        <v>0</v>
      </c>
      <c r="BQ571" s="824">
        <f t="shared" ca="1" si="450"/>
        <v>0</v>
      </c>
      <c r="BR571" s="824">
        <f t="shared" ca="1" si="450"/>
        <v>0</v>
      </c>
      <c r="BS571" s="824">
        <f t="shared" ca="1" si="450"/>
        <v>0</v>
      </c>
      <c r="BT571" s="824">
        <f t="shared" ca="1" si="450"/>
        <v>0</v>
      </c>
      <c r="BU571" s="824">
        <f t="shared" ca="1" si="450"/>
        <v>0</v>
      </c>
      <c r="BV571" s="824">
        <f t="shared" ca="1" si="450"/>
        <v>0</v>
      </c>
      <c r="BW571" s="824">
        <f t="shared" ca="1" si="450"/>
        <v>0</v>
      </c>
      <c r="BX571" s="824">
        <f t="shared" ca="1" si="450"/>
        <v>0</v>
      </c>
      <c r="BY571" s="824">
        <f t="shared" ca="1" si="450"/>
        <v>0</v>
      </c>
      <c r="BZ571" s="824">
        <f t="shared" ca="1" si="450"/>
        <v>0</v>
      </c>
      <c r="CA571" s="824">
        <f t="shared" ca="1" si="450"/>
        <v>0</v>
      </c>
      <c r="CB571" s="824">
        <f t="shared" ca="1" si="450"/>
        <v>0</v>
      </c>
      <c r="CC571" s="824">
        <f t="shared" ca="1" si="450"/>
        <v>0</v>
      </c>
      <c r="CD571" s="824">
        <f t="shared" ca="1" si="450"/>
        <v>0</v>
      </c>
      <c r="CE571" s="824">
        <f t="shared" ca="1" si="443"/>
        <v>0</v>
      </c>
      <c r="CF571" s="824">
        <f t="shared" ca="1" si="443"/>
        <v>0</v>
      </c>
      <c r="CG571" s="824">
        <f t="shared" ca="1" si="443"/>
        <v>0</v>
      </c>
      <c r="CH571" s="824">
        <f t="shared" ca="1" si="443"/>
        <v>0</v>
      </c>
      <c r="CI571" s="824">
        <f t="shared" ca="1" si="443"/>
        <v>0</v>
      </c>
      <c r="CJ571" s="824">
        <f t="shared" ca="1" si="443"/>
        <v>0</v>
      </c>
      <c r="CK571" s="824">
        <f t="shared" ca="1" si="443"/>
        <v>0</v>
      </c>
      <c r="CL571" s="824">
        <f t="shared" ca="1" si="443"/>
        <v>0</v>
      </c>
      <c r="CM571" s="824">
        <f t="shared" ca="1" si="443"/>
        <v>0</v>
      </c>
      <c r="CN571" s="824">
        <f t="shared" ca="1" si="443"/>
        <v>0</v>
      </c>
      <c r="CO571" s="824">
        <f t="shared" ca="1" si="443"/>
        <v>0</v>
      </c>
      <c r="CP571" s="824">
        <f t="shared" ca="1" si="443"/>
        <v>0</v>
      </c>
      <c r="CQ571" s="824">
        <f t="shared" ca="1" si="443"/>
        <v>0</v>
      </c>
      <c r="CR571" s="824">
        <f t="shared" ca="1" si="443"/>
        <v>0</v>
      </c>
      <c r="CS571" s="824">
        <f t="shared" ca="1" si="443"/>
        <v>0</v>
      </c>
      <c r="CT571" s="824">
        <f t="shared" ca="1" si="443"/>
        <v>0</v>
      </c>
      <c r="CU571" s="824">
        <f t="shared" ca="1" si="428"/>
        <v>0</v>
      </c>
      <c r="CV571" s="824">
        <f t="shared" ca="1" si="428"/>
        <v>0</v>
      </c>
      <c r="CW571" s="824">
        <f t="shared" ca="1" si="428"/>
        <v>0</v>
      </c>
      <c r="CX571" s="824">
        <f t="shared" ca="1" si="428"/>
        <v>0</v>
      </c>
      <c r="CY571" s="824">
        <f t="shared" ca="1" si="428"/>
        <v>0</v>
      </c>
      <c r="CZ571" s="824">
        <f t="shared" ca="1" si="428"/>
        <v>0</v>
      </c>
      <c r="DA571" s="824">
        <f t="shared" ca="1" si="429"/>
        <v>0</v>
      </c>
      <c r="DB571" s="824">
        <f t="shared" ca="1" si="429"/>
        <v>0</v>
      </c>
      <c r="DC571" s="824">
        <f t="shared" ca="1" si="429"/>
        <v>0</v>
      </c>
      <c r="DD571" s="824">
        <f t="shared" ca="1" si="429"/>
        <v>0</v>
      </c>
      <c r="DE571" s="824">
        <f t="shared" ca="1" si="429"/>
        <v>0</v>
      </c>
      <c r="DF571" s="824">
        <f t="shared" ca="1" si="429"/>
        <v>0</v>
      </c>
      <c r="DG571" s="824">
        <f t="shared" ca="1" si="429"/>
        <v>0</v>
      </c>
      <c r="DH571" s="824">
        <f t="shared" ca="1" si="429"/>
        <v>0</v>
      </c>
      <c r="DI571" s="824">
        <f t="shared" ca="1" si="429"/>
        <v>0</v>
      </c>
      <c r="DJ571" s="824">
        <f t="shared" ca="1" si="429"/>
        <v>0</v>
      </c>
      <c r="DK571" s="824">
        <f t="shared" ca="1" si="429"/>
        <v>0</v>
      </c>
      <c r="DL571" s="824">
        <f t="shared" ca="1" si="429"/>
        <v>0</v>
      </c>
    </row>
    <row r="572" spans="2:116" ht="12" thickBot="1" x14ac:dyDescent="0.3">
      <c r="B572" s="1673"/>
      <c r="C572" s="1680"/>
      <c r="D572" s="15" t="s">
        <v>129</v>
      </c>
      <c r="E572" s="165"/>
      <c r="F572" s="116">
        <f ca="1">SUBTOTAL(109,'3.3 I&amp;W'!$X$78)</f>
        <v>0</v>
      </c>
      <c r="G572" s="116">
        <f ca="1">SUBTOTAL(109,'3.3 I&amp;W'!$Y$78)</f>
        <v>0</v>
      </c>
      <c r="H572" s="116">
        <f ca="1">SUBTOTAL(109,'3.3 I&amp;W'!$AD$78)</f>
        <v>0</v>
      </c>
      <c r="I572" s="116">
        <f ca="1">SUBTOTAL(109,'3.3 I&amp;W'!$AE$78)</f>
        <v>0</v>
      </c>
      <c r="J572" s="116"/>
      <c r="K572" s="116"/>
      <c r="L572" s="116"/>
      <c r="M572" s="116">
        <f ca="1">SUBTOTAL(109,'3.3 I&amp;W'!$AI$78)</f>
        <v>100</v>
      </c>
      <c r="N572" s="156">
        <f t="shared" ca="1" si="404"/>
        <v>0</v>
      </c>
      <c r="O572" s="116">
        <f ca="1">SUBTOTAL(109,'3.3 I&amp;W'!$S$78)</f>
        <v>3055.2</v>
      </c>
      <c r="P572" s="30">
        <f t="shared" ca="1" si="445"/>
        <v>0</v>
      </c>
      <c r="Q572" s="31">
        <f t="shared" ca="1" si="446"/>
        <v>0</v>
      </c>
      <c r="R572" s="31">
        <f t="shared" ca="1" si="447"/>
        <v>0</v>
      </c>
      <c r="S572" s="31">
        <f t="shared" ca="1" si="448"/>
        <v>0</v>
      </c>
      <c r="T572" s="32">
        <f t="shared" ca="1" si="449"/>
        <v>0</v>
      </c>
      <c r="U572" s="37">
        <f t="shared" ca="1" si="405"/>
        <v>992.99483681796153</v>
      </c>
      <c r="V572" s="40">
        <f t="shared" ca="1" si="406"/>
        <v>0</v>
      </c>
      <c r="W572" s="41">
        <f t="shared" ca="1" si="399"/>
        <v>0</v>
      </c>
      <c r="X572" s="43"/>
      <c r="Y572" s="46"/>
      <c r="Z572" s="126"/>
      <c r="AA572" s="136"/>
      <c r="AB572" s="83">
        <v>19</v>
      </c>
      <c r="AC572" s="84">
        <f ca="1">IF(AF571&lt;=1,0,'3.3 Fi&amp;Fo'!$I$25)</f>
        <v>49369.168897197917</v>
      </c>
      <c r="AD572" s="72">
        <f ca="1">IF(AF571&lt;=1,0,AF571*'3.3 Fi&amp;Fo'!$H$25)</f>
        <v>14111.556730810853</v>
      </c>
      <c r="AE572" s="78">
        <f t="shared" ca="1" si="409"/>
        <v>35257.612166387065</v>
      </c>
      <c r="AF572" s="85">
        <f t="shared" ca="1" si="410"/>
        <v>670320.22437415563</v>
      </c>
      <c r="AG572" s="168">
        <f>IF(AJ571&lt;=1,0,IF(AB572&lt;='3.3 Fi&amp;Fo'!$F$34,'3.3 Fi&amp;Fo'!$J$34,IF(AB572&lt;='3.3 Fi&amp;Fo'!$F$35,'3.3 Fi&amp;Fo'!$J$35,IF(AB572&lt;='3.3 Fi&amp;Fo'!$F$36,'3.3 Fi&amp;Fo'!$J$36,IF(AB572&lt;='3.3 Fi&amp;Fo'!$F$37,'3.3 Fi&amp;Fo'!$J$37,IF(AB572&lt;='3.3 Fi&amp;Fo'!$F$38,'3.3 Fi&amp;Fo'!$J$38,IF(AB572&lt;='3.3 Fi&amp;Fo'!$F$39,'3.3 Fi&amp;Fo'!$J$39,IF(AB572&lt;='3.3 Fi&amp;Fo'!$F$40,'3.3 Fi&amp;Fo'!$J$40))))))))</f>
        <v>76628.892000000007</v>
      </c>
      <c r="AH572" s="207">
        <f>IF(AJ571&lt;=1,0,AJ571*IF(AB572&lt;='3.3 Fi&amp;Fo'!$F$34,'3.3 Fi&amp;Fo'!$I$34,IF(AB572&lt;='3.3 Fi&amp;Fo'!$F$35,'3.3 Fi&amp;Fo'!$I$35,IF(AB572&lt;='3.3 Fi&amp;Fo'!$F$38,'3.3 Fi&amp;Fo'!$I$38,IF(AB572&lt;='3.3 Fi&amp;Fo'!$F$39,'3.3 Fi&amp;Fo'!$I$39,IF(AB572&lt;='3.3 Fi&amp;Fo'!$F$40,'3.3 Fi&amp;Fo'!$I$40))))))</f>
        <v>108865.71326259253</v>
      </c>
      <c r="AI572" s="210">
        <f t="shared" si="411"/>
        <v>-32236.821262592523</v>
      </c>
      <c r="AJ572" s="209">
        <f t="shared" si="412"/>
        <v>2011613.4260370021</v>
      </c>
      <c r="AK572" s="312">
        <f t="shared" ca="1" si="424"/>
        <v>-157837.48694372398</v>
      </c>
      <c r="AL572" s="169">
        <f>IF(AB572&lt;='3.3 Fi&amp;Fo'!$J$15,'3.3 Fi&amp;Fo'!$I$15,0)</f>
        <v>0</v>
      </c>
      <c r="AM572" s="169">
        <f t="shared" si="425"/>
        <v>31839.42604652606</v>
      </c>
      <c r="AN572" s="838">
        <f t="shared" si="430"/>
        <v>19</v>
      </c>
      <c r="AO572" s="844">
        <f t="shared" ca="1" si="413"/>
        <v>157837.48694372398</v>
      </c>
      <c r="AP572" s="839">
        <f ca="1">CG658</f>
        <v>0</v>
      </c>
      <c r="AQ572" s="844">
        <f t="shared" si="414"/>
        <v>0</v>
      </c>
      <c r="AR572" s="839">
        <f t="shared" ca="1" si="431"/>
        <v>0</v>
      </c>
      <c r="AS572" s="839">
        <f t="shared" ca="1" si="426"/>
        <v>8877.633540472696</v>
      </c>
      <c r="AT572" s="839">
        <f t="shared" ca="1" si="427"/>
        <v>13728.529004646734</v>
      </c>
      <c r="AU572" s="839">
        <f ca="1">'PV-Einspeisung'!AA164*-1</f>
        <v>0</v>
      </c>
      <c r="AV572" s="839">
        <f ca="1">'PV-Einspeisung'!AE164*-1</f>
        <v>0</v>
      </c>
      <c r="AW572" s="839"/>
      <c r="AX572" s="839">
        <f t="shared" ca="1" si="432"/>
        <v>0</v>
      </c>
      <c r="AY572" s="841">
        <f t="shared" si="415"/>
        <v>19</v>
      </c>
      <c r="AZ572" s="842">
        <f t="shared" ca="1" si="433"/>
        <v>0</v>
      </c>
      <c r="BA572" s="842">
        <f t="shared" ca="1" si="434"/>
        <v>0</v>
      </c>
      <c r="BB572" s="842">
        <f t="shared" ca="1" si="435"/>
        <v>0</v>
      </c>
      <c r="BC572" s="842">
        <f t="shared" ca="1" si="436"/>
        <v>0</v>
      </c>
      <c r="BD572" s="842">
        <f t="shared" ca="1" si="437"/>
        <v>0</v>
      </c>
      <c r="BE572" s="842">
        <f t="shared" ca="1" si="438"/>
        <v>0</v>
      </c>
      <c r="BF572" s="842">
        <f t="shared" ca="1" si="439"/>
        <v>9468.0953030689288</v>
      </c>
      <c r="BG572" s="842">
        <f t="shared" ca="1" si="440"/>
        <v>4260.4337015778056</v>
      </c>
      <c r="BH572" s="858">
        <f t="shared" si="423"/>
        <v>19</v>
      </c>
      <c r="BI572" s="857">
        <f t="shared" ca="1" si="441"/>
        <v>3987.3699489863106</v>
      </c>
      <c r="BJ572" s="857">
        <f t="shared" ca="1" si="442"/>
        <v>4890.2635914863849</v>
      </c>
      <c r="BK572" s="859">
        <f ca="1">'PV-Einspeisung'!AB164*-1</f>
        <v>0</v>
      </c>
      <c r="BL572" s="824">
        <f t="shared" ca="1" si="400"/>
        <v>100</v>
      </c>
      <c r="BM572" s="824">
        <f t="shared" ca="1" si="401"/>
        <v>0</v>
      </c>
      <c r="BN572" s="824">
        <f t="shared" ca="1" si="402"/>
        <v>3055.2</v>
      </c>
      <c r="BO572" s="824">
        <f t="shared" ca="1" si="450"/>
        <v>0</v>
      </c>
      <c r="BP572" s="824">
        <f t="shared" ca="1" si="450"/>
        <v>0</v>
      </c>
      <c r="BQ572" s="824">
        <f t="shared" ca="1" si="450"/>
        <v>0</v>
      </c>
      <c r="BR572" s="824">
        <f t="shared" ca="1" si="450"/>
        <v>0</v>
      </c>
      <c r="BS572" s="824">
        <f t="shared" ca="1" si="450"/>
        <v>0</v>
      </c>
      <c r="BT572" s="824">
        <f t="shared" ca="1" si="450"/>
        <v>0</v>
      </c>
      <c r="BU572" s="824">
        <f t="shared" ca="1" si="450"/>
        <v>0</v>
      </c>
      <c r="BV572" s="824">
        <f t="shared" ca="1" si="450"/>
        <v>0</v>
      </c>
      <c r="BW572" s="824">
        <f t="shared" ca="1" si="450"/>
        <v>0</v>
      </c>
      <c r="BX572" s="824">
        <f t="shared" ca="1" si="450"/>
        <v>0</v>
      </c>
      <c r="BY572" s="824">
        <f t="shared" ca="1" si="450"/>
        <v>0</v>
      </c>
      <c r="BZ572" s="824">
        <f t="shared" ca="1" si="450"/>
        <v>0</v>
      </c>
      <c r="CA572" s="824">
        <f t="shared" ca="1" si="450"/>
        <v>0</v>
      </c>
      <c r="CB572" s="824">
        <f t="shared" ca="1" si="450"/>
        <v>0</v>
      </c>
      <c r="CC572" s="824">
        <f t="shared" ca="1" si="450"/>
        <v>0</v>
      </c>
      <c r="CD572" s="824">
        <f t="shared" ca="1" si="450"/>
        <v>0</v>
      </c>
      <c r="CE572" s="824">
        <f t="shared" ca="1" si="443"/>
        <v>0</v>
      </c>
      <c r="CF572" s="824">
        <f t="shared" ca="1" si="443"/>
        <v>0</v>
      </c>
      <c r="CG572" s="824">
        <f t="shared" ca="1" si="443"/>
        <v>0</v>
      </c>
      <c r="CH572" s="824">
        <f t="shared" ca="1" si="443"/>
        <v>0</v>
      </c>
      <c r="CI572" s="824">
        <f t="shared" ca="1" si="443"/>
        <v>0</v>
      </c>
      <c r="CJ572" s="824">
        <f t="shared" ca="1" si="443"/>
        <v>0</v>
      </c>
      <c r="CK572" s="824">
        <f t="shared" ca="1" si="443"/>
        <v>0</v>
      </c>
      <c r="CL572" s="824">
        <f t="shared" ca="1" si="443"/>
        <v>0</v>
      </c>
      <c r="CM572" s="824">
        <f t="shared" ca="1" si="443"/>
        <v>0</v>
      </c>
      <c r="CN572" s="824">
        <f t="shared" ca="1" si="443"/>
        <v>0</v>
      </c>
      <c r="CO572" s="824">
        <f t="shared" ca="1" si="443"/>
        <v>0</v>
      </c>
      <c r="CP572" s="824">
        <f t="shared" ca="1" si="443"/>
        <v>0</v>
      </c>
      <c r="CQ572" s="824">
        <f t="shared" ref="CQ572:DF600" ca="1" si="451">IF(OR(IF($BL572*1&lt;$BL$196,$BL572*1=CQ$198,FALSE),IF($BL572*2&lt;$BL$196,$BL572*2=CQ$198,FALSE),IF($BL572*3&lt;$BL$196,$BL572*3=CQ$198,FALSE),IF($BL572*4&lt;$BL$196,$BL572*4=CQ$198,FALSE),IF($BL572*5&lt;$BL$196,$BL572*5=CQ$198,FALSE)),$BN572*$BM$196^CQ$198,0)</f>
        <v>0</v>
      </c>
      <c r="CR572" s="824">
        <f t="shared" ca="1" si="451"/>
        <v>0</v>
      </c>
      <c r="CS572" s="824">
        <f t="shared" ca="1" si="451"/>
        <v>0</v>
      </c>
      <c r="CT572" s="824">
        <f t="shared" ca="1" si="451"/>
        <v>0</v>
      </c>
      <c r="CU572" s="824">
        <f t="shared" ca="1" si="428"/>
        <v>0</v>
      </c>
      <c r="CV572" s="824">
        <f t="shared" ca="1" si="428"/>
        <v>0</v>
      </c>
      <c r="CW572" s="824">
        <f t="shared" ca="1" si="428"/>
        <v>0</v>
      </c>
      <c r="CX572" s="824">
        <f t="shared" ca="1" si="428"/>
        <v>0</v>
      </c>
      <c r="CY572" s="824">
        <f t="shared" ca="1" si="428"/>
        <v>0</v>
      </c>
      <c r="CZ572" s="824">
        <f t="shared" ca="1" si="428"/>
        <v>0</v>
      </c>
      <c r="DA572" s="824">
        <f t="shared" ca="1" si="429"/>
        <v>0</v>
      </c>
      <c r="DB572" s="824">
        <f t="shared" ca="1" si="429"/>
        <v>0</v>
      </c>
      <c r="DC572" s="824">
        <f t="shared" ca="1" si="429"/>
        <v>0</v>
      </c>
      <c r="DD572" s="824">
        <f t="shared" ca="1" si="429"/>
        <v>0</v>
      </c>
      <c r="DE572" s="824">
        <f t="shared" ca="1" si="429"/>
        <v>0</v>
      </c>
      <c r="DF572" s="824">
        <f t="shared" ca="1" si="429"/>
        <v>0</v>
      </c>
      <c r="DG572" s="824">
        <f t="shared" ca="1" si="429"/>
        <v>0</v>
      </c>
      <c r="DH572" s="824">
        <f t="shared" ca="1" si="429"/>
        <v>0</v>
      </c>
      <c r="DI572" s="824">
        <f t="shared" ca="1" si="429"/>
        <v>0</v>
      </c>
      <c r="DJ572" s="824">
        <f t="shared" ca="1" si="429"/>
        <v>0</v>
      </c>
      <c r="DK572" s="824">
        <f t="shared" ca="1" si="429"/>
        <v>0</v>
      </c>
      <c r="DL572" s="824">
        <f t="shared" ca="1" si="429"/>
        <v>0</v>
      </c>
    </row>
    <row r="573" spans="2:116" ht="12" thickBot="1" x14ac:dyDescent="0.3">
      <c r="B573" s="1673"/>
      <c r="C573" s="1680"/>
      <c r="D573" s="15" t="s">
        <v>129</v>
      </c>
      <c r="E573" s="116"/>
      <c r="F573" s="116">
        <f ca="1">SUBTOTAL(109,'3.3 I&amp;W'!$X$79)</f>
        <v>0</v>
      </c>
      <c r="G573" s="116">
        <f ca="1">SUBTOTAL(109,'3.3 I&amp;W'!$Y$79)</f>
        <v>0</v>
      </c>
      <c r="H573" s="116">
        <f ca="1">SUBTOTAL(109,'3.3 I&amp;W'!$AD$79)</f>
        <v>0</v>
      </c>
      <c r="I573" s="116">
        <f ca="1">SUBTOTAL(109,'3.3 I&amp;W'!$AE$79)</f>
        <v>0</v>
      </c>
      <c r="J573" s="116"/>
      <c r="K573" s="116"/>
      <c r="L573" s="116"/>
      <c r="M573" s="116">
        <f ca="1">SUBTOTAL(109,'3.3 I&amp;W'!$AI$79)</f>
        <v>0</v>
      </c>
      <c r="N573" s="156">
        <f t="shared" ca="1" si="404"/>
        <v>0</v>
      </c>
      <c r="O573" s="116">
        <f ca="1">SUBTOTAL(109,'3.3 I&amp;W'!$S$79)</f>
        <v>0</v>
      </c>
      <c r="P573" s="30">
        <f t="shared" ca="1" si="445"/>
        <v>0</v>
      </c>
      <c r="Q573" s="31">
        <f t="shared" ca="1" si="446"/>
        <v>0</v>
      </c>
      <c r="R573" s="31">
        <f t="shared" ca="1" si="447"/>
        <v>0</v>
      </c>
      <c r="S573" s="31">
        <f t="shared" ca="1" si="448"/>
        <v>0</v>
      </c>
      <c r="T573" s="32">
        <f t="shared" ca="1" si="449"/>
        <v>0</v>
      </c>
      <c r="U573" s="37">
        <f t="shared" ca="1" si="405"/>
        <v>0</v>
      </c>
      <c r="V573" s="40">
        <f t="shared" ca="1" si="406"/>
        <v>0</v>
      </c>
      <c r="W573" s="41">
        <f t="shared" ca="1" si="399"/>
        <v>0</v>
      </c>
      <c r="X573" s="43"/>
      <c r="Y573" s="46"/>
      <c r="Z573" s="126"/>
      <c r="AA573" s="136"/>
      <c r="AB573" s="83">
        <v>20</v>
      </c>
      <c r="AC573" s="84">
        <f ca="1">IF(AF572&lt;=1,0,'3.3 Fi&amp;Fo'!$I$25)</f>
        <v>49369.168897197917</v>
      </c>
      <c r="AD573" s="72">
        <f ca="1">IF(AF572&lt;=1,0,AF572*'3.3 Fi&amp;Fo'!$H$25)</f>
        <v>13406.404487483112</v>
      </c>
      <c r="AE573" s="78">
        <f t="shared" ca="1" si="409"/>
        <v>35962.7644097148</v>
      </c>
      <c r="AF573" s="85">
        <f t="shared" ca="1" si="410"/>
        <v>634357.45996444079</v>
      </c>
      <c r="AG573" s="168">
        <f>IF(AJ572&lt;=1,0,IF(AB573&lt;='3.3 Fi&amp;Fo'!$F$34,'3.3 Fi&amp;Fo'!$J$34,IF(AB573&lt;='3.3 Fi&amp;Fo'!$F$35,'3.3 Fi&amp;Fo'!$J$35,IF(AB573&lt;='3.3 Fi&amp;Fo'!$F$36,'3.3 Fi&amp;Fo'!$J$36,IF(AB573&lt;='3.3 Fi&amp;Fo'!$F$37,'3.3 Fi&amp;Fo'!$J$37,IF(AB573&lt;='3.3 Fi&amp;Fo'!$F$38,'3.3 Fi&amp;Fo'!$J$38,IF(AB573&lt;='3.3 Fi&amp;Fo'!$F$39,'3.3 Fi&amp;Fo'!$J$39,IF(AB573&lt;='3.3 Fi&amp;Fo'!$F$40,'3.3 Fi&amp;Fo'!$J$40))))))))</f>
        <v>76628.892000000007</v>
      </c>
      <c r="AH573" s="207">
        <f>IF(AJ572&lt;=1,0,AJ572*IF(AB573&lt;='3.3 Fi&amp;Fo'!$F$34,'3.3 Fi&amp;Fo'!$I$34,IF(AB573&lt;='3.3 Fi&amp;Fo'!$F$35,'3.3 Fi&amp;Fo'!$I$35,IF(AB573&lt;='3.3 Fi&amp;Fo'!$F$38,'3.3 Fi&amp;Fo'!$I$38,IF(AB573&lt;='3.3 Fi&amp;Fo'!$F$39,'3.3 Fi&amp;Fo'!$I$39,IF(AB573&lt;='3.3 Fi&amp;Fo'!$F$40,'3.3 Fi&amp;Fo'!$I$40))))))</f>
        <v>110638.73843203511</v>
      </c>
      <c r="AI573" s="210">
        <f t="shared" si="411"/>
        <v>-34009.846432035105</v>
      </c>
      <c r="AJ573" s="209">
        <f t="shared" si="412"/>
        <v>2045623.2724690372</v>
      </c>
      <c r="AK573" s="312">
        <f t="shared" ca="1" si="424"/>
        <v>-158474.27546465502</v>
      </c>
      <c r="AL573" s="169">
        <f>IF(AB573&lt;='3.3 Fi&amp;Fo'!$J$15,'3.3 Fi&amp;Fo'!$I$15,0)</f>
        <v>0</v>
      </c>
      <c r="AM573" s="169">
        <f t="shared" si="425"/>
        <v>32476.214567457093</v>
      </c>
      <c r="AN573" s="838">
        <f t="shared" si="430"/>
        <v>20</v>
      </c>
      <c r="AO573" s="844">
        <f t="shared" ca="1" si="413"/>
        <v>158474.27546465502</v>
      </c>
      <c r="AP573" s="839">
        <f ca="1">CH658</f>
        <v>32983.937103226628</v>
      </c>
      <c r="AQ573" s="844">
        <f t="shared" si="414"/>
        <v>0</v>
      </c>
      <c r="AR573" s="839">
        <f t="shared" ca="1" si="431"/>
        <v>0</v>
      </c>
      <c r="AS573" s="839">
        <f t="shared" ca="1" si="426"/>
        <v>9019.6756771202599</v>
      </c>
      <c r="AT573" s="839">
        <f t="shared" ca="1" si="427"/>
        <v>14114.34656677868</v>
      </c>
      <c r="AU573" s="839">
        <f ca="1">'PV-Einspeisung'!AA165*-1</f>
        <v>0</v>
      </c>
      <c r="AV573" s="839">
        <f ca="1">'PV-Einspeisung'!AE165*-1</f>
        <v>0</v>
      </c>
      <c r="AW573" s="839"/>
      <c r="AX573" s="839">
        <f t="shared" ca="1" si="432"/>
        <v>0</v>
      </c>
      <c r="AY573" s="841">
        <f t="shared" si="415"/>
        <v>20</v>
      </c>
      <c r="AZ573" s="842">
        <f t="shared" ca="1" si="433"/>
        <v>0</v>
      </c>
      <c r="BA573" s="842">
        <f t="shared" ca="1" si="434"/>
        <v>0</v>
      </c>
      <c r="BB573" s="842">
        <f t="shared" ca="1" si="435"/>
        <v>0</v>
      </c>
      <c r="BC573" s="842">
        <f t="shared" ca="1" si="436"/>
        <v>0</v>
      </c>
      <c r="BD573" s="842">
        <f t="shared" ca="1" si="437"/>
        <v>0</v>
      </c>
      <c r="BE573" s="842">
        <f t="shared" ca="1" si="438"/>
        <v>0</v>
      </c>
      <c r="BF573" s="842">
        <f t="shared" ca="1" si="439"/>
        <v>9704.7976856456517</v>
      </c>
      <c r="BG573" s="842">
        <f t="shared" ca="1" si="440"/>
        <v>4409.5488811330288</v>
      </c>
      <c r="BH573" s="858">
        <f t="shared" si="423"/>
        <v>20</v>
      </c>
      <c r="BI573" s="857">
        <f t="shared" ca="1" si="441"/>
        <v>4051.1678681700919</v>
      </c>
      <c r="BJ573" s="857">
        <f t="shared" ca="1" si="442"/>
        <v>4968.5078089501676</v>
      </c>
      <c r="BK573" s="859">
        <f ca="1">'PV-Einspeisung'!AB165*-1</f>
        <v>0</v>
      </c>
      <c r="BL573" s="824">
        <f t="shared" ca="1" si="400"/>
        <v>0</v>
      </c>
      <c r="BM573" s="824">
        <f t="shared" ca="1" si="401"/>
        <v>0</v>
      </c>
      <c r="BN573" s="824">
        <f t="shared" ca="1" si="402"/>
        <v>0</v>
      </c>
      <c r="BO573" s="824">
        <f t="shared" ca="1" si="450"/>
        <v>0</v>
      </c>
      <c r="BP573" s="824">
        <f t="shared" ca="1" si="450"/>
        <v>0</v>
      </c>
      <c r="BQ573" s="824">
        <f t="shared" ca="1" si="450"/>
        <v>0</v>
      </c>
      <c r="BR573" s="824">
        <f t="shared" ca="1" si="450"/>
        <v>0</v>
      </c>
      <c r="BS573" s="824">
        <f t="shared" ca="1" si="450"/>
        <v>0</v>
      </c>
      <c r="BT573" s="824">
        <f t="shared" ca="1" si="450"/>
        <v>0</v>
      </c>
      <c r="BU573" s="824">
        <f t="shared" ca="1" si="450"/>
        <v>0</v>
      </c>
      <c r="BV573" s="824">
        <f t="shared" ca="1" si="450"/>
        <v>0</v>
      </c>
      <c r="BW573" s="824">
        <f t="shared" ca="1" si="450"/>
        <v>0</v>
      </c>
      <c r="BX573" s="824">
        <f t="shared" ca="1" si="450"/>
        <v>0</v>
      </c>
      <c r="BY573" s="824">
        <f t="shared" ca="1" si="450"/>
        <v>0</v>
      </c>
      <c r="BZ573" s="824">
        <f t="shared" ca="1" si="450"/>
        <v>0</v>
      </c>
      <c r="CA573" s="824">
        <f t="shared" ca="1" si="450"/>
        <v>0</v>
      </c>
      <c r="CB573" s="824">
        <f t="shared" ca="1" si="450"/>
        <v>0</v>
      </c>
      <c r="CC573" s="824">
        <f t="shared" ca="1" si="450"/>
        <v>0</v>
      </c>
      <c r="CD573" s="824">
        <f t="shared" ca="1" si="450"/>
        <v>0</v>
      </c>
      <c r="CE573" s="824">
        <f t="shared" ref="CE573:CS582" ca="1" si="452">IF(OR(IF($BL573*1&lt;$BL$196,$BL573*1=CE$198,FALSE),IF($BL573*2&lt;$BL$196,$BL573*2=CE$198,FALSE),IF($BL573*3&lt;$BL$196,$BL573*3=CE$198,FALSE),IF($BL573*4&lt;$BL$196,$BL573*4=CE$198,FALSE),IF($BL573*5&lt;$BL$196,$BL573*5=CE$198,FALSE)),$BN573*$BM$196^CE$198,0)</f>
        <v>0</v>
      </c>
      <c r="CF573" s="824">
        <f t="shared" ca="1" si="452"/>
        <v>0</v>
      </c>
      <c r="CG573" s="824">
        <f t="shared" ca="1" si="452"/>
        <v>0</v>
      </c>
      <c r="CH573" s="824">
        <f t="shared" ca="1" si="452"/>
        <v>0</v>
      </c>
      <c r="CI573" s="824">
        <f t="shared" ca="1" si="452"/>
        <v>0</v>
      </c>
      <c r="CJ573" s="824">
        <f t="shared" ca="1" si="452"/>
        <v>0</v>
      </c>
      <c r="CK573" s="824">
        <f t="shared" ca="1" si="452"/>
        <v>0</v>
      </c>
      <c r="CL573" s="824">
        <f t="shared" ca="1" si="452"/>
        <v>0</v>
      </c>
      <c r="CM573" s="824">
        <f t="shared" ca="1" si="452"/>
        <v>0</v>
      </c>
      <c r="CN573" s="824">
        <f t="shared" ca="1" si="452"/>
        <v>0</v>
      </c>
      <c r="CO573" s="824">
        <f t="shared" ca="1" si="452"/>
        <v>0</v>
      </c>
      <c r="CP573" s="824">
        <f t="shared" ca="1" si="452"/>
        <v>0</v>
      </c>
      <c r="CQ573" s="824">
        <f t="shared" ca="1" si="452"/>
        <v>0</v>
      </c>
      <c r="CR573" s="824">
        <f t="shared" ca="1" si="452"/>
        <v>0</v>
      </c>
      <c r="CS573" s="824">
        <f t="shared" ca="1" si="452"/>
        <v>0</v>
      </c>
      <c r="CT573" s="824">
        <f t="shared" ca="1" si="451"/>
        <v>0</v>
      </c>
      <c r="CU573" s="824">
        <f t="shared" ca="1" si="428"/>
        <v>0</v>
      </c>
      <c r="CV573" s="824">
        <f t="shared" ca="1" si="428"/>
        <v>0</v>
      </c>
      <c r="CW573" s="824">
        <f t="shared" ca="1" si="428"/>
        <v>0</v>
      </c>
      <c r="CX573" s="824">
        <f t="shared" ca="1" si="428"/>
        <v>0</v>
      </c>
      <c r="CY573" s="824">
        <f t="shared" ca="1" si="428"/>
        <v>0</v>
      </c>
      <c r="CZ573" s="824">
        <f t="shared" ca="1" si="428"/>
        <v>0</v>
      </c>
      <c r="DA573" s="824">
        <f t="shared" ca="1" si="429"/>
        <v>0</v>
      </c>
      <c r="DB573" s="824">
        <f t="shared" ca="1" si="429"/>
        <v>0</v>
      </c>
      <c r="DC573" s="824">
        <f t="shared" ca="1" si="429"/>
        <v>0</v>
      </c>
      <c r="DD573" s="824">
        <f t="shared" ca="1" si="429"/>
        <v>0</v>
      </c>
      <c r="DE573" s="824">
        <f t="shared" ca="1" si="429"/>
        <v>0</v>
      </c>
      <c r="DF573" s="824">
        <f t="shared" ca="1" si="429"/>
        <v>0</v>
      </c>
      <c r="DG573" s="824">
        <f t="shared" ca="1" si="429"/>
        <v>0</v>
      </c>
      <c r="DH573" s="824">
        <f t="shared" ca="1" si="429"/>
        <v>0</v>
      </c>
      <c r="DI573" s="824">
        <f t="shared" ca="1" si="429"/>
        <v>0</v>
      </c>
      <c r="DJ573" s="824">
        <f t="shared" ca="1" si="429"/>
        <v>0</v>
      </c>
      <c r="DK573" s="824">
        <f t="shared" ca="1" si="429"/>
        <v>0</v>
      </c>
      <c r="DL573" s="824">
        <f t="shared" ca="1" si="429"/>
        <v>0</v>
      </c>
    </row>
    <row r="574" spans="2:116" ht="12" thickBot="1" x14ac:dyDescent="0.3">
      <c r="B574" s="1673"/>
      <c r="C574" s="1680"/>
      <c r="D574" s="15" t="s">
        <v>129</v>
      </c>
      <c r="E574" s="165"/>
      <c r="F574" s="116">
        <f ca="1">SUBTOTAL(109,'3.3 I&amp;W'!$X$80)</f>
        <v>0</v>
      </c>
      <c r="G574" s="116">
        <f ca="1">SUBTOTAL(109,'3.3 I&amp;W'!$Y$80)</f>
        <v>0</v>
      </c>
      <c r="H574" s="116">
        <f ca="1">SUBTOTAL(109,'3.3 I&amp;W'!$AD$80)</f>
        <v>0</v>
      </c>
      <c r="I574" s="116">
        <f ca="1">SUBTOTAL(109,'3.3 I&amp;W'!$AE$80)</f>
        <v>0</v>
      </c>
      <c r="J574" s="116"/>
      <c r="K574" s="116"/>
      <c r="L574" s="116"/>
      <c r="M574" s="116">
        <f ca="1">SUBTOTAL(109,'3.3 I&amp;W'!$AI$80)</f>
        <v>0</v>
      </c>
      <c r="N574" s="156">
        <f t="shared" ca="1" si="404"/>
        <v>0</v>
      </c>
      <c r="O574" s="116">
        <f ca="1">SUBTOTAL(109,'3.3 I&amp;W'!$S$80)</f>
        <v>0</v>
      </c>
      <c r="P574" s="30">
        <f t="shared" ca="1" si="445"/>
        <v>0</v>
      </c>
      <c r="Q574" s="31">
        <f t="shared" ca="1" si="446"/>
        <v>0</v>
      </c>
      <c r="R574" s="31">
        <f t="shared" ca="1" si="447"/>
        <v>0</v>
      </c>
      <c r="S574" s="31">
        <f t="shared" ca="1" si="448"/>
        <v>0</v>
      </c>
      <c r="T574" s="32">
        <f t="shared" ca="1" si="449"/>
        <v>0</v>
      </c>
      <c r="U574" s="37">
        <f t="shared" ca="1" si="405"/>
        <v>0</v>
      </c>
      <c r="V574" s="40">
        <f t="shared" ca="1" si="406"/>
        <v>0</v>
      </c>
      <c r="W574" s="41">
        <f t="shared" ca="1" si="399"/>
        <v>0</v>
      </c>
      <c r="X574" s="43"/>
      <c r="Y574" s="46"/>
      <c r="Z574" s="126"/>
      <c r="AA574" s="136"/>
      <c r="AB574" s="83">
        <v>21</v>
      </c>
      <c r="AC574" s="84">
        <f ca="1">IF(AF573&lt;=1,0,'3.3 Fi&amp;Fo'!$I$25)</f>
        <v>49369.168897197917</v>
      </c>
      <c r="AD574" s="72">
        <f ca="1">IF(AF573&lt;=1,0,AF573*'3.3 Fi&amp;Fo'!$H$25)</f>
        <v>12687.149199288817</v>
      </c>
      <c r="AE574" s="78">
        <f t="shared" ca="1" si="409"/>
        <v>36682.019697909098</v>
      </c>
      <c r="AF574" s="85">
        <f t="shared" ca="1" si="410"/>
        <v>597675.44026653166</v>
      </c>
      <c r="AG574" s="168">
        <f>IF(AJ573&lt;=1,0,IF(AB574&lt;='3.3 Fi&amp;Fo'!$F$34,'3.3 Fi&amp;Fo'!$J$34,IF(AB574&lt;='3.3 Fi&amp;Fo'!$F$35,'3.3 Fi&amp;Fo'!$J$35,IF(AB574&lt;='3.3 Fi&amp;Fo'!$F$36,'3.3 Fi&amp;Fo'!$J$36,IF(AB574&lt;='3.3 Fi&amp;Fo'!$F$37,'3.3 Fi&amp;Fo'!$J$37,IF(AB574&lt;='3.3 Fi&amp;Fo'!$F$38,'3.3 Fi&amp;Fo'!$J$38,IF(AB574&lt;='3.3 Fi&amp;Fo'!$F$39,'3.3 Fi&amp;Fo'!$J$39,IF(AB574&lt;='3.3 Fi&amp;Fo'!$F$40,'3.3 Fi&amp;Fo'!$J$40))))))))</f>
        <v>93654.868000000002</v>
      </c>
      <c r="AH574" s="207">
        <f>IF(AJ573&lt;=1,0,AJ573*IF(AB574&lt;='3.3 Fi&amp;Fo'!$F$34,'3.3 Fi&amp;Fo'!$I$34,IF(AB574&lt;='3.3 Fi&amp;Fo'!$F$35,'3.3 Fi&amp;Fo'!$I$35,IF(AB574&lt;='3.3 Fi&amp;Fo'!$F$38,'3.3 Fi&amp;Fo'!$I$38,IF(AB574&lt;='3.3 Fi&amp;Fo'!$F$39,'3.3 Fi&amp;Fo'!$I$39,IF(AB574&lt;='3.3 Fi&amp;Fo'!$F$40,'3.3 Fi&amp;Fo'!$I$40))))))</f>
        <v>112509.27998579705</v>
      </c>
      <c r="AI574" s="210">
        <f t="shared" si="411"/>
        <v>-18854.411985797051</v>
      </c>
      <c r="AJ574" s="209">
        <f t="shared" si="412"/>
        <v>2064477.6844548343</v>
      </c>
      <c r="AK574" s="312">
        <f t="shared" ca="1" si="424"/>
        <v>-176149.77575600366</v>
      </c>
      <c r="AL574" s="169">
        <f>IF(AB574&lt;='3.3 Fi&amp;Fo'!$J$15,'3.3 Fi&amp;Fo'!$I$15,0)</f>
        <v>0</v>
      </c>
      <c r="AM574" s="169">
        <f t="shared" si="425"/>
        <v>33125.738858805737</v>
      </c>
      <c r="AN574" s="838">
        <f t="shared" si="430"/>
        <v>21</v>
      </c>
      <c r="AO574" s="844">
        <f t="shared" ca="1" si="413"/>
        <v>176149.77575600366</v>
      </c>
      <c r="AP574" s="839">
        <f ca="1">CI658</f>
        <v>0</v>
      </c>
      <c r="AQ574" s="844">
        <f t="shared" si="414"/>
        <v>0</v>
      </c>
      <c r="AR574" s="839">
        <f t="shared" ca="1" si="431"/>
        <v>0</v>
      </c>
      <c r="AS574" s="839">
        <f t="shared" ca="1" si="426"/>
        <v>9163.9904879541828</v>
      </c>
      <c r="AT574" s="839">
        <f t="shared" ca="1" si="427"/>
        <v>14511.300719759476</v>
      </c>
      <c r="AU574" s="839">
        <f ca="1">'PV-Einspeisung'!AA166*-1</f>
        <v>0</v>
      </c>
      <c r="AV574" s="839">
        <f ca="1">'PV-Einspeisung'!AE166*-1</f>
        <v>0</v>
      </c>
      <c r="AW574" s="839"/>
      <c r="AX574" s="839">
        <f t="shared" ca="1" si="432"/>
        <v>0</v>
      </c>
      <c r="AY574" s="841">
        <f t="shared" si="415"/>
        <v>21</v>
      </c>
      <c r="AZ574" s="842">
        <f t="shared" ca="1" si="433"/>
        <v>0</v>
      </c>
      <c r="BA574" s="842">
        <f t="shared" ca="1" si="434"/>
        <v>0</v>
      </c>
      <c r="BB574" s="842">
        <f t="shared" ca="1" si="435"/>
        <v>0</v>
      </c>
      <c r="BC574" s="842">
        <f t="shared" ca="1" si="436"/>
        <v>0</v>
      </c>
      <c r="BD574" s="842">
        <f t="shared" ca="1" si="437"/>
        <v>0</v>
      </c>
      <c r="BE574" s="842">
        <f t="shared" ca="1" si="438"/>
        <v>0</v>
      </c>
      <c r="BF574" s="842">
        <f t="shared" ca="1" si="439"/>
        <v>9947.4176277867919</v>
      </c>
      <c r="BG574" s="842">
        <f t="shared" ca="1" si="440"/>
        <v>4563.8830919726843</v>
      </c>
      <c r="BH574" s="858">
        <f t="shared" si="423"/>
        <v>21</v>
      </c>
      <c r="BI574" s="857">
        <f t="shared" ca="1" si="441"/>
        <v>4115.9865540608134</v>
      </c>
      <c r="BJ574" s="857">
        <f t="shared" ca="1" si="442"/>
        <v>5048.0039338933702</v>
      </c>
      <c r="BK574" s="859">
        <f ca="1">'PV-Einspeisung'!AB166*-1</f>
        <v>0</v>
      </c>
      <c r="BL574" s="824">
        <f t="shared" ca="1" si="400"/>
        <v>0</v>
      </c>
      <c r="BM574" s="824">
        <f t="shared" ca="1" si="401"/>
        <v>0</v>
      </c>
      <c r="BN574" s="824">
        <f t="shared" ca="1" si="402"/>
        <v>0</v>
      </c>
      <c r="BO574" s="824">
        <f t="shared" ca="1" si="450"/>
        <v>0</v>
      </c>
      <c r="BP574" s="824">
        <f t="shared" ca="1" si="450"/>
        <v>0</v>
      </c>
      <c r="BQ574" s="824">
        <f t="shared" ca="1" si="450"/>
        <v>0</v>
      </c>
      <c r="BR574" s="824">
        <f t="shared" ca="1" si="450"/>
        <v>0</v>
      </c>
      <c r="BS574" s="824">
        <f t="shared" ca="1" si="450"/>
        <v>0</v>
      </c>
      <c r="BT574" s="824">
        <f t="shared" ca="1" si="450"/>
        <v>0</v>
      </c>
      <c r="BU574" s="824">
        <f t="shared" ca="1" si="450"/>
        <v>0</v>
      </c>
      <c r="BV574" s="824">
        <f t="shared" ca="1" si="450"/>
        <v>0</v>
      </c>
      <c r="BW574" s="824">
        <f t="shared" ca="1" si="450"/>
        <v>0</v>
      </c>
      <c r="BX574" s="824">
        <f t="shared" ca="1" si="450"/>
        <v>0</v>
      </c>
      <c r="BY574" s="824">
        <f t="shared" ca="1" si="450"/>
        <v>0</v>
      </c>
      <c r="BZ574" s="824">
        <f t="shared" ca="1" si="450"/>
        <v>0</v>
      </c>
      <c r="CA574" s="824">
        <f t="shared" ca="1" si="450"/>
        <v>0</v>
      </c>
      <c r="CB574" s="824">
        <f t="shared" ca="1" si="450"/>
        <v>0</v>
      </c>
      <c r="CC574" s="824">
        <f t="shared" ca="1" si="450"/>
        <v>0</v>
      </c>
      <c r="CD574" s="824">
        <f t="shared" ca="1" si="450"/>
        <v>0</v>
      </c>
      <c r="CE574" s="824">
        <f t="shared" ca="1" si="452"/>
        <v>0</v>
      </c>
      <c r="CF574" s="824">
        <f t="shared" ca="1" si="452"/>
        <v>0</v>
      </c>
      <c r="CG574" s="824">
        <f t="shared" ca="1" si="452"/>
        <v>0</v>
      </c>
      <c r="CH574" s="824">
        <f t="shared" ca="1" si="452"/>
        <v>0</v>
      </c>
      <c r="CI574" s="824">
        <f t="shared" ca="1" si="452"/>
        <v>0</v>
      </c>
      <c r="CJ574" s="824">
        <f t="shared" ca="1" si="452"/>
        <v>0</v>
      </c>
      <c r="CK574" s="824">
        <f t="shared" ca="1" si="452"/>
        <v>0</v>
      </c>
      <c r="CL574" s="824">
        <f t="shared" ca="1" si="452"/>
        <v>0</v>
      </c>
      <c r="CM574" s="824">
        <f t="shared" ca="1" si="452"/>
        <v>0</v>
      </c>
      <c r="CN574" s="824">
        <f t="shared" ca="1" si="452"/>
        <v>0</v>
      </c>
      <c r="CO574" s="824">
        <f t="shared" ca="1" si="452"/>
        <v>0</v>
      </c>
      <c r="CP574" s="824">
        <f t="shared" ca="1" si="452"/>
        <v>0</v>
      </c>
      <c r="CQ574" s="824">
        <f t="shared" ca="1" si="452"/>
        <v>0</v>
      </c>
      <c r="CR574" s="824">
        <f t="shared" ca="1" si="452"/>
        <v>0</v>
      </c>
      <c r="CS574" s="824">
        <f t="shared" ca="1" si="452"/>
        <v>0</v>
      </c>
      <c r="CT574" s="824">
        <f t="shared" ca="1" si="451"/>
        <v>0</v>
      </c>
      <c r="CU574" s="824">
        <f t="shared" ca="1" si="428"/>
        <v>0</v>
      </c>
      <c r="CV574" s="824">
        <f t="shared" ca="1" si="428"/>
        <v>0</v>
      </c>
      <c r="CW574" s="824">
        <f t="shared" ca="1" si="428"/>
        <v>0</v>
      </c>
      <c r="CX574" s="824">
        <f t="shared" ca="1" si="428"/>
        <v>0</v>
      </c>
      <c r="CY574" s="824">
        <f t="shared" ca="1" si="428"/>
        <v>0</v>
      </c>
      <c r="CZ574" s="824">
        <f t="shared" ca="1" si="428"/>
        <v>0</v>
      </c>
      <c r="DA574" s="824">
        <f t="shared" ca="1" si="429"/>
        <v>0</v>
      </c>
      <c r="DB574" s="824">
        <f t="shared" ca="1" si="429"/>
        <v>0</v>
      </c>
      <c r="DC574" s="824">
        <f t="shared" ca="1" si="429"/>
        <v>0</v>
      </c>
      <c r="DD574" s="824">
        <f t="shared" ca="1" si="429"/>
        <v>0</v>
      </c>
      <c r="DE574" s="824">
        <f t="shared" ca="1" si="429"/>
        <v>0</v>
      </c>
      <c r="DF574" s="824">
        <f t="shared" ca="1" si="429"/>
        <v>0</v>
      </c>
      <c r="DG574" s="824">
        <f t="shared" ca="1" si="429"/>
        <v>0</v>
      </c>
      <c r="DH574" s="824">
        <f t="shared" ca="1" si="429"/>
        <v>0</v>
      </c>
      <c r="DI574" s="824">
        <f t="shared" ca="1" si="429"/>
        <v>0</v>
      </c>
      <c r="DJ574" s="824">
        <f t="shared" ca="1" si="429"/>
        <v>0</v>
      </c>
      <c r="DK574" s="824">
        <f t="shared" ca="1" si="429"/>
        <v>0</v>
      </c>
      <c r="DL574" s="824">
        <f t="shared" ca="1" si="429"/>
        <v>0</v>
      </c>
    </row>
    <row r="575" spans="2:116" ht="12" thickBot="1" x14ac:dyDescent="0.3">
      <c r="B575" s="1673"/>
      <c r="C575" s="1680"/>
      <c r="D575" s="15" t="s">
        <v>129</v>
      </c>
      <c r="E575" s="116"/>
      <c r="F575" s="116">
        <f ca="1">SUBTOTAL(109,'3.3 I&amp;W'!$X$81)</f>
        <v>0</v>
      </c>
      <c r="G575" s="116">
        <f ca="1">SUBTOTAL(109,'3.3 I&amp;W'!$Y$81)</f>
        <v>0</v>
      </c>
      <c r="H575" s="116">
        <f ca="1">SUBTOTAL(109,'3.3 I&amp;W'!$AD$81)</f>
        <v>0</v>
      </c>
      <c r="I575" s="116">
        <f ca="1">SUBTOTAL(109,'3.3 I&amp;W'!$AE$81)</f>
        <v>0</v>
      </c>
      <c r="J575" s="116"/>
      <c r="K575" s="116"/>
      <c r="L575" s="116"/>
      <c r="M575" s="116">
        <f ca="1">SUBTOTAL(109,'3.3 I&amp;W'!$AI$81)</f>
        <v>0</v>
      </c>
      <c r="N575" s="156">
        <f t="shared" ca="1" si="404"/>
        <v>0</v>
      </c>
      <c r="O575" s="116">
        <f ca="1">SUBTOTAL(109,'3.3 I&amp;W'!$S$81)</f>
        <v>0</v>
      </c>
      <c r="P575" s="30">
        <f t="shared" ca="1" si="445"/>
        <v>0</v>
      </c>
      <c r="Q575" s="31">
        <f t="shared" ca="1" si="446"/>
        <v>0</v>
      </c>
      <c r="R575" s="31">
        <f t="shared" ca="1" si="447"/>
        <v>0</v>
      </c>
      <c r="S575" s="31">
        <f t="shared" ca="1" si="448"/>
        <v>0</v>
      </c>
      <c r="T575" s="32">
        <f t="shared" ca="1" si="449"/>
        <v>0</v>
      </c>
      <c r="U575" s="37">
        <f t="shared" ca="1" si="405"/>
        <v>0</v>
      </c>
      <c r="V575" s="40">
        <f t="shared" ca="1" si="406"/>
        <v>0</v>
      </c>
      <c r="W575" s="41">
        <f t="shared" ca="1" si="399"/>
        <v>0</v>
      </c>
      <c r="X575" s="43"/>
      <c r="Y575" s="46"/>
      <c r="Z575" s="126"/>
      <c r="AA575" s="136"/>
      <c r="AB575" s="83">
        <v>22</v>
      </c>
      <c r="AC575" s="84">
        <f ca="1">IF(AF574&lt;=1,0,'3.3 Fi&amp;Fo'!$I$25)</f>
        <v>49369.168897197917</v>
      </c>
      <c r="AD575" s="72">
        <f ca="1">IF(AF574&lt;=1,0,AF574*'3.3 Fi&amp;Fo'!$H$25)</f>
        <v>11953.508805330634</v>
      </c>
      <c r="AE575" s="78">
        <f t="shared" ca="1" si="409"/>
        <v>37415.660091867285</v>
      </c>
      <c r="AF575" s="85">
        <f t="shared" ca="1" si="410"/>
        <v>560259.78017466434</v>
      </c>
      <c r="AG575" s="168">
        <f>IF(AJ574&lt;=1,0,IF(AB575&lt;='3.3 Fi&amp;Fo'!$F$34,'3.3 Fi&amp;Fo'!$J$34,IF(AB575&lt;='3.3 Fi&amp;Fo'!$F$35,'3.3 Fi&amp;Fo'!$J$35,IF(AB575&lt;='3.3 Fi&amp;Fo'!$F$36,'3.3 Fi&amp;Fo'!$J$36,IF(AB575&lt;='3.3 Fi&amp;Fo'!$F$37,'3.3 Fi&amp;Fo'!$J$37,IF(AB575&lt;='3.3 Fi&amp;Fo'!$F$38,'3.3 Fi&amp;Fo'!$J$38,IF(AB575&lt;='3.3 Fi&amp;Fo'!$F$39,'3.3 Fi&amp;Fo'!$J$39,IF(AB575&lt;='3.3 Fi&amp;Fo'!$F$40,'3.3 Fi&amp;Fo'!$J$40))))))))</f>
        <v>93654.868000000002</v>
      </c>
      <c r="AH575" s="207">
        <f>IF(AJ574&lt;=1,0,AJ574*IF(AB575&lt;='3.3 Fi&amp;Fo'!$F$34,'3.3 Fi&amp;Fo'!$I$34,IF(AB575&lt;='3.3 Fi&amp;Fo'!$F$35,'3.3 Fi&amp;Fo'!$I$35,IF(AB575&lt;='3.3 Fi&amp;Fo'!$F$38,'3.3 Fi&amp;Fo'!$I$38,IF(AB575&lt;='3.3 Fi&amp;Fo'!$F$39,'3.3 Fi&amp;Fo'!$I$39,IF(AB575&lt;='3.3 Fi&amp;Fo'!$F$40,'3.3 Fi&amp;Fo'!$I$40))))))</f>
        <v>113546.2726450159</v>
      </c>
      <c r="AI575" s="210">
        <f t="shared" si="411"/>
        <v>-19891.404645015893</v>
      </c>
      <c r="AJ575" s="209">
        <f t="shared" si="412"/>
        <v>2084369.0890998503</v>
      </c>
      <c r="AK575" s="312">
        <f t="shared" ca="1" si="424"/>
        <v>-176812.29053317997</v>
      </c>
      <c r="AL575" s="169">
        <f>IF(AB575&lt;='3.3 Fi&amp;Fo'!$J$15,'3.3 Fi&amp;Fo'!$I$15,0)</f>
        <v>0</v>
      </c>
      <c r="AM575" s="169">
        <f t="shared" si="425"/>
        <v>33788.253635982051</v>
      </c>
      <c r="AN575" s="838">
        <f t="shared" si="430"/>
        <v>22</v>
      </c>
      <c r="AO575" s="844">
        <f t="shared" ca="1" si="413"/>
        <v>176812.29053317997</v>
      </c>
      <c r="AP575" s="839">
        <f ca="1">CJ658</f>
        <v>0</v>
      </c>
      <c r="AQ575" s="844">
        <f t="shared" si="414"/>
        <v>0</v>
      </c>
      <c r="AR575" s="839">
        <f t="shared" ca="1" si="431"/>
        <v>0</v>
      </c>
      <c r="AS575" s="839">
        <f t="shared" ca="1" si="426"/>
        <v>9310.614335761451</v>
      </c>
      <c r="AT575" s="839">
        <f t="shared" ca="1" si="427"/>
        <v>14919.722068673189</v>
      </c>
      <c r="AU575" s="839">
        <f ca="1">'PV-Einspeisung'!AA167*-1</f>
        <v>0</v>
      </c>
      <c r="AV575" s="839">
        <f ca="1">'PV-Einspeisung'!AE167*-1</f>
        <v>0</v>
      </c>
      <c r="AW575" s="839"/>
      <c r="AX575" s="839">
        <f t="shared" ca="1" si="432"/>
        <v>0</v>
      </c>
      <c r="AY575" s="841">
        <f t="shared" si="415"/>
        <v>22</v>
      </c>
      <c r="AZ575" s="842">
        <f t="shared" ca="1" si="433"/>
        <v>0</v>
      </c>
      <c r="BA575" s="842">
        <f t="shared" ca="1" si="434"/>
        <v>0</v>
      </c>
      <c r="BB575" s="842">
        <f t="shared" ca="1" si="435"/>
        <v>0</v>
      </c>
      <c r="BC575" s="842">
        <f t="shared" ca="1" si="436"/>
        <v>0</v>
      </c>
      <c r="BD575" s="842">
        <f t="shared" ca="1" si="437"/>
        <v>0</v>
      </c>
      <c r="BE575" s="842">
        <f t="shared" ca="1" si="438"/>
        <v>0</v>
      </c>
      <c r="BF575" s="842">
        <f t="shared" ca="1" si="439"/>
        <v>10196.103068481461</v>
      </c>
      <c r="BG575" s="842">
        <f t="shared" ca="1" si="440"/>
        <v>4723.6190001917275</v>
      </c>
      <c r="BH575" s="858">
        <f t="shared" si="423"/>
        <v>22</v>
      </c>
      <c r="BI575" s="857">
        <f t="shared" ca="1" si="441"/>
        <v>4181.8423389257869</v>
      </c>
      <c r="BJ575" s="857">
        <f t="shared" ca="1" si="442"/>
        <v>5128.7719968356641</v>
      </c>
      <c r="BK575" s="859">
        <f ca="1">'PV-Einspeisung'!AB167*-1</f>
        <v>0</v>
      </c>
      <c r="BL575" s="824">
        <f t="shared" ca="1" si="400"/>
        <v>0</v>
      </c>
      <c r="BM575" s="824">
        <f t="shared" ca="1" si="401"/>
        <v>0</v>
      </c>
      <c r="BN575" s="824">
        <f t="shared" ca="1" si="402"/>
        <v>0</v>
      </c>
      <c r="BO575" s="824">
        <f t="shared" ca="1" si="450"/>
        <v>0</v>
      </c>
      <c r="BP575" s="824">
        <f t="shared" ca="1" si="450"/>
        <v>0</v>
      </c>
      <c r="BQ575" s="824">
        <f t="shared" ca="1" si="450"/>
        <v>0</v>
      </c>
      <c r="BR575" s="824">
        <f t="shared" ca="1" si="450"/>
        <v>0</v>
      </c>
      <c r="BS575" s="824">
        <f t="shared" ca="1" si="450"/>
        <v>0</v>
      </c>
      <c r="BT575" s="824">
        <f t="shared" ca="1" si="450"/>
        <v>0</v>
      </c>
      <c r="BU575" s="824">
        <f t="shared" ca="1" si="450"/>
        <v>0</v>
      </c>
      <c r="BV575" s="824">
        <f t="shared" ca="1" si="450"/>
        <v>0</v>
      </c>
      <c r="BW575" s="824">
        <f t="shared" ca="1" si="450"/>
        <v>0</v>
      </c>
      <c r="BX575" s="824">
        <f t="shared" ca="1" si="450"/>
        <v>0</v>
      </c>
      <c r="BY575" s="824">
        <f t="shared" ca="1" si="450"/>
        <v>0</v>
      </c>
      <c r="BZ575" s="824">
        <f t="shared" ca="1" si="450"/>
        <v>0</v>
      </c>
      <c r="CA575" s="824">
        <f t="shared" ca="1" si="450"/>
        <v>0</v>
      </c>
      <c r="CB575" s="824">
        <f t="shared" ca="1" si="450"/>
        <v>0</v>
      </c>
      <c r="CC575" s="824">
        <f t="shared" ca="1" si="450"/>
        <v>0</v>
      </c>
      <c r="CD575" s="824">
        <f t="shared" ca="1" si="450"/>
        <v>0</v>
      </c>
      <c r="CE575" s="824">
        <f t="shared" ca="1" si="452"/>
        <v>0</v>
      </c>
      <c r="CF575" s="824">
        <f t="shared" ca="1" si="452"/>
        <v>0</v>
      </c>
      <c r="CG575" s="824">
        <f t="shared" ca="1" si="452"/>
        <v>0</v>
      </c>
      <c r="CH575" s="824">
        <f t="shared" ca="1" si="452"/>
        <v>0</v>
      </c>
      <c r="CI575" s="824">
        <f t="shared" ca="1" si="452"/>
        <v>0</v>
      </c>
      <c r="CJ575" s="824">
        <f t="shared" ca="1" si="452"/>
        <v>0</v>
      </c>
      <c r="CK575" s="824">
        <f t="shared" ca="1" si="452"/>
        <v>0</v>
      </c>
      <c r="CL575" s="824">
        <f t="shared" ca="1" si="452"/>
        <v>0</v>
      </c>
      <c r="CM575" s="824">
        <f t="shared" ca="1" si="452"/>
        <v>0</v>
      </c>
      <c r="CN575" s="824">
        <f t="shared" ca="1" si="452"/>
        <v>0</v>
      </c>
      <c r="CO575" s="824">
        <f t="shared" ca="1" si="452"/>
        <v>0</v>
      </c>
      <c r="CP575" s="824">
        <f t="shared" ca="1" si="452"/>
        <v>0</v>
      </c>
      <c r="CQ575" s="824">
        <f t="shared" ca="1" si="452"/>
        <v>0</v>
      </c>
      <c r="CR575" s="824">
        <f t="shared" ca="1" si="452"/>
        <v>0</v>
      </c>
      <c r="CS575" s="824">
        <f t="shared" ca="1" si="452"/>
        <v>0</v>
      </c>
      <c r="CT575" s="824">
        <f t="shared" ca="1" si="451"/>
        <v>0</v>
      </c>
      <c r="CU575" s="824">
        <f t="shared" ca="1" si="428"/>
        <v>0</v>
      </c>
      <c r="CV575" s="824">
        <f t="shared" ca="1" si="428"/>
        <v>0</v>
      </c>
      <c r="CW575" s="824">
        <f t="shared" ca="1" si="428"/>
        <v>0</v>
      </c>
      <c r="CX575" s="824">
        <f t="shared" ca="1" si="428"/>
        <v>0</v>
      </c>
      <c r="CY575" s="824">
        <f t="shared" ca="1" si="428"/>
        <v>0</v>
      </c>
      <c r="CZ575" s="824">
        <f t="shared" ca="1" si="428"/>
        <v>0</v>
      </c>
      <c r="DA575" s="824">
        <f t="shared" ca="1" si="429"/>
        <v>0</v>
      </c>
      <c r="DB575" s="824">
        <f t="shared" ca="1" si="429"/>
        <v>0</v>
      </c>
      <c r="DC575" s="824">
        <f t="shared" ca="1" si="429"/>
        <v>0</v>
      </c>
      <c r="DD575" s="824">
        <f t="shared" ca="1" si="429"/>
        <v>0</v>
      </c>
      <c r="DE575" s="824">
        <f t="shared" ca="1" si="429"/>
        <v>0</v>
      </c>
      <c r="DF575" s="824">
        <f t="shared" ca="1" si="429"/>
        <v>0</v>
      </c>
      <c r="DG575" s="824">
        <f t="shared" ca="1" si="429"/>
        <v>0</v>
      </c>
      <c r="DH575" s="824">
        <f t="shared" ca="1" si="429"/>
        <v>0</v>
      </c>
      <c r="DI575" s="824">
        <f t="shared" ca="1" si="429"/>
        <v>0</v>
      </c>
      <c r="DJ575" s="824">
        <f t="shared" ca="1" si="429"/>
        <v>0</v>
      </c>
      <c r="DK575" s="824">
        <f t="shared" ca="1" si="429"/>
        <v>0</v>
      </c>
      <c r="DL575" s="824">
        <f t="shared" ca="1" si="429"/>
        <v>0</v>
      </c>
    </row>
    <row r="576" spans="2:116" ht="12" thickBot="1" x14ac:dyDescent="0.3">
      <c r="B576" s="1673"/>
      <c r="C576" s="1680"/>
      <c r="D576" s="15" t="s">
        <v>130</v>
      </c>
      <c r="E576" s="165"/>
      <c r="F576" s="116">
        <f ca="1">SUBTOTAL(109,'3.3 I&amp;W'!$X$84)</f>
        <v>0</v>
      </c>
      <c r="G576" s="116">
        <f ca="1">SUBTOTAL(109,'3.3 I&amp;W'!$Y$84)</f>
        <v>0</v>
      </c>
      <c r="H576" s="116">
        <f ca="1">SUBTOTAL(109,'3.3 I&amp;W'!$AD$84)</f>
        <v>0</v>
      </c>
      <c r="I576" s="116">
        <f ca="1">SUBTOTAL(109,'3.3 I&amp;W'!$AE$84)</f>
        <v>0</v>
      </c>
      <c r="J576" s="116"/>
      <c r="K576" s="116"/>
      <c r="L576" s="116"/>
      <c r="M576" s="116">
        <f ca="1">SUBTOTAL(109,'3.3 I&amp;W'!$AI$84)</f>
        <v>15</v>
      </c>
      <c r="N576" s="156">
        <f t="shared" ca="1" si="404"/>
        <v>2</v>
      </c>
      <c r="O576" s="116">
        <f ca="1">SUBTOTAL(109,'3.3 I&amp;W'!$S$84)</f>
        <v>15085.44</v>
      </c>
      <c r="P576" s="30">
        <f t="shared" ca="1" si="445"/>
        <v>14222.011472518068</v>
      </c>
      <c r="Q576" s="31">
        <f t="shared" ca="1" si="446"/>
        <v>13408.00204199781</v>
      </c>
      <c r="R576" s="31">
        <f t="shared" ca="1" si="447"/>
        <v>0</v>
      </c>
      <c r="S576" s="31">
        <f t="shared" ca="1" si="448"/>
        <v>0</v>
      </c>
      <c r="T576" s="32">
        <f t="shared" ca="1" si="449"/>
        <v>0</v>
      </c>
      <c r="U576" s="37">
        <f t="shared" ca="1" si="405"/>
        <v>8096.0270317998957</v>
      </c>
      <c r="V576" s="40">
        <f t="shared" ca="1" si="406"/>
        <v>0</v>
      </c>
      <c r="W576" s="41">
        <f t="shared" ca="1" si="399"/>
        <v>0</v>
      </c>
      <c r="X576" s="43"/>
      <c r="Y576" s="46"/>
      <c r="Z576" s="126"/>
      <c r="AA576" s="136"/>
      <c r="AB576" s="83">
        <v>23</v>
      </c>
      <c r="AC576" s="84">
        <f ca="1">IF(AF575&lt;=1,0,'3.3 Fi&amp;Fo'!$I$25)</f>
        <v>49369.168897197917</v>
      </c>
      <c r="AD576" s="72">
        <f ca="1">IF(AF575&lt;=1,0,AF575*'3.3 Fi&amp;Fo'!$H$25)</f>
        <v>11205.195603493286</v>
      </c>
      <c r="AE576" s="78">
        <f t="shared" ca="1" si="409"/>
        <v>38163.973293704628</v>
      </c>
      <c r="AF576" s="85">
        <f t="shared" ca="1" si="410"/>
        <v>522095.80688095972</v>
      </c>
      <c r="AG576" s="168">
        <f>IF(AJ575&lt;=1,0,IF(AB576&lt;='3.3 Fi&amp;Fo'!$F$34,'3.3 Fi&amp;Fo'!$J$34,IF(AB576&lt;='3.3 Fi&amp;Fo'!$F$35,'3.3 Fi&amp;Fo'!$J$35,IF(AB576&lt;='3.3 Fi&amp;Fo'!$F$36,'3.3 Fi&amp;Fo'!$J$36,IF(AB576&lt;='3.3 Fi&amp;Fo'!$F$37,'3.3 Fi&amp;Fo'!$J$37,IF(AB576&lt;='3.3 Fi&amp;Fo'!$F$38,'3.3 Fi&amp;Fo'!$J$38,IF(AB576&lt;='3.3 Fi&amp;Fo'!$F$39,'3.3 Fi&amp;Fo'!$J$39,IF(AB576&lt;='3.3 Fi&amp;Fo'!$F$40,'3.3 Fi&amp;Fo'!$J$40))))))))</f>
        <v>93654.868000000002</v>
      </c>
      <c r="AH576" s="207">
        <f>IF(AJ575&lt;=1,0,AJ575*IF(AB576&lt;='3.3 Fi&amp;Fo'!$F$34,'3.3 Fi&amp;Fo'!$I$34,IF(AB576&lt;='3.3 Fi&amp;Fo'!$F$35,'3.3 Fi&amp;Fo'!$I$35,IF(AB576&lt;='3.3 Fi&amp;Fo'!$F$38,'3.3 Fi&amp;Fo'!$I$38,IF(AB576&lt;='3.3 Fi&amp;Fo'!$F$39,'3.3 Fi&amp;Fo'!$I$39,IF(AB576&lt;='3.3 Fi&amp;Fo'!$F$40,'3.3 Fi&amp;Fo'!$I$40))))))</f>
        <v>114640.29990049177</v>
      </c>
      <c r="AI576" s="210">
        <f t="shared" si="411"/>
        <v>-20985.431900491763</v>
      </c>
      <c r="AJ576" s="209">
        <f t="shared" si="412"/>
        <v>2105354.521000342</v>
      </c>
      <c r="AK576" s="312">
        <f t="shared" ca="1" si="424"/>
        <v>-177488.0556058994</v>
      </c>
      <c r="AL576" s="169">
        <f>IF(AB576&lt;='3.3 Fi&amp;Fo'!$J$15,'3.3 Fi&amp;Fo'!$I$15,0)</f>
        <v>0</v>
      </c>
      <c r="AM576" s="169">
        <f t="shared" si="425"/>
        <v>34464.018708701478</v>
      </c>
      <c r="AN576" s="838">
        <f t="shared" si="430"/>
        <v>23</v>
      </c>
      <c r="AO576" s="844">
        <f t="shared" ca="1" si="413"/>
        <v>177488.0556058994</v>
      </c>
      <c r="AP576" s="839">
        <f ca="1">CK658</f>
        <v>0</v>
      </c>
      <c r="AQ576" s="844">
        <f t="shared" si="414"/>
        <v>0</v>
      </c>
      <c r="AR576" s="839">
        <f t="shared" ca="1" si="431"/>
        <v>0</v>
      </c>
      <c r="AS576" s="839">
        <f t="shared" ca="1" si="426"/>
        <v>9459.5841651336341</v>
      </c>
      <c r="AT576" s="839">
        <f t="shared" ca="1" si="427"/>
        <v>15339.951310391934</v>
      </c>
      <c r="AU576" s="839">
        <f ca="1">'PV-Einspeisung'!AA168*-1</f>
        <v>0</v>
      </c>
      <c r="AV576" s="839">
        <f ca="1">'PV-Einspeisung'!AE168*-1</f>
        <v>0</v>
      </c>
      <c r="AW576" s="839"/>
      <c r="AX576" s="839">
        <f t="shared" ca="1" si="432"/>
        <v>0</v>
      </c>
      <c r="AY576" s="841">
        <f t="shared" si="415"/>
        <v>23</v>
      </c>
      <c r="AZ576" s="842">
        <f t="shared" ca="1" si="433"/>
        <v>0</v>
      </c>
      <c r="BA576" s="842">
        <f t="shared" ca="1" si="434"/>
        <v>0</v>
      </c>
      <c r="BB576" s="842">
        <f t="shared" ca="1" si="435"/>
        <v>0</v>
      </c>
      <c r="BC576" s="842">
        <f t="shared" ca="1" si="436"/>
        <v>0</v>
      </c>
      <c r="BD576" s="842">
        <f t="shared" ca="1" si="437"/>
        <v>0</v>
      </c>
      <c r="BE576" s="842">
        <f t="shared" ca="1" si="438"/>
        <v>0</v>
      </c>
      <c r="BF576" s="842">
        <f t="shared" ca="1" si="439"/>
        <v>10451.005645193498</v>
      </c>
      <c r="BG576" s="842">
        <f t="shared" ca="1" si="440"/>
        <v>4888.9456651984374</v>
      </c>
      <c r="BH576" s="858">
        <f t="shared" si="423"/>
        <v>23</v>
      </c>
      <c r="BI576" s="857">
        <f t="shared" ca="1" si="441"/>
        <v>4248.7518163485993</v>
      </c>
      <c r="BJ576" s="857">
        <f t="shared" ca="1" si="442"/>
        <v>5210.8323487850348</v>
      </c>
      <c r="BK576" s="859">
        <f ca="1">'PV-Einspeisung'!AB168*-1</f>
        <v>0</v>
      </c>
      <c r="BL576" s="824">
        <f t="shared" ca="1" si="400"/>
        <v>15</v>
      </c>
      <c r="BM576" s="824">
        <f t="shared" ca="1" si="401"/>
        <v>2</v>
      </c>
      <c r="BN576" s="824">
        <f t="shared" ca="1" si="402"/>
        <v>15085.44</v>
      </c>
      <c r="BO576" s="824">
        <f t="shared" ca="1" si="450"/>
        <v>0</v>
      </c>
      <c r="BP576" s="824">
        <f t="shared" ca="1" si="450"/>
        <v>0</v>
      </c>
      <c r="BQ576" s="824">
        <f t="shared" ca="1" si="450"/>
        <v>0</v>
      </c>
      <c r="BR576" s="824">
        <f t="shared" ca="1" si="450"/>
        <v>0</v>
      </c>
      <c r="BS576" s="824">
        <f t="shared" ca="1" si="450"/>
        <v>0</v>
      </c>
      <c r="BT576" s="824">
        <f t="shared" ca="1" si="450"/>
        <v>0</v>
      </c>
      <c r="BU576" s="824">
        <f t="shared" ca="1" si="450"/>
        <v>0</v>
      </c>
      <c r="BV576" s="824">
        <f t="shared" ca="1" si="450"/>
        <v>0</v>
      </c>
      <c r="BW576" s="824">
        <f t="shared" ca="1" si="450"/>
        <v>0</v>
      </c>
      <c r="BX576" s="824">
        <f t="shared" ca="1" si="450"/>
        <v>0</v>
      </c>
      <c r="BY576" s="824">
        <f t="shared" ca="1" si="450"/>
        <v>0</v>
      </c>
      <c r="BZ576" s="824">
        <f t="shared" ca="1" si="450"/>
        <v>0</v>
      </c>
      <c r="CA576" s="824">
        <f t="shared" ca="1" si="450"/>
        <v>0</v>
      </c>
      <c r="CB576" s="824">
        <f t="shared" ca="1" si="450"/>
        <v>0</v>
      </c>
      <c r="CC576" s="824">
        <f t="shared" ca="1" si="450"/>
        <v>19140.954948144594</v>
      </c>
      <c r="CD576" s="824">
        <f t="shared" ca="1" si="450"/>
        <v>0</v>
      </c>
      <c r="CE576" s="824">
        <f t="shared" ca="1" si="452"/>
        <v>0</v>
      </c>
      <c r="CF576" s="824">
        <f t="shared" ca="1" si="452"/>
        <v>0</v>
      </c>
      <c r="CG576" s="824">
        <f t="shared" ca="1" si="452"/>
        <v>0</v>
      </c>
      <c r="CH576" s="824">
        <f t="shared" ca="1" si="452"/>
        <v>0</v>
      </c>
      <c r="CI576" s="824">
        <f t="shared" ca="1" si="452"/>
        <v>0</v>
      </c>
      <c r="CJ576" s="824">
        <f t="shared" ca="1" si="452"/>
        <v>0</v>
      </c>
      <c r="CK576" s="824">
        <f t="shared" ca="1" si="452"/>
        <v>0</v>
      </c>
      <c r="CL576" s="824">
        <f t="shared" ca="1" si="452"/>
        <v>0</v>
      </c>
      <c r="CM576" s="824">
        <f t="shared" ca="1" si="452"/>
        <v>0</v>
      </c>
      <c r="CN576" s="824">
        <f t="shared" ca="1" si="452"/>
        <v>0</v>
      </c>
      <c r="CO576" s="824">
        <f t="shared" ca="1" si="452"/>
        <v>0</v>
      </c>
      <c r="CP576" s="824">
        <f t="shared" ca="1" si="452"/>
        <v>0</v>
      </c>
      <c r="CQ576" s="824">
        <f t="shared" ca="1" si="452"/>
        <v>0</v>
      </c>
      <c r="CR576" s="824">
        <f t="shared" ca="1" si="452"/>
        <v>24286.739818454153</v>
      </c>
      <c r="CS576" s="824">
        <f t="shared" ca="1" si="452"/>
        <v>0</v>
      </c>
      <c r="CT576" s="824">
        <f t="shared" ca="1" si="451"/>
        <v>0</v>
      </c>
      <c r="CU576" s="824">
        <f t="shared" ca="1" si="428"/>
        <v>0</v>
      </c>
      <c r="CV576" s="824">
        <f t="shared" ca="1" si="428"/>
        <v>0</v>
      </c>
      <c r="CW576" s="824">
        <f t="shared" ca="1" si="428"/>
        <v>0</v>
      </c>
      <c r="CX576" s="824">
        <f t="shared" ca="1" si="428"/>
        <v>0</v>
      </c>
      <c r="CY576" s="824">
        <f t="shared" ca="1" si="428"/>
        <v>0</v>
      </c>
      <c r="CZ576" s="824">
        <f t="shared" ca="1" si="428"/>
        <v>0</v>
      </c>
      <c r="DA576" s="824">
        <f t="shared" ca="1" si="429"/>
        <v>0</v>
      </c>
      <c r="DB576" s="824">
        <f t="shared" ca="1" si="429"/>
        <v>0</v>
      </c>
      <c r="DC576" s="824">
        <f t="shared" ca="1" si="429"/>
        <v>0</v>
      </c>
      <c r="DD576" s="824">
        <f t="shared" ref="DD576:DL596" ca="1" si="453">IF(OR(IF($BL576*1&lt;$BL$196,$BL576*1=DD$198,FALSE),IF($BL576*2&lt;$BL$196,$BL576*2=DD$198,FALSE),IF($BL576*3&lt;$BL$196,$BL576*3=DD$198,FALSE),IF($BL576*4&lt;$BL$196,$BL576*4=DD$198,FALSE),IF($BL576*5&lt;$BL$196,$BL576*5=DD$198,FALSE)),$BN576*$BM$196^DD$198,0)</f>
        <v>0</v>
      </c>
      <c r="DE576" s="824">
        <f t="shared" ca="1" si="453"/>
        <v>0</v>
      </c>
      <c r="DF576" s="824">
        <f t="shared" ca="1" si="453"/>
        <v>0</v>
      </c>
      <c r="DG576" s="824">
        <f t="shared" ca="1" si="453"/>
        <v>0</v>
      </c>
      <c r="DH576" s="824">
        <f t="shared" ca="1" si="453"/>
        <v>0</v>
      </c>
      <c r="DI576" s="824">
        <f t="shared" ca="1" si="453"/>
        <v>0</v>
      </c>
      <c r="DJ576" s="824">
        <f t="shared" ca="1" si="453"/>
        <v>0</v>
      </c>
      <c r="DK576" s="824">
        <f t="shared" ca="1" si="453"/>
        <v>0</v>
      </c>
      <c r="DL576" s="824">
        <f t="shared" ca="1" si="453"/>
        <v>0</v>
      </c>
    </row>
    <row r="577" spans="2:116" ht="12" thickBot="1" x14ac:dyDescent="0.3">
      <c r="B577" s="1673"/>
      <c r="C577" s="1680"/>
      <c r="D577" s="15" t="s">
        <v>130</v>
      </c>
      <c r="E577" s="116"/>
      <c r="F577" s="116">
        <f ca="1">SUBTOTAL(109,'3.3 I&amp;W'!$X$85)</f>
        <v>0</v>
      </c>
      <c r="G577" s="116">
        <f ca="1">SUBTOTAL(109,'3.3 I&amp;W'!$Y$85)</f>
        <v>0</v>
      </c>
      <c r="H577" s="116">
        <f ca="1">SUBTOTAL(109,'3.3 I&amp;W'!$AD$85)</f>
        <v>0</v>
      </c>
      <c r="I577" s="116">
        <f ca="1">SUBTOTAL(109,'3.3 I&amp;W'!$AE$85)</f>
        <v>0</v>
      </c>
      <c r="J577" s="116"/>
      <c r="K577" s="116"/>
      <c r="L577" s="116"/>
      <c r="M577" s="116">
        <f ca="1">SUBTOTAL(109,'3.3 I&amp;W'!$AI$85)</f>
        <v>25</v>
      </c>
      <c r="N577" s="156">
        <f t="shared" ca="1" si="404"/>
        <v>1</v>
      </c>
      <c r="O577" s="116">
        <f ca="1">SUBTOTAL(109,'3.3 I&amp;W'!$S$85)</f>
        <v>2734.2</v>
      </c>
      <c r="P577" s="30">
        <f t="shared" ca="1" si="445"/>
        <v>2478.3844960159149</v>
      </c>
      <c r="Q577" s="31">
        <f t="shared" ca="1" si="446"/>
        <v>0</v>
      </c>
      <c r="R577" s="31">
        <f t="shared" ca="1" si="447"/>
        <v>0</v>
      </c>
      <c r="S577" s="31">
        <f t="shared" ca="1" si="448"/>
        <v>0</v>
      </c>
      <c r="T577" s="32">
        <f t="shared" ca="1" si="449"/>
        <v>0</v>
      </c>
      <c r="U577" s="37">
        <f t="shared" ca="1" si="405"/>
        <v>1219.8831046461596</v>
      </c>
      <c r="V577" s="40">
        <f t="shared" ca="1" si="406"/>
        <v>0</v>
      </c>
      <c r="W577" s="41">
        <f t="shared" ca="1" si="399"/>
        <v>0</v>
      </c>
      <c r="X577" s="43"/>
      <c r="Y577" s="46"/>
      <c r="Z577" s="126"/>
      <c r="AA577" s="136"/>
      <c r="AB577" s="83">
        <v>24</v>
      </c>
      <c r="AC577" s="84">
        <f ca="1">IF(AF576&lt;=1,0,'3.3 Fi&amp;Fo'!$I$25)</f>
        <v>49369.168897197917</v>
      </c>
      <c r="AD577" s="72">
        <f ca="1">IF(AF576&lt;=1,0,AF576*'3.3 Fi&amp;Fo'!$H$25)</f>
        <v>10441.916137619195</v>
      </c>
      <c r="AE577" s="78">
        <f t="shared" ca="1" si="409"/>
        <v>38927.252759578725</v>
      </c>
      <c r="AF577" s="85">
        <f t="shared" ca="1" si="410"/>
        <v>483168.55412138102</v>
      </c>
      <c r="AG577" s="168">
        <f>IF(AJ576&lt;=1,0,IF(AB577&lt;='3.3 Fi&amp;Fo'!$F$34,'3.3 Fi&amp;Fo'!$J$34,IF(AB577&lt;='3.3 Fi&amp;Fo'!$F$35,'3.3 Fi&amp;Fo'!$J$35,IF(AB577&lt;='3.3 Fi&amp;Fo'!$F$36,'3.3 Fi&amp;Fo'!$J$36,IF(AB577&lt;='3.3 Fi&amp;Fo'!$F$37,'3.3 Fi&amp;Fo'!$J$37,IF(AB577&lt;='3.3 Fi&amp;Fo'!$F$38,'3.3 Fi&amp;Fo'!$J$38,IF(AB577&lt;='3.3 Fi&amp;Fo'!$F$39,'3.3 Fi&amp;Fo'!$J$39,IF(AB577&lt;='3.3 Fi&amp;Fo'!$F$40,'3.3 Fi&amp;Fo'!$J$40))))))))</f>
        <v>93654.868000000002</v>
      </c>
      <c r="AH577" s="207">
        <f>IF(AJ576&lt;=1,0,AJ576*IF(AB577&lt;='3.3 Fi&amp;Fo'!$F$34,'3.3 Fi&amp;Fo'!$I$34,IF(AB577&lt;='3.3 Fi&amp;Fo'!$F$35,'3.3 Fi&amp;Fo'!$I$35,IF(AB577&lt;='3.3 Fi&amp;Fo'!$F$38,'3.3 Fi&amp;Fo'!$I$38,IF(AB577&lt;='3.3 Fi&amp;Fo'!$F$39,'3.3 Fi&amp;Fo'!$I$39,IF(AB577&lt;='3.3 Fi&amp;Fo'!$F$40,'3.3 Fi&amp;Fo'!$I$40))))))</f>
        <v>115794.4986550188</v>
      </c>
      <c r="AI577" s="210">
        <f t="shared" si="411"/>
        <v>-22139.630655018802</v>
      </c>
      <c r="AJ577" s="209">
        <f t="shared" si="412"/>
        <v>2127494.1516553606</v>
      </c>
      <c r="AK577" s="312">
        <f t="shared" ca="1" si="424"/>
        <v>-178177.33598007364</v>
      </c>
      <c r="AL577" s="169">
        <f>IF(AB577&lt;='3.3 Fi&amp;Fo'!$J$15,'3.3 Fi&amp;Fo'!$I$15,0)</f>
        <v>0</v>
      </c>
      <c r="AM577" s="169">
        <f t="shared" si="425"/>
        <v>35153.299082875717</v>
      </c>
      <c r="AN577" s="838">
        <f t="shared" si="430"/>
        <v>24</v>
      </c>
      <c r="AO577" s="844">
        <f t="shared" ca="1" si="413"/>
        <v>178177.33598007364</v>
      </c>
      <c r="AP577" s="839">
        <f ca="1">CL658</f>
        <v>0</v>
      </c>
      <c r="AQ577" s="844">
        <f t="shared" si="414"/>
        <v>0</v>
      </c>
      <c r="AR577" s="839">
        <f t="shared" ca="1" si="431"/>
        <v>0</v>
      </c>
      <c r="AS577" s="839">
        <f t="shared" ca="1" si="426"/>
        <v>9610.9375117757736</v>
      </c>
      <c r="AT577" s="839">
        <f t="shared" ca="1" si="427"/>
        <v>15772.339549803717</v>
      </c>
      <c r="AU577" s="839">
        <f ca="1">'PV-Einspeisung'!AA169*-1</f>
        <v>0</v>
      </c>
      <c r="AV577" s="839">
        <f ca="1">'PV-Einspeisung'!AE169*-1</f>
        <v>0</v>
      </c>
      <c r="AW577" s="839"/>
      <c r="AX577" s="839">
        <f t="shared" ca="1" si="432"/>
        <v>0</v>
      </c>
      <c r="AY577" s="841">
        <f t="shared" si="415"/>
        <v>24</v>
      </c>
      <c r="AZ577" s="842">
        <f t="shared" ca="1" si="433"/>
        <v>0</v>
      </c>
      <c r="BA577" s="842">
        <f t="shared" ca="1" si="434"/>
        <v>0</v>
      </c>
      <c r="BB577" s="842">
        <f t="shared" ca="1" si="435"/>
        <v>0</v>
      </c>
      <c r="BC577" s="842">
        <f t="shared" ca="1" si="436"/>
        <v>0</v>
      </c>
      <c r="BD577" s="842">
        <f t="shared" ca="1" si="437"/>
        <v>0</v>
      </c>
      <c r="BE577" s="842">
        <f t="shared" ca="1" si="438"/>
        <v>0</v>
      </c>
      <c r="BF577" s="842">
        <f t="shared" ca="1" si="439"/>
        <v>10712.280786323334</v>
      </c>
      <c r="BG577" s="842">
        <f t="shared" ca="1" si="440"/>
        <v>5060.0587634803824</v>
      </c>
      <c r="BH577" s="858">
        <f t="shared" si="423"/>
        <v>24</v>
      </c>
      <c r="BI577" s="857">
        <f t="shared" ca="1" si="441"/>
        <v>4316.7318454101769</v>
      </c>
      <c r="BJ577" s="857">
        <f t="shared" ca="1" si="442"/>
        <v>5294.2056663655958</v>
      </c>
      <c r="BK577" s="859">
        <f ca="1">'PV-Einspeisung'!AB169*-1</f>
        <v>0</v>
      </c>
      <c r="BL577" s="824">
        <f t="shared" ca="1" si="400"/>
        <v>25</v>
      </c>
      <c r="BM577" s="824">
        <f t="shared" ca="1" si="401"/>
        <v>1</v>
      </c>
      <c r="BN577" s="824">
        <f t="shared" ca="1" si="402"/>
        <v>2734.2</v>
      </c>
      <c r="BO577" s="824">
        <f t="shared" ca="1" si="450"/>
        <v>0</v>
      </c>
      <c r="BP577" s="824">
        <f t="shared" ca="1" si="450"/>
        <v>0</v>
      </c>
      <c r="BQ577" s="824">
        <f t="shared" ca="1" si="450"/>
        <v>0</v>
      </c>
      <c r="BR577" s="824">
        <f t="shared" ca="1" si="450"/>
        <v>0</v>
      </c>
      <c r="BS577" s="824">
        <f t="shared" ca="1" si="450"/>
        <v>0</v>
      </c>
      <c r="BT577" s="824">
        <f t="shared" ca="1" si="450"/>
        <v>0</v>
      </c>
      <c r="BU577" s="824">
        <f t="shared" ca="1" si="450"/>
        <v>0</v>
      </c>
      <c r="BV577" s="824">
        <f t="shared" ca="1" si="450"/>
        <v>0</v>
      </c>
      <c r="BW577" s="824">
        <f t="shared" ca="1" si="450"/>
        <v>0</v>
      </c>
      <c r="BX577" s="824">
        <f t="shared" ca="1" si="450"/>
        <v>0</v>
      </c>
      <c r="BY577" s="824">
        <f t="shared" ca="1" si="450"/>
        <v>0</v>
      </c>
      <c r="BZ577" s="824">
        <f t="shared" ca="1" si="450"/>
        <v>0</v>
      </c>
      <c r="CA577" s="824">
        <f t="shared" ca="1" si="450"/>
        <v>0</v>
      </c>
      <c r="CB577" s="824">
        <f t="shared" ca="1" si="450"/>
        <v>0</v>
      </c>
      <c r="CC577" s="824">
        <f t="shared" ca="1" si="450"/>
        <v>0</v>
      </c>
      <c r="CD577" s="824">
        <f t="shared" ca="1" si="450"/>
        <v>0</v>
      </c>
      <c r="CE577" s="824">
        <f t="shared" ca="1" si="452"/>
        <v>0</v>
      </c>
      <c r="CF577" s="824">
        <f t="shared" ca="1" si="452"/>
        <v>0</v>
      </c>
      <c r="CG577" s="824">
        <f t="shared" ca="1" si="452"/>
        <v>0</v>
      </c>
      <c r="CH577" s="824">
        <f t="shared" ca="1" si="452"/>
        <v>0</v>
      </c>
      <c r="CI577" s="824">
        <f t="shared" ca="1" si="452"/>
        <v>0</v>
      </c>
      <c r="CJ577" s="824">
        <f t="shared" ca="1" si="452"/>
        <v>0</v>
      </c>
      <c r="CK577" s="824">
        <f t="shared" ca="1" si="452"/>
        <v>0</v>
      </c>
      <c r="CL577" s="824">
        <f t="shared" ca="1" si="452"/>
        <v>0</v>
      </c>
      <c r="CM577" s="824">
        <f t="shared" ca="1" si="452"/>
        <v>4066.0524607521575</v>
      </c>
      <c r="CN577" s="824">
        <f t="shared" ca="1" si="452"/>
        <v>0</v>
      </c>
      <c r="CO577" s="824">
        <f t="shared" ca="1" si="452"/>
        <v>0</v>
      </c>
      <c r="CP577" s="824">
        <f t="shared" ca="1" si="452"/>
        <v>0</v>
      </c>
      <c r="CQ577" s="824">
        <f t="shared" ca="1" si="452"/>
        <v>0</v>
      </c>
      <c r="CR577" s="824">
        <f t="shared" ca="1" si="452"/>
        <v>0</v>
      </c>
      <c r="CS577" s="824">
        <f t="shared" ca="1" si="452"/>
        <v>0</v>
      </c>
      <c r="CT577" s="824">
        <f t="shared" ca="1" si="451"/>
        <v>0</v>
      </c>
      <c r="CU577" s="824">
        <f t="shared" ca="1" si="428"/>
        <v>0</v>
      </c>
      <c r="CV577" s="824">
        <f t="shared" ca="1" si="428"/>
        <v>0</v>
      </c>
      <c r="CW577" s="824">
        <f t="shared" ca="1" si="428"/>
        <v>0</v>
      </c>
      <c r="CX577" s="824">
        <f t="shared" ca="1" si="428"/>
        <v>0</v>
      </c>
      <c r="CY577" s="824">
        <f t="shared" ca="1" si="428"/>
        <v>0</v>
      </c>
      <c r="CZ577" s="824">
        <f t="shared" ca="1" si="428"/>
        <v>0</v>
      </c>
      <c r="DA577" s="824">
        <f t="shared" ref="DA577:DL640" ca="1" si="454">IF(OR(IF($BL577*1&lt;$BL$196,$BL577*1=DA$198,FALSE),IF($BL577*2&lt;$BL$196,$BL577*2=DA$198,FALSE),IF($BL577*3&lt;$BL$196,$BL577*3=DA$198,FALSE),IF($BL577*4&lt;$BL$196,$BL577*4=DA$198,FALSE),IF($BL577*5&lt;$BL$196,$BL577*5=DA$198,FALSE)),$BN577*$BM$196^DA$198,0)</f>
        <v>0</v>
      </c>
      <c r="DB577" s="824">
        <f t="shared" ca="1" si="454"/>
        <v>0</v>
      </c>
      <c r="DC577" s="824">
        <f t="shared" ca="1" si="454"/>
        <v>0</v>
      </c>
      <c r="DD577" s="824">
        <f t="shared" ca="1" si="454"/>
        <v>0</v>
      </c>
      <c r="DE577" s="824">
        <f t="shared" ca="1" si="454"/>
        <v>0</v>
      </c>
      <c r="DF577" s="824">
        <f t="shared" ca="1" si="454"/>
        <v>0</v>
      </c>
      <c r="DG577" s="824">
        <f t="shared" ca="1" si="454"/>
        <v>0</v>
      </c>
      <c r="DH577" s="824">
        <f t="shared" ca="1" si="454"/>
        <v>0</v>
      </c>
      <c r="DI577" s="824">
        <f t="shared" ca="1" si="454"/>
        <v>0</v>
      </c>
      <c r="DJ577" s="824">
        <f t="shared" ca="1" si="454"/>
        <v>0</v>
      </c>
      <c r="DK577" s="824">
        <f t="shared" ca="1" si="453"/>
        <v>0</v>
      </c>
      <c r="DL577" s="824">
        <f t="shared" ca="1" si="453"/>
        <v>0</v>
      </c>
    </row>
    <row r="578" spans="2:116" ht="12" thickBot="1" x14ac:dyDescent="0.3">
      <c r="B578" s="1673"/>
      <c r="C578" s="1680"/>
      <c r="D578" s="15" t="s">
        <v>130</v>
      </c>
      <c r="E578" s="165"/>
      <c r="F578" s="116">
        <f ca="1">SUBTOTAL(109,'3.3 I&amp;W'!$X$86)</f>
        <v>0</v>
      </c>
      <c r="G578" s="116">
        <f ca="1">SUBTOTAL(109,'3.3 I&amp;W'!$Y$86)</f>
        <v>0</v>
      </c>
      <c r="H578" s="116">
        <f ca="1">SUBTOTAL(109,'3.3 I&amp;W'!$AD$86)</f>
        <v>0</v>
      </c>
      <c r="I578" s="116">
        <f ca="1">SUBTOTAL(109,'3.3 I&amp;W'!$AE$86)</f>
        <v>0</v>
      </c>
      <c r="J578" s="116"/>
      <c r="K578" s="116"/>
      <c r="L578" s="116"/>
      <c r="M578" s="116">
        <f ca="1">SUBTOTAL(109,'3.3 I&amp;W'!$AI$86)</f>
        <v>65</v>
      </c>
      <c r="N578" s="156">
        <f t="shared" ca="1" si="404"/>
        <v>0</v>
      </c>
      <c r="O578" s="116">
        <f ca="1">SUBTOTAL(109,'3.3 I&amp;W'!$S$86)</f>
        <v>50279.015999999996</v>
      </c>
      <c r="P578" s="30">
        <f t="shared" ca="1" si="445"/>
        <v>0</v>
      </c>
      <c r="Q578" s="31">
        <f t="shared" ca="1" si="446"/>
        <v>0</v>
      </c>
      <c r="R578" s="31">
        <f t="shared" ca="1" si="447"/>
        <v>0</v>
      </c>
      <c r="S578" s="31">
        <f t="shared" ca="1" si="448"/>
        <v>0</v>
      </c>
      <c r="T578" s="32">
        <f t="shared" ca="1" si="449"/>
        <v>0</v>
      </c>
      <c r="U578" s="37">
        <f t="shared" ca="1" si="405"/>
        <v>11603.490633477195</v>
      </c>
      <c r="V578" s="40">
        <f t="shared" ca="1" si="406"/>
        <v>0</v>
      </c>
      <c r="W578" s="41">
        <f t="shared" ca="1" si="399"/>
        <v>0</v>
      </c>
      <c r="X578" s="43"/>
      <c r="Y578" s="46"/>
      <c r="Z578" s="126"/>
      <c r="AA578" s="136"/>
      <c r="AB578" s="83">
        <v>25</v>
      </c>
      <c r="AC578" s="84">
        <f ca="1">IF(AF577&lt;=1,0,'3.3 Fi&amp;Fo'!$I$25)</f>
        <v>49369.168897197917</v>
      </c>
      <c r="AD578" s="72">
        <f ca="1">IF(AF577&lt;=1,0,AF577*'3.3 Fi&amp;Fo'!$H$25)</f>
        <v>9663.3710824276204</v>
      </c>
      <c r="AE578" s="78">
        <f t="shared" ca="1" si="409"/>
        <v>39705.797814770296</v>
      </c>
      <c r="AF578" s="85">
        <f t="shared" ca="1" si="410"/>
        <v>443462.75630661071</v>
      </c>
      <c r="AG578" s="168">
        <f>IF(AJ577&lt;=1,0,IF(AB578&lt;='3.3 Fi&amp;Fo'!$F$34,'3.3 Fi&amp;Fo'!$J$34,IF(AB578&lt;='3.3 Fi&amp;Fo'!$F$35,'3.3 Fi&amp;Fo'!$J$35,IF(AB578&lt;='3.3 Fi&amp;Fo'!$F$36,'3.3 Fi&amp;Fo'!$J$36,IF(AB578&lt;='3.3 Fi&amp;Fo'!$F$37,'3.3 Fi&amp;Fo'!$J$37,IF(AB578&lt;='3.3 Fi&amp;Fo'!$F$38,'3.3 Fi&amp;Fo'!$J$38,IF(AB578&lt;='3.3 Fi&amp;Fo'!$F$39,'3.3 Fi&amp;Fo'!$J$39,IF(AB578&lt;='3.3 Fi&amp;Fo'!$F$40,'3.3 Fi&amp;Fo'!$J$40))))))))</f>
        <v>93654.868000000002</v>
      </c>
      <c r="AH578" s="207">
        <f>IF(AJ577&lt;=1,0,AJ577*IF(AB578&lt;='3.3 Fi&amp;Fo'!$F$34,'3.3 Fi&amp;Fo'!$I$34,IF(AB578&lt;='3.3 Fi&amp;Fo'!$F$35,'3.3 Fi&amp;Fo'!$I$35,IF(AB578&lt;='3.3 Fi&amp;Fo'!$F$38,'3.3 Fi&amp;Fo'!$I$38,IF(AB578&lt;='3.3 Fi&amp;Fo'!$F$39,'3.3 Fi&amp;Fo'!$I$39,IF(AB578&lt;='3.3 Fi&amp;Fo'!$F$40,'3.3 Fi&amp;Fo'!$I$40))))))</f>
        <v>117012.17834104483</v>
      </c>
      <c r="AI578" s="210">
        <f t="shared" si="411"/>
        <v>-23357.310341044824</v>
      </c>
      <c r="AJ578" s="209">
        <f t="shared" si="412"/>
        <v>2150851.4619964054</v>
      </c>
      <c r="AK578" s="312">
        <f t="shared" ca="1" si="424"/>
        <v>-178880.40196173111</v>
      </c>
      <c r="AL578" s="169">
        <f>IF(AB578&lt;='3.3 Fi&amp;Fo'!$J$15,'3.3 Fi&amp;Fo'!$I$15,0)</f>
        <v>0</v>
      </c>
      <c r="AM578" s="169">
        <f t="shared" si="425"/>
        <v>35856.365064533195</v>
      </c>
      <c r="AN578" s="838">
        <f t="shared" si="430"/>
        <v>25</v>
      </c>
      <c r="AO578" s="844">
        <f t="shared" ca="1" si="413"/>
        <v>178880.40196173111</v>
      </c>
      <c r="AP578" s="839">
        <f ca="1">CM658</f>
        <v>105231.07945221136</v>
      </c>
      <c r="AQ578" s="844">
        <f t="shared" si="414"/>
        <v>0</v>
      </c>
      <c r="AR578" s="839">
        <f t="shared" ca="1" si="431"/>
        <v>0</v>
      </c>
      <c r="AS578" s="839">
        <f t="shared" ca="1" si="426"/>
        <v>9764.712511964186</v>
      </c>
      <c r="AT578" s="839">
        <f t="shared" ca="1" si="427"/>
        <v>16217.248626183613</v>
      </c>
      <c r="AU578" s="839">
        <f ca="1">'PV-Einspeisung'!AA170*-1</f>
        <v>0</v>
      </c>
      <c r="AV578" s="839">
        <f ca="1">'PV-Einspeisung'!AE170*-1</f>
        <v>0</v>
      </c>
      <c r="AW578" s="839"/>
      <c r="AX578" s="839">
        <f t="shared" ca="1" si="432"/>
        <v>0</v>
      </c>
      <c r="AY578" s="841">
        <f t="shared" si="415"/>
        <v>25</v>
      </c>
      <c r="AZ578" s="842">
        <f t="shared" ca="1" si="433"/>
        <v>0</v>
      </c>
      <c r="BA578" s="842">
        <f t="shared" ca="1" si="434"/>
        <v>0</v>
      </c>
      <c r="BB578" s="842">
        <f t="shared" ca="1" si="435"/>
        <v>0</v>
      </c>
      <c r="BC578" s="842">
        <f t="shared" ca="1" si="436"/>
        <v>0</v>
      </c>
      <c r="BD578" s="842">
        <f t="shared" ca="1" si="437"/>
        <v>0</v>
      </c>
      <c r="BE578" s="842">
        <f t="shared" ca="1" si="438"/>
        <v>0</v>
      </c>
      <c r="BF578" s="842">
        <f t="shared" ca="1" si="439"/>
        <v>10980.087805981417</v>
      </c>
      <c r="BG578" s="842">
        <f t="shared" ca="1" si="440"/>
        <v>5237.1608202021953</v>
      </c>
      <c r="BH578" s="858">
        <f t="shared" si="423"/>
        <v>25</v>
      </c>
      <c r="BI578" s="857">
        <f t="shared" ca="1" si="441"/>
        <v>4385.7995549367397</v>
      </c>
      <c r="BJ578" s="857">
        <f t="shared" ca="1" si="442"/>
        <v>5378.9129570274454</v>
      </c>
      <c r="BK578" s="859">
        <f ca="1">'PV-Einspeisung'!AB170*-1</f>
        <v>0</v>
      </c>
      <c r="BL578" s="824">
        <f t="shared" ca="1" si="400"/>
        <v>65</v>
      </c>
      <c r="BM578" s="824">
        <f t="shared" ca="1" si="401"/>
        <v>0</v>
      </c>
      <c r="BN578" s="824">
        <f t="shared" ca="1" si="402"/>
        <v>50279.015999999996</v>
      </c>
      <c r="BO578" s="824">
        <f t="shared" ca="1" si="450"/>
        <v>0</v>
      </c>
      <c r="BP578" s="824">
        <f t="shared" ca="1" si="450"/>
        <v>0</v>
      </c>
      <c r="BQ578" s="824">
        <f t="shared" ca="1" si="450"/>
        <v>0</v>
      </c>
      <c r="BR578" s="824">
        <f t="shared" ca="1" si="450"/>
        <v>0</v>
      </c>
      <c r="BS578" s="824">
        <f t="shared" ca="1" si="450"/>
        <v>0</v>
      </c>
      <c r="BT578" s="824">
        <f t="shared" ca="1" si="450"/>
        <v>0</v>
      </c>
      <c r="BU578" s="824">
        <f t="shared" ca="1" si="450"/>
        <v>0</v>
      </c>
      <c r="BV578" s="824">
        <f t="shared" ca="1" si="450"/>
        <v>0</v>
      </c>
      <c r="BW578" s="824">
        <f t="shared" ca="1" si="450"/>
        <v>0</v>
      </c>
      <c r="BX578" s="824">
        <f t="shared" ca="1" si="450"/>
        <v>0</v>
      </c>
      <c r="BY578" s="824">
        <f t="shared" ca="1" si="450"/>
        <v>0</v>
      </c>
      <c r="BZ578" s="824">
        <f t="shared" ca="1" si="450"/>
        <v>0</v>
      </c>
      <c r="CA578" s="824">
        <f t="shared" ca="1" si="450"/>
        <v>0</v>
      </c>
      <c r="CB578" s="824">
        <f t="shared" ca="1" si="450"/>
        <v>0</v>
      </c>
      <c r="CC578" s="824">
        <f t="shared" ca="1" si="450"/>
        <v>0</v>
      </c>
      <c r="CD578" s="824">
        <f t="shared" ca="1" si="450"/>
        <v>0</v>
      </c>
      <c r="CE578" s="824">
        <f t="shared" ca="1" si="452"/>
        <v>0</v>
      </c>
      <c r="CF578" s="824">
        <f t="shared" ca="1" si="452"/>
        <v>0</v>
      </c>
      <c r="CG578" s="824">
        <f t="shared" ca="1" si="452"/>
        <v>0</v>
      </c>
      <c r="CH578" s="824">
        <f t="shared" ca="1" si="452"/>
        <v>0</v>
      </c>
      <c r="CI578" s="824">
        <f t="shared" ca="1" si="452"/>
        <v>0</v>
      </c>
      <c r="CJ578" s="824">
        <f t="shared" ca="1" si="452"/>
        <v>0</v>
      </c>
      <c r="CK578" s="824">
        <f t="shared" ca="1" si="452"/>
        <v>0</v>
      </c>
      <c r="CL578" s="824">
        <f t="shared" ca="1" si="452"/>
        <v>0</v>
      </c>
      <c r="CM578" s="824">
        <f t="shared" ca="1" si="452"/>
        <v>0</v>
      </c>
      <c r="CN578" s="824">
        <f t="shared" ca="1" si="452"/>
        <v>0</v>
      </c>
      <c r="CO578" s="824">
        <f t="shared" ca="1" si="452"/>
        <v>0</v>
      </c>
      <c r="CP578" s="824">
        <f t="shared" ca="1" si="452"/>
        <v>0</v>
      </c>
      <c r="CQ578" s="824">
        <f t="shared" ca="1" si="452"/>
        <v>0</v>
      </c>
      <c r="CR578" s="824">
        <f t="shared" ca="1" si="452"/>
        <v>0</v>
      </c>
      <c r="CS578" s="824">
        <f t="shared" ca="1" si="452"/>
        <v>0</v>
      </c>
      <c r="CT578" s="824">
        <f t="shared" ca="1" si="451"/>
        <v>0</v>
      </c>
      <c r="CU578" s="824">
        <f t="shared" ca="1" si="428"/>
        <v>0</v>
      </c>
      <c r="CV578" s="824">
        <f t="shared" ca="1" si="428"/>
        <v>0</v>
      </c>
      <c r="CW578" s="824">
        <f t="shared" ca="1" si="428"/>
        <v>0</v>
      </c>
      <c r="CX578" s="824">
        <f t="shared" ca="1" si="428"/>
        <v>0</v>
      </c>
      <c r="CY578" s="824">
        <f t="shared" ca="1" si="428"/>
        <v>0</v>
      </c>
      <c r="CZ578" s="824">
        <f t="shared" ca="1" si="428"/>
        <v>0</v>
      </c>
      <c r="DA578" s="824">
        <f t="shared" ca="1" si="454"/>
        <v>0</v>
      </c>
      <c r="DB578" s="824">
        <f t="shared" ca="1" si="454"/>
        <v>0</v>
      </c>
      <c r="DC578" s="824">
        <f t="shared" ca="1" si="454"/>
        <v>0</v>
      </c>
      <c r="DD578" s="824">
        <f t="shared" ca="1" si="454"/>
        <v>0</v>
      </c>
      <c r="DE578" s="824">
        <f t="shared" ca="1" si="454"/>
        <v>0</v>
      </c>
      <c r="DF578" s="824">
        <f t="shared" ca="1" si="454"/>
        <v>0</v>
      </c>
      <c r="DG578" s="824">
        <f t="shared" ca="1" si="454"/>
        <v>0</v>
      </c>
      <c r="DH578" s="824">
        <f t="shared" ca="1" si="454"/>
        <v>0</v>
      </c>
      <c r="DI578" s="824">
        <f t="shared" ca="1" si="454"/>
        <v>0</v>
      </c>
      <c r="DJ578" s="824">
        <f t="shared" ca="1" si="454"/>
        <v>0</v>
      </c>
      <c r="DK578" s="824">
        <f t="shared" ca="1" si="453"/>
        <v>0</v>
      </c>
      <c r="DL578" s="824">
        <f t="shared" ca="1" si="453"/>
        <v>0</v>
      </c>
    </row>
    <row r="579" spans="2:116" ht="12" thickBot="1" x14ac:dyDescent="0.3">
      <c r="B579" s="1673"/>
      <c r="C579" s="1680"/>
      <c r="D579" s="15" t="s">
        <v>131</v>
      </c>
      <c r="E579" s="116"/>
      <c r="F579" s="116">
        <f ca="1">SUBTOTAL(109,'3.3 I&amp;W'!$X$89)</f>
        <v>0</v>
      </c>
      <c r="G579" s="116">
        <f ca="1">SUBTOTAL(109,'3.3 I&amp;W'!$Y$89)</f>
        <v>0</v>
      </c>
      <c r="H579" s="116">
        <f ca="1">SUBTOTAL(109,'3.3 I&amp;W'!$AD$89)</f>
        <v>0</v>
      </c>
      <c r="I579" s="116">
        <f ca="1">SUBTOTAL(109,'3.3 I&amp;W'!$AE$89)</f>
        <v>0</v>
      </c>
      <c r="J579" s="116"/>
      <c r="K579" s="116"/>
      <c r="L579" s="116"/>
      <c r="M579" s="116">
        <f ca="1">SUBTOTAL(109,'3.3 I&amp;W'!$AI$89)</f>
        <v>0</v>
      </c>
      <c r="N579" s="156">
        <f t="shared" ca="1" si="404"/>
        <v>0</v>
      </c>
      <c r="O579" s="116">
        <f ca="1">SUBTOTAL(109,'3.3 I&amp;W'!$S$89)</f>
        <v>0</v>
      </c>
      <c r="P579" s="30">
        <f t="shared" ca="1" si="445"/>
        <v>0</v>
      </c>
      <c r="Q579" s="31">
        <f t="shared" ca="1" si="446"/>
        <v>0</v>
      </c>
      <c r="R579" s="31">
        <f t="shared" ca="1" si="447"/>
        <v>0</v>
      </c>
      <c r="S579" s="31">
        <f t="shared" ca="1" si="448"/>
        <v>0</v>
      </c>
      <c r="T579" s="32">
        <f t="shared" ca="1" si="449"/>
        <v>0</v>
      </c>
      <c r="U579" s="37">
        <f t="shared" ca="1" si="405"/>
        <v>0</v>
      </c>
      <c r="V579" s="40">
        <f t="shared" ca="1" si="406"/>
        <v>0</v>
      </c>
      <c r="W579" s="41">
        <f t="shared" ca="1" si="399"/>
        <v>0</v>
      </c>
      <c r="X579" s="43"/>
      <c r="Y579" s="46"/>
      <c r="Z579" s="126"/>
      <c r="AA579" s="136"/>
      <c r="AB579" s="83">
        <v>26</v>
      </c>
      <c r="AC579" s="84">
        <f ca="1">IF(AF578&lt;=1,0,'3.3 Fi&amp;Fo'!$I$25)</f>
        <v>49369.168897197917</v>
      </c>
      <c r="AD579" s="72">
        <f ca="1">IF(AF578&lt;=1,0,AF578*'3.3 Fi&amp;Fo'!$H$25)</f>
        <v>8869.2551261322151</v>
      </c>
      <c r="AE579" s="78">
        <f t="shared" ca="1" si="409"/>
        <v>40499.913771065701</v>
      </c>
      <c r="AF579" s="85">
        <f t="shared" ca="1" si="410"/>
        <v>402962.842535545</v>
      </c>
      <c r="AG579" s="168">
        <f>IF(AJ578&lt;=1,0,IF(AB579&lt;='3.3 Fi&amp;Fo'!$F$34,'3.3 Fi&amp;Fo'!$J$34,IF(AB579&lt;='3.3 Fi&amp;Fo'!$F$35,'3.3 Fi&amp;Fo'!$J$35,IF(AB579&lt;='3.3 Fi&amp;Fo'!$F$36,'3.3 Fi&amp;Fo'!$J$36,IF(AB579&lt;='3.3 Fi&amp;Fo'!$F$37,'3.3 Fi&amp;Fo'!$J$37,IF(AB579&lt;='3.3 Fi&amp;Fo'!$F$38,'3.3 Fi&amp;Fo'!$J$38,IF(AB579&lt;='3.3 Fi&amp;Fo'!$F$39,'3.3 Fi&amp;Fo'!$J$39,IF(AB579&lt;='3.3 Fi&amp;Fo'!$F$40,'3.3 Fi&amp;Fo'!$J$40))))))))</f>
        <v>102167.856</v>
      </c>
      <c r="AH579" s="207">
        <f>IF(AJ578&lt;=1,0,AJ578*IF(AB579&lt;='3.3 Fi&amp;Fo'!$F$34,'3.3 Fi&amp;Fo'!$I$34,IF(AB579&lt;='3.3 Fi&amp;Fo'!$F$35,'3.3 Fi&amp;Fo'!$I$35,IF(AB579&lt;='3.3 Fi&amp;Fo'!$F$38,'3.3 Fi&amp;Fo'!$I$38,IF(AB579&lt;='3.3 Fi&amp;Fo'!$F$39,'3.3 Fi&amp;Fo'!$I$39,IF(AB579&lt;='3.3 Fi&amp;Fo'!$F$40,'3.3 Fi&amp;Fo'!$I$40))))))</f>
        <v>129051.08771978432</v>
      </c>
      <c r="AI579" s="210">
        <f t="shared" si="411"/>
        <v>-26883.231719784322</v>
      </c>
      <c r="AJ579" s="209">
        <f t="shared" si="412"/>
        <v>2177734.6937161898</v>
      </c>
      <c r="AK579" s="312">
        <f t="shared" ca="1" si="424"/>
        <v>-188110.51726302196</v>
      </c>
      <c r="AL579" s="169">
        <f>IF(AB579&lt;='3.3 Fi&amp;Fo'!$J$15,'3.3 Fi&amp;Fo'!$I$15,0)</f>
        <v>0</v>
      </c>
      <c r="AM579" s="169">
        <f t="shared" si="425"/>
        <v>36573.492365824059</v>
      </c>
      <c r="AN579" s="838">
        <f t="shared" si="430"/>
        <v>26</v>
      </c>
      <c r="AO579" s="844">
        <f t="shared" ca="1" si="413"/>
        <v>188110.51726302196</v>
      </c>
      <c r="AP579" s="839">
        <f ca="1">CN658</f>
        <v>0</v>
      </c>
      <c r="AQ579" s="844">
        <f t="shared" si="414"/>
        <v>0</v>
      </c>
      <c r="AR579" s="839">
        <f t="shared" ca="1" si="431"/>
        <v>0</v>
      </c>
      <c r="AS579" s="839">
        <f t="shared" ca="1" si="426"/>
        <v>9920.9479121556124</v>
      </c>
      <c r="AT579" s="839">
        <f t="shared" ca="1" si="427"/>
        <v>16675.051450040224</v>
      </c>
      <c r="AU579" s="839">
        <f ca="1">'PV-Einspeisung'!AA171*-1</f>
        <v>0</v>
      </c>
      <c r="AV579" s="839">
        <f ca="1">'PV-Einspeisung'!AE171*-1</f>
        <v>0</v>
      </c>
      <c r="AW579" s="839"/>
      <c r="AX579" s="839">
        <f t="shared" ca="1" si="432"/>
        <v>0</v>
      </c>
      <c r="AY579" s="841">
        <f t="shared" si="415"/>
        <v>26</v>
      </c>
      <c r="AZ579" s="842">
        <f t="shared" ca="1" si="433"/>
        <v>0</v>
      </c>
      <c r="BA579" s="842">
        <f t="shared" ca="1" si="434"/>
        <v>0</v>
      </c>
      <c r="BB579" s="842">
        <f t="shared" ca="1" si="435"/>
        <v>0</v>
      </c>
      <c r="BC579" s="842">
        <f t="shared" ca="1" si="436"/>
        <v>0</v>
      </c>
      <c r="BD579" s="842">
        <f t="shared" ca="1" si="437"/>
        <v>0</v>
      </c>
      <c r="BE579" s="842">
        <f t="shared" ca="1" si="438"/>
        <v>0</v>
      </c>
      <c r="BF579" s="842">
        <f t="shared" ca="1" si="439"/>
        <v>11254.590001130951</v>
      </c>
      <c r="BG579" s="842">
        <f t="shared" ca="1" si="440"/>
        <v>5420.4614489092719</v>
      </c>
      <c r="BH579" s="858">
        <f t="shared" si="423"/>
        <v>26</v>
      </c>
      <c r="BI579" s="857">
        <f t="shared" ca="1" si="441"/>
        <v>4455.9723478157275</v>
      </c>
      <c r="BJ579" s="857">
        <f t="shared" ca="1" si="442"/>
        <v>5464.9755643398848</v>
      </c>
      <c r="BK579" s="859">
        <f ca="1">'PV-Einspeisung'!AB171*-1</f>
        <v>0</v>
      </c>
      <c r="BL579" s="824">
        <f t="shared" ca="1" si="400"/>
        <v>0</v>
      </c>
      <c r="BM579" s="824">
        <f t="shared" ca="1" si="401"/>
        <v>0</v>
      </c>
      <c r="BN579" s="824">
        <f t="shared" ca="1" si="402"/>
        <v>0</v>
      </c>
      <c r="BO579" s="824">
        <f t="shared" ca="1" si="450"/>
        <v>0</v>
      </c>
      <c r="BP579" s="824">
        <f t="shared" ca="1" si="450"/>
        <v>0</v>
      </c>
      <c r="BQ579" s="824">
        <f t="shared" ca="1" si="450"/>
        <v>0</v>
      </c>
      <c r="BR579" s="824">
        <f t="shared" ca="1" si="450"/>
        <v>0</v>
      </c>
      <c r="BS579" s="824">
        <f t="shared" ca="1" si="450"/>
        <v>0</v>
      </c>
      <c r="BT579" s="824">
        <f t="shared" ca="1" si="450"/>
        <v>0</v>
      </c>
      <c r="BU579" s="824">
        <f t="shared" ca="1" si="450"/>
        <v>0</v>
      </c>
      <c r="BV579" s="824">
        <f t="shared" ca="1" si="450"/>
        <v>0</v>
      </c>
      <c r="BW579" s="824">
        <f t="shared" ca="1" si="450"/>
        <v>0</v>
      </c>
      <c r="BX579" s="824">
        <f t="shared" ca="1" si="450"/>
        <v>0</v>
      </c>
      <c r="BY579" s="824">
        <f t="shared" ca="1" si="450"/>
        <v>0</v>
      </c>
      <c r="BZ579" s="824">
        <f t="shared" ca="1" si="450"/>
        <v>0</v>
      </c>
      <c r="CA579" s="824">
        <f t="shared" ca="1" si="450"/>
        <v>0</v>
      </c>
      <c r="CB579" s="824">
        <f t="shared" ca="1" si="450"/>
        <v>0</v>
      </c>
      <c r="CC579" s="824">
        <f t="shared" ca="1" si="450"/>
        <v>0</v>
      </c>
      <c r="CD579" s="824">
        <f t="shared" ca="1" si="450"/>
        <v>0</v>
      </c>
      <c r="CE579" s="824">
        <f t="shared" ca="1" si="452"/>
        <v>0</v>
      </c>
      <c r="CF579" s="824">
        <f t="shared" ca="1" si="452"/>
        <v>0</v>
      </c>
      <c r="CG579" s="824">
        <f t="shared" ca="1" si="452"/>
        <v>0</v>
      </c>
      <c r="CH579" s="824">
        <f t="shared" ca="1" si="452"/>
        <v>0</v>
      </c>
      <c r="CI579" s="824">
        <f t="shared" ca="1" si="452"/>
        <v>0</v>
      </c>
      <c r="CJ579" s="824">
        <f t="shared" ca="1" si="452"/>
        <v>0</v>
      </c>
      <c r="CK579" s="824">
        <f t="shared" ca="1" si="452"/>
        <v>0</v>
      </c>
      <c r="CL579" s="824">
        <f t="shared" ca="1" si="452"/>
        <v>0</v>
      </c>
      <c r="CM579" s="824">
        <f t="shared" ca="1" si="452"/>
        <v>0</v>
      </c>
      <c r="CN579" s="824">
        <f t="shared" ca="1" si="452"/>
        <v>0</v>
      </c>
      <c r="CO579" s="824">
        <f t="shared" ca="1" si="452"/>
        <v>0</v>
      </c>
      <c r="CP579" s="824">
        <f t="shared" ca="1" si="452"/>
        <v>0</v>
      </c>
      <c r="CQ579" s="824">
        <f t="shared" ca="1" si="452"/>
        <v>0</v>
      </c>
      <c r="CR579" s="824">
        <f t="shared" ca="1" si="452"/>
        <v>0</v>
      </c>
      <c r="CS579" s="824">
        <f t="shared" ca="1" si="452"/>
        <v>0</v>
      </c>
      <c r="CT579" s="824">
        <f t="shared" ca="1" si="451"/>
        <v>0</v>
      </c>
      <c r="CU579" s="824">
        <f t="shared" ca="1" si="428"/>
        <v>0</v>
      </c>
      <c r="CV579" s="824">
        <f t="shared" ca="1" si="428"/>
        <v>0</v>
      </c>
      <c r="CW579" s="824">
        <f t="shared" ca="1" si="428"/>
        <v>0</v>
      </c>
      <c r="CX579" s="824">
        <f t="shared" ca="1" si="428"/>
        <v>0</v>
      </c>
      <c r="CY579" s="824">
        <f t="shared" ca="1" si="428"/>
        <v>0</v>
      </c>
      <c r="CZ579" s="824">
        <f t="shared" ca="1" si="428"/>
        <v>0</v>
      </c>
      <c r="DA579" s="824">
        <f t="shared" ca="1" si="454"/>
        <v>0</v>
      </c>
      <c r="DB579" s="824">
        <f t="shared" ca="1" si="454"/>
        <v>0</v>
      </c>
      <c r="DC579" s="824">
        <f t="shared" ca="1" si="454"/>
        <v>0</v>
      </c>
      <c r="DD579" s="824">
        <f t="shared" ca="1" si="454"/>
        <v>0</v>
      </c>
      <c r="DE579" s="824">
        <f t="shared" ca="1" si="454"/>
        <v>0</v>
      </c>
      <c r="DF579" s="824">
        <f t="shared" ca="1" si="454"/>
        <v>0</v>
      </c>
      <c r="DG579" s="824">
        <f t="shared" ca="1" si="454"/>
        <v>0</v>
      </c>
      <c r="DH579" s="824">
        <f t="shared" ca="1" si="454"/>
        <v>0</v>
      </c>
      <c r="DI579" s="824">
        <f t="shared" ca="1" si="454"/>
        <v>0</v>
      </c>
      <c r="DJ579" s="824">
        <f t="shared" ca="1" si="454"/>
        <v>0</v>
      </c>
      <c r="DK579" s="824">
        <f t="shared" ca="1" si="453"/>
        <v>0</v>
      </c>
      <c r="DL579" s="824">
        <f t="shared" ca="1" si="453"/>
        <v>0</v>
      </c>
    </row>
    <row r="580" spans="2:116" ht="12" thickBot="1" x14ac:dyDescent="0.3">
      <c r="B580" s="1673"/>
      <c r="C580" s="1680"/>
      <c r="D580" s="15" t="s">
        <v>131</v>
      </c>
      <c r="E580" s="165"/>
      <c r="F580" s="116">
        <f ca="1">SUBTOTAL(109,'3.3 I&amp;W'!$X$90)</f>
        <v>0</v>
      </c>
      <c r="G580" s="116">
        <f ca="1">SUBTOTAL(109,'3.3 I&amp;W'!$Y$90)</f>
        <v>0</v>
      </c>
      <c r="H580" s="116">
        <f ca="1">SUBTOTAL(109,'3.3 I&amp;W'!$AD$90)</f>
        <v>0</v>
      </c>
      <c r="I580" s="116">
        <f ca="1">SUBTOTAL(109,'3.3 I&amp;W'!$AE$90)</f>
        <v>0</v>
      </c>
      <c r="J580" s="116"/>
      <c r="K580" s="116"/>
      <c r="L580" s="116"/>
      <c r="M580" s="116">
        <f ca="1">SUBTOTAL(109,'3.3 I&amp;W'!$AI$90)</f>
        <v>0</v>
      </c>
      <c r="N580" s="156">
        <f t="shared" ca="1" si="404"/>
        <v>0</v>
      </c>
      <c r="O580" s="116">
        <f ca="1">SUBTOTAL(109,'3.3 I&amp;W'!$S$90)</f>
        <v>0</v>
      </c>
      <c r="P580" s="30">
        <f t="shared" ca="1" si="445"/>
        <v>0</v>
      </c>
      <c r="Q580" s="31">
        <f t="shared" ca="1" si="446"/>
        <v>0</v>
      </c>
      <c r="R580" s="31">
        <f t="shared" ca="1" si="447"/>
        <v>0</v>
      </c>
      <c r="S580" s="31">
        <f t="shared" ca="1" si="448"/>
        <v>0</v>
      </c>
      <c r="T580" s="32">
        <f t="shared" ca="1" si="449"/>
        <v>0</v>
      </c>
      <c r="U580" s="37">
        <f t="shared" ca="1" si="405"/>
        <v>0</v>
      </c>
      <c r="V580" s="40">
        <f t="shared" ca="1" si="406"/>
        <v>0</v>
      </c>
      <c r="W580" s="41">
        <f t="shared" ca="1" si="399"/>
        <v>0</v>
      </c>
      <c r="X580" s="43"/>
      <c r="Y580" s="46"/>
      <c r="Z580" s="126"/>
      <c r="AA580" s="136"/>
      <c r="AB580" s="83">
        <v>27</v>
      </c>
      <c r="AC580" s="84">
        <f ca="1">IF(AF579&lt;=1,0,'3.3 Fi&amp;Fo'!$I$25)</f>
        <v>49369.168897197917</v>
      </c>
      <c r="AD580" s="72">
        <f ca="1">IF(AF579&lt;=1,0,AF579*'3.3 Fi&amp;Fo'!$H$25)</f>
        <v>8059.2568507108999</v>
      </c>
      <c r="AE580" s="78">
        <f t="shared" ca="1" si="409"/>
        <v>41309.912046487014</v>
      </c>
      <c r="AF580" s="85">
        <f t="shared" ca="1" si="410"/>
        <v>361652.93048905797</v>
      </c>
      <c r="AG580" s="168">
        <f>IF(AJ579&lt;=1,0,IF(AB580&lt;='3.3 Fi&amp;Fo'!$F$34,'3.3 Fi&amp;Fo'!$J$34,IF(AB580&lt;='3.3 Fi&amp;Fo'!$F$35,'3.3 Fi&amp;Fo'!$J$35,IF(AB580&lt;='3.3 Fi&amp;Fo'!$F$36,'3.3 Fi&amp;Fo'!$J$36,IF(AB580&lt;='3.3 Fi&amp;Fo'!$F$37,'3.3 Fi&amp;Fo'!$J$37,IF(AB580&lt;='3.3 Fi&amp;Fo'!$F$38,'3.3 Fi&amp;Fo'!$J$38,IF(AB580&lt;='3.3 Fi&amp;Fo'!$F$39,'3.3 Fi&amp;Fo'!$J$39,IF(AB580&lt;='3.3 Fi&amp;Fo'!$F$40,'3.3 Fi&amp;Fo'!$J$40))))))))</f>
        <v>102167.856</v>
      </c>
      <c r="AH580" s="207">
        <f>IF(AJ579&lt;=1,0,AJ579*IF(AB580&lt;='3.3 Fi&amp;Fo'!$F$34,'3.3 Fi&amp;Fo'!$I$34,IF(AB580&lt;='3.3 Fi&amp;Fo'!$F$35,'3.3 Fi&amp;Fo'!$I$35,IF(AB580&lt;='3.3 Fi&amp;Fo'!$F$38,'3.3 Fi&amp;Fo'!$I$38,IF(AB580&lt;='3.3 Fi&amp;Fo'!$F$39,'3.3 Fi&amp;Fo'!$I$39,IF(AB580&lt;='3.3 Fi&amp;Fo'!$F$40,'3.3 Fi&amp;Fo'!$I$40))))))</f>
        <v>130664.08162297138</v>
      </c>
      <c r="AI580" s="210">
        <f t="shared" si="411"/>
        <v>-28496.225622971382</v>
      </c>
      <c r="AJ580" s="209">
        <f t="shared" si="412"/>
        <v>2206230.9193391614</v>
      </c>
      <c r="AK580" s="312">
        <f t="shared" ca="1" si="424"/>
        <v>-188841.98711033788</v>
      </c>
      <c r="AL580" s="169">
        <f>IF(AB580&lt;='3.3 Fi&amp;Fo'!$J$15,'3.3 Fi&amp;Fo'!$I$15,0)</f>
        <v>0</v>
      </c>
      <c r="AM580" s="169">
        <f t="shared" si="425"/>
        <v>37304.962213139981</v>
      </c>
      <c r="AN580" s="838">
        <f t="shared" si="430"/>
        <v>27</v>
      </c>
      <c r="AO580" s="844">
        <f t="shared" ca="1" si="413"/>
        <v>188841.98711033788</v>
      </c>
      <c r="AP580" s="839">
        <f ca="1">CO658</f>
        <v>0</v>
      </c>
      <c r="AQ580" s="844">
        <f t="shared" si="414"/>
        <v>0</v>
      </c>
      <c r="AR580" s="839">
        <f t="shared" ca="1" si="431"/>
        <v>0</v>
      </c>
      <c r="AS580" s="839">
        <f t="shared" ca="1" si="426"/>
        <v>10079.683078750102</v>
      </c>
      <c r="AT580" s="839">
        <f t="shared" ca="1" si="427"/>
        <v>17146.132350780321</v>
      </c>
      <c r="AU580" s="839">
        <f ca="1">'PV-Einspeisung'!AA172*-1</f>
        <v>0</v>
      </c>
      <c r="AV580" s="839">
        <f ca="1">'PV-Einspeisung'!AE172*-1</f>
        <v>0</v>
      </c>
      <c r="AW580" s="839"/>
      <c r="AX580" s="839">
        <f t="shared" ca="1" si="432"/>
        <v>0</v>
      </c>
      <c r="AY580" s="841">
        <f t="shared" si="415"/>
        <v>27</v>
      </c>
      <c r="AZ580" s="842">
        <f t="shared" ca="1" si="433"/>
        <v>0</v>
      </c>
      <c r="BA580" s="842">
        <f t="shared" ca="1" si="434"/>
        <v>0</v>
      </c>
      <c r="BB580" s="842">
        <f t="shared" ca="1" si="435"/>
        <v>0</v>
      </c>
      <c r="BC580" s="842">
        <f t="shared" ca="1" si="436"/>
        <v>0</v>
      </c>
      <c r="BD580" s="842">
        <f t="shared" ca="1" si="437"/>
        <v>0</v>
      </c>
      <c r="BE580" s="842">
        <f t="shared" ca="1" si="438"/>
        <v>0</v>
      </c>
      <c r="BF580" s="842">
        <f t="shared" ca="1" si="439"/>
        <v>11535.954751159225</v>
      </c>
      <c r="BG580" s="842">
        <f t="shared" ca="1" si="440"/>
        <v>5610.1775996210963</v>
      </c>
      <c r="BH580" s="858">
        <f t="shared" si="423"/>
        <v>27</v>
      </c>
      <c r="BI580" s="857">
        <f t="shared" ca="1" si="441"/>
        <v>4527.2679053807797</v>
      </c>
      <c r="BJ580" s="857">
        <f t="shared" ca="1" si="442"/>
        <v>5552.4151733693234</v>
      </c>
      <c r="BK580" s="859">
        <f ca="1">'PV-Einspeisung'!AB172*-1</f>
        <v>0</v>
      </c>
      <c r="BL580" s="824">
        <f t="shared" ca="1" si="400"/>
        <v>0</v>
      </c>
      <c r="BM580" s="824">
        <f t="shared" ca="1" si="401"/>
        <v>0</v>
      </c>
      <c r="BN580" s="824">
        <f t="shared" ca="1" si="402"/>
        <v>0</v>
      </c>
      <c r="BO580" s="824">
        <f t="shared" ca="1" si="450"/>
        <v>0</v>
      </c>
      <c r="BP580" s="824">
        <f t="shared" ca="1" si="450"/>
        <v>0</v>
      </c>
      <c r="BQ580" s="824">
        <f t="shared" ca="1" si="450"/>
        <v>0</v>
      </c>
      <c r="BR580" s="824">
        <f t="shared" ca="1" si="450"/>
        <v>0</v>
      </c>
      <c r="BS580" s="824">
        <f t="shared" ca="1" si="450"/>
        <v>0</v>
      </c>
      <c r="BT580" s="824">
        <f t="shared" ca="1" si="450"/>
        <v>0</v>
      </c>
      <c r="BU580" s="824">
        <f t="shared" ca="1" si="450"/>
        <v>0</v>
      </c>
      <c r="BV580" s="824">
        <f t="shared" ca="1" si="450"/>
        <v>0</v>
      </c>
      <c r="BW580" s="824">
        <f t="shared" ca="1" si="450"/>
        <v>0</v>
      </c>
      <c r="BX580" s="824">
        <f t="shared" ca="1" si="450"/>
        <v>0</v>
      </c>
      <c r="BY580" s="824">
        <f t="shared" ca="1" si="450"/>
        <v>0</v>
      </c>
      <c r="BZ580" s="824">
        <f t="shared" ca="1" si="450"/>
        <v>0</v>
      </c>
      <c r="CA580" s="824">
        <f t="shared" ca="1" si="450"/>
        <v>0</v>
      </c>
      <c r="CB580" s="824">
        <f t="shared" ca="1" si="450"/>
        <v>0</v>
      </c>
      <c r="CC580" s="824">
        <f t="shared" ca="1" si="450"/>
        <v>0</v>
      </c>
      <c r="CD580" s="824">
        <f t="shared" ca="1" si="450"/>
        <v>0</v>
      </c>
      <c r="CE580" s="824">
        <f t="shared" ca="1" si="452"/>
        <v>0</v>
      </c>
      <c r="CF580" s="824">
        <f t="shared" ca="1" si="452"/>
        <v>0</v>
      </c>
      <c r="CG580" s="824">
        <f t="shared" ca="1" si="452"/>
        <v>0</v>
      </c>
      <c r="CH580" s="824">
        <f t="shared" ca="1" si="452"/>
        <v>0</v>
      </c>
      <c r="CI580" s="824">
        <f t="shared" ca="1" si="452"/>
        <v>0</v>
      </c>
      <c r="CJ580" s="824">
        <f t="shared" ca="1" si="452"/>
        <v>0</v>
      </c>
      <c r="CK580" s="824">
        <f t="shared" ca="1" si="452"/>
        <v>0</v>
      </c>
      <c r="CL580" s="824">
        <f t="shared" ca="1" si="452"/>
        <v>0</v>
      </c>
      <c r="CM580" s="824">
        <f t="shared" ca="1" si="452"/>
        <v>0</v>
      </c>
      <c r="CN580" s="824">
        <f t="shared" ca="1" si="452"/>
        <v>0</v>
      </c>
      <c r="CO580" s="824">
        <f t="shared" ca="1" si="452"/>
        <v>0</v>
      </c>
      <c r="CP580" s="824">
        <f t="shared" ca="1" si="452"/>
        <v>0</v>
      </c>
      <c r="CQ580" s="824">
        <f t="shared" ca="1" si="452"/>
        <v>0</v>
      </c>
      <c r="CR580" s="824">
        <f t="shared" ca="1" si="452"/>
        <v>0</v>
      </c>
      <c r="CS580" s="824">
        <f t="shared" ca="1" si="452"/>
        <v>0</v>
      </c>
      <c r="CT580" s="824">
        <f t="shared" ca="1" si="451"/>
        <v>0</v>
      </c>
      <c r="CU580" s="824">
        <f t="shared" ca="1" si="428"/>
        <v>0</v>
      </c>
      <c r="CV580" s="824">
        <f t="shared" ca="1" si="428"/>
        <v>0</v>
      </c>
      <c r="CW580" s="824">
        <f t="shared" ca="1" si="428"/>
        <v>0</v>
      </c>
      <c r="CX580" s="824">
        <f t="shared" ca="1" si="428"/>
        <v>0</v>
      </c>
      <c r="CY580" s="824">
        <f t="shared" ca="1" si="428"/>
        <v>0</v>
      </c>
      <c r="CZ580" s="824">
        <f t="shared" ca="1" si="428"/>
        <v>0</v>
      </c>
      <c r="DA580" s="824">
        <f t="shared" ca="1" si="454"/>
        <v>0</v>
      </c>
      <c r="DB580" s="824">
        <f t="shared" ca="1" si="454"/>
        <v>0</v>
      </c>
      <c r="DC580" s="824">
        <f t="shared" ca="1" si="454"/>
        <v>0</v>
      </c>
      <c r="DD580" s="824">
        <f t="shared" ca="1" si="454"/>
        <v>0</v>
      </c>
      <c r="DE580" s="824">
        <f t="shared" ca="1" si="454"/>
        <v>0</v>
      </c>
      <c r="DF580" s="824">
        <f t="shared" ca="1" si="454"/>
        <v>0</v>
      </c>
      <c r="DG580" s="824">
        <f t="shared" ca="1" si="454"/>
        <v>0</v>
      </c>
      <c r="DH580" s="824">
        <f t="shared" ca="1" si="454"/>
        <v>0</v>
      </c>
      <c r="DI580" s="824">
        <f t="shared" ca="1" si="454"/>
        <v>0</v>
      </c>
      <c r="DJ580" s="824">
        <f t="shared" ca="1" si="454"/>
        <v>0</v>
      </c>
      <c r="DK580" s="824">
        <f t="shared" ca="1" si="453"/>
        <v>0</v>
      </c>
      <c r="DL580" s="824">
        <f t="shared" ca="1" si="453"/>
        <v>0</v>
      </c>
    </row>
    <row r="581" spans="2:116" ht="12" thickBot="1" x14ac:dyDescent="0.3">
      <c r="B581" s="1673"/>
      <c r="C581" s="1680"/>
      <c r="D581" s="15" t="s">
        <v>131</v>
      </c>
      <c r="E581" s="116"/>
      <c r="F581" s="116">
        <f ca="1">SUBTOTAL(109,'3.3 I&amp;W'!$X$91)</f>
        <v>0</v>
      </c>
      <c r="G581" s="116">
        <f ca="1">SUBTOTAL(109,'3.3 I&amp;W'!$Y$91)</f>
        <v>0</v>
      </c>
      <c r="H581" s="116">
        <f ca="1">SUBTOTAL(109,'3.3 I&amp;W'!$AD$91)</f>
        <v>0</v>
      </c>
      <c r="I581" s="116">
        <f ca="1">SUBTOTAL(109,'3.3 I&amp;W'!$AE$91)</f>
        <v>0</v>
      </c>
      <c r="J581" s="116"/>
      <c r="K581" s="116"/>
      <c r="L581" s="116"/>
      <c r="M581" s="116">
        <f ca="1">SUBTOTAL(109,'3.3 I&amp;W'!$AI$91)</f>
        <v>0</v>
      </c>
      <c r="N581" s="156">
        <f t="shared" ca="1" si="404"/>
        <v>0</v>
      </c>
      <c r="O581" s="116">
        <f ca="1">SUBTOTAL(109,'3.3 I&amp;W'!$S$91)</f>
        <v>0</v>
      </c>
      <c r="P581" s="30">
        <f t="shared" ca="1" si="445"/>
        <v>0</v>
      </c>
      <c r="Q581" s="31">
        <f t="shared" ca="1" si="446"/>
        <v>0</v>
      </c>
      <c r="R581" s="31">
        <f t="shared" ca="1" si="447"/>
        <v>0</v>
      </c>
      <c r="S581" s="31">
        <f t="shared" ca="1" si="448"/>
        <v>0</v>
      </c>
      <c r="T581" s="32">
        <f t="shared" ca="1" si="449"/>
        <v>0</v>
      </c>
      <c r="U581" s="37">
        <f t="shared" ca="1" si="405"/>
        <v>0</v>
      </c>
      <c r="V581" s="40">
        <f t="shared" ref="V581:V612" ca="1" si="455">G581*$I$169</f>
        <v>0</v>
      </c>
      <c r="W581" s="41">
        <f t="shared" ref="W581:W612" ca="1" si="456">(I581+J581)*$I$167</f>
        <v>0</v>
      </c>
      <c r="X581" s="43"/>
      <c r="Y581" s="46"/>
      <c r="Z581" s="126"/>
      <c r="AA581" s="136"/>
      <c r="AB581" s="83">
        <v>28</v>
      </c>
      <c r="AC581" s="84">
        <f ca="1">IF(AF580&lt;=1,0,'3.3 Fi&amp;Fo'!$I$25)</f>
        <v>49369.168897197917</v>
      </c>
      <c r="AD581" s="72">
        <f ca="1">IF(AF580&lt;=1,0,AF580*'3.3 Fi&amp;Fo'!$H$25)</f>
        <v>7233.0586097811592</v>
      </c>
      <c r="AE581" s="78">
        <f t="shared" ca="1" si="409"/>
        <v>42136.110287416755</v>
      </c>
      <c r="AF581" s="85">
        <f t="shared" ca="1" si="410"/>
        <v>319516.82020164118</v>
      </c>
      <c r="AG581" s="168">
        <f>IF(AJ580&lt;=1,0,IF(AB581&lt;='3.3 Fi&amp;Fo'!$F$34,'3.3 Fi&amp;Fo'!$J$34,IF(AB581&lt;='3.3 Fi&amp;Fo'!$F$35,'3.3 Fi&amp;Fo'!$J$35,IF(AB581&lt;='3.3 Fi&amp;Fo'!$F$36,'3.3 Fi&amp;Fo'!$J$36,IF(AB581&lt;='3.3 Fi&amp;Fo'!$F$37,'3.3 Fi&amp;Fo'!$J$37,IF(AB581&lt;='3.3 Fi&amp;Fo'!$F$38,'3.3 Fi&amp;Fo'!$J$38,IF(AB581&lt;='3.3 Fi&amp;Fo'!$F$39,'3.3 Fi&amp;Fo'!$J$39,IF(AB581&lt;='3.3 Fi&amp;Fo'!$F$40,'3.3 Fi&amp;Fo'!$J$40))))))))</f>
        <v>102167.856</v>
      </c>
      <c r="AH581" s="207">
        <f>IF(AJ580&lt;=1,0,AJ580*IF(AB581&lt;='3.3 Fi&amp;Fo'!$F$34,'3.3 Fi&amp;Fo'!$I$34,IF(AB581&lt;='3.3 Fi&amp;Fo'!$F$35,'3.3 Fi&amp;Fo'!$I$35,IF(AB581&lt;='3.3 Fi&amp;Fo'!$F$38,'3.3 Fi&amp;Fo'!$I$38,IF(AB581&lt;='3.3 Fi&amp;Fo'!$F$39,'3.3 Fi&amp;Fo'!$I$39,IF(AB581&lt;='3.3 Fi&amp;Fo'!$F$40,'3.3 Fi&amp;Fo'!$I$40))))))</f>
        <v>132373.85516034969</v>
      </c>
      <c r="AI581" s="210">
        <f t="shared" si="411"/>
        <v>-30205.999160349689</v>
      </c>
      <c r="AJ581" s="209">
        <f t="shared" si="412"/>
        <v>2236436.9184995112</v>
      </c>
      <c r="AK581" s="312">
        <f t="shared" ca="1" si="424"/>
        <v>-189588.08635460137</v>
      </c>
      <c r="AL581" s="169">
        <f>IF(AB581&lt;='3.3 Fi&amp;Fo'!$J$15,'3.3 Fi&amp;Fo'!$I$15,0)</f>
        <v>0</v>
      </c>
      <c r="AM581" s="169">
        <f t="shared" si="425"/>
        <v>38051.06145740347</v>
      </c>
      <c r="AN581" s="838">
        <f t="shared" si="430"/>
        <v>28</v>
      </c>
      <c r="AO581" s="844">
        <f t="shared" ca="1" si="413"/>
        <v>189588.08635460137</v>
      </c>
      <c r="AP581" s="839">
        <f ca="1">CP658</f>
        <v>0</v>
      </c>
      <c r="AQ581" s="844">
        <f t="shared" si="414"/>
        <v>0</v>
      </c>
      <c r="AR581" s="839">
        <f t="shared" ca="1" si="431"/>
        <v>0</v>
      </c>
      <c r="AS581" s="839">
        <f t="shared" ca="1" si="426"/>
        <v>10240.958008010104</v>
      </c>
      <c r="AT581" s="839">
        <f t="shared" ca="1" si="427"/>
        <v>17630.887435546036</v>
      </c>
      <c r="AU581" s="839">
        <f ca="1">'PV-Einspeisung'!AA173*-1</f>
        <v>0</v>
      </c>
      <c r="AV581" s="839">
        <f ca="1">'PV-Einspeisung'!AE173*-1</f>
        <v>0</v>
      </c>
      <c r="AW581" s="839"/>
      <c r="AX581" s="839">
        <f t="shared" ca="1" si="432"/>
        <v>0</v>
      </c>
      <c r="AY581" s="841">
        <f t="shared" si="415"/>
        <v>28</v>
      </c>
      <c r="AZ581" s="842">
        <f t="shared" ca="1" si="433"/>
        <v>0</v>
      </c>
      <c r="BA581" s="842">
        <f t="shared" ca="1" si="434"/>
        <v>0</v>
      </c>
      <c r="BB581" s="842">
        <f t="shared" ca="1" si="435"/>
        <v>0</v>
      </c>
      <c r="BC581" s="842">
        <f t="shared" ca="1" si="436"/>
        <v>0</v>
      </c>
      <c r="BD581" s="842">
        <f t="shared" ca="1" si="437"/>
        <v>0</v>
      </c>
      <c r="BE581" s="842">
        <f t="shared" ca="1" si="438"/>
        <v>0</v>
      </c>
      <c r="BF581" s="842">
        <f t="shared" ca="1" si="439"/>
        <v>11824.353619938203</v>
      </c>
      <c r="BG581" s="842">
        <f t="shared" ca="1" si="440"/>
        <v>5806.5338156078342</v>
      </c>
      <c r="BH581" s="858">
        <f t="shared" si="423"/>
        <v>28</v>
      </c>
      <c r="BI581" s="857">
        <f t="shared" ca="1" si="441"/>
        <v>4599.704191866872</v>
      </c>
      <c r="BJ581" s="857">
        <f t="shared" ca="1" si="442"/>
        <v>5641.2538161432331</v>
      </c>
      <c r="BK581" s="859">
        <f ca="1">'PV-Einspeisung'!AB173*-1</f>
        <v>0</v>
      </c>
      <c r="BL581" s="824">
        <f t="shared" ref="BL581:BL612" ca="1" si="457">M581</f>
        <v>0</v>
      </c>
      <c r="BM581" s="824">
        <f t="shared" ref="BM581:BM612" ca="1" si="458">N581</f>
        <v>0</v>
      </c>
      <c r="BN581" s="824">
        <f t="shared" ref="BN581:BN612" ca="1" si="459">O581</f>
        <v>0</v>
      </c>
      <c r="BO581" s="824">
        <f t="shared" ca="1" si="450"/>
        <v>0</v>
      </c>
      <c r="BP581" s="824">
        <f t="shared" ca="1" si="450"/>
        <v>0</v>
      </c>
      <c r="BQ581" s="824">
        <f t="shared" ca="1" si="450"/>
        <v>0</v>
      </c>
      <c r="BR581" s="824">
        <f t="shared" ca="1" si="450"/>
        <v>0</v>
      </c>
      <c r="BS581" s="824">
        <f t="shared" ca="1" si="450"/>
        <v>0</v>
      </c>
      <c r="BT581" s="824">
        <f t="shared" ca="1" si="450"/>
        <v>0</v>
      </c>
      <c r="BU581" s="824">
        <f t="shared" ca="1" si="450"/>
        <v>0</v>
      </c>
      <c r="BV581" s="824">
        <f t="shared" ca="1" si="450"/>
        <v>0</v>
      </c>
      <c r="BW581" s="824">
        <f t="shared" ca="1" si="450"/>
        <v>0</v>
      </c>
      <c r="BX581" s="824">
        <f t="shared" ca="1" si="450"/>
        <v>0</v>
      </c>
      <c r="BY581" s="824">
        <f t="shared" ca="1" si="450"/>
        <v>0</v>
      </c>
      <c r="BZ581" s="824">
        <f t="shared" ca="1" si="450"/>
        <v>0</v>
      </c>
      <c r="CA581" s="824">
        <f t="shared" ca="1" si="450"/>
        <v>0</v>
      </c>
      <c r="CB581" s="824">
        <f t="shared" ca="1" si="450"/>
        <v>0</v>
      </c>
      <c r="CC581" s="824">
        <f t="shared" ca="1" si="450"/>
        <v>0</v>
      </c>
      <c r="CD581" s="824">
        <f t="shared" ca="1" si="450"/>
        <v>0</v>
      </c>
      <c r="CE581" s="824">
        <f t="shared" ca="1" si="452"/>
        <v>0</v>
      </c>
      <c r="CF581" s="824">
        <f t="shared" ca="1" si="452"/>
        <v>0</v>
      </c>
      <c r="CG581" s="824">
        <f t="shared" ca="1" si="452"/>
        <v>0</v>
      </c>
      <c r="CH581" s="824">
        <f t="shared" ca="1" si="452"/>
        <v>0</v>
      </c>
      <c r="CI581" s="824">
        <f t="shared" ca="1" si="452"/>
        <v>0</v>
      </c>
      <c r="CJ581" s="824">
        <f t="shared" ca="1" si="452"/>
        <v>0</v>
      </c>
      <c r="CK581" s="824">
        <f t="shared" ca="1" si="452"/>
        <v>0</v>
      </c>
      <c r="CL581" s="824">
        <f t="shared" ca="1" si="452"/>
        <v>0</v>
      </c>
      <c r="CM581" s="824">
        <f t="shared" ca="1" si="452"/>
        <v>0</v>
      </c>
      <c r="CN581" s="824">
        <f t="shared" ca="1" si="452"/>
        <v>0</v>
      </c>
      <c r="CO581" s="824">
        <f t="shared" ca="1" si="452"/>
        <v>0</v>
      </c>
      <c r="CP581" s="824">
        <f t="shared" ca="1" si="452"/>
        <v>0</v>
      </c>
      <c r="CQ581" s="824">
        <f t="shared" ca="1" si="452"/>
        <v>0</v>
      </c>
      <c r="CR581" s="824">
        <f t="shared" ca="1" si="452"/>
        <v>0</v>
      </c>
      <c r="CS581" s="824">
        <f t="shared" ca="1" si="452"/>
        <v>0</v>
      </c>
      <c r="CT581" s="824">
        <f t="shared" ca="1" si="451"/>
        <v>0</v>
      </c>
      <c r="CU581" s="824">
        <f t="shared" ca="1" si="428"/>
        <v>0</v>
      </c>
      <c r="CV581" s="824">
        <f t="shared" ca="1" si="428"/>
        <v>0</v>
      </c>
      <c r="CW581" s="824">
        <f t="shared" ca="1" si="428"/>
        <v>0</v>
      </c>
      <c r="CX581" s="824">
        <f t="shared" ca="1" si="428"/>
        <v>0</v>
      </c>
      <c r="CY581" s="824">
        <f t="shared" ca="1" si="428"/>
        <v>0</v>
      </c>
      <c r="CZ581" s="824">
        <f t="shared" ca="1" si="428"/>
        <v>0</v>
      </c>
      <c r="DA581" s="824">
        <f t="shared" ca="1" si="454"/>
        <v>0</v>
      </c>
      <c r="DB581" s="824">
        <f t="shared" ca="1" si="454"/>
        <v>0</v>
      </c>
      <c r="DC581" s="824">
        <f t="shared" ca="1" si="454"/>
        <v>0</v>
      </c>
      <c r="DD581" s="824">
        <f t="shared" ca="1" si="454"/>
        <v>0</v>
      </c>
      <c r="DE581" s="824">
        <f t="shared" ca="1" si="454"/>
        <v>0</v>
      </c>
      <c r="DF581" s="824">
        <f t="shared" ca="1" si="454"/>
        <v>0</v>
      </c>
      <c r="DG581" s="824">
        <f t="shared" ca="1" si="454"/>
        <v>0</v>
      </c>
      <c r="DH581" s="824">
        <f t="shared" ca="1" si="454"/>
        <v>0</v>
      </c>
      <c r="DI581" s="824">
        <f t="shared" ca="1" si="454"/>
        <v>0</v>
      </c>
      <c r="DJ581" s="824">
        <f t="shared" ca="1" si="454"/>
        <v>0</v>
      </c>
      <c r="DK581" s="824">
        <f t="shared" ca="1" si="453"/>
        <v>0</v>
      </c>
      <c r="DL581" s="824">
        <f t="shared" ca="1" si="453"/>
        <v>0</v>
      </c>
    </row>
    <row r="582" spans="2:116" ht="12" thickBot="1" x14ac:dyDescent="0.3">
      <c r="B582" s="1673"/>
      <c r="C582" s="1680"/>
      <c r="D582" s="15" t="s">
        <v>263</v>
      </c>
      <c r="E582" s="165"/>
      <c r="F582" s="116">
        <f ca="1">SUBTOTAL(109,'3.3 I&amp;W'!$X$95)</f>
        <v>0</v>
      </c>
      <c r="G582" s="116">
        <f ca="1">SUBTOTAL(109,'3.3 I&amp;W'!$Y$95)</f>
        <v>0</v>
      </c>
      <c r="H582" s="116">
        <f ca="1">SUBTOTAL(109,'3.3 I&amp;W'!$AD$95)</f>
        <v>0</v>
      </c>
      <c r="I582" s="116">
        <f ca="1">SUBTOTAL(109,'3.3 I&amp;W'!$AE$95)</f>
        <v>0</v>
      </c>
      <c r="J582" s="116"/>
      <c r="K582" s="116"/>
      <c r="L582" s="116"/>
      <c r="M582" s="116">
        <f ca="1">SUBTOTAL(109,'3.3 I&amp;W'!$AI$95)</f>
        <v>0</v>
      </c>
      <c r="N582" s="156">
        <f t="shared" ca="1" si="404"/>
        <v>0</v>
      </c>
      <c r="O582" s="116">
        <f ca="1">SUBTOTAL(109,'3.3 I&amp;W'!$S$95)</f>
        <v>0</v>
      </c>
      <c r="P582" s="30">
        <f t="shared" ca="1" si="445"/>
        <v>0</v>
      </c>
      <c r="Q582" s="31">
        <f t="shared" ca="1" si="446"/>
        <v>0</v>
      </c>
      <c r="R582" s="31">
        <f t="shared" ca="1" si="447"/>
        <v>0</v>
      </c>
      <c r="S582" s="31">
        <f t="shared" ca="1" si="448"/>
        <v>0</v>
      </c>
      <c r="T582" s="32">
        <f t="shared" ca="1" si="449"/>
        <v>0</v>
      </c>
      <c r="U582" s="37">
        <f t="shared" ca="1" si="405"/>
        <v>0</v>
      </c>
      <c r="V582" s="40">
        <f t="shared" ca="1" si="455"/>
        <v>0</v>
      </c>
      <c r="W582" s="41">
        <f t="shared" ca="1" si="456"/>
        <v>0</v>
      </c>
      <c r="X582" s="43"/>
      <c r="Y582" s="46"/>
      <c r="Z582" s="126"/>
      <c r="AA582" s="136"/>
      <c r="AB582" s="83">
        <v>29</v>
      </c>
      <c r="AC582" s="84">
        <f ca="1">IF(AF581&lt;=1,0,'3.3 Fi&amp;Fo'!$I$25)</f>
        <v>49369.168897197917</v>
      </c>
      <c r="AD582" s="72">
        <f ca="1">IF(AF581&lt;=1,0,AF581*'3.3 Fi&amp;Fo'!$H$25)</f>
        <v>6390.3364040328233</v>
      </c>
      <c r="AE582" s="78">
        <f t="shared" ca="1" si="409"/>
        <v>42978.832493165093</v>
      </c>
      <c r="AF582" s="85">
        <f t="shared" ca="1" si="410"/>
        <v>276537.98770847608</v>
      </c>
      <c r="AG582" s="168">
        <f>IF(AJ581&lt;=1,0,IF(AB582&lt;='3.3 Fi&amp;Fo'!$F$34,'3.3 Fi&amp;Fo'!$J$34,IF(AB582&lt;='3.3 Fi&amp;Fo'!$F$35,'3.3 Fi&amp;Fo'!$J$35,IF(AB582&lt;='3.3 Fi&amp;Fo'!$F$36,'3.3 Fi&amp;Fo'!$J$36,IF(AB582&lt;='3.3 Fi&amp;Fo'!$F$37,'3.3 Fi&amp;Fo'!$J$37,IF(AB582&lt;='3.3 Fi&amp;Fo'!$F$38,'3.3 Fi&amp;Fo'!$J$38,IF(AB582&lt;='3.3 Fi&amp;Fo'!$F$39,'3.3 Fi&amp;Fo'!$J$39,IF(AB582&lt;='3.3 Fi&amp;Fo'!$F$40,'3.3 Fi&amp;Fo'!$J$40))))))))</f>
        <v>102167.856</v>
      </c>
      <c r="AH582" s="207">
        <f>IF(AJ581&lt;=1,0,AJ581*IF(AB582&lt;='3.3 Fi&amp;Fo'!$F$34,'3.3 Fi&amp;Fo'!$I$34,IF(AB582&lt;='3.3 Fi&amp;Fo'!$F$35,'3.3 Fi&amp;Fo'!$I$35,IF(AB582&lt;='3.3 Fi&amp;Fo'!$F$38,'3.3 Fi&amp;Fo'!$I$38,IF(AB582&lt;='3.3 Fi&amp;Fo'!$F$39,'3.3 Fi&amp;Fo'!$I$39,IF(AB582&lt;='3.3 Fi&amp;Fo'!$F$40,'3.3 Fi&amp;Fo'!$I$40))))))</f>
        <v>134186.21510997065</v>
      </c>
      <c r="AI582" s="210">
        <f t="shared" si="411"/>
        <v>-32018.359109970654</v>
      </c>
      <c r="AJ582" s="209">
        <f t="shared" si="412"/>
        <v>2268455.2776094819</v>
      </c>
      <c r="AK582" s="312">
        <f t="shared" ca="1" si="424"/>
        <v>-190349.10758374882</v>
      </c>
      <c r="AL582" s="169">
        <f>IF(AB582&lt;='3.3 Fi&amp;Fo'!$J$15,'3.3 Fi&amp;Fo'!$I$15,0)</f>
        <v>0</v>
      </c>
      <c r="AM582" s="169">
        <f t="shared" si="425"/>
        <v>38812.082686550915</v>
      </c>
      <c r="AN582" s="838">
        <f t="shared" si="430"/>
        <v>29</v>
      </c>
      <c r="AO582" s="844">
        <f t="shared" ca="1" si="413"/>
        <v>190349.10758374882</v>
      </c>
      <c r="AP582" s="839">
        <f ca="1">CQ658</f>
        <v>0</v>
      </c>
      <c r="AQ582" s="844">
        <f t="shared" si="414"/>
        <v>0</v>
      </c>
      <c r="AR582" s="839">
        <f t="shared" ca="1" si="431"/>
        <v>0</v>
      </c>
      <c r="AS582" s="839">
        <f t="shared" ca="1" si="426"/>
        <v>10404.813336138268</v>
      </c>
      <c r="AT582" s="839">
        <f t="shared" ca="1" si="427"/>
        <v>18129.724959590767</v>
      </c>
      <c r="AU582" s="839">
        <f ca="1">'PV-Einspeisung'!AA174*-1</f>
        <v>0</v>
      </c>
      <c r="AV582" s="839">
        <f ca="1">'PV-Einspeisung'!AE174*-1</f>
        <v>0</v>
      </c>
      <c r="AW582" s="839"/>
      <c r="AX582" s="839">
        <f t="shared" ca="1" si="432"/>
        <v>0</v>
      </c>
      <c r="AY582" s="841">
        <f t="shared" si="415"/>
        <v>29</v>
      </c>
      <c r="AZ582" s="842">
        <f t="shared" ca="1" si="433"/>
        <v>0</v>
      </c>
      <c r="BA582" s="842">
        <f t="shared" ca="1" si="434"/>
        <v>0</v>
      </c>
      <c r="BB582" s="842">
        <f t="shared" ca="1" si="435"/>
        <v>0</v>
      </c>
      <c r="BC582" s="842">
        <f t="shared" ca="1" si="436"/>
        <v>0</v>
      </c>
      <c r="BD582" s="842">
        <f t="shared" ca="1" si="437"/>
        <v>0</v>
      </c>
      <c r="BE582" s="842">
        <f t="shared" ca="1" si="438"/>
        <v>0</v>
      </c>
      <c r="BF582" s="842">
        <f t="shared" ca="1" si="439"/>
        <v>12119.962460436658</v>
      </c>
      <c r="BG582" s="842">
        <f t="shared" ca="1" si="440"/>
        <v>6009.7624991541079</v>
      </c>
      <c r="BH582" s="858">
        <f t="shared" si="423"/>
        <v>29</v>
      </c>
      <c r="BI582" s="857">
        <f t="shared" ca="1" si="441"/>
        <v>4673.2994589367418</v>
      </c>
      <c r="BJ582" s="857">
        <f t="shared" ca="1" si="442"/>
        <v>5731.5138772015252</v>
      </c>
      <c r="BK582" s="859">
        <f ca="1">'PV-Einspeisung'!AB174*-1</f>
        <v>0</v>
      </c>
      <c r="BL582" s="824">
        <f t="shared" ca="1" si="457"/>
        <v>0</v>
      </c>
      <c r="BM582" s="824">
        <f t="shared" ca="1" si="458"/>
        <v>0</v>
      </c>
      <c r="BN582" s="824">
        <f t="shared" ca="1" si="459"/>
        <v>0</v>
      </c>
      <c r="BO582" s="824">
        <f t="shared" ca="1" si="450"/>
        <v>0</v>
      </c>
      <c r="BP582" s="824">
        <f t="shared" ca="1" si="450"/>
        <v>0</v>
      </c>
      <c r="BQ582" s="824">
        <f t="shared" ca="1" si="450"/>
        <v>0</v>
      </c>
      <c r="BR582" s="824">
        <f t="shared" ca="1" si="450"/>
        <v>0</v>
      </c>
      <c r="BS582" s="824">
        <f t="shared" ca="1" si="450"/>
        <v>0</v>
      </c>
      <c r="BT582" s="824">
        <f t="shared" ca="1" si="450"/>
        <v>0</v>
      </c>
      <c r="BU582" s="824">
        <f t="shared" ca="1" si="450"/>
        <v>0</v>
      </c>
      <c r="BV582" s="824">
        <f t="shared" ca="1" si="450"/>
        <v>0</v>
      </c>
      <c r="BW582" s="824">
        <f t="shared" ca="1" si="450"/>
        <v>0</v>
      </c>
      <c r="BX582" s="824">
        <f t="shared" ca="1" si="450"/>
        <v>0</v>
      </c>
      <c r="BY582" s="824">
        <f t="shared" ca="1" si="450"/>
        <v>0</v>
      </c>
      <c r="BZ582" s="824">
        <f t="shared" ca="1" si="450"/>
        <v>0</v>
      </c>
      <c r="CA582" s="824">
        <f t="shared" ca="1" si="450"/>
        <v>0</v>
      </c>
      <c r="CB582" s="824">
        <f t="shared" ca="1" si="450"/>
        <v>0</v>
      </c>
      <c r="CC582" s="824">
        <f t="shared" ca="1" si="450"/>
        <v>0</v>
      </c>
      <c r="CD582" s="824">
        <f t="shared" ca="1" si="450"/>
        <v>0</v>
      </c>
      <c r="CE582" s="824">
        <f t="shared" ca="1" si="452"/>
        <v>0</v>
      </c>
      <c r="CF582" s="824">
        <f t="shared" ca="1" si="452"/>
        <v>0</v>
      </c>
      <c r="CG582" s="824">
        <f t="shared" ca="1" si="452"/>
        <v>0</v>
      </c>
      <c r="CH582" s="824">
        <f t="shared" ca="1" si="452"/>
        <v>0</v>
      </c>
      <c r="CI582" s="824">
        <f t="shared" ca="1" si="452"/>
        <v>0</v>
      </c>
      <c r="CJ582" s="824">
        <f t="shared" ca="1" si="452"/>
        <v>0</v>
      </c>
      <c r="CK582" s="824">
        <f t="shared" ca="1" si="452"/>
        <v>0</v>
      </c>
      <c r="CL582" s="824">
        <f t="shared" ca="1" si="452"/>
        <v>0</v>
      </c>
      <c r="CM582" s="824">
        <f t="shared" ca="1" si="452"/>
        <v>0</v>
      </c>
      <c r="CN582" s="824">
        <f t="shared" ca="1" si="452"/>
        <v>0</v>
      </c>
      <c r="CO582" s="824">
        <f t="shared" ca="1" si="452"/>
        <v>0</v>
      </c>
      <c r="CP582" s="824">
        <f t="shared" ca="1" si="452"/>
        <v>0</v>
      </c>
      <c r="CQ582" s="824">
        <f t="shared" ca="1" si="452"/>
        <v>0</v>
      </c>
      <c r="CR582" s="824">
        <f t="shared" ca="1" si="452"/>
        <v>0</v>
      </c>
      <c r="CS582" s="824">
        <f t="shared" ca="1" si="452"/>
        <v>0</v>
      </c>
      <c r="CT582" s="824">
        <f t="shared" ca="1" si="451"/>
        <v>0</v>
      </c>
      <c r="CU582" s="824">
        <f t="shared" ca="1" si="451"/>
        <v>0</v>
      </c>
      <c r="CV582" s="824">
        <f t="shared" ca="1" si="451"/>
        <v>0</v>
      </c>
      <c r="CW582" s="824">
        <f t="shared" ca="1" si="451"/>
        <v>0</v>
      </c>
      <c r="CX582" s="824">
        <f t="shared" ca="1" si="451"/>
        <v>0</v>
      </c>
      <c r="CY582" s="824">
        <f t="shared" ca="1" si="451"/>
        <v>0</v>
      </c>
      <c r="CZ582" s="824">
        <f t="shared" ca="1" si="451"/>
        <v>0</v>
      </c>
      <c r="DA582" s="824">
        <f t="shared" ca="1" si="451"/>
        <v>0</v>
      </c>
      <c r="DB582" s="824">
        <f t="shared" ca="1" si="451"/>
        <v>0</v>
      </c>
      <c r="DC582" s="824">
        <f t="shared" ca="1" si="451"/>
        <v>0</v>
      </c>
      <c r="DD582" s="824">
        <f t="shared" ca="1" si="451"/>
        <v>0</v>
      </c>
      <c r="DE582" s="824">
        <f t="shared" ca="1" si="451"/>
        <v>0</v>
      </c>
      <c r="DF582" s="824">
        <f t="shared" ca="1" si="451"/>
        <v>0</v>
      </c>
      <c r="DG582" s="824">
        <f t="shared" ca="1" si="454"/>
        <v>0</v>
      </c>
      <c r="DH582" s="824">
        <f t="shared" ca="1" si="454"/>
        <v>0</v>
      </c>
      <c r="DI582" s="824">
        <f t="shared" ca="1" si="454"/>
        <v>0</v>
      </c>
      <c r="DJ582" s="824">
        <f t="shared" ca="1" si="454"/>
        <v>0</v>
      </c>
      <c r="DK582" s="824">
        <f t="shared" ca="1" si="453"/>
        <v>0</v>
      </c>
      <c r="DL582" s="824">
        <f t="shared" ca="1" si="453"/>
        <v>0</v>
      </c>
    </row>
    <row r="583" spans="2:116" ht="12" thickBot="1" x14ac:dyDescent="0.3">
      <c r="B583" s="1673"/>
      <c r="C583" s="1680"/>
      <c r="D583" s="15" t="s">
        <v>263</v>
      </c>
      <c r="E583" s="116"/>
      <c r="F583" s="116">
        <f ca="1">SUBTOTAL(109,'3.3 I&amp;W'!$X$96)</f>
        <v>0</v>
      </c>
      <c r="G583" s="116">
        <f ca="1">SUBTOTAL(109,'3.3 I&amp;W'!$Y$96)</f>
        <v>0</v>
      </c>
      <c r="H583" s="116">
        <f ca="1">SUBTOTAL(109,'3.3 I&amp;W'!$AD$96)</f>
        <v>0</v>
      </c>
      <c r="I583" s="116">
        <f ca="1">SUBTOTAL(109,'3.3 I&amp;W'!$AE$96)</f>
        <v>0</v>
      </c>
      <c r="J583" s="116"/>
      <c r="K583" s="116"/>
      <c r="L583" s="116"/>
      <c r="M583" s="116">
        <f ca="1">SUBTOTAL(109,'3.3 I&amp;W'!$AI$96)</f>
        <v>0</v>
      </c>
      <c r="N583" s="156">
        <f t="shared" ca="1" si="404"/>
        <v>0</v>
      </c>
      <c r="O583" s="116">
        <f ca="1">SUBTOTAL(109,'3.3 I&amp;W'!$S$96)</f>
        <v>0</v>
      </c>
      <c r="P583" s="30">
        <f t="shared" ca="1" si="445"/>
        <v>0</v>
      </c>
      <c r="Q583" s="31">
        <f t="shared" ca="1" si="446"/>
        <v>0</v>
      </c>
      <c r="R583" s="31">
        <f t="shared" ca="1" si="447"/>
        <v>0</v>
      </c>
      <c r="S583" s="31">
        <f t="shared" ca="1" si="448"/>
        <v>0</v>
      </c>
      <c r="T583" s="32">
        <f t="shared" ca="1" si="449"/>
        <v>0</v>
      </c>
      <c r="U583" s="37">
        <f t="shared" ca="1" si="405"/>
        <v>0</v>
      </c>
      <c r="V583" s="40">
        <f t="shared" ca="1" si="455"/>
        <v>0</v>
      </c>
      <c r="W583" s="41">
        <f t="shared" ca="1" si="456"/>
        <v>0</v>
      </c>
      <c r="X583" s="43"/>
      <c r="Y583" s="46"/>
      <c r="Z583" s="126"/>
      <c r="AA583" s="136"/>
      <c r="AB583" s="83">
        <v>30</v>
      </c>
      <c r="AC583" s="84">
        <f ca="1">IF(AF582&lt;=1,0,'3.3 Fi&amp;Fo'!$I$25)</f>
        <v>49369.168897197917</v>
      </c>
      <c r="AD583" s="72">
        <f ca="1">IF(AF582&lt;=1,0,AF582*'3.3 Fi&amp;Fo'!$H$25)</f>
        <v>5530.7597541695213</v>
      </c>
      <c r="AE583" s="78">
        <f t="shared" ca="1" si="409"/>
        <v>43838.409143028395</v>
      </c>
      <c r="AF583" s="85">
        <f t="shared" ca="1" si="410"/>
        <v>232699.57856544768</v>
      </c>
      <c r="AG583" s="168">
        <f>IF(AJ582&lt;=1,0,IF(AB583&lt;='3.3 Fi&amp;Fo'!$F$34,'3.3 Fi&amp;Fo'!$J$34,IF(AB583&lt;='3.3 Fi&amp;Fo'!$F$35,'3.3 Fi&amp;Fo'!$J$35,IF(AB583&lt;='3.3 Fi&amp;Fo'!$F$36,'3.3 Fi&amp;Fo'!$J$36,IF(AB583&lt;='3.3 Fi&amp;Fo'!$F$37,'3.3 Fi&amp;Fo'!$J$37,IF(AB583&lt;='3.3 Fi&amp;Fo'!$F$38,'3.3 Fi&amp;Fo'!$J$38,IF(AB583&lt;='3.3 Fi&amp;Fo'!$F$39,'3.3 Fi&amp;Fo'!$J$39,IF(AB583&lt;='3.3 Fi&amp;Fo'!$F$40,'3.3 Fi&amp;Fo'!$J$40))))))))</f>
        <v>102167.856</v>
      </c>
      <c r="AH583" s="207">
        <f>IF(AJ582&lt;=1,0,AJ582*IF(AB583&lt;='3.3 Fi&amp;Fo'!$F$34,'3.3 Fi&amp;Fo'!$I$34,IF(AB583&lt;='3.3 Fi&amp;Fo'!$F$35,'3.3 Fi&amp;Fo'!$I$35,IF(AB583&lt;='3.3 Fi&amp;Fo'!$F$38,'3.3 Fi&amp;Fo'!$I$38,IF(AB583&lt;='3.3 Fi&amp;Fo'!$F$39,'3.3 Fi&amp;Fo'!$I$39,IF(AB583&lt;='3.3 Fi&amp;Fo'!$F$40,'3.3 Fi&amp;Fo'!$I$40))))))</f>
        <v>136107.3166565689</v>
      </c>
      <c r="AI583" s="210">
        <f t="shared" si="411"/>
        <v>-33939.460656568903</v>
      </c>
      <c r="AJ583" s="209">
        <f t="shared" si="412"/>
        <v>2302394.7382660508</v>
      </c>
      <c r="AK583" s="312">
        <f t="shared" ca="1" si="424"/>
        <v>-191125.34923748038</v>
      </c>
      <c r="AL583" s="169">
        <f>IF(AB583&lt;='3.3 Fi&amp;Fo'!$J$15,'3.3 Fi&amp;Fo'!$I$15,0)</f>
        <v>0</v>
      </c>
      <c r="AM583" s="169">
        <f t="shared" si="425"/>
        <v>39588.324340282474</v>
      </c>
      <c r="AN583" s="838">
        <f t="shared" si="430"/>
        <v>30</v>
      </c>
      <c r="AO583" s="844">
        <f t="shared" ca="1" si="413"/>
        <v>191125.34923748038</v>
      </c>
      <c r="AP583" s="839">
        <f ca="1">CR658</f>
        <v>150514.72851978976</v>
      </c>
      <c r="AQ583" s="844">
        <f t="shared" si="414"/>
        <v>0</v>
      </c>
      <c r="AR583" s="839">
        <f t="shared" ca="1" si="431"/>
        <v>0</v>
      </c>
      <c r="AS583" s="839">
        <f t="shared" ca="1" si="426"/>
        <v>10571.290349516479</v>
      </c>
      <c r="AT583" s="839">
        <f t="shared" ca="1" si="427"/>
        <v>18643.065708572074</v>
      </c>
      <c r="AU583" s="839">
        <f ca="1">'PV-Einspeisung'!AA175*-1</f>
        <v>0</v>
      </c>
      <c r="AV583" s="839">
        <f ca="1">'PV-Einspeisung'!AE175*-1</f>
        <v>0</v>
      </c>
      <c r="AW583" s="839"/>
      <c r="AX583" s="839">
        <f t="shared" ca="1" si="432"/>
        <v>0</v>
      </c>
      <c r="AY583" s="841">
        <f t="shared" si="415"/>
        <v>30</v>
      </c>
      <c r="AZ583" s="842">
        <f t="shared" ca="1" si="433"/>
        <v>0</v>
      </c>
      <c r="BA583" s="842">
        <f t="shared" ca="1" si="434"/>
        <v>0</v>
      </c>
      <c r="BB583" s="842">
        <f t="shared" ca="1" si="435"/>
        <v>0</v>
      </c>
      <c r="BC583" s="842">
        <f t="shared" ca="1" si="436"/>
        <v>0</v>
      </c>
      <c r="BD583" s="842">
        <f t="shared" ca="1" si="437"/>
        <v>0</v>
      </c>
      <c r="BE583" s="842">
        <f t="shared" ca="1" si="438"/>
        <v>0</v>
      </c>
      <c r="BF583" s="842">
        <f t="shared" ca="1" si="439"/>
        <v>12422.961521947573</v>
      </c>
      <c r="BG583" s="842">
        <f t="shared" ca="1" si="440"/>
        <v>6220.1041866245014</v>
      </c>
      <c r="BH583" s="858">
        <f t="shared" si="423"/>
        <v>30</v>
      </c>
      <c r="BI583" s="857">
        <f t="shared" ca="1" si="441"/>
        <v>4748.0722502797298</v>
      </c>
      <c r="BJ583" s="857">
        <f t="shared" ca="1" si="442"/>
        <v>5823.2180992367494</v>
      </c>
      <c r="BK583" s="859">
        <f ca="1">'PV-Einspeisung'!AB175*-1</f>
        <v>0</v>
      </c>
      <c r="BL583" s="824">
        <f t="shared" ca="1" si="457"/>
        <v>0</v>
      </c>
      <c r="BM583" s="824">
        <f t="shared" ca="1" si="458"/>
        <v>0</v>
      </c>
      <c r="BN583" s="824">
        <f t="shared" ca="1" si="459"/>
        <v>0</v>
      </c>
      <c r="BO583" s="824">
        <f t="shared" ca="1" si="450"/>
        <v>0</v>
      </c>
      <c r="BP583" s="824">
        <f t="shared" ca="1" si="450"/>
        <v>0</v>
      </c>
      <c r="BQ583" s="824">
        <f t="shared" ca="1" si="450"/>
        <v>0</v>
      </c>
      <c r="BR583" s="824">
        <f t="shared" ca="1" si="450"/>
        <v>0</v>
      </c>
      <c r="BS583" s="824">
        <f t="shared" ca="1" si="450"/>
        <v>0</v>
      </c>
      <c r="BT583" s="824">
        <f t="shared" ca="1" si="450"/>
        <v>0</v>
      </c>
      <c r="BU583" s="824">
        <f t="shared" ca="1" si="450"/>
        <v>0</v>
      </c>
      <c r="BV583" s="824">
        <f t="shared" ca="1" si="450"/>
        <v>0</v>
      </c>
      <c r="BW583" s="824">
        <f t="shared" ca="1" si="450"/>
        <v>0</v>
      </c>
      <c r="BX583" s="824">
        <f t="shared" ca="1" si="450"/>
        <v>0</v>
      </c>
      <c r="BY583" s="824">
        <f t="shared" ca="1" si="450"/>
        <v>0</v>
      </c>
      <c r="BZ583" s="824">
        <f t="shared" ca="1" si="450"/>
        <v>0</v>
      </c>
      <c r="CA583" s="824">
        <f t="shared" ca="1" si="450"/>
        <v>0</v>
      </c>
      <c r="CB583" s="824">
        <f t="shared" ca="1" si="450"/>
        <v>0</v>
      </c>
      <c r="CC583" s="824">
        <f t="shared" ca="1" si="450"/>
        <v>0</v>
      </c>
      <c r="CD583" s="824">
        <f t="shared" ref="CD583:CS598" ca="1" si="460">IF(OR(IF($BL583*1&lt;$BL$196,$BL583*1=CD$198,FALSE),IF($BL583*2&lt;$BL$196,$BL583*2=CD$198,FALSE),IF($BL583*3&lt;$BL$196,$BL583*3=CD$198,FALSE),IF($BL583*4&lt;$BL$196,$BL583*4=CD$198,FALSE),IF($BL583*5&lt;$BL$196,$BL583*5=CD$198,FALSE)),$BN583*$BM$196^CD$198,0)</f>
        <v>0</v>
      </c>
      <c r="CE583" s="824">
        <f t="shared" ca="1" si="460"/>
        <v>0</v>
      </c>
      <c r="CF583" s="824">
        <f t="shared" ca="1" si="460"/>
        <v>0</v>
      </c>
      <c r="CG583" s="824">
        <f t="shared" ca="1" si="460"/>
        <v>0</v>
      </c>
      <c r="CH583" s="824">
        <f t="shared" ca="1" si="460"/>
        <v>0</v>
      </c>
      <c r="CI583" s="824">
        <f t="shared" ca="1" si="460"/>
        <v>0</v>
      </c>
      <c r="CJ583" s="824">
        <f t="shared" ca="1" si="460"/>
        <v>0</v>
      </c>
      <c r="CK583" s="824">
        <f t="shared" ca="1" si="460"/>
        <v>0</v>
      </c>
      <c r="CL583" s="824">
        <f t="shared" ca="1" si="460"/>
        <v>0</v>
      </c>
      <c r="CM583" s="824">
        <f t="shared" ca="1" si="460"/>
        <v>0</v>
      </c>
      <c r="CN583" s="824">
        <f t="shared" ca="1" si="460"/>
        <v>0</v>
      </c>
      <c r="CO583" s="824">
        <f t="shared" ca="1" si="460"/>
        <v>0</v>
      </c>
      <c r="CP583" s="824">
        <f t="shared" ca="1" si="460"/>
        <v>0</v>
      </c>
      <c r="CQ583" s="824">
        <f t="shared" ca="1" si="460"/>
        <v>0</v>
      </c>
      <c r="CR583" s="824">
        <f t="shared" ca="1" si="460"/>
        <v>0</v>
      </c>
      <c r="CS583" s="824">
        <f t="shared" ca="1" si="460"/>
        <v>0</v>
      </c>
      <c r="CT583" s="824">
        <f t="shared" ca="1" si="451"/>
        <v>0</v>
      </c>
      <c r="CU583" s="824">
        <f t="shared" ca="1" si="451"/>
        <v>0</v>
      </c>
      <c r="CV583" s="824">
        <f t="shared" ca="1" si="451"/>
        <v>0</v>
      </c>
      <c r="CW583" s="824">
        <f t="shared" ca="1" si="451"/>
        <v>0</v>
      </c>
      <c r="CX583" s="824">
        <f t="shared" ca="1" si="451"/>
        <v>0</v>
      </c>
      <c r="CY583" s="824">
        <f t="shared" ca="1" si="451"/>
        <v>0</v>
      </c>
      <c r="CZ583" s="824">
        <f t="shared" ca="1" si="451"/>
        <v>0</v>
      </c>
      <c r="DA583" s="824">
        <f t="shared" ca="1" si="451"/>
        <v>0</v>
      </c>
      <c r="DB583" s="824">
        <f t="shared" ca="1" si="451"/>
        <v>0</v>
      </c>
      <c r="DC583" s="824">
        <f t="shared" ca="1" si="451"/>
        <v>0</v>
      </c>
      <c r="DD583" s="824">
        <f t="shared" ca="1" si="451"/>
        <v>0</v>
      </c>
      <c r="DE583" s="824">
        <f t="shared" ca="1" si="451"/>
        <v>0</v>
      </c>
      <c r="DF583" s="824">
        <f t="shared" ca="1" si="451"/>
        <v>0</v>
      </c>
      <c r="DG583" s="824">
        <f t="shared" ca="1" si="454"/>
        <v>0</v>
      </c>
      <c r="DH583" s="824">
        <f t="shared" ca="1" si="454"/>
        <v>0</v>
      </c>
      <c r="DI583" s="824">
        <f t="shared" ca="1" si="454"/>
        <v>0</v>
      </c>
      <c r="DJ583" s="824">
        <f t="shared" ca="1" si="454"/>
        <v>0</v>
      </c>
      <c r="DK583" s="824">
        <f t="shared" ca="1" si="453"/>
        <v>0</v>
      </c>
      <c r="DL583" s="824">
        <f t="shared" ca="1" si="453"/>
        <v>0</v>
      </c>
    </row>
    <row r="584" spans="2:116" ht="12" thickBot="1" x14ac:dyDescent="0.3">
      <c r="B584" s="1673"/>
      <c r="C584" s="1680"/>
      <c r="D584" s="15" t="s">
        <v>263</v>
      </c>
      <c r="E584" s="165"/>
      <c r="F584" s="116">
        <f ca="1">SUBTOTAL(109,'3.3 I&amp;W'!$X$97)</f>
        <v>0</v>
      </c>
      <c r="G584" s="116">
        <f ca="1">SUBTOTAL(109,'3.3 I&amp;W'!$Y$97)</f>
        <v>0</v>
      </c>
      <c r="H584" s="116">
        <f ca="1">SUBTOTAL(109,'3.3 I&amp;W'!$AD$97)</f>
        <v>0</v>
      </c>
      <c r="I584" s="116">
        <f ca="1">SUBTOTAL(109,'3.3 I&amp;W'!$AE$97)</f>
        <v>0</v>
      </c>
      <c r="J584" s="116"/>
      <c r="K584" s="116"/>
      <c r="L584" s="116"/>
      <c r="M584" s="116">
        <f ca="1">SUBTOTAL(109,'3.3 I&amp;W'!$AI$97)</f>
        <v>0</v>
      </c>
      <c r="N584" s="156">
        <f t="shared" ca="1" si="404"/>
        <v>0</v>
      </c>
      <c r="O584" s="116">
        <f ca="1">SUBTOTAL(109,'3.3 I&amp;W'!$S$97)</f>
        <v>0</v>
      </c>
      <c r="P584" s="30">
        <f t="shared" ca="1" si="445"/>
        <v>0</v>
      </c>
      <c r="Q584" s="31">
        <f t="shared" ca="1" si="446"/>
        <v>0</v>
      </c>
      <c r="R584" s="31">
        <f t="shared" ca="1" si="447"/>
        <v>0</v>
      </c>
      <c r="S584" s="31">
        <f t="shared" ca="1" si="448"/>
        <v>0</v>
      </c>
      <c r="T584" s="32">
        <f t="shared" ca="1" si="449"/>
        <v>0</v>
      </c>
      <c r="U584" s="37">
        <f t="shared" ca="1" si="405"/>
        <v>0</v>
      </c>
      <c r="V584" s="40">
        <f t="shared" ca="1" si="455"/>
        <v>0</v>
      </c>
      <c r="W584" s="41">
        <f t="shared" ca="1" si="456"/>
        <v>0</v>
      </c>
      <c r="X584" s="43"/>
      <c r="Y584" s="46"/>
      <c r="Z584" s="126"/>
      <c r="AA584" s="136"/>
      <c r="AB584" s="83">
        <v>31</v>
      </c>
      <c r="AC584" s="84">
        <f ca="1">IF(AF583&lt;=1,0,'3.3 Fi&amp;Fo'!$I$25)</f>
        <v>49369.168897197917</v>
      </c>
      <c r="AD584" s="72">
        <f ca="1">IF(AF583&lt;=1,0,AF583*'3.3 Fi&amp;Fo'!$H$25)</f>
        <v>4653.991571308954</v>
      </c>
      <c r="AE584" s="78">
        <f t="shared" ca="1" si="409"/>
        <v>44715.177325888959</v>
      </c>
      <c r="AF584" s="85">
        <f t="shared" ca="1" si="410"/>
        <v>187984.40123955871</v>
      </c>
      <c r="AG584" s="168">
        <f>IF(AJ583&lt;=1,0,IF(AB584&lt;='3.3 Fi&amp;Fo'!$F$34,'3.3 Fi&amp;Fo'!$J$34,IF(AB584&lt;='3.3 Fi&amp;Fo'!$F$35,'3.3 Fi&amp;Fo'!$J$35,IF(AB584&lt;='3.3 Fi&amp;Fo'!$F$36,'3.3 Fi&amp;Fo'!$J$36,IF(AB584&lt;='3.3 Fi&amp;Fo'!$F$37,'3.3 Fi&amp;Fo'!$J$37,IF(AB584&lt;='3.3 Fi&amp;Fo'!$F$38,'3.3 Fi&amp;Fo'!$J$38,IF(AB584&lt;='3.3 Fi&amp;Fo'!$F$39,'3.3 Fi&amp;Fo'!$J$39,IF(AB584&lt;='3.3 Fi&amp;Fo'!$F$40,'3.3 Fi&amp;Fo'!$J$40))))))))</f>
        <v>110680.84400000001</v>
      </c>
      <c r="AH584" s="207">
        <f>IF(AJ583&lt;=1,0,AJ583*IF(AB584&lt;='3.3 Fi&amp;Fo'!$F$34,'3.3 Fi&amp;Fo'!$I$34,IF(AB584&lt;='3.3 Fi&amp;Fo'!$F$35,'3.3 Fi&amp;Fo'!$I$35,IF(AB584&lt;='3.3 Fi&amp;Fo'!$F$38,'3.3 Fi&amp;Fo'!$I$38,IF(AB584&lt;='3.3 Fi&amp;Fo'!$F$39,'3.3 Fi&amp;Fo'!$I$39,IF(AB584&lt;='3.3 Fi&amp;Fo'!$F$40,'3.3 Fi&amp;Fo'!$I$40))))))</f>
        <v>149655.65798729332</v>
      </c>
      <c r="AI584" s="210">
        <f t="shared" si="411"/>
        <v>-38974.81398729331</v>
      </c>
      <c r="AJ584" s="209">
        <f t="shared" si="412"/>
        <v>2341369.5522533441</v>
      </c>
      <c r="AK584" s="312">
        <f t="shared" ca="1" si="424"/>
        <v>-200430.10372428532</v>
      </c>
      <c r="AL584" s="169">
        <f>IF(AB584&lt;='3.3 Fi&amp;Fo'!$J$15,'3.3 Fi&amp;Fo'!$I$15,0)</f>
        <v>0</v>
      </c>
      <c r="AM584" s="169">
        <f t="shared" si="425"/>
        <v>40380.090827087406</v>
      </c>
      <c r="AN584" s="838">
        <f t="shared" si="430"/>
        <v>31</v>
      </c>
      <c r="AO584" s="844">
        <f t="shared" ca="1" si="413"/>
        <v>200430.10372428532</v>
      </c>
      <c r="AP584" s="839">
        <f ca="1">CS658</f>
        <v>0</v>
      </c>
      <c r="AQ584" s="844">
        <f t="shared" si="414"/>
        <v>0</v>
      </c>
      <c r="AR584" s="839">
        <f t="shared" ca="1" si="431"/>
        <v>0</v>
      </c>
      <c r="AS584" s="839">
        <f t="shared" ca="1" si="426"/>
        <v>10740.430995108742</v>
      </c>
      <c r="AT584" s="839">
        <f t="shared" ca="1" si="427"/>
        <v>19171.34339315262</v>
      </c>
      <c r="AU584" s="839">
        <f ca="1">'PV-Einspeisung'!AA176*-1</f>
        <v>0</v>
      </c>
      <c r="AV584" s="839">
        <f ca="1">'PV-Einspeisung'!AE176*-1</f>
        <v>0</v>
      </c>
      <c r="AW584" s="839"/>
      <c r="AX584" s="839">
        <f t="shared" ca="1" si="432"/>
        <v>0</v>
      </c>
      <c r="AY584" s="841">
        <f t="shared" si="415"/>
        <v>31</v>
      </c>
      <c r="AZ584" s="842">
        <f t="shared" ca="1" si="433"/>
        <v>0</v>
      </c>
      <c r="BA584" s="842">
        <f t="shared" ca="1" si="434"/>
        <v>0</v>
      </c>
      <c r="BB584" s="842">
        <f t="shared" ca="1" si="435"/>
        <v>0</v>
      </c>
      <c r="BC584" s="842">
        <f t="shared" ca="1" si="436"/>
        <v>0</v>
      </c>
      <c r="BD584" s="842">
        <f t="shared" ca="1" si="437"/>
        <v>0</v>
      </c>
      <c r="BE584" s="842">
        <f t="shared" ca="1" si="438"/>
        <v>0</v>
      </c>
      <c r="BF584" s="842">
        <f t="shared" ca="1" si="439"/>
        <v>12733.53555999626</v>
      </c>
      <c r="BG584" s="842">
        <f t="shared" ca="1" si="440"/>
        <v>6437.8078331563584</v>
      </c>
      <c r="BH584" s="858">
        <f t="shared" si="423"/>
        <v>31</v>
      </c>
      <c r="BI584" s="857">
        <f t="shared" ca="1" si="441"/>
        <v>4824.0414062842056</v>
      </c>
      <c r="BJ584" s="857">
        <f t="shared" ca="1" si="442"/>
        <v>5916.389588824537</v>
      </c>
      <c r="BK584" s="859">
        <f ca="1">'PV-Einspeisung'!AB176*-1</f>
        <v>0</v>
      </c>
      <c r="BL584" s="824">
        <f t="shared" ca="1" si="457"/>
        <v>0</v>
      </c>
      <c r="BM584" s="824">
        <f t="shared" ca="1" si="458"/>
        <v>0</v>
      </c>
      <c r="BN584" s="824">
        <f t="shared" ca="1" si="459"/>
        <v>0</v>
      </c>
      <c r="BO584" s="824">
        <f t="shared" ref="BO584:CD599" ca="1" si="461">IF(OR(IF($BL584*1&lt;$BL$196,$BL584*1=BO$198,FALSE),IF($BL584*2&lt;$BL$196,$BL584*2=BO$198,FALSE),IF($BL584*3&lt;$BL$196,$BL584*3=BO$198,FALSE),IF($BL584*4&lt;$BL$196,$BL584*4=BO$198,FALSE),IF($BL584*5&lt;$BL$196,$BL584*5=BO$198,FALSE)),$BN584*$BM$196^BO$198,0)</f>
        <v>0</v>
      </c>
      <c r="BP584" s="824">
        <f t="shared" ca="1" si="461"/>
        <v>0</v>
      </c>
      <c r="BQ584" s="824">
        <f t="shared" ca="1" si="461"/>
        <v>0</v>
      </c>
      <c r="BR584" s="824">
        <f t="shared" ca="1" si="461"/>
        <v>0</v>
      </c>
      <c r="BS584" s="824">
        <f t="shared" ca="1" si="461"/>
        <v>0</v>
      </c>
      <c r="BT584" s="824">
        <f t="shared" ca="1" si="461"/>
        <v>0</v>
      </c>
      <c r="BU584" s="824">
        <f t="shared" ca="1" si="461"/>
        <v>0</v>
      </c>
      <c r="BV584" s="824">
        <f t="shared" ca="1" si="461"/>
        <v>0</v>
      </c>
      <c r="BW584" s="824">
        <f t="shared" ca="1" si="461"/>
        <v>0</v>
      </c>
      <c r="BX584" s="824">
        <f t="shared" ca="1" si="461"/>
        <v>0</v>
      </c>
      <c r="BY584" s="824">
        <f t="shared" ca="1" si="461"/>
        <v>0</v>
      </c>
      <c r="BZ584" s="824">
        <f t="shared" ca="1" si="461"/>
        <v>0</v>
      </c>
      <c r="CA584" s="824">
        <f t="shared" ca="1" si="461"/>
        <v>0</v>
      </c>
      <c r="CB584" s="824">
        <f t="shared" ca="1" si="461"/>
        <v>0</v>
      </c>
      <c r="CC584" s="824">
        <f t="shared" ca="1" si="461"/>
        <v>0</v>
      </c>
      <c r="CD584" s="824">
        <f t="shared" ca="1" si="461"/>
        <v>0</v>
      </c>
      <c r="CE584" s="824">
        <f t="shared" ca="1" si="460"/>
        <v>0</v>
      </c>
      <c r="CF584" s="824">
        <f t="shared" ca="1" si="460"/>
        <v>0</v>
      </c>
      <c r="CG584" s="824">
        <f t="shared" ca="1" si="460"/>
        <v>0</v>
      </c>
      <c r="CH584" s="824">
        <f t="shared" ca="1" si="460"/>
        <v>0</v>
      </c>
      <c r="CI584" s="824">
        <f t="shared" ca="1" si="460"/>
        <v>0</v>
      </c>
      <c r="CJ584" s="824">
        <f t="shared" ca="1" si="460"/>
        <v>0</v>
      </c>
      <c r="CK584" s="824">
        <f t="shared" ca="1" si="460"/>
        <v>0</v>
      </c>
      <c r="CL584" s="824">
        <f t="shared" ca="1" si="460"/>
        <v>0</v>
      </c>
      <c r="CM584" s="824">
        <f t="shared" ca="1" si="460"/>
        <v>0</v>
      </c>
      <c r="CN584" s="824">
        <f t="shared" ca="1" si="460"/>
        <v>0</v>
      </c>
      <c r="CO584" s="824">
        <f t="shared" ca="1" si="460"/>
        <v>0</v>
      </c>
      <c r="CP584" s="824">
        <f t="shared" ca="1" si="460"/>
        <v>0</v>
      </c>
      <c r="CQ584" s="824">
        <f t="shared" ca="1" si="460"/>
        <v>0</v>
      </c>
      <c r="CR584" s="824">
        <f t="shared" ca="1" si="460"/>
        <v>0</v>
      </c>
      <c r="CS584" s="824">
        <f t="shared" ca="1" si="460"/>
        <v>0</v>
      </c>
      <c r="CT584" s="824">
        <f t="shared" ca="1" si="451"/>
        <v>0</v>
      </c>
      <c r="CU584" s="824">
        <f t="shared" ca="1" si="451"/>
        <v>0</v>
      </c>
      <c r="CV584" s="824">
        <f t="shared" ca="1" si="451"/>
        <v>0</v>
      </c>
      <c r="CW584" s="824">
        <f t="shared" ca="1" si="451"/>
        <v>0</v>
      </c>
      <c r="CX584" s="824">
        <f t="shared" ca="1" si="451"/>
        <v>0</v>
      </c>
      <c r="CY584" s="824">
        <f t="shared" ca="1" si="451"/>
        <v>0</v>
      </c>
      <c r="CZ584" s="824">
        <f t="shared" ca="1" si="451"/>
        <v>0</v>
      </c>
      <c r="DA584" s="824">
        <f t="shared" ca="1" si="451"/>
        <v>0</v>
      </c>
      <c r="DB584" s="824">
        <f t="shared" ca="1" si="451"/>
        <v>0</v>
      </c>
      <c r="DC584" s="824">
        <f t="shared" ca="1" si="451"/>
        <v>0</v>
      </c>
      <c r="DD584" s="824">
        <f t="shared" ca="1" si="451"/>
        <v>0</v>
      </c>
      <c r="DE584" s="824">
        <f t="shared" ca="1" si="451"/>
        <v>0</v>
      </c>
      <c r="DF584" s="824">
        <f t="shared" ca="1" si="451"/>
        <v>0</v>
      </c>
      <c r="DG584" s="824">
        <f t="shared" ca="1" si="454"/>
        <v>0</v>
      </c>
      <c r="DH584" s="824">
        <f t="shared" ca="1" si="454"/>
        <v>0</v>
      </c>
      <c r="DI584" s="824">
        <f t="shared" ca="1" si="454"/>
        <v>0</v>
      </c>
      <c r="DJ584" s="824">
        <f t="shared" ca="1" si="454"/>
        <v>0</v>
      </c>
      <c r="DK584" s="824">
        <f t="shared" ca="1" si="453"/>
        <v>0</v>
      </c>
      <c r="DL584" s="824">
        <f t="shared" ca="1" si="453"/>
        <v>0</v>
      </c>
    </row>
    <row r="585" spans="2:116" ht="12" thickBot="1" x14ac:dyDescent="0.3">
      <c r="B585" s="1673"/>
      <c r="C585" s="1680"/>
      <c r="D585" s="15" t="s">
        <v>174</v>
      </c>
      <c r="E585" s="116"/>
      <c r="F585" s="116">
        <f ca="1">SUBTOTAL(109,'3.3 I&amp;W'!$X$100)</f>
        <v>0</v>
      </c>
      <c r="G585" s="116">
        <f ca="1">SUBTOTAL(109,'3.3 I&amp;W'!$Y$100)</f>
        <v>0</v>
      </c>
      <c r="H585" s="116">
        <f ca="1">SUBTOTAL(109,'3.3 I&amp;W'!$AD$100)</f>
        <v>0</v>
      </c>
      <c r="I585" s="116">
        <f ca="1">SUBTOTAL(109,'3.3 I&amp;W'!$AE$100)</f>
        <v>0</v>
      </c>
      <c r="J585" s="116"/>
      <c r="K585" s="116"/>
      <c r="L585" s="116"/>
      <c r="M585" s="116">
        <f ca="1">SUBTOTAL(109,'3.3 I&amp;W'!$AI$100)</f>
        <v>0</v>
      </c>
      <c r="N585" s="156">
        <f t="shared" ca="1" si="404"/>
        <v>0</v>
      </c>
      <c r="O585" s="116">
        <f ca="1">SUBTOTAL(109,'3.3 I&amp;W'!$S$100)</f>
        <v>0</v>
      </c>
      <c r="P585" s="30">
        <f t="shared" ca="1" si="445"/>
        <v>0</v>
      </c>
      <c r="Q585" s="31">
        <f t="shared" ca="1" si="446"/>
        <v>0</v>
      </c>
      <c r="R585" s="31">
        <f t="shared" ca="1" si="447"/>
        <v>0</v>
      </c>
      <c r="S585" s="31">
        <f t="shared" ca="1" si="448"/>
        <v>0</v>
      </c>
      <c r="T585" s="32">
        <f t="shared" ca="1" si="449"/>
        <v>0</v>
      </c>
      <c r="U585" s="37">
        <f t="shared" ca="1" si="405"/>
        <v>0</v>
      </c>
      <c r="V585" s="40">
        <f t="shared" ca="1" si="455"/>
        <v>0</v>
      </c>
      <c r="W585" s="41">
        <f t="shared" ca="1" si="456"/>
        <v>0</v>
      </c>
      <c r="X585" s="43"/>
      <c r="Y585" s="46"/>
      <c r="Z585" s="126"/>
      <c r="AA585" s="136"/>
      <c r="AB585" s="83">
        <v>32</v>
      </c>
      <c r="AC585" s="84">
        <f ca="1">IF(AF584&lt;=1,0,'3.3 Fi&amp;Fo'!$I$25)</f>
        <v>49369.168897197917</v>
      </c>
      <c r="AD585" s="72">
        <f ca="1">IF(AF584&lt;=1,0,AF584*'3.3 Fi&amp;Fo'!$H$25)</f>
        <v>3759.688024791174</v>
      </c>
      <c r="AE585" s="78">
        <f t="shared" ca="1" si="409"/>
        <v>45609.480872406741</v>
      </c>
      <c r="AF585" s="85">
        <f t="shared" ca="1" si="410"/>
        <v>142374.92036715196</v>
      </c>
      <c r="AG585" s="168">
        <f>IF(AJ584&lt;=1,0,IF(AB585&lt;='3.3 Fi&amp;Fo'!$F$34,'3.3 Fi&amp;Fo'!$J$34,IF(AB585&lt;='3.3 Fi&amp;Fo'!$F$35,'3.3 Fi&amp;Fo'!$J$35,IF(AB585&lt;='3.3 Fi&amp;Fo'!$F$36,'3.3 Fi&amp;Fo'!$J$36,IF(AB585&lt;='3.3 Fi&amp;Fo'!$F$37,'3.3 Fi&amp;Fo'!$J$37,IF(AB585&lt;='3.3 Fi&amp;Fo'!$F$38,'3.3 Fi&amp;Fo'!$J$38,IF(AB585&lt;='3.3 Fi&amp;Fo'!$F$39,'3.3 Fi&amp;Fo'!$J$39,IF(AB585&lt;='3.3 Fi&amp;Fo'!$F$40,'3.3 Fi&amp;Fo'!$J$40))))))))</f>
        <v>110680.84400000001</v>
      </c>
      <c r="AH585" s="207">
        <f>IF(AJ584&lt;=1,0,AJ584*IF(AB585&lt;='3.3 Fi&amp;Fo'!$F$34,'3.3 Fi&amp;Fo'!$I$34,IF(AB585&lt;='3.3 Fi&amp;Fo'!$F$35,'3.3 Fi&amp;Fo'!$I$35,IF(AB585&lt;='3.3 Fi&amp;Fo'!$F$38,'3.3 Fi&amp;Fo'!$I$38,IF(AB585&lt;='3.3 Fi&amp;Fo'!$F$39,'3.3 Fi&amp;Fo'!$I$39,IF(AB585&lt;='3.3 Fi&amp;Fo'!$F$40,'3.3 Fi&amp;Fo'!$I$40))))))</f>
        <v>152189.02089646738</v>
      </c>
      <c r="AI585" s="210">
        <f t="shared" si="411"/>
        <v>-41508.176896467368</v>
      </c>
      <c r="AJ585" s="209">
        <f t="shared" si="412"/>
        <v>2382877.7291498114</v>
      </c>
      <c r="AK585" s="312">
        <f t="shared" ca="1" si="424"/>
        <v>-201237.705540828</v>
      </c>
      <c r="AL585" s="169">
        <f>IF(AB585&lt;='3.3 Fi&amp;Fo'!$J$15,'3.3 Fi&amp;Fo'!$I$15,0)</f>
        <v>0</v>
      </c>
      <c r="AM585" s="169">
        <f t="shared" si="425"/>
        <v>41187.692643630086</v>
      </c>
      <c r="AN585" s="838">
        <f t="shared" si="430"/>
        <v>32</v>
      </c>
      <c r="AO585" s="844">
        <f t="shared" ca="1" si="413"/>
        <v>201237.705540828</v>
      </c>
      <c r="AP585" s="839">
        <f ca="1">CT658</f>
        <v>0</v>
      </c>
      <c r="AQ585" s="844">
        <f t="shared" si="414"/>
        <v>0</v>
      </c>
      <c r="AR585" s="839">
        <f t="shared" ca="1" si="431"/>
        <v>0</v>
      </c>
      <c r="AS585" s="839">
        <f t="shared" ca="1" si="426"/>
        <v>10912.277891030482</v>
      </c>
      <c r="AT585" s="839">
        <f t="shared" ca="1" si="427"/>
        <v>19715.005056312999</v>
      </c>
      <c r="AU585" s="839">
        <f ca="1">'PV-Einspeisung'!AA177*-1</f>
        <v>0</v>
      </c>
      <c r="AV585" s="839">
        <f ca="1">'PV-Einspeisung'!AE177*-1</f>
        <v>0</v>
      </c>
      <c r="AW585" s="839"/>
      <c r="AX585" s="839">
        <f t="shared" ca="1" si="432"/>
        <v>0</v>
      </c>
      <c r="AY585" s="841">
        <f t="shared" si="415"/>
        <v>32</v>
      </c>
      <c r="AZ585" s="842">
        <f t="shared" ca="1" si="433"/>
        <v>0</v>
      </c>
      <c r="BA585" s="842">
        <f t="shared" ca="1" si="434"/>
        <v>0</v>
      </c>
      <c r="BB585" s="842">
        <f t="shared" ca="1" si="435"/>
        <v>0</v>
      </c>
      <c r="BC585" s="842">
        <f t="shared" ca="1" si="436"/>
        <v>0</v>
      </c>
      <c r="BD585" s="842">
        <f t="shared" ca="1" si="437"/>
        <v>0</v>
      </c>
      <c r="BE585" s="842">
        <f t="shared" ca="1" si="438"/>
        <v>0</v>
      </c>
      <c r="BF585" s="842">
        <f t="shared" ca="1" si="439"/>
        <v>13051.873948996166</v>
      </c>
      <c r="BG585" s="842">
        <f t="shared" ca="1" si="440"/>
        <v>6663.1311073168308</v>
      </c>
      <c r="BH585" s="858">
        <f t="shared" si="423"/>
        <v>32</v>
      </c>
      <c r="BI585" s="857">
        <f t="shared" ca="1" si="441"/>
        <v>4901.2260687847529</v>
      </c>
      <c r="BJ585" s="857">
        <f t="shared" ca="1" si="442"/>
        <v>6011.0518222457295</v>
      </c>
      <c r="BK585" s="859">
        <f ca="1">'PV-Einspeisung'!AB177*-1</f>
        <v>0</v>
      </c>
      <c r="BL585" s="824">
        <f t="shared" ca="1" si="457"/>
        <v>0</v>
      </c>
      <c r="BM585" s="824">
        <f t="shared" ca="1" si="458"/>
        <v>0</v>
      </c>
      <c r="BN585" s="824">
        <f t="shared" ca="1" si="459"/>
        <v>0</v>
      </c>
      <c r="BO585" s="824">
        <f t="shared" ca="1" si="461"/>
        <v>0</v>
      </c>
      <c r="BP585" s="824">
        <f t="shared" ca="1" si="461"/>
        <v>0</v>
      </c>
      <c r="BQ585" s="824">
        <f t="shared" ca="1" si="461"/>
        <v>0</v>
      </c>
      <c r="BR585" s="824">
        <f t="shared" ca="1" si="461"/>
        <v>0</v>
      </c>
      <c r="BS585" s="824">
        <f t="shared" ca="1" si="461"/>
        <v>0</v>
      </c>
      <c r="BT585" s="824">
        <f t="shared" ca="1" si="461"/>
        <v>0</v>
      </c>
      <c r="BU585" s="824">
        <f t="shared" ca="1" si="461"/>
        <v>0</v>
      </c>
      <c r="BV585" s="824">
        <f t="shared" ca="1" si="461"/>
        <v>0</v>
      </c>
      <c r="BW585" s="824">
        <f t="shared" ca="1" si="461"/>
        <v>0</v>
      </c>
      <c r="BX585" s="824">
        <f t="shared" ca="1" si="461"/>
        <v>0</v>
      </c>
      <c r="BY585" s="824">
        <f t="shared" ca="1" si="461"/>
        <v>0</v>
      </c>
      <c r="BZ585" s="824">
        <f t="shared" ca="1" si="461"/>
        <v>0</v>
      </c>
      <c r="CA585" s="824">
        <f t="shared" ca="1" si="461"/>
        <v>0</v>
      </c>
      <c r="CB585" s="824">
        <f t="shared" ca="1" si="461"/>
        <v>0</v>
      </c>
      <c r="CC585" s="824">
        <f t="shared" ca="1" si="461"/>
        <v>0</v>
      </c>
      <c r="CD585" s="824">
        <f t="shared" ca="1" si="461"/>
        <v>0</v>
      </c>
      <c r="CE585" s="824">
        <f t="shared" ca="1" si="460"/>
        <v>0</v>
      </c>
      <c r="CF585" s="824">
        <f t="shared" ca="1" si="460"/>
        <v>0</v>
      </c>
      <c r="CG585" s="824">
        <f t="shared" ca="1" si="460"/>
        <v>0</v>
      </c>
      <c r="CH585" s="824">
        <f t="shared" ca="1" si="460"/>
        <v>0</v>
      </c>
      <c r="CI585" s="824">
        <f t="shared" ca="1" si="460"/>
        <v>0</v>
      </c>
      <c r="CJ585" s="824">
        <f t="shared" ca="1" si="460"/>
        <v>0</v>
      </c>
      <c r="CK585" s="824">
        <f t="shared" ca="1" si="460"/>
        <v>0</v>
      </c>
      <c r="CL585" s="824">
        <f t="shared" ca="1" si="460"/>
        <v>0</v>
      </c>
      <c r="CM585" s="824">
        <f t="shared" ca="1" si="460"/>
        <v>0</v>
      </c>
      <c r="CN585" s="824">
        <f t="shared" ca="1" si="460"/>
        <v>0</v>
      </c>
      <c r="CO585" s="824">
        <f t="shared" ca="1" si="460"/>
        <v>0</v>
      </c>
      <c r="CP585" s="824">
        <f t="shared" ca="1" si="460"/>
        <v>0</v>
      </c>
      <c r="CQ585" s="824">
        <f t="shared" ca="1" si="460"/>
        <v>0</v>
      </c>
      <c r="CR585" s="824">
        <f t="shared" ca="1" si="460"/>
        <v>0</v>
      </c>
      <c r="CS585" s="824">
        <f t="shared" ca="1" si="460"/>
        <v>0</v>
      </c>
      <c r="CT585" s="824">
        <f t="shared" ca="1" si="451"/>
        <v>0</v>
      </c>
      <c r="CU585" s="824">
        <f t="shared" ca="1" si="451"/>
        <v>0</v>
      </c>
      <c r="CV585" s="824">
        <f t="shared" ca="1" si="451"/>
        <v>0</v>
      </c>
      <c r="CW585" s="824">
        <f t="shared" ca="1" si="451"/>
        <v>0</v>
      </c>
      <c r="CX585" s="824">
        <f t="shared" ca="1" si="451"/>
        <v>0</v>
      </c>
      <c r="CY585" s="824">
        <f t="shared" ca="1" si="451"/>
        <v>0</v>
      </c>
      <c r="CZ585" s="824">
        <f t="shared" ca="1" si="451"/>
        <v>0</v>
      </c>
      <c r="DA585" s="824">
        <f t="shared" ca="1" si="451"/>
        <v>0</v>
      </c>
      <c r="DB585" s="824">
        <f t="shared" ca="1" si="451"/>
        <v>0</v>
      </c>
      <c r="DC585" s="824">
        <f t="shared" ca="1" si="451"/>
        <v>0</v>
      </c>
      <c r="DD585" s="824">
        <f t="shared" ca="1" si="451"/>
        <v>0</v>
      </c>
      <c r="DE585" s="824">
        <f t="shared" ca="1" si="451"/>
        <v>0</v>
      </c>
      <c r="DF585" s="824">
        <f t="shared" ca="1" si="451"/>
        <v>0</v>
      </c>
      <c r="DG585" s="824">
        <f t="shared" ca="1" si="454"/>
        <v>0</v>
      </c>
      <c r="DH585" s="824">
        <f t="shared" ca="1" si="454"/>
        <v>0</v>
      </c>
      <c r="DI585" s="824">
        <f t="shared" ca="1" si="454"/>
        <v>0</v>
      </c>
      <c r="DJ585" s="824">
        <f t="shared" ca="1" si="454"/>
        <v>0</v>
      </c>
      <c r="DK585" s="824">
        <f t="shared" ca="1" si="453"/>
        <v>0</v>
      </c>
      <c r="DL585" s="824">
        <f t="shared" ca="1" si="453"/>
        <v>0</v>
      </c>
    </row>
    <row r="586" spans="2:116" ht="12" thickBot="1" x14ac:dyDescent="0.3">
      <c r="B586" s="1673"/>
      <c r="C586" s="1680"/>
      <c r="D586" s="15" t="s">
        <v>174</v>
      </c>
      <c r="E586" s="165"/>
      <c r="F586" s="116">
        <f ca="1">SUBTOTAL(109,'3.3 I&amp;W'!$X$101)</f>
        <v>0</v>
      </c>
      <c r="G586" s="116">
        <f ca="1">SUBTOTAL(109,'3.3 I&amp;W'!$Y$101)</f>
        <v>0</v>
      </c>
      <c r="H586" s="116">
        <f ca="1">SUBTOTAL(109,'3.3 I&amp;W'!$AD$101)</f>
        <v>0</v>
      </c>
      <c r="I586" s="116">
        <f ca="1">SUBTOTAL(109,'3.3 I&amp;W'!$AE$101)</f>
        <v>0</v>
      </c>
      <c r="J586" s="116"/>
      <c r="K586" s="116"/>
      <c r="L586" s="116"/>
      <c r="M586" s="116">
        <f ca="1">SUBTOTAL(109,'3.3 I&amp;W'!$AI$101)</f>
        <v>0</v>
      </c>
      <c r="N586" s="156">
        <f t="shared" ca="1" si="404"/>
        <v>0</v>
      </c>
      <c r="O586" s="116">
        <f ca="1">SUBTOTAL(109,'3.3 I&amp;W'!$S$101)</f>
        <v>0</v>
      </c>
      <c r="P586" s="30">
        <f t="shared" ca="1" si="445"/>
        <v>0</v>
      </c>
      <c r="Q586" s="31">
        <f t="shared" ca="1" si="446"/>
        <v>0</v>
      </c>
      <c r="R586" s="31">
        <f t="shared" ca="1" si="447"/>
        <v>0</v>
      </c>
      <c r="S586" s="31">
        <f t="shared" ca="1" si="448"/>
        <v>0</v>
      </c>
      <c r="T586" s="32">
        <f t="shared" ca="1" si="449"/>
        <v>0</v>
      </c>
      <c r="U586" s="37">
        <f t="shared" ca="1" si="405"/>
        <v>0</v>
      </c>
      <c r="V586" s="40">
        <f t="shared" ca="1" si="455"/>
        <v>0</v>
      </c>
      <c r="W586" s="41">
        <f t="shared" ca="1" si="456"/>
        <v>0</v>
      </c>
      <c r="X586" s="43"/>
      <c r="Y586" s="46"/>
      <c r="Z586" s="126"/>
      <c r="AA586" s="136"/>
      <c r="AB586" s="83">
        <v>33</v>
      </c>
      <c r="AC586" s="84">
        <f ca="1">IF(AF585&lt;=1,0,'3.3 Fi&amp;Fo'!$I$25)</f>
        <v>49369.168897197917</v>
      </c>
      <c r="AD586" s="72">
        <f ca="1">IF(AF585&lt;=1,0,AF585*'3.3 Fi&amp;Fo'!$H$25)</f>
        <v>2847.4984073430392</v>
      </c>
      <c r="AE586" s="78">
        <f t="shared" ca="1" si="409"/>
        <v>46521.670489854878</v>
      </c>
      <c r="AF586" s="85">
        <f t="shared" ca="1" si="410"/>
        <v>95853.249877297087</v>
      </c>
      <c r="AG586" s="168">
        <f>IF(AJ585&lt;=1,0,IF(AB586&lt;='3.3 Fi&amp;Fo'!$F$34,'3.3 Fi&amp;Fo'!$J$34,IF(AB586&lt;='3.3 Fi&amp;Fo'!$F$35,'3.3 Fi&amp;Fo'!$J$35,IF(AB586&lt;='3.3 Fi&amp;Fo'!$F$36,'3.3 Fi&amp;Fo'!$J$36,IF(AB586&lt;='3.3 Fi&amp;Fo'!$F$37,'3.3 Fi&amp;Fo'!$J$37,IF(AB586&lt;='3.3 Fi&amp;Fo'!$F$38,'3.3 Fi&amp;Fo'!$J$38,IF(AB586&lt;='3.3 Fi&amp;Fo'!$F$39,'3.3 Fi&amp;Fo'!$J$39,IF(AB586&lt;='3.3 Fi&amp;Fo'!$F$40,'3.3 Fi&amp;Fo'!$J$40))))))))</f>
        <v>110680.84400000001</v>
      </c>
      <c r="AH586" s="207">
        <f>IF(AJ585&lt;=1,0,AJ585*IF(AB586&lt;='3.3 Fi&amp;Fo'!$F$34,'3.3 Fi&amp;Fo'!$I$34,IF(AB586&lt;='3.3 Fi&amp;Fo'!$F$35,'3.3 Fi&amp;Fo'!$I$35,IF(AB586&lt;='3.3 Fi&amp;Fo'!$F$38,'3.3 Fi&amp;Fo'!$I$38,IF(AB586&lt;='3.3 Fi&amp;Fo'!$F$39,'3.3 Fi&amp;Fo'!$I$39,IF(AB586&lt;='3.3 Fi&amp;Fo'!$F$40,'3.3 Fi&amp;Fo'!$I$40))))))</f>
        <v>154887.05239473775</v>
      </c>
      <c r="AI586" s="210">
        <f t="shared" ref="AI586:AI603" si="462">AG586-AH586</f>
        <v>-44206.20839473774</v>
      </c>
      <c r="AJ586" s="209">
        <f t="shared" si="412"/>
        <v>2427083.9375445493</v>
      </c>
      <c r="AK586" s="312">
        <f t="shared" ref="AK586:AK603" ca="1" si="463">-AC586-AG586+AL586-AM586</f>
        <v>-202061.45939370041</v>
      </c>
      <c r="AL586" s="169">
        <f>IF(AB586&lt;='3.3 Fi&amp;Fo'!$J$15,'3.3 Fi&amp;Fo'!$I$15,0)</f>
        <v>0</v>
      </c>
      <c r="AM586" s="169">
        <f t="shared" si="425"/>
        <v>42011.446496502496</v>
      </c>
      <c r="AN586" s="838">
        <f t="shared" si="430"/>
        <v>33</v>
      </c>
      <c r="AO586" s="844">
        <f t="shared" ca="1" si="413"/>
        <v>202061.45939370041</v>
      </c>
      <c r="AP586" s="839">
        <f ca="1">CU658</f>
        <v>0</v>
      </c>
      <c r="AQ586" s="844">
        <f t="shared" si="414"/>
        <v>0</v>
      </c>
      <c r="AR586" s="839">
        <f t="shared" ca="1" si="431"/>
        <v>0</v>
      </c>
      <c r="AS586" s="839">
        <f t="shared" ca="1" si="426"/>
        <v>11086.87433728697</v>
      </c>
      <c r="AT586" s="839">
        <f t="shared" ca="1" si="427"/>
        <v>20274.511493793987</v>
      </c>
      <c r="AU586" s="839">
        <f ca="1">'PV-Einspeisung'!AA178*-1</f>
        <v>0</v>
      </c>
      <c r="AV586" s="839">
        <f ca="1">'PV-Einspeisung'!AE178*-1</f>
        <v>0</v>
      </c>
      <c r="AW586" s="839"/>
      <c r="AX586" s="839">
        <f t="shared" ca="1" si="432"/>
        <v>0</v>
      </c>
      <c r="AY586" s="841">
        <f t="shared" si="415"/>
        <v>33</v>
      </c>
      <c r="AZ586" s="842">
        <f t="shared" ca="1" si="433"/>
        <v>0</v>
      </c>
      <c r="BA586" s="842">
        <f t="shared" ca="1" si="434"/>
        <v>0</v>
      </c>
      <c r="BB586" s="842">
        <f t="shared" ca="1" si="435"/>
        <v>0</v>
      </c>
      <c r="BC586" s="842">
        <f t="shared" ca="1" si="436"/>
        <v>0</v>
      </c>
      <c r="BD586" s="842">
        <f t="shared" ca="1" si="437"/>
        <v>0</v>
      </c>
      <c r="BE586" s="842">
        <f t="shared" ca="1" si="438"/>
        <v>0</v>
      </c>
      <c r="BF586" s="842">
        <f t="shared" ca="1" si="439"/>
        <v>13378.17079772107</v>
      </c>
      <c r="BG586" s="842">
        <f t="shared" ca="1" si="440"/>
        <v>6896.3406960729189</v>
      </c>
      <c r="BH586" s="858">
        <f t="shared" si="423"/>
        <v>33</v>
      </c>
      <c r="BI586" s="857">
        <f t="shared" ca="1" si="441"/>
        <v>4979.6456858853089</v>
      </c>
      <c r="BJ586" s="857">
        <f t="shared" ca="1" si="442"/>
        <v>6107.2286514016614</v>
      </c>
      <c r="BK586" s="859">
        <f ca="1">'PV-Einspeisung'!AB178*-1</f>
        <v>0</v>
      </c>
      <c r="BL586" s="824">
        <f t="shared" ca="1" si="457"/>
        <v>0</v>
      </c>
      <c r="BM586" s="824">
        <f t="shared" ca="1" si="458"/>
        <v>0</v>
      </c>
      <c r="BN586" s="824">
        <f t="shared" ca="1" si="459"/>
        <v>0</v>
      </c>
      <c r="BO586" s="824">
        <f t="shared" ca="1" si="461"/>
        <v>0</v>
      </c>
      <c r="BP586" s="824">
        <f t="shared" ca="1" si="461"/>
        <v>0</v>
      </c>
      <c r="BQ586" s="824">
        <f t="shared" ca="1" si="461"/>
        <v>0</v>
      </c>
      <c r="BR586" s="824">
        <f t="shared" ca="1" si="461"/>
        <v>0</v>
      </c>
      <c r="BS586" s="824">
        <f t="shared" ca="1" si="461"/>
        <v>0</v>
      </c>
      <c r="BT586" s="824">
        <f t="shared" ca="1" si="461"/>
        <v>0</v>
      </c>
      <c r="BU586" s="824">
        <f t="shared" ca="1" si="461"/>
        <v>0</v>
      </c>
      <c r="BV586" s="824">
        <f t="shared" ca="1" si="461"/>
        <v>0</v>
      </c>
      <c r="BW586" s="824">
        <f t="shared" ca="1" si="461"/>
        <v>0</v>
      </c>
      <c r="BX586" s="824">
        <f t="shared" ca="1" si="461"/>
        <v>0</v>
      </c>
      <c r="BY586" s="824">
        <f t="shared" ca="1" si="461"/>
        <v>0</v>
      </c>
      <c r="BZ586" s="824">
        <f t="shared" ca="1" si="461"/>
        <v>0</v>
      </c>
      <c r="CA586" s="824">
        <f t="shared" ca="1" si="461"/>
        <v>0</v>
      </c>
      <c r="CB586" s="824">
        <f t="shared" ca="1" si="461"/>
        <v>0</v>
      </c>
      <c r="CC586" s="824">
        <f t="shared" ca="1" si="461"/>
        <v>0</v>
      </c>
      <c r="CD586" s="824">
        <f t="shared" ca="1" si="461"/>
        <v>0</v>
      </c>
      <c r="CE586" s="824">
        <f t="shared" ca="1" si="460"/>
        <v>0</v>
      </c>
      <c r="CF586" s="824">
        <f t="shared" ca="1" si="460"/>
        <v>0</v>
      </c>
      <c r="CG586" s="824">
        <f t="shared" ca="1" si="460"/>
        <v>0</v>
      </c>
      <c r="CH586" s="824">
        <f t="shared" ca="1" si="460"/>
        <v>0</v>
      </c>
      <c r="CI586" s="824">
        <f t="shared" ca="1" si="460"/>
        <v>0</v>
      </c>
      <c r="CJ586" s="824">
        <f t="shared" ca="1" si="460"/>
        <v>0</v>
      </c>
      <c r="CK586" s="824">
        <f t="shared" ca="1" si="460"/>
        <v>0</v>
      </c>
      <c r="CL586" s="824">
        <f t="shared" ca="1" si="460"/>
        <v>0</v>
      </c>
      <c r="CM586" s="824">
        <f t="shared" ca="1" si="460"/>
        <v>0</v>
      </c>
      <c r="CN586" s="824">
        <f t="shared" ca="1" si="460"/>
        <v>0</v>
      </c>
      <c r="CO586" s="824">
        <f t="shared" ca="1" si="460"/>
        <v>0</v>
      </c>
      <c r="CP586" s="824">
        <f t="shared" ca="1" si="460"/>
        <v>0</v>
      </c>
      <c r="CQ586" s="824">
        <f t="shared" ca="1" si="460"/>
        <v>0</v>
      </c>
      <c r="CR586" s="824">
        <f t="shared" ca="1" si="460"/>
        <v>0</v>
      </c>
      <c r="CS586" s="824">
        <f t="shared" ca="1" si="460"/>
        <v>0</v>
      </c>
      <c r="CT586" s="824">
        <f t="shared" ca="1" si="451"/>
        <v>0</v>
      </c>
      <c r="CU586" s="824">
        <f t="shared" ca="1" si="451"/>
        <v>0</v>
      </c>
      <c r="CV586" s="824">
        <f t="shared" ca="1" si="451"/>
        <v>0</v>
      </c>
      <c r="CW586" s="824">
        <f t="shared" ca="1" si="451"/>
        <v>0</v>
      </c>
      <c r="CX586" s="824">
        <f t="shared" ca="1" si="451"/>
        <v>0</v>
      </c>
      <c r="CY586" s="824">
        <f t="shared" ca="1" si="451"/>
        <v>0</v>
      </c>
      <c r="CZ586" s="824">
        <f t="shared" ca="1" si="451"/>
        <v>0</v>
      </c>
      <c r="DA586" s="824">
        <f t="shared" ca="1" si="451"/>
        <v>0</v>
      </c>
      <c r="DB586" s="824">
        <f t="shared" ca="1" si="451"/>
        <v>0</v>
      </c>
      <c r="DC586" s="824">
        <f t="shared" ca="1" si="451"/>
        <v>0</v>
      </c>
      <c r="DD586" s="824">
        <f t="shared" ca="1" si="451"/>
        <v>0</v>
      </c>
      <c r="DE586" s="824">
        <f t="shared" ca="1" si="451"/>
        <v>0</v>
      </c>
      <c r="DF586" s="824">
        <f t="shared" ca="1" si="451"/>
        <v>0</v>
      </c>
      <c r="DG586" s="824">
        <f t="shared" ca="1" si="454"/>
        <v>0</v>
      </c>
      <c r="DH586" s="824">
        <f t="shared" ca="1" si="454"/>
        <v>0</v>
      </c>
      <c r="DI586" s="824">
        <f t="shared" ca="1" si="454"/>
        <v>0</v>
      </c>
      <c r="DJ586" s="824">
        <f t="shared" ca="1" si="454"/>
        <v>0</v>
      </c>
      <c r="DK586" s="824">
        <f t="shared" ca="1" si="453"/>
        <v>0</v>
      </c>
      <c r="DL586" s="824">
        <f t="shared" ca="1" si="453"/>
        <v>0</v>
      </c>
    </row>
    <row r="587" spans="2:116" ht="12" thickBot="1" x14ac:dyDescent="0.3">
      <c r="B587" s="1673"/>
      <c r="C587" s="1680"/>
      <c r="D587" s="15" t="s">
        <v>264</v>
      </c>
      <c r="E587" s="116"/>
      <c r="F587" s="116">
        <f ca="1">SUBTOTAL(109,'3.3 I&amp;W'!$X$104)</f>
        <v>0</v>
      </c>
      <c r="G587" s="116">
        <f ca="1">SUBTOTAL(109,'3.3 I&amp;W'!$Y$104)</f>
        <v>0</v>
      </c>
      <c r="H587" s="116">
        <f ca="1">SUBTOTAL(109,'3.3 I&amp;W'!$AD$104)</f>
        <v>0</v>
      </c>
      <c r="I587" s="116">
        <f ca="1">SUBTOTAL(109,'3.3 I&amp;W'!$AE$104)</f>
        <v>0</v>
      </c>
      <c r="J587" s="116"/>
      <c r="K587" s="116"/>
      <c r="L587" s="116"/>
      <c r="M587" s="116">
        <f ca="1">SUBTOTAL(109,'3.3 I&amp;W'!$AI$104)</f>
        <v>50</v>
      </c>
      <c r="N587" s="156">
        <f t="shared" ca="1" si="404"/>
        <v>0</v>
      </c>
      <c r="O587" s="116">
        <f ca="1">SUBTOTAL(109,'3.3 I&amp;W'!$S$104)</f>
        <v>141152.4</v>
      </c>
      <c r="P587" s="30">
        <f t="shared" ca="1" si="445"/>
        <v>0</v>
      </c>
      <c r="Q587" s="31">
        <f t="shared" ca="1" si="446"/>
        <v>0</v>
      </c>
      <c r="R587" s="31">
        <f t="shared" ca="1" si="447"/>
        <v>0</v>
      </c>
      <c r="S587" s="31">
        <f t="shared" ca="1" si="448"/>
        <v>0</v>
      </c>
      <c r="T587" s="32">
        <f t="shared" ca="1" si="449"/>
        <v>0</v>
      </c>
      <c r="U587" s="37">
        <f t="shared" ca="1" si="405"/>
        <v>21174.029307581066</v>
      </c>
      <c r="V587" s="40">
        <f t="shared" ca="1" si="455"/>
        <v>0</v>
      </c>
      <c r="W587" s="41">
        <f t="shared" ca="1" si="456"/>
        <v>0</v>
      </c>
      <c r="X587" s="43"/>
      <c r="Y587" s="46"/>
      <c r="Z587" s="126"/>
      <c r="AA587" s="136"/>
      <c r="AB587" s="83">
        <v>34</v>
      </c>
      <c r="AC587" s="84">
        <f ca="1">IF(AF586&lt;=1,0,'3.3 Fi&amp;Fo'!$I$25)</f>
        <v>49369.168897197917</v>
      </c>
      <c r="AD587" s="72">
        <f ca="1">IF(AF586&lt;=1,0,AF586*'3.3 Fi&amp;Fo'!$H$25)</f>
        <v>1917.0649975459419</v>
      </c>
      <c r="AE587" s="78">
        <f t="shared" ca="1" si="409"/>
        <v>47452.103899651978</v>
      </c>
      <c r="AF587" s="85">
        <f t="shared" ca="1" si="410"/>
        <v>48401.145977645108</v>
      </c>
      <c r="AG587" s="168">
        <f>IF(AJ586&lt;=1,0,IF(AB587&lt;='3.3 Fi&amp;Fo'!$F$34,'3.3 Fi&amp;Fo'!$J$34,IF(AB587&lt;='3.3 Fi&amp;Fo'!$F$35,'3.3 Fi&amp;Fo'!$J$35,IF(AB587&lt;='3.3 Fi&amp;Fo'!$F$36,'3.3 Fi&amp;Fo'!$J$36,IF(AB587&lt;='3.3 Fi&amp;Fo'!$F$37,'3.3 Fi&amp;Fo'!$J$37,IF(AB587&lt;='3.3 Fi&amp;Fo'!$F$38,'3.3 Fi&amp;Fo'!$J$38,IF(AB587&lt;='3.3 Fi&amp;Fo'!$F$39,'3.3 Fi&amp;Fo'!$J$39,IF(AB587&lt;='3.3 Fi&amp;Fo'!$F$40,'3.3 Fi&amp;Fo'!$J$40))))))))</f>
        <v>110680.84400000001</v>
      </c>
      <c r="AH587" s="207">
        <f>IF(AJ586&lt;=1,0,AJ586*IF(AB587&lt;='3.3 Fi&amp;Fo'!$F$34,'3.3 Fi&amp;Fo'!$I$34,IF(AB587&lt;='3.3 Fi&amp;Fo'!$F$35,'3.3 Fi&amp;Fo'!$I$35,IF(AB587&lt;='3.3 Fi&amp;Fo'!$F$38,'3.3 Fi&amp;Fo'!$I$38,IF(AB587&lt;='3.3 Fi&amp;Fo'!$F$39,'3.3 Fi&amp;Fo'!$I$39,IF(AB587&lt;='3.3 Fi&amp;Fo'!$F$40,'3.3 Fi&amp;Fo'!$I$40))))))</f>
        <v>157760.45594039571</v>
      </c>
      <c r="AI587" s="210">
        <f t="shared" si="462"/>
        <v>-47079.611940395698</v>
      </c>
      <c r="AJ587" s="209">
        <f t="shared" si="412"/>
        <v>2474163.5494849449</v>
      </c>
      <c r="AK587" s="312">
        <f t="shared" ca="1" si="463"/>
        <v>-202901.68832362985</v>
      </c>
      <c r="AL587" s="169">
        <f>IF(AB587&lt;='3.3 Fi&amp;Fo'!$J$15,'3.3 Fi&amp;Fo'!$I$15,0)</f>
        <v>0</v>
      </c>
      <c r="AM587" s="169">
        <f t="shared" si="425"/>
        <v>42851.675426431932</v>
      </c>
      <c r="AN587" s="838">
        <f t="shared" si="430"/>
        <v>34</v>
      </c>
      <c r="AO587" s="844">
        <f t="shared" ca="1" si="413"/>
        <v>202901.68832362985</v>
      </c>
      <c r="AP587" s="839">
        <f ca="1">CV658</f>
        <v>0</v>
      </c>
      <c r="AQ587" s="844">
        <f t="shared" si="414"/>
        <v>0</v>
      </c>
      <c r="AR587" s="839">
        <f t="shared" ca="1" si="431"/>
        <v>0</v>
      </c>
      <c r="AS587" s="839">
        <f t="shared" ca="1" si="426"/>
        <v>11264.264326683562</v>
      </c>
      <c r="AT587" s="839">
        <f t="shared" ca="1" si="427"/>
        <v>20850.337688099567</v>
      </c>
      <c r="AU587" s="839">
        <f ca="1">'PV-Einspeisung'!AA179*-1</f>
        <v>0</v>
      </c>
      <c r="AV587" s="839">
        <f ca="1">'PV-Einspeisung'!AE179*-1</f>
        <v>0</v>
      </c>
      <c r="AW587" s="839"/>
      <c r="AX587" s="839">
        <f t="shared" ca="1" si="432"/>
        <v>0</v>
      </c>
      <c r="AY587" s="841">
        <f t="shared" si="415"/>
        <v>34</v>
      </c>
      <c r="AZ587" s="842">
        <f t="shared" ca="1" si="433"/>
        <v>0</v>
      </c>
      <c r="BA587" s="842">
        <f t="shared" ca="1" si="434"/>
        <v>0</v>
      </c>
      <c r="BB587" s="842">
        <f t="shared" ca="1" si="435"/>
        <v>0</v>
      </c>
      <c r="BC587" s="842">
        <f t="shared" ca="1" si="436"/>
        <v>0</v>
      </c>
      <c r="BD587" s="842">
        <f t="shared" ca="1" si="437"/>
        <v>0</v>
      </c>
      <c r="BE587" s="842">
        <f t="shared" ca="1" si="438"/>
        <v>0</v>
      </c>
      <c r="BF587" s="842">
        <f t="shared" ca="1" si="439"/>
        <v>13712.625067664096</v>
      </c>
      <c r="BG587" s="842">
        <f t="shared" ca="1" si="440"/>
        <v>7137.7126204354709</v>
      </c>
      <c r="BH587" s="858">
        <f t="shared" si="423"/>
        <v>34</v>
      </c>
      <c r="BI587" s="857">
        <f t="shared" ca="1" si="441"/>
        <v>5059.320016859474</v>
      </c>
      <c r="BJ587" s="857">
        <f t="shared" ca="1" si="442"/>
        <v>6204.9443098240881</v>
      </c>
      <c r="BK587" s="859">
        <f ca="1">'PV-Einspeisung'!AB179*-1</f>
        <v>0</v>
      </c>
      <c r="BL587" s="824">
        <f t="shared" ca="1" si="457"/>
        <v>50</v>
      </c>
      <c r="BM587" s="824">
        <f t="shared" ca="1" si="458"/>
        <v>0</v>
      </c>
      <c r="BN587" s="824">
        <f t="shared" ca="1" si="459"/>
        <v>141152.4</v>
      </c>
      <c r="BO587" s="824">
        <f t="shared" ca="1" si="461"/>
        <v>0</v>
      </c>
      <c r="BP587" s="824">
        <f t="shared" ca="1" si="461"/>
        <v>0</v>
      </c>
      <c r="BQ587" s="824">
        <f t="shared" ca="1" si="461"/>
        <v>0</v>
      </c>
      <c r="BR587" s="824">
        <f t="shared" ca="1" si="461"/>
        <v>0</v>
      </c>
      <c r="BS587" s="824">
        <f t="shared" ca="1" si="461"/>
        <v>0</v>
      </c>
      <c r="BT587" s="824">
        <f t="shared" ca="1" si="461"/>
        <v>0</v>
      </c>
      <c r="BU587" s="824">
        <f t="shared" ca="1" si="461"/>
        <v>0</v>
      </c>
      <c r="BV587" s="824">
        <f t="shared" ca="1" si="461"/>
        <v>0</v>
      </c>
      <c r="BW587" s="824">
        <f t="shared" ca="1" si="461"/>
        <v>0</v>
      </c>
      <c r="BX587" s="824">
        <f t="shared" ca="1" si="461"/>
        <v>0</v>
      </c>
      <c r="BY587" s="824">
        <f t="shared" ca="1" si="461"/>
        <v>0</v>
      </c>
      <c r="BZ587" s="824">
        <f t="shared" ca="1" si="461"/>
        <v>0</v>
      </c>
      <c r="CA587" s="824">
        <f t="shared" ca="1" si="461"/>
        <v>0</v>
      </c>
      <c r="CB587" s="824">
        <f t="shared" ca="1" si="461"/>
        <v>0</v>
      </c>
      <c r="CC587" s="824">
        <f t="shared" ca="1" si="461"/>
        <v>0</v>
      </c>
      <c r="CD587" s="824">
        <f t="shared" ca="1" si="461"/>
        <v>0</v>
      </c>
      <c r="CE587" s="824">
        <f t="shared" ca="1" si="460"/>
        <v>0</v>
      </c>
      <c r="CF587" s="824">
        <f t="shared" ca="1" si="460"/>
        <v>0</v>
      </c>
      <c r="CG587" s="824">
        <f t="shared" ca="1" si="460"/>
        <v>0</v>
      </c>
      <c r="CH587" s="824">
        <f t="shared" ca="1" si="460"/>
        <v>0</v>
      </c>
      <c r="CI587" s="824">
        <f t="shared" ca="1" si="460"/>
        <v>0</v>
      </c>
      <c r="CJ587" s="824">
        <f t="shared" ca="1" si="460"/>
        <v>0</v>
      </c>
      <c r="CK587" s="824">
        <f t="shared" ca="1" si="460"/>
        <v>0</v>
      </c>
      <c r="CL587" s="824">
        <f t="shared" ca="1" si="460"/>
        <v>0</v>
      </c>
      <c r="CM587" s="824">
        <f t="shared" ca="1" si="460"/>
        <v>0</v>
      </c>
      <c r="CN587" s="824">
        <f t="shared" ca="1" si="460"/>
        <v>0</v>
      </c>
      <c r="CO587" s="824">
        <f t="shared" ca="1" si="460"/>
        <v>0</v>
      </c>
      <c r="CP587" s="824">
        <f t="shared" ca="1" si="460"/>
        <v>0</v>
      </c>
      <c r="CQ587" s="824">
        <f t="shared" ca="1" si="460"/>
        <v>0</v>
      </c>
      <c r="CR587" s="824">
        <f t="shared" ca="1" si="460"/>
        <v>0</v>
      </c>
      <c r="CS587" s="824">
        <f t="shared" ca="1" si="460"/>
        <v>0</v>
      </c>
      <c r="CT587" s="824">
        <f t="shared" ca="1" si="451"/>
        <v>0</v>
      </c>
      <c r="CU587" s="824">
        <f t="shared" ca="1" si="451"/>
        <v>0</v>
      </c>
      <c r="CV587" s="824">
        <f t="shared" ca="1" si="451"/>
        <v>0</v>
      </c>
      <c r="CW587" s="824">
        <f t="shared" ca="1" si="451"/>
        <v>0</v>
      </c>
      <c r="CX587" s="824">
        <f t="shared" ca="1" si="451"/>
        <v>0</v>
      </c>
      <c r="CY587" s="824">
        <f t="shared" ca="1" si="451"/>
        <v>0</v>
      </c>
      <c r="CZ587" s="824">
        <f t="shared" ca="1" si="451"/>
        <v>0</v>
      </c>
      <c r="DA587" s="824">
        <f t="shared" ca="1" si="451"/>
        <v>0</v>
      </c>
      <c r="DB587" s="824">
        <f t="shared" ca="1" si="451"/>
        <v>0</v>
      </c>
      <c r="DC587" s="824">
        <f t="shared" ca="1" si="451"/>
        <v>0</v>
      </c>
      <c r="DD587" s="824">
        <f t="shared" ca="1" si="451"/>
        <v>0</v>
      </c>
      <c r="DE587" s="824">
        <f t="shared" ca="1" si="451"/>
        <v>0</v>
      </c>
      <c r="DF587" s="824">
        <f t="shared" ca="1" si="451"/>
        <v>0</v>
      </c>
      <c r="DG587" s="824">
        <f t="shared" ca="1" si="454"/>
        <v>0</v>
      </c>
      <c r="DH587" s="824">
        <f t="shared" ca="1" si="454"/>
        <v>0</v>
      </c>
      <c r="DI587" s="824">
        <f t="shared" ca="1" si="454"/>
        <v>0</v>
      </c>
      <c r="DJ587" s="824">
        <f t="shared" ca="1" si="454"/>
        <v>0</v>
      </c>
      <c r="DK587" s="824">
        <f t="shared" ca="1" si="453"/>
        <v>0</v>
      </c>
      <c r="DL587" s="824">
        <f t="shared" ca="1" si="453"/>
        <v>0</v>
      </c>
    </row>
    <row r="588" spans="2:116" ht="12" thickBot="1" x14ac:dyDescent="0.3">
      <c r="B588" s="1673"/>
      <c r="C588" s="1680"/>
      <c r="D588" s="15" t="s">
        <v>264</v>
      </c>
      <c r="E588" s="165"/>
      <c r="F588" s="116">
        <f ca="1">SUBTOTAL(109,'3.3 I&amp;W'!$X$105)</f>
        <v>0</v>
      </c>
      <c r="G588" s="116">
        <f ca="1">SUBTOTAL(109,'3.3 I&amp;W'!$Y$105)</f>
        <v>0</v>
      </c>
      <c r="H588" s="116">
        <f ca="1">SUBTOTAL(109,'3.3 I&amp;W'!$AD$105)</f>
        <v>0</v>
      </c>
      <c r="I588" s="116">
        <f ca="1">SUBTOTAL(109,'3.3 I&amp;W'!$AE$105)</f>
        <v>0</v>
      </c>
      <c r="J588" s="116"/>
      <c r="K588" s="116"/>
      <c r="L588" s="116"/>
      <c r="M588" s="116">
        <f ca="1">SUBTOTAL(109,'3.3 I&amp;W'!$AI$105)</f>
        <v>0</v>
      </c>
      <c r="N588" s="156">
        <f t="shared" ca="1" si="404"/>
        <v>0</v>
      </c>
      <c r="O588" s="116">
        <f ca="1">SUBTOTAL(109,'3.3 I&amp;W'!$S$105)</f>
        <v>0</v>
      </c>
      <c r="P588" s="30">
        <f t="shared" ca="1" si="445"/>
        <v>0</v>
      </c>
      <c r="Q588" s="31">
        <f t="shared" ca="1" si="446"/>
        <v>0</v>
      </c>
      <c r="R588" s="31">
        <f t="shared" ca="1" si="447"/>
        <v>0</v>
      </c>
      <c r="S588" s="31">
        <f t="shared" ca="1" si="448"/>
        <v>0</v>
      </c>
      <c r="T588" s="32">
        <f t="shared" ca="1" si="449"/>
        <v>0</v>
      </c>
      <c r="U588" s="37">
        <f t="shared" ca="1" si="405"/>
        <v>0</v>
      </c>
      <c r="V588" s="40">
        <f t="shared" ca="1" si="455"/>
        <v>0</v>
      </c>
      <c r="W588" s="41">
        <f t="shared" ca="1" si="456"/>
        <v>0</v>
      </c>
      <c r="X588" s="43"/>
      <c r="Y588" s="46"/>
      <c r="Z588" s="126"/>
      <c r="AA588" s="136"/>
      <c r="AB588" s="83">
        <v>35</v>
      </c>
      <c r="AC588" s="84">
        <f ca="1">IF(AF587&lt;=1,0,'3.3 Fi&amp;Fo'!$I$25)</f>
        <v>49369.168897197917</v>
      </c>
      <c r="AD588" s="72">
        <f ca="1">IF(AF587&lt;=1,0,AF587*'3.3 Fi&amp;Fo'!$H$25)</f>
        <v>968.02291955290218</v>
      </c>
      <c r="AE588" s="78">
        <f t="shared" ca="1" si="409"/>
        <v>48401.145977645014</v>
      </c>
      <c r="AF588" s="85">
        <f t="shared" ca="1" si="410"/>
        <v>9.4587448984384537E-11</v>
      </c>
      <c r="AG588" s="168">
        <f>IF(AJ587&lt;=1,0,IF(AB588&lt;='3.3 Fi&amp;Fo'!$F$34,'3.3 Fi&amp;Fo'!$J$34,IF(AB588&lt;='3.3 Fi&amp;Fo'!$F$35,'3.3 Fi&amp;Fo'!$J$35,IF(AB588&lt;='3.3 Fi&amp;Fo'!$F$36,'3.3 Fi&amp;Fo'!$J$36,IF(AB588&lt;='3.3 Fi&amp;Fo'!$F$37,'3.3 Fi&amp;Fo'!$J$37,IF(AB588&lt;='3.3 Fi&amp;Fo'!$F$38,'3.3 Fi&amp;Fo'!$J$38,IF(AB588&lt;='3.3 Fi&amp;Fo'!$F$39,'3.3 Fi&amp;Fo'!$J$39,IF(AB588&lt;='3.3 Fi&amp;Fo'!$F$40,'3.3 Fi&amp;Fo'!$J$40))))))))</f>
        <v>110680.84400000001</v>
      </c>
      <c r="AH588" s="207">
        <f>IF(AJ587&lt;=1,0,AJ587*IF(AB588&lt;='3.3 Fi&amp;Fo'!$F$34,'3.3 Fi&amp;Fo'!$I$34,IF(AB588&lt;='3.3 Fi&amp;Fo'!$F$35,'3.3 Fi&amp;Fo'!$I$35,IF(AB588&lt;='3.3 Fi&amp;Fo'!$F$38,'3.3 Fi&amp;Fo'!$I$38,IF(AB588&lt;='3.3 Fi&amp;Fo'!$F$39,'3.3 Fi&amp;Fo'!$I$39,IF(AB588&lt;='3.3 Fi&amp;Fo'!$F$40,'3.3 Fi&amp;Fo'!$I$40))))))</f>
        <v>160820.63071652144</v>
      </c>
      <c r="AI588" s="210">
        <f t="shared" si="462"/>
        <v>-50139.786716521427</v>
      </c>
      <c r="AJ588" s="209">
        <f t="shared" si="412"/>
        <v>2524303.3362014662</v>
      </c>
      <c r="AK588" s="312">
        <f t="shared" ca="1" si="463"/>
        <v>-203758.7218321588</v>
      </c>
      <c r="AL588" s="169">
        <f>IF(AB588&lt;='3.3 Fi&amp;Fo'!$J$15,'3.3 Fi&amp;Fo'!$I$15,0)</f>
        <v>0</v>
      </c>
      <c r="AM588" s="169">
        <f t="shared" si="425"/>
        <v>43708.708934960887</v>
      </c>
      <c r="AN588" s="838">
        <f t="shared" si="430"/>
        <v>35</v>
      </c>
      <c r="AO588" s="844">
        <f t="shared" ca="1" si="413"/>
        <v>203758.7218321588</v>
      </c>
      <c r="AP588" s="839">
        <f ca="1">CW658</f>
        <v>0</v>
      </c>
      <c r="AQ588" s="844">
        <f t="shared" ca="1" si="414"/>
        <v>-1727259.316162701</v>
      </c>
      <c r="AR588" s="839">
        <f t="shared" ca="1" si="431"/>
        <v>0</v>
      </c>
      <c r="AS588" s="839">
        <f t="shared" ca="1" si="426"/>
        <v>11444.4925559105</v>
      </c>
      <c r="AT588" s="839">
        <f t="shared" ca="1" si="427"/>
        <v>21442.973256506408</v>
      </c>
      <c r="AU588" s="839">
        <f ca="1">'PV-Einspeisung'!AA180*-1</f>
        <v>0</v>
      </c>
      <c r="AV588" s="839">
        <f ca="1">'PV-Einspeisung'!AE180*-1</f>
        <v>0</v>
      </c>
      <c r="AW588" s="839"/>
      <c r="AX588" s="839">
        <f t="shared" ca="1" si="432"/>
        <v>0</v>
      </c>
      <c r="AY588" s="841">
        <f t="shared" si="415"/>
        <v>35</v>
      </c>
      <c r="AZ588" s="842">
        <f t="shared" ca="1" si="433"/>
        <v>0</v>
      </c>
      <c r="BA588" s="842">
        <f t="shared" ca="1" si="434"/>
        <v>0</v>
      </c>
      <c r="BB588" s="842">
        <f t="shared" ca="1" si="435"/>
        <v>0</v>
      </c>
      <c r="BC588" s="842">
        <f t="shared" ca="1" si="436"/>
        <v>0</v>
      </c>
      <c r="BD588" s="842">
        <f t="shared" ca="1" si="437"/>
        <v>0</v>
      </c>
      <c r="BE588" s="842">
        <f t="shared" ca="1" si="438"/>
        <v>0</v>
      </c>
      <c r="BF588" s="842">
        <f t="shared" ca="1" si="439"/>
        <v>14055.440694355697</v>
      </c>
      <c r="BG588" s="842">
        <f t="shared" ca="1" si="440"/>
        <v>7387.5325621507118</v>
      </c>
      <c r="BH588" s="858">
        <f t="shared" si="423"/>
        <v>35</v>
      </c>
      <c r="BI588" s="857">
        <f t="shared" ca="1" si="441"/>
        <v>5140.2691371292258</v>
      </c>
      <c r="BJ588" s="857">
        <f t="shared" ca="1" si="442"/>
        <v>6304.2234187812737</v>
      </c>
      <c r="BK588" s="859">
        <f ca="1">'PV-Einspeisung'!AB180*-1</f>
        <v>0</v>
      </c>
      <c r="BL588" s="824">
        <f t="shared" ca="1" si="457"/>
        <v>0</v>
      </c>
      <c r="BM588" s="824">
        <f t="shared" ca="1" si="458"/>
        <v>0</v>
      </c>
      <c r="BN588" s="824">
        <f t="shared" ca="1" si="459"/>
        <v>0</v>
      </c>
      <c r="BO588" s="824">
        <f t="shared" ca="1" si="461"/>
        <v>0</v>
      </c>
      <c r="BP588" s="824">
        <f t="shared" ca="1" si="461"/>
        <v>0</v>
      </c>
      <c r="BQ588" s="824">
        <f t="shared" ca="1" si="461"/>
        <v>0</v>
      </c>
      <c r="BR588" s="824">
        <f t="shared" ca="1" si="461"/>
        <v>0</v>
      </c>
      <c r="BS588" s="824">
        <f t="shared" ca="1" si="461"/>
        <v>0</v>
      </c>
      <c r="BT588" s="824">
        <f t="shared" ca="1" si="461"/>
        <v>0</v>
      </c>
      <c r="BU588" s="824">
        <f t="shared" ca="1" si="461"/>
        <v>0</v>
      </c>
      <c r="BV588" s="824">
        <f t="shared" ca="1" si="461"/>
        <v>0</v>
      </c>
      <c r="BW588" s="824">
        <f t="shared" ca="1" si="461"/>
        <v>0</v>
      </c>
      <c r="BX588" s="824">
        <f t="shared" ca="1" si="461"/>
        <v>0</v>
      </c>
      <c r="BY588" s="824">
        <f t="shared" ca="1" si="461"/>
        <v>0</v>
      </c>
      <c r="BZ588" s="824">
        <f t="shared" ca="1" si="461"/>
        <v>0</v>
      </c>
      <c r="CA588" s="824">
        <f t="shared" ca="1" si="461"/>
        <v>0</v>
      </c>
      <c r="CB588" s="824">
        <f t="shared" ca="1" si="461"/>
        <v>0</v>
      </c>
      <c r="CC588" s="824">
        <f t="shared" ca="1" si="461"/>
        <v>0</v>
      </c>
      <c r="CD588" s="824">
        <f t="shared" ca="1" si="461"/>
        <v>0</v>
      </c>
      <c r="CE588" s="824">
        <f t="shared" ca="1" si="460"/>
        <v>0</v>
      </c>
      <c r="CF588" s="824">
        <f t="shared" ca="1" si="460"/>
        <v>0</v>
      </c>
      <c r="CG588" s="824">
        <f t="shared" ca="1" si="460"/>
        <v>0</v>
      </c>
      <c r="CH588" s="824">
        <f t="shared" ca="1" si="460"/>
        <v>0</v>
      </c>
      <c r="CI588" s="824">
        <f t="shared" ca="1" si="460"/>
        <v>0</v>
      </c>
      <c r="CJ588" s="824">
        <f t="shared" ca="1" si="460"/>
        <v>0</v>
      </c>
      <c r="CK588" s="824">
        <f t="shared" ca="1" si="460"/>
        <v>0</v>
      </c>
      <c r="CL588" s="824">
        <f t="shared" ca="1" si="460"/>
        <v>0</v>
      </c>
      <c r="CM588" s="824">
        <f t="shared" ca="1" si="460"/>
        <v>0</v>
      </c>
      <c r="CN588" s="824">
        <f t="shared" ca="1" si="460"/>
        <v>0</v>
      </c>
      <c r="CO588" s="824">
        <f t="shared" ca="1" si="460"/>
        <v>0</v>
      </c>
      <c r="CP588" s="824">
        <f t="shared" ca="1" si="460"/>
        <v>0</v>
      </c>
      <c r="CQ588" s="824">
        <f t="shared" ca="1" si="460"/>
        <v>0</v>
      </c>
      <c r="CR588" s="824">
        <f t="shared" ca="1" si="460"/>
        <v>0</v>
      </c>
      <c r="CS588" s="824">
        <f t="shared" ca="1" si="460"/>
        <v>0</v>
      </c>
      <c r="CT588" s="824">
        <f t="shared" ca="1" si="451"/>
        <v>0</v>
      </c>
      <c r="CU588" s="824">
        <f t="shared" ca="1" si="451"/>
        <v>0</v>
      </c>
      <c r="CV588" s="824">
        <f t="shared" ca="1" si="451"/>
        <v>0</v>
      </c>
      <c r="CW588" s="824">
        <f t="shared" ca="1" si="451"/>
        <v>0</v>
      </c>
      <c r="CX588" s="824">
        <f t="shared" ca="1" si="451"/>
        <v>0</v>
      </c>
      <c r="CY588" s="824">
        <f t="shared" ca="1" si="451"/>
        <v>0</v>
      </c>
      <c r="CZ588" s="824">
        <f t="shared" ca="1" si="451"/>
        <v>0</v>
      </c>
      <c r="DA588" s="824">
        <f t="shared" ca="1" si="451"/>
        <v>0</v>
      </c>
      <c r="DB588" s="824">
        <f t="shared" ca="1" si="451"/>
        <v>0</v>
      </c>
      <c r="DC588" s="824">
        <f t="shared" ca="1" si="451"/>
        <v>0</v>
      </c>
      <c r="DD588" s="824">
        <f t="shared" ca="1" si="451"/>
        <v>0</v>
      </c>
      <c r="DE588" s="824">
        <f t="shared" ca="1" si="451"/>
        <v>0</v>
      </c>
      <c r="DF588" s="824">
        <f t="shared" ca="1" si="451"/>
        <v>0</v>
      </c>
      <c r="DG588" s="824">
        <f t="shared" ca="1" si="454"/>
        <v>0</v>
      </c>
      <c r="DH588" s="824">
        <f t="shared" ca="1" si="454"/>
        <v>0</v>
      </c>
      <c r="DI588" s="824">
        <f t="shared" ca="1" si="454"/>
        <v>0</v>
      </c>
      <c r="DJ588" s="824">
        <f t="shared" ca="1" si="454"/>
        <v>0</v>
      </c>
      <c r="DK588" s="824">
        <f t="shared" ca="1" si="453"/>
        <v>0</v>
      </c>
      <c r="DL588" s="824">
        <f t="shared" ca="1" si="453"/>
        <v>0</v>
      </c>
    </row>
    <row r="589" spans="2:116" ht="12" thickBot="1" x14ac:dyDescent="0.3">
      <c r="B589" s="1673"/>
      <c r="C589" s="1680"/>
      <c r="D589" s="15" t="s">
        <v>264</v>
      </c>
      <c r="E589" s="116"/>
      <c r="F589" s="116">
        <f ca="1">SUBTOTAL(109,'3.3 I&amp;W'!$X$106)</f>
        <v>0</v>
      </c>
      <c r="G589" s="116">
        <f ca="1">SUBTOTAL(109,'3.3 I&amp;W'!$Y$106)</f>
        <v>0</v>
      </c>
      <c r="H589" s="116">
        <f ca="1">SUBTOTAL(109,'3.3 I&amp;W'!$AD$106)</f>
        <v>0</v>
      </c>
      <c r="I589" s="116">
        <f ca="1">SUBTOTAL(109,'3.3 I&amp;W'!$AE$106)</f>
        <v>0</v>
      </c>
      <c r="J589" s="116"/>
      <c r="K589" s="116"/>
      <c r="L589" s="116"/>
      <c r="M589" s="116">
        <f ca="1">SUBTOTAL(109,'3.3 I&amp;W'!$AI$106)</f>
        <v>0</v>
      </c>
      <c r="N589" s="156">
        <f t="shared" ca="1" si="404"/>
        <v>0</v>
      </c>
      <c r="O589" s="116">
        <f ca="1">SUBTOTAL(109,'3.3 I&amp;W'!$S$106)</f>
        <v>0</v>
      </c>
      <c r="P589" s="30">
        <f t="shared" ca="1" si="445"/>
        <v>0</v>
      </c>
      <c r="Q589" s="31">
        <f t="shared" ca="1" si="446"/>
        <v>0</v>
      </c>
      <c r="R589" s="31">
        <f t="shared" ca="1" si="447"/>
        <v>0</v>
      </c>
      <c r="S589" s="31">
        <f t="shared" ca="1" si="448"/>
        <v>0</v>
      </c>
      <c r="T589" s="32">
        <f t="shared" ca="1" si="449"/>
        <v>0</v>
      </c>
      <c r="U589" s="37">
        <f t="shared" ca="1" si="405"/>
        <v>0</v>
      </c>
      <c r="V589" s="40">
        <f t="shared" ca="1" si="455"/>
        <v>0</v>
      </c>
      <c r="W589" s="41">
        <f t="shared" ca="1" si="456"/>
        <v>0</v>
      </c>
      <c r="X589" s="43"/>
      <c r="Y589" s="46"/>
      <c r="Z589" s="126"/>
      <c r="AA589" s="136"/>
      <c r="AB589" s="83">
        <v>36</v>
      </c>
      <c r="AC589" s="84">
        <f ca="1">IF(AF588&lt;=1,0,'3.3 Fi&amp;Fo'!$I$25)</f>
        <v>0</v>
      </c>
      <c r="AD589" s="72">
        <f ca="1">IF(AF588&lt;=1,0,AF588*'3.3 Fi&amp;Fo'!$H$25)</f>
        <v>0</v>
      </c>
      <c r="AE589" s="78">
        <f t="shared" ca="1" si="409"/>
        <v>0</v>
      </c>
      <c r="AF589" s="85">
        <f t="shared" ca="1" si="410"/>
        <v>9.4587448984384537E-11</v>
      </c>
      <c r="AG589" s="168" t="b">
        <f>IF(AJ588&lt;=1,0,IF(AB589&lt;='3.3 Fi&amp;Fo'!$F$34,'3.3 Fi&amp;Fo'!$J$34,IF(AB589&lt;='3.3 Fi&amp;Fo'!$F$35,'3.3 Fi&amp;Fo'!$J$35,IF(AB589&lt;='3.3 Fi&amp;Fo'!$F$36,'3.3 Fi&amp;Fo'!$J$36,IF(AB589&lt;='3.3 Fi&amp;Fo'!$F$37,'3.3 Fi&amp;Fo'!$J$37,IF(AB589&lt;='3.3 Fi&amp;Fo'!$F$38,'3.3 Fi&amp;Fo'!$J$38,IF(AB589&lt;='3.3 Fi&amp;Fo'!$F$39,'3.3 Fi&amp;Fo'!$J$39,IF(AB589&lt;='3.3 Fi&amp;Fo'!$F$40,'3.3 Fi&amp;Fo'!$J$40))))))))</f>
        <v>0</v>
      </c>
      <c r="AH589" s="207">
        <f>IF(AJ588&lt;=1,0,AJ588*IF(AB589&lt;='3.3 Fi&amp;Fo'!$F$34,'3.3 Fi&amp;Fo'!$I$34,IF(AB589&lt;='3.3 Fi&amp;Fo'!$F$35,'3.3 Fi&amp;Fo'!$I$35,IF(AB589&lt;='3.3 Fi&amp;Fo'!$F$38,'3.3 Fi&amp;Fo'!$I$38,IF(AB589&lt;='3.3 Fi&amp;Fo'!$F$39,'3.3 Fi&amp;Fo'!$I$39,IF(AB589&lt;='3.3 Fi&amp;Fo'!$F$40,'3.3 Fi&amp;Fo'!$I$40))))))</f>
        <v>0</v>
      </c>
      <c r="AI589" s="210">
        <f t="shared" si="462"/>
        <v>0</v>
      </c>
      <c r="AJ589" s="209">
        <f t="shared" si="412"/>
        <v>2524303.3362014662</v>
      </c>
      <c r="AK589" s="312">
        <f t="shared" ca="1" si="463"/>
        <v>0</v>
      </c>
      <c r="AL589" s="169">
        <f>IF(AB589&lt;='3.3 Fi&amp;Fo'!$J$15,'3.3 Fi&amp;Fo'!$I$15,0)</f>
        <v>0</v>
      </c>
      <c r="AM589" s="169">
        <f t="shared" si="425"/>
        <v>0</v>
      </c>
      <c r="AN589" s="838" t="str">
        <f t="shared" si="430"/>
        <v/>
      </c>
      <c r="AO589" s="844">
        <f t="shared" ca="1" si="413"/>
        <v>0</v>
      </c>
      <c r="AP589" s="839">
        <f ca="1">CX658</f>
        <v>0</v>
      </c>
      <c r="AQ589" s="844">
        <f t="shared" si="414"/>
        <v>0</v>
      </c>
      <c r="AR589" s="839" t="str">
        <f t="shared" si="431"/>
        <v/>
      </c>
      <c r="AS589" s="839">
        <f t="shared" si="426"/>
        <v>0</v>
      </c>
      <c r="AT589" s="839">
        <f t="shared" si="427"/>
        <v>0</v>
      </c>
      <c r="AU589" s="839">
        <f>'PV-Einspeisung'!AA181*-1</f>
        <v>0</v>
      </c>
      <c r="AV589" s="839">
        <f>'PV-Einspeisung'!AE181*-1</f>
        <v>0</v>
      </c>
      <c r="AW589" s="839"/>
      <c r="AX589" s="839" t="str">
        <f t="shared" si="432"/>
        <v/>
      </c>
      <c r="AY589" s="841" t="str">
        <f t="shared" si="415"/>
        <v/>
      </c>
      <c r="AZ589" s="842" t="str">
        <f t="shared" si="433"/>
        <v/>
      </c>
      <c r="BA589" s="842" t="str">
        <f t="shared" si="434"/>
        <v/>
      </c>
      <c r="BB589" s="842" t="str">
        <f t="shared" si="435"/>
        <v/>
      </c>
      <c r="BC589" s="842" t="str">
        <f t="shared" si="436"/>
        <v/>
      </c>
      <c r="BD589" s="842" t="str">
        <f t="shared" si="437"/>
        <v/>
      </c>
      <c r="BE589" s="842" t="str">
        <f t="shared" si="438"/>
        <v/>
      </c>
      <c r="BF589" s="842" t="str">
        <f t="shared" si="439"/>
        <v/>
      </c>
      <c r="BG589" s="842" t="str">
        <f t="shared" si="440"/>
        <v/>
      </c>
      <c r="BH589" s="858" t="str">
        <f t="shared" si="423"/>
        <v/>
      </c>
      <c r="BI589" s="857" t="str">
        <f t="shared" si="441"/>
        <v/>
      </c>
      <c r="BJ589" s="857" t="str">
        <f t="shared" si="442"/>
        <v/>
      </c>
      <c r="BK589" s="859">
        <f>'PV-Einspeisung'!AB181*-1</f>
        <v>0</v>
      </c>
      <c r="BL589" s="824">
        <f t="shared" ca="1" si="457"/>
        <v>0</v>
      </c>
      <c r="BM589" s="824">
        <f t="shared" ca="1" si="458"/>
        <v>0</v>
      </c>
      <c r="BN589" s="824">
        <f t="shared" ca="1" si="459"/>
        <v>0</v>
      </c>
      <c r="BO589" s="824">
        <f t="shared" ca="1" si="461"/>
        <v>0</v>
      </c>
      <c r="BP589" s="824">
        <f t="shared" ca="1" si="461"/>
        <v>0</v>
      </c>
      <c r="BQ589" s="824">
        <f t="shared" ca="1" si="461"/>
        <v>0</v>
      </c>
      <c r="BR589" s="824">
        <f t="shared" ca="1" si="461"/>
        <v>0</v>
      </c>
      <c r="BS589" s="824">
        <f t="shared" ca="1" si="461"/>
        <v>0</v>
      </c>
      <c r="BT589" s="824">
        <f t="shared" ca="1" si="461"/>
        <v>0</v>
      </c>
      <c r="BU589" s="824">
        <f t="shared" ca="1" si="461"/>
        <v>0</v>
      </c>
      <c r="BV589" s="824">
        <f t="shared" ca="1" si="461"/>
        <v>0</v>
      </c>
      <c r="BW589" s="824">
        <f t="shared" ca="1" si="461"/>
        <v>0</v>
      </c>
      <c r="BX589" s="824">
        <f t="shared" ca="1" si="461"/>
        <v>0</v>
      </c>
      <c r="BY589" s="824">
        <f t="shared" ca="1" si="461"/>
        <v>0</v>
      </c>
      <c r="BZ589" s="824">
        <f t="shared" ca="1" si="461"/>
        <v>0</v>
      </c>
      <c r="CA589" s="824">
        <f t="shared" ca="1" si="461"/>
        <v>0</v>
      </c>
      <c r="CB589" s="824">
        <f t="shared" ca="1" si="461"/>
        <v>0</v>
      </c>
      <c r="CC589" s="824">
        <f t="shared" ca="1" si="461"/>
        <v>0</v>
      </c>
      <c r="CD589" s="824">
        <f t="shared" ca="1" si="461"/>
        <v>0</v>
      </c>
      <c r="CE589" s="824">
        <f t="shared" ca="1" si="460"/>
        <v>0</v>
      </c>
      <c r="CF589" s="824">
        <f t="shared" ca="1" si="460"/>
        <v>0</v>
      </c>
      <c r="CG589" s="824">
        <f t="shared" ca="1" si="460"/>
        <v>0</v>
      </c>
      <c r="CH589" s="824">
        <f t="shared" ca="1" si="460"/>
        <v>0</v>
      </c>
      <c r="CI589" s="824">
        <f t="shared" ca="1" si="460"/>
        <v>0</v>
      </c>
      <c r="CJ589" s="824">
        <f t="shared" ca="1" si="460"/>
        <v>0</v>
      </c>
      <c r="CK589" s="824">
        <f t="shared" ca="1" si="460"/>
        <v>0</v>
      </c>
      <c r="CL589" s="824">
        <f t="shared" ca="1" si="460"/>
        <v>0</v>
      </c>
      <c r="CM589" s="824">
        <f t="shared" ca="1" si="460"/>
        <v>0</v>
      </c>
      <c r="CN589" s="824">
        <f t="shared" ca="1" si="460"/>
        <v>0</v>
      </c>
      <c r="CO589" s="824">
        <f t="shared" ca="1" si="460"/>
        <v>0</v>
      </c>
      <c r="CP589" s="824">
        <f t="shared" ca="1" si="460"/>
        <v>0</v>
      </c>
      <c r="CQ589" s="824">
        <f t="shared" ca="1" si="460"/>
        <v>0</v>
      </c>
      <c r="CR589" s="824">
        <f t="shared" ca="1" si="460"/>
        <v>0</v>
      </c>
      <c r="CS589" s="824">
        <f t="shared" ca="1" si="460"/>
        <v>0</v>
      </c>
      <c r="CT589" s="824">
        <f t="shared" ca="1" si="451"/>
        <v>0</v>
      </c>
      <c r="CU589" s="824">
        <f t="shared" ca="1" si="451"/>
        <v>0</v>
      </c>
      <c r="CV589" s="824">
        <f t="shared" ca="1" si="451"/>
        <v>0</v>
      </c>
      <c r="CW589" s="824">
        <f t="shared" ca="1" si="451"/>
        <v>0</v>
      </c>
      <c r="CX589" s="824">
        <f t="shared" ca="1" si="451"/>
        <v>0</v>
      </c>
      <c r="CY589" s="824">
        <f t="shared" ca="1" si="451"/>
        <v>0</v>
      </c>
      <c r="CZ589" s="824">
        <f t="shared" ca="1" si="451"/>
        <v>0</v>
      </c>
      <c r="DA589" s="824">
        <f t="shared" ca="1" si="451"/>
        <v>0</v>
      </c>
      <c r="DB589" s="824">
        <f t="shared" ca="1" si="451"/>
        <v>0</v>
      </c>
      <c r="DC589" s="824">
        <f t="shared" ca="1" si="451"/>
        <v>0</v>
      </c>
      <c r="DD589" s="824">
        <f t="shared" ca="1" si="451"/>
        <v>0</v>
      </c>
      <c r="DE589" s="824">
        <f t="shared" ca="1" si="451"/>
        <v>0</v>
      </c>
      <c r="DF589" s="824">
        <f t="shared" ca="1" si="451"/>
        <v>0</v>
      </c>
      <c r="DG589" s="824">
        <f t="shared" ca="1" si="454"/>
        <v>0</v>
      </c>
      <c r="DH589" s="824">
        <f t="shared" ca="1" si="454"/>
        <v>0</v>
      </c>
      <c r="DI589" s="824">
        <f t="shared" ca="1" si="454"/>
        <v>0</v>
      </c>
      <c r="DJ589" s="824">
        <f t="shared" ca="1" si="454"/>
        <v>0</v>
      </c>
      <c r="DK589" s="824">
        <f t="shared" ca="1" si="453"/>
        <v>0</v>
      </c>
      <c r="DL589" s="824">
        <f t="shared" ca="1" si="453"/>
        <v>0</v>
      </c>
    </row>
    <row r="590" spans="2:116" ht="12" thickBot="1" x14ac:dyDescent="0.3">
      <c r="B590" s="1673"/>
      <c r="C590" s="1680"/>
      <c r="D590" s="15" t="s">
        <v>264</v>
      </c>
      <c r="E590" s="165"/>
      <c r="F590" s="116">
        <f ca="1">SUBTOTAL(109,'3.3 I&amp;W'!$X$107)</f>
        <v>0</v>
      </c>
      <c r="G590" s="116">
        <f ca="1">SUBTOTAL(109,'3.3 I&amp;W'!$Y$107)</f>
        <v>0</v>
      </c>
      <c r="H590" s="116">
        <f ca="1">SUBTOTAL(109,'3.3 I&amp;W'!$AD$107)</f>
        <v>0</v>
      </c>
      <c r="I590" s="116">
        <f ca="1">SUBTOTAL(109,'3.3 I&amp;W'!$AE$107)</f>
        <v>0</v>
      </c>
      <c r="J590" s="116"/>
      <c r="K590" s="116"/>
      <c r="L590" s="116"/>
      <c r="M590" s="116">
        <f ca="1">SUBTOTAL(109,'3.3 I&amp;W'!$AI$107)</f>
        <v>0</v>
      </c>
      <c r="N590" s="156">
        <f t="shared" ca="1" si="404"/>
        <v>0</v>
      </c>
      <c r="O590" s="116">
        <f ca="1">SUBTOTAL(109,'3.3 I&amp;W'!$S$107)</f>
        <v>0</v>
      </c>
      <c r="P590" s="30">
        <f t="shared" ca="1" si="445"/>
        <v>0</v>
      </c>
      <c r="Q590" s="31">
        <f t="shared" ca="1" si="446"/>
        <v>0</v>
      </c>
      <c r="R590" s="31">
        <f t="shared" ca="1" si="447"/>
        <v>0</v>
      </c>
      <c r="S590" s="31">
        <f t="shared" ca="1" si="448"/>
        <v>0</v>
      </c>
      <c r="T590" s="32">
        <f t="shared" ca="1" si="449"/>
        <v>0</v>
      </c>
      <c r="U590" s="37">
        <f t="shared" ca="1" si="405"/>
        <v>0</v>
      </c>
      <c r="V590" s="40">
        <f t="shared" ca="1" si="455"/>
        <v>0</v>
      </c>
      <c r="W590" s="41">
        <f t="shared" ca="1" si="456"/>
        <v>0</v>
      </c>
      <c r="X590" s="43"/>
      <c r="Y590" s="46"/>
      <c r="Z590" s="126"/>
      <c r="AA590" s="136"/>
      <c r="AB590" s="83">
        <v>37</v>
      </c>
      <c r="AC590" s="84">
        <f ca="1">IF(AF589&lt;=1,0,'3.3 Fi&amp;Fo'!$I$25)</f>
        <v>0</v>
      </c>
      <c r="AD590" s="72">
        <f ca="1">IF(AF589&lt;=1,0,AF589*'3.3 Fi&amp;Fo'!$H$25)</f>
        <v>0</v>
      </c>
      <c r="AE590" s="78">
        <f t="shared" ca="1" si="409"/>
        <v>0</v>
      </c>
      <c r="AF590" s="85">
        <f t="shared" ca="1" si="410"/>
        <v>9.4587448984384537E-11</v>
      </c>
      <c r="AG590" s="168" t="b">
        <f>IF(AJ589&lt;=1,0,IF(AB590&lt;='3.3 Fi&amp;Fo'!$F$34,'3.3 Fi&amp;Fo'!$J$34,IF(AB590&lt;='3.3 Fi&amp;Fo'!$F$35,'3.3 Fi&amp;Fo'!$J$35,IF(AB590&lt;='3.3 Fi&amp;Fo'!$F$36,'3.3 Fi&amp;Fo'!$J$36,IF(AB590&lt;='3.3 Fi&amp;Fo'!$F$37,'3.3 Fi&amp;Fo'!$J$37,IF(AB590&lt;='3.3 Fi&amp;Fo'!$F$38,'3.3 Fi&amp;Fo'!$J$38,IF(AB590&lt;='3.3 Fi&amp;Fo'!$F$39,'3.3 Fi&amp;Fo'!$J$39,IF(AB590&lt;='3.3 Fi&amp;Fo'!$F$40,'3.3 Fi&amp;Fo'!$J$40))))))))</f>
        <v>0</v>
      </c>
      <c r="AH590" s="207">
        <f>IF(AJ589&lt;=1,0,AJ589*IF(AB590&lt;='3.3 Fi&amp;Fo'!$F$34,'3.3 Fi&amp;Fo'!$I$34,IF(AB590&lt;='3.3 Fi&amp;Fo'!$F$35,'3.3 Fi&amp;Fo'!$I$35,IF(AB590&lt;='3.3 Fi&amp;Fo'!$F$38,'3.3 Fi&amp;Fo'!$I$38,IF(AB590&lt;='3.3 Fi&amp;Fo'!$F$39,'3.3 Fi&amp;Fo'!$I$39,IF(AB590&lt;='3.3 Fi&amp;Fo'!$F$40,'3.3 Fi&amp;Fo'!$I$40))))))</f>
        <v>0</v>
      </c>
      <c r="AI590" s="210">
        <f t="shared" si="462"/>
        <v>0</v>
      </c>
      <c r="AJ590" s="209">
        <f t="shared" si="412"/>
        <v>2524303.3362014662</v>
      </c>
      <c r="AK590" s="312">
        <f t="shared" ca="1" si="463"/>
        <v>0</v>
      </c>
      <c r="AL590" s="169">
        <f>IF(AB590&lt;='3.3 Fi&amp;Fo'!$J$15,'3.3 Fi&amp;Fo'!$I$15,0)</f>
        <v>0</v>
      </c>
      <c r="AM590" s="169">
        <f t="shared" si="425"/>
        <v>0</v>
      </c>
      <c r="AN590" s="838" t="str">
        <f t="shared" si="430"/>
        <v/>
      </c>
      <c r="AO590" s="844">
        <f t="shared" ca="1" si="413"/>
        <v>0</v>
      </c>
      <c r="AP590" s="839">
        <f ca="1">CY658</f>
        <v>0</v>
      </c>
      <c r="AQ590" s="844">
        <f t="shared" si="414"/>
        <v>0</v>
      </c>
      <c r="AR590" s="839" t="str">
        <f t="shared" si="431"/>
        <v/>
      </c>
      <c r="AS590" s="839">
        <f t="shared" si="426"/>
        <v>0</v>
      </c>
      <c r="AT590" s="839">
        <f t="shared" si="427"/>
        <v>0</v>
      </c>
      <c r="AU590" s="839">
        <f>'PV-Einspeisung'!AA182*-1</f>
        <v>0</v>
      </c>
      <c r="AV590" s="839">
        <f>'PV-Einspeisung'!AE182*-1</f>
        <v>0</v>
      </c>
      <c r="AW590" s="839"/>
      <c r="AX590" s="839" t="str">
        <f t="shared" si="432"/>
        <v/>
      </c>
      <c r="AY590" s="841" t="str">
        <f t="shared" si="415"/>
        <v/>
      </c>
      <c r="AZ590" s="842" t="str">
        <f t="shared" si="433"/>
        <v/>
      </c>
      <c r="BA590" s="842" t="str">
        <f t="shared" si="434"/>
        <v/>
      </c>
      <c r="BB590" s="842" t="str">
        <f t="shared" si="435"/>
        <v/>
      </c>
      <c r="BC590" s="842" t="str">
        <f t="shared" si="436"/>
        <v/>
      </c>
      <c r="BD590" s="842" t="str">
        <f t="shared" si="437"/>
        <v/>
      </c>
      <c r="BE590" s="842" t="str">
        <f t="shared" si="438"/>
        <v/>
      </c>
      <c r="BF590" s="842" t="str">
        <f t="shared" si="439"/>
        <v/>
      </c>
      <c r="BG590" s="842" t="str">
        <f t="shared" si="440"/>
        <v/>
      </c>
      <c r="BH590" s="858" t="str">
        <f t="shared" si="423"/>
        <v/>
      </c>
      <c r="BI590" s="857" t="str">
        <f t="shared" si="441"/>
        <v/>
      </c>
      <c r="BJ590" s="857" t="str">
        <f t="shared" si="442"/>
        <v/>
      </c>
      <c r="BK590" s="859">
        <f>'PV-Einspeisung'!AB182*-1</f>
        <v>0</v>
      </c>
      <c r="BL590" s="824">
        <f t="shared" ca="1" si="457"/>
        <v>0</v>
      </c>
      <c r="BM590" s="824">
        <f t="shared" ca="1" si="458"/>
        <v>0</v>
      </c>
      <c r="BN590" s="824">
        <f t="shared" ca="1" si="459"/>
        <v>0</v>
      </c>
      <c r="BO590" s="824">
        <f t="shared" ca="1" si="461"/>
        <v>0</v>
      </c>
      <c r="BP590" s="824">
        <f t="shared" ca="1" si="461"/>
        <v>0</v>
      </c>
      <c r="BQ590" s="824">
        <f t="shared" ca="1" si="461"/>
        <v>0</v>
      </c>
      <c r="BR590" s="824">
        <f t="shared" ca="1" si="461"/>
        <v>0</v>
      </c>
      <c r="BS590" s="824">
        <f t="shared" ca="1" si="461"/>
        <v>0</v>
      </c>
      <c r="BT590" s="824">
        <f t="shared" ca="1" si="461"/>
        <v>0</v>
      </c>
      <c r="BU590" s="824">
        <f t="shared" ca="1" si="461"/>
        <v>0</v>
      </c>
      <c r="BV590" s="824">
        <f t="shared" ca="1" si="461"/>
        <v>0</v>
      </c>
      <c r="BW590" s="824">
        <f t="shared" ca="1" si="461"/>
        <v>0</v>
      </c>
      <c r="BX590" s="824">
        <f t="shared" ca="1" si="461"/>
        <v>0</v>
      </c>
      <c r="BY590" s="824">
        <f t="shared" ca="1" si="461"/>
        <v>0</v>
      </c>
      <c r="BZ590" s="824">
        <f t="shared" ca="1" si="461"/>
        <v>0</v>
      </c>
      <c r="CA590" s="824">
        <f t="shared" ca="1" si="461"/>
        <v>0</v>
      </c>
      <c r="CB590" s="824">
        <f t="shared" ca="1" si="461"/>
        <v>0</v>
      </c>
      <c r="CC590" s="824">
        <f t="shared" ca="1" si="461"/>
        <v>0</v>
      </c>
      <c r="CD590" s="824">
        <f t="shared" ca="1" si="461"/>
        <v>0</v>
      </c>
      <c r="CE590" s="824">
        <f t="shared" ca="1" si="460"/>
        <v>0</v>
      </c>
      <c r="CF590" s="824">
        <f t="shared" ca="1" si="460"/>
        <v>0</v>
      </c>
      <c r="CG590" s="824">
        <f t="shared" ca="1" si="460"/>
        <v>0</v>
      </c>
      <c r="CH590" s="824">
        <f t="shared" ca="1" si="460"/>
        <v>0</v>
      </c>
      <c r="CI590" s="824">
        <f t="shared" ca="1" si="460"/>
        <v>0</v>
      </c>
      <c r="CJ590" s="824">
        <f t="shared" ca="1" si="460"/>
        <v>0</v>
      </c>
      <c r="CK590" s="824">
        <f t="shared" ca="1" si="460"/>
        <v>0</v>
      </c>
      <c r="CL590" s="824">
        <f t="shared" ca="1" si="460"/>
        <v>0</v>
      </c>
      <c r="CM590" s="824">
        <f t="shared" ca="1" si="460"/>
        <v>0</v>
      </c>
      <c r="CN590" s="824">
        <f t="shared" ca="1" si="460"/>
        <v>0</v>
      </c>
      <c r="CO590" s="824">
        <f t="shared" ca="1" si="460"/>
        <v>0</v>
      </c>
      <c r="CP590" s="824">
        <f t="shared" ca="1" si="460"/>
        <v>0</v>
      </c>
      <c r="CQ590" s="824">
        <f t="shared" ca="1" si="460"/>
        <v>0</v>
      </c>
      <c r="CR590" s="824">
        <f t="shared" ca="1" si="460"/>
        <v>0</v>
      </c>
      <c r="CS590" s="824">
        <f t="shared" ca="1" si="460"/>
        <v>0</v>
      </c>
      <c r="CT590" s="824">
        <f t="shared" ca="1" si="451"/>
        <v>0</v>
      </c>
      <c r="CU590" s="824">
        <f t="shared" ca="1" si="451"/>
        <v>0</v>
      </c>
      <c r="CV590" s="824">
        <f t="shared" ca="1" si="451"/>
        <v>0</v>
      </c>
      <c r="CW590" s="824">
        <f t="shared" ca="1" si="451"/>
        <v>0</v>
      </c>
      <c r="CX590" s="824">
        <f t="shared" ca="1" si="451"/>
        <v>0</v>
      </c>
      <c r="CY590" s="824">
        <f t="shared" ca="1" si="451"/>
        <v>0</v>
      </c>
      <c r="CZ590" s="824">
        <f t="shared" ca="1" si="451"/>
        <v>0</v>
      </c>
      <c r="DA590" s="824">
        <f t="shared" ca="1" si="451"/>
        <v>0</v>
      </c>
      <c r="DB590" s="824">
        <f t="shared" ca="1" si="451"/>
        <v>0</v>
      </c>
      <c r="DC590" s="824">
        <f t="shared" ca="1" si="451"/>
        <v>0</v>
      </c>
      <c r="DD590" s="824">
        <f t="shared" ca="1" si="451"/>
        <v>0</v>
      </c>
      <c r="DE590" s="824">
        <f t="shared" ca="1" si="451"/>
        <v>0</v>
      </c>
      <c r="DF590" s="824">
        <f t="shared" ca="1" si="451"/>
        <v>0</v>
      </c>
      <c r="DG590" s="824">
        <f t="shared" ca="1" si="454"/>
        <v>0</v>
      </c>
      <c r="DH590" s="824">
        <f t="shared" ca="1" si="454"/>
        <v>0</v>
      </c>
      <c r="DI590" s="824">
        <f t="shared" ca="1" si="454"/>
        <v>0</v>
      </c>
      <c r="DJ590" s="824">
        <f t="shared" ca="1" si="454"/>
        <v>0</v>
      </c>
      <c r="DK590" s="824">
        <f t="shared" ca="1" si="453"/>
        <v>0</v>
      </c>
      <c r="DL590" s="824">
        <f t="shared" ca="1" si="453"/>
        <v>0</v>
      </c>
    </row>
    <row r="591" spans="2:116" ht="12" thickBot="1" x14ac:dyDescent="0.3">
      <c r="B591" s="1673"/>
      <c r="C591" s="1680"/>
      <c r="D591" s="15" t="s">
        <v>264</v>
      </c>
      <c r="E591" s="116"/>
      <c r="F591" s="116">
        <f ca="1">SUBTOTAL(109,'3.3 I&amp;W'!$X$108)</f>
        <v>0</v>
      </c>
      <c r="G591" s="116">
        <f ca="1">SUBTOTAL(109,'3.3 I&amp;W'!$Y$108)</f>
        <v>0</v>
      </c>
      <c r="H591" s="116">
        <f ca="1">SUBTOTAL(109,'3.3 I&amp;W'!$AD$108)</f>
        <v>0</v>
      </c>
      <c r="I591" s="116">
        <f ca="1">SUBTOTAL(109,'3.3 I&amp;W'!$AE$108)</f>
        <v>0</v>
      </c>
      <c r="J591" s="116"/>
      <c r="K591" s="116"/>
      <c r="L591" s="116"/>
      <c r="M591" s="116">
        <f ca="1">SUBTOTAL(109,'3.3 I&amp;W'!$AI$108)</f>
        <v>0</v>
      </c>
      <c r="N591" s="156">
        <f t="shared" ca="1" si="404"/>
        <v>0</v>
      </c>
      <c r="O591" s="116">
        <f ca="1">SUBTOTAL(109,'3.3 I&amp;W'!$S$108)</f>
        <v>0</v>
      </c>
      <c r="P591" s="30">
        <f t="shared" ca="1" si="445"/>
        <v>0</v>
      </c>
      <c r="Q591" s="31">
        <f t="shared" ca="1" si="446"/>
        <v>0</v>
      </c>
      <c r="R591" s="31">
        <f t="shared" ca="1" si="447"/>
        <v>0</v>
      </c>
      <c r="S591" s="31">
        <f t="shared" ca="1" si="448"/>
        <v>0</v>
      </c>
      <c r="T591" s="32">
        <f t="shared" ca="1" si="449"/>
        <v>0</v>
      </c>
      <c r="U591" s="37">
        <f t="shared" ca="1" si="405"/>
        <v>0</v>
      </c>
      <c r="V591" s="40">
        <f t="shared" ca="1" si="455"/>
        <v>0</v>
      </c>
      <c r="W591" s="41">
        <f t="shared" ca="1" si="456"/>
        <v>0</v>
      </c>
      <c r="X591" s="43"/>
      <c r="Y591" s="46"/>
      <c r="Z591" s="126"/>
      <c r="AA591" s="136"/>
      <c r="AB591" s="83">
        <v>38</v>
      </c>
      <c r="AC591" s="84">
        <f ca="1">IF(AF590&lt;=1,0,'3.3 Fi&amp;Fo'!$I$25)</f>
        <v>0</v>
      </c>
      <c r="AD591" s="72">
        <f ca="1">IF(AF590&lt;=1,0,AF590*'3.3 Fi&amp;Fo'!$H$25)</f>
        <v>0</v>
      </c>
      <c r="AE591" s="78">
        <f t="shared" ca="1" si="409"/>
        <v>0</v>
      </c>
      <c r="AF591" s="85">
        <f t="shared" ca="1" si="410"/>
        <v>9.4587448984384537E-11</v>
      </c>
      <c r="AG591" s="168" t="b">
        <f>IF(AJ590&lt;=1,0,IF(AB591&lt;='3.3 Fi&amp;Fo'!$F$34,'3.3 Fi&amp;Fo'!$J$34,IF(AB591&lt;='3.3 Fi&amp;Fo'!$F$35,'3.3 Fi&amp;Fo'!$J$35,IF(AB591&lt;='3.3 Fi&amp;Fo'!$F$36,'3.3 Fi&amp;Fo'!$J$36,IF(AB591&lt;='3.3 Fi&amp;Fo'!$F$37,'3.3 Fi&amp;Fo'!$J$37,IF(AB591&lt;='3.3 Fi&amp;Fo'!$F$38,'3.3 Fi&amp;Fo'!$J$38,IF(AB591&lt;='3.3 Fi&amp;Fo'!$F$39,'3.3 Fi&amp;Fo'!$J$39,IF(AB591&lt;='3.3 Fi&amp;Fo'!$F$40,'3.3 Fi&amp;Fo'!$J$40))))))))</f>
        <v>0</v>
      </c>
      <c r="AH591" s="207">
        <f>IF(AJ590&lt;=1,0,AJ590*IF(AB591&lt;='3.3 Fi&amp;Fo'!$F$34,'3.3 Fi&amp;Fo'!$I$34,IF(AB591&lt;='3.3 Fi&amp;Fo'!$F$35,'3.3 Fi&amp;Fo'!$I$35,IF(AB591&lt;='3.3 Fi&amp;Fo'!$F$38,'3.3 Fi&amp;Fo'!$I$38,IF(AB591&lt;='3.3 Fi&amp;Fo'!$F$39,'3.3 Fi&amp;Fo'!$I$39,IF(AB591&lt;='3.3 Fi&amp;Fo'!$F$40,'3.3 Fi&amp;Fo'!$I$40))))))</f>
        <v>0</v>
      </c>
      <c r="AI591" s="210">
        <f t="shared" si="462"/>
        <v>0</v>
      </c>
      <c r="AJ591" s="209">
        <f t="shared" si="412"/>
        <v>2524303.3362014662</v>
      </c>
      <c r="AK591" s="312">
        <f t="shared" ca="1" si="463"/>
        <v>0</v>
      </c>
      <c r="AL591" s="169">
        <f>IF(AB591&lt;='3.3 Fi&amp;Fo'!$J$15,'3.3 Fi&amp;Fo'!$I$15,0)</f>
        <v>0</v>
      </c>
      <c r="AM591" s="169">
        <f t="shared" si="425"/>
        <v>0</v>
      </c>
      <c r="AN591" s="838" t="str">
        <f t="shared" si="430"/>
        <v/>
      </c>
      <c r="AO591" s="844">
        <f t="shared" ca="1" si="413"/>
        <v>0</v>
      </c>
      <c r="AP591" s="839">
        <f ca="1">CZ658</f>
        <v>0</v>
      </c>
      <c r="AQ591" s="844">
        <f t="shared" si="414"/>
        <v>0</v>
      </c>
      <c r="AR591" s="839" t="str">
        <f t="shared" si="431"/>
        <v/>
      </c>
      <c r="AS591" s="839">
        <f t="shared" si="426"/>
        <v>0</v>
      </c>
      <c r="AT591" s="839">
        <f t="shared" si="427"/>
        <v>0</v>
      </c>
      <c r="AU591" s="839">
        <f>'PV-Einspeisung'!AA183*-1</f>
        <v>0</v>
      </c>
      <c r="AV591" s="839">
        <f>'PV-Einspeisung'!AE183*-1</f>
        <v>0</v>
      </c>
      <c r="AW591" s="839"/>
      <c r="AX591" s="839" t="str">
        <f t="shared" si="432"/>
        <v/>
      </c>
      <c r="AY591" s="841" t="str">
        <f t="shared" si="415"/>
        <v/>
      </c>
      <c r="AZ591" s="842" t="str">
        <f t="shared" si="433"/>
        <v/>
      </c>
      <c r="BA591" s="842" t="str">
        <f t="shared" si="434"/>
        <v/>
      </c>
      <c r="BB591" s="842" t="str">
        <f t="shared" si="435"/>
        <v/>
      </c>
      <c r="BC591" s="842" t="str">
        <f t="shared" si="436"/>
        <v/>
      </c>
      <c r="BD591" s="842" t="str">
        <f t="shared" si="437"/>
        <v/>
      </c>
      <c r="BE591" s="842" t="str">
        <f t="shared" si="438"/>
        <v/>
      </c>
      <c r="BF591" s="842" t="str">
        <f t="shared" si="439"/>
        <v/>
      </c>
      <c r="BG591" s="842" t="str">
        <f t="shared" si="440"/>
        <v/>
      </c>
      <c r="BH591" s="858" t="str">
        <f t="shared" si="423"/>
        <v/>
      </c>
      <c r="BI591" s="857" t="str">
        <f t="shared" si="441"/>
        <v/>
      </c>
      <c r="BJ591" s="857" t="str">
        <f t="shared" si="442"/>
        <v/>
      </c>
      <c r="BK591" s="859">
        <f>'PV-Einspeisung'!AB183*-1</f>
        <v>0</v>
      </c>
      <c r="BL591" s="824">
        <f t="shared" ca="1" si="457"/>
        <v>0</v>
      </c>
      <c r="BM591" s="824">
        <f t="shared" ca="1" si="458"/>
        <v>0</v>
      </c>
      <c r="BN591" s="824">
        <f t="shared" ca="1" si="459"/>
        <v>0</v>
      </c>
      <c r="BO591" s="824">
        <f t="shared" ca="1" si="461"/>
        <v>0</v>
      </c>
      <c r="BP591" s="824">
        <f t="shared" ca="1" si="461"/>
        <v>0</v>
      </c>
      <c r="BQ591" s="824">
        <f t="shared" ca="1" si="461"/>
        <v>0</v>
      </c>
      <c r="BR591" s="824">
        <f t="shared" ca="1" si="461"/>
        <v>0</v>
      </c>
      <c r="BS591" s="824">
        <f t="shared" ca="1" si="461"/>
        <v>0</v>
      </c>
      <c r="BT591" s="824">
        <f t="shared" ca="1" si="461"/>
        <v>0</v>
      </c>
      <c r="BU591" s="824">
        <f t="shared" ca="1" si="461"/>
        <v>0</v>
      </c>
      <c r="BV591" s="824">
        <f t="shared" ca="1" si="461"/>
        <v>0</v>
      </c>
      <c r="BW591" s="824">
        <f t="shared" ca="1" si="461"/>
        <v>0</v>
      </c>
      <c r="BX591" s="824">
        <f t="shared" ca="1" si="461"/>
        <v>0</v>
      </c>
      <c r="BY591" s="824">
        <f t="shared" ca="1" si="461"/>
        <v>0</v>
      </c>
      <c r="BZ591" s="824">
        <f t="shared" ca="1" si="461"/>
        <v>0</v>
      </c>
      <c r="CA591" s="824">
        <f t="shared" ca="1" si="461"/>
        <v>0</v>
      </c>
      <c r="CB591" s="824">
        <f t="shared" ca="1" si="461"/>
        <v>0</v>
      </c>
      <c r="CC591" s="824">
        <f t="shared" ca="1" si="461"/>
        <v>0</v>
      </c>
      <c r="CD591" s="824">
        <f t="shared" ca="1" si="461"/>
        <v>0</v>
      </c>
      <c r="CE591" s="824">
        <f t="shared" ca="1" si="460"/>
        <v>0</v>
      </c>
      <c r="CF591" s="824">
        <f t="shared" ca="1" si="460"/>
        <v>0</v>
      </c>
      <c r="CG591" s="824">
        <f t="shared" ca="1" si="460"/>
        <v>0</v>
      </c>
      <c r="CH591" s="824">
        <f t="shared" ca="1" si="460"/>
        <v>0</v>
      </c>
      <c r="CI591" s="824">
        <f t="shared" ca="1" si="460"/>
        <v>0</v>
      </c>
      <c r="CJ591" s="824">
        <f t="shared" ca="1" si="460"/>
        <v>0</v>
      </c>
      <c r="CK591" s="824">
        <f t="shared" ca="1" si="460"/>
        <v>0</v>
      </c>
      <c r="CL591" s="824">
        <f t="shared" ca="1" si="460"/>
        <v>0</v>
      </c>
      <c r="CM591" s="824">
        <f t="shared" ca="1" si="460"/>
        <v>0</v>
      </c>
      <c r="CN591" s="824">
        <f t="shared" ca="1" si="460"/>
        <v>0</v>
      </c>
      <c r="CO591" s="824">
        <f t="shared" ca="1" si="460"/>
        <v>0</v>
      </c>
      <c r="CP591" s="824">
        <f t="shared" ca="1" si="460"/>
        <v>0</v>
      </c>
      <c r="CQ591" s="824">
        <f t="shared" ca="1" si="460"/>
        <v>0</v>
      </c>
      <c r="CR591" s="824">
        <f t="shared" ca="1" si="460"/>
        <v>0</v>
      </c>
      <c r="CS591" s="824">
        <f t="shared" ca="1" si="460"/>
        <v>0</v>
      </c>
      <c r="CT591" s="824">
        <f t="shared" ca="1" si="451"/>
        <v>0</v>
      </c>
      <c r="CU591" s="824">
        <f t="shared" ca="1" si="451"/>
        <v>0</v>
      </c>
      <c r="CV591" s="824">
        <f t="shared" ca="1" si="451"/>
        <v>0</v>
      </c>
      <c r="CW591" s="824">
        <f t="shared" ca="1" si="451"/>
        <v>0</v>
      </c>
      <c r="CX591" s="824">
        <f t="shared" ca="1" si="451"/>
        <v>0</v>
      </c>
      <c r="CY591" s="824">
        <f t="shared" ca="1" si="451"/>
        <v>0</v>
      </c>
      <c r="CZ591" s="824">
        <f t="shared" ca="1" si="451"/>
        <v>0</v>
      </c>
      <c r="DA591" s="824">
        <f t="shared" ca="1" si="451"/>
        <v>0</v>
      </c>
      <c r="DB591" s="824">
        <f t="shared" ca="1" si="451"/>
        <v>0</v>
      </c>
      <c r="DC591" s="824">
        <f t="shared" ca="1" si="451"/>
        <v>0</v>
      </c>
      <c r="DD591" s="824">
        <f t="shared" ca="1" si="451"/>
        <v>0</v>
      </c>
      <c r="DE591" s="824">
        <f t="shared" ca="1" si="451"/>
        <v>0</v>
      </c>
      <c r="DF591" s="824">
        <f t="shared" ca="1" si="451"/>
        <v>0</v>
      </c>
      <c r="DG591" s="824">
        <f t="shared" ca="1" si="454"/>
        <v>0</v>
      </c>
      <c r="DH591" s="824">
        <f t="shared" ca="1" si="454"/>
        <v>0</v>
      </c>
      <c r="DI591" s="824">
        <f t="shared" ca="1" si="454"/>
        <v>0</v>
      </c>
      <c r="DJ591" s="824">
        <f t="shared" ca="1" si="454"/>
        <v>0</v>
      </c>
      <c r="DK591" s="824">
        <f t="shared" ca="1" si="453"/>
        <v>0</v>
      </c>
      <c r="DL591" s="824">
        <f t="shared" ca="1" si="453"/>
        <v>0</v>
      </c>
    </row>
    <row r="592" spans="2:116" ht="12" thickBot="1" x14ac:dyDescent="0.3">
      <c r="B592" s="1673"/>
      <c r="C592" s="1680"/>
      <c r="D592" s="15" t="s">
        <v>264</v>
      </c>
      <c r="E592" s="165"/>
      <c r="F592" s="116">
        <f ca="1">SUBTOTAL(109,'3.3 I&amp;W'!$X$109)</f>
        <v>0</v>
      </c>
      <c r="G592" s="116">
        <f ca="1">SUBTOTAL(109,'3.3 I&amp;W'!$Y$109)</f>
        <v>0</v>
      </c>
      <c r="H592" s="116">
        <f ca="1">SUBTOTAL(109,'3.3 I&amp;W'!$AD$109)</f>
        <v>0</v>
      </c>
      <c r="I592" s="116">
        <f ca="1">SUBTOTAL(109,'3.3 I&amp;W'!$AE$109)</f>
        <v>0</v>
      </c>
      <c r="J592" s="116"/>
      <c r="K592" s="116"/>
      <c r="L592" s="116"/>
      <c r="M592" s="116">
        <f ca="1">SUBTOTAL(109,'3.3 I&amp;W'!$AI$109)</f>
        <v>0</v>
      </c>
      <c r="N592" s="156">
        <f t="shared" ca="1" si="404"/>
        <v>0</v>
      </c>
      <c r="O592" s="116">
        <f ca="1">SUBTOTAL(109,'3.3 I&amp;W'!$S$109)</f>
        <v>0</v>
      </c>
      <c r="P592" s="30">
        <f t="shared" ca="1" si="445"/>
        <v>0</v>
      </c>
      <c r="Q592" s="31">
        <f t="shared" ca="1" si="446"/>
        <v>0</v>
      </c>
      <c r="R592" s="31">
        <f t="shared" ca="1" si="447"/>
        <v>0</v>
      </c>
      <c r="S592" s="31">
        <f t="shared" ca="1" si="448"/>
        <v>0</v>
      </c>
      <c r="T592" s="32">
        <f t="shared" ca="1" si="449"/>
        <v>0</v>
      </c>
      <c r="U592" s="37">
        <f t="shared" ca="1" si="405"/>
        <v>0</v>
      </c>
      <c r="V592" s="40">
        <f t="shared" ca="1" si="455"/>
        <v>0</v>
      </c>
      <c r="W592" s="41">
        <f t="shared" ca="1" si="456"/>
        <v>0</v>
      </c>
      <c r="X592" s="43"/>
      <c r="Y592" s="46"/>
      <c r="Z592" s="126"/>
      <c r="AA592" s="136"/>
      <c r="AB592" s="83">
        <v>39</v>
      </c>
      <c r="AC592" s="84">
        <f ca="1">IF(AF591&lt;=1,0,'3.3 Fi&amp;Fo'!$I$25)</f>
        <v>0</v>
      </c>
      <c r="AD592" s="72">
        <f ca="1">IF(AF591&lt;=1,0,AF591*'3.3 Fi&amp;Fo'!$H$25)</f>
        <v>0</v>
      </c>
      <c r="AE592" s="78">
        <f t="shared" ca="1" si="409"/>
        <v>0</v>
      </c>
      <c r="AF592" s="85">
        <f t="shared" ca="1" si="410"/>
        <v>9.4587448984384537E-11</v>
      </c>
      <c r="AG592" s="168" t="b">
        <f>IF(AJ591&lt;=1,0,IF(AB592&lt;='3.3 Fi&amp;Fo'!$F$34,'3.3 Fi&amp;Fo'!$J$34,IF(AB592&lt;='3.3 Fi&amp;Fo'!$F$35,'3.3 Fi&amp;Fo'!$J$35,IF(AB592&lt;='3.3 Fi&amp;Fo'!$F$36,'3.3 Fi&amp;Fo'!$J$36,IF(AB592&lt;='3.3 Fi&amp;Fo'!$F$37,'3.3 Fi&amp;Fo'!$J$37,IF(AB592&lt;='3.3 Fi&amp;Fo'!$F$38,'3.3 Fi&amp;Fo'!$J$38,IF(AB592&lt;='3.3 Fi&amp;Fo'!$F$39,'3.3 Fi&amp;Fo'!$J$39,IF(AB592&lt;='3.3 Fi&amp;Fo'!$F$40,'3.3 Fi&amp;Fo'!$J$40))))))))</f>
        <v>0</v>
      </c>
      <c r="AH592" s="207">
        <f>IF(AJ591&lt;=1,0,AJ591*IF(AB592&lt;='3.3 Fi&amp;Fo'!$F$34,'3.3 Fi&amp;Fo'!$I$34,IF(AB592&lt;='3.3 Fi&amp;Fo'!$F$35,'3.3 Fi&amp;Fo'!$I$35,IF(AB592&lt;='3.3 Fi&amp;Fo'!$F$38,'3.3 Fi&amp;Fo'!$I$38,IF(AB592&lt;='3.3 Fi&amp;Fo'!$F$39,'3.3 Fi&amp;Fo'!$I$39,IF(AB592&lt;='3.3 Fi&amp;Fo'!$F$40,'3.3 Fi&amp;Fo'!$I$40))))))</f>
        <v>0</v>
      </c>
      <c r="AI592" s="210">
        <f t="shared" si="462"/>
        <v>0</v>
      </c>
      <c r="AJ592" s="209">
        <f t="shared" si="412"/>
        <v>2524303.3362014662</v>
      </c>
      <c r="AK592" s="312">
        <f t="shared" ca="1" si="463"/>
        <v>0</v>
      </c>
      <c r="AL592" s="169">
        <f>IF(AB592&lt;='3.3 Fi&amp;Fo'!$J$15,'3.3 Fi&amp;Fo'!$I$15,0)</f>
        <v>0</v>
      </c>
      <c r="AM592" s="169">
        <f t="shared" si="425"/>
        <v>0</v>
      </c>
      <c r="AN592" s="838" t="str">
        <f t="shared" si="430"/>
        <v/>
      </c>
      <c r="AO592" s="844">
        <f t="shared" ca="1" si="413"/>
        <v>0</v>
      </c>
      <c r="AP592" s="839">
        <f ca="1">DA658</f>
        <v>0</v>
      </c>
      <c r="AQ592" s="844">
        <f t="shared" si="414"/>
        <v>0</v>
      </c>
      <c r="AR592" s="839" t="str">
        <f t="shared" si="431"/>
        <v/>
      </c>
      <c r="AS592" s="839">
        <f t="shared" si="426"/>
        <v>0</v>
      </c>
      <c r="AT592" s="839">
        <f t="shared" si="427"/>
        <v>0</v>
      </c>
      <c r="AU592" s="839">
        <f>'PV-Einspeisung'!AA184*-1</f>
        <v>0</v>
      </c>
      <c r="AV592" s="839">
        <f>'PV-Einspeisung'!AE184*-1</f>
        <v>0</v>
      </c>
      <c r="AW592" s="839"/>
      <c r="AX592" s="839" t="str">
        <f t="shared" si="432"/>
        <v/>
      </c>
      <c r="AY592" s="841" t="str">
        <f t="shared" si="415"/>
        <v/>
      </c>
      <c r="AZ592" s="842" t="str">
        <f t="shared" si="433"/>
        <v/>
      </c>
      <c r="BA592" s="842" t="str">
        <f t="shared" si="434"/>
        <v/>
      </c>
      <c r="BB592" s="842" t="str">
        <f t="shared" si="435"/>
        <v/>
      </c>
      <c r="BC592" s="842" t="str">
        <f t="shared" si="436"/>
        <v/>
      </c>
      <c r="BD592" s="842" t="str">
        <f t="shared" si="437"/>
        <v/>
      </c>
      <c r="BE592" s="842" t="str">
        <f t="shared" si="438"/>
        <v/>
      </c>
      <c r="BF592" s="842" t="str">
        <f t="shared" si="439"/>
        <v/>
      </c>
      <c r="BG592" s="842" t="str">
        <f t="shared" si="440"/>
        <v/>
      </c>
      <c r="BH592" s="858" t="str">
        <f t="shared" si="423"/>
        <v/>
      </c>
      <c r="BI592" s="857" t="str">
        <f t="shared" si="441"/>
        <v/>
      </c>
      <c r="BJ592" s="857" t="str">
        <f t="shared" si="442"/>
        <v/>
      </c>
      <c r="BK592" s="859">
        <f>'PV-Einspeisung'!AB184*-1</f>
        <v>0</v>
      </c>
      <c r="BL592" s="824">
        <f t="shared" ca="1" si="457"/>
        <v>0</v>
      </c>
      <c r="BM592" s="824">
        <f t="shared" ca="1" si="458"/>
        <v>0</v>
      </c>
      <c r="BN592" s="824">
        <f t="shared" ca="1" si="459"/>
        <v>0</v>
      </c>
      <c r="BO592" s="824">
        <f t="shared" ca="1" si="461"/>
        <v>0</v>
      </c>
      <c r="BP592" s="824">
        <f t="shared" ca="1" si="461"/>
        <v>0</v>
      </c>
      <c r="BQ592" s="824">
        <f t="shared" ca="1" si="461"/>
        <v>0</v>
      </c>
      <c r="BR592" s="824">
        <f t="shared" ca="1" si="461"/>
        <v>0</v>
      </c>
      <c r="BS592" s="824">
        <f t="shared" ca="1" si="461"/>
        <v>0</v>
      </c>
      <c r="BT592" s="824">
        <f t="shared" ca="1" si="461"/>
        <v>0</v>
      </c>
      <c r="BU592" s="824">
        <f t="shared" ca="1" si="461"/>
        <v>0</v>
      </c>
      <c r="BV592" s="824">
        <f t="shared" ca="1" si="461"/>
        <v>0</v>
      </c>
      <c r="BW592" s="824">
        <f t="shared" ca="1" si="461"/>
        <v>0</v>
      </c>
      <c r="BX592" s="824">
        <f t="shared" ca="1" si="461"/>
        <v>0</v>
      </c>
      <c r="BY592" s="824">
        <f t="shared" ca="1" si="461"/>
        <v>0</v>
      </c>
      <c r="BZ592" s="824">
        <f t="shared" ca="1" si="461"/>
        <v>0</v>
      </c>
      <c r="CA592" s="824">
        <f t="shared" ca="1" si="461"/>
        <v>0</v>
      </c>
      <c r="CB592" s="824">
        <f t="shared" ca="1" si="461"/>
        <v>0</v>
      </c>
      <c r="CC592" s="824">
        <f t="shared" ca="1" si="461"/>
        <v>0</v>
      </c>
      <c r="CD592" s="824">
        <f t="shared" ca="1" si="461"/>
        <v>0</v>
      </c>
      <c r="CE592" s="824">
        <f t="shared" ca="1" si="460"/>
        <v>0</v>
      </c>
      <c r="CF592" s="824">
        <f t="shared" ca="1" si="460"/>
        <v>0</v>
      </c>
      <c r="CG592" s="824">
        <f t="shared" ca="1" si="460"/>
        <v>0</v>
      </c>
      <c r="CH592" s="824">
        <f t="shared" ca="1" si="460"/>
        <v>0</v>
      </c>
      <c r="CI592" s="824">
        <f t="shared" ca="1" si="460"/>
        <v>0</v>
      </c>
      <c r="CJ592" s="824">
        <f t="shared" ca="1" si="460"/>
        <v>0</v>
      </c>
      <c r="CK592" s="824">
        <f t="shared" ca="1" si="460"/>
        <v>0</v>
      </c>
      <c r="CL592" s="824">
        <f t="shared" ca="1" si="460"/>
        <v>0</v>
      </c>
      <c r="CM592" s="824">
        <f t="shared" ca="1" si="460"/>
        <v>0</v>
      </c>
      <c r="CN592" s="824">
        <f t="shared" ca="1" si="460"/>
        <v>0</v>
      </c>
      <c r="CO592" s="824">
        <f t="shared" ca="1" si="460"/>
        <v>0</v>
      </c>
      <c r="CP592" s="824">
        <f t="shared" ca="1" si="460"/>
        <v>0</v>
      </c>
      <c r="CQ592" s="824">
        <f t="shared" ca="1" si="460"/>
        <v>0</v>
      </c>
      <c r="CR592" s="824">
        <f t="shared" ca="1" si="460"/>
        <v>0</v>
      </c>
      <c r="CS592" s="824">
        <f t="shared" ca="1" si="460"/>
        <v>0</v>
      </c>
      <c r="CT592" s="824">
        <f t="shared" ca="1" si="451"/>
        <v>0</v>
      </c>
      <c r="CU592" s="824">
        <f t="shared" ca="1" si="451"/>
        <v>0</v>
      </c>
      <c r="CV592" s="824">
        <f t="shared" ca="1" si="451"/>
        <v>0</v>
      </c>
      <c r="CW592" s="824">
        <f t="shared" ca="1" si="451"/>
        <v>0</v>
      </c>
      <c r="CX592" s="824">
        <f t="shared" ca="1" si="451"/>
        <v>0</v>
      </c>
      <c r="CY592" s="824">
        <f t="shared" ca="1" si="451"/>
        <v>0</v>
      </c>
      <c r="CZ592" s="824">
        <f t="shared" ca="1" si="451"/>
        <v>0</v>
      </c>
      <c r="DA592" s="824">
        <f t="shared" ca="1" si="451"/>
        <v>0</v>
      </c>
      <c r="DB592" s="824">
        <f t="shared" ca="1" si="451"/>
        <v>0</v>
      </c>
      <c r="DC592" s="824">
        <f t="shared" ca="1" si="451"/>
        <v>0</v>
      </c>
      <c r="DD592" s="824">
        <f t="shared" ca="1" si="451"/>
        <v>0</v>
      </c>
      <c r="DE592" s="824">
        <f t="shared" ca="1" si="451"/>
        <v>0</v>
      </c>
      <c r="DF592" s="824">
        <f t="shared" ca="1" si="451"/>
        <v>0</v>
      </c>
      <c r="DG592" s="824">
        <f t="shared" ca="1" si="454"/>
        <v>0</v>
      </c>
      <c r="DH592" s="824">
        <f t="shared" ca="1" si="454"/>
        <v>0</v>
      </c>
      <c r="DI592" s="824">
        <f t="shared" ca="1" si="454"/>
        <v>0</v>
      </c>
      <c r="DJ592" s="824">
        <f t="shared" ca="1" si="454"/>
        <v>0</v>
      </c>
      <c r="DK592" s="824">
        <f t="shared" ca="1" si="453"/>
        <v>0</v>
      </c>
      <c r="DL592" s="824">
        <f t="shared" ca="1" si="453"/>
        <v>0</v>
      </c>
    </row>
    <row r="593" spans="2:116" ht="12" thickBot="1" x14ac:dyDescent="0.3">
      <c r="B593" s="1673"/>
      <c r="C593" s="1680"/>
      <c r="D593" s="15" t="s">
        <v>264</v>
      </c>
      <c r="E593" s="116"/>
      <c r="F593" s="116">
        <f ca="1">SUBTOTAL(109,'3.3 I&amp;W'!$X$110)</f>
        <v>0</v>
      </c>
      <c r="G593" s="116">
        <f ca="1">SUBTOTAL(109,'3.3 I&amp;W'!$Y$110)</f>
        <v>0</v>
      </c>
      <c r="H593" s="116">
        <f ca="1">SUBTOTAL(109,'3.3 I&amp;W'!$AD$110)</f>
        <v>0</v>
      </c>
      <c r="I593" s="116">
        <f ca="1">SUBTOTAL(109,'3.3 I&amp;W'!$AE$110)</f>
        <v>0</v>
      </c>
      <c r="J593" s="116"/>
      <c r="K593" s="116"/>
      <c r="L593" s="116"/>
      <c r="M593" s="116">
        <f ca="1">SUBTOTAL(109,'3.3 I&amp;W'!$AI$110)</f>
        <v>0</v>
      </c>
      <c r="N593" s="156">
        <f t="shared" ca="1" si="404"/>
        <v>0</v>
      </c>
      <c r="O593" s="116">
        <f ca="1">SUBTOTAL(109,'3.3 I&amp;W'!$S$110)</f>
        <v>0</v>
      </c>
      <c r="P593" s="30">
        <f t="shared" ca="1" si="445"/>
        <v>0</v>
      </c>
      <c r="Q593" s="31">
        <f t="shared" ca="1" si="446"/>
        <v>0</v>
      </c>
      <c r="R593" s="31">
        <f t="shared" ca="1" si="447"/>
        <v>0</v>
      </c>
      <c r="S593" s="31">
        <f t="shared" ca="1" si="448"/>
        <v>0</v>
      </c>
      <c r="T593" s="32">
        <f t="shared" ca="1" si="449"/>
        <v>0</v>
      </c>
      <c r="U593" s="37">
        <f t="shared" ca="1" si="405"/>
        <v>0</v>
      </c>
      <c r="V593" s="40">
        <f t="shared" ca="1" si="455"/>
        <v>0</v>
      </c>
      <c r="W593" s="41">
        <f t="shared" ca="1" si="456"/>
        <v>0</v>
      </c>
      <c r="X593" s="43"/>
      <c r="Y593" s="46"/>
      <c r="Z593" s="126"/>
      <c r="AA593" s="136"/>
      <c r="AB593" s="83">
        <v>40</v>
      </c>
      <c r="AC593" s="84">
        <f ca="1">IF(AF592&lt;=1,0,'3.3 Fi&amp;Fo'!$I$25)</f>
        <v>0</v>
      </c>
      <c r="AD593" s="72">
        <f ca="1">IF(AF592&lt;=1,0,AF592*'3.3 Fi&amp;Fo'!$H$25)</f>
        <v>0</v>
      </c>
      <c r="AE593" s="78">
        <f t="shared" ca="1" si="409"/>
        <v>0</v>
      </c>
      <c r="AF593" s="85">
        <f t="shared" ca="1" si="410"/>
        <v>9.4587448984384537E-11</v>
      </c>
      <c r="AG593" s="168" t="b">
        <f>IF(AJ592&lt;=1,0,IF(AB593&lt;='3.3 Fi&amp;Fo'!$F$34,'3.3 Fi&amp;Fo'!$J$34,IF(AB593&lt;='3.3 Fi&amp;Fo'!$F$35,'3.3 Fi&amp;Fo'!$J$35,IF(AB593&lt;='3.3 Fi&amp;Fo'!$F$36,'3.3 Fi&amp;Fo'!$J$36,IF(AB593&lt;='3.3 Fi&amp;Fo'!$F$37,'3.3 Fi&amp;Fo'!$J$37,IF(AB593&lt;='3.3 Fi&amp;Fo'!$F$38,'3.3 Fi&amp;Fo'!$J$38,IF(AB593&lt;='3.3 Fi&amp;Fo'!$F$39,'3.3 Fi&amp;Fo'!$J$39,IF(AB593&lt;='3.3 Fi&amp;Fo'!$F$40,'3.3 Fi&amp;Fo'!$J$40))))))))</f>
        <v>0</v>
      </c>
      <c r="AH593" s="207">
        <f>IF(AJ592&lt;=1,0,AJ592*IF(AB593&lt;='3.3 Fi&amp;Fo'!$F$34,'3.3 Fi&amp;Fo'!$I$34,IF(AB593&lt;='3.3 Fi&amp;Fo'!$F$35,'3.3 Fi&amp;Fo'!$I$35,IF(AB593&lt;='3.3 Fi&amp;Fo'!$F$38,'3.3 Fi&amp;Fo'!$I$38,IF(AB593&lt;='3.3 Fi&amp;Fo'!$F$39,'3.3 Fi&amp;Fo'!$I$39,IF(AB593&lt;='3.3 Fi&amp;Fo'!$F$40,'3.3 Fi&amp;Fo'!$I$40))))))</f>
        <v>0</v>
      </c>
      <c r="AI593" s="210">
        <f t="shared" si="462"/>
        <v>0</v>
      </c>
      <c r="AJ593" s="209">
        <f t="shared" si="412"/>
        <v>2524303.3362014662</v>
      </c>
      <c r="AK593" s="312">
        <f t="shared" ca="1" si="463"/>
        <v>0</v>
      </c>
      <c r="AL593" s="169">
        <f>IF(AB593&lt;='3.3 Fi&amp;Fo'!$J$15,'3.3 Fi&amp;Fo'!$I$15,0)</f>
        <v>0</v>
      </c>
      <c r="AM593" s="169">
        <f t="shared" si="425"/>
        <v>0</v>
      </c>
      <c r="AN593" s="838" t="str">
        <f t="shared" si="430"/>
        <v/>
      </c>
      <c r="AO593" s="844">
        <f t="shared" ca="1" si="413"/>
        <v>0</v>
      </c>
      <c r="AP593" s="839">
        <f ca="1">DB658</f>
        <v>0</v>
      </c>
      <c r="AQ593" s="844">
        <f t="shared" si="414"/>
        <v>0</v>
      </c>
      <c r="AR593" s="839" t="str">
        <f t="shared" si="431"/>
        <v/>
      </c>
      <c r="AS593" s="839">
        <f t="shared" si="426"/>
        <v>0</v>
      </c>
      <c r="AT593" s="839">
        <f t="shared" si="427"/>
        <v>0</v>
      </c>
      <c r="AU593" s="839">
        <f>'PV-Einspeisung'!AA185*-1</f>
        <v>0</v>
      </c>
      <c r="AV593" s="839">
        <f>'PV-Einspeisung'!AE185*-1</f>
        <v>0</v>
      </c>
      <c r="AW593" s="839"/>
      <c r="AX593" s="839" t="str">
        <f t="shared" si="432"/>
        <v/>
      </c>
      <c r="AY593" s="841" t="str">
        <f t="shared" si="415"/>
        <v/>
      </c>
      <c r="AZ593" s="842" t="str">
        <f t="shared" si="433"/>
        <v/>
      </c>
      <c r="BA593" s="842" t="str">
        <f t="shared" si="434"/>
        <v/>
      </c>
      <c r="BB593" s="842" t="str">
        <f t="shared" si="435"/>
        <v/>
      </c>
      <c r="BC593" s="842" t="str">
        <f t="shared" si="436"/>
        <v/>
      </c>
      <c r="BD593" s="842" t="str">
        <f t="shared" si="437"/>
        <v/>
      </c>
      <c r="BE593" s="842" t="str">
        <f t="shared" si="438"/>
        <v/>
      </c>
      <c r="BF593" s="842" t="str">
        <f t="shared" si="439"/>
        <v/>
      </c>
      <c r="BG593" s="842" t="str">
        <f t="shared" si="440"/>
        <v/>
      </c>
      <c r="BH593" s="858" t="str">
        <f t="shared" si="423"/>
        <v/>
      </c>
      <c r="BI593" s="857" t="str">
        <f t="shared" si="441"/>
        <v/>
      </c>
      <c r="BJ593" s="857" t="str">
        <f t="shared" si="442"/>
        <v/>
      </c>
      <c r="BK593" s="859">
        <f>'PV-Einspeisung'!AB185*-1</f>
        <v>0</v>
      </c>
      <c r="BL593" s="824">
        <f t="shared" ca="1" si="457"/>
        <v>0</v>
      </c>
      <c r="BM593" s="824">
        <f t="shared" ca="1" si="458"/>
        <v>0</v>
      </c>
      <c r="BN593" s="824">
        <f t="shared" ca="1" si="459"/>
        <v>0</v>
      </c>
      <c r="BO593" s="824">
        <f t="shared" ca="1" si="461"/>
        <v>0</v>
      </c>
      <c r="BP593" s="824">
        <f t="shared" ca="1" si="461"/>
        <v>0</v>
      </c>
      <c r="BQ593" s="824">
        <f t="shared" ca="1" si="461"/>
        <v>0</v>
      </c>
      <c r="BR593" s="824">
        <f t="shared" ca="1" si="461"/>
        <v>0</v>
      </c>
      <c r="BS593" s="824">
        <f t="shared" ca="1" si="461"/>
        <v>0</v>
      </c>
      <c r="BT593" s="824">
        <f t="shared" ca="1" si="461"/>
        <v>0</v>
      </c>
      <c r="BU593" s="824">
        <f t="shared" ca="1" si="461"/>
        <v>0</v>
      </c>
      <c r="BV593" s="824">
        <f t="shared" ca="1" si="461"/>
        <v>0</v>
      </c>
      <c r="BW593" s="824">
        <f t="shared" ca="1" si="461"/>
        <v>0</v>
      </c>
      <c r="BX593" s="824">
        <f t="shared" ca="1" si="461"/>
        <v>0</v>
      </c>
      <c r="BY593" s="824">
        <f t="shared" ca="1" si="461"/>
        <v>0</v>
      </c>
      <c r="BZ593" s="824">
        <f t="shared" ca="1" si="461"/>
        <v>0</v>
      </c>
      <c r="CA593" s="824">
        <f t="shared" ca="1" si="461"/>
        <v>0</v>
      </c>
      <c r="CB593" s="824">
        <f t="shared" ca="1" si="461"/>
        <v>0</v>
      </c>
      <c r="CC593" s="824">
        <f t="shared" ca="1" si="461"/>
        <v>0</v>
      </c>
      <c r="CD593" s="824">
        <f t="shared" ca="1" si="461"/>
        <v>0</v>
      </c>
      <c r="CE593" s="824">
        <f t="shared" ca="1" si="460"/>
        <v>0</v>
      </c>
      <c r="CF593" s="824">
        <f t="shared" ca="1" si="460"/>
        <v>0</v>
      </c>
      <c r="CG593" s="824">
        <f t="shared" ca="1" si="460"/>
        <v>0</v>
      </c>
      <c r="CH593" s="824">
        <f t="shared" ca="1" si="460"/>
        <v>0</v>
      </c>
      <c r="CI593" s="824">
        <f t="shared" ca="1" si="460"/>
        <v>0</v>
      </c>
      <c r="CJ593" s="824">
        <f t="shared" ca="1" si="460"/>
        <v>0</v>
      </c>
      <c r="CK593" s="824">
        <f t="shared" ca="1" si="460"/>
        <v>0</v>
      </c>
      <c r="CL593" s="824">
        <f t="shared" ca="1" si="460"/>
        <v>0</v>
      </c>
      <c r="CM593" s="824">
        <f t="shared" ca="1" si="460"/>
        <v>0</v>
      </c>
      <c r="CN593" s="824">
        <f t="shared" ca="1" si="460"/>
        <v>0</v>
      </c>
      <c r="CO593" s="824">
        <f t="shared" ca="1" si="460"/>
        <v>0</v>
      </c>
      <c r="CP593" s="824">
        <f t="shared" ca="1" si="460"/>
        <v>0</v>
      </c>
      <c r="CQ593" s="824">
        <f t="shared" ca="1" si="460"/>
        <v>0</v>
      </c>
      <c r="CR593" s="824">
        <f t="shared" ca="1" si="460"/>
        <v>0</v>
      </c>
      <c r="CS593" s="824">
        <f t="shared" ca="1" si="460"/>
        <v>0</v>
      </c>
      <c r="CT593" s="824">
        <f t="shared" ca="1" si="451"/>
        <v>0</v>
      </c>
      <c r="CU593" s="824">
        <f t="shared" ca="1" si="451"/>
        <v>0</v>
      </c>
      <c r="CV593" s="824">
        <f t="shared" ca="1" si="451"/>
        <v>0</v>
      </c>
      <c r="CW593" s="824">
        <f t="shared" ca="1" si="451"/>
        <v>0</v>
      </c>
      <c r="CX593" s="824">
        <f t="shared" ca="1" si="451"/>
        <v>0</v>
      </c>
      <c r="CY593" s="824">
        <f t="shared" ca="1" si="451"/>
        <v>0</v>
      </c>
      <c r="CZ593" s="824">
        <f t="shared" ca="1" si="451"/>
        <v>0</v>
      </c>
      <c r="DA593" s="824">
        <f t="shared" ca="1" si="451"/>
        <v>0</v>
      </c>
      <c r="DB593" s="824">
        <f t="shared" ca="1" si="451"/>
        <v>0</v>
      </c>
      <c r="DC593" s="824">
        <f t="shared" ca="1" si="451"/>
        <v>0</v>
      </c>
      <c r="DD593" s="824">
        <f t="shared" ca="1" si="451"/>
        <v>0</v>
      </c>
      <c r="DE593" s="824">
        <f t="shared" ca="1" si="451"/>
        <v>0</v>
      </c>
      <c r="DF593" s="824">
        <f t="shared" ca="1" si="451"/>
        <v>0</v>
      </c>
      <c r="DG593" s="824">
        <f t="shared" ca="1" si="454"/>
        <v>0</v>
      </c>
      <c r="DH593" s="824">
        <f t="shared" ca="1" si="454"/>
        <v>0</v>
      </c>
      <c r="DI593" s="824">
        <f t="shared" ca="1" si="454"/>
        <v>0</v>
      </c>
      <c r="DJ593" s="824">
        <f t="shared" ca="1" si="454"/>
        <v>0</v>
      </c>
      <c r="DK593" s="824">
        <f t="shared" ca="1" si="453"/>
        <v>0</v>
      </c>
      <c r="DL593" s="824">
        <f t="shared" ca="1" si="453"/>
        <v>0</v>
      </c>
    </row>
    <row r="594" spans="2:116" ht="12" thickBot="1" x14ac:dyDescent="0.3">
      <c r="B594" s="1673"/>
      <c r="C594" s="1680"/>
      <c r="D594" s="15" t="s">
        <v>51</v>
      </c>
      <c r="E594" s="165"/>
      <c r="F594" s="116">
        <f ca="1">SUBTOTAL(109,'3.3 I&amp;W'!$X$119)</f>
        <v>0</v>
      </c>
      <c r="G594" s="116">
        <f ca="1">SUBTOTAL(109,'3.3 I&amp;W'!$Y$119)</f>
        <v>0</v>
      </c>
      <c r="H594" s="116">
        <f ca="1">SUBTOTAL(109,'3.3 I&amp;W'!$AD$119)</f>
        <v>0</v>
      </c>
      <c r="I594" s="116">
        <f ca="1">SUBTOTAL(109,'3.3 I&amp;W'!$AE$119)</f>
        <v>0</v>
      </c>
      <c r="J594" s="116"/>
      <c r="K594" s="116"/>
      <c r="L594" s="116"/>
      <c r="M594" s="116">
        <f ca="1">SUBTOTAL(109,'3.3 I&amp;W'!$AI$119)</f>
        <v>0</v>
      </c>
      <c r="N594" s="156">
        <f t="shared" ca="1" si="404"/>
        <v>0</v>
      </c>
      <c r="O594" s="116">
        <f ca="1">SUBTOTAL(109,'3.3 I&amp;W'!$S$119)</f>
        <v>0</v>
      </c>
      <c r="P594" s="30">
        <f t="shared" ca="1" si="445"/>
        <v>0</v>
      </c>
      <c r="Q594" s="31">
        <f t="shared" ca="1" si="446"/>
        <v>0</v>
      </c>
      <c r="R594" s="31">
        <f t="shared" ca="1" si="447"/>
        <v>0</v>
      </c>
      <c r="S594" s="31">
        <f t="shared" ca="1" si="448"/>
        <v>0</v>
      </c>
      <c r="T594" s="32">
        <f t="shared" ca="1" si="449"/>
        <v>0</v>
      </c>
      <c r="U594" s="37">
        <f t="shared" ca="1" si="405"/>
        <v>0</v>
      </c>
      <c r="V594" s="40">
        <f t="shared" ca="1" si="455"/>
        <v>0</v>
      </c>
      <c r="W594" s="41">
        <f t="shared" ca="1" si="456"/>
        <v>0</v>
      </c>
      <c r="X594" s="43"/>
      <c r="Y594" s="46"/>
      <c r="Z594" s="126"/>
      <c r="AA594" s="136"/>
      <c r="AB594" s="83">
        <v>41</v>
      </c>
      <c r="AC594" s="84">
        <f ca="1">IF(AF593&lt;=1,0,'3.3 Fi&amp;Fo'!$I$25)</f>
        <v>0</v>
      </c>
      <c r="AD594" s="72">
        <f ca="1">IF(AF593&lt;=1,0,AF593*'3.3 Fi&amp;Fo'!$H$25)</f>
        <v>0</v>
      </c>
      <c r="AE594" s="78">
        <f t="shared" ca="1" si="409"/>
        <v>0</v>
      </c>
      <c r="AF594" s="85">
        <f t="shared" ca="1" si="410"/>
        <v>9.4587448984384537E-11</v>
      </c>
      <c r="AG594" s="168" t="b">
        <f>IF(AJ593&lt;=1,0,IF(AB594&lt;='3.3 Fi&amp;Fo'!$F$34,'3.3 Fi&amp;Fo'!$J$34,IF(AB594&lt;='3.3 Fi&amp;Fo'!$F$35,'3.3 Fi&amp;Fo'!$J$35,IF(AB594&lt;='3.3 Fi&amp;Fo'!$F$36,'3.3 Fi&amp;Fo'!$J$36,IF(AB594&lt;='3.3 Fi&amp;Fo'!$F$37,'3.3 Fi&amp;Fo'!$J$37,IF(AB594&lt;='3.3 Fi&amp;Fo'!$F$38,'3.3 Fi&amp;Fo'!$J$38,IF(AB594&lt;='3.3 Fi&amp;Fo'!$F$39,'3.3 Fi&amp;Fo'!$J$39,IF(AB594&lt;='3.3 Fi&amp;Fo'!$F$40,'3.3 Fi&amp;Fo'!$J$40))))))))</f>
        <v>0</v>
      </c>
      <c r="AH594" s="207">
        <f>IF(AJ593&lt;=1,0,AJ593*IF(AB594&lt;='3.3 Fi&amp;Fo'!$F$34,'3.3 Fi&amp;Fo'!$I$34,IF(AB594&lt;='3.3 Fi&amp;Fo'!$F$35,'3.3 Fi&amp;Fo'!$I$35,IF(AB594&lt;='3.3 Fi&amp;Fo'!$F$38,'3.3 Fi&amp;Fo'!$I$38,IF(AB594&lt;='3.3 Fi&amp;Fo'!$F$39,'3.3 Fi&amp;Fo'!$I$39,IF(AB594&lt;='3.3 Fi&amp;Fo'!$F$40,'3.3 Fi&amp;Fo'!$I$40))))))</f>
        <v>0</v>
      </c>
      <c r="AI594" s="210">
        <f t="shared" si="462"/>
        <v>0</v>
      </c>
      <c r="AJ594" s="209">
        <f t="shared" si="412"/>
        <v>2524303.3362014662</v>
      </c>
      <c r="AK594" s="312">
        <f t="shared" ca="1" si="463"/>
        <v>0</v>
      </c>
      <c r="AL594" s="169">
        <f>IF(AB594&lt;='3.3 Fi&amp;Fo'!$J$15,'3.3 Fi&amp;Fo'!$I$15,0)</f>
        <v>0</v>
      </c>
      <c r="AM594" s="169">
        <f t="shared" si="425"/>
        <v>0</v>
      </c>
      <c r="AN594" s="838" t="str">
        <f t="shared" si="430"/>
        <v/>
      </c>
      <c r="AO594" s="844">
        <f t="shared" ca="1" si="413"/>
        <v>0</v>
      </c>
      <c r="AP594" s="839">
        <f ca="1">DC658</f>
        <v>0</v>
      </c>
      <c r="AQ594" s="844">
        <f t="shared" si="414"/>
        <v>0</v>
      </c>
      <c r="AR594" s="839" t="str">
        <f t="shared" si="431"/>
        <v/>
      </c>
      <c r="AS594" s="839">
        <f t="shared" si="426"/>
        <v>0</v>
      </c>
      <c r="AT594" s="839">
        <f t="shared" si="427"/>
        <v>0</v>
      </c>
      <c r="AU594" s="839">
        <f>'PV-Einspeisung'!AA186*-1</f>
        <v>0</v>
      </c>
      <c r="AV594" s="839">
        <f>'PV-Einspeisung'!AE186*-1</f>
        <v>0</v>
      </c>
      <c r="AW594" s="839"/>
      <c r="AX594" s="839" t="str">
        <f t="shared" si="432"/>
        <v/>
      </c>
      <c r="AY594" s="841" t="str">
        <f t="shared" si="415"/>
        <v/>
      </c>
      <c r="AZ594" s="842" t="str">
        <f>IF($AN594="","",AZ593*$AZ$201)</f>
        <v/>
      </c>
      <c r="BA594" s="842" t="str">
        <f t="shared" si="434"/>
        <v/>
      </c>
      <c r="BB594" s="842" t="str">
        <f t="shared" si="435"/>
        <v/>
      </c>
      <c r="BC594" s="842" t="str">
        <f t="shared" si="436"/>
        <v/>
      </c>
      <c r="BD594" s="842" t="str">
        <f t="shared" si="437"/>
        <v/>
      </c>
      <c r="BE594" s="842" t="str">
        <f t="shared" si="438"/>
        <v/>
      </c>
      <c r="BF594" s="842" t="str">
        <f t="shared" si="439"/>
        <v/>
      </c>
      <c r="BG594" s="842" t="str">
        <f t="shared" si="440"/>
        <v/>
      </c>
      <c r="BH594" s="858" t="str">
        <f t="shared" si="423"/>
        <v/>
      </c>
      <c r="BI594" s="857" t="str">
        <f t="shared" si="441"/>
        <v/>
      </c>
      <c r="BJ594" s="857" t="str">
        <f t="shared" si="442"/>
        <v/>
      </c>
      <c r="BK594" s="859">
        <f>'PV-Einspeisung'!AB186*-1</f>
        <v>0</v>
      </c>
      <c r="BL594" s="824">
        <f t="shared" ca="1" si="457"/>
        <v>0</v>
      </c>
      <c r="BM594" s="824">
        <f t="shared" ca="1" si="458"/>
        <v>0</v>
      </c>
      <c r="BN594" s="824">
        <f t="shared" ca="1" si="459"/>
        <v>0</v>
      </c>
      <c r="BO594" s="824">
        <f t="shared" ca="1" si="461"/>
        <v>0</v>
      </c>
      <c r="BP594" s="824">
        <f t="shared" ca="1" si="461"/>
        <v>0</v>
      </c>
      <c r="BQ594" s="824">
        <f t="shared" ca="1" si="461"/>
        <v>0</v>
      </c>
      <c r="BR594" s="824">
        <f t="shared" ca="1" si="461"/>
        <v>0</v>
      </c>
      <c r="BS594" s="824">
        <f t="shared" ca="1" si="461"/>
        <v>0</v>
      </c>
      <c r="BT594" s="824">
        <f t="shared" ca="1" si="461"/>
        <v>0</v>
      </c>
      <c r="BU594" s="824">
        <f t="shared" ca="1" si="461"/>
        <v>0</v>
      </c>
      <c r="BV594" s="824">
        <f t="shared" ca="1" si="461"/>
        <v>0</v>
      </c>
      <c r="BW594" s="824">
        <f t="shared" ca="1" si="461"/>
        <v>0</v>
      </c>
      <c r="BX594" s="824">
        <f t="shared" ca="1" si="461"/>
        <v>0</v>
      </c>
      <c r="BY594" s="824">
        <f t="shared" ca="1" si="461"/>
        <v>0</v>
      </c>
      <c r="BZ594" s="824">
        <f t="shared" ca="1" si="461"/>
        <v>0</v>
      </c>
      <c r="CA594" s="824">
        <f t="shared" ca="1" si="461"/>
        <v>0</v>
      </c>
      <c r="CB594" s="824">
        <f t="shared" ca="1" si="461"/>
        <v>0</v>
      </c>
      <c r="CC594" s="824">
        <f t="shared" ca="1" si="461"/>
        <v>0</v>
      </c>
      <c r="CD594" s="824">
        <f t="shared" ca="1" si="461"/>
        <v>0</v>
      </c>
      <c r="CE594" s="824">
        <f t="shared" ca="1" si="460"/>
        <v>0</v>
      </c>
      <c r="CF594" s="824">
        <f t="shared" ca="1" si="460"/>
        <v>0</v>
      </c>
      <c r="CG594" s="824">
        <f t="shared" ca="1" si="460"/>
        <v>0</v>
      </c>
      <c r="CH594" s="824">
        <f t="shared" ca="1" si="460"/>
        <v>0</v>
      </c>
      <c r="CI594" s="824">
        <f t="shared" ca="1" si="460"/>
        <v>0</v>
      </c>
      <c r="CJ594" s="824">
        <f t="shared" ca="1" si="460"/>
        <v>0</v>
      </c>
      <c r="CK594" s="824">
        <f t="shared" ca="1" si="460"/>
        <v>0</v>
      </c>
      <c r="CL594" s="824">
        <f t="shared" ca="1" si="460"/>
        <v>0</v>
      </c>
      <c r="CM594" s="824">
        <f t="shared" ca="1" si="460"/>
        <v>0</v>
      </c>
      <c r="CN594" s="824">
        <f t="shared" ca="1" si="460"/>
        <v>0</v>
      </c>
      <c r="CO594" s="824">
        <f t="shared" ca="1" si="460"/>
        <v>0</v>
      </c>
      <c r="CP594" s="824">
        <f t="shared" ca="1" si="460"/>
        <v>0</v>
      </c>
      <c r="CQ594" s="824">
        <f t="shared" ca="1" si="460"/>
        <v>0</v>
      </c>
      <c r="CR594" s="824">
        <f t="shared" ca="1" si="460"/>
        <v>0</v>
      </c>
      <c r="CS594" s="824">
        <f t="shared" ca="1" si="460"/>
        <v>0</v>
      </c>
      <c r="CT594" s="824">
        <f t="shared" ca="1" si="451"/>
        <v>0</v>
      </c>
      <c r="CU594" s="824">
        <f t="shared" ca="1" si="451"/>
        <v>0</v>
      </c>
      <c r="CV594" s="824">
        <f t="shared" ca="1" si="451"/>
        <v>0</v>
      </c>
      <c r="CW594" s="824">
        <f t="shared" ca="1" si="451"/>
        <v>0</v>
      </c>
      <c r="CX594" s="824">
        <f t="shared" ca="1" si="451"/>
        <v>0</v>
      </c>
      <c r="CY594" s="824">
        <f t="shared" ca="1" si="451"/>
        <v>0</v>
      </c>
      <c r="CZ594" s="824">
        <f t="shared" ca="1" si="451"/>
        <v>0</v>
      </c>
      <c r="DA594" s="824">
        <f t="shared" ca="1" si="451"/>
        <v>0</v>
      </c>
      <c r="DB594" s="824">
        <f t="shared" ca="1" si="451"/>
        <v>0</v>
      </c>
      <c r="DC594" s="824">
        <f t="shared" ca="1" si="451"/>
        <v>0</v>
      </c>
      <c r="DD594" s="824">
        <f t="shared" ca="1" si="451"/>
        <v>0</v>
      </c>
      <c r="DE594" s="824">
        <f t="shared" ca="1" si="451"/>
        <v>0</v>
      </c>
      <c r="DF594" s="824">
        <f t="shared" ca="1" si="451"/>
        <v>0</v>
      </c>
      <c r="DG594" s="824">
        <f t="shared" ca="1" si="454"/>
        <v>0</v>
      </c>
      <c r="DH594" s="824">
        <f t="shared" ca="1" si="454"/>
        <v>0</v>
      </c>
      <c r="DI594" s="824">
        <f t="shared" ca="1" si="454"/>
        <v>0</v>
      </c>
      <c r="DJ594" s="824">
        <f t="shared" ca="1" si="454"/>
        <v>0</v>
      </c>
      <c r="DK594" s="824">
        <f t="shared" ca="1" si="453"/>
        <v>0</v>
      </c>
      <c r="DL594" s="824">
        <f t="shared" ca="1" si="453"/>
        <v>0</v>
      </c>
    </row>
    <row r="595" spans="2:116" ht="12" thickBot="1" x14ac:dyDescent="0.3">
      <c r="B595" s="1673"/>
      <c r="C595" s="1680"/>
      <c r="D595" s="15" t="s">
        <v>51</v>
      </c>
      <c r="E595" s="116"/>
      <c r="F595" s="116">
        <f ca="1">SUBTOTAL(109,'3.3 I&amp;W'!$X$120)</f>
        <v>0</v>
      </c>
      <c r="G595" s="116">
        <f ca="1">SUBTOTAL(109,'3.3 I&amp;W'!$Y$120)</f>
        <v>0</v>
      </c>
      <c r="H595" s="116">
        <f ca="1">SUBTOTAL(109,'3.3 I&amp;W'!$AD$120)</f>
        <v>0</v>
      </c>
      <c r="I595" s="116">
        <f ca="1">SUBTOTAL(109,'3.3 I&amp;W'!$AE$120)</f>
        <v>0</v>
      </c>
      <c r="J595" s="116"/>
      <c r="K595" s="116"/>
      <c r="L595" s="116"/>
      <c r="M595" s="116">
        <f ca="1">SUBTOTAL(109,'3.3 I&amp;W'!$AI$120)</f>
        <v>0</v>
      </c>
      <c r="N595" s="156">
        <f t="shared" ca="1" si="404"/>
        <v>0</v>
      </c>
      <c r="O595" s="116">
        <f ca="1">SUBTOTAL(109,'3.3 I&amp;W'!$S$120)</f>
        <v>0</v>
      </c>
      <c r="P595" s="30">
        <f t="shared" ca="1" si="445"/>
        <v>0</v>
      </c>
      <c r="Q595" s="31">
        <f t="shared" ca="1" si="446"/>
        <v>0</v>
      </c>
      <c r="R595" s="31">
        <f t="shared" ca="1" si="447"/>
        <v>0</v>
      </c>
      <c r="S595" s="31">
        <f t="shared" ca="1" si="448"/>
        <v>0</v>
      </c>
      <c r="T595" s="32">
        <f t="shared" ca="1" si="449"/>
        <v>0</v>
      </c>
      <c r="U595" s="37">
        <f t="shared" ca="1" si="405"/>
        <v>0</v>
      </c>
      <c r="V595" s="40">
        <f t="shared" ca="1" si="455"/>
        <v>0</v>
      </c>
      <c r="W595" s="41">
        <f t="shared" ca="1" si="456"/>
        <v>0</v>
      </c>
      <c r="X595" s="43"/>
      <c r="Y595" s="46"/>
      <c r="Z595" s="126"/>
      <c r="AA595" s="136"/>
      <c r="AB595" s="83">
        <v>42</v>
      </c>
      <c r="AC595" s="84">
        <f ca="1">IF(AF594&lt;=1,0,'3.3 Fi&amp;Fo'!$I$25)</f>
        <v>0</v>
      </c>
      <c r="AD595" s="72">
        <f ca="1">IF(AF594&lt;=1,0,AF594*'3.3 Fi&amp;Fo'!$H$25)</f>
        <v>0</v>
      </c>
      <c r="AE595" s="78">
        <f t="shared" ca="1" si="409"/>
        <v>0</v>
      </c>
      <c r="AF595" s="85">
        <f t="shared" ca="1" si="410"/>
        <v>9.4587448984384537E-11</v>
      </c>
      <c r="AG595" s="168" t="b">
        <f>IF(AJ594&lt;=1,0,IF(AB595&lt;='3.3 Fi&amp;Fo'!$F$34,'3.3 Fi&amp;Fo'!$J$34,IF(AB595&lt;='3.3 Fi&amp;Fo'!$F$35,'3.3 Fi&amp;Fo'!$J$35,IF(AB595&lt;='3.3 Fi&amp;Fo'!$F$36,'3.3 Fi&amp;Fo'!$J$36,IF(AB595&lt;='3.3 Fi&amp;Fo'!$F$37,'3.3 Fi&amp;Fo'!$J$37,IF(AB595&lt;='3.3 Fi&amp;Fo'!$F$38,'3.3 Fi&amp;Fo'!$J$38,IF(AB595&lt;='3.3 Fi&amp;Fo'!$F$39,'3.3 Fi&amp;Fo'!$J$39,IF(AB595&lt;='3.3 Fi&amp;Fo'!$F$40,'3.3 Fi&amp;Fo'!$J$40))))))))</f>
        <v>0</v>
      </c>
      <c r="AH595" s="207">
        <f>IF(AJ594&lt;=1,0,AJ594*IF(AB595&lt;='3.3 Fi&amp;Fo'!$F$34,'3.3 Fi&amp;Fo'!$I$34,IF(AB595&lt;='3.3 Fi&amp;Fo'!$F$35,'3.3 Fi&amp;Fo'!$I$35,IF(AB595&lt;='3.3 Fi&amp;Fo'!$F$38,'3.3 Fi&amp;Fo'!$I$38,IF(AB595&lt;='3.3 Fi&amp;Fo'!$F$39,'3.3 Fi&amp;Fo'!$I$39,IF(AB595&lt;='3.3 Fi&amp;Fo'!$F$40,'3.3 Fi&amp;Fo'!$I$40))))))</f>
        <v>0</v>
      </c>
      <c r="AI595" s="210">
        <f t="shared" si="462"/>
        <v>0</v>
      </c>
      <c r="AJ595" s="209">
        <f t="shared" si="412"/>
        <v>2524303.3362014662</v>
      </c>
      <c r="AK595" s="312">
        <f t="shared" ca="1" si="463"/>
        <v>0</v>
      </c>
      <c r="AL595" s="169">
        <f>IF(AB595&lt;='3.3 Fi&amp;Fo'!$J$15,'3.3 Fi&amp;Fo'!$I$15,0)</f>
        <v>0</v>
      </c>
      <c r="AM595" s="169">
        <f t="shared" si="425"/>
        <v>0</v>
      </c>
      <c r="AN595" s="838" t="str">
        <f t="shared" si="430"/>
        <v/>
      </c>
      <c r="AO595" s="844">
        <f t="shared" ca="1" si="413"/>
        <v>0</v>
      </c>
      <c r="AP595" s="839">
        <f ca="1">DD658</f>
        <v>0</v>
      </c>
      <c r="AQ595" s="844">
        <f t="shared" si="414"/>
        <v>0</v>
      </c>
      <c r="AR595" s="839" t="str">
        <f t="shared" si="431"/>
        <v/>
      </c>
      <c r="AS595" s="839">
        <f t="shared" si="426"/>
        <v>0</v>
      </c>
      <c r="AT595" s="839">
        <f t="shared" si="427"/>
        <v>0</v>
      </c>
      <c r="AU595" s="839">
        <f>'PV-Einspeisung'!AA187*-1</f>
        <v>0</v>
      </c>
      <c r="AV595" s="839">
        <f>'PV-Einspeisung'!AE187*-1</f>
        <v>0</v>
      </c>
      <c r="AW595" s="839"/>
      <c r="AX595" s="839" t="str">
        <f t="shared" si="432"/>
        <v/>
      </c>
      <c r="AY595" s="841" t="str">
        <f t="shared" si="415"/>
        <v/>
      </c>
      <c r="AZ595" s="842" t="str">
        <f t="shared" ref="AZ595:AZ603" si="464">IF($AN595="","",AZ594*$AZ$201)</f>
        <v/>
      </c>
      <c r="BA595" s="842" t="str">
        <f t="shared" si="434"/>
        <v/>
      </c>
      <c r="BB595" s="842" t="str">
        <f t="shared" si="435"/>
        <v/>
      </c>
      <c r="BC595" s="842" t="str">
        <f t="shared" si="436"/>
        <v/>
      </c>
      <c r="BD595" s="842" t="str">
        <f t="shared" si="437"/>
        <v/>
      </c>
      <c r="BE595" s="842" t="str">
        <f t="shared" si="438"/>
        <v/>
      </c>
      <c r="BF595" s="842" t="str">
        <f t="shared" si="439"/>
        <v/>
      </c>
      <c r="BG595" s="842" t="str">
        <f t="shared" si="440"/>
        <v/>
      </c>
      <c r="BH595" s="858" t="str">
        <f t="shared" si="423"/>
        <v/>
      </c>
      <c r="BI595" s="857" t="str">
        <f t="shared" si="441"/>
        <v/>
      </c>
      <c r="BJ595" s="857" t="str">
        <f t="shared" si="442"/>
        <v/>
      </c>
      <c r="BK595" s="859">
        <f>'PV-Einspeisung'!AB187*-1</f>
        <v>0</v>
      </c>
      <c r="BL595" s="824">
        <f t="shared" ca="1" si="457"/>
        <v>0</v>
      </c>
      <c r="BM595" s="824">
        <f t="shared" ca="1" si="458"/>
        <v>0</v>
      </c>
      <c r="BN595" s="824">
        <f t="shared" ca="1" si="459"/>
        <v>0</v>
      </c>
      <c r="BO595" s="824">
        <f t="shared" ca="1" si="461"/>
        <v>0</v>
      </c>
      <c r="BP595" s="824">
        <f t="shared" ca="1" si="461"/>
        <v>0</v>
      </c>
      <c r="BQ595" s="824">
        <f t="shared" ca="1" si="461"/>
        <v>0</v>
      </c>
      <c r="BR595" s="824">
        <f t="shared" ca="1" si="461"/>
        <v>0</v>
      </c>
      <c r="BS595" s="824">
        <f t="shared" ca="1" si="461"/>
        <v>0</v>
      </c>
      <c r="BT595" s="824">
        <f t="shared" ca="1" si="461"/>
        <v>0</v>
      </c>
      <c r="BU595" s="824">
        <f t="shared" ca="1" si="461"/>
        <v>0</v>
      </c>
      <c r="BV595" s="824">
        <f t="shared" ca="1" si="461"/>
        <v>0</v>
      </c>
      <c r="BW595" s="824">
        <f t="shared" ca="1" si="461"/>
        <v>0</v>
      </c>
      <c r="BX595" s="824">
        <f t="shared" ca="1" si="461"/>
        <v>0</v>
      </c>
      <c r="BY595" s="824">
        <f t="shared" ca="1" si="461"/>
        <v>0</v>
      </c>
      <c r="BZ595" s="824">
        <f t="shared" ca="1" si="461"/>
        <v>0</v>
      </c>
      <c r="CA595" s="824">
        <f t="shared" ca="1" si="461"/>
        <v>0</v>
      </c>
      <c r="CB595" s="824">
        <f t="shared" ca="1" si="461"/>
        <v>0</v>
      </c>
      <c r="CC595" s="824">
        <f t="shared" ca="1" si="461"/>
        <v>0</v>
      </c>
      <c r="CD595" s="824">
        <f t="shared" ca="1" si="461"/>
        <v>0</v>
      </c>
      <c r="CE595" s="824">
        <f t="shared" ca="1" si="460"/>
        <v>0</v>
      </c>
      <c r="CF595" s="824">
        <f t="shared" ca="1" si="460"/>
        <v>0</v>
      </c>
      <c r="CG595" s="824">
        <f t="shared" ca="1" si="460"/>
        <v>0</v>
      </c>
      <c r="CH595" s="824">
        <f t="shared" ca="1" si="460"/>
        <v>0</v>
      </c>
      <c r="CI595" s="824">
        <f t="shared" ca="1" si="460"/>
        <v>0</v>
      </c>
      <c r="CJ595" s="824">
        <f t="shared" ca="1" si="460"/>
        <v>0</v>
      </c>
      <c r="CK595" s="824">
        <f t="shared" ca="1" si="460"/>
        <v>0</v>
      </c>
      <c r="CL595" s="824">
        <f t="shared" ca="1" si="460"/>
        <v>0</v>
      </c>
      <c r="CM595" s="824">
        <f t="shared" ca="1" si="460"/>
        <v>0</v>
      </c>
      <c r="CN595" s="824">
        <f t="shared" ca="1" si="460"/>
        <v>0</v>
      </c>
      <c r="CO595" s="824">
        <f t="shared" ca="1" si="460"/>
        <v>0</v>
      </c>
      <c r="CP595" s="824">
        <f t="shared" ca="1" si="460"/>
        <v>0</v>
      </c>
      <c r="CQ595" s="824">
        <f t="shared" ca="1" si="460"/>
        <v>0</v>
      </c>
      <c r="CR595" s="824">
        <f t="shared" ca="1" si="460"/>
        <v>0</v>
      </c>
      <c r="CS595" s="824">
        <f t="shared" ca="1" si="460"/>
        <v>0</v>
      </c>
      <c r="CT595" s="824">
        <f t="shared" ca="1" si="451"/>
        <v>0</v>
      </c>
      <c r="CU595" s="824">
        <f t="shared" ca="1" si="451"/>
        <v>0</v>
      </c>
      <c r="CV595" s="824">
        <f t="shared" ca="1" si="451"/>
        <v>0</v>
      </c>
      <c r="CW595" s="824">
        <f t="shared" ca="1" si="451"/>
        <v>0</v>
      </c>
      <c r="CX595" s="824">
        <f t="shared" ca="1" si="451"/>
        <v>0</v>
      </c>
      <c r="CY595" s="824">
        <f t="shared" ca="1" si="451"/>
        <v>0</v>
      </c>
      <c r="CZ595" s="824">
        <f t="shared" ca="1" si="451"/>
        <v>0</v>
      </c>
      <c r="DA595" s="824">
        <f t="shared" ca="1" si="451"/>
        <v>0</v>
      </c>
      <c r="DB595" s="824">
        <f t="shared" ca="1" si="451"/>
        <v>0</v>
      </c>
      <c r="DC595" s="824">
        <f t="shared" ca="1" si="451"/>
        <v>0</v>
      </c>
      <c r="DD595" s="824">
        <f t="shared" ca="1" si="451"/>
        <v>0</v>
      </c>
      <c r="DE595" s="824">
        <f t="shared" ca="1" si="451"/>
        <v>0</v>
      </c>
      <c r="DF595" s="824">
        <f t="shared" ca="1" si="451"/>
        <v>0</v>
      </c>
      <c r="DG595" s="824">
        <f t="shared" ca="1" si="454"/>
        <v>0</v>
      </c>
      <c r="DH595" s="824">
        <f t="shared" ca="1" si="454"/>
        <v>0</v>
      </c>
      <c r="DI595" s="824">
        <f t="shared" ca="1" si="454"/>
        <v>0</v>
      </c>
      <c r="DJ595" s="824">
        <f t="shared" ca="1" si="454"/>
        <v>0</v>
      </c>
      <c r="DK595" s="824">
        <f t="shared" ca="1" si="453"/>
        <v>0</v>
      </c>
      <c r="DL595" s="824">
        <f t="shared" ca="1" si="453"/>
        <v>0</v>
      </c>
    </row>
    <row r="596" spans="2:116" ht="12" thickBot="1" x14ac:dyDescent="0.3">
      <c r="B596" s="1673"/>
      <c r="C596" s="1680"/>
      <c r="D596" s="15" t="s">
        <v>44</v>
      </c>
      <c r="E596" s="165"/>
      <c r="F596" s="116">
        <f ca="1">SUBTOTAL(109,'3.3 I&amp;W'!$X$128)</f>
        <v>0</v>
      </c>
      <c r="G596" s="116">
        <f ca="1">SUBTOTAL(109,'3.3 I&amp;W'!$Y$128)</f>
        <v>0</v>
      </c>
      <c r="H596" s="116">
        <f ca="1">SUBTOTAL(109,'3.3 I&amp;W'!$AD$128)</f>
        <v>5.0183241712477095E-2</v>
      </c>
      <c r="I596" s="116">
        <f ca="1">SUBTOTAL(109,'3.3 I&amp;W'!$AE$128)</f>
        <v>1205</v>
      </c>
      <c r="J596" s="116"/>
      <c r="K596" s="116"/>
      <c r="L596" s="116"/>
      <c r="M596" s="116">
        <f ca="1">SUBTOTAL(109,'3.3 I&amp;W'!$AI$128)</f>
        <v>20</v>
      </c>
      <c r="N596" s="156">
        <f t="shared" ca="1" si="404"/>
        <v>1</v>
      </c>
      <c r="O596" s="116">
        <f ca="1">SUBTOTAL(109,'3.3 I&amp;W'!$S$128)</f>
        <v>24012</v>
      </c>
      <c r="P596" s="30">
        <f t="shared" ca="1" si="445"/>
        <v>22197.244123510751</v>
      </c>
      <c r="Q596" s="31">
        <f t="shared" ca="1" si="446"/>
        <v>0</v>
      </c>
      <c r="R596" s="31">
        <f t="shared" ca="1" si="447"/>
        <v>0</v>
      </c>
      <c r="S596" s="31">
        <f t="shared" ca="1" si="448"/>
        <v>0</v>
      </c>
      <c r="T596" s="32">
        <f t="shared" ca="1" si="449"/>
        <v>0</v>
      </c>
      <c r="U596" s="37">
        <f t="shared" ca="1" si="405"/>
        <v>4123.2198372298963</v>
      </c>
      <c r="V596" s="40">
        <f t="shared" ca="1" si="455"/>
        <v>0</v>
      </c>
      <c r="W596" s="41">
        <f t="shared" ca="1" si="456"/>
        <v>38706.771123167651</v>
      </c>
      <c r="X596" s="43"/>
      <c r="Y596" s="46"/>
      <c r="Z596" s="126"/>
      <c r="AA596" s="136"/>
      <c r="AB596" s="83">
        <v>43</v>
      </c>
      <c r="AC596" s="84">
        <f ca="1">IF(AF595&lt;=1,0,'3.3 Fi&amp;Fo'!$I$25)</f>
        <v>0</v>
      </c>
      <c r="AD596" s="72">
        <f ca="1">IF(AF595&lt;=1,0,AF595*'3.3 Fi&amp;Fo'!$H$25)</f>
        <v>0</v>
      </c>
      <c r="AE596" s="78">
        <f t="shared" ca="1" si="409"/>
        <v>0</v>
      </c>
      <c r="AF596" s="85">
        <f t="shared" ca="1" si="410"/>
        <v>9.4587448984384537E-11</v>
      </c>
      <c r="AG596" s="168" t="b">
        <f>IF(AJ595&lt;=1,0,IF(AB596&lt;='3.3 Fi&amp;Fo'!$F$34,'3.3 Fi&amp;Fo'!$J$34,IF(AB596&lt;='3.3 Fi&amp;Fo'!$F$35,'3.3 Fi&amp;Fo'!$J$35,IF(AB596&lt;='3.3 Fi&amp;Fo'!$F$36,'3.3 Fi&amp;Fo'!$J$36,IF(AB596&lt;='3.3 Fi&amp;Fo'!$F$37,'3.3 Fi&amp;Fo'!$J$37,IF(AB596&lt;='3.3 Fi&amp;Fo'!$F$38,'3.3 Fi&amp;Fo'!$J$38,IF(AB596&lt;='3.3 Fi&amp;Fo'!$F$39,'3.3 Fi&amp;Fo'!$J$39,IF(AB596&lt;='3.3 Fi&amp;Fo'!$F$40,'3.3 Fi&amp;Fo'!$J$40))))))))</f>
        <v>0</v>
      </c>
      <c r="AH596" s="207">
        <f>IF(AJ595&lt;=1,0,AJ595*IF(AB596&lt;='3.3 Fi&amp;Fo'!$F$34,'3.3 Fi&amp;Fo'!$I$34,IF(AB596&lt;='3.3 Fi&amp;Fo'!$F$35,'3.3 Fi&amp;Fo'!$I$35,IF(AB596&lt;='3.3 Fi&amp;Fo'!$F$38,'3.3 Fi&amp;Fo'!$I$38,IF(AB596&lt;='3.3 Fi&amp;Fo'!$F$39,'3.3 Fi&amp;Fo'!$I$39,IF(AB596&lt;='3.3 Fi&amp;Fo'!$F$40,'3.3 Fi&amp;Fo'!$I$40))))))</f>
        <v>0</v>
      </c>
      <c r="AI596" s="210">
        <f t="shared" si="462"/>
        <v>0</v>
      </c>
      <c r="AJ596" s="209">
        <f t="shared" si="412"/>
        <v>2524303.3362014662</v>
      </c>
      <c r="AK596" s="312">
        <f t="shared" ca="1" si="463"/>
        <v>0</v>
      </c>
      <c r="AL596" s="169">
        <f>IF(AB596&lt;='3.3 Fi&amp;Fo'!$J$15,'3.3 Fi&amp;Fo'!$I$15,0)</f>
        <v>0</v>
      </c>
      <c r="AM596" s="169">
        <f t="shared" si="425"/>
        <v>0</v>
      </c>
      <c r="AN596" s="838" t="str">
        <f t="shared" si="430"/>
        <v/>
      </c>
      <c r="AO596" s="844">
        <f t="shared" ca="1" si="413"/>
        <v>0</v>
      </c>
      <c r="AP596" s="839">
        <f ca="1">DE658</f>
        <v>0</v>
      </c>
      <c r="AQ596" s="844">
        <f t="shared" si="414"/>
        <v>0</v>
      </c>
      <c r="AR596" s="839" t="str">
        <f t="shared" si="431"/>
        <v/>
      </c>
      <c r="AS596" s="839">
        <f t="shared" si="426"/>
        <v>0</v>
      </c>
      <c r="AT596" s="839">
        <f t="shared" si="427"/>
        <v>0</v>
      </c>
      <c r="AU596" s="839">
        <f>'PV-Einspeisung'!AA188*-1</f>
        <v>0</v>
      </c>
      <c r="AV596" s="839">
        <f>'PV-Einspeisung'!AE188*-1</f>
        <v>0</v>
      </c>
      <c r="AW596" s="839"/>
      <c r="AX596" s="839" t="str">
        <f t="shared" si="432"/>
        <v/>
      </c>
      <c r="AY596" s="841" t="str">
        <f t="shared" si="415"/>
        <v/>
      </c>
      <c r="AZ596" s="842" t="str">
        <f t="shared" si="464"/>
        <v/>
      </c>
      <c r="BA596" s="842" t="str">
        <f t="shared" si="434"/>
        <v/>
      </c>
      <c r="BB596" s="842" t="str">
        <f t="shared" si="435"/>
        <v/>
      </c>
      <c r="BC596" s="842" t="str">
        <f t="shared" si="436"/>
        <v/>
      </c>
      <c r="BD596" s="842" t="str">
        <f t="shared" si="437"/>
        <v/>
      </c>
      <c r="BE596" s="842" t="str">
        <f t="shared" si="438"/>
        <v/>
      </c>
      <c r="BF596" s="842" t="str">
        <f t="shared" si="439"/>
        <v/>
      </c>
      <c r="BG596" s="842" t="str">
        <f t="shared" si="440"/>
        <v/>
      </c>
      <c r="BH596" s="858" t="str">
        <f t="shared" si="423"/>
        <v/>
      </c>
      <c r="BI596" s="857" t="str">
        <f t="shared" si="441"/>
        <v/>
      </c>
      <c r="BJ596" s="857" t="str">
        <f t="shared" si="442"/>
        <v/>
      </c>
      <c r="BK596" s="859">
        <f>'PV-Einspeisung'!AB188*-1</f>
        <v>0</v>
      </c>
      <c r="BL596" s="824">
        <f t="shared" ca="1" si="457"/>
        <v>20</v>
      </c>
      <c r="BM596" s="824">
        <f t="shared" ca="1" si="458"/>
        <v>1</v>
      </c>
      <c r="BN596" s="824">
        <f t="shared" ca="1" si="459"/>
        <v>24012</v>
      </c>
      <c r="BO596" s="824">
        <f t="shared" ca="1" si="461"/>
        <v>0</v>
      </c>
      <c r="BP596" s="824">
        <f t="shared" ca="1" si="461"/>
        <v>0</v>
      </c>
      <c r="BQ596" s="824">
        <f t="shared" ca="1" si="461"/>
        <v>0</v>
      </c>
      <c r="BR596" s="824">
        <f t="shared" ca="1" si="461"/>
        <v>0</v>
      </c>
      <c r="BS596" s="824">
        <f t="shared" ca="1" si="461"/>
        <v>0</v>
      </c>
      <c r="BT596" s="824">
        <f t="shared" ca="1" si="461"/>
        <v>0</v>
      </c>
      <c r="BU596" s="824">
        <f t="shared" ca="1" si="461"/>
        <v>0</v>
      </c>
      <c r="BV596" s="824">
        <f t="shared" ca="1" si="461"/>
        <v>0</v>
      </c>
      <c r="BW596" s="824">
        <f t="shared" ca="1" si="461"/>
        <v>0</v>
      </c>
      <c r="BX596" s="824">
        <f t="shared" ca="1" si="461"/>
        <v>0</v>
      </c>
      <c r="BY596" s="824">
        <f t="shared" ca="1" si="461"/>
        <v>0</v>
      </c>
      <c r="BZ596" s="824">
        <f t="shared" ca="1" si="461"/>
        <v>0</v>
      </c>
      <c r="CA596" s="824">
        <f t="shared" ca="1" si="461"/>
        <v>0</v>
      </c>
      <c r="CB596" s="824">
        <f t="shared" ca="1" si="461"/>
        <v>0</v>
      </c>
      <c r="CC596" s="824">
        <f t="shared" ca="1" si="461"/>
        <v>0</v>
      </c>
      <c r="CD596" s="824">
        <f t="shared" ca="1" si="461"/>
        <v>0</v>
      </c>
      <c r="CE596" s="824">
        <f t="shared" ca="1" si="460"/>
        <v>0</v>
      </c>
      <c r="CF596" s="824">
        <f t="shared" ca="1" si="460"/>
        <v>0</v>
      </c>
      <c r="CG596" s="824">
        <f t="shared" ca="1" si="460"/>
        <v>0</v>
      </c>
      <c r="CH596" s="824">
        <f t="shared" ca="1" si="460"/>
        <v>32983.937103226628</v>
      </c>
      <c r="CI596" s="824">
        <f t="shared" ca="1" si="460"/>
        <v>0</v>
      </c>
      <c r="CJ596" s="824">
        <f t="shared" ca="1" si="460"/>
        <v>0</v>
      </c>
      <c r="CK596" s="824">
        <f t="shared" ca="1" si="460"/>
        <v>0</v>
      </c>
      <c r="CL596" s="824">
        <f t="shared" ca="1" si="460"/>
        <v>0</v>
      </c>
      <c r="CM596" s="824">
        <f t="shared" ca="1" si="460"/>
        <v>0</v>
      </c>
      <c r="CN596" s="824">
        <f t="shared" ca="1" si="460"/>
        <v>0</v>
      </c>
      <c r="CO596" s="824">
        <f t="shared" ca="1" si="460"/>
        <v>0</v>
      </c>
      <c r="CP596" s="824">
        <f t="shared" ca="1" si="460"/>
        <v>0</v>
      </c>
      <c r="CQ596" s="824">
        <f t="shared" ca="1" si="460"/>
        <v>0</v>
      </c>
      <c r="CR596" s="824">
        <f t="shared" ca="1" si="460"/>
        <v>0</v>
      </c>
      <c r="CS596" s="824">
        <f t="shared" ca="1" si="460"/>
        <v>0</v>
      </c>
      <c r="CT596" s="824">
        <f t="shared" ca="1" si="451"/>
        <v>0</v>
      </c>
      <c r="CU596" s="824">
        <f t="shared" ca="1" si="451"/>
        <v>0</v>
      </c>
      <c r="CV596" s="824">
        <f t="shared" ca="1" si="451"/>
        <v>0</v>
      </c>
      <c r="CW596" s="824">
        <f t="shared" ca="1" si="451"/>
        <v>0</v>
      </c>
      <c r="CX596" s="824">
        <f t="shared" ca="1" si="451"/>
        <v>0</v>
      </c>
      <c r="CY596" s="824">
        <f t="shared" ca="1" si="451"/>
        <v>0</v>
      </c>
      <c r="CZ596" s="824">
        <f t="shared" ca="1" si="451"/>
        <v>0</v>
      </c>
      <c r="DA596" s="824">
        <f t="shared" ca="1" si="451"/>
        <v>0</v>
      </c>
      <c r="DB596" s="824">
        <f t="shared" ca="1" si="451"/>
        <v>0</v>
      </c>
      <c r="DC596" s="824">
        <f t="shared" ca="1" si="451"/>
        <v>0</v>
      </c>
      <c r="DD596" s="824">
        <f t="shared" ca="1" si="451"/>
        <v>0</v>
      </c>
      <c r="DE596" s="824">
        <f t="shared" ca="1" si="451"/>
        <v>0</v>
      </c>
      <c r="DF596" s="824">
        <f t="shared" ca="1" si="451"/>
        <v>0</v>
      </c>
      <c r="DG596" s="824">
        <f t="shared" ca="1" si="454"/>
        <v>0</v>
      </c>
      <c r="DH596" s="824">
        <f t="shared" ca="1" si="454"/>
        <v>0</v>
      </c>
      <c r="DI596" s="824">
        <f t="shared" ca="1" si="454"/>
        <v>0</v>
      </c>
      <c r="DJ596" s="824">
        <f t="shared" ca="1" si="454"/>
        <v>0</v>
      </c>
      <c r="DK596" s="824">
        <f t="shared" ca="1" si="453"/>
        <v>0</v>
      </c>
      <c r="DL596" s="824">
        <f t="shared" ca="1" si="453"/>
        <v>0</v>
      </c>
    </row>
    <row r="597" spans="2:116" ht="12" thickBot="1" x14ac:dyDescent="0.3">
      <c r="B597" s="1673"/>
      <c r="C597" s="1680"/>
      <c r="D597" s="15" t="s">
        <v>44</v>
      </c>
      <c r="E597" s="116"/>
      <c r="F597" s="116">
        <f ca="1">SUBTOTAL(109,'3.3 I&amp;W'!$X$129)</f>
        <v>0</v>
      </c>
      <c r="G597" s="116">
        <f ca="1">SUBTOTAL(109,'3.3 I&amp;W'!$Y$129)</f>
        <v>0</v>
      </c>
      <c r="H597" s="116">
        <f ca="1">SUBTOTAL(109,'3.3 I&amp;W'!$AD$129)</f>
        <v>0</v>
      </c>
      <c r="I597" s="116">
        <f ca="1">SUBTOTAL(109,'3.3 I&amp;W'!$AE$129)</f>
        <v>0</v>
      </c>
      <c r="J597" s="116"/>
      <c r="K597" s="116"/>
      <c r="L597" s="116"/>
      <c r="M597" s="116">
        <f ca="1">SUBTOTAL(109,'3.3 I&amp;W'!$AI$129)</f>
        <v>50</v>
      </c>
      <c r="N597" s="156">
        <f t="shared" ca="1" si="404"/>
        <v>0</v>
      </c>
      <c r="O597" s="116">
        <f ca="1">SUBTOTAL(109,'3.3 I&amp;W'!$S$129)</f>
        <v>82177.2</v>
      </c>
      <c r="P597" s="30">
        <f t="shared" ca="1" si="445"/>
        <v>0</v>
      </c>
      <c r="Q597" s="31">
        <f t="shared" ca="1" si="446"/>
        <v>0</v>
      </c>
      <c r="R597" s="31">
        <f t="shared" ca="1" si="447"/>
        <v>0</v>
      </c>
      <c r="S597" s="31">
        <f t="shared" ca="1" si="448"/>
        <v>0</v>
      </c>
      <c r="T597" s="32">
        <f t="shared" ca="1" si="449"/>
        <v>0</v>
      </c>
      <c r="U597" s="37">
        <f t="shared" ca="1" si="405"/>
        <v>12327.260756564896</v>
      </c>
      <c r="V597" s="40">
        <f t="shared" ca="1" si="455"/>
        <v>0</v>
      </c>
      <c r="W597" s="41">
        <f t="shared" ca="1" si="456"/>
        <v>0</v>
      </c>
      <c r="X597" s="43"/>
      <c r="Y597" s="46"/>
      <c r="Z597" s="126"/>
      <c r="AA597" s="136"/>
      <c r="AB597" s="83">
        <v>44</v>
      </c>
      <c r="AC597" s="84">
        <f ca="1">IF(AF596&lt;=1,0,'3.3 Fi&amp;Fo'!$I$25)</f>
        <v>0</v>
      </c>
      <c r="AD597" s="72">
        <f ca="1">IF(AF596&lt;=1,0,AF596*'3.3 Fi&amp;Fo'!$H$25)</f>
        <v>0</v>
      </c>
      <c r="AE597" s="78">
        <f t="shared" ca="1" si="409"/>
        <v>0</v>
      </c>
      <c r="AF597" s="85">
        <f t="shared" ca="1" si="410"/>
        <v>9.4587448984384537E-11</v>
      </c>
      <c r="AG597" s="168" t="b">
        <f>IF(AJ596&lt;=1,0,IF(AB597&lt;='3.3 Fi&amp;Fo'!$F$34,'3.3 Fi&amp;Fo'!$J$34,IF(AB597&lt;='3.3 Fi&amp;Fo'!$F$35,'3.3 Fi&amp;Fo'!$J$35,IF(AB597&lt;='3.3 Fi&amp;Fo'!$F$36,'3.3 Fi&amp;Fo'!$J$36,IF(AB597&lt;='3.3 Fi&amp;Fo'!$F$37,'3.3 Fi&amp;Fo'!$J$37,IF(AB597&lt;='3.3 Fi&amp;Fo'!$F$38,'3.3 Fi&amp;Fo'!$J$38,IF(AB597&lt;='3.3 Fi&amp;Fo'!$F$39,'3.3 Fi&amp;Fo'!$J$39,IF(AB597&lt;='3.3 Fi&amp;Fo'!$F$40,'3.3 Fi&amp;Fo'!$J$40))))))))</f>
        <v>0</v>
      </c>
      <c r="AH597" s="207">
        <f>IF(AJ596&lt;=1,0,AJ596*IF(AB597&lt;='3.3 Fi&amp;Fo'!$F$34,'3.3 Fi&amp;Fo'!$I$34,IF(AB597&lt;='3.3 Fi&amp;Fo'!$F$35,'3.3 Fi&amp;Fo'!$I$35,IF(AB597&lt;='3.3 Fi&amp;Fo'!$F$38,'3.3 Fi&amp;Fo'!$I$38,IF(AB597&lt;='3.3 Fi&amp;Fo'!$F$39,'3.3 Fi&amp;Fo'!$I$39,IF(AB597&lt;='3.3 Fi&amp;Fo'!$F$40,'3.3 Fi&amp;Fo'!$I$40))))))</f>
        <v>0</v>
      </c>
      <c r="AI597" s="210">
        <f t="shared" si="462"/>
        <v>0</v>
      </c>
      <c r="AJ597" s="209">
        <f t="shared" si="412"/>
        <v>2524303.3362014662</v>
      </c>
      <c r="AK597" s="312">
        <f t="shared" ca="1" si="463"/>
        <v>0</v>
      </c>
      <c r="AL597" s="169">
        <f>IF(AB597&lt;='3.3 Fi&amp;Fo'!$J$15,'3.3 Fi&amp;Fo'!$I$15,0)</f>
        <v>0</v>
      </c>
      <c r="AM597" s="169">
        <f t="shared" si="425"/>
        <v>0</v>
      </c>
      <c r="AN597" s="838" t="str">
        <f t="shared" si="430"/>
        <v/>
      </c>
      <c r="AO597" s="844">
        <f t="shared" ca="1" si="413"/>
        <v>0</v>
      </c>
      <c r="AP597" s="839">
        <f ca="1">DF658</f>
        <v>0</v>
      </c>
      <c r="AQ597" s="844">
        <f t="shared" si="414"/>
        <v>0</v>
      </c>
      <c r="AR597" s="839" t="str">
        <f t="shared" si="431"/>
        <v/>
      </c>
      <c r="AS597" s="839">
        <f t="shared" si="426"/>
        <v>0</v>
      </c>
      <c r="AT597" s="839">
        <f t="shared" si="427"/>
        <v>0</v>
      </c>
      <c r="AU597" s="839">
        <f>'PV-Einspeisung'!AA189*-1</f>
        <v>0</v>
      </c>
      <c r="AV597" s="839">
        <f>'PV-Einspeisung'!AE189*-1</f>
        <v>0</v>
      </c>
      <c r="AW597" s="839"/>
      <c r="AX597" s="839" t="str">
        <f t="shared" si="432"/>
        <v/>
      </c>
      <c r="AY597" s="841" t="str">
        <f t="shared" si="415"/>
        <v/>
      </c>
      <c r="AZ597" s="842" t="str">
        <f t="shared" si="464"/>
        <v/>
      </c>
      <c r="BA597" s="842" t="str">
        <f t="shared" si="434"/>
        <v/>
      </c>
      <c r="BB597" s="842" t="str">
        <f t="shared" si="435"/>
        <v/>
      </c>
      <c r="BC597" s="842" t="str">
        <f t="shared" si="436"/>
        <v/>
      </c>
      <c r="BD597" s="842" t="str">
        <f t="shared" si="437"/>
        <v/>
      </c>
      <c r="BE597" s="842" t="str">
        <f t="shared" si="438"/>
        <v/>
      </c>
      <c r="BF597" s="842" t="str">
        <f t="shared" si="439"/>
        <v/>
      </c>
      <c r="BG597" s="842" t="str">
        <f t="shared" si="440"/>
        <v/>
      </c>
      <c r="BH597" s="858" t="str">
        <f t="shared" si="423"/>
        <v/>
      </c>
      <c r="BI597" s="857" t="str">
        <f t="shared" si="441"/>
        <v/>
      </c>
      <c r="BJ597" s="857" t="str">
        <f t="shared" si="442"/>
        <v/>
      </c>
      <c r="BK597" s="859">
        <f>'PV-Einspeisung'!AB189*-1</f>
        <v>0</v>
      </c>
      <c r="BL597" s="824">
        <f t="shared" ca="1" si="457"/>
        <v>50</v>
      </c>
      <c r="BM597" s="824">
        <f t="shared" ca="1" si="458"/>
        <v>0</v>
      </c>
      <c r="BN597" s="824">
        <f t="shared" ca="1" si="459"/>
        <v>82177.2</v>
      </c>
      <c r="BO597" s="824">
        <f t="shared" ca="1" si="461"/>
        <v>0</v>
      </c>
      <c r="BP597" s="824">
        <f t="shared" ca="1" si="461"/>
        <v>0</v>
      </c>
      <c r="BQ597" s="824">
        <f t="shared" ca="1" si="461"/>
        <v>0</v>
      </c>
      <c r="BR597" s="824">
        <f t="shared" ca="1" si="461"/>
        <v>0</v>
      </c>
      <c r="BS597" s="824">
        <f t="shared" ca="1" si="461"/>
        <v>0</v>
      </c>
      <c r="BT597" s="824">
        <f t="shared" ca="1" si="461"/>
        <v>0</v>
      </c>
      <c r="BU597" s="824">
        <f t="shared" ca="1" si="461"/>
        <v>0</v>
      </c>
      <c r="BV597" s="824">
        <f t="shared" ca="1" si="461"/>
        <v>0</v>
      </c>
      <c r="BW597" s="824">
        <f t="shared" ca="1" si="461"/>
        <v>0</v>
      </c>
      <c r="BX597" s="824">
        <f t="shared" ca="1" si="461"/>
        <v>0</v>
      </c>
      <c r="BY597" s="824">
        <f t="shared" ca="1" si="461"/>
        <v>0</v>
      </c>
      <c r="BZ597" s="824">
        <f t="shared" ca="1" si="461"/>
        <v>0</v>
      </c>
      <c r="CA597" s="824">
        <f t="shared" ca="1" si="461"/>
        <v>0</v>
      </c>
      <c r="CB597" s="824">
        <f t="shared" ca="1" si="461"/>
        <v>0</v>
      </c>
      <c r="CC597" s="824">
        <f t="shared" ca="1" si="461"/>
        <v>0</v>
      </c>
      <c r="CD597" s="824">
        <f t="shared" ca="1" si="461"/>
        <v>0</v>
      </c>
      <c r="CE597" s="824">
        <f t="shared" ca="1" si="460"/>
        <v>0</v>
      </c>
      <c r="CF597" s="824">
        <f t="shared" ca="1" si="460"/>
        <v>0</v>
      </c>
      <c r="CG597" s="824">
        <f t="shared" ca="1" si="460"/>
        <v>0</v>
      </c>
      <c r="CH597" s="824">
        <f t="shared" ca="1" si="460"/>
        <v>0</v>
      </c>
      <c r="CI597" s="824">
        <f t="shared" ca="1" si="460"/>
        <v>0</v>
      </c>
      <c r="CJ597" s="824">
        <f t="shared" ca="1" si="460"/>
        <v>0</v>
      </c>
      <c r="CK597" s="824">
        <f t="shared" ca="1" si="460"/>
        <v>0</v>
      </c>
      <c r="CL597" s="824">
        <f t="shared" ca="1" si="460"/>
        <v>0</v>
      </c>
      <c r="CM597" s="824">
        <f t="shared" ca="1" si="460"/>
        <v>0</v>
      </c>
      <c r="CN597" s="824">
        <f t="shared" ca="1" si="460"/>
        <v>0</v>
      </c>
      <c r="CO597" s="824">
        <f t="shared" ca="1" si="460"/>
        <v>0</v>
      </c>
      <c r="CP597" s="824">
        <f t="shared" ca="1" si="460"/>
        <v>0</v>
      </c>
      <c r="CQ597" s="824">
        <f t="shared" ca="1" si="460"/>
        <v>0</v>
      </c>
      <c r="CR597" s="824">
        <f t="shared" ca="1" si="460"/>
        <v>0</v>
      </c>
      <c r="CS597" s="824">
        <f t="shared" ca="1" si="460"/>
        <v>0</v>
      </c>
      <c r="CT597" s="824">
        <f t="shared" ca="1" si="451"/>
        <v>0</v>
      </c>
      <c r="CU597" s="824">
        <f t="shared" ca="1" si="451"/>
        <v>0</v>
      </c>
      <c r="CV597" s="824">
        <f t="shared" ca="1" si="451"/>
        <v>0</v>
      </c>
      <c r="CW597" s="824">
        <f t="shared" ca="1" si="451"/>
        <v>0</v>
      </c>
      <c r="CX597" s="824">
        <f t="shared" ca="1" si="451"/>
        <v>0</v>
      </c>
      <c r="CY597" s="824">
        <f t="shared" ca="1" si="451"/>
        <v>0</v>
      </c>
      <c r="CZ597" s="824">
        <f t="shared" ca="1" si="451"/>
        <v>0</v>
      </c>
      <c r="DA597" s="824">
        <f t="shared" ca="1" si="451"/>
        <v>0</v>
      </c>
      <c r="DB597" s="824">
        <f t="shared" ca="1" si="451"/>
        <v>0</v>
      </c>
      <c r="DC597" s="824">
        <f t="shared" ca="1" si="451"/>
        <v>0</v>
      </c>
      <c r="DD597" s="824">
        <f t="shared" ca="1" si="451"/>
        <v>0</v>
      </c>
      <c r="DE597" s="824">
        <f t="shared" ca="1" si="451"/>
        <v>0</v>
      </c>
      <c r="DF597" s="824">
        <f t="shared" ca="1" si="451"/>
        <v>0</v>
      </c>
      <c r="DG597" s="824">
        <f t="shared" ca="1" si="454"/>
        <v>0</v>
      </c>
      <c r="DH597" s="824">
        <f t="shared" ca="1" si="454"/>
        <v>0</v>
      </c>
      <c r="DI597" s="824">
        <f t="shared" ca="1" si="454"/>
        <v>0</v>
      </c>
      <c r="DJ597" s="824">
        <f t="shared" ca="1" si="454"/>
        <v>0</v>
      </c>
      <c r="DK597" s="824">
        <f t="shared" ca="1" si="454"/>
        <v>0</v>
      </c>
      <c r="DL597" s="824">
        <f t="shared" ca="1" si="454"/>
        <v>0</v>
      </c>
    </row>
    <row r="598" spans="2:116" ht="12" thickBot="1" x14ac:dyDescent="0.3">
      <c r="B598" s="1673"/>
      <c r="C598" s="1680"/>
      <c r="D598" s="15" t="s">
        <v>44</v>
      </c>
      <c r="E598" s="165"/>
      <c r="F598" s="116">
        <f ca="1">SUBTOTAL(109,'3.3 I&amp;W'!$X$130)</f>
        <v>0</v>
      </c>
      <c r="G598" s="116">
        <f ca="1">SUBTOTAL(109,'3.3 I&amp;W'!$Y$130)</f>
        <v>0</v>
      </c>
      <c r="H598" s="116">
        <f>SUBTOTAL(109,'3.3 I&amp;W'!$AD$130)</f>
        <v>9.4557873090481796E-3</v>
      </c>
      <c r="I598" s="116">
        <f>SUBTOTAL(109,'3.3 I&amp;W'!$AE$130)</f>
        <v>309</v>
      </c>
      <c r="J598" s="116"/>
      <c r="K598" s="116"/>
      <c r="L598" s="116"/>
      <c r="M598" s="116">
        <f>SUBTOTAL(109,'3.3 I&amp;W'!$AI$130)</f>
        <v>25</v>
      </c>
      <c r="N598" s="156">
        <f t="shared" si="404"/>
        <v>1</v>
      </c>
      <c r="O598" s="116">
        <f>SUBTOTAL(109,'3.3 I&amp;W'!$S$130)</f>
        <v>32678.399999999998</v>
      </c>
      <c r="P598" s="30">
        <f t="shared" si="445"/>
        <v>29620.964053326923</v>
      </c>
      <c r="Q598" s="31">
        <f t="shared" si="446"/>
        <v>0</v>
      </c>
      <c r="R598" s="31">
        <f t="shared" si="447"/>
        <v>0</v>
      </c>
      <c r="S598" s="31">
        <f t="shared" si="448"/>
        <v>0</v>
      </c>
      <c r="T598" s="32">
        <f t="shared" si="449"/>
        <v>0</v>
      </c>
      <c r="U598" s="37">
        <f t="shared" si="405"/>
        <v>14579.704501085898</v>
      </c>
      <c r="V598" s="40">
        <f t="shared" ca="1" si="455"/>
        <v>0</v>
      </c>
      <c r="W598" s="41">
        <f t="shared" si="456"/>
        <v>9925.6367444471398</v>
      </c>
      <c r="X598" s="43"/>
      <c r="Y598" s="46"/>
      <c r="Z598" s="126"/>
      <c r="AA598" s="136"/>
      <c r="AB598" s="83">
        <v>45</v>
      </c>
      <c r="AC598" s="84">
        <f ca="1">IF(AF597&lt;=1,0,'3.3 Fi&amp;Fo'!$I$25)</f>
        <v>0</v>
      </c>
      <c r="AD598" s="72">
        <f ca="1">IF(AF597&lt;=1,0,AF597*'3.3 Fi&amp;Fo'!$H$25)</f>
        <v>0</v>
      </c>
      <c r="AE598" s="78">
        <f t="shared" ca="1" si="409"/>
        <v>0</v>
      </c>
      <c r="AF598" s="85">
        <f t="shared" ca="1" si="410"/>
        <v>9.4587448984384537E-11</v>
      </c>
      <c r="AG598" s="168" t="b">
        <f>IF(AJ597&lt;=1,0,IF(AB598&lt;='3.3 Fi&amp;Fo'!$F$34,'3.3 Fi&amp;Fo'!$J$34,IF(AB598&lt;='3.3 Fi&amp;Fo'!$F$35,'3.3 Fi&amp;Fo'!$J$35,IF(AB598&lt;='3.3 Fi&amp;Fo'!$F$36,'3.3 Fi&amp;Fo'!$J$36,IF(AB598&lt;='3.3 Fi&amp;Fo'!$F$37,'3.3 Fi&amp;Fo'!$J$37,IF(AB598&lt;='3.3 Fi&amp;Fo'!$F$38,'3.3 Fi&amp;Fo'!$J$38,IF(AB598&lt;='3.3 Fi&amp;Fo'!$F$39,'3.3 Fi&amp;Fo'!$J$39,IF(AB598&lt;='3.3 Fi&amp;Fo'!$F$40,'3.3 Fi&amp;Fo'!$J$40))))))))</f>
        <v>0</v>
      </c>
      <c r="AH598" s="207">
        <f>IF(AJ597&lt;=1,0,AJ597*IF(AB598&lt;='3.3 Fi&amp;Fo'!$F$34,'3.3 Fi&amp;Fo'!$I$34,IF(AB598&lt;='3.3 Fi&amp;Fo'!$F$35,'3.3 Fi&amp;Fo'!$I$35,IF(AB598&lt;='3.3 Fi&amp;Fo'!$F$38,'3.3 Fi&amp;Fo'!$I$38,IF(AB598&lt;='3.3 Fi&amp;Fo'!$F$39,'3.3 Fi&amp;Fo'!$I$39,IF(AB598&lt;='3.3 Fi&amp;Fo'!$F$40,'3.3 Fi&amp;Fo'!$I$40))))))</f>
        <v>0</v>
      </c>
      <c r="AI598" s="210">
        <f t="shared" si="462"/>
        <v>0</v>
      </c>
      <c r="AJ598" s="209">
        <f t="shared" si="412"/>
        <v>2524303.3362014662</v>
      </c>
      <c r="AK598" s="312">
        <f t="shared" ca="1" si="463"/>
        <v>0</v>
      </c>
      <c r="AL598" s="169">
        <f>IF(AB598&lt;='3.3 Fi&amp;Fo'!$J$15,'3.3 Fi&amp;Fo'!$I$15,0)</f>
        <v>0</v>
      </c>
      <c r="AM598" s="169">
        <f t="shared" si="425"/>
        <v>0</v>
      </c>
      <c r="AN598" s="838" t="str">
        <f t="shared" si="430"/>
        <v/>
      </c>
      <c r="AO598" s="844">
        <f t="shared" ca="1" si="413"/>
        <v>0</v>
      </c>
      <c r="AP598" s="839">
        <f ca="1">DG658</f>
        <v>0</v>
      </c>
      <c r="AQ598" s="844">
        <f t="shared" si="414"/>
        <v>0</v>
      </c>
      <c r="AR598" s="839" t="str">
        <f t="shared" si="431"/>
        <v/>
      </c>
      <c r="AS598" s="839">
        <f t="shared" si="426"/>
        <v>0</v>
      </c>
      <c r="AT598" s="839">
        <f t="shared" si="427"/>
        <v>0</v>
      </c>
      <c r="AU598" s="839">
        <f>'PV-Einspeisung'!AA190*-1</f>
        <v>0</v>
      </c>
      <c r="AV598" s="839">
        <f>'PV-Einspeisung'!AE190*-1</f>
        <v>0</v>
      </c>
      <c r="AW598" s="839"/>
      <c r="AX598" s="839" t="str">
        <f t="shared" si="432"/>
        <v/>
      </c>
      <c r="AY598" s="841" t="str">
        <f t="shared" si="415"/>
        <v/>
      </c>
      <c r="AZ598" s="842" t="str">
        <f t="shared" si="464"/>
        <v/>
      </c>
      <c r="BA598" s="842" t="str">
        <f t="shared" si="434"/>
        <v/>
      </c>
      <c r="BB598" s="842" t="str">
        <f t="shared" si="435"/>
        <v/>
      </c>
      <c r="BC598" s="842" t="str">
        <f t="shared" si="436"/>
        <v/>
      </c>
      <c r="BD598" s="842" t="str">
        <f t="shared" si="437"/>
        <v/>
      </c>
      <c r="BE598" s="842" t="str">
        <f t="shared" si="438"/>
        <v/>
      </c>
      <c r="BF598" s="842" t="str">
        <f t="shared" si="439"/>
        <v/>
      </c>
      <c r="BG598" s="842" t="str">
        <f t="shared" si="440"/>
        <v/>
      </c>
      <c r="BH598" s="858" t="str">
        <f t="shared" si="423"/>
        <v/>
      </c>
      <c r="BI598" s="857" t="str">
        <f t="shared" si="441"/>
        <v/>
      </c>
      <c r="BJ598" s="857" t="str">
        <f t="shared" si="442"/>
        <v/>
      </c>
      <c r="BK598" s="859">
        <f>'PV-Einspeisung'!AB190*-1</f>
        <v>0</v>
      </c>
      <c r="BL598" s="824">
        <f t="shared" si="457"/>
        <v>25</v>
      </c>
      <c r="BM598" s="824">
        <f t="shared" si="458"/>
        <v>1</v>
      </c>
      <c r="BN598" s="824">
        <f t="shared" si="459"/>
        <v>32678.399999999998</v>
      </c>
      <c r="BO598" s="824">
        <f t="shared" si="461"/>
        <v>0</v>
      </c>
      <c r="BP598" s="824">
        <f t="shared" si="461"/>
        <v>0</v>
      </c>
      <c r="BQ598" s="824">
        <f t="shared" si="461"/>
        <v>0</v>
      </c>
      <c r="BR598" s="824">
        <f t="shared" si="461"/>
        <v>0</v>
      </c>
      <c r="BS598" s="824">
        <f t="shared" si="461"/>
        <v>0</v>
      </c>
      <c r="BT598" s="824">
        <f t="shared" si="461"/>
        <v>0</v>
      </c>
      <c r="BU598" s="824">
        <f t="shared" si="461"/>
        <v>0</v>
      </c>
      <c r="BV598" s="824">
        <f t="shared" si="461"/>
        <v>0</v>
      </c>
      <c r="BW598" s="824">
        <f t="shared" si="461"/>
        <v>0</v>
      </c>
      <c r="BX598" s="824">
        <f t="shared" si="461"/>
        <v>0</v>
      </c>
      <c r="BY598" s="824">
        <f t="shared" si="461"/>
        <v>0</v>
      </c>
      <c r="BZ598" s="824">
        <f t="shared" si="461"/>
        <v>0</v>
      </c>
      <c r="CA598" s="824">
        <f t="shared" si="461"/>
        <v>0</v>
      </c>
      <c r="CB598" s="824">
        <f t="shared" si="461"/>
        <v>0</v>
      </c>
      <c r="CC598" s="824">
        <f t="shared" si="461"/>
        <v>0</v>
      </c>
      <c r="CD598" s="824">
        <f t="shared" si="461"/>
        <v>0</v>
      </c>
      <c r="CE598" s="824">
        <f t="shared" si="460"/>
        <v>0</v>
      </c>
      <c r="CF598" s="824">
        <f t="shared" si="460"/>
        <v>0</v>
      </c>
      <c r="CG598" s="824">
        <f t="shared" si="460"/>
        <v>0</v>
      </c>
      <c r="CH598" s="824">
        <f t="shared" si="460"/>
        <v>0</v>
      </c>
      <c r="CI598" s="824">
        <f t="shared" si="460"/>
        <v>0</v>
      </c>
      <c r="CJ598" s="824">
        <f t="shared" si="460"/>
        <v>0</v>
      </c>
      <c r="CK598" s="824">
        <f t="shared" si="460"/>
        <v>0</v>
      </c>
      <c r="CL598" s="824">
        <f t="shared" si="460"/>
        <v>0</v>
      </c>
      <c r="CM598" s="824">
        <f t="shared" si="460"/>
        <v>48596.331187712422</v>
      </c>
      <c r="CN598" s="824">
        <f t="shared" si="460"/>
        <v>0</v>
      </c>
      <c r="CO598" s="824">
        <f t="shared" si="460"/>
        <v>0</v>
      </c>
      <c r="CP598" s="824">
        <f t="shared" si="460"/>
        <v>0</v>
      </c>
      <c r="CQ598" s="824">
        <f t="shared" si="460"/>
        <v>0</v>
      </c>
      <c r="CR598" s="824">
        <f t="shared" si="460"/>
        <v>0</v>
      </c>
      <c r="CS598" s="824">
        <f t="shared" si="460"/>
        <v>0</v>
      </c>
      <c r="CT598" s="824">
        <f t="shared" si="451"/>
        <v>0</v>
      </c>
      <c r="CU598" s="824">
        <f t="shared" si="451"/>
        <v>0</v>
      </c>
      <c r="CV598" s="824">
        <f t="shared" si="451"/>
        <v>0</v>
      </c>
      <c r="CW598" s="824">
        <f t="shared" si="451"/>
        <v>0</v>
      </c>
      <c r="CX598" s="824">
        <f t="shared" si="451"/>
        <v>0</v>
      </c>
      <c r="CY598" s="824">
        <f t="shared" si="451"/>
        <v>0</v>
      </c>
      <c r="CZ598" s="824">
        <f t="shared" si="451"/>
        <v>0</v>
      </c>
      <c r="DA598" s="824">
        <f t="shared" si="451"/>
        <v>0</v>
      </c>
      <c r="DB598" s="824">
        <f t="shared" si="451"/>
        <v>0</v>
      </c>
      <c r="DC598" s="824">
        <f t="shared" si="451"/>
        <v>0</v>
      </c>
      <c r="DD598" s="824">
        <f t="shared" si="451"/>
        <v>0</v>
      </c>
      <c r="DE598" s="824">
        <f t="shared" si="451"/>
        <v>0</v>
      </c>
      <c r="DF598" s="824">
        <f t="shared" si="451"/>
        <v>0</v>
      </c>
      <c r="DG598" s="824">
        <f t="shared" si="454"/>
        <v>0</v>
      </c>
      <c r="DH598" s="824">
        <f t="shared" si="454"/>
        <v>0</v>
      </c>
      <c r="DI598" s="824">
        <f t="shared" si="454"/>
        <v>0</v>
      </c>
      <c r="DJ598" s="824">
        <f t="shared" si="454"/>
        <v>0</v>
      </c>
      <c r="DK598" s="824">
        <f t="shared" si="454"/>
        <v>0</v>
      </c>
      <c r="DL598" s="824">
        <f t="shared" si="454"/>
        <v>0</v>
      </c>
    </row>
    <row r="599" spans="2:116" ht="12" thickBot="1" x14ac:dyDescent="0.3">
      <c r="B599" s="1673"/>
      <c r="C599" s="1680"/>
      <c r="D599" s="15" t="s">
        <v>44</v>
      </c>
      <c r="E599" s="116"/>
      <c r="F599" s="116">
        <f ca="1">SUBTOTAL(109,'3.3 I&amp;W'!$X$131)</f>
        <v>0</v>
      </c>
      <c r="G599" s="116">
        <f ca="1">SUBTOTAL(109,'3.3 I&amp;W'!$Y$131)</f>
        <v>0</v>
      </c>
      <c r="H599" s="116">
        <f ca="1">SUBTOTAL(109,'3.3 I&amp;W'!$AD$131)</f>
        <v>0</v>
      </c>
      <c r="I599" s="116">
        <f ca="1">SUBTOTAL(109,'3.3 I&amp;W'!$AE$131)</f>
        <v>0</v>
      </c>
      <c r="J599" s="116"/>
      <c r="K599" s="116"/>
      <c r="L599" s="116"/>
      <c r="M599" s="116">
        <f>SUBTOTAL(109,'3.3 I&amp;W'!$AI$131)</f>
        <v>50</v>
      </c>
      <c r="N599" s="156">
        <f t="shared" si="404"/>
        <v>0</v>
      </c>
      <c r="O599" s="116">
        <f>SUBTOTAL(109,'3.3 I&amp;W'!$S$131)</f>
        <v>15134.4</v>
      </c>
      <c r="P599" s="30">
        <f t="shared" si="445"/>
        <v>0</v>
      </c>
      <c r="Q599" s="31">
        <f t="shared" si="446"/>
        <v>0</v>
      </c>
      <c r="R599" s="31">
        <f t="shared" si="447"/>
        <v>0</v>
      </c>
      <c r="S599" s="31">
        <f t="shared" si="448"/>
        <v>0</v>
      </c>
      <c r="T599" s="32">
        <f t="shared" si="449"/>
        <v>0</v>
      </c>
      <c r="U599" s="37">
        <f t="shared" si="405"/>
        <v>2270.2853734874848</v>
      </c>
      <c r="V599" s="40">
        <f t="shared" ca="1" si="455"/>
        <v>0</v>
      </c>
      <c r="W599" s="41">
        <f t="shared" ca="1" si="456"/>
        <v>0</v>
      </c>
      <c r="X599" s="43"/>
      <c r="Y599" s="46"/>
      <c r="Z599" s="126"/>
      <c r="AA599" s="136"/>
      <c r="AB599" s="83">
        <v>46</v>
      </c>
      <c r="AC599" s="84">
        <f ca="1">IF(AF598&lt;=1,0,'3.3 Fi&amp;Fo'!$I$25)</f>
        <v>0</v>
      </c>
      <c r="AD599" s="72">
        <f ca="1">IF(AF598&lt;=1,0,AF598*'3.3 Fi&amp;Fo'!$H$25)</f>
        <v>0</v>
      </c>
      <c r="AE599" s="78">
        <f t="shared" ca="1" si="409"/>
        <v>0</v>
      </c>
      <c r="AF599" s="85">
        <f t="shared" ca="1" si="410"/>
        <v>9.4587448984384537E-11</v>
      </c>
      <c r="AG599" s="168" t="b">
        <f>IF(AJ598&lt;=1,0,IF(AB599&lt;='3.3 Fi&amp;Fo'!$F$34,'3.3 Fi&amp;Fo'!$J$34,IF(AB599&lt;='3.3 Fi&amp;Fo'!$F$35,'3.3 Fi&amp;Fo'!$J$35,IF(AB599&lt;='3.3 Fi&amp;Fo'!$F$36,'3.3 Fi&amp;Fo'!$J$36,IF(AB599&lt;='3.3 Fi&amp;Fo'!$F$37,'3.3 Fi&amp;Fo'!$J$37,IF(AB599&lt;='3.3 Fi&amp;Fo'!$F$38,'3.3 Fi&amp;Fo'!$J$38,IF(AB599&lt;='3.3 Fi&amp;Fo'!$F$39,'3.3 Fi&amp;Fo'!$J$39,IF(AB599&lt;='3.3 Fi&amp;Fo'!$F$40,'3.3 Fi&amp;Fo'!$J$40))))))))</f>
        <v>0</v>
      </c>
      <c r="AH599" s="207">
        <f>IF(AJ598&lt;=1,0,AJ598*IF(AB599&lt;='3.3 Fi&amp;Fo'!$F$34,'3.3 Fi&amp;Fo'!$I$34,IF(AB599&lt;='3.3 Fi&amp;Fo'!$F$35,'3.3 Fi&amp;Fo'!$I$35,IF(AB599&lt;='3.3 Fi&amp;Fo'!$F$38,'3.3 Fi&amp;Fo'!$I$38,IF(AB599&lt;='3.3 Fi&amp;Fo'!$F$39,'3.3 Fi&amp;Fo'!$I$39,IF(AB599&lt;='3.3 Fi&amp;Fo'!$F$40,'3.3 Fi&amp;Fo'!$I$40))))))</f>
        <v>0</v>
      </c>
      <c r="AI599" s="210">
        <f t="shared" si="462"/>
        <v>0</v>
      </c>
      <c r="AJ599" s="209">
        <f t="shared" si="412"/>
        <v>2524303.3362014662</v>
      </c>
      <c r="AK599" s="312">
        <f t="shared" ca="1" si="463"/>
        <v>0</v>
      </c>
      <c r="AL599" s="169">
        <f>IF(AB599&lt;='3.3 Fi&amp;Fo'!$J$15,'3.3 Fi&amp;Fo'!$I$15,0)</f>
        <v>0</v>
      </c>
      <c r="AM599" s="169">
        <f t="shared" si="425"/>
        <v>0</v>
      </c>
      <c r="AN599" s="838" t="str">
        <f t="shared" si="430"/>
        <v/>
      </c>
      <c r="AO599" s="844">
        <f t="shared" ca="1" si="413"/>
        <v>0</v>
      </c>
      <c r="AP599" s="839">
        <f ca="1">DH658</f>
        <v>0</v>
      </c>
      <c r="AQ599" s="844">
        <f t="shared" si="414"/>
        <v>0</v>
      </c>
      <c r="AR599" s="839" t="str">
        <f t="shared" si="431"/>
        <v/>
      </c>
      <c r="AS599" s="839">
        <f t="shared" si="426"/>
        <v>0</v>
      </c>
      <c r="AT599" s="839">
        <f t="shared" si="427"/>
        <v>0</v>
      </c>
      <c r="AU599" s="839">
        <f>'PV-Einspeisung'!AA191*-1</f>
        <v>0</v>
      </c>
      <c r="AV599" s="839">
        <f>'PV-Einspeisung'!AE191*-1</f>
        <v>0</v>
      </c>
      <c r="AW599" s="839"/>
      <c r="AX599" s="839" t="str">
        <f t="shared" si="432"/>
        <v/>
      </c>
      <c r="AY599" s="841" t="str">
        <f t="shared" si="415"/>
        <v/>
      </c>
      <c r="AZ599" s="842" t="str">
        <f t="shared" si="464"/>
        <v/>
      </c>
      <c r="BA599" s="842" t="str">
        <f t="shared" si="434"/>
        <v/>
      </c>
      <c r="BB599" s="842" t="str">
        <f t="shared" si="435"/>
        <v/>
      </c>
      <c r="BC599" s="842" t="str">
        <f t="shared" si="436"/>
        <v/>
      </c>
      <c r="BD599" s="842" t="str">
        <f t="shared" si="437"/>
        <v/>
      </c>
      <c r="BE599" s="842" t="str">
        <f t="shared" si="438"/>
        <v/>
      </c>
      <c r="BF599" s="842" t="str">
        <f t="shared" si="439"/>
        <v/>
      </c>
      <c r="BG599" s="842" t="str">
        <f t="shared" si="440"/>
        <v/>
      </c>
      <c r="BH599" s="858" t="str">
        <f t="shared" si="423"/>
        <v/>
      </c>
      <c r="BI599" s="857" t="str">
        <f t="shared" si="441"/>
        <v/>
      </c>
      <c r="BJ599" s="857" t="str">
        <f t="shared" si="442"/>
        <v/>
      </c>
      <c r="BK599" s="859">
        <f>'PV-Einspeisung'!AB191*-1</f>
        <v>0</v>
      </c>
      <c r="BL599" s="824">
        <f t="shared" si="457"/>
        <v>50</v>
      </c>
      <c r="BM599" s="824">
        <f t="shared" si="458"/>
        <v>0</v>
      </c>
      <c r="BN599" s="824">
        <f t="shared" si="459"/>
        <v>15134.4</v>
      </c>
      <c r="BO599" s="824">
        <f t="shared" si="461"/>
        <v>0</v>
      </c>
      <c r="BP599" s="824">
        <f t="shared" si="461"/>
        <v>0</v>
      </c>
      <c r="BQ599" s="824">
        <f t="shared" si="461"/>
        <v>0</v>
      </c>
      <c r="BR599" s="824">
        <f t="shared" si="461"/>
        <v>0</v>
      </c>
      <c r="BS599" s="824">
        <f t="shared" si="461"/>
        <v>0</v>
      </c>
      <c r="BT599" s="824">
        <f t="shared" si="461"/>
        <v>0</v>
      </c>
      <c r="BU599" s="824">
        <f t="shared" si="461"/>
        <v>0</v>
      </c>
      <c r="BV599" s="824">
        <f t="shared" si="461"/>
        <v>0</v>
      </c>
      <c r="BW599" s="824">
        <f t="shared" si="461"/>
        <v>0</v>
      </c>
      <c r="BX599" s="824">
        <f t="shared" si="461"/>
        <v>0</v>
      </c>
      <c r="BY599" s="824">
        <f t="shared" si="461"/>
        <v>0</v>
      </c>
      <c r="BZ599" s="824">
        <f t="shared" si="461"/>
        <v>0</v>
      </c>
      <c r="CA599" s="824">
        <f t="shared" si="461"/>
        <v>0</v>
      </c>
      <c r="CB599" s="824">
        <f t="shared" si="461"/>
        <v>0</v>
      </c>
      <c r="CC599" s="824">
        <f t="shared" si="461"/>
        <v>0</v>
      </c>
      <c r="CD599" s="824">
        <f t="shared" ref="CD599:CS614" si="465">IF(OR(IF($BL599*1&lt;$BL$196,$BL599*1=CD$198,FALSE),IF($BL599*2&lt;$BL$196,$BL599*2=CD$198,FALSE),IF($BL599*3&lt;$BL$196,$BL599*3=CD$198,FALSE),IF($BL599*4&lt;$BL$196,$BL599*4=CD$198,FALSE),IF($BL599*5&lt;$BL$196,$BL599*5=CD$198,FALSE)),$BN599*$BM$196^CD$198,0)</f>
        <v>0</v>
      </c>
      <c r="CE599" s="824">
        <f t="shared" si="465"/>
        <v>0</v>
      </c>
      <c r="CF599" s="824">
        <f t="shared" si="465"/>
        <v>0</v>
      </c>
      <c r="CG599" s="824">
        <f t="shared" si="465"/>
        <v>0</v>
      </c>
      <c r="CH599" s="824">
        <f t="shared" si="465"/>
        <v>0</v>
      </c>
      <c r="CI599" s="824">
        <f t="shared" si="465"/>
        <v>0</v>
      </c>
      <c r="CJ599" s="824">
        <f t="shared" si="465"/>
        <v>0</v>
      </c>
      <c r="CK599" s="824">
        <f t="shared" si="465"/>
        <v>0</v>
      </c>
      <c r="CL599" s="824">
        <f t="shared" si="465"/>
        <v>0</v>
      </c>
      <c r="CM599" s="824">
        <f t="shared" si="465"/>
        <v>0</v>
      </c>
      <c r="CN599" s="824">
        <f t="shared" si="465"/>
        <v>0</v>
      </c>
      <c r="CO599" s="824">
        <f t="shared" si="465"/>
        <v>0</v>
      </c>
      <c r="CP599" s="824">
        <f t="shared" si="465"/>
        <v>0</v>
      </c>
      <c r="CQ599" s="824">
        <f t="shared" si="465"/>
        <v>0</v>
      </c>
      <c r="CR599" s="824">
        <f t="shared" si="465"/>
        <v>0</v>
      </c>
      <c r="CS599" s="824">
        <f t="shared" si="465"/>
        <v>0</v>
      </c>
      <c r="CT599" s="824">
        <f t="shared" si="451"/>
        <v>0</v>
      </c>
      <c r="CU599" s="824">
        <f t="shared" si="451"/>
        <v>0</v>
      </c>
      <c r="CV599" s="824">
        <f t="shared" si="451"/>
        <v>0</v>
      </c>
      <c r="CW599" s="824">
        <f t="shared" si="451"/>
        <v>0</v>
      </c>
      <c r="CX599" s="824">
        <f t="shared" si="451"/>
        <v>0</v>
      </c>
      <c r="CY599" s="824">
        <f t="shared" si="451"/>
        <v>0</v>
      </c>
      <c r="CZ599" s="824">
        <f t="shared" si="451"/>
        <v>0</v>
      </c>
      <c r="DA599" s="824">
        <f t="shared" si="451"/>
        <v>0</v>
      </c>
      <c r="DB599" s="824">
        <f t="shared" si="451"/>
        <v>0</v>
      </c>
      <c r="DC599" s="824">
        <f t="shared" si="451"/>
        <v>0</v>
      </c>
      <c r="DD599" s="824">
        <f t="shared" si="451"/>
        <v>0</v>
      </c>
      <c r="DE599" s="824">
        <f t="shared" si="451"/>
        <v>0</v>
      </c>
      <c r="DF599" s="824">
        <f t="shared" si="451"/>
        <v>0</v>
      </c>
      <c r="DG599" s="824">
        <f t="shared" si="454"/>
        <v>0</v>
      </c>
      <c r="DH599" s="824">
        <f t="shared" si="454"/>
        <v>0</v>
      </c>
      <c r="DI599" s="824">
        <f t="shared" si="454"/>
        <v>0</v>
      </c>
      <c r="DJ599" s="824">
        <f t="shared" si="454"/>
        <v>0</v>
      </c>
      <c r="DK599" s="824">
        <f t="shared" si="454"/>
        <v>0</v>
      </c>
      <c r="DL599" s="824">
        <f t="shared" si="454"/>
        <v>0</v>
      </c>
    </row>
    <row r="600" spans="2:116" ht="12" thickBot="1" x14ac:dyDescent="0.3">
      <c r="B600" s="1673"/>
      <c r="C600" s="1680"/>
      <c r="D600" s="15" t="s">
        <v>44</v>
      </c>
      <c r="E600" s="165"/>
      <c r="F600" s="116">
        <f ca="1">SUBTOTAL(109,'3.3 I&amp;W'!$X$132)</f>
        <v>0</v>
      </c>
      <c r="G600" s="116">
        <f ca="1">SUBTOTAL(109,'3.3 I&amp;W'!$Y$132)</f>
        <v>0</v>
      </c>
      <c r="H600" s="116">
        <f ca="1">SUBTOTAL(109,'3.3 I&amp;W'!$AD$132)</f>
        <v>0</v>
      </c>
      <c r="I600" s="116">
        <f ca="1">SUBTOTAL(109,'3.3 I&amp;W'!$AE$132)</f>
        <v>0</v>
      </c>
      <c r="J600" s="116"/>
      <c r="K600" s="116"/>
      <c r="L600" s="116"/>
      <c r="M600" s="116">
        <f ca="1">SUBTOTAL(109,'3.3 I&amp;W'!$AI$132)</f>
        <v>0</v>
      </c>
      <c r="N600" s="156">
        <f t="shared" ca="1" si="404"/>
        <v>0</v>
      </c>
      <c r="O600" s="116">
        <f ca="1">SUBTOTAL(109,'3.3 I&amp;W'!$S$132)</f>
        <v>0</v>
      </c>
      <c r="P600" s="30">
        <f t="shared" ca="1" si="445"/>
        <v>0</v>
      </c>
      <c r="Q600" s="31">
        <f t="shared" ca="1" si="446"/>
        <v>0</v>
      </c>
      <c r="R600" s="31">
        <f t="shared" ca="1" si="447"/>
        <v>0</v>
      </c>
      <c r="S600" s="31">
        <f t="shared" ca="1" si="448"/>
        <v>0</v>
      </c>
      <c r="T600" s="32">
        <f t="shared" ca="1" si="449"/>
        <v>0</v>
      </c>
      <c r="U600" s="37">
        <f t="shared" ca="1" si="405"/>
        <v>0</v>
      </c>
      <c r="V600" s="40">
        <f t="shared" ca="1" si="455"/>
        <v>0</v>
      </c>
      <c r="W600" s="41">
        <f t="shared" ca="1" si="456"/>
        <v>0</v>
      </c>
      <c r="X600" s="43"/>
      <c r="Y600" s="46"/>
      <c r="Z600" s="126"/>
      <c r="AA600" s="136"/>
      <c r="AB600" s="83">
        <v>47</v>
      </c>
      <c r="AC600" s="84">
        <f ca="1">IF(AF599&lt;=1,0,'3.3 Fi&amp;Fo'!$I$25)</f>
        <v>0</v>
      </c>
      <c r="AD600" s="72">
        <f ca="1">IF(AF599&lt;=1,0,AF599*'3.3 Fi&amp;Fo'!$H$25)</f>
        <v>0</v>
      </c>
      <c r="AE600" s="78">
        <f t="shared" ca="1" si="409"/>
        <v>0</v>
      </c>
      <c r="AF600" s="85">
        <f t="shared" ca="1" si="410"/>
        <v>9.4587448984384537E-11</v>
      </c>
      <c r="AG600" s="168" t="b">
        <f>IF(AJ599&lt;=1,0,IF(AB600&lt;='3.3 Fi&amp;Fo'!$F$34,'3.3 Fi&amp;Fo'!$J$34,IF(AB600&lt;='3.3 Fi&amp;Fo'!$F$35,'3.3 Fi&amp;Fo'!$J$35,IF(AB600&lt;='3.3 Fi&amp;Fo'!$F$36,'3.3 Fi&amp;Fo'!$J$36,IF(AB600&lt;='3.3 Fi&amp;Fo'!$F$37,'3.3 Fi&amp;Fo'!$J$37,IF(AB600&lt;='3.3 Fi&amp;Fo'!$F$38,'3.3 Fi&amp;Fo'!$J$38,IF(AB600&lt;='3.3 Fi&amp;Fo'!$F$39,'3.3 Fi&amp;Fo'!$J$39,IF(AB600&lt;='3.3 Fi&amp;Fo'!$F$40,'3.3 Fi&amp;Fo'!$J$40))))))))</f>
        <v>0</v>
      </c>
      <c r="AH600" s="207">
        <f>IF(AJ599&lt;=1,0,AJ599*IF(AB600&lt;='3.3 Fi&amp;Fo'!$F$34,'3.3 Fi&amp;Fo'!$I$34,IF(AB600&lt;='3.3 Fi&amp;Fo'!$F$35,'3.3 Fi&amp;Fo'!$I$35,IF(AB600&lt;='3.3 Fi&amp;Fo'!$F$38,'3.3 Fi&amp;Fo'!$I$38,IF(AB600&lt;='3.3 Fi&amp;Fo'!$F$39,'3.3 Fi&amp;Fo'!$I$39,IF(AB600&lt;='3.3 Fi&amp;Fo'!$F$40,'3.3 Fi&amp;Fo'!$I$40))))))</f>
        <v>0</v>
      </c>
      <c r="AI600" s="210">
        <f t="shared" si="462"/>
        <v>0</v>
      </c>
      <c r="AJ600" s="209">
        <f t="shared" si="412"/>
        <v>2524303.3362014662</v>
      </c>
      <c r="AK600" s="312">
        <f t="shared" ca="1" si="463"/>
        <v>0</v>
      </c>
      <c r="AL600" s="169">
        <f>IF(AB600&lt;='3.3 Fi&amp;Fo'!$J$15,'3.3 Fi&amp;Fo'!$I$15,0)</f>
        <v>0</v>
      </c>
      <c r="AM600" s="169">
        <f t="shared" si="425"/>
        <v>0</v>
      </c>
      <c r="AN600" s="838" t="str">
        <f t="shared" si="430"/>
        <v/>
      </c>
      <c r="AO600" s="844">
        <f t="shared" ca="1" si="413"/>
        <v>0</v>
      </c>
      <c r="AP600" s="839">
        <f ca="1">DI658</f>
        <v>0</v>
      </c>
      <c r="AQ600" s="844">
        <f t="shared" si="414"/>
        <v>0</v>
      </c>
      <c r="AR600" s="839" t="str">
        <f t="shared" si="431"/>
        <v/>
      </c>
      <c r="AS600" s="839">
        <f t="shared" si="426"/>
        <v>0</v>
      </c>
      <c r="AT600" s="839">
        <f t="shared" si="427"/>
        <v>0</v>
      </c>
      <c r="AU600" s="839">
        <f>'PV-Einspeisung'!AA192*-1</f>
        <v>0</v>
      </c>
      <c r="AV600" s="839">
        <f>'PV-Einspeisung'!AE192*-1</f>
        <v>0</v>
      </c>
      <c r="AW600" s="839"/>
      <c r="AX600" s="839" t="str">
        <f t="shared" si="432"/>
        <v/>
      </c>
      <c r="AY600" s="841" t="str">
        <f t="shared" si="415"/>
        <v/>
      </c>
      <c r="AZ600" s="842" t="str">
        <f t="shared" si="464"/>
        <v/>
      </c>
      <c r="BA600" s="842" t="str">
        <f t="shared" si="434"/>
        <v/>
      </c>
      <c r="BB600" s="842" t="str">
        <f t="shared" si="435"/>
        <v/>
      </c>
      <c r="BC600" s="842" t="str">
        <f t="shared" si="436"/>
        <v/>
      </c>
      <c r="BD600" s="842" t="str">
        <f t="shared" si="437"/>
        <v/>
      </c>
      <c r="BE600" s="842" t="str">
        <f t="shared" si="438"/>
        <v/>
      </c>
      <c r="BF600" s="842" t="str">
        <f t="shared" si="439"/>
        <v/>
      </c>
      <c r="BG600" s="842" t="str">
        <f t="shared" si="440"/>
        <v/>
      </c>
      <c r="BH600" s="858" t="str">
        <f t="shared" si="423"/>
        <v/>
      </c>
      <c r="BI600" s="857" t="str">
        <f t="shared" si="441"/>
        <v/>
      </c>
      <c r="BJ600" s="857" t="str">
        <f t="shared" si="442"/>
        <v/>
      </c>
      <c r="BK600" s="859">
        <f>'PV-Einspeisung'!AB192*-1</f>
        <v>0</v>
      </c>
      <c r="BL600" s="824">
        <f t="shared" ca="1" si="457"/>
        <v>0</v>
      </c>
      <c r="BM600" s="824">
        <f t="shared" ca="1" si="458"/>
        <v>0</v>
      </c>
      <c r="BN600" s="824">
        <f t="shared" ca="1" si="459"/>
        <v>0</v>
      </c>
      <c r="BO600" s="824">
        <f t="shared" ref="BO600:CD615" ca="1" si="466">IF(OR(IF($BL600*1&lt;$BL$196,$BL600*1=BO$198,FALSE),IF($BL600*2&lt;$BL$196,$BL600*2=BO$198,FALSE),IF($BL600*3&lt;$BL$196,$BL600*3=BO$198,FALSE),IF($BL600*4&lt;$BL$196,$BL600*4=BO$198,FALSE),IF($BL600*5&lt;$BL$196,$BL600*5=BO$198,FALSE)),$BN600*$BM$196^BO$198,0)</f>
        <v>0</v>
      </c>
      <c r="BP600" s="824">
        <f t="shared" ca="1" si="466"/>
        <v>0</v>
      </c>
      <c r="BQ600" s="824">
        <f t="shared" ca="1" si="466"/>
        <v>0</v>
      </c>
      <c r="BR600" s="824">
        <f t="shared" ca="1" si="466"/>
        <v>0</v>
      </c>
      <c r="BS600" s="824">
        <f t="shared" ca="1" si="466"/>
        <v>0</v>
      </c>
      <c r="BT600" s="824">
        <f t="shared" ca="1" si="466"/>
        <v>0</v>
      </c>
      <c r="BU600" s="824">
        <f t="shared" ca="1" si="466"/>
        <v>0</v>
      </c>
      <c r="BV600" s="824">
        <f t="shared" ca="1" si="466"/>
        <v>0</v>
      </c>
      <c r="BW600" s="824">
        <f t="shared" ca="1" si="466"/>
        <v>0</v>
      </c>
      <c r="BX600" s="824">
        <f t="shared" ca="1" si="466"/>
        <v>0</v>
      </c>
      <c r="BY600" s="824">
        <f t="shared" ca="1" si="466"/>
        <v>0</v>
      </c>
      <c r="BZ600" s="824">
        <f t="shared" ca="1" si="466"/>
        <v>0</v>
      </c>
      <c r="CA600" s="824">
        <f t="shared" ca="1" si="466"/>
        <v>0</v>
      </c>
      <c r="CB600" s="824">
        <f t="shared" ca="1" si="466"/>
        <v>0</v>
      </c>
      <c r="CC600" s="824">
        <f t="shared" ca="1" si="466"/>
        <v>0</v>
      </c>
      <c r="CD600" s="824">
        <f t="shared" ca="1" si="466"/>
        <v>0</v>
      </c>
      <c r="CE600" s="824">
        <f t="shared" ca="1" si="465"/>
        <v>0</v>
      </c>
      <c r="CF600" s="824">
        <f t="shared" ca="1" si="465"/>
        <v>0</v>
      </c>
      <c r="CG600" s="824">
        <f t="shared" ca="1" si="465"/>
        <v>0</v>
      </c>
      <c r="CH600" s="824">
        <f t="shared" ca="1" si="465"/>
        <v>0</v>
      </c>
      <c r="CI600" s="824">
        <f t="shared" ca="1" si="465"/>
        <v>0</v>
      </c>
      <c r="CJ600" s="824">
        <f t="shared" ca="1" si="465"/>
        <v>0</v>
      </c>
      <c r="CK600" s="824">
        <f t="shared" ca="1" si="465"/>
        <v>0</v>
      </c>
      <c r="CL600" s="824">
        <f t="shared" ca="1" si="465"/>
        <v>0</v>
      </c>
      <c r="CM600" s="824">
        <f t="shared" ca="1" si="465"/>
        <v>0</v>
      </c>
      <c r="CN600" s="824">
        <f t="shared" ca="1" si="465"/>
        <v>0</v>
      </c>
      <c r="CO600" s="824">
        <f t="shared" ca="1" si="465"/>
        <v>0</v>
      </c>
      <c r="CP600" s="824">
        <f t="shared" ca="1" si="465"/>
        <v>0</v>
      </c>
      <c r="CQ600" s="824">
        <f t="shared" ca="1" si="465"/>
        <v>0</v>
      </c>
      <c r="CR600" s="824">
        <f t="shared" ca="1" si="465"/>
        <v>0</v>
      </c>
      <c r="CS600" s="824">
        <f t="shared" ca="1" si="465"/>
        <v>0</v>
      </c>
      <c r="CT600" s="824">
        <f t="shared" ca="1" si="451"/>
        <v>0</v>
      </c>
      <c r="CU600" s="824">
        <f t="shared" ca="1" si="451"/>
        <v>0</v>
      </c>
      <c r="CV600" s="824">
        <f t="shared" ca="1" si="451"/>
        <v>0</v>
      </c>
      <c r="CW600" s="824">
        <f t="shared" ca="1" si="451"/>
        <v>0</v>
      </c>
      <c r="CX600" s="824">
        <f t="shared" ca="1" si="451"/>
        <v>0</v>
      </c>
      <c r="CY600" s="824">
        <f t="shared" ca="1" si="451"/>
        <v>0</v>
      </c>
      <c r="CZ600" s="824">
        <f t="shared" ca="1" si="451"/>
        <v>0</v>
      </c>
      <c r="DA600" s="824">
        <f t="shared" ca="1" si="451"/>
        <v>0</v>
      </c>
      <c r="DB600" s="824">
        <f t="shared" ref="DB600:DI600" ca="1" si="467">IF(OR(IF($BL600*1&lt;$BL$196,$BL600*1=DB$198,FALSE),IF($BL600*2&lt;$BL$196,$BL600*2=DB$198,FALSE),IF($BL600*3&lt;$BL$196,$BL600*3=DB$198,FALSE),IF($BL600*4&lt;$BL$196,$BL600*4=DB$198,FALSE),IF($BL600*5&lt;$BL$196,$BL600*5=DB$198,FALSE)),$BN600*$BM$196^DB$198,0)</f>
        <v>0</v>
      </c>
      <c r="DC600" s="824">
        <f t="shared" ca="1" si="467"/>
        <v>0</v>
      </c>
      <c r="DD600" s="824">
        <f t="shared" ca="1" si="467"/>
        <v>0</v>
      </c>
      <c r="DE600" s="824">
        <f t="shared" ca="1" si="467"/>
        <v>0</v>
      </c>
      <c r="DF600" s="824">
        <f t="shared" ca="1" si="467"/>
        <v>0</v>
      </c>
      <c r="DG600" s="824">
        <f t="shared" ca="1" si="467"/>
        <v>0</v>
      </c>
      <c r="DH600" s="824">
        <f t="shared" ca="1" si="467"/>
        <v>0</v>
      </c>
      <c r="DI600" s="824">
        <f t="shared" ca="1" si="467"/>
        <v>0</v>
      </c>
      <c r="DJ600" s="824">
        <f t="shared" ca="1" si="454"/>
        <v>0</v>
      </c>
      <c r="DK600" s="824">
        <f t="shared" ca="1" si="454"/>
        <v>0</v>
      </c>
      <c r="DL600" s="824">
        <f t="shared" ca="1" si="454"/>
        <v>0</v>
      </c>
    </row>
    <row r="601" spans="2:116" ht="12" thickBot="1" x14ac:dyDescent="0.3">
      <c r="B601" s="1673"/>
      <c r="C601" s="1680"/>
      <c r="D601" s="15" t="s">
        <v>44</v>
      </c>
      <c r="E601" s="116"/>
      <c r="F601" s="116">
        <f ca="1">SUBTOTAL(109,'3.3 I&amp;W'!$X$133)</f>
        <v>0</v>
      </c>
      <c r="G601" s="116">
        <f ca="1">SUBTOTAL(109,'3.3 I&amp;W'!$Y$133)</f>
        <v>0</v>
      </c>
      <c r="H601" s="116">
        <f ca="1">SUBTOTAL(109,'3.3 I&amp;W'!$AD$133)</f>
        <v>0</v>
      </c>
      <c r="I601" s="116">
        <f ca="1">SUBTOTAL(109,'3.3 I&amp;W'!$AE$133)</f>
        <v>0</v>
      </c>
      <c r="J601" s="116"/>
      <c r="K601" s="116"/>
      <c r="L601" s="116"/>
      <c r="M601" s="116">
        <f ca="1">SUBTOTAL(109,'3.3 I&amp;W'!$AI$133)</f>
        <v>0</v>
      </c>
      <c r="N601" s="156">
        <f t="shared" ca="1" si="404"/>
        <v>0</v>
      </c>
      <c r="O601" s="116">
        <f ca="1">SUBTOTAL(109,'3.3 I&amp;W'!$S$133)</f>
        <v>0</v>
      </c>
      <c r="P601" s="30">
        <f t="shared" ca="1" si="445"/>
        <v>0</v>
      </c>
      <c r="Q601" s="31">
        <f t="shared" ca="1" si="446"/>
        <v>0</v>
      </c>
      <c r="R601" s="31">
        <f t="shared" ca="1" si="447"/>
        <v>0</v>
      </c>
      <c r="S601" s="31">
        <f t="shared" ca="1" si="448"/>
        <v>0</v>
      </c>
      <c r="T601" s="32">
        <f t="shared" ca="1" si="449"/>
        <v>0</v>
      </c>
      <c r="U601" s="37">
        <f t="shared" ca="1" si="405"/>
        <v>0</v>
      </c>
      <c r="V601" s="40">
        <f t="shared" ca="1" si="455"/>
        <v>0</v>
      </c>
      <c r="W601" s="41">
        <f t="shared" ca="1" si="456"/>
        <v>0</v>
      </c>
      <c r="X601" s="43"/>
      <c r="Y601" s="46"/>
      <c r="Z601" s="126"/>
      <c r="AA601" s="136"/>
      <c r="AB601" s="83">
        <v>48</v>
      </c>
      <c r="AC601" s="84">
        <f ca="1">IF(AF600&lt;=1,0,'3.3 Fi&amp;Fo'!$I$25)</f>
        <v>0</v>
      </c>
      <c r="AD601" s="72">
        <f ca="1">IF(AF600&lt;=1,0,AF600*'3.3 Fi&amp;Fo'!$H$25)</f>
        <v>0</v>
      </c>
      <c r="AE601" s="78">
        <f t="shared" ca="1" si="409"/>
        <v>0</v>
      </c>
      <c r="AF601" s="85">
        <f t="shared" ca="1" si="410"/>
        <v>9.4587448984384537E-11</v>
      </c>
      <c r="AG601" s="168" t="b">
        <f>IF(AJ600&lt;=1,0,IF(AB601&lt;='3.3 Fi&amp;Fo'!$F$34,'3.3 Fi&amp;Fo'!$J$34,IF(AB601&lt;='3.3 Fi&amp;Fo'!$F$35,'3.3 Fi&amp;Fo'!$J$35,IF(AB601&lt;='3.3 Fi&amp;Fo'!$F$36,'3.3 Fi&amp;Fo'!$J$36,IF(AB601&lt;='3.3 Fi&amp;Fo'!$F$37,'3.3 Fi&amp;Fo'!$J$37,IF(AB601&lt;='3.3 Fi&amp;Fo'!$F$38,'3.3 Fi&amp;Fo'!$J$38,IF(AB601&lt;='3.3 Fi&amp;Fo'!$F$39,'3.3 Fi&amp;Fo'!$J$39,IF(AB601&lt;='3.3 Fi&amp;Fo'!$F$40,'3.3 Fi&amp;Fo'!$J$40))))))))</f>
        <v>0</v>
      </c>
      <c r="AH601" s="207">
        <f>IF(AJ600&lt;=1,0,AJ600*IF(AB601&lt;='3.3 Fi&amp;Fo'!$F$34,'3.3 Fi&amp;Fo'!$I$34,IF(AB601&lt;='3.3 Fi&amp;Fo'!$F$35,'3.3 Fi&amp;Fo'!$I$35,IF(AB601&lt;='3.3 Fi&amp;Fo'!$F$38,'3.3 Fi&amp;Fo'!$I$38,IF(AB601&lt;='3.3 Fi&amp;Fo'!$F$39,'3.3 Fi&amp;Fo'!$I$39,IF(AB601&lt;='3.3 Fi&amp;Fo'!$F$40,'3.3 Fi&amp;Fo'!$I$40))))))</f>
        <v>0</v>
      </c>
      <c r="AI601" s="210">
        <f t="shared" si="462"/>
        <v>0</v>
      </c>
      <c r="AJ601" s="209">
        <f t="shared" si="412"/>
        <v>2524303.3362014662</v>
      </c>
      <c r="AK601" s="312">
        <f t="shared" ca="1" si="463"/>
        <v>0</v>
      </c>
      <c r="AL601" s="169">
        <f>IF(AB601&lt;='3.3 Fi&amp;Fo'!$J$15,'3.3 Fi&amp;Fo'!$I$15,0)</f>
        <v>0</v>
      </c>
      <c r="AM601" s="169">
        <f t="shared" si="425"/>
        <v>0</v>
      </c>
      <c r="AN601" s="838" t="str">
        <f t="shared" si="430"/>
        <v/>
      </c>
      <c r="AO601" s="844">
        <f t="shared" ca="1" si="413"/>
        <v>0</v>
      </c>
      <c r="AP601" s="839">
        <f ca="1">DJ658</f>
        <v>0</v>
      </c>
      <c r="AQ601" s="844">
        <f t="shared" si="414"/>
        <v>0</v>
      </c>
      <c r="AR601" s="839" t="str">
        <f t="shared" si="431"/>
        <v/>
      </c>
      <c r="AS601" s="839">
        <f t="shared" si="426"/>
        <v>0</v>
      </c>
      <c r="AT601" s="839">
        <f t="shared" si="427"/>
        <v>0</v>
      </c>
      <c r="AU601" s="839">
        <f>'PV-Einspeisung'!AA193*-1</f>
        <v>0</v>
      </c>
      <c r="AV601" s="839">
        <f>'PV-Einspeisung'!AE193*-1</f>
        <v>0</v>
      </c>
      <c r="AW601" s="839"/>
      <c r="AX601" s="839" t="str">
        <f t="shared" si="432"/>
        <v/>
      </c>
      <c r="AY601" s="841" t="str">
        <f t="shared" si="415"/>
        <v/>
      </c>
      <c r="AZ601" s="842" t="str">
        <f t="shared" si="464"/>
        <v/>
      </c>
      <c r="BA601" s="842" t="str">
        <f t="shared" si="434"/>
        <v/>
      </c>
      <c r="BB601" s="842" t="str">
        <f t="shared" si="435"/>
        <v/>
      </c>
      <c r="BC601" s="842" t="str">
        <f t="shared" si="436"/>
        <v/>
      </c>
      <c r="BD601" s="842" t="str">
        <f t="shared" si="437"/>
        <v/>
      </c>
      <c r="BE601" s="842" t="str">
        <f t="shared" si="438"/>
        <v/>
      </c>
      <c r="BF601" s="842" t="str">
        <f t="shared" si="439"/>
        <v/>
      </c>
      <c r="BG601" s="842" t="str">
        <f t="shared" si="440"/>
        <v/>
      </c>
      <c r="BH601" s="858" t="str">
        <f t="shared" si="423"/>
        <v/>
      </c>
      <c r="BI601" s="857" t="str">
        <f t="shared" si="441"/>
        <v/>
      </c>
      <c r="BJ601" s="857" t="str">
        <f t="shared" si="442"/>
        <v/>
      </c>
      <c r="BK601" s="859">
        <f>'PV-Einspeisung'!AB193*-1</f>
        <v>0</v>
      </c>
      <c r="BL601" s="824">
        <f t="shared" ca="1" si="457"/>
        <v>0</v>
      </c>
      <c r="BM601" s="824">
        <f t="shared" ca="1" si="458"/>
        <v>0</v>
      </c>
      <c r="BN601" s="824">
        <f t="shared" ca="1" si="459"/>
        <v>0</v>
      </c>
      <c r="BO601" s="824">
        <f t="shared" ca="1" si="466"/>
        <v>0</v>
      </c>
      <c r="BP601" s="824">
        <f t="shared" ca="1" si="466"/>
        <v>0</v>
      </c>
      <c r="BQ601" s="824">
        <f t="shared" ca="1" si="466"/>
        <v>0</v>
      </c>
      <c r="BR601" s="824">
        <f t="shared" ca="1" si="466"/>
        <v>0</v>
      </c>
      <c r="BS601" s="824">
        <f t="shared" ca="1" si="466"/>
        <v>0</v>
      </c>
      <c r="BT601" s="824">
        <f t="shared" ca="1" si="466"/>
        <v>0</v>
      </c>
      <c r="BU601" s="824">
        <f t="shared" ca="1" si="466"/>
        <v>0</v>
      </c>
      <c r="BV601" s="824">
        <f t="shared" ca="1" si="466"/>
        <v>0</v>
      </c>
      <c r="BW601" s="824">
        <f t="shared" ca="1" si="466"/>
        <v>0</v>
      </c>
      <c r="BX601" s="824">
        <f t="shared" ca="1" si="466"/>
        <v>0</v>
      </c>
      <c r="BY601" s="824">
        <f t="shared" ca="1" si="466"/>
        <v>0</v>
      </c>
      <c r="BZ601" s="824">
        <f t="shared" ca="1" si="466"/>
        <v>0</v>
      </c>
      <c r="CA601" s="824">
        <f t="shared" ca="1" si="466"/>
        <v>0</v>
      </c>
      <c r="CB601" s="824">
        <f t="shared" ca="1" si="466"/>
        <v>0</v>
      </c>
      <c r="CC601" s="824">
        <f t="shared" ca="1" si="466"/>
        <v>0</v>
      </c>
      <c r="CD601" s="824">
        <f t="shared" ca="1" si="466"/>
        <v>0</v>
      </c>
      <c r="CE601" s="824">
        <f t="shared" ca="1" si="465"/>
        <v>0</v>
      </c>
      <c r="CF601" s="824">
        <f t="shared" ca="1" si="465"/>
        <v>0</v>
      </c>
      <c r="CG601" s="824">
        <f t="shared" ca="1" si="465"/>
        <v>0</v>
      </c>
      <c r="CH601" s="824">
        <f t="shared" ca="1" si="465"/>
        <v>0</v>
      </c>
      <c r="CI601" s="824">
        <f t="shared" ca="1" si="465"/>
        <v>0</v>
      </c>
      <c r="CJ601" s="824">
        <f t="shared" ca="1" si="465"/>
        <v>0</v>
      </c>
      <c r="CK601" s="824">
        <f t="shared" ca="1" si="465"/>
        <v>0</v>
      </c>
      <c r="CL601" s="824">
        <f t="shared" ca="1" si="465"/>
        <v>0</v>
      </c>
      <c r="CM601" s="824">
        <f t="shared" ca="1" si="465"/>
        <v>0</v>
      </c>
      <c r="CN601" s="824">
        <f t="shared" ca="1" si="465"/>
        <v>0</v>
      </c>
      <c r="CO601" s="824">
        <f t="shared" ca="1" si="465"/>
        <v>0</v>
      </c>
      <c r="CP601" s="824">
        <f t="shared" ca="1" si="465"/>
        <v>0</v>
      </c>
      <c r="CQ601" s="824">
        <f t="shared" ca="1" si="465"/>
        <v>0</v>
      </c>
      <c r="CR601" s="824">
        <f t="shared" ca="1" si="465"/>
        <v>0</v>
      </c>
      <c r="CS601" s="824">
        <f t="shared" ca="1" si="465"/>
        <v>0</v>
      </c>
      <c r="CT601" s="824">
        <f t="shared" ref="CT601:DI616" ca="1" si="468">IF(OR(IF($BL601*1&lt;$BL$196,$BL601*1=CT$198,FALSE),IF($BL601*2&lt;$BL$196,$BL601*2=CT$198,FALSE),IF($BL601*3&lt;$BL$196,$BL601*3=CT$198,FALSE),IF($BL601*4&lt;$BL$196,$BL601*4=CT$198,FALSE),IF($BL601*5&lt;$BL$196,$BL601*5=CT$198,FALSE)),$BN601*$BM$196^CT$198,0)</f>
        <v>0</v>
      </c>
      <c r="CU601" s="824">
        <f t="shared" ca="1" si="468"/>
        <v>0</v>
      </c>
      <c r="CV601" s="824">
        <f t="shared" ca="1" si="468"/>
        <v>0</v>
      </c>
      <c r="CW601" s="824">
        <f t="shared" ca="1" si="468"/>
        <v>0</v>
      </c>
      <c r="CX601" s="824">
        <f t="shared" ca="1" si="468"/>
        <v>0</v>
      </c>
      <c r="CY601" s="824">
        <f t="shared" ca="1" si="468"/>
        <v>0</v>
      </c>
      <c r="CZ601" s="824">
        <f t="shared" ca="1" si="468"/>
        <v>0</v>
      </c>
      <c r="DA601" s="824">
        <f t="shared" ca="1" si="468"/>
        <v>0</v>
      </c>
      <c r="DB601" s="824">
        <f t="shared" ca="1" si="468"/>
        <v>0</v>
      </c>
      <c r="DC601" s="824">
        <f t="shared" ca="1" si="468"/>
        <v>0</v>
      </c>
      <c r="DD601" s="824">
        <f t="shared" ca="1" si="468"/>
        <v>0</v>
      </c>
      <c r="DE601" s="824">
        <f t="shared" ca="1" si="468"/>
        <v>0</v>
      </c>
      <c r="DF601" s="824">
        <f t="shared" ca="1" si="468"/>
        <v>0</v>
      </c>
      <c r="DG601" s="824">
        <f t="shared" ca="1" si="468"/>
        <v>0</v>
      </c>
      <c r="DH601" s="824">
        <f t="shared" ca="1" si="468"/>
        <v>0</v>
      </c>
      <c r="DI601" s="824">
        <f t="shared" ca="1" si="468"/>
        <v>0</v>
      </c>
      <c r="DJ601" s="824">
        <f t="shared" ca="1" si="454"/>
        <v>0</v>
      </c>
      <c r="DK601" s="824">
        <f t="shared" ca="1" si="454"/>
        <v>0</v>
      </c>
      <c r="DL601" s="824">
        <f t="shared" ca="1" si="454"/>
        <v>0</v>
      </c>
    </row>
    <row r="602" spans="2:116" ht="12" thickBot="1" x14ac:dyDescent="0.3">
      <c r="B602" s="1673"/>
      <c r="C602" s="1680"/>
      <c r="D602" s="15" t="s">
        <v>42</v>
      </c>
      <c r="E602" s="165"/>
      <c r="F602" s="116">
        <f ca="1">SUBTOTAL(109,'3.3 I&amp;W'!$X$135)</f>
        <v>0</v>
      </c>
      <c r="G602" s="116">
        <f ca="1">SUBTOTAL(109,'3.3 I&amp;W'!$Y$135)</f>
        <v>0</v>
      </c>
      <c r="H602" s="116">
        <f ca="1">SUBTOTAL(109,'3.3 I&amp;W'!$AD$135)</f>
        <v>0</v>
      </c>
      <c r="I602" s="116">
        <f ca="1">SUBTOTAL(109,'3.3 I&amp;W'!$AE$135)</f>
        <v>0</v>
      </c>
      <c r="J602" s="116"/>
      <c r="K602" s="116"/>
      <c r="L602" s="116"/>
      <c r="M602" s="116">
        <f ca="1">SUBTOTAL(109,'3.3 I&amp;W'!$AI$135)</f>
        <v>50</v>
      </c>
      <c r="N602" s="156">
        <f t="shared" ca="1" si="404"/>
        <v>0</v>
      </c>
      <c r="O602" s="116">
        <f ca="1">SUBTOTAL(109,'3.3 I&amp;W'!$S$135)</f>
        <v>21526.475999999999</v>
      </c>
      <c r="P602" s="30">
        <f t="shared" ca="1" si="445"/>
        <v>0</v>
      </c>
      <c r="Q602" s="31">
        <f t="shared" ca="1" si="446"/>
        <v>0</v>
      </c>
      <c r="R602" s="31">
        <f t="shared" ca="1" si="447"/>
        <v>0</v>
      </c>
      <c r="S602" s="31">
        <f t="shared" ca="1" si="448"/>
        <v>0</v>
      </c>
      <c r="T602" s="32">
        <f t="shared" ca="1" si="449"/>
        <v>0</v>
      </c>
      <c r="U602" s="37">
        <f t="shared" ca="1" si="405"/>
        <v>3229.1497254948576</v>
      </c>
      <c r="V602" s="40">
        <f t="shared" ca="1" si="455"/>
        <v>0</v>
      </c>
      <c r="W602" s="41">
        <f t="shared" ca="1" si="456"/>
        <v>0</v>
      </c>
      <c r="X602" s="43"/>
      <c r="Y602" s="46"/>
      <c r="Z602" s="126"/>
      <c r="AA602" s="136"/>
      <c r="AB602" s="83">
        <v>49</v>
      </c>
      <c r="AC602" s="84">
        <f ca="1">IF(AF601&lt;=1,0,'3.3 Fi&amp;Fo'!$I$25)</f>
        <v>0</v>
      </c>
      <c r="AD602" s="72">
        <f ca="1">IF(AF601&lt;=1,0,AF601*'3.3 Fi&amp;Fo'!$H$25)</f>
        <v>0</v>
      </c>
      <c r="AE602" s="78">
        <f t="shared" ca="1" si="409"/>
        <v>0</v>
      </c>
      <c r="AF602" s="85">
        <f t="shared" ca="1" si="410"/>
        <v>9.4587448984384537E-11</v>
      </c>
      <c r="AG602" s="168" t="b">
        <f>IF(AJ601&lt;=1,0,IF(AB602&lt;='3.3 Fi&amp;Fo'!$F$34,'3.3 Fi&amp;Fo'!$J$34,IF(AB602&lt;='3.3 Fi&amp;Fo'!$F$35,'3.3 Fi&amp;Fo'!$J$35,IF(AB602&lt;='3.3 Fi&amp;Fo'!$F$36,'3.3 Fi&amp;Fo'!$J$36,IF(AB602&lt;='3.3 Fi&amp;Fo'!$F$37,'3.3 Fi&amp;Fo'!$J$37,IF(AB602&lt;='3.3 Fi&amp;Fo'!$F$38,'3.3 Fi&amp;Fo'!$J$38,IF(AB602&lt;='3.3 Fi&amp;Fo'!$F$39,'3.3 Fi&amp;Fo'!$J$39,IF(AB602&lt;='3.3 Fi&amp;Fo'!$F$40,'3.3 Fi&amp;Fo'!$J$40))))))))</f>
        <v>0</v>
      </c>
      <c r="AH602" s="207">
        <f>IF(AJ601&lt;=1,0,AJ601*IF(AB602&lt;='3.3 Fi&amp;Fo'!$F$34,'3.3 Fi&amp;Fo'!$I$34,IF(AB602&lt;='3.3 Fi&amp;Fo'!$F$35,'3.3 Fi&amp;Fo'!$I$35,IF(AB602&lt;='3.3 Fi&amp;Fo'!$F$38,'3.3 Fi&amp;Fo'!$I$38,IF(AB602&lt;='3.3 Fi&amp;Fo'!$F$39,'3.3 Fi&amp;Fo'!$I$39,IF(AB602&lt;='3.3 Fi&amp;Fo'!$F$40,'3.3 Fi&amp;Fo'!$I$40))))))</f>
        <v>0</v>
      </c>
      <c r="AI602" s="210">
        <f t="shared" si="462"/>
        <v>0</v>
      </c>
      <c r="AJ602" s="209">
        <f t="shared" si="412"/>
        <v>2524303.3362014662</v>
      </c>
      <c r="AK602" s="312">
        <f t="shared" ca="1" si="463"/>
        <v>0</v>
      </c>
      <c r="AL602" s="169">
        <f>IF(AB602&lt;='3.3 Fi&amp;Fo'!$J$15,'3.3 Fi&amp;Fo'!$I$15,0)</f>
        <v>0</v>
      </c>
      <c r="AM602" s="169">
        <f t="shared" si="425"/>
        <v>0</v>
      </c>
      <c r="AN602" s="838" t="str">
        <f t="shared" si="430"/>
        <v/>
      </c>
      <c r="AO602" s="844">
        <f t="shared" ca="1" si="413"/>
        <v>0</v>
      </c>
      <c r="AP602" s="839">
        <f ca="1">DK658</f>
        <v>0</v>
      </c>
      <c r="AQ602" s="844">
        <f t="shared" si="414"/>
        <v>0</v>
      </c>
      <c r="AR602" s="839" t="str">
        <f t="shared" si="431"/>
        <v/>
      </c>
      <c r="AS602" s="839">
        <f t="shared" si="426"/>
        <v>0</v>
      </c>
      <c r="AT602" s="839">
        <f t="shared" si="427"/>
        <v>0</v>
      </c>
      <c r="AU602" s="839">
        <f>'PV-Einspeisung'!AA194*-1</f>
        <v>0</v>
      </c>
      <c r="AV602" s="839">
        <f>'PV-Einspeisung'!AE194*-1</f>
        <v>0</v>
      </c>
      <c r="AW602" s="839"/>
      <c r="AX602" s="839" t="str">
        <f t="shared" si="432"/>
        <v/>
      </c>
      <c r="AY602" s="841" t="str">
        <f t="shared" si="415"/>
        <v/>
      </c>
      <c r="AZ602" s="842" t="str">
        <f t="shared" si="464"/>
        <v/>
      </c>
      <c r="BA602" s="842" t="str">
        <f t="shared" si="434"/>
        <v/>
      </c>
      <c r="BB602" s="842" t="str">
        <f t="shared" si="435"/>
        <v/>
      </c>
      <c r="BC602" s="842" t="str">
        <f t="shared" si="436"/>
        <v/>
      </c>
      <c r="BD602" s="842" t="str">
        <f t="shared" si="437"/>
        <v/>
      </c>
      <c r="BE602" s="842" t="str">
        <f t="shared" si="438"/>
        <v/>
      </c>
      <c r="BF602" s="842" t="str">
        <f t="shared" si="439"/>
        <v/>
      </c>
      <c r="BG602" s="842" t="str">
        <f t="shared" si="440"/>
        <v/>
      </c>
      <c r="BH602" s="858" t="str">
        <f t="shared" si="423"/>
        <v/>
      </c>
      <c r="BI602" s="857" t="str">
        <f t="shared" si="441"/>
        <v/>
      </c>
      <c r="BJ602" s="857" t="str">
        <f t="shared" si="442"/>
        <v/>
      </c>
      <c r="BK602" s="859">
        <f>'PV-Einspeisung'!AB194*-1</f>
        <v>0</v>
      </c>
      <c r="BL602" s="824">
        <f t="shared" ca="1" si="457"/>
        <v>50</v>
      </c>
      <c r="BM602" s="824">
        <f t="shared" ca="1" si="458"/>
        <v>0</v>
      </c>
      <c r="BN602" s="824">
        <f t="shared" ca="1" si="459"/>
        <v>21526.475999999999</v>
      </c>
      <c r="BO602" s="824">
        <f t="shared" ca="1" si="466"/>
        <v>0</v>
      </c>
      <c r="BP602" s="824">
        <f t="shared" ca="1" si="466"/>
        <v>0</v>
      </c>
      <c r="BQ602" s="824">
        <f t="shared" ca="1" si="466"/>
        <v>0</v>
      </c>
      <c r="BR602" s="824">
        <f t="shared" ca="1" si="466"/>
        <v>0</v>
      </c>
      <c r="BS602" s="824">
        <f t="shared" ca="1" si="466"/>
        <v>0</v>
      </c>
      <c r="BT602" s="824">
        <f t="shared" ca="1" si="466"/>
        <v>0</v>
      </c>
      <c r="BU602" s="824">
        <f t="shared" ca="1" si="466"/>
        <v>0</v>
      </c>
      <c r="BV602" s="824">
        <f t="shared" ca="1" si="466"/>
        <v>0</v>
      </c>
      <c r="BW602" s="824">
        <f t="shared" ca="1" si="466"/>
        <v>0</v>
      </c>
      <c r="BX602" s="824">
        <f t="shared" ca="1" si="466"/>
        <v>0</v>
      </c>
      <c r="BY602" s="824">
        <f t="shared" ca="1" si="466"/>
        <v>0</v>
      </c>
      <c r="BZ602" s="824">
        <f t="shared" ca="1" si="466"/>
        <v>0</v>
      </c>
      <c r="CA602" s="824">
        <f t="shared" ca="1" si="466"/>
        <v>0</v>
      </c>
      <c r="CB602" s="824">
        <f t="shared" ca="1" si="466"/>
        <v>0</v>
      </c>
      <c r="CC602" s="824">
        <f t="shared" ca="1" si="466"/>
        <v>0</v>
      </c>
      <c r="CD602" s="824">
        <f t="shared" ca="1" si="466"/>
        <v>0</v>
      </c>
      <c r="CE602" s="824">
        <f t="shared" ca="1" si="465"/>
        <v>0</v>
      </c>
      <c r="CF602" s="824">
        <f t="shared" ca="1" si="465"/>
        <v>0</v>
      </c>
      <c r="CG602" s="824">
        <f t="shared" ca="1" si="465"/>
        <v>0</v>
      </c>
      <c r="CH602" s="824">
        <f t="shared" ca="1" si="465"/>
        <v>0</v>
      </c>
      <c r="CI602" s="824">
        <f t="shared" ca="1" si="465"/>
        <v>0</v>
      </c>
      <c r="CJ602" s="824">
        <f t="shared" ca="1" si="465"/>
        <v>0</v>
      </c>
      <c r="CK602" s="824">
        <f t="shared" ca="1" si="465"/>
        <v>0</v>
      </c>
      <c r="CL602" s="824">
        <f t="shared" ca="1" si="465"/>
        <v>0</v>
      </c>
      <c r="CM602" s="824">
        <f t="shared" ca="1" si="465"/>
        <v>0</v>
      </c>
      <c r="CN602" s="824">
        <f t="shared" ca="1" si="465"/>
        <v>0</v>
      </c>
      <c r="CO602" s="824">
        <f t="shared" ca="1" si="465"/>
        <v>0</v>
      </c>
      <c r="CP602" s="824">
        <f t="shared" ca="1" si="465"/>
        <v>0</v>
      </c>
      <c r="CQ602" s="824">
        <f t="shared" ca="1" si="465"/>
        <v>0</v>
      </c>
      <c r="CR602" s="824">
        <f t="shared" ca="1" si="465"/>
        <v>0</v>
      </c>
      <c r="CS602" s="824">
        <f t="shared" ca="1" si="465"/>
        <v>0</v>
      </c>
      <c r="CT602" s="824">
        <f t="shared" ca="1" si="468"/>
        <v>0</v>
      </c>
      <c r="CU602" s="824">
        <f t="shared" ca="1" si="468"/>
        <v>0</v>
      </c>
      <c r="CV602" s="824">
        <f t="shared" ca="1" si="468"/>
        <v>0</v>
      </c>
      <c r="CW602" s="824">
        <f t="shared" ca="1" si="468"/>
        <v>0</v>
      </c>
      <c r="CX602" s="824">
        <f t="shared" ca="1" si="468"/>
        <v>0</v>
      </c>
      <c r="CY602" s="824">
        <f t="shared" ca="1" si="468"/>
        <v>0</v>
      </c>
      <c r="CZ602" s="824">
        <f t="shared" ca="1" si="468"/>
        <v>0</v>
      </c>
      <c r="DA602" s="824">
        <f t="shared" ca="1" si="468"/>
        <v>0</v>
      </c>
      <c r="DB602" s="824">
        <f t="shared" ca="1" si="468"/>
        <v>0</v>
      </c>
      <c r="DC602" s="824">
        <f t="shared" ca="1" si="468"/>
        <v>0</v>
      </c>
      <c r="DD602" s="824">
        <f t="shared" ca="1" si="468"/>
        <v>0</v>
      </c>
      <c r="DE602" s="824">
        <f t="shared" ca="1" si="468"/>
        <v>0</v>
      </c>
      <c r="DF602" s="824">
        <f t="shared" ca="1" si="468"/>
        <v>0</v>
      </c>
      <c r="DG602" s="824">
        <f t="shared" ca="1" si="468"/>
        <v>0</v>
      </c>
      <c r="DH602" s="824">
        <f t="shared" ca="1" si="468"/>
        <v>0</v>
      </c>
      <c r="DI602" s="824">
        <f t="shared" ca="1" si="468"/>
        <v>0</v>
      </c>
      <c r="DJ602" s="824">
        <f t="shared" ca="1" si="454"/>
        <v>0</v>
      </c>
      <c r="DK602" s="824">
        <f t="shared" ca="1" si="454"/>
        <v>0</v>
      </c>
      <c r="DL602" s="824">
        <f t="shared" ca="1" si="454"/>
        <v>0</v>
      </c>
    </row>
    <row r="603" spans="2:116" ht="12" thickBot="1" x14ac:dyDescent="0.3">
      <c r="B603" s="1673"/>
      <c r="C603" s="1680"/>
      <c r="D603" s="15" t="s">
        <v>40</v>
      </c>
      <c r="E603" s="116"/>
      <c r="F603" s="116">
        <f ca="1">SUBTOTAL(109,'3.3 I&amp;W'!$X$138)</f>
        <v>0</v>
      </c>
      <c r="G603" s="116">
        <f ca="1">SUBTOTAL(109,'3.3 I&amp;W'!$Y$138)</f>
        <v>0</v>
      </c>
      <c r="H603" s="116">
        <f ca="1">SUBTOTAL(109,'3.3 I&amp;W'!$AD$138)</f>
        <v>0</v>
      </c>
      <c r="I603" s="116">
        <f ca="1">SUBTOTAL(109,'3.3 I&amp;W'!$AE$138)</f>
        <v>0</v>
      </c>
      <c r="J603" s="116"/>
      <c r="K603" s="116"/>
      <c r="L603" s="116"/>
      <c r="M603" s="116">
        <f ca="1">SUBTOTAL(109,'3.3 I&amp;W'!$AI$138)</f>
        <v>0</v>
      </c>
      <c r="N603" s="156">
        <f t="shared" ca="1" si="404"/>
        <v>0</v>
      </c>
      <c r="O603" s="116">
        <f ca="1">SUBTOTAL(109,'3.3 I&amp;W'!$S$138)</f>
        <v>0</v>
      </c>
      <c r="P603" s="30">
        <f t="shared" ca="1" si="445"/>
        <v>0</v>
      </c>
      <c r="Q603" s="31">
        <f t="shared" ca="1" si="446"/>
        <v>0</v>
      </c>
      <c r="R603" s="31">
        <f t="shared" ca="1" si="447"/>
        <v>0</v>
      </c>
      <c r="S603" s="31">
        <f t="shared" ca="1" si="448"/>
        <v>0</v>
      </c>
      <c r="T603" s="32">
        <f t="shared" ca="1" si="449"/>
        <v>0</v>
      </c>
      <c r="U603" s="37">
        <f t="shared" ca="1" si="405"/>
        <v>0</v>
      </c>
      <c r="V603" s="40">
        <f t="shared" ca="1" si="455"/>
        <v>0</v>
      </c>
      <c r="W603" s="41">
        <f t="shared" ca="1" si="456"/>
        <v>0</v>
      </c>
      <c r="X603" s="43"/>
      <c r="Y603" s="46"/>
      <c r="Z603" s="126"/>
      <c r="AA603" s="136"/>
      <c r="AB603" s="83">
        <v>50</v>
      </c>
      <c r="AC603" s="84">
        <f ca="1">IF(AF602&lt;=1,0,'3.3 Fi&amp;Fo'!$I$25)</f>
        <v>0</v>
      </c>
      <c r="AD603" s="72">
        <f ca="1">IF(AF602&lt;=1,0,AF602*'3.3 Fi&amp;Fo'!$H$25)</f>
        <v>0</v>
      </c>
      <c r="AE603" s="88">
        <f t="shared" ca="1" si="409"/>
        <v>0</v>
      </c>
      <c r="AF603" s="89">
        <f t="shared" ca="1" si="410"/>
        <v>9.4587448984384537E-11</v>
      </c>
      <c r="AG603" s="168" t="b">
        <f>IF(AJ602&lt;=1,0,IF(AB603&lt;='3.3 Fi&amp;Fo'!$F$34,'3.3 Fi&amp;Fo'!$J$34,IF(AB603&lt;='3.3 Fi&amp;Fo'!$F$35,'3.3 Fi&amp;Fo'!$J$35,IF(AB603&lt;='3.3 Fi&amp;Fo'!$F$36,'3.3 Fi&amp;Fo'!$J$36,IF(AB603&lt;='3.3 Fi&amp;Fo'!$F$37,'3.3 Fi&amp;Fo'!$J$37,IF(AB603&lt;='3.3 Fi&amp;Fo'!$F$38,'3.3 Fi&amp;Fo'!$J$38,IF(AB603&lt;='3.3 Fi&amp;Fo'!$F$39,'3.3 Fi&amp;Fo'!$J$39,IF(AB603&lt;='3.3 Fi&amp;Fo'!$F$40,'3.3 Fi&amp;Fo'!$J$40))))))))</f>
        <v>0</v>
      </c>
      <c r="AH603" s="211">
        <f>IF(AJ602&lt;=1,0,AJ602*IF(AB603&lt;='3.3 Fi&amp;Fo'!$F$34,'3.3 Fi&amp;Fo'!$I$34,IF(AB603&lt;='3.3 Fi&amp;Fo'!$F$35,'3.3 Fi&amp;Fo'!$I$35,IF(AB603&lt;='3.3 Fi&amp;Fo'!$F$38,'3.3 Fi&amp;Fo'!$I$38,IF(AB603&lt;='3.3 Fi&amp;Fo'!$F$39,'3.3 Fi&amp;Fo'!$I$39,IF(AB603&lt;='3.3 Fi&amp;Fo'!$F$40,'3.3 Fi&amp;Fo'!$I$40))))))</f>
        <v>0</v>
      </c>
      <c r="AI603" s="212">
        <f t="shared" si="462"/>
        <v>0</v>
      </c>
      <c r="AJ603" s="213">
        <f t="shared" si="412"/>
        <v>2524303.3362014662</v>
      </c>
      <c r="AK603" s="312">
        <f t="shared" ca="1" si="463"/>
        <v>0</v>
      </c>
      <c r="AL603" s="169">
        <f>IF(AB603&lt;='3.3 Fi&amp;Fo'!$J$15,'3.3 Fi&amp;Fo'!$I$15,0)</f>
        <v>0</v>
      </c>
      <c r="AM603" s="169">
        <f t="shared" si="425"/>
        <v>0</v>
      </c>
      <c r="AN603" s="838" t="str">
        <f t="shared" si="430"/>
        <v/>
      </c>
      <c r="AO603" s="844">
        <f t="shared" ca="1" si="413"/>
        <v>0</v>
      </c>
      <c r="AP603" s="839">
        <f ca="1">DL658</f>
        <v>0</v>
      </c>
      <c r="AQ603" s="844">
        <f t="shared" si="414"/>
        <v>0</v>
      </c>
      <c r="AR603" s="839" t="str">
        <f t="shared" si="431"/>
        <v/>
      </c>
      <c r="AS603" s="839">
        <f t="shared" si="426"/>
        <v>0</v>
      </c>
      <c r="AT603" s="839">
        <f t="shared" si="427"/>
        <v>0</v>
      </c>
      <c r="AU603" s="839">
        <f>'PV-Einspeisung'!AA195*-1</f>
        <v>0</v>
      </c>
      <c r="AV603" s="839">
        <f>'PV-Einspeisung'!AE195*-1</f>
        <v>0</v>
      </c>
      <c r="AW603" s="839"/>
      <c r="AX603" s="839" t="str">
        <f t="shared" si="432"/>
        <v/>
      </c>
      <c r="AY603" s="841" t="str">
        <f t="shared" si="415"/>
        <v/>
      </c>
      <c r="AZ603" s="842" t="str">
        <f t="shared" si="464"/>
        <v/>
      </c>
      <c r="BA603" s="842" t="str">
        <f t="shared" si="434"/>
        <v/>
      </c>
      <c r="BB603" s="842" t="str">
        <f t="shared" si="435"/>
        <v/>
      </c>
      <c r="BC603" s="842" t="str">
        <f t="shared" si="436"/>
        <v/>
      </c>
      <c r="BD603" s="842" t="str">
        <f t="shared" si="437"/>
        <v/>
      </c>
      <c r="BE603" s="842" t="str">
        <f t="shared" si="438"/>
        <v/>
      </c>
      <c r="BF603" s="842" t="str">
        <f t="shared" si="439"/>
        <v/>
      </c>
      <c r="BG603" s="842" t="str">
        <f t="shared" si="440"/>
        <v/>
      </c>
      <c r="BH603" s="858" t="str">
        <f t="shared" si="423"/>
        <v/>
      </c>
      <c r="BI603" s="857" t="str">
        <f t="shared" si="441"/>
        <v/>
      </c>
      <c r="BJ603" s="857" t="str">
        <f t="shared" si="442"/>
        <v/>
      </c>
      <c r="BK603" s="859">
        <f>'PV-Einspeisung'!AB195*-1</f>
        <v>0</v>
      </c>
      <c r="BL603" s="824">
        <f t="shared" ca="1" si="457"/>
        <v>0</v>
      </c>
      <c r="BM603" s="824">
        <f t="shared" ca="1" si="458"/>
        <v>0</v>
      </c>
      <c r="BN603" s="824">
        <f t="shared" ca="1" si="459"/>
        <v>0</v>
      </c>
      <c r="BO603" s="824">
        <f t="shared" ca="1" si="466"/>
        <v>0</v>
      </c>
      <c r="BP603" s="824">
        <f t="shared" ca="1" si="466"/>
        <v>0</v>
      </c>
      <c r="BQ603" s="824">
        <f t="shared" ca="1" si="466"/>
        <v>0</v>
      </c>
      <c r="BR603" s="824">
        <f t="shared" ca="1" si="466"/>
        <v>0</v>
      </c>
      <c r="BS603" s="824">
        <f t="shared" ca="1" si="466"/>
        <v>0</v>
      </c>
      <c r="BT603" s="824">
        <f t="shared" ca="1" si="466"/>
        <v>0</v>
      </c>
      <c r="BU603" s="824">
        <f t="shared" ca="1" si="466"/>
        <v>0</v>
      </c>
      <c r="BV603" s="824">
        <f t="shared" ca="1" si="466"/>
        <v>0</v>
      </c>
      <c r="BW603" s="824">
        <f t="shared" ca="1" si="466"/>
        <v>0</v>
      </c>
      <c r="BX603" s="824">
        <f t="shared" ca="1" si="466"/>
        <v>0</v>
      </c>
      <c r="BY603" s="824">
        <f t="shared" ca="1" si="466"/>
        <v>0</v>
      </c>
      <c r="BZ603" s="824">
        <f t="shared" ca="1" si="466"/>
        <v>0</v>
      </c>
      <c r="CA603" s="824">
        <f t="shared" ca="1" si="466"/>
        <v>0</v>
      </c>
      <c r="CB603" s="824">
        <f t="shared" ca="1" si="466"/>
        <v>0</v>
      </c>
      <c r="CC603" s="824">
        <f t="shared" ca="1" si="466"/>
        <v>0</v>
      </c>
      <c r="CD603" s="824">
        <f t="shared" ca="1" si="466"/>
        <v>0</v>
      </c>
      <c r="CE603" s="824">
        <f t="shared" ca="1" si="465"/>
        <v>0</v>
      </c>
      <c r="CF603" s="824">
        <f t="shared" ca="1" si="465"/>
        <v>0</v>
      </c>
      <c r="CG603" s="824">
        <f t="shared" ca="1" si="465"/>
        <v>0</v>
      </c>
      <c r="CH603" s="824">
        <f t="shared" ca="1" si="465"/>
        <v>0</v>
      </c>
      <c r="CI603" s="824">
        <f t="shared" ca="1" si="465"/>
        <v>0</v>
      </c>
      <c r="CJ603" s="824">
        <f t="shared" ca="1" si="465"/>
        <v>0</v>
      </c>
      <c r="CK603" s="824">
        <f t="shared" ca="1" si="465"/>
        <v>0</v>
      </c>
      <c r="CL603" s="824">
        <f t="shared" ca="1" si="465"/>
        <v>0</v>
      </c>
      <c r="CM603" s="824">
        <f t="shared" ca="1" si="465"/>
        <v>0</v>
      </c>
      <c r="CN603" s="824">
        <f t="shared" ca="1" si="465"/>
        <v>0</v>
      </c>
      <c r="CO603" s="824">
        <f t="shared" ca="1" si="465"/>
        <v>0</v>
      </c>
      <c r="CP603" s="824">
        <f t="shared" ca="1" si="465"/>
        <v>0</v>
      </c>
      <c r="CQ603" s="824">
        <f t="shared" ca="1" si="465"/>
        <v>0</v>
      </c>
      <c r="CR603" s="824">
        <f t="shared" ca="1" si="465"/>
        <v>0</v>
      </c>
      <c r="CS603" s="824">
        <f t="shared" ca="1" si="465"/>
        <v>0</v>
      </c>
      <c r="CT603" s="824">
        <f t="shared" ca="1" si="468"/>
        <v>0</v>
      </c>
      <c r="CU603" s="824">
        <f t="shared" ca="1" si="468"/>
        <v>0</v>
      </c>
      <c r="CV603" s="824">
        <f t="shared" ca="1" si="468"/>
        <v>0</v>
      </c>
      <c r="CW603" s="824">
        <f t="shared" ca="1" si="468"/>
        <v>0</v>
      </c>
      <c r="CX603" s="824">
        <f t="shared" ca="1" si="468"/>
        <v>0</v>
      </c>
      <c r="CY603" s="824">
        <f t="shared" ca="1" si="468"/>
        <v>0</v>
      </c>
      <c r="CZ603" s="824">
        <f t="shared" ca="1" si="468"/>
        <v>0</v>
      </c>
      <c r="DA603" s="824">
        <f t="shared" ca="1" si="468"/>
        <v>0</v>
      </c>
      <c r="DB603" s="824">
        <f t="shared" ca="1" si="468"/>
        <v>0</v>
      </c>
      <c r="DC603" s="824">
        <f t="shared" ca="1" si="468"/>
        <v>0</v>
      </c>
      <c r="DD603" s="824">
        <f t="shared" ca="1" si="468"/>
        <v>0</v>
      </c>
      <c r="DE603" s="824">
        <f t="shared" ca="1" si="468"/>
        <v>0</v>
      </c>
      <c r="DF603" s="824">
        <f t="shared" ca="1" si="468"/>
        <v>0</v>
      </c>
      <c r="DG603" s="824">
        <f t="shared" ca="1" si="468"/>
        <v>0</v>
      </c>
      <c r="DH603" s="824">
        <f t="shared" ca="1" si="468"/>
        <v>0</v>
      </c>
      <c r="DI603" s="824">
        <f t="shared" ca="1" si="468"/>
        <v>0</v>
      </c>
      <c r="DJ603" s="824">
        <f t="shared" ca="1" si="454"/>
        <v>0</v>
      </c>
      <c r="DK603" s="824">
        <f t="shared" ca="1" si="454"/>
        <v>0</v>
      </c>
      <c r="DL603" s="824">
        <f t="shared" ca="1" si="454"/>
        <v>0</v>
      </c>
    </row>
    <row r="604" spans="2:116" ht="12" thickBot="1" x14ac:dyDescent="0.3">
      <c r="B604" s="1673"/>
      <c r="C604" s="1680"/>
      <c r="D604" s="15" t="s">
        <v>40</v>
      </c>
      <c r="E604" s="165"/>
      <c r="F604" s="116">
        <f ca="1">SUBTOTAL(109,'3.3 I&amp;W'!$X$139)</f>
        <v>0</v>
      </c>
      <c r="G604" s="116">
        <f ca="1">SUBTOTAL(109,'3.3 I&amp;W'!$Y$139)</f>
        <v>0</v>
      </c>
      <c r="H604" s="116">
        <f ca="1">SUBTOTAL(109,'3.3 I&amp;W'!$AD$139)</f>
        <v>0</v>
      </c>
      <c r="I604" s="116">
        <f ca="1">SUBTOTAL(109,'3.3 I&amp;W'!$AE$139)</f>
        <v>0</v>
      </c>
      <c r="J604" s="116"/>
      <c r="K604" s="116"/>
      <c r="L604" s="116"/>
      <c r="M604" s="116">
        <f ca="1">SUBTOTAL(109,'3.3 I&amp;W'!$AI$139)</f>
        <v>50</v>
      </c>
      <c r="N604" s="156">
        <f t="shared" ca="1" si="404"/>
        <v>0</v>
      </c>
      <c r="O604" s="116">
        <f ca="1">SUBTOTAL(109,'3.3 I&amp;W'!$S$139)</f>
        <v>40502.400000000001</v>
      </c>
      <c r="P604" s="30">
        <f t="shared" ca="1" si="445"/>
        <v>0</v>
      </c>
      <c r="Q604" s="31">
        <f t="shared" ca="1" si="446"/>
        <v>0</v>
      </c>
      <c r="R604" s="31">
        <f t="shared" ca="1" si="447"/>
        <v>0</v>
      </c>
      <c r="S604" s="31">
        <f t="shared" ca="1" si="448"/>
        <v>0</v>
      </c>
      <c r="T604" s="32">
        <f t="shared" ca="1" si="449"/>
        <v>0</v>
      </c>
      <c r="U604" s="37">
        <f t="shared" ca="1" si="405"/>
        <v>6075.6955221970811</v>
      </c>
      <c r="V604" s="40">
        <f t="shared" ca="1" si="455"/>
        <v>0</v>
      </c>
      <c r="W604" s="41">
        <f t="shared" ca="1" si="456"/>
        <v>0</v>
      </c>
      <c r="X604" s="43"/>
      <c r="Y604" s="46"/>
      <c r="Z604" s="126"/>
      <c r="AA604" s="136"/>
      <c r="AB604" s="87"/>
      <c r="AC604" s="87"/>
      <c r="AD604" s="87"/>
      <c r="AE604" s="87"/>
      <c r="AF604" s="87"/>
      <c r="AG604" s="90"/>
      <c r="AH604" s="87"/>
      <c r="AI604" s="87"/>
      <c r="AJ604" s="87"/>
      <c r="AK604" s="87"/>
      <c r="AL604" s="87"/>
      <c r="AM604" s="91"/>
      <c r="AN604" s="72"/>
      <c r="AO604" s="72"/>
      <c r="AP604" s="72"/>
      <c r="AQ604" s="72"/>
      <c r="AR604" s="72"/>
      <c r="AS604" s="72"/>
      <c r="AT604" s="72"/>
      <c r="AU604" s="72"/>
      <c r="AV604" s="72"/>
      <c r="AW604" s="72"/>
      <c r="AX604" s="72"/>
      <c r="AY604" s="72"/>
      <c r="AZ604" s="72"/>
      <c r="BA604" s="72"/>
      <c r="BB604" s="72"/>
      <c r="BC604" s="72"/>
      <c r="BD604" s="72"/>
      <c r="BE604" s="72"/>
      <c r="BF604" s="72"/>
      <c r="BG604" s="72"/>
      <c r="BH604" s="72"/>
      <c r="BI604" s="72"/>
      <c r="BJ604" s="72"/>
      <c r="BK604" s="3"/>
      <c r="BL604" s="824">
        <f t="shared" ca="1" si="457"/>
        <v>50</v>
      </c>
      <c r="BM604" s="824">
        <f t="shared" ca="1" si="458"/>
        <v>0</v>
      </c>
      <c r="BN604" s="824">
        <f t="shared" ca="1" si="459"/>
        <v>40502.400000000001</v>
      </c>
      <c r="BO604" s="824">
        <f t="shared" ca="1" si="466"/>
        <v>0</v>
      </c>
      <c r="BP604" s="824">
        <f t="shared" ca="1" si="466"/>
        <v>0</v>
      </c>
      <c r="BQ604" s="824">
        <f t="shared" ca="1" si="466"/>
        <v>0</v>
      </c>
      <c r="BR604" s="824">
        <f t="shared" ca="1" si="466"/>
        <v>0</v>
      </c>
      <c r="BS604" s="824">
        <f t="shared" ca="1" si="466"/>
        <v>0</v>
      </c>
      <c r="BT604" s="824">
        <f t="shared" ca="1" si="466"/>
        <v>0</v>
      </c>
      <c r="BU604" s="824">
        <f t="shared" ca="1" si="466"/>
        <v>0</v>
      </c>
      <c r="BV604" s="824">
        <f t="shared" ca="1" si="466"/>
        <v>0</v>
      </c>
      <c r="BW604" s="824">
        <f t="shared" ca="1" si="466"/>
        <v>0</v>
      </c>
      <c r="BX604" s="824">
        <f t="shared" ca="1" si="466"/>
        <v>0</v>
      </c>
      <c r="BY604" s="824">
        <f t="shared" ca="1" si="466"/>
        <v>0</v>
      </c>
      <c r="BZ604" s="824">
        <f t="shared" ca="1" si="466"/>
        <v>0</v>
      </c>
      <c r="CA604" s="824">
        <f t="shared" ca="1" si="466"/>
        <v>0</v>
      </c>
      <c r="CB604" s="824">
        <f t="shared" ca="1" si="466"/>
        <v>0</v>
      </c>
      <c r="CC604" s="824">
        <f t="shared" ca="1" si="466"/>
        <v>0</v>
      </c>
      <c r="CD604" s="824">
        <f t="shared" ca="1" si="466"/>
        <v>0</v>
      </c>
      <c r="CE604" s="824">
        <f t="shared" ca="1" si="465"/>
        <v>0</v>
      </c>
      <c r="CF604" s="824">
        <f t="shared" ca="1" si="465"/>
        <v>0</v>
      </c>
      <c r="CG604" s="824">
        <f t="shared" ca="1" si="465"/>
        <v>0</v>
      </c>
      <c r="CH604" s="824">
        <f t="shared" ca="1" si="465"/>
        <v>0</v>
      </c>
      <c r="CI604" s="824">
        <f t="shared" ca="1" si="465"/>
        <v>0</v>
      </c>
      <c r="CJ604" s="824">
        <f t="shared" ca="1" si="465"/>
        <v>0</v>
      </c>
      <c r="CK604" s="824">
        <f t="shared" ca="1" si="465"/>
        <v>0</v>
      </c>
      <c r="CL604" s="824">
        <f t="shared" ca="1" si="465"/>
        <v>0</v>
      </c>
      <c r="CM604" s="824">
        <f t="shared" ca="1" si="465"/>
        <v>0</v>
      </c>
      <c r="CN604" s="824">
        <f t="shared" ca="1" si="465"/>
        <v>0</v>
      </c>
      <c r="CO604" s="824">
        <f t="shared" ca="1" si="465"/>
        <v>0</v>
      </c>
      <c r="CP604" s="824">
        <f t="shared" ca="1" si="465"/>
        <v>0</v>
      </c>
      <c r="CQ604" s="824">
        <f t="shared" ca="1" si="465"/>
        <v>0</v>
      </c>
      <c r="CR604" s="824">
        <f t="shared" ca="1" si="465"/>
        <v>0</v>
      </c>
      <c r="CS604" s="824">
        <f t="shared" ca="1" si="465"/>
        <v>0</v>
      </c>
      <c r="CT604" s="824">
        <f t="shared" ca="1" si="468"/>
        <v>0</v>
      </c>
      <c r="CU604" s="824">
        <f t="shared" ca="1" si="468"/>
        <v>0</v>
      </c>
      <c r="CV604" s="824">
        <f t="shared" ca="1" si="468"/>
        <v>0</v>
      </c>
      <c r="CW604" s="824">
        <f t="shared" ca="1" si="468"/>
        <v>0</v>
      </c>
      <c r="CX604" s="824">
        <f t="shared" ca="1" si="468"/>
        <v>0</v>
      </c>
      <c r="CY604" s="824">
        <f t="shared" ca="1" si="468"/>
        <v>0</v>
      </c>
      <c r="CZ604" s="824">
        <f t="shared" ca="1" si="468"/>
        <v>0</v>
      </c>
      <c r="DA604" s="824">
        <f t="shared" ca="1" si="468"/>
        <v>0</v>
      </c>
      <c r="DB604" s="824">
        <f t="shared" ca="1" si="468"/>
        <v>0</v>
      </c>
      <c r="DC604" s="824">
        <f t="shared" ca="1" si="468"/>
        <v>0</v>
      </c>
      <c r="DD604" s="824">
        <f t="shared" ca="1" si="468"/>
        <v>0</v>
      </c>
      <c r="DE604" s="824">
        <f t="shared" ca="1" si="468"/>
        <v>0</v>
      </c>
      <c r="DF604" s="824">
        <f t="shared" ca="1" si="468"/>
        <v>0</v>
      </c>
      <c r="DG604" s="824">
        <f t="shared" ca="1" si="468"/>
        <v>0</v>
      </c>
      <c r="DH604" s="824">
        <f t="shared" ca="1" si="468"/>
        <v>0</v>
      </c>
      <c r="DI604" s="824">
        <f t="shared" ca="1" si="468"/>
        <v>0</v>
      </c>
      <c r="DJ604" s="824">
        <f t="shared" ca="1" si="454"/>
        <v>0</v>
      </c>
      <c r="DK604" s="824">
        <f t="shared" ca="1" si="454"/>
        <v>0</v>
      </c>
      <c r="DL604" s="824">
        <f t="shared" ca="1" si="454"/>
        <v>0</v>
      </c>
    </row>
    <row r="605" spans="2:116" ht="12" thickBot="1" x14ac:dyDescent="0.3">
      <c r="B605" s="1673"/>
      <c r="C605" s="1680"/>
      <c r="D605" s="15" t="s">
        <v>40</v>
      </c>
      <c r="E605" s="116"/>
      <c r="F605" s="116">
        <f ca="1">SUBTOTAL(109,'3.3 I&amp;W'!$X$140)</f>
        <v>0</v>
      </c>
      <c r="G605" s="116">
        <f ca="1">SUBTOTAL(109,'3.3 I&amp;W'!$Y$140)</f>
        <v>0</v>
      </c>
      <c r="H605" s="116">
        <f ca="1">SUBTOTAL(109,'3.3 I&amp;W'!$AD$140)</f>
        <v>0</v>
      </c>
      <c r="I605" s="116">
        <f ca="1">SUBTOTAL(109,'3.3 I&amp;W'!$AE$140)</f>
        <v>0</v>
      </c>
      <c r="J605" s="116"/>
      <c r="K605" s="116"/>
      <c r="L605" s="116"/>
      <c r="M605" s="116">
        <f ca="1">SUBTOTAL(109,'3.3 I&amp;W'!$AI$140)</f>
        <v>0</v>
      </c>
      <c r="N605" s="156">
        <f t="shared" ca="1" si="404"/>
        <v>0</v>
      </c>
      <c r="O605" s="116">
        <f ca="1">SUBTOTAL(109,'3.3 I&amp;W'!$S$140)</f>
        <v>0</v>
      </c>
      <c r="P605" s="30">
        <f t="shared" ca="1" si="445"/>
        <v>0</v>
      </c>
      <c r="Q605" s="31">
        <f t="shared" ca="1" si="446"/>
        <v>0</v>
      </c>
      <c r="R605" s="31">
        <f t="shared" ca="1" si="447"/>
        <v>0</v>
      </c>
      <c r="S605" s="31">
        <f t="shared" ca="1" si="448"/>
        <v>0</v>
      </c>
      <c r="T605" s="32">
        <f t="shared" ca="1" si="449"/>
        <v>0</v>
      </c>
      <c r="U605" s="37">
        <f t="shared" ca="1" si="405"/>
        <v>0</v>
      </c>
      <c r="V605" s="40">
        <f t="shared" ca="1" si="455"/>
        <v>0</v>
      </c>
      <c r="W605" s="41">
        <f t="shared" ca="1" si="456"/>
        <v>0</v>
      </c>
      <c r="X605" s="43"/>
      <c r="Y605" s="46"/>
      <c r="Z605" s="126"/>
      <c r="AA605" s="136"/>
      <c r="BK605" s="3"/>
      <c r="BL605" s="824">
        <f t="shared" ca="1" si="457"/>
        <v>0</v>
      </c>
      <c r="BM605" s="824">
        <f t="shared" ca="1" si="458"/>
        <v>0</v>
      </c>
      <c r="BN605" s="824">
        <f t="shared" ca="1" si="459"/>
        <v>0</v>
      </c>
      <c r="BO605" s="824">
        <f t="shared" ca="1" si="466"/>
        <v>0</v>
      </c>
      <c r="BP605" s="824">
        <f t="shared" ca="1" si="466"/>
        <v>0</v>
      </c>
      <c r="BQ605" s="824">
        <f t="shared" ca="1" si="466"/>
        <v>0</v>
      </c>
      <c r="BR605" s="824">
        <f t="shared" ca="1" si="466"/>
        <v>0</v>
      </c>
      <c r="BS605" s="824">
        <f t="shared" ca="1" si="466"/>
        <v>0</v>
      </c>
      <c r="BT605" s="824">
        <f t="shared" ca="1" si="466"/>
        <v>0</v>
      </c>
      <c r="BU605" s="824">
        <f t="shared" ca="1" si="466"/>
        <v>0</v>
      </c>
      <c r="BV605" s="824">
        <f t="shared" ca="1" si="466"/>
        <v>0</v>
      </c>
      <c r="BW605" s="824">
        <f t="shared" ca="1" si="466"/>
        <v>0</v>
      </c>
      <c r="BX605" s="824">
        <f t="shared" ca="1" si="466"/>
        <v>0</v>
      </c>
      <c r="BY605" s="824">
        <f t="shared" ca="1" si="466"/>
        <v>0</v>
      </c>
      <c r="BZ605" s="824">
        <f t="shared" ca="1" si="466"/>
        <v>0</v>
      </c>
      <c r="CA605" s="824">
        <f t="shared" ca="1" si="466"/>
        <v>0</v>
      </c>
      <c r="CB605" s="824">
        <f t="shared" ca="1" si="466"/>
        <v>0</v>
      </c>
      <c r="CC605" s="824">
        <f t="shared" ca="1" si="466"/>
        <v>0</v>
      </c>
      <c r="CD605" s="824">
        <f t="shared" ca="1" si="466"/>
        <v>0</v>
      </c>
      <c r="CE605" s="824">
        <f t="shared" ca="1" si="465"/>
        <v>0</v>
      </c>
      <c r="CF605" s="824">
        <f t="shared" ca="1" si="465"/>
        <v>0</v>
      </c>
      <c r="CG605" s="824">
        <f t="shared" ca="1" si="465"/>
        <v>0</v>
      </c>
      <c r="CH605" s="824">
        <f t="shared" ca="1" si="465"/>
        <v>0</v>
      </c>
      <c r="CI605" s="824">
        <f t="shared" ca="1" si="465"/>
        <v>0</v>
      </c>
      <c r="CJ605" s="824">
        <f t="shared" ca="1" si="465"/>
        <v>0</v>
      </c>
      <c r="CK605" s="824">
        <f t="shared" ca="1" si="465"/>
        <v>0</v>
      </c>
      <c r="CL605" s="824">
        <f t="shared" ca="1" si="465"/>
        <v>0</v>
      </c>
      <c r="CM605" s="824">
        <f t="shared" ca="1" si="465"/>
        <v>0</v>
      </c>
      <c r="CN605" s="824">
        <f t="shared" ca="1" si="465"/>
        <v>0</v>
      </c>
      <c r="CO605" s="824">
        <f t="shared" ca="1" si="465"/>
        <v>0</v>
      </c>
      <c r="CP605" s="824">
        <f t="shared" ca="1" si="465"/>
        <v>0</v>
      </c>
      <c r="CQ605" s="824">
        <f t="shared" ca="1" si="465"/>
        <v>0</v>
      </c>
      <c r="CR605" s="824">
        <f t="shared" ca="1" si="465"/>
        <v>0</v>
      </c>
      <c r="CS605" s="824">
        <f t="shared" ca="1" si="465"/>
        <v>0</v>
      </c>
      <c r="CT605" s="824">
        <f t="shared" ca="1" si="468"/>
        <v>0</v>
      </c>
      <c r="CU605" s="824">
        <f t="shared" ca="1" si="468"/>
        <v>0</v>
      </c>
      <c r="CV605" s="824">
        <f t="shared" ca="1" si="468"/>
        <v>0</v>
      </c>
      <c r="CW605" s="824">
        <f t="shared" ca="1" si="468"/>
        <v>0</v>
      </c>
      <c r="CX605" s="824">
        <f t="shared" ca="1" si="468"/>
        <v>0</v>
      </c>
      <c r="CY605" s="824">
        <f t="shared" ca="1" si="468"/>
        <v>0</v>
      </c>
      <c r="CZ605" s="824">
        <f t="shared" ca="1" si="468"/>
        <v>0</v>
      </c>
      <c r="DA605" s="824">
        <f t="shared" ca="1" si="468"/>
        <v>0</v>
      </c>
      <c r="DB605" s="824">
        <f t="shared" ca="1" si="468"/>
        <v>0</v>
      </c>
      <c r="DC605" s="824">
        <f t="shared" ca="1" si="468"/>
        <v>0</v>
      </c>
      <c r="DD605" s="824">
        <f t="shared" ca="1" si="468"/>
        <v>0</v>
      </c>
      <c r="DE605" s="824">
        <f t="shared" ca="1" si="468"/>
        <v>0</v>
      </c>
      <c r="DF605" s="824">
        <f t="shared" ca="1" si="468"/>
        <v>0</v>
      </c>
      <c r="DG605" s="824">
        <f t="shared" ca="1" si="468"/>
        <v>0</v>
      </c>
      <c r="DH605" s="824">
        <f t="shared" ca="1" si="468"/>
        <v>0</v>
      </c>
      <c r="DI605" s="824">
        <f t="shared" ca="1" si="468"/>
        <v>0</v>
      </c>
      <c r="DJ605" s="824">
        <f t="shared" ca="1" si="454"/>
        <v>0</v>
      </c>
      <c r="DK605" s="824">
        <f t="shared" ca="1" si="454"/>
        <v>0</v>
      </c>
      <c r="DL605" s="824">
        <f t="shared" ca="1" si="454"/>
        <v>0</v>
      </c>
    </row>
    <row r="606" spans="2:116" ht="12" thickBot="1" x14ac:dyDescent="0.3">
      <c r="B606" s="1673"/>
      <c r="C606" s="1680"/>
      <c r="D606" s="15" t="s">
        <v>40</v>
      </c>
      <c r="E606" s="165"/>
      <c r="F606" s="116">
        <f ca="1">SUBTOTAL(109,'3.3 I&amp;W'!$X$141)</f>
        <v>0</v>
      </c>
      <c r="G606" s="116">
        <f ca="1">SUBTOTAL(109,'3.3 I&amp;W'!$Y$141)</f>
        <v>0</v>
      </c>
      <c r="H606" s="116">
        <f ca="1">SUBTOTAL(109,'3.3 I&amp;W'!$AD$141)</f>
        <v>0</v>
      </c>
      <c r="I606" s="116">
        <f ca="1">SUBTOTAL(109,'3.3 I&amp;W'!$AE$141)</f>
        <v>0</v>
      </c>
      <c r="J606" s="116"/>
      <c r="K606" s="116"/>
      <c r="L606" s="116"/>
      <c r="M606" s="116">
        <f ca="1">SUBTOTAL(109,'3.3 I&amp;W'!$AI$141)</f>
        <v>0</v>
      </c>
      <c r="N606" s="156">
        <f t="shared" ca="1" si="404"/>
        <v>0</v>
      </c>
      <c r="O606" s="116">
        <f ca="1">SUBTOTAL(109,'3.3 I&amp;W'!$S$141)</f>
        <v>0</v>
      </c>
      <c r="P606" s="30">
        <f t="shared" ca="1" si="445"/>
        <v>0</v>
      </c>
      <c r="Q606" s="31">
        <f t="shared" ca="1" si="446"/>
        <v>0</v>
      </c>
      <c r="R606" s="31">
        <f t="shared" ca="1" si="447"/>
        <v>0</v>
      </c>
      <c r="S606" s="31">
        <f t="shared" ca="1" si="448"/>
        <v>0</v>
      </c>
      <c r="T606" s="32">
        <f t="shared" ca="1" si="449"/>
        <v>0</v>
      </c>
      <c r="U606" s="37">
        <f t="shared" ca="1" si="405"/>
        <v>0</v>
      </c>
      <c r="V606" s="40">
        <f t="shared" ca="1" si="455"/>
        <v>0</v>
      </c>
      <c r="W606" s="41">
        <f t="shared" ca="1" si="456"/>
        <v>0</v>
      </c>
      <c r="X606" s="43"/>
      <c r="Y606" s="46"/>
      <c r="Z606" s="126"/>
      <c r="AA606" s="136"/>
      <c r="BK606" s="3"/>
      <c r="BL606" s="824">
        <f t="shared" ca="1" si="457"/>
        <v>0</v>
      </c>
      <c r="BM606" s="824">
        <f t="shared" ca="1" si="458"/>
        <v>0</v>
      </c>
      <c r="BN606" s="824">
        <f t="shared" ca="1" si="459"/>
        <v>0</v>
      </c>
      <c r="BO606" s="824">
        <f t="shared" ca="1" si="466"/>
        <v>0</v>
      </c>
      <c r="BP606" s="824">
        <f t="shared" ca="1" si="466"/>
        <v>0</v>
      </c>
      <c r="BQ606" s="824">
        <f t="shared" ca="1" si="466"/>
        <v>0</v>
      </c>
      <c r="BR606" s="824">
        <f t="shared" ca="1" si="466"/>
        <v>0</v>
      </c>
      <c r="BS606" s="824">
        <f t="shared" ca="1" si="466"/>
        <v>0</v>
      </c>
      <c r="BT606" s="824">
        <f t="shared" ca="1" si="466"/>
        <v>0</v>
      </c>
      <c r="BU606" s="824">
        <f t="shared" ca="1" si="466"/>
        <v>0</v>
      </c>
      <c r="BV606" s="824">
        <f t="shared" ca="1" si="466"/>
        <v>0</v>
      </c>
      <c r="BW606" s="824">
        <f t="shared" ca="1" si="466"/>
        <v>0</v>
      </c>
      <c r="BX606" s="824">
        <f t="shared" ca="1" si="466"/>
        <v>0</v>
      </c>
      <c r="BY606" s="824">
        <f t="shared" ca="1" si="466"/>
        <v>0</v>
      </c>
      <c r="BZ606" s="824">
        <f t="shared" ca="1" si="466"/>
        <v>0</v>
      </c>
      <c r="CA606" s="824">
        <f t="shared" ca="1" si="466"/>
        <v>0</v>
      </c>
      <c r="CB606" s="824">
        <f t="shared" ca="1" si="466"/>
        <v>0</v>
      </c>
      <c r="CC606" s="824">
        <f t="shared" ca="1" si="466"/>
        <v>0</v>
      </c>
      <c r="CD606" s="824">
        <f t="shared" ca="1" si="466"/>
        <v>0</v>
      </c>
      <c r="CE606" s="824">
        <f t="shared" ca="1" si="465"/>
        <v>0</v>
      </c>
      <c r="CF606" s="824">
        <f t="shared" ca="1" si="465"/>
        <v>0</v>
      </c>
      <c r="CG606" s="824">
        <f t="shared" ca="1" si="465"/>
        <v>0</v>
      </c>
      <c r="CH606" s="824">
        <f t="shared" ca="1" si="465"/>
        <v>0</v>
      </c>
      <c r="CI606" s="824">
        <f t="shared" ca="1" si="465"/>
        <v>0</v>
      </c>
      <c r="CJ606" s="824">
        <f t="shared" ca="1" si="465"/>
        <v>0</v>
      </c>
      <c r="CK606" s="824">
        <f t="shared" ca="1" si="465"/>
        <v>0</v>
      </c>
      <c r="CL606" s="824">
        <f t="shared" ca="1" si="465"/>
        <v>0</v>
      </c>
      <c r="CM606" s="824">
        <f t="shared" ca="1" si="465"/>
        <v>0</v>
      </c>
      <c r="CN606" s="824">
        <f t="shared" ca="1" si="465"/>
        <v>0</v>
      </c>
      <c r="CO606" s="824">
        <f t="shared" ca="1" si="465"/>
        <v>0</v>
      </c>
      <c r="CP606" s="824">
        <f t="shared" ca="1" si="465"/>
        <v>0</v>
      </c>
      <c r="CQ606" s="824">
        <f t="shared" ca="1" si="465"/>
        <v>0</v>
      </c>
      <c r="CR606" s="824">
        <f t="shared" ca="1" si="465"/>
        <v>0</v>
      </c>
      <c r="CS606" s="824">
        <f t="shared" ca="1" si="465"/>
        <v>0</v>
      </c>
      <c r="CT606" s="824">
        <f t="shared" ca="1" si="468"/>
        <v>0</v>
      </c>
      <c r="CU606" s="824">
        <f t="shared" ca="1" si="468"/>
        <v>0</v>
      </c>
      <c r="CV606" s="824">
        <f t="shared" ca="1" si="468"/>
        <v>0</v>
      </c>
      <c r="CW606" s="824">
        <f t="shared" ca="1" si="468"/>
        <v>0</v>
      </c>
      <c r="CX606" s="824">
        <f t="shared" ca="1" si="468"/>
        <v>0</v>
      </c>
      <c r="CY606" s="824">
        <f t="shared" ca="1" si="468"/>
        <v>0</v>
      </c>
      <c r="CZ606" s="824">
        <f t="shared" ca="1" si="468"/>
        <v>0</v>
      </c>
      <c r="DA606" s="824">
        <f t="shared" ca="1" si="468"/>
        <v>0</v>
      </c>
      <c r="DB606" s="824">
        <f t="shared" ca="1" si="468"/>
        <v>0</v>
      </c>
      <c r="DC606" s="824">
        <f t="shared" ca="1" si="468"/>
        <v>0</v>
      </c>
      <c r="DD606" s="824">
        <f t="shared" ca="1" si="468"/>
        <v>0</v>
      </c>
      <c r="DE606" s="824">
        <f t="shared" ca="1" si="468"/>
        <v>0</v>
      </c>
      <c r="DF606" s="824">
        <f t="shared" ca="1" si="468"/>
        <v>0</v>
      </c>
      <c r="DG606" s="824">
        <f t="shared" ca="1" si="468"/>
        <v>0</v>
      </c>
      <c r="DH606" s="824">
        <f t="shared" ca="1" si="468"/>
        <v>0</v>
      </c>
      <c r="DI606" s="824">
        <f t="shared" ca="1" si="468"/>
        <v>0</v>
      </c>
      <c r="DJ606" s="824">
        <f t="shared" ca="1" si="454"/>
        <v>0</v>
      </c>
      <c r="DK606" s="824">
        <f t="shared" ca="1" si="454"/>
        <v>0</v>
      </c>
      <c r="DL606" s="824">
        <f t="shared" ca="1" si="454"/>
        <v>0</v>
      </c>
    </row>
    <row r="607" spans="2:116" ht="12" thickBot="1" x14ac:dyDescent="0.3">
      <c r="B607" s="1673"/>
      <c r="C607" s="1680"/>
      <c r="D607" s="15" t="s">
        <v>36</v>
      </c>
      <c r="E607" s="116"/>
      <c r="F607" s="116">
        <f ca="1">SUBTOTAL(109,'3.3 I&amp;W'!$X$145)</f>
        <v>0</v>
      </c>
      <c r="G607" s="116">
        <f ca="1">SUBTOTAL(109,'3.3 I&amp;W'!$Y$145)</f>
        <v>0</v>
      </c>
      <c r="H607" s="116">
        <f ca="1">SUBTOTAL(109,'3.3 I&amp;W'!$AD$145)</f>
        <v>0</v>
      </c>
      <c r="I607" s="116">
        <f ca="1">SUBTOTAL(109,'3.3 I&amp;W'!$AE$145)</f>
        <v>0</v>
      </c>
      <c r="J607" s="116"/>
      <c r="K607" s="116"/>
      <c r="L607" s="116"/>
      <c r="M607" s="116">
        <f ca="1">SUBTOTAL(109,'3.3 I&amp;W'!$AI$145)</f>
        <v>15</v>
      </c>
      <c r="N607" s="156">
        <f t="shared" ca="1" si="404"/>
        <v>2</v>
      </c>
      <c r="O607" s="116">
        <f ca="1">SUBTOTAL(109,'3.3 I&amp;W'!$S$145)</f>
        <v>6840</v>
      </c>
      <c r="P607" s="30">
        <f t="shared" ca="1" si="445"/>
        <v>6448.5065382265002</v>
      </c>
      <c r="Q607" s="31">
        <f t="shared" ca="1" si="446"/>
        <v>6079.4205516885831</v>
      </c>
      <c r="R607" s="31">
        <f t="shared" ca="1" si="447"/>
        <v>0</v>
      </c>
      <c r="S607" s="31">
        <f t="shared" ca="1" si="448"/>
        <v>0</v>
      </c>
      <c r="T607" s="32">
        <f t="shared" ca="1" si="449"/>
        <v>0</v>
      </c>
      <c r="U607" s="37">
        <f t="shared" ca="1" si="405"/>
        <v>3670.8789997183567</v>
      </c>
      <c r="V607" s="40">
        <f t="shared" ca="1" si="455"/>
        <v>0</v>
      </c>
      <c r="W607" s="41">
        <f t="shared" ca="1" si="456"/>
        <v>0</v>
      </c>
      <c r="X607" s="43"/>
      <c r="Y607" s="46"/>
      <c r="Z607" s="126"/>
      <c r="AA607" s="136"/>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824">
        <f t="shared" ca="1" si="457"/>
        <v>15</v>
      </c>
      <c r="BM607" s="824">
        <f t="shared" ca="1" si="458"/>
        <v>2</v>
      </c>
      <c r="BN607" s="824">
        <f t="shared" ca="1" si="459"/>
        <v>6840</v>
      </c>
      <c r="BO607" s="824">
        <f t="shared" ca="1" si="466"/>
        <v>0</v>
      </c>
      <c r="BP607" s="824">
        <f t="shared" ca="1" si="466"/>
        <v>0</v>
      </c>
      <c r="BQ607" s="824">
        <f t="shared" ca="1" si="466"/>
        <v>0</v>
      </c>
      <c r="BR607" s="824">
        <f t="shared" ca="1" si="466"/>
        <v>0</v>
      </c>
      <c r="BS607" s="824">
        <f t="shared" ca="1" si="466"/>
        <v>0</v>
      </c>
      <c r="BT607" s="824">
        <f t="shared" ca="1" si="466"/>
        <v>0</v>
      </c>
      <c r="BU607" s="824">
        <f t="shared" ca="1" si="466"/>
        <v>0</v>
      </c>
      <c r="BV607" s="824">
        <f t="shared" ca="1" si="466"/>
        <v>0</v>
      </c>
      <c r="BW607" s="824">
        <f t="shared" ca="1" si="466"/>
        <v>0</v>
      </c>
      <c r="BX607" s="824">
        <f t="shared" ca="1" si="466"/>
        <v>0</v>
      </c>
      <c r="BY607" s="824">
        <f t="shared" ca="1" si="466"/>
        <v>0</v>
      </c>
      <c r="BZ607" s="824">
        <f t="shared" ca="1" si="466"/>
        <v>0</v>
      </c>
      <c r="CA607" s="824">
        <f t="shared" ca="1" si="466"/>
        <v>0</v>
      </c>
      <c r="CB607" s="824">
        <f t="shared" ca="1" si="466"/>
        <v>0</v>
      </c>
      <c r="CC607" s="824">
        <f t="shared" ca="1" si="466"/>
        <v>8678.8407792751823</v>
      </c>
      <c r="CD607" s="824">
        <f t="shared" ca="1" si="466"/>
        <v>0</v>
      </c>
      <c r="CE607" s="824">
        <f t="shared" ca="1" si="465"/>
        <v>0</v>
      </c>
      <c r="CF607" s="824">
        <f t="shared" ca="1" si="465"/>
        <v>0</v>
      </c>
      <c r="CG607" s="824">
        <f t="shared" ca="1" si="465"/>
        <v>0</v>
      </c>
      <c r="CH607" s="824">
        <f t="shared" ca="1" si="465"/>
        <v>0</v>
      </c>
      <c r="CI607" s="824">
        <f t="shared" ca="1" si="465"/>
        <v>0</v>
      </c>
      <c r="CJ607" s="824">
        <f t="shared" ca="1" si="465"/>
        <v>0</v>
      </c>
      <c r="CK607" s="824">
        <f t="shared" ca="1" si="465"/>
        <v>0</v>
      </c>
      <c r="CL607" s="824">
        <f t="shared" ca="1" si="465"/>
        <v>0</v>
      </c>
      <c r="CM607" s="824">
        <f t="shared" ca="1" si="465"/>
        <v>0</v>
      </c>
      <c r="CN607" s="824">
        <f t="shared" ca="1" si="465"/>
        <v>0</v>
      </c>
      <c r="CO607" s="824">
        <f t="shared" ca="1" si="465"/>
        <v>0</v>
      </c>
      <c r="CP607" s="824">
        <f t="shared" ca="1" si="465"/>
        <v>0</v>
      </c>
      <c r="CQ607" s="824">
        <f t="shared" ca="1" si="465"/>
        <v>0</v>
      </c>
      <c r="CR607" s="824">
        <f t="shared" ca="1" si="465"/>
        <v>11012.028840937115</v>
      </c>
      <c r="CS607" s="824">
        <f t="shared" ca="1" si="465"/>
        <v>0</v>
      </c>
      <c r="CT607" s="824">
        <f t="shared" ca="1" si="468"/>
        <v>0</v>
      </c>
      <c r="CU607" s="824">
        <f t="shared" ca="1" si="468"/>
        <v>0</v>
      </c>
      <c r="CV607" s="824">
        <f t="shared" ca="1" si="468"/>
        <v>0</v>
      </c>
      <c r="CW607" s="824">
        <f t="shared" ca="1" si="468"/>
        <v>0</v>
      </c>
      <c r="CX607" s="824">
        <f t="shared" ca="1" si="468"/>
        <v>0</v>
      </c>
      <c r="CY607" s="824">
        <f t="shared" ca="1" si="468"/>
        <v>0</v>
      </c>
      <c r="CZ607" s="824">
        <f t="shared" ca="1" si="468"/>
        <v>0</v>
      </c>
      <c r="DA607" s="824">
        <f t="shared" ca="1" si="468"/>
        <v>0</v>
      </c>
      <c r="DB607" s="824">
        <f t="shared" ca="1" si="468"/>
        <v>0</v>
      </c>
      <c r="DC607" s="824">
        <f t="shared" ca="1" si="468"/>
        <v>0</v>
      </c>
      <c r="DD607" s="824">
        <f t="shared" ca="1" si="468"/>
        <v>0</v>
      </c>
      <c r="DE607" s="824">
        <f t="shared" ca="1" si="468"/>
        <v>0</v>
      </c>
      <c r="DF607" s="824">
        <f t="shared" ca="1" si="468"/>
        <v>0</v>
      </c>
      <c r="DG607" s="824">
        <f t="shared" ca="1" si="468"/>
        <v>0</v>
      </c>
      <c r="DH607" s="824">
        <f t="shared" ca="1" si="468"/>
        <v>0</v>
      </c>
      <c r="DI607" s="824">
        <f t="shared" ca="1" si="468"/>
        <v>0</v>
      </c>
      <c r="DJ607" s="824">
        <f t="shared" ca="1" si="454"/>
        <v>0</v>
      </c>
      <c r="DK607" s="824">
        <f t="shared" ca="1" si="454"/>
        <v>0</v>
      </c>
      <c r="DL607" s="824">
        <f t="shared" ca="1" si="454"/>
        <v>0</v>
      </c>
    </row>
    <row r="608" spans="2:116" ht="12" thickBot="1" x14ac:dyDescent="0.3">
      <c r="B608" s="1673"/>
      <c r="C608" s="1680"/>
      <c r="D608" s="15"/>
      <c r="E608" s="116"/>
      <c r="F608" s="116">
        <f ca="1">SUBTOTAL(109,'3.3 I&amp;W'!$X$146)</f>
        <v>0</v>
      </c>
      <c r="G608" s="116">
        <f ca="1">SUBTOTAL(109,'3.3 I&amp;W'!$Y$146)</f>
        <v>0</v>
      </c>
      <c r="H608" s="116">
        <f ca="1">SUBTOTAL(109,'3.3 I&amp;W'!$AD$146)</f>
        <v>3.117822279643985E-2</v>
      </c>
      <c r="I608" s="116">
        <f ca="1">SUBTOTAL(109,'3.3 I&amp;W'!$AE$146)</f>
        <v>1390</v>
      </c>
      <c r="J608" s="116"/>
      <c r="K608" s="116"/>
      <c r="L608" s="116"/>
      <c r="M608" s="116">
        <f ca="1">SUBTOTAL(109,'3.3 I&amp;W'!$AI$146)</f>
        <v>50</v>
      </c>
      <c r="N608" s="156">
        <f t="shared" ca="1" si="404"/>
        <v>0</v>
      </c>
      <c r="O608" s="116">
        <f ca="1">SUBTOTAL(109,'3.3 I&amp;W'!$S$146)</f>
        <v>44582.400000000001</v>
      </c>
      <c r="P608" s="30">
        <f t="shared" ca="1" si="445"/>
        <v>0</v>
      </c>
      <c r="Q608" s="31">
        <f t="shared" ca="1" si="446"/>
        <v>0</v>
      </c>
      <c r="R608" s="31">
        <f t="shared" ca="1" si="447"/>
        <v>0</v>
      </c>
      <c r="S608" s="31">
        <f t="shared" ca="1" si="448"/>
        <v>0</v>
      </c>
      <c r="T608" s="32">
        <f t="shared" ca="1" si="449"/>
        <v>0</v>
      </c>
      <c r="U608" s="37">
        <f t="shared" ca="1" si="405"/>
        <v>6687.7293209488607</v>
      </c>
      <c r="V608" s="40">
        <f t="shared" ca="1" si="455"/>
        <v>0</v>
      </c>
      <c r="W608" s="41">
        <f t="shared" ca="1" si="456"/>
        <v>44649.304449131145</v>
      </c>
      <c r="X608" s="43"/>
      <c r="Y608" s="46"/>
      <c r="Z608" s="126"/>
      <c r="AA608" s="136"/>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824">
        <f t="shared" ca="1" si="457"/>
        <v>50</v>
      </c>
      <c r="BM608" s="824">
        <f t="shared" ca="1" si="458"/>
        <v>0</v>
      </c>
      <c r="BN608" s="824">
        <f t="shared" ca="1" si="459"/>
        <v>44582.400000000001</v>
      </c>
      <c r="BO608" s="824">
        <f t="shared" ca="1" si="466"/>
        <v>0</v>
      </c>
      <c r="BP608" s="824">
        <f t="shared" ca="1" si="466"/>
        <v>0</v>
      </c>
      <c r="BQ608" s="824">
        <f t="shared" ca="1" si="466"/>
        <v>0</v>
      </c>
      <c r="BR608" s="824">
        <f t="shared" ca="1" si="466"/>
        <v>0</v>
      </c>
      <c r="BS608" s="824">
        <f t="shared" ca="1" si="466"/>
        <v>0</v>
      </c>
      <c r="BT608" s="824">
        <f t="shared" ca="1" si="466"/>
        <v>0</v>
      </c>
      <c r="BU608" s="824">
        <f t="shared" ca="1" si="466"/>
        <v>0</v>
      </c>
      <c r="BV608" s="824">
        <f t="shared" ca="1" si="466"/>
        <v>0</v>
      </c>
      <c r="BW608" s="824">
        <f t="shared" ca="1" si="466"/>
        <v>0</v>
      </c>
      <c r="BX608" s="824">
        <f t="shared" ca="1" si="466"/>
        <v>0</v>
      </c>
      <c r="BY608" s="824">
        <f t="shared" ca="1" si="466"/>
        <v>0</v>
      </c>
      <c r="BZ608" s="824">
        <f t="shared" ca="1" si="466"/>
        <v>0</v>
      </c>
      <c r="CA608" s="824">
        <f t="shared" ca="1" si="466"/>
        <v>0</v>
      </c>
      <c r="CB608" s="824">
        <f t="shared" ca="1" si="466"/>
        <v>0</v>
      </c>
      <c r="CC608" s="824">
        <f t="shared" ca="1" si="466"/>
        <v>0</v>
      </c>
      <c r="CD608" s="824">
        <f t="shared" ca="1" si="466"/>
        <v>0</v>
      </c>
      <c r="CE608" s="824">
        <f t="shared" ca="1" si="465"/>
        <v>0</v>
      </c>
      <c r="CF608" s="824">
        <f t="shared" ca="1" si="465"/>
        <v>0</v>
      </c>
      <c r="CG608" s="824">
        <f t="shared" ca="1" si="465"/>
        <v>0</v>
      </c>
      <c r="CH608" s="824">
        <f t="shared" ca="1" si="465"/>
        <v>0</v>
      </c>
      <c r="CI608" s="824">
        <f t="shared" ca="1" si="465"/>
        <v>0</v>
      </c>
      <c r="CJ608" s="824">
        <f t="shared" ca="1" si="465"/>
        <v>0</v>
      </c>
      <c r="CK608" s="824">
        <f t="shared" ca="1" si="465"/>
        <v>0</v>
      </c>
      <c r="CL608" s="824">
        <f t="shared" ca="1" si="465"/>
        <v>0</v>
      </c>
      <c r="CM608" s="824">
        <f t="shared" ca="1" si="465"/>
        <v>0</v>
      </c>
      <c r="CN608" s="824">
        <f t="shared" ca="1" si="465"/>
        <v>0</v>
      </c>
      <c r="CO608" s="824">
        <f t="shared" ca="1" si="465"/>
        <v>0</v>
      </c>
      <c r="CP608" s="824">
        <f t="shared" ca="1" si="465"/>
        <v>0</v>
      </c>
      <c r="CQ608" s="824">
        <f t="shared" ca="1" si="465"/>
        <v>0</v>
      </c>
      <c r="CR608" s="824">
        <f t="shared" ca="1" si="465"/>
        <v>0</v>
      </c>
      <c r="CS608" s="824">
        <f t="shared" ca="1" si="465"/>
        <v>0</v>
      </c>
      <c r="CT608" s="824">
        <f t="shared" ca="1" si="468"/>
        <v>0</v>
      </c>
      <c r="CU608" s="824">
        <f t="shared" ca="1" si="468"/>
        <v>0</v>
      </c>
      <c r="CV608" s="824">
        <f t="shared" ca="1" si="468"/>
        <v>0</v>
      </c>
      <c r="CW608" s="824">
        <f t="shared" ca="1" si="468"/>
        <v>0</v>
      </c>
      <c r="CX608" s="824">
        <f t="shared" ca="1" si="468"/>
        <v>0</v>
      </c>
      <c r="CY608" s="824">
        <f t="shared" ca="1" si="468"/>
        <v>0</v>
      </c>
      <c r="CZ608" s="824">
        <f t="shared" ca="1" si="468"/>
        <v>0</v>
      </c>
      <c r="DA608" s="824">
        <f t="shared" ca="1" si="468"/>
        <v>0</v>
      </c>
      <c r="DB608" s="824">
        <f t="shared" ca="1" si="468"/>
        <v>0</v>
      </c>
      <c r="DC608" s="824">
        <f t="shared" ca="1" si="468"/>
        <v>0</v>
      </c>
      <c r="DD608" s="824">
        <f t="shared" ca="1" si="468"/>
        <v>0</v>
      </c>
      <c r="DE608" s="824">
        <f t="shared" ca="1" si="468"/>
        <v>0</v>
      </c>
      <c r="DF608" s="824">
        <f t="shared" ca="1" si="468"/>
        <v>0</v>
      </c>
      <c r="DG608" s="824">
        <f t="shared" ca="1" si="468"/>
        <v>0</v>
      </c>
      <c r="DH608" s="824">
        <f t="shared" ca="1" si="468"/>
        <v>0</v>
      </c>
      <c r="DI608" s="824">
        <f t="shared" ca="1" si="468"/>
        <v>0</v>
      </c>
      <c r="DJ608" s="824">
        <f t="shared" ca="1" si="454"/>
        <v>0</v>
      </c>
      <c r="DK608" s="824">
        <f t="shared" ca="1" si="454"/>
        <v>0</v>
      </c>
      <c r="DL608" s="824">
        <f t="shared" ca="1" si="454"/>
        <v>0</v>
      </c>
    </row>
    <row r="609" spans="2:116" ht="12" thickBot="1" x14ac:dyDescent="0.3">
      <c r="B609" s="1673"/>
      <c r="C609" s="1680"/>
      <c r="D609" s="15" t="s">
        <v>194</v>
      </c>
      <c r="E609" s="165"/>
      <c r="F609" s="116">
        <f ca="1">SUBTOTAL(109,'3.3 I&amp;W'!$X$149)</f>
        <v>0</v>
      </c>
      <c r="G609" s="116">
        <f ca="1">SUBTOTAL(109,'3.3 I&amp;W'!$Y$149)</f>
        <v>0</v>
      </c>
      <c r="H609" s="116">
        <f ca="1">SUBTOTAL(109,'3.3 I&amp;W'!$AD$149)</f>
        <v>0</v>
      </c>
      <c r="I609" s="116">
        <f ca="1">SUBTOTAL(109,'3.3 I&amp;W'!$AE$149)</f>
        <v>0</v>
      </c>
      <c r="J609" s="116"/>
      <c r="K609" s="116"/>
      <c r="L609" s="116"/>
      <c r="M609" s="116">
        <f ca="1">SUBTOTAL(109,'3.3 I&amp;W'!$AI$149)</f>
        <v>0</v>
      </c>
      <c r="N609" s="156">
        <f t="shared" ca="1" si="404"/>
        <v>0</v>
      </c>
      <c r="O609" s="116">
        <f ca="1">SUBTOTAL(109,'3.3 I&amp;W'!$S$149)</f>
        <v>0</v>
      </c>
      <c r="P609" s="30">
        <f t="shared" ca="1" si="445"/>
        <v>0</v>
      </c>
      <c r="Q609" s="31">
        <f t="shared" ca="1" si="446"/>
        <v>0</v>
      </c>
      <c r="R609" s="31">
        <f t="shared" ca="1" si="447"/>
        <v>0</v>
      </c>
      <c r="S609" s="31">
        <f t="shared" ca="1" si="448"/>
        <v>0</v>
      </c>
      <c r="T609" s="32">
        <f t="shared" ca="1" si="449"/>
        <v>0</v>
      </c>
      <c r="U609" s="37">
        <f t="shared" ca="1" si="405"/>
        <v>0</v>
      </c>
      <c r="V609" s="40">
        <f t="shared" ca="1" si="455"/>
        <v>0</v>
      </c>
      <c r="W609" s="41">
        <f t="shared" ca="1" si="456"/>
        <v>0</v>
      </c>
      <c r="X609" s="43"/>
      <c r="Y609" s="46"/>
      <c r="Z609" s="126"/>
      <c r="AA609" s="136"/>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824">
        <f t="shared" ca="1" si="457"/>
        <v>0</v>
      </c>
      <c r="BM609" s="824">
        <f t="shared" ca="1" si="458"/>
        <v>0</v>
      </c>
      <c r="BN609" s="824">
        <f t="shared" ca="1" si="459"/>
        <v>0</v>
      </c>
      <c r="BO609" s="824">
        <f t="shared" ca="1" si="466"/>
        <v>0</v>
      </c>
      <c r="BP609" s="824">
        <f t="shared" ca="1" si="466"/>
        <v>0</v>
      </c>
      <c r="BQ609" s="824">
        <f t="shared" ca="1" si="466"/>
        <v>0</v>
      </c>
      <c r="BR609" s="824">
        <f t="shared" ca="1" si="466"/>
        <v>0</v>
      </c>
      <c r="BS609" s="824">
        <f t="shared" ca="1" si="466"/>
        <v>0</v>
      </c>
      <c r="BT609" s="824">
        <f t="shared" ca="1" si="466"/>
        <v>0</v>
      </c>
      <c r="BU609" s="824">
        <f t="shared" ca="1" si="466"/>
        <v>0</v>
      </c>
      <c r="BV609" s="824">
        <f t="shared" ca="1" si="466"/>
        <v>0</v>
      </c>
      <c r="BW609" s="824">
        <f t="shared" ca="1" si="466"/>
        <v>0</v>
      </c>
      <c r="BX609" s="824">
        <f t="shared" ca="1" si="466"/>
        <v>0</v>
      </c>
      <c r="BY609" s="824">
        <f t="shared" ca="1" si="466"/>
        <v>0</v>
      </c>
      <c r="BZ609" s="824">
        <f t="shared" ca="1" si="466"/>
        <v>0</v>
      </c>
      <c r="CA609" s="824">
        <f t="shared" ca="1" si="466"/>
        <v>0</v>
      </c>
      <c r="CB609" s="824">
        <f t="shared" ca="1" si="466"/>
        <v>0</v>
      </c>
      <c r="CC609" s="824">
        <f t="shared" ca="1" si="466"/>
        <v>0</v>
      </c>
      <c r="CD609" s="824">
        <f t="shared" ca="1" si="466"/>
        <v>0</v>
      </c>
      <c r="CE609" s="824">
        <f t="shared" ca="1" si="465"/>
        <v>0</v>
      </c>
      <c r="CF609" s="824">
        <f t="shared" ca="1" si="465"/>
        <v>0</v>
      </c>
      <c r="CG609" s="824">
        <f t="shared" ca="1" si="465"/>
        <v>0</v>
      </c>
      <c r="CH609" s="824">
        <f t="shared" ca="1" si="465"/>
        <v>0</v>
      </c>
      <c r="CI609" s="824">
        <f t="shared" ca="1" si="465"/>
        <v>0</v>
      </c>
      <c r="CJ609" s="824">
        <f t="shared" ca="1" si="465"/>
        <v>0</v>
      </c>
      <c r="CK609" s="824">
        <f t="shared" ca="1" si="465"/>
        <v>0</v>
      </c>
      <c r="CL609" s="824">
        <f t="shared" ca="1" si="465"/>
        <v>0</v>
      </c>
      <c r="CM609" s="824">
        <f t="shared" ca="1" si="465"/>
        <v>0</v>
      </c>
      <c r="CN609" s="824">
        <f t="shared" ca="1" si="465"/>
        <v>0</v>
      </c>
      <c r="CO609" s="824">
        <f t="shared" ca="1" si="465"/>
        <v>0</v>
      </c>
      <c r="CP609" s="824">
        <f t="shared" ca="1" si="465"/>
        <v>0</v>
      </c>
      <c r="CQ609" s="824">
        <f t="shared" ca="1" si="465"/>
        <v>0</v>
      </c>
      <c r="CR609" s="824">
        <f t="shared" ca="1" si="465"/>
        <v>0</v>
      </c>
      <c r="CS609" s="824">
        <f t="shared" ca="1" si="465"/>
        <v>0</v>
      </c>
      <c r="CT609" s="824">
        <f t="shared" ca="1" si="468"/>
        <v>0</v>
      </c>
      <c r="CU609" s="824">
        <f t="shared" ca="1" si="468"/>
        <v>0</v>
      </c>
      <c r="CV609" s="824">
        <f t="shared" ca="1" si="468"/>
        <v>0</v>
      </c>
      <c r="CW609" s="824">
        <f t="shared" ca="1" si="468"/>
        <v>0</v>
      </c>
      <c r="CX609" s="824">
        <f t="shared" ca="1" si="468"/>
        <v>0</v>
      </c>
      <c r="CY609" s="824">
        <f t="shared" ca="1" si="468"/>
        <v>0</v>
      </c>
      <c r="CZ609" s="824">
        <f t="shared" ca="1" si="468"/>
        <v>0</v>
      </c>
      <c r="DA609" s="824">
        <f t="shared" ca="1" si="468"/>
        <v>0</v>
      </c>
      <c r="DB609" s="824">
        <f t="shared" ca="1" si="468"/>
        <v>0</v>
      </c>
      <c r="DC609" s="824">
        <f t="shared" ca="1" si="468"/>
        <v>0</v>
      </c>
      <c r="DD609" s="824">
        <f t="shared" ca="1" si="468"/>
        <v>0</v>
      </c>
      <c r="DE609" s="824">
        <f t="shared" ca="1" si="468"/>
        <v>0</v>
      </c>
      <c r="DF609" s="824">
        <f t="shared" ca="1" si="468"/>
        <v>0</v>
      </c>
      <c r="DG609" s="824">
        <f t="shared" ca="1" si="468"/>
        <v>0</v>
      </c>
      <c r="DH609" s="824">
        <f t="shared" ca="1" si="468"/>
        <v>0</v>
      </c>
      <c r="DI609" s="824">
        <f t="shared" ca="1" si="468"/>
        <v>0</v>
      </c>
      <c r="DJ609" s="824">
        <f t="shared" ca="1" si="454"/>
        <v>0</v>
      </c>
      <c r="DK609" s="824">
        <f t="shared" ca="1" si="454"/>
        <v>0</v>
      </c>
      <c r="DL609" s="824">
        <f t="shared" ca="1" si="454"/>
        <v>0</v>
      </c>
    </row>
    <row r="610" spans="2:116" ht="12" thickBot="1" x14ac:dyDescent="0.3">
      <c r="B610" s="1673"/>
      <c r="C610" s="1680"/>
      <c r="D610" s="15"/>
      <c r="E610" s="165"/>
      <c r="F610" s="116">
        <f ca="1">SUBTOTAL(109,'3.3 I&amp;W'!$X$150)</f>
        <v>0</v>
      </c>
      <c r="G610" s="116">
        <f ca="1">SUBTOTAL(109,'3.3 I&amp;W'!$Y$150)</f>
        <v>0</v>
      </c>
      <c r="H610" s="116">
        <f ca="1">SUBTOTAL(109,'3.3 I&amp;W'!$AD$150)</f>
        <v>0</v>
      </c>
      <c r="I610" s="116">
        <f ca="1">SUBTOTAL(109,'3.3 I&amp;W'!$AE$150)</f>
        <v>0</v>
      </c>
      <c r="J610" s="116"/>
      <c r="K610" s="116"/>
      <c r="L610" s="116"/>
      <c r="M610" s="116">
        <f ca="1">SUBTOTAL(109,'3.3 I&amp;W'!$AI$150)</f>
        <v>0</v>
      </c>
      <c r="N610" s="156">
        <f t="shared" ca="1" si="404"/>
        <v>0</v>
      </c>
      <c r="O610" s="116">
        <f ca="1">SUBTOTAL(109,'3.3 I&amp;W'!$S$150)</f>
        <v>0</v>
      </c>
      <c r="P610" s="30">
        <f t="shared" ca="1" si="445"/>
        <v>0</v>
      </c>
      <c r="Q610" s="31">
        <f t="shared" ca="1" si="446"/>
        <v>0</v>
      </c>
      <c r="R610" s="31">
        <f t="shared" ca="1" si="447"/>
        <v>0</v>
      </c>
      <c r="S610" s="31">
        <f t="shared" ca="1" si="448"/>
        <v>0</v>
      </c>
      <c r="T610" s="32">
        <f t="shared" ca="1" si="449"/>
        <v>0</v>
      </c>
      <c r="U610" s="37">
        <f t="shared" ca="1" si="405"/>
        <v>0</v>
      </c>
      <c r="V610" s="40">
        <f t="shared" ca="1" si="455"/>
        <v>0</v>
      </c>
      <c r="W610" s="41">
        <f t="shared" ca="1" si="456"/>
        <v>0</v>
      </c>
      <c r="X610" s="43"/>
      <c r="Y610" s="46"/>
      <c r="Z610" s="126"/>
      <c r="AA610" s="136"/>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824">
        <f t="shared" ca="1" si="457"/>
        <v>0</v>
      </c>
      <c r="BM610" s="824">
        <f t="shared" ca="1" si="458"/>
        <v>0</v>
      </c>
      <c r="BN610" s="824">
        <f t="shared" ca="1" si="459"/>
        <v>0</v>
      </c>
      <c r="BO610" s="824">
        <f t="shared" ca="1" si="466"/>
        <v>0</v>
      </c>
      <c r="BP610" s="824">
        <f t="shared" ca="1" si="466"/>
        <v>0</v>
      </c>
      <c r="BQ610" s="824">
        <f t="shared" ca="1" si="466"/>
        <v>0</v>
      </c>
      <c r="BR610" s="824">
        <f t="shared" ca="1" si="466"/>
        <v>0</v>
      </c>
      <c r="BS610" s="824">
        <f t="shared" ca="1" si="466"/>
        <v>0</v>
      </c>
      <c r="BT610" s="824">
        <f t="shared" ca="1" si="466"/>
        <v>0</v>
      </c>
      <c r="BU610" s="824">
        <f t="shared" ca="1" si="466"/>
        <v>0</v>
      </c>
      <c r="BV610" s="824">
        <f t="shared" ca="1" si="466"/>
        <v>0</v>
      </c>
      <c r="BW610" s="824">
        <f t="shared" ca="1" si="466"/>
        <v>0</v>
      </c>
      <c r="BX610" s="824">
        <f t="shared" ca="1" si="466"/>
        <v>0</v>
      </c>
      <c r="BY610" s="824">
        <f t="shared" ca="1" si="466"/>
        <v>0</v>
      </c>
      <c r="BZ610" s="824">
        <f t="shared" ca="1" si="466"/>
        <v>0</v>
      </c>
      <c r="CA610" s="824">
        <f t="shared" ca="1" si="466"/>
        <v>0</v>
      </c>
      <c r="CB610" s="824">
        <f t="shared" ca="1" si="466"/>
        <v>0</v>
      </c>
      <c r="CC610" s="824">
        <f t="shared" ca="1" si="466"/>
        <v>0</v>
      </c>
      <c r="CD610" s="824">
        <f t="shared" ca="1" si="466"/>
        <v>0</v>
      </c>
      <c r="CE610" s="824">
        <f t="shared" ca="1" si="465"/>
        <v>0</v>
      </c>
      <c r="CF610" s="824">
        <f t="shared" ca="1" si="465"/>
        <v>0</v>
      </c>
      <c r="CG610" s="824">
        <f t="shared" ca="1" si="465"/>
        <v>0</v>
      </c>
      <c r="CH610" s="824">
        <f t="shared" ca="1" si="465"/>
        <v>0</v>
      </c>
      <c r="CI610" s="824">
        <f t="shared" ca="1" si="465"/>
        <v>0</v>
      </c>
      <c r="CJ610" s="824">
        <f t="shared" ca="1" si="465"/>
        <v>0</v>
      </c>
      <c r="CK610" s="824">
        <f t="shared" ca="1" si="465"/>
        <v>0</v>
      </c>
      <c r="CL610" s="824">
        <f t="shared" ca="1" si="465"/>
        <v>0</v>
      </c>
      <c r="CM610" s="824">
        <f t="shared" ca="1" si="465"/>
        <v>0</v>
      </c>
      <c r="CN610" s="824">
        <f t="shared" ca="1" si="465"/>
        <v>0</v>
      </c>
      <c r="CO610" s="824">
        <f t="shared" ca="1" si="465"/>
        <v>0</v>
      </c>
      <c r="CP610" s="824">
        <f t="shared" ca="1" si="465"/>
        <v>0</v>
      </c>
      <c r="CQ610" s="824">
        <f t="shared" ca="1" si="465"/>
        <v>0</v>
      </c>
      <c r="CR610" s="824">
        <f t="shared" ca="1" si="465"/>
        <v>0</v>
      </c>
      <c r="CS610" s="824">
        <f t="shared" ca="1" si="465"/>
        <v>0</v>
      </c>
      <c r="CT610" s="824">
        <f t="shared" ca="1" si="468"/>
        <v>0</v>
      </c>
      <c r="CU610" s="824">
        <f t="shared" ca="1" si="468"/>
        <v>0</v>
      </c>
      <c r="CV610" s="824">
        <f t="shared" ca="1" si="468"/>
        <v>0</v>
      </c>
      <c r="CW610" s="824">
        <f t="shared" ca="1" si="468"/>
        <v>0</v>
      </c>
      <c r="CX610" s="824">
        <f t="shared" ca="1" si="468"/>
        <v>0</v>
      </c>
      <c r="CY610" s="824">
        <f t="shared" ca="1" si="468"/>
        <v>0</v>
      </c>
      <c r="CZ610" s="824">
        <f t="shared" ca="1" si="468"/>
        <v>0</v>
      </c>
      <c r="DA610" s="824">
        <f t="shared" ca="1" si="468"/>
        <v>0</v>
      </c>
      <c r="DB610" s="824">
        <f t="shared" ca="1" si="468"/>
        <v>0</v>
      </c>
      <c r="DC610" s="824">
        <f t="shared" ca="1" si="468"/>
        <v>0</v>
      </c>
      <c r="DD610" s="824">
        <f t="shared" ca="1" si="468"/>
        <v>0</v>
      </c>
      <c r="DE610" s="824">
        <f t="shared" ca="1" si="468"/>
        <v>0</v>
      </c>
      <c r="DF610" s="824">
        <f t="shared" ca="1" si="468"/>
        <v>0</v>
      </c>
      <c r="DG610" s="824">
        <f t="shared" ca="1" si="468"/>
        <v>0</v>
      </c>
      <c r="DH610" s="824">
        <f t="shared" ca="1" si="468"/>
        <v>0</v>
      </c>
      <c r="DI610" s="824">
        <f t="shared" ca="1" si="468"/>
        <v>0</v>
      </c>
      <c r="DJ610" s="824">
        <f t="shared" ca="1" si="454"/>
        <v>0</v>
      </c>
      <c r="DK610" s="824">
        <f t="shared" ca="1" si="454"/>
        <v>0</v>
      </c>
      <c r="DL610" s="824">
        <f t="shared" ca="1" si="454"/>
        <v>0</v>
      </c>
    </row>
    <row r="611" spans="2:116" ht="12" thickBot="1" x14ac:dyDescent="0.3">
      <c r="B611" s="1673"/>
      <c r="C611" s="1680"/>
      <c r="D611" s="15" t="s">
        <v>307</v>
      </c>
      <c r="E611" s="116"/>
      <c r="F611" s="116">
        <f ca="1">SUBTOTAL(109,'3.3 I&amp;W'!$X$153)</f>
        <v>0</v>
      </c>
      <c r="G611" s="116">
        <f ca="1">SUBTOTAL(109,'3.3 I&amp;W'!$Y$153)</f>
        <v>0</v>
      </c>
      <c r="H611" s="116">
        <f ca="1">SUBTOTAL(109,'3.3 I&amp;W'!$AD$153)</f>
        <v>0</v>
      </c>
      <c r="I611" s="116">
        <f ca="1">SUBTOTAL(109,'3.3 I&amp;W'!$AE$153)</f>
        <v>0</v>
      </c>
      <c r="J611" s="116"/>
      <c r="K611" s="116"/>
      <c r="L611" s="116"/>
      <c r="M611" s="116">
        <f ca="1">SUBTOTAL(109,'3.3 I&amp;W'!$AI$153)</f>
        <v>0</v>
      </c>
      <c r="N611" s="156">
        <f t="shared" ca="1" si="404"/>
        <v>0</v>
      </c>
      <c r="O611" s="116">
        <f ca="1">SUBTOTAL(109,'3.3 I&amp;W'!$S$153)</f>
        <v>0</v>
      </c>
      <c r="P611" s="30">
        <f ca="1">IF(N611&gt;=1,O611*$G$158^(1*M611)/($G$157^(1*M611)),0)</f>
        <v>0</v>
      </c>
      <c r="Q611" s="31">
        <f ca="1">IF(N611&gt;=2,O611*$G$158^(2*M611)/($G$157^(2*M611)),0)</f>
        <v>0</v>
      </c>
      <c r="R611" s="31">
        <f ca="1">IF(N611&gt;=3,O611*$G$158^(3*M611)/($G$157^(3*M611)),0)</f>
        <v>0</v>
      </c>
      <c r="S611" s="31">
        <f ca="1">IF(N611&gt;=4,O611*$G$158^(4*M611)/($G$157^(4*M611)),0)</f>
        <v>0</v>
      </c>
      <c r="T611" s="32">
        <f ca="1">IF(N611&gt;=5,O611*$G$158^(5*M611)/($G$157^(5*M611)),0)</f>
        <v>0</v>
      </c>
      <c r="U611" s="37">
        <f t="shared" ca="1" si="405"/>
        <v>0</v>
      </c>
      <c r="V611" s="40">
        <f t="shared" ca="1" si="455"/>
        <v>0</v>
      </c>
      <c r="W611" s="41">
        <f t="shared" ca="1" si="456"/>
        <v>0</v>
      </c>
      <c r="X611" s="43"/>
      <c r="Y611" s="46"/>
      <c r="Z611" s="126"/>
      <c r="AA611" s="136"/>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824">
        <f t="shared" ca="1" si="457"/>
        <v>0</v>
      </c>
      <c r="BM611" s="824">
        <f t="shared" ca="1" si="458"/>
        <v>0</v>
      </c>
      <c r="BN611" s="824">
        <f t="shared" ca="1" si="459"/>
        <v>0</v>
      </c>
      <c r="BO611" s="824">
        <f t="shared" ca="1" si="466"/>
        <v>0</v>
      </c>
      <c r="BP611" s="824">
        <f t="shared" ca="1" si="466"/>
        <v>0</v>
      </c>
      <c r="BQ611" s="824">
        <f t="shared" ca="1" si="466"/>
        <v>0</v>
      </c>
      <c r="BR611" s="824">
        <f t="shared" ca="1" si="466"/>
        <v>0</v>
      </c>
      <c r="BS611" s="824">
        <f t="shared" ca="1" si="466"/>
        <v>0</v>
      </c>
      <c r="BT611" s="824">
        <f t="shared" ca="1" si="466"/>
        <v>0</v>
      </c>
      <c r="BU611" s="824">
        <f t="shared" ca="1" si="466"/>
        <v>0</v>
      </c>
      <c r="BV611" s="824">
        <f t="shared" ca="1" si="466"/>
        <v>0</v>
      </c>
      <c r="BW611" s="824">
        <f t="shared" ca="1" si="466"/>
        <v>0</v>
      </c>
      <c r="BX611" s="824">
        <f t="shared" ca="1" si="466"/>
        <v>0</v>
      </c>
      <c r="BY611" s="824">
        <f t="shared" ca="1" si="466"/>
        <v>0</v>
      </c>
      <c r="BZ611" s="824">
        <f t="shared" ca="1" si="466"/>
        <v>0</v>
      </c>
      <c r="CA611" s="824">
        <f t="shared" ca="1" si="466"/>
        <v>0</v>
      </c>
      <c r="CB611" s="824">
        <f t="shared" ca="1" si="466"/>
        <v>0</v>
      </c>
      <c r="CC611" s="824">
        <f t="shared" ca="1" si="466"/>
        <v>0</v>
      </c>
      <c r="CD611" s="824">
        <f t="shared" ca="1" si="466"/>
        <v>0</v>
      </c>
      <c r="CE611" s="824">
        <f t="shared" ca="1" si="465"/>
        <v>0</v>
      </c>
      <c r="CF611" s="824">
        <f t="shared" ca="1" si="465"/>
        <v>0</v>
      </c>
      <c r="CG611" s="824">
        <f t="shared" ca="1" si="465"/>
        <v>0</v>
      </c>
      <c r="CH611" s="824">
        <f t="shared" ca="1" si="465"/>
        <v>0</v>
      </c>
      <c r="CI611" s="824">
        <f t="shared" ca="1" si="465"/>
        <v>0</v>
      </c>
      <c r="CJ611" s="824">
        <f t="shared" ca="1" si="465"/>
        <v>0</v>
      </c>
      <c r="CK611" s="824">
        <f t="shared" ca="1" si="465"/>
        <v>0</v>
      </c>
      <c r="CL611" s="824">
        <f t="shared" ca="1" si="465"/>
        <v>0</v>
      </c>
      <c r="CM611" s="824">
        <f t="shared" ca="1" si="465"/>
        <v>0</v>
      </c>
      <c r="CN611" s="824">
        <f t="shared" ca="1" si="465"/>
        <v>0</v>
      </c>
      <c r="CO611" s="824">
        <f t="shared" ca="1" si="465"/>
        <v>0</v>
      </c>
      <c r="CP611" s="824">
        <f t="shared" ca="1" si="465"/>
        <v>0</v>
      </c>
      <c r="CQ611" s="824">
        <f t="shared" ca="1" si="465"/>
        <v>0</v>
      </c>
      <c r="CR611" s="824">
        <f t="shared" ca="1" si="465"/>
        <v>0</v>
      </c>
      <c r="CS611" s="824">
        <f t="shared" ca="1" si="465"/>
        <v>0</v>
      </c>
      <c r="CT611" s="824">
        <f t="shared" ca="1" si="468"/>
        <v>0</v>
      </c>
      <c r="CU611" s="824">
        <f t="shared" ca="1" si="468"/>
        <v>0</v>
      </c>
      <c r="CV611" s="824">
        <f t="shared" ca="1" si="468"/>
        <v>0</v>
      </c>
      <c r="CW611" s="824">
        <f t="shared" ca="1" si="468"/>
        <v>0</v>
      </c>
      <c r="CX611" s="824">
        <f t="shared" ca="1" si="468"/>
        <v>0</v>
      </c>
      <c r="CY611" s="824">
        <f t="shared" ca="1" si="468"/>
        <v>0</v>
      </c>
      <c r="CZ611" s="824">
        <f t="shared" ca="1" si="468"/>
        <v>0</v>
      </c>
      <c r="DA611" s="824">
        <f t="shared" ca="1" si="468"/>
        <v>0</v>
      </c>
      <c r="DB611" s="824">
        <f t="shared" ca="1" si="468"/>
        <v>0</v>
      </c>
      <c r="DC611" s="824">
        <f t="shared" ca="1" si="468"/>
        <v>0</v>
      </c>
      <c r="DD611" s="824">
        <f t="shared" ca="1" si="468"/>
        <v>0</v>
      </c>
      <c r="DE611" s="824">
        <f t="shared" ca="1" si="468"/>
        <v>0</v>
      </c>
      <c r="DF611" s="824">
        <f t="shared" ca="1" si="468"/>
        <v>0</v>
      </c>
      <c r="DG611" s="824">
        <f t="shared" ca="1" si="468"/>
        <v>0</v>
      </c>
      <c r="DH611" s="824">
        <f t="shared" ca="1" si="468"/>
        <v>0</v>
      </c>
      <c r="DI611" s="824">
        <f t="shared" ca="1" si="468"/>
        <v>0</v>
      </c>
      <c r="DJ611" s="824">
        <f t="shared" ca="1" si="454"/>
        <v>0</v>
      </c>
      <c r="DK611" s="824">
        <f t="shared" ca="1" si="454"/>
        <v>0</v>
      </c>
      <c r="DL611" s="824">
        <f t="shared" ca="1" si="454"/>
        <v>0</v>
      </c>
    </row>
    <row r="612" spans="2:116" ht="12" thickBot="1" x14ac:dyDescent="0.3">
      <c r="B612" s="1673"/>
      <c r="C612" s="1680"/>
      <c r="D612" s="15"/>
      <c r="E612" s="116"/>
      <c r="F612" s="116">
        <f ca="1">SUBTOTAL(109,'3.3 I&amp;W'!$X$154)</f>
        <v>0</v>
      </c>
      <c r="G612" s="116">
        <f ca="1">SUBTOTAL(109,'3.3 I&amp;W'!$Y$154)</f>
        <v>0</v>
      </c>
      <c r="H612" s="116">
        <f ca="1">SUBTOTAL(109,'3.3 I&amp;W'!$AD$154)</f>
        <v>0</v>
      </c>
      <c r="I612" s="116">
        <f ca="1">SUBTOTAL(109,'3.3 I&amp;W'!$AE$154)</f>
        <v>0</v>
      </c>
      <c r="J612" s="116"/>
      <c r="K612" s="116"/>
      <c r="L612" s="116"/>
      <c r="M612" s="116">
        <f ca="1">SUBTOTAL(109,'3.3 I&amp;W'!$AI$154)</f>
        <v>0</v>
      </c>
      <c r="N612" s="156">
        <f t="shared" ca="1" si="404"/>
        <v>0</v>
      </c>
      <c r="O612" s="116">
        <f ca="1">SUBTOTAL(109,'3.3 I&amp;W'!$S$154)</f>
        <v>0</v>
      </c>
      <c r="P612" s="30">
        <f ca="1">IF(N612&gt;=1,O612*$G$158^(1*M612)/($G$157^(1*M612)),0)</f>
        <v>0</v>
      </c>
      <c r="Q612" s="31">
        <f ca="1">IF(N612&gt;=2,O612*$G$158^(2*M612)/($G$157^(2*M612)),0)</f>
        <v>0</v>
      </c>
      <c r="R612" s="31">
        <f ca="1">IF(N612&gt;=3,O612*$G$158^(3*M612)/($G$157^(3*M612)),0)</f>
        <v>0</v>
      </c>
      <c r="S612" s="31">
        <f ca="1">IF(N612&gt;=4,O612*$G$158^(4*M612)/($G$157^(4*M612)),0)</f>
        <v>0</v>
      </c>
      <c r="T612" s="32">
        <f ca="1">IF(N612&gt;=5,O612*$G$158^(5*M612)/($G$157^(5*M612)),0)</f>
        <v>0</v>
      </c>
      <c r="U612" s="37">
        <f t="shared" ca="1" si="405"/>
        <v>0</v>
      </c>
      <c r="V612" s="40">
        <f t="shared" ca="1" si="455"/>
        <v>0</v>
      </c>
      <c r="W612" s="41">
        <f t="shared" ca="1" si="456"/>
        <v>0</v>
      </c>
      <c r="X612" s="43"/>
      <c r="Y612" s="46"/>
      <c r="Z612" s="126"/>
      <c r="AA612" s="136"/>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824">
        <f t="shared" ca="1" si="457"/>
        <v>0</v>
      </c>
      <c r="BM612" s="824">
        <f t="shared" ca="1" si="458"/>
        <v>0</v>
      </c>
      <c r="BN612" s="824">
        <f t="shared" ca="1" si="459"/>
        <v>0</v>
      </c>
      <c r="BO612" s="824">
        <f t="shared" ca="1" si="466"/>
        <v>0</v>
      </c>
      <c r="BP612" s="824">
        <f t="shared" ca="1" si="466"/>
        <v>0</v>
      </c>
      <c r="BQ612" s="824">
        <f t="shared" ca="1" si="466"/>
        <v>0</v>
      </c>
      <c r="BR612" s="824">
        <f t="shared" ca="1" si="466"/>
        <v>0</v>
      </c>
      <c r="BS612" s="824">
        <f t="shared" ca="1" si="466"/>
        <v>0</v>
      </c>
      <c r="BT612" s="824">
        <f t="shared" ca="1" si="466"/>
        <v>0</v>
      </c>
      <c r="BU612" s="824">
        <f t="shared" ca="1" si="466"/>
        <v>0</v>
      </c>
      <c r="BV612" s="824">
        <f t="shared" ca="1" si="466"/>
        <v>0</v>
      </c>
      <c r="BW612" s="824">
        <f t="shared" ca="1" si="466"/>
        <v>0</v>
      </c>
      <c r="BX612" s="824">
        <f t="shared" ca="1" si="466"/>
        <v>0</v>
      </c>
      <c r="BY612" s="824">
        <f t="shared" ca="1" si="466"/>
        <v>0</v>
      </c>
      <c r="BZ612" s="824">
        <f t="shared" ca="1" si="466"/>
        <v>0</v>
      </c>
      <c r="CA612" s="824">
        <f t="shared" ca="1" si="466"/>
        <v>0</v>
      </c>
      <c r="CB612" s="824">
        <f t="shared" ca="1" si="466"/>
        <v>0</v>
      </c>
      <c r="CC612" s="824">
        <f t="shared" ca="1" si="466"/>
        <v>0</v>
      </c>
      <c r="CD612" s="824">
        <f t="shared" ca="1" si="466"/>
        <v>0</v>
      </c>
      <c r="CE612" s="824">
        <f t="shared" ca="1" si="465"/>
        <v>0</v>
      </c>
      <c r="CF612" s="824">
        <f t="shared" ca="1" si="465"/>
        <v>0</v>
      </c>
      <c r="CG612" s="824">
        <f t="shared" ca="1" si="465"/>
        <v>0</v>
      </c>
      <c r="CH612" s="824">
        <f t="shared" ca="1" si="465"/>
        <v>0</v>
      </c>
      <c r="CI612" s="824">
        <f t="shared" ca="1" si="465"/>
        <v>0</v>
      </c>
      <c r="CJ612" s="824">
        <f t="shared" ca="1" si="465"/>
        <v>0</v>
      </c>
      <c r="CK612" s="824">
        <f t="shared" ca="1" si="465"/>
        <v>0</v>
      </c>
      <c r="CL612" s="824">
        <f t="shared" ca="1" si="465"/>
        <v>0</v>
      </c>
      <c r="CM612" s="824">
        <f t="shared" ca="1" si="465"/>
        <v>0</v>
      </c>
      <c r="CN612" s="824">
        <f t="shared" ca="1" si="465"/>
        <v>0</v>
      </c>
      <c r="CO612" s="824">
        <f t="shared" ca="1" si="465"/>
        <v>0</v>
      </c>
      <c r="CP612" s="824">
        <f t="shared" ca="1" si="465"/>
        <v>0</v>
      </c>
      <c r="CQ612" s="824">
        <f t="shared" ca="1" si="465"/>
        <v>0</v>
      </c>
      <c r="CR612" s="824">
        <f t="shared" ca="1" si="465"/>
        <v>0</v>
      </c>
      <c r="CS612" s="824">
        <f t="shared" ca="1" si="465"/>
        <v>0</v>
      </c>
      <c r="CT612" s="824">
        <f t="shared" ca="1" si="468"/>
        <v>0</v>
      </c>
      <c r="CU612" s="824">
        <f t="shared" ca="1" si="468"/>
        <v>0</v>
      </c>
      <c r="CV612" s="824">
        <f t="shared" ca="1" si="468"/>
        <v>0</v>
      </c>
      <c r="CW612" s="824">
        <f t="shared" ca="1" si="468"/>
        <v>0</v>
      </c>
      <c r="CX612" s="824">
        <f t="shared" ca="1" si="468"/>
        <v>0</v>
      </c>
      <c r="CY612" s="824">
        <f t="shared" ca="1" si="468"/>
        <v>0</v>
      </c>
      <c r="CZ612" s="824">
        <f t="shared" ca="1" si="468"/>
        <v>0</v>
      </c>
      <c r="DA612" s="824">
        <f t="shared" ca="1" si="468"/>
        <v>0</v>
      </c>
      <c r="DB612" s="824">
        <f t="shared" ca="1" si="468"/>
        <v>0</v>
      </c>
      <c r="DC612" s="824">
        <f t="shared" ca="1" si="468"/>
        <v>0</v>
      </c>
      <c r="DD612" s="824">
        <f t="shared" ca="1" si="468"/>
        <v>0</v>
      </c>
      <c r="DE612" s="824">
        <f t="shared" ca="1" si="468"/>
        <v>0</v>
      </c>
      <c r="DF612" s="824">
        <f t="shared" ca="1" si="468"/>
        <v>0</v>
      </c>
      <c r="DG612" s="824">
        <f t="shared" ca="1" si="468"/>
        <v>0</v>
      </c>
      <c r="DH612" s="824">
        <f t="shared" ca="1" si="468"/>
        <v>0</v>
      </c>
      <c r="DI612" s="824">
        <f t="shared" ca="1" si="468"/>
        <v>0</v>
      </c>
      <c r="DJ612" s="824">
        <f t="shared" ca="1" si="454"/>
        <v>0</v>
      </c>
      <c r="DK612" s="824">
        <f t="shared" ca="1" si="454"/>
        <v>0</v>
      </c>
      <c r="DL612" s="824">
        <f t="shared" ca="1" si="454"/>
        <v>0</v>
      </c>
    </row>
    <row r="613" spans="2:116" ht="12" thickBot="1" x14ac:dyDescent="0.3">
      <c r="B613" s="1673"/>
      <c r="C613" s="1680"/>
      <c r="D613" s="15" t="s">
        <v>31</v>
      </c>
      <c r="E613" s="165"/>
      <c r="F613" s="116">
        <f ca="1">SUBTOTAL(109,'3.3 I&amp;W'!$X$158)</f>
        <v>0</v>
      </c>
      <c r="G613" s="116">
        <f ca="1">SUBTOTAL(109,'3.3 I&amp;W'!$Y$158)</f>
        <v>0</v>
      </c>
      <c r="H613" s="116">
        <f ca="1">SUBTOTAL(109,'3.3 I&amp;W'!$AD$158)</f>
        <v>0</v>
      </c>
      <c r="I613" s="116">
        <f ca="1">SUBTOTAL(109,'3.3 I&amp;W'!$AE$158)</f>
        <v>0</v>
      </c>
      <c r="J613" s="116"/>
      <c r="K613" s="116"/>
      <c r="L613" s="116"/>
      <c r="M613" s="116">
        <f ca="1">SUBTOTAL(109,'3.3 I&amp;W'!$AI$158)</f>
        <v>0</v>
      </c>
      <c r="N613" s="156">
        <f t="shared" ca="1" si="404"/>
        <v>0</v>
      </c>
      <c r="O613" s="116">
        <f ca="1">SUBTOTAL(109,'3.3 I&amp;W'!$S$158)</f>
        <v>0</v>
      </c>
      <c r="P613" s="30">
        <f t="shared" ref="P613:P647" ca="1" si="469">IF(N613&gt;=1,O613*$G$158^(1*M613)/($G$157^(1*M613)),0)</f>
        <v>0</v>
      </c>
      <c r="Q613" s="31">
        <f t="shared" ref="Q613:Q647" ca="1" si="470">IF(N613&gt;=2,O613*$G$158^(2*M613)/($G$157^(2*M613)),0)</f>
        <v>0</v>
      </c>
      <c r="R613" s="31">
        <f t="shared" ref="R613:R647" ca="1" si="471">IF(N613&gt;=3,O613*$G$158^(3*M613)/($G$157^(3*M613)),0)</f>
        <v>0</v>
      </c>
      <c r="S613" s="31">
        <f t="shared" ref="S613:S647" ca="1" si="472">IF(N613&gt;=4,O613*$G$158^(4*M613)/($G$157^(4*M613)),0)</f>
        <v>0</v>
      </c>
      <c r="T613" s="32">
        <f t="shared" ref="T613:T647" ca="1" si="473">IF(N613&gt;=5,O613*$G$158^(5*M613)/($G$157^(5*M613)),0)</f>
        <v>0</v>
      </c>
      <c r="U613" s="37">
        <f t="shared" ca="1" si="405"/>
        <v>0</v>
      </c>
      <c r="V613" s="40">
        <f t="shared" ref="V613:V646" ca="1" si="474">G613*$I$169</f>
        <v>0</v>
      </c>
      <c r="W613" s="41">
        <f t="shared" ref="W613:W646" ca="1" si="475">(I613+J613)*$I$167</f>
        <v>0</v>
      </c>
      <c r="X613" s="43"/>
      <c r="Y613" s="46"/>
      <c r="Z613" s="126"/>
      <c r="AA613" s="136"/>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824">
        <f t="shared" ref="BL613:BL644" ca="1" si="476">M613</f>
        <v>0</v>
      </c>
      <c r="BM613" s="824">
        <f t="shared" ref="BM613:BM644" ca="1" si="477">N613</f>
        <v>0</v>
      </c>
      <c r="BN613" s="824">
        <f t="shared" ref="BN613:BN644" ca="1" si="478">O613</f>
        <v>0</v>
      </c>
      <c r="BO613" s="824">
        <f t="shared" ca="1" si="466"/>
        <v>0</v>
      </c>
      <c r="BP613" s="824">
        <f t="shared" ca="1" si="466"/>
        <v>0</v>
      </c>
      <c r="BQ613" s="824">
        <f t="shared" ca="1" si="466"/>
        <v>0</v>
      </c>
      <c r="BR613" s="824">
        <f t="shared" ca="1" si="466"/>
        <v>0</v>
      </c>
      <c r="BS613" s="824">
        <f t="shared" ca="1" si="466"/>
        <v>0</v>
      </c>
      <c r="BT613" s="824">
        <f t="shared" ca="1" si="466"/>
        <v>0</v>
      </c>
      <c r="BU613" s="824">
        <f t="shared" ca="1" si="466"/>
        <v>0</v>
      </c>
      <c r="BV613" s="824">
        <f t="shared" ca="1" si="466"/>
        <v>0</v>
      </c>
      <c r="BW613" s="824">
        <f t="shared" ca="1" si="466"/>
        <v>0</v>
      </c>
      <c r="BX613" s="824">
        <f t="shared" ca="1" si="466"/>
        <v>0</v>
      </c>
      <c r="BY613" s="824">
        <f t="shared" ca="1" si="466"/>
        <v>0</v>
      </c>
      <c r="BZ613" s="824">
        <f t="shared" ca="1" si="466"/>
        <v>0</v>
      </c>
      <c r="CA613" s="824">
        <f t="shared" ca="1" si="466"/>
        <v>0</v>
      </c>
      <c r="CB613" s="824">
        <f t="shared" ca="1" si="466"/>
        <v>0</v>
      </c>
      <c r="CC613" s="824">
        <f t="shared" ca="1" si="466"/>
        <v>0</v>
      </c>
      <c r="CD613" s="824">
        <f t="shared" ca="1" si="466"/>
        <v>0</v>
      </c>
      <c r="CE613" s="824">
        <f t="shared" ca="1" si="465"/>
        <v>0</v>
      </c>
      <c r="CF613" s="824">
        <f t="shared" ca="1" si="465"/>
        <v>0</v>
      </c>
      <c r="CG613" s="824">
        <f t="shared" ca="1" si="465"/>
        <v>0</v>
      </c>
      <c r="CH613" s="824">
        <f t="shared" ca="1" si="465"/>
        <v>0</v>
      </c>
      <c r="CI613" s="824">
        <f t="shared" ca="1" si="465"/>
        <v>0</v>
      </c>
      <c r="CJ613" s="824">
        <f t="shared" ca="1" si="465"/>
        <v>0</v>
      </c>
      <c r="CK613" s="824">
        <f t="shared" ca="1" si="465"/>
        <v>0</v>
      </c>
      <c r="CL613" s="824">
        <f t="shared" ca="1" si="465"/>
        <v>0</v>
      </c>
      <c r="CM613" s="824">
        <f t="shared" ca="1" si="465"/>
        <v>0</v>
      </c>
      <c r="CN613" s="824">
        <f t="shared" ca="1" si="465"/>
        <v>0</v>
      </c>
      <c r="CO613" s="824">
        <f t="shared" ca="1" si="465"/>
        <v>0</v>
      </c>
      <c r="CP613" s="824">
        <f t="shared" ca="1" si="465"/>
        <v>0</v>
      </c>
      <c r="CQ613" s="824">
        <f t="shared" ca="1" si="465"/>
        <v>0</v>
      </c>
      <c r="CR613" s="824">
        <f t="shared" ca="1" si="465"/>
        <v>0</v>
      </c>
      <c r="CS613" s="824">
        <f t="shared" ca="1" si="465"/>
        <v>0</v>
      </c>
      <c r="CT613" s="824">
        <f t="shared" ca="1" si="468"/>
        <v>0</v>
      </c>
      <c r="CU613" s="824">
        <f t="shared" ca="1" si="468"/>
        <v>0</v>
      </c>
      <c r="CV613" s="824">
        <f t="shared" ca="1" si="468"/>
        <v>0</v>
      </c>
      <c r="CW613" s="824">
        <f t="shared" ca="1" si="468"/>
        <v>0</v>
      </c>
      <c r="CX613" s="824">
        <f t="shared" ca="1" si="468"/>
        <v>0</v>
      </c>
      <c r="CY613" s="824">
        <f t="shared" ca="1" si="468"/>
        <v>0</v>
      </c>
      <c r="CZ613" s="824">
        <f t="shared" ca="1" si="468"/>
        <v>0</v>
      </c>
      <c r="DA613" s="824">
        <f t="shared" ca="1" si="468"/>
        <v>0</v>
      </c>
      <c r="DB613" s="824">
        <f t="shared" ca="1" si="468"/>
        <v>0</v>
      </c>
      <c r="DC613" s="824">
        <f t="shared" ca="1" si="468"/>
        <v>0</v>
      </c>
      <c r="DD613" s="824">
        <f t="shared" ca="1" si="468"/>
        <v>0</v>
      </c>
      <c r="DE613" s="824">
        <f t="shared" ca="1" si="468"/>
        <v>0</v>
      </c>
      <c r="DF613" s="824">
        <f t="shared" ca="1" si="468"/>
        <v>0</v>
      </c>
      <c r="DG613" s="824">
        <f t="shared" ca="1" si="468"/>
        <v>0</v>
      </c>
      <c r="DH613" s="824">
        <f t="shared" ca="1" si="468"/>
        <v>0</v>
      </c>
      <c r="DI613" s="824">
        <f t="shared" ca="1" si="468"/>
        <v>0</v>
      </c>
      <c r="DJ613" s="824">
        <f t="shared" ca="1" si="454"/>
        <v>0</v>
      </c>
      <c r="DK613" s="824">
        <f t="shared" ca="1" si="454"/>
        <v>0</v>
      </c>
      <c r="DL613" s="824">
        <f t="shared" ca="1" si="454"/>
        <v>0</v>
      </c>
    </row>
    <row r="614" spans="2:116" ht="12" thickBot="1" x14ac:dyDescent="0.3">
      <c r="B614" s="1673"/>
      <c r="C614" s="1680"/>
      <c r="D614" s="15" t="s">
        <v>31</v>
      </c>
      <c r="E614" s="165"/>
      <c r="F614" s="116">
        <f ca="1">SUBTOTAL(109,'3.3 I&amp;W'!$X$159)</f>
        <v>0</v>
      </c>
      <c r="G614" s="116">
        <f ca="1">SUBTOTAL(109,'3.3 I&amp;W'!$Y$159)</f>
        <v>0</v>
      </c>
      <c r="H614" s="116">
        <f ca="1">SUBTOTAL(109,'3.3 I&amp;W'!$AD$159)</f>
        <v>0</v>
      </c>
      <c r="I614" s="116">
        <f ca="1">SUBTOTAL(109,'3.3 I&amp;W'!$AE$159)</f>
        <v>0</v>
      </c>
      <c r="J614" s="116"/>
      <c r="K614" s="116"/>
      <c r="L614" s="116"/>
      <c r="M614" s="116">
        <f ca="1">SUBTOTAL(109,'3.3 I&amp;W'!$AI$159)</f>
        <v>0</v>
      </c>
      <c r="N614" s="156">
        <f t="shared" ref="N614:N655" ca="1" si="479">IF(OR(M614=0,M614="",M614=$G$154),0,ROUNDDOWN($G$154/M614,0)+IF(MOD($G$154,M614)=0,-1))</f>
        <v>0</v>
      </c>
      <c r="O614" s="116">
        <f ca="1">SUBTOTAL(109,'3.3 I&amp;W'!$S$159)</f>
        <v>0</v>
      </c>
      <c r="P614" s="30">
        <f t="shared" ref="P614:P615" ca="1" si="480">IF(N614&gt;=1,O614*$G$158^(1*M614)/($G$157^(1*M614)),0)</f>
        <v>0</v>
      </c>
      <c r="Q614" s="31">
        <f t="shared" ref="Q614:Q615" ca="1" si="481">IF(N614&gt;=2,O614*$G$158^(2*M614)/($G$157^(2*M614)),0)</f>
        <v>0</v>
      </c>
      <c r="R614" s="31">
        <f t="shared" ref="R614:R615" ca="1" si="482">IF(N614&gt;=3,O614*$G$158^(3*M614)/($G$157^(3*M614)),0)</f>
        <v>0</v>
      </c>
      <c r="S614" s="31">
        <f t="shared" ref="S614:S615" ca="1" si="483">IF(N614&gt;=4,O614*$G$158^(4*M614)/($G$157^(4*M614)),0)</f>
        <v>0</v>
      </c>
      <c r="T614" s="32">
        <f t="shared" ref="T614:T615" ca="1" si="484">IF(N614&gt;=5,O614*$G$158^(5*M614)/($G$157^(5*M614)),0)</f>
        <v>0</v>
      </c>
      <c r="U614" s="37">
        <f t="shared" ref="U614:U615" ca="1" si="485">IF(M614=0,0,O614*$G$158^(N614*M614)*((N614+1)*M614-$G$154)/M614*(1/$G$157^$G$154))</f>
        <v>0</v>
      </c>
      <c r="V614" s="40">
        <f t="shared" ref="V614:V615" ca="1" si="486">G614*$I$169</f>
        <v>0</v>
      </c>
      <c r="W614" s="41">
        <f t="shared" ref="W614:W615" ca="1" si="487">(I614+J614)*$I$167</f>
        <v>0</v>
      </c>
      <c r="X614" s="43"/>
      <c r="Y614" s="46"/>
      <c r="Z614" s="126"/>
      <c r="AA614" s="136"/>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824">
        <f t="shared" ca="1" si="476"/>
        <v>0</v>
      </c>
      <c r="BM614" s="824">
        <f t="shared" ca="1" si="477"/>
        <v>0</v>
      </c>
      <c r="BN614" s="824">
        <f t="shared" ca="1" si="478"/>
        <v>0</v>
      </c>
      <c r="BO614" s="824">
        <f t="shared" ca="1" si="466"/>
        <v>0</v>
      </c>
      <c r="BP614" s="824">
        <f t="shared" ca="1" si="466"/>
        <v>0</v>
      </c>
      <c r="BQ614" s="824">
        <f t="shared" ca="1" si="466"/>
        <v>0</v>
      </c>
      <c r="BR614" s="824">
        <f t="shared" ca="1" si="466"/>
        <v>0</v>
      </c>
      <c r="BS614" s="824">
        <f t="shared" ca="1" si="466"/>
        <v>0</v>
      </c>
      <c r="BT614" s="824">
        <f t="shared" ca="1" si="466"/>
        <v>0</v>
      </c>
      <c r="BU614" s="824">
        <f t="shared" ca="1" si="466"/>
        <v>0</v>
      </c>
      <c r="BV614" s="824">
        <f t="shared" ca="1" si="466"/>
        <v>0</v>
      </c>
      <c r="BW614" s="824">
        <f t="shared" ca="1" si="466"/>
        <v>0</v>
      </c>
      <c r="BX614" s="824">
        <f t="shared" ca="1" si="466"/>
        <v>0</v>
      </c>
      <c r="BY614" s="824">
        <f t="shared" ca="1" si="466"/>
        <v>0</v>
      </c>
      <c r="BZ614" s="824">
        <f t="shared" ca="1" si="466"/>
        <v>0</v>
      </c>
      <c r="CA614" s="824">
        <f t="shared" ca="1" si="466"/>
        <v>0</v>
      </c>
      <c r="CB614" s="824">
        <f t="shared" ca="1" si="466"/>
        <v>0</v>
      </c>
      <c r="CC614" s="824">
        <f t="shared" ca="1" si="466"/>
        <v>0</v>
      </c>
      <c r="CD614" s="824">
        <f t="shared" ca="1" si="466"/>
        <v>0</v>
      </c>
      <c r="CE614" s="824">
        <f t="shared" ca="1" si="465"/>
        <v>0</v>
      </c>
      <c r="CF614" s="824">
        <f t="shared" ca="1" si="465"/>
        <v>0</v>
      </c>
      <c r="CG614" s="824">
        <f t="shared" ca="1" si="465"/>
        <v>0</v>
      </c>
      <c r="CH614" s="824">
        <f t="shared" ca="1" si="465"/>
        <v>0</v>
      </c>
      <c r="CI614" s="824">
        <f t="shared" ca="1" si="465"/>
        <v>0</v>
      </c>
      <c r="CJ614" s="824">
        <f t="shared" ca="1" si="465"/>
        <v>0</v>
      </c>
      <c r="CK614" s="824">
        <f t="shared" ca="1" si="465"/>
        <v>0</v>
      </c>
      <c r="CL614" s="824">
        <f t="shared" ca="1" si="465"/>
        <v>0</v>
      </c>
      <c r="CM614" s="824">
        <f t="shared" ca="1" si="465"/>
        <v>0</v>
      </c>
      <c r="CN614" s="824">
        <f t="shared" ca="1" si="465"/>
        <v>0</v>
      </c>
      <c r="CO614" s="824">
        <f t="shared" ca="1" si="465"/>
        <v>0</v>
      </c>
      <c r="CP614" s="824">
        <f t="shared" ca="1" si="465"/>
        <v>0</v>
      </c>
      <c r="CQ614" s="824">
        <f t="shared" ca="1" si="465"/>
        <v>0</v>
      </c>
      <c r="CR614" s="824">
        <f t="shared" ca="1" si="465"/>
        <v>0</v>
      </c>
      <c r="CS614" s="824">
        <f t="shared" ca="1" si="465"/>
        <v>0</v>
      </c>
      <c r="CT614" s="824">
        <f t="shared" ca="1" si="468"/>
        <v>0</v>
      </c>
      <c r="CU614" s="824">
        <f t="shared" ca="1" si="468"/>
        <v>0</v>
      </c>
      <c r="CV614" s="824">
        <f t="shared" ca="1" si="468"/>
        <v>0</v>
      </c>
      <c r="CW614" s="824">
        <f t="shared" ca="1" si="468"/>
        <v>0</v>
      </c>
      <c r="CX614" s="824">
        <f t="shared" ca="1" si="468"/>
        <v>0</v>
      </c>
      <c r="CY614" s="824">
        <f t="shared" ca="1" si="468"/>
        <v>0</v>
      </c>
      <c r="CZ614" s="824">
        <f t="shared" ca="1" si="468"/>
        <v>0</v>
      </c>
      <c r="DA614" s="824">
        <f t="shared" ca="1" si="468"/>
        <v>0</v>
      </c>
      <c r="DB614" s="824">
        <f t="shared" ca="1" si="468"/>
        <v>0</v>
      </c>
      <c r="DC614" s="824">
        <f t="shared" ca="1" si="468"/>
        <v>0</v>
      </c>
      <c r="DD614" s="824">
        <f t="shared" ca="1" si="468"/>
        <v>0</v>
      </c>
      <c r="DE614" s="824">
        <f t="shared" ca="1" si="468"/>
        <v>0</v>
      </c>
      <c r="DF614" s="824">
        <f t="shared" ca="1" si="468"/>
        <v>0</v>
      </c>
      <c r="DG614" s="824">
        <f t="shared" ca="1" si="468"/>
        <v>0</v>
      </c>
      <c r="DH614" s="824">
        <f t="shared" ca="1" si="468"/>
        <v>0</v>
      </c>
      <c r="DI614" s="824">
        <f t="shared" ca="1" si="468"/>
        <v>0</v>
      </c>
      <c r="DJ614" s="824">
        <f t="shared" ca="1" si="454"/>
        <v>0</v>
      </c>
      <c r="DK614" s="824">
        <f t="shared" ca="1" si="454"/>
        <v>0</v>
      </c>
      <c r="DL614" s="824">
        <f t="shared" ca="1" si="454"/>
        <v>0</v>
      </c>
    </row>
    <row r="615" spans="2:116" ht="12" thickBot="1" x14ac:dyDescent="0.3">
      <c r="B615" s="1673"/>
      <c r="C615" s="1680"/>
      <c r="D615" s="15" t="s">
        <v>31</v>
      </c>
      <c r="E615" s="165"/>
      <c r="F615" s="116">
        <f ca="1">SUBTOTAL(109,'3.3 I&amp;W'!$X$160)</f>
        <v>0</v>
      </c>
      <c r="G615" s="116">
        <f ca="1">SUBTOTAL(109,'3.3 I&amp;W'!$Y$160)</f>
        <v>0</v>
      </c>
      <c r="H615" s="116">
        <f ca="1">SUBTOTAL(109,'3.3 I&amp;W'!$AD$160)</f>
        <v>0</v>
      </c>
      <c r="I615" s="116">
        <f ca="1">SUBTOTAL(109,'3.3 I&amp;W'!$AE$160)</f>
        <v>0</v>
      </c>
      <c r="J615" s="116"/>
      <c r="K615" s="116"/>
      <c r="L615" s="116"/>
      <c r="M615" s="116">
        <f ca="1">SUBTOTAL(109,'3.3 I&amp;W'!$AI$160)</f>
        <v>0</v>
      </c>
      <c r="N615" s="156">
        <f t="shared" ca="1" si="479"/>
        <v>0</v>
      </c>
      <c r="O615" s="116">
        <f ca="1">SUBTOTAL(109,'3.3 I&amp;W'!$S$160)</f>
        <v>0</v>
      </c>
      <c r="P615" s="30">
        <f t="shared" ca="1" si="480"/>
        <v>0</v>
      </c>
      <c r="Q615" s="31">
        <f t="shared" ca="1" si="481"/>
        <v>0</v>
      </c>
      <c r="R615" s="31">
        <f t="shared" ca="1" si="482"/>
        <v>0</v>
      </c>
      <c r="S615" s="31">
        <f t="shared" ca="1" si="483"/>
        <v>0</v>
      </c>
      <c r="T615" s="32">
        <f t="shared" ca="1" si="484"/>
        <v>0</v>
      </c>
      <c r="U615" s="37">
        <f t="shared" ca="1" si="485"/>
        <v>0</v>
      </c>
      <c r="V615" s="40">
        <f t="shared" ca="1" si="486"/>
        <v>0</v>
      </c>
      <c r="W615" s="41">
        <f t="shared" ca="1" si="487"/>
        <v>0</v>
      </c>
      <c r="X615" s="43"/>
      <c r="Y615" s="46"/>
      <c r="Z615" s="126"/>
      <c r="AA615" s="136"/>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824">
        <f t="shared" ca="1" si="476"/>
        <v>0</v>
      </c>
      <c r="BM615" s="824">
        <f t="shared" ca="1" si="477"/>
        <v>0</v>
      </c>
      <c r="BN615" s="824">
        <f t="shared" ca="1" si="478"/>
        <v>0</v>
      </c>
      <c r="BO615" s="824">
        <f t="shared" ca="1" si="466"/>
        <v>0</v>
      </c>
      <c r="BP615" s="824">
        <f t="shared" ca="1" si="466"/>
        <v>0</v>
      </c>
      <c r="BQ615" s="824">
        <f t="shared" ca="1" si="466"/>
        <v>0</v>
      </c>
      <c r="BR615" s="824">
        <f t="shared" ca="1" si="466"/>
        <v>0</v>
      </c>
      <c r="BS615" s="824">
        <f t="shared" ca="1" si="466"/>
        <v>0</v>
      </c>
      <c r="BT615" s="824">
        <f t="shared" ca="1" si="466"/>
        <v>0</v>
      </c>
      <c r="BU615" s="824">
        <f t="shared" ca="1" si="466"/>
        <v>0</v>
      </c>
      <c r="BV615" s="824">
        <f t="shared" ca="1" si="466"/>
        <v>0</v>
      </c>
      <c r="BW615" s="824">
        <f t="shared" ca="1" si="466"/>
        <v>0</v>
      </c>
      <c r="BX615" s="824">
        <f t="shared" ca="1" si="466"/>
        <v>0</v>
      </c>
      <c r="BY615" s="824">
        <f t="shared" ca="1" si="466"/>
        <v>0</v>
      </c>
      <c r="BZ615" s="824">
        <f t="shared" ca="1" si="466"/>
        <v>0</v>
      </c>
      <c r="CA615" s="824">
        <f t="shared" ca="1" si="466"/>
        <v>0</v>
      </c>
      <c r="CB615" s="824">
        <f t="shared" ca="1" si="466"/>
        <v>0</v>
      </c>
      <c r="CC615" s="824">
        <f t="shared" ca="1" si="466"/>
        <v>0</v>
      </c>
      <c r="CD615" s="824">
        <f t="shared" ref="CD615:CS630" ca="1" si="488">IF(OR(IF($BL615*1&lt;$BL$196,$BL615*1=CD$198,FALSE),IF($BL615*2&lt;$BL$196,$BL615*2=CD$198,FALSE),IF($BL615*3&lt;$BL$196,$BL615*3=CD$198,FALSE),IF($BL615*4&lt;$BL$196,$BL615*4=CD$198,FALSE),IF($BL615*5&lt;$BL$196,$BL615*5=CD$198,FALSE)),$BN615*$BM$196^CD$198,0)</f>
        <v>0</v>
      </c>
      <c r="CE615" s="824">
        <f t="shared" ca="1" si="488"/>
        <v>0</v>
      </c>
      <c r="CF615" s="824">
        <f t="shared" ca="1" si="488"/>
        <v>0</v>
      </c>
      <c r="CG615" s="824">
        <f t="shared" ca="1" si="488"/>
        <v>0</v>
      </c>
      <c r="CH615" s="824">
        <f t="shared" ca="1" si="488"/>
        <v>0</v>
      </c>
      <c r="CI615" s="824">
        <f t="shared" ca="1" si="488"/>
        <v>0</v>
      </c>
      <c r="CJ615" s="824">
        <f t="shared" ca="1" si="488"/>
        <v>0</v>
      </c>
      <c r="CK615" s="824">
        <f t="shared" ca="1" si="488"/>
        <v>0</v>
      </c>
      <c r="CL615" s="824">
        <f t="shared" ca="1" si="488"/>
        <v>0</v>
      </c>
      <c r="CM615" s="824">
        <f t="shared" ca="1" si="488"/>
        <v>0</v>
      </c>
      <c r="CN615" s="824">
        <f t="shared" ca="1" si="488"/>
        <v>0</v>
      </c>
      <c r="CO615" s="824">
        <f t="shared" ca="1" si="488"/>
        <v>0</v>
      </c>
      <c r="CP615" s="824">
        <f t="shared" ca="1" si="488"/>
        <v>0</v>
      </c>
      <c r="CQ615" s="824">
        <f t="shared" ca="1" si="488"/>
        <v>0</v>
      </c>
      <c r="CR615" s="824">
        <f t="shared" ca="1" si="488"/>
        <v>0</v>
      </c>
      <c r="CS615" s="824">
        <f t="shared" ca="1" si="488"/>
        <v>0</v>
      </c>
      <c r="CT615" s="824">
        <f t="shared" ca="1" si="468"/>
        <v>0</v>
      </c>
      <c r="CU615" s="824">
        <f t="shared" ca="1" si="468"/>
        <v>0</v>
      </c>
      <c r="CV615" s="824">
        <f t="shared" ca="1" si="468"/>
        <v>0</v>
      </c>
      <c r="CW615" s="824">
        <f t="shared" ca="1" si="468"/>
        <v>0</v>
      </c>
      <c r="CX615" s="824">
        <f t="shared" ca="1" si="468"/>
        <v>0</v>
      </c>
      <c r="CY615" s="824">
        <f t="shared" ca="1" si="468"/>
        <v>0</v>
      </c>
      <c r="CZ615" s="824">
        <f t="shared" ca="1" si="468"/>
        <v>0</v>
      </c>
      <c r="DA615" s="824">
        <f t="shared" ca="1" si="468"/>
        <v>0</v>
      </c>
      <c r="DB615" s="824">
        <f t="shared" ca="1" si="468"/>
        <v>0</v>
      </c>
      <c r="DC615" s="824">
        <f t="shared" ca="1" si="468"/>
        <v>0</v>
      </c>
      <c r="DD615" s="824">
        <f t="shared" ca="1" si="468"/>
        <v>0</v>
      </c>
      <c r="DE615" s="824">
        <f t="shared" ca="1" si="468"/>
        <v>0</v>
      </c>
      <c r="DF615" s="824">
        <f t="shared" ca="1" si="468"/>
        <v>0</v>
      </c>
      <c r="DG615" s="824">
        <f t="shared" ca="1" si="468"/>
        <v>0</v>
      </c>
      <c r="DH615" s="824">
        <f t="shared" ca="1" si="468"/>
        <v>0</v>
      </c>
      <c r="DI615" s="824">
        <f t="shared" ca="1" si="468"/>
        <v>0</v>
      </c>
      <c r="DJ615" s="824">
        <f t="shared" ca="1" si="454"/>
        <v>0</v>
      </c>
      <c r="DK615" s="824">
        <f t="shared" ca="1" si="454"/>
        <v>0</v>
      </c>
      <c r="DL615" s="824">
        <f t="shared" ca="1" si="454"/>
        <v>0</v>
      </c>
    </row>
    <row r="616" spans="2:116" ht="12" thickBot="1" x14ac:dyDescent="0.3">
      <c r="B616" s="1673"/>
      <c r="C616" s="1680"/>
      <c r="D616" s="15" t="s">
        <v>31</v>
      </c>
      <c r="E616" s="116"/>
      <c r="F616" s="116">
        <f ca="1">SUBTOTAL(109,'3.3 I&amp;W'!$X$161)</f>
        <v>0</v>
      </c>
      <c r="G616" s="116">
        <f ca="1">SUBTOTAL(109,'3.3 I&amp;W'!$Y$161)</f>
        <v>0</v>
      </c>
      <c r="H616" s="116">
        <f ca="1">SUBTOTAL(109,'3.3 I&amp;W'!$AD$161)</f>
        <v>0</v>
      </c>
      <c r="I616" s="116">
        <f ca="1">SUBTOTAL(109,'3.3 I&amp;W'!$AE$161)</f>
        <v>0</v>
      </c>
      <c r="J616" s="116"/>
      <c r="K616" s="116"/>
      <c r="L616" s="116"/>
      <c r="M616" s="116">
        <f ca="1">SUBTOTAL(109,'3.3 I&amp;W'!$AI$161)</f>
        <v>0</v>
      </c>
      <c r="N616" s="156">
        <f t="shared" ca="1" si="479"/>
        <v>0</v>
      </c>
      <c r="O616" s="116">
        <f ca="1">SUBTOTAL(109,'3.3 I&amp;W'!$S$161)</f>
        <v>0</v>
      </c>
      <c r="P616" s="30">
        <f t="shared" ca="1" si="469"/>
        <v>0</v>
      </c>
      <c r="Q616" s="31">
        <f t="shared" ca="1" si="470"/>
        <v>0</v>
      </c>
      <c r="R616" s="31">
        <f t="shared" ca="1" si="471"/>
        <v>0</v>
      </c>
      <c r="S616" s="31">
        <f t="shared" ca="1" si="472"/>
        <v>0</v>
      </c>
      <c r="T616" s="32">
        <f t="shared" ca="1" si="473"/>
        <v>0</v>
      </c>
      <c r="U616" s="37">
        <f t="shared" ca="1" si="405"/>
        <v>0</v>
      </c>
      <c r="V616" s="40">
        <f t="shared" ca="1" si="474"/>
        <v>0</v>
      </c>
      <c r="W616" s="41">
        <f t="shared" ca="1" si="475"/>
        <v>0</v>
      </c>
      <c r="X616" s="43"/>
      <c r="Y616" s="46"/>
      <c r="Z616" s="126"/>
      <c r="AA616" s="136"/>
      <c r="AB616" s="3"/>
      <c r="AC616" s="3"/>
      <c r="AD616" s="3"/>
      <c r="AE616" s="94"/>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824">
        <f t="shared" ca="1" si="476"/>
        <v>0</v>
      </c>
      <c r="BM616" s="824">
        <f t="shared" ca="1" si="477"/>
        <v>0</v>
      </c>
      <c r="BN616" s="824">
        <f t="shared" ca="1" si="478"/>
        <v>0</v>
      </c>
      <c r="BO616" s="824">
        <f t="shared" ref="BO616:CD631" ca="1" si="489">IF(OR(IF($BL616*1&lt;$BL$196,$BL616*1=BO$198,FALSE),IF($BL616*2&lt;$BL$196,$BL616*2=BO$198,FALSE),IF($BL616*3&lt;$BL$196,$BL616*3=BO$198,FALSE),IF($BL616*4&lt;$BL$196,$BL616*4=BO$198,FALSE),IF($BL616*5&lt;$BL$196,$BL616*5=BO$198,FALSE)),$BN616*$BM$196^BO$198,0)</f>
        <v>0</v>
      </c>
      <c r="BP616" s="824">
        <f t="shared" ca="1" si="489"/>
        <v>0</v>
      </c>
      <c r="BQ616" s="824">
        <f t="shared" ca="1" si="489"/>
        <v>0</v>
      </c>
      <c r="BR616" s="824">
        <f t="shared" ca="1" si="489"/>
        <v>0</v>
      </c>
      <c r="BS616" s="824">
        <f t="shared" ca="1" si="489"/>
        <v>0</v>
      </c>
      <c r="BT616" s="824">
        <f t="shared" ca="1" si="489"/>
        <v>0</v>
      </c>
      <c r="BU616" s="824">
        <f t="shared" ca="1" si="489"/>
        <v>0</v>
      </c>
      <c r="BV616" s="824">
        <f t="shared" ca="1" si="489"/>
        <v>0</v>
      </c>
      <c r="BW616" s="824">
        <f t="shared" ca="1" si="489"/>
        <v>0</v>
      </c>
      <c r="BX616" s="824">
        <f t="shared" ca="1" si="489"/>
        <v>0</v>
      </c>
      <c r="BY616" s="824">
        <f t="shared" ca="1" si="489"/>
        <v>0</v>
      </c>
      <c r="BZ616" s="824">
        <f t="shared" ca="1" si="489"/>
        <v>0</v>
      </c>
      <c r="CA616" s="824">
        <f t="shared" ca="1" si="489"/>
        <v>0</v>
      </c>
      <c r="CB616" s="824">
        <f t="shared" ca="1" si="489"/>
        <v>0</v>
      </c>
      <c r="CC616" s="824">
        <f t="shared" ca="1" si="489"/>
        <v>0</v>
      </c>
      <c r="CD616" s="824">
        <f t="shared" ca="1" si="489"/>
        <v>0</v>
      </c>
      <c r="CE616" s="824">
        <f t="shared" ca="1" si="488"/>
        <v>0</v>
      </c>
      <c r="CF616" s="824">
        <f t="shared" ca="1" si="488"/>
        <v>0</v>
      </c>
      <c r="CG616" s="824">
        <f t="shared" ca="1" si="488"/>
        <v>0</v>
      </c>
      <c r="CH616" s="824">
        <f t="shared" ca="1" si="488"/>
        <v>0</v>
      </c>
      <c r="CI616" s="824">
        <f t="shared" ca="1" si="488"/>
        <v>0</v>
      </c>
      <c r="CJ616" s="824">
        <f t="shared" ca="1" si="488"/>
        <v>0</v>
      </c>
      <c r="CK616" s="824">
        <f t="shared" ca="1" si="488"/>
        <v>0</v>
      </c>
      <c r="CL616" s="824">
        <f t="shared" ca="1" si="488"/>
        <v>0</v>
      </c>
      <c r="CM616" s="824">
        <f t="shared" ca="1" si="488"/>
        <v>0</v>
      </c>
      <c r="CN616" s="824">
        <f t="shared" ca="1" si="488"/>
        <v>0</v>
      </c>
      <c r="CO616" s="824">
        <f t="shared" ca="1" si="488"/>
        <v>0</v>
      </c>
      <c r="CP616" s="824">
        <f t="shared" ca="1" si="488"/>
        <v>0</v>
      </c>
      <c r="CQ616" s="824">
        <f t="shared" ca="1" si="488"/>
        <v>0</v>
      </c>
      <c r="CR616" s="824">
        <f t="shared" ca="1" si="488"/>
        <v>0</v>
      </c>
      <c r="CS616" s="824">
        <f t="shared" ca="1" si="488"/>
        <v>0</v>
      </c>
      <c r="CT616" s="824">
        <f t="shared" ca="1" si="468"/>
        <v>0</v>
      </c>
      <c r="CU616" s="824">
        <f t="shared" ca="1" si="468"/>
        <v>0</v>
      </c>
      <c r="CV616" s="824">
        <f t="shared" ca="1" si="468"/>
        <v>0</v>
      </c>
      <c r="CW616" s="824">
        <f t="shared" ca="1" si="468"/>
        <v>0</v>
      </c>
      <c r="CX616" s="824">
        <f t="shared" ca="1" si="468"/>
        <v>0</v>
      </c>
      <c r="CY616" s="824">
        <f t="shared" ca="1" si="468"/>
        <v>0</v>
      </c>
      <c r="CZ616" s="824">
        <f t="shared" ca="1" si="468"/>
        <v>0</v>
      </c>
      <c r="DA616" s="824">
        <f t="shared" ca="1" si="468"/>
        <v>0</v>
      </c>
      <c r="DB616" s="824">
        <f t="shared" ca="1" si="468"/>
        <v>0</v>
      </c>
      <c r="DC616" s="824">
        <f t="shared" ca="1" si="468"/>
        <v>0</v>
      </c>
      <c r="DD616" s="824">
        <f t="shared" ca="1" si="468"/>
        <v>0</v>
      </c>
      <c r="DE616" s="824">
        <f t="shared" ca="1" si="468"/>
        <v>0</v>
      </c>
      <c r="DF616" s="824">
        <f t="shared" ca="1" si="468"/>
        <v>0</v>
      </c>
      <c r="DG616" s="824">
        <f t="shared" ca="1" si="468"/>
        <v>0</v>
      </c>
      <c r="DH616" s="824">
        <f t="shared" ca="1" si="468"/>
        <v>0</v>
      </c>
      <c r="DI616" s="824">
        <f t="shared" ref="DI616" ca="1" si="490">IF(OR(IF($BL616*1&lt;$BL$196,$BL616*1=DI$198,FALSE),IF($BL616*2&lt;$BL$196,$BL616*2=DI$198,FALSE),IF($BL616*3&lt;$BL$196,$BL616*3=DI$198,FALSE),IF($BL616*4&lt;$BL$196,$BL616*4=DI$198,FALSE),IF($BL616*5&lt;$BL$196,$BL616*5=DI$198,FALSE)),$BN616*$BM$196^DI$198,0)</f>
        <v>0</v>
      </c>
      <c r="DJ616" s="824">
        <f t="shared" ca="1" si="454"/>
        <v>0</v>
      </c>
      <c r="DK616" s="824">
        <f t="shared" ca="1" si="454"/>
        <v>0</v>
      </c>
      <c r="DL616" s="824">
        <f t="shared" ca="1" si="454"/>
        <v>0</v>
      </c>
    </row>
    <row r="617" spans="2:116" ht="12" thickBot="1" x14ac:dyDescent="0.3">
      <c r="B617" s="1673"/>
      <c r="C617" s="1680"/>
      <c r="D617" s="15" t="s">
        <v>29</v>
      </c>
      <c r="E617" s="165"/>
      <c r="F617" s="116">
        <f ca="1">SUBTOTAL(109,'3.3 I&amp;W'!$X$163)</f>
        <v>0</v>
      </c>
      <c r="G617" s="116">
        <f ca="1">SUBTOTAL(109,'3.3 I&amp;W'!$Y$163)</f>
        <v>0</v>
      </c>
      <c r="H617" s="116">
        <f ca="1">SUBTOTAL(109,'3.3 I&amp;W'!$AD$163)</f>
        <v>0</v>
      </c>
      <c r="I617" s="116">
        <f ca="1">SUBTOTAL(109,'3.3 I&amp;W'!$AE$163)</f>
        <v>0</v>
      </c>
      <c r="J617" s="116"/>
      <c r="K617" s="116"/>
      <c r="L617" s="116"/>
      <c r="M617" s="116">
        <f ca="1">SUBTOTAL(109,'3.3 I&amp;W'!$AI$163)</f>
        <v>0</v>
      </c>
      <c r="N617" s="156">
        <f t="shared" ca="1" si="479"/>
        <v>0</v>
      </c>
      <c r="O617" s="116">
        <f ca="1">SUBTOTAL(109,'3.3 I&amp;W'!$S$163)</f>
        <v>0</v>
      </c>
      <c r="P617" s="30">
        <f t="shared" ca="1" si="469"/>
        <v>0</v>
      </c>
      <c r="Q617" s="31">
        <f t="shared" ca="1" si="470"/>
        <v>0</v>
      </c>
      <c r="R617" s="31">
        <f t="shared" ca="1" si="471"/>
        <v>0</v>
      </c>
      <c r="S617" s="31">
        <f t="shared" ca="1" si="472"/>
        <v>0</v>
      </c>
      <c r="T617" s="32">
        <f t="shared" ca="1" si="473"/>
        <v>0</v>
      </c>
      <c r="U617" s="37">
        <f t="shared" ca="1" si="405"/>
        <v>0</v>
      </c>
      <c r="V617" s="40">
        <f t="shared" ca="1" si="474"/>
        <v>0</v>
      </c>
      <c r="W617" s="41">
        <f t="shared" ca="1" si="475"/>
        <v>0</v>
      </c>
      <c r="X617" s="43"/>
      <c r="Y617" s="46"/>
      <c r="Z617" s="126"/>
      <c r="AA617" s="136"/>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824">
        <f t="shared" ca="1" si="476"/>
        <v>0</v>
      </c>
      <c r="BM617" s="824">
        <f t="shared" ca="1" si="477"/>
        <v>0</v>
      </c>
      <c r="BN617" s="824">
        <f t="shared" ca="1" si="478"/>
        <v>0</v>
      </c>
      <c r="BO617" s="824">
        <f t="shared" ca="1" si="489"/>
        <v>0</v>
      </c>
      <c r="BP617" s="824">
        <f t="shared" ca="1" si="489"/>
        <v>0</v>
      </c>
      <c r="BQ617" s="824">
        <f t="shared" ca="1" si="489"/>
        <v>0</v>
      </c>
      <c r="BR617" s="824">
        <f t="shared" ca="1" si="489"/>
        <v>0</v>
      </c>
      <c r="BS617" s="824">
        <f t="shared" ca="1" si="489"/>
        <v>0</v>
      </c>
      <c r="BT617" s="824">
        <f t="shared" ca="1" si="489"/>
        <v>0</v>
      </c>
      <c r="BU617" s="824">
        <f t="shared" ca="1" si="489"/>
        <v>0</v>
      </c>
      <c r="BV617" s="824">
        <f t="shared" ca="1" si="489"/>
        <v>0</v>
      </c>
      <c r="BW617" s="824">
        <f t="shared" ca="1" si="489"/>
        <v>0</v>
      </c>
      <c r="BX617" s="824">
        <f t="shared" ca="1" si="489"/>
        <v>0</v>
      </c>
      <c r="BY617" s="824">
        <f t="shared" ca="1" si="489"/>
        <v>0</v>
      </c>
      <c r="BZ617" s="824">
        <f t="shared" ca="1" si="489"/>
        <v>0</v>
      </c>
      <c r="CA617" s="824">
        <f t="shared" ca="1" si="489"/>
        <v>0</v>
      </c>
      <c r="CB617" s="824">
        <f t="shared" ca="1" si="489"/>
        <v>0</v>
      </c>
      <c r="CC617" s="824">
        <f t="shared" ca="1" si="489"/>
        <v>0</v>
      </c>
      <c r="CD617" s="824">
        <f t="shared" ca="1" si="489"/>
        <v>0</v>
      </c>
      <c r="CE617" s="824">
        <f t="shared" ca="1" si="488"/>
        <v>0</v>
      </c>
      <c r="CF617" s="824">
        <f t="shared" ca="1" si="488"/>
        <v>0</v>
      </c>
      <c r="CG617" s="824">
        <f t="shared" ca="1" si="488"/>
        <v>0</v>
      </c>
      <c r="CH617" s="824">
        <f t="shared" ca="1" si="488"/>
        <v>0</v>
      </c>
      <c r="CI617" s="824">
        <f t="shared" ca="1" si="488"/>
        <v>0</v>
      </c>
      <c r="CJ617" s="824">
        <f t="shared" ca="1" si="488"/>
        <v>0</v>
      </c>
      <c r="CK617" s="824">
        <f t="shared" ca="1" si="488"/>
        <v>0</v>
      </c>
      <c r="CL617" s="824">
        <f t="shared" ca="1" si="488"/>
        <v>0</v>
      </c>
      <c r="CM617" s="824">
        <f t="shared" ca="1" si="488"/>
        <v>0</v>
      </c>
      <c r="CN617" s="824">
        <f t="shared" ca="1" si="488"/>
        <v>0</v>
      </c>
      <c r="CO617" s="824">
        <f t="shared" ca="1" si="488"/>
        <v>0</v>
      </c>
      <c r="CP617" s="824">
        <f t="shared" ca="1" si="488"/>
        <v>0</v>
      </c>
      <c r="CQ617" s="824">
        <f t="shared" ca="1" si="488"/>
        <v>0</v>
      </c>
      <c r="CR617" s="824">
        <f t="shared" ca="1" si="488"/>
        <v>0</v>
      </c>
      <c r="CS617" s="824">
        <f t="shared" ca="1" si="488"/>
        <v>0</v>
      </c>
      <c r="CT617" s="824">
        <f t="shared" ref="CT617:DI632" ca="1" si="491">IF(OR(IF($BL617*1&lt;$BL$196,$BL617*1=CT$198,FALSE),IF($BL617*2&lt;$BL$196,$BL617*2=CT$198,FALSE),IF($BL617*3&lt;$BL$196,$BL617*3=CT$198,FALSE),IF($BL617*4&lt;$BL$196,$BL617*4=CT$198,FALSE),IF($BL617*5&lt;$BL$196,$BL617*5=CT$198,FALSE)),$BN617*$BM$196^CT$198,0)</f>
        <v>0</v>
      </c>
      <c r="CU617" s="824">
        <f t="shared" ca="1" si="491"/>
        <v>0</v>
      </c>
      <c r="CV617" s="824">
        <f t="shared" ca="1" si="491"/>
        <v>0</v>
      </c>
      <c r="CW617" s="824">
        <f t="shared" ca="1" si="491"/>
        <v>0</v>
      </c>
      <c r="CX617" s="824">
        <f t="shared" ca="1" si="491"/>
        <v>0</v>
      </c>
      <c r="CY617" s="824">
        <f t="shared" ca="1" si="491"/>
        <v>0</v>
      </c>
      <c r="CZ617" s="824">
        <f t="shared" ca="1" si="491"/>
        <v>0</v>
      </c>
      <c r="DA617" s="824">
        <f t="shared" ca="1" si="491"/>
        <v>0</v>
      </c>
      <c r="DB617" s="824">
        <f t="shared" ca="1" si="491"/>
        <v>0</v>
      </c>
      <c r="DC617" s="824">
        <f t="shared" ca="1" si="491"/>
        <v>0</v>
      </c>
      <c r="DD617" s="824">
        <f t="shared" ca="1" si="491"/>
        <v>0</v>
      </c>
      <c r="DE617" s="824">
        <f t="shared" ca="1" si="491"/>
        <v>0</v>
      </c>
      <c r="DF617" s="824">
        <f t="shared" ca="1" si="491"/>
        <v>0</v>
      </c>
      <c r="DG617" s="824">
        <f t="shared" ca="1" si="491"/>
        <v>0</v>
      </c>
      <c r="DH617" s="824">
        <f t="shared" ca="1" si="491"/>
        <v>0</v>
      </c>
      <c r="DI617" s="824">
        <f t="shared" ca="1" si="491"/>
        <v>0</v>
      </c>
      <c r="DJ617" s="824">
        <f t="shared" ca="1" si="454"/>
        <v>0</v>
      </c>
      <c r="DK617" s="824">
        <f t="shared" ca="1" si="454"/>
        <v>0</v>
      </c>
      <c r="DL617" s="824">
        <f t="shared" ca="1" si="454"/>
        <v>0</v>
      </c>
    </row>
    <row r="618" spans="2:116" ht="12" thickBot="1" x14ac:dyDescent="0.3">
      <c r="B618" s="1673"/>
      <c r="C618" s="1680"/>
      <c r="D618" s="15" t="s">
        <v>25</v>
      </c>
      <c r="E618" s="116"/>
      <c r="F618" s="116">
        <f ca="1">SUBTOTAL(109,'3.3 I&amp;W'!$X$167)</f>
        <v>0</v>
      </c>
      <c r="G618" s="116">
        <f ca="1">SUBTOTAL(109,'3.3 I&amp;W'!$Y$167)</f>
        <v>0</v>
      </c>
      <c r="H618" s="116">
        <f ca="1">SUBTOTAL(109,'3.3 I&amp;W'!$AD$167)</f>
        <v>0</v>
      </c>
      <c r="I618" s="116">
        <f ca="1">SUBTOTAL(109,'3.3 I&amp;W'!$AE$167)</f>
        <v>0</v>
      </c>
      <c r="J618" s="116"/>
      <c r="K618" s="116"/>
      <c r="L618" s="116"/>
      <c r="M618" s="116">
        <f ca="1">SUBTOTAL(109,'3.3 I&amp;W'!$AI$167)</f>
        <v>0</v>
      </c>
      <c r="N618" s="156">
        <f t="shared" ca="1" si="479"/>
        <v>0</v>
      </c>
      <c r="O618" s="116">
        <f ca="1">SUBTOTAL(109,'3.3 I&amp;W'!$S$167)</f>
        <v>0</v>
      </c>
      <c r="P618" s="30">
        <f t="shared" ca="1" si="469"/>
        <v>0</v>
      </c>
      <c r="Q618" s="31">
        <f t="shared" ca="1" si="470"/>
        <v>0</v>
      </c>
      <c r="R618" s="31">
        <f t="shared" ca="1" si="471"/>
        <v>0</v>
      </c>
      <c r="S618" s="31">
        <f t="shared" ca="1" si="472"/>
        <v>0</v>
      </c>
      <c r="T618" s="32">
        <f t="shared" ca="1" si="473"/>
        <v>0</v>
      </c>
      <c r="U618" s="37">
        <f t="shared" ca="1" si="405"/>
        <v>0</v>
      </c>
      <c r="V618" s="40">
        <f t="shared" ca="1" si="474"/>
        <v>0</v>
      </c>
      <c r="W618" s="41">
        <f t="shared" ca="1" si="475"/>
        <v>0</v>
      </c>
      <c r="X618" s="43"/>
      <c r="Y618" s="46"/>
      <c r="Z618" s="126"/>
      <c r="AA618" s="136"/>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824">
        <f t="shared" ca="1" si="476"/>
        <v>0</v>
      </c>
      <c r="BM618" s="824">
        <f t="shared" ca="1" si="477"/>
        <v>0</v>
      </c>
      <c r="BN618" s="824">
        <f t="shared" ca="1" si="478"/>
        <v>0</v>
      </c>
      <c r="BO618" s="824">
        <f t="shared" ca="1" si="489"/>
        <v>0</v>
      </c>
      <c r="BP618" s="824">
        <f t="shared" ca="1" si="489"/>
        <v>0</v>
      </c>
      <c r="BQ618" s="824">
        <f t="shared" ca="1" si="489"/>
        <v>0</v>
      </c>
      <c r="BR618" s="824">
        <f t="shared" ca="1" si="489"/>
        <v>0</v>
      </c>
      <c r="BS618" s="824">
        <f t="shared" ca="1" si="489"/>
        <v>0</v>
      </c>
      <c r="BT618" s="824">
        <f t="shared" ca="1" si="489"/>
        <v>0</v>
      </c>
      <c r="BU618" s="824">
        <f t="shared" ca="1" si="489"/>
        <v>0</v>
      </c>
      <c r="BV618" s="824">
        <f t="shared" ca="1" si="489"/>
        <v>0</v>
      </c>
      <c r="BW618" s="824">
        <f t="shared" ca="1" si="489"/>
        <v>0</v>
      </c>
      <c r="BX618" s="824">
        <f t="shared" ca="1" si="489"/>
        <v>0</v>
      </c>
      <c r="BY618" s="824">
        <f t="shared" ca="1" si="489"/>
        <v>0</v>
      </c>
      <c r="BZ618" s="824">
        <f t="shared" ca="1" si="489"/>
        <v>0</v>
      </c>
      <c r="CA618" s="824">
        <f t="shared" ca="1" si="489"/>
        <v>0</v>
      </c>
      <c r="CB618" s="824">
        <f t="shared" ca="1" si="489"/>
        <v>0</v>
      </c>
      <c r="CC618" s="824">
        <f t="shared" ca="1" si="489"/>
        <v>0</v>
      </c>
      <c r="CD618" s="824">
        <f t="shared" ca="1" si="489"/>
        <v>0</v>
      </c>
      <c r="CE618" s="824">
        <f t="shared" ca="1" si="488"/>
        <v>0</v>
      </c>
      <c r="CF618" s="824">
        <f t="shared" ca="1" si="488"/>
        <v>0</v>
      </c>
      <c r="CG618" s="824">
        <f t="shared" ca="1" si="488"/>
        <v>0</v>
      </c>
      <c r="CH618" s="824">
        <f t="shared" ca="1" si="488"/>
        <v>0</v>
      </c>
      <c r="CI618" s="824">
        <f t="shared" ca="1" si="488"/>
        <v>0</v>
      </c>
      <c r="CJ618" s="824">
        <f t="shared" ca="1" si="488"/>
        <v>0</v>
      </c>
      <c r="CK618" s="824">
        <f t="shared" ca="1" si="488"/>
        <v>0</v>
      </c>
      <c r="CL618" s="824">
        <f t="shared" ca="1" si="488"/>
        <v>0</v>
      </c>
      <c r="CM618" s="824">
        <f t="shared" ca="1" si="488"/>
        <v>0</v>
      </c>
      <c r="CN618" s="824">
        <f t="shared" ca="1" si="488"/>
        <v>0</v>
      </c>
      <c r="CO618" s="824">
        <f t="shared" ca="1" si="488"/>
        <v>0</v>
      </c>
      <c r="CP618" s="824">
        <f t="shared" ca="1" si="488"/>
        <v>0</v>
      </c>
      <c r="CQ618" s="824">
        <f t="shared" ca="1" si="488"/>
        <v>0</v>
      </c>
      <c r="CR618" s="824">
        <f t="shared" ca="1" si="488"/>
        <v>0</v>
      </c>
      <c r="CS618" s="824">
        <f t="shared" ca="1" si="488"/>
        <v>0</v>
      </c>
      <c r="CT618" s="824">
        <f t="shared" ca="1" si="491"/>
        <v>0</v>
      </c>
      <c r="CU618" s="824">
        <f t="shared" ca="1" si="491"/>
        <v>0</v>
      </c>
      <c r="CV618" s="824">
        <f t="shared" ca="1" si="491"/>
        <v>0</v>
      </c>
      <c r="CW618" s="824">
        <f t="shared" ca="1" si="491"/>
        <v>0</v>
      </c>
      <c r="CX618" s="824">
        <f t="shared" ca="1" si="491"/>
        <v>0</v>
      </c>
      <c r="CY618" s="824">
        <f t="shared" ca="1" si="491"/>
        <v>0</v>
      </c>
      <c r="CZ618" s="824">
        <f t="shared" ca="1" si="491"/>
        <v>0</v>
      </c>
      <c r="DA618" s="824">
        <f t="shared" ca="1" si="491"/>
        <v>0</v>
      </c>
      <c r="DB618" s="824">
        <f t="shared" ca="1" si="491"/>
        <v>0</v>
      </c>
      <c r="DC618" s="824">
        <f t="shared" ca="1" si="491"/>
        <v>0</v>
      </c>
      <c r="DD618" s="824">
        <f t="shared" ca="1" si="491"/>
        <v>0</v>
      </c>
      <c r="DE618" s="824">
        <f t="shared" ca="1" si="491"/>
        <v>0</v>
      </c>
      <c r="DF618" s="824">
        <f t="shared" ca="1" si="491"/>
        <v>0</v>
      </c>
      <c r="DG618" s="824">
        <f t="shared" ca="1" si="491"/>
        <v>0</v>
      </c>
      <c r="DH618" s="824">
        <f t="shared" ca="1" si="491"/>
        <v>0</v>
      </c>
      <c r="DI618" s="824">
        <f t="shared" ca="1" si="491"/>
        <v>0</v>
      </c>
      <c r="DJ618" s="824">
        <f t="shared" ca="1" si="454"/>
        <v>0</v>
      </c>
      <c r="DK618" s="824">
        <f t="shared" ca="1" si="454"/>
        <v>0</v>
      </c>
      <c r="DL618" s="824">
        <f t="shared" ca="1" si="454"/>
        <v>0</v>
      </c>
    </row>
    <row r="619" spans="2:116" ht="12" thickBot="1" x14ac:dyDescent="0.3">
      <c r="B619" s="1673"/>
      <c r="C619" s="1680"/>
      <c r="D619" s="15" t="s">
        <v>25</v>
      </c>
      <c r="E619" s="165"/>
      <c r="F619" s="116">
        <f ca="1">SUBTOTAL(109,'3.3 I&amp;W'!$X$168)</f>
        <v>0</v>
      </c>
      <c r="G619" s="116">
        <f ca="1">SUBTOTAL(109,'3.3 I&amp;W'!$Y$168)</f>
        <v>0</v>
      </c>
      <c r="H619" s="116">
        <f ca="1">SUBTOTAL(109,'3.3 I&amp;W'!$AD$168)</f>
        <v>0</v>
      </c>
      <c r="I619" s="116">
        <f ca="1">SUBTOTAL(109,'3.3 I&amp;W'!$AE$168)</f>
        <v>0</v>
      </c>
      <c r="J619" s="116"/>
      <c r="K619" s="116"/>
      <c r="L619" s="116"/>
      <c r="M619" s="116">
        <f ca="1">SUBTOTAL(109,'3.3 I&amp;W'!$AI$168)</f>
        <v>0</v>
      </c>
      <c r="N619" s="156">
        <f t="shared" ca="1" si="479"/>
        <v>0</v>
      </c>
      <c r="O619" s="116">
        <f ca="1">SUBTOTAL(109,'3.3 I&amp;W'!$S$168)</f>
        <v>0</v>
      </c>
      <c r="P619" s="30">
        <f t="shared" ca="1" si="469"/>
        <v>0</v>
      </c>
      <c r="Q619" s="31">
        <f t="shared" ca="1" si="470"/>
        <v>0</v>
      </c>
      <c r="R619" s="31">
        <f t="shared" ca="1" si="471"/>
        <v>0</v>
      </c>
      <c r="S619" s="31">
        <f t="shared" ca="1" si="472"/>
        <v>0</v>
      </c>
      <c r="T619" s="32">
        <f t="shared" ca="1" si="473"/>
        <v>0</v>
      </c>
      <c r="U619" s="37">
        <f t="shared" ca="1" si="405"/>
        <v>0</v>
      </c>
      <c r="V619" s="40">
        <f t="shared" ca="1" si="474"/>
        <v>0</v>
      </c>
      <c r="W619" s="41">
        <f t="shared" ca="1" si="475"/>
        <v>0</v>
      </c>
      <c r="X619" s="43"/>
      <c r="Y619" s="46"/>
      <c r="Z619" s="126"/>
      <c r="AA619" s="136"/>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824">
        <f t="shared" ca="1" si="476"/>
        <v>0</v>
      </c>
      <c r="BM619" s="824">
        <f t="shared" ca="1" si="477"/>
        <v>0</v>
      </c>
      <c r="BN619" s="824">
        <f t="shared" ca="1" si="478"/>
        <v>0</v>
      </c>
      <c r="BO619" s="824">
        <f t="shared" ca="1" si="489"/>
        <v>0</v>
      </c>
      <c r="BP619" s="824">
        <f t="shared" ca="1" si="489"/>
        <v>0</v>
      </c>
      <c r="BQ619" s="824">
        <f t="shared" ca="1" si="489"/>
        <v>0</v>
      </c>
      <c r="BR619" s="824">
        <f t="shared" ca="1" si="489"/>
        <v>0</v>
      </c>
      <c r="BS619" s="824">
        <f t="shared" ca="1" si="489"/>
        <v>0</v>
      </c>
      <c r="BT619" s="824">
        <f t="shared" ca="1" si="489"/>
        <v>0</v>
      </c>
      <c r="BU619" s="824">
        <f t="shared" ca="1" si="489"/>
        <v>0</v>
      </c>
      <c r="BV619" s="824">
        <f t="shared" ca="1" si="489"/>
        <v>0</v>
      </c>
      <c r="BW619" s="824">
        <f t="shared" ca="1" si="489"/>
        <v>0</v>
      </c>
      <c r="BX619" s="824">
        <f t="shared" ca="1" si="489"/>
        <v>0</v>
      </c>
      <c r="BY619" s="824">
        <f t="shared" ca="1" si="489"/>
        <v>0</v>
      </c>
      <c r="BZ619" s="824">
        <f t="shared" ca="1" si="489"/>
        <v>0</v>
      </c>
      <c r="CA619" s="824">
        <f t="shared" ca="1" si="489"/>
        <v>0</v>
      </c>
      <c r="CB619" s="824">
        <f t="shared" ca="1" si="489"/>
        <v>0</v>
      </c>
      <c r="CC619" s="824">
        <f t="shared" ca="1" si="489"/>
        <v>0</v>
      </c>
      <c r="CD619" s="824">
        <f t="shared" ca="1" si="489"/>
        <v>0</v>
      </c>
      <c r="CE619" s="824">
        <f t="shared" ca="1" si="488"/>
        <v>0</v>
      </c>
      <c r="CF619" s="824">
        <f t="shared" ca="1" si="488"/>
        <v>0</v>
      </c>
      <c r="CG619" s="824">
        <f t="shared" ca="1" si="488"/>
        <v>0</v>
      </c>
      <c r="CH619" s="824">
        <f t="shared" ca="1" si="488"/>
        <v>0</v>
      </c>
      <c r="CI619" s="824">
        <f t="shared" ca="1" si="488"/>
        <v>0</v>
      </c>
      <c r="CJ619" s="824">
        <f t="shared" ca="1" si="488"/>
        <v>0</v>
      </c>
      <c r="CK619" s="824">
        <f t="shared" ca="1" si="488"/>
        <v>0</v>
      </c>
      <c r="CL619" s="824">
        <f t="shared" ca="1" si="488"/>
        <v>0</v>
      </c>
      <c r="CM619" s="824">
        <f t="shared" ca="1" si="488"/>
        <v>0</v>
      </c>
      <c r="CN619" s="824">
        <f t="shared" ca="1" si="488"/>
        <v>0</v>
      </c>
      <c r="CO619" s="824">
        <f t="shared" ca="1" si="488"/>
        <v>0</v>
      </c>
      <c r="CP619" s="824">
        <f t="shared" ca="1" si="488"/>
        <v>0</v>
      </c>
      <c r="CQ619" s="824">
        <f t="shared" ca="1" si="488"/>
        <v>0</v>
      </c>
      <c r="CR619" s="824">
        <f t="shared" ca="1" si="488"/>
        <v>0</v>
      </c>
      <c r="CS619" s="824">
        <f t="shared" ca="1" si="488"/>
        <v>0</v>
      </c>
      <c r="CT619" s="824">
        <f t="shared" ca="1" si="491"/>
        <v>0</v>
      </c>
      <c r="CU619" s="824">
        <f t="shared" ca="1" si="491"/>
        <v>0</v>
      </c>
      <c r="CV619" s="824">
        <f t="shared" ca="1" si="491"/>
        <v>0</v>
      </c>
      <c r="CW619" s="824">
        <f t="shared" ca="1" si="491"/>
        <v>0</v>
      </c>
      <c r="CX619" s="824">
        <f t="shared" ca="1" si="491"/>
        <v>0</v>
      </c>
      <c r="CY619" s="824">
        <f t="shared" ca="1" si="491"/>
        <v>0</v>
      </c>
      <c r="CZ619" s="824">
        <f t="shared" ca="1" si="491"/>
        <v>0</v>
      </c>
      <c r="DA619" s="824">
        <f t="shared" ca="1" si="491"/>
        <v>0</v>
      </c>
      <c r="DB619" s="824">
        <f t="shared" ca="1" si="491"/>
        <v>0</v>
      </c>
      <c r="DC619" s="824">
        <f t="shared" ca="1" si="491"/>
        <v>0</v>
      </c>
      <c r="DD619" s="824">
        <f t="shared" ca="1" si="491"/>
        <v>0</v>
      </c>
      <c r="DE619" s="824">
        <f t="shared" ca="1" si="491"/>
        <v>0</v>
      </c>
      <c r="DF619" s="824">
        <f t="shared" ca="1" si="491"/>
        <v>0</v>
      </c>
      <c r="DG619" s="824">
        <f t="shared" ca="1" si="491"/>
        <v>0</v>
      </c>
      <c r="DH619" s="824">
        <f t="shared" ca="1" si="491"/>
        <v>0</v>
      </c>
      <c r="DI619" s="824">
        <f t="shared" ca="1" si="491"/>
        <v>0</v>
      </c>
      <c r="DJ619" s="824">
        <f t="shared" ca="1" si="454"/>
        <v>0</v>
      </c>
      <c r="DK619" s="824">
        <f t="shared" ca="1" si="454"/>
        <v>0</v>
      </c>
      <c r="DL619" s="824">
        <f t="shared" ca="1" si="454"/>
        <v>0</v>
      </c>
    </row>
    <row r="620" spans="2:116" ht="12" thickBot="1" x14ac:dyDescent="0.3">
      <c r="B620" s="1673"/>
      <c r="C620" s="1680"/>
      <c r="D620" s="15" t="s">
        <v>25</v>
      </c>
      <c r="E620" s="116"/>
      <c r="F620" s="116">
        <f ca="1">SUBTOTAL(109,'3.3 I&amp;W'!$X$169)</f>
        <v>0</v>
      </c>
      <c r="G620" s="116">
        <f ca="1">SUBTOTAL(109,'3.3 I&amp;W'!$Y$169)</f>
        <v>0</v>
      </c>
      <c r="H620" s="116">
        <f ca="1">SUBTOTAL(109,'3.3 I&amp;W'!$AD$169)</f>
        <v>0</v>
      </c>
      <c r="I620" s="116">
        <f ca="1">SUBTOTAL(109,'3.3 I&amp;W'!$AE$169)</f>
        <v>0</v>
      </c>
      <c r="J620" s="116"/>
      <c r="K620" s="116"/>
      <c r="L620" s="116"/>
      <c r="M620" s="116">
        <f ca="1">SUBTOTAL(109,'3.3 I&amp;W'!$AI$169)</f>
        <v>0</v>
      </c>
      <c r="N620" s="156">
        <f t="shared" ca="1" si="479"/>
        <v>0</v>
      </c>
      <c r="O620" s="116">
        <f ca="1">SUBTOTAL(109,'3.3 I&amp;W'!$S$169)</f>
        <v>0</v>
      </c>
      <c r="P620" s="30">
        <f t="shared" ca="1" si="469"/>
        <v>0</v>
      </c>
      <c r="Q620" s="31">
        <f t="shared" ca="1" si="470"/>
        <v>0</v>
      </c>
      <c r="R620" s="31">
        <f t="shared" ca="1" si="471"/>
        <v>0</v>
      </c>
      <c r="S620" s="31">
        <f t="shared" ca="1" si="472"/>
        <v>0</v>
      </c>
      <c r="T620" s="32">
        <f t="shared" ca="1" si="473"/>
        <v>0</v>
      </c>
      <c r="U620" s="37">
        <f t="shared" ca="1" si="405"/>
        <v>0</v>
      </c>
      <c r="V620" s="40">
        <f t="shared" ca="1" si="474"/>
        <v>0</v>
      </c>
      <c r="W620" s="41">
        <f t="shared" ca="1" si="475"/>
        <v>0</v>
      </c>
      <c r="X620" s="43"/>
      <c r="Y620" s="46"/>
      <c r="Z620" s="126"/>
      <c r="AA620" s="136"/>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824">
        <f t="shared" ca="1" si="476"/>
        <v>0</v>
      </c>
      <c r="BM620" s="824">
        <f t="shared" ca="1" si="477"/>
        <v>0</v>
      </c>
      <c r="BN620" s="824">
        <f t="shared" ca="1" si="478"/>
        <v>0</v>
      </c>
      <c r="BO620" s="824">
        <f t="shared" ca="1" si="489"/>
        <v>0</v>
      </c>
      <c r="BP620" s="824">
        <f t="shared" ca="1" si="489"/>
        <v>0</v>
      </c>
      <c r="BQ620" s="824">
        <f t="shared" ca="1" si="489"/>
        <v>0</v>
      </c>
      <c r="BR620" s="824">
        <f t="shared" ca="1" si="489"/>
        <v>0</v>
      </c>
      <c r="BS620" s="824">
        <f t="shared" ca="1" si="489"/>
        <v>0</v>
      </c>
      <c r="BT620" s="824">
        <f t="shared" ca="1" si="489"/>
        <v>0</v>
      </c>
      <c r="BU620" s="824">
        <f t="shared" ca="1" si="489"/>
        <v>0</v>
      </c>
      <c r="BV620" s="824">
        <f t="shared" ca="1" si="489"/>
        <v>0</v>
      </c>
      <c r="BW620" s="824">
        <f t="shared" ca="1" si="489"/>
        <v>0</v>
      </c>
      <c r="BX620" s="824">
        <f t="shared" ca="1" si="489"/>
        <v>0</v>
      </c>
      <c r="BY620" s="824">
        <f t="shared" ca="1" si="489"/>
        <v>0</v>
      </c>
      <c r="BZ620" s="824">
        <f t="shared" ca="1" si="489"/>
        <v>0</v>
      </c>
      <c r="CA620" s="824">
        <f t="shared" ca="1" si="489"/>
        <v>0</v>
      </c>
      <c r="CB620" s="824">
        <f t="shared" ca="1" si="489"/>
        <v>0</v>
      </c>
      <c r="CC620" s="824">
        <f t="shared" ca="1" si="489"/>
        <v>0</v>
      </c>
      <c r="CD620" s="824">
        <f t="shared" ca="1" si="489"/>
        <v>0</v>
      </c>
      <c r="CE620" s="824">
        <f t="shared" ca="1" si="488"/>
        <v>0</v>
      </c>
      <c r="CF620" s="824">
        <f t="shared" ca="1" si="488"/>
        <v>0</v>
      </c>
      <c r="CG620" s="824">
        <f t="shared" ca="1" si="488"/>
        <v>0</v>
      </c>
      <c r="CH620" s="824">
        <f t="shared" ca="1" si="488"/>
        <v>0</v>
      </c>
      <c r="CI620" s="824">
        <f t="shared" ca="1" si="488"/>
        <v>0</v>
      </c>
      <c r="CJ620" s="824">
        <f t="shared" ca="1" si="488"/>
        <v>0</v>
      </c>
      <c r="CK620" s="824">
        <f t="shared" ca="1" si="488"/>
        <v>0</v>
      </c>
      <c r="CL620" s="824">
        <f t="shared" ca="1" si="488"/>
        <v>0</v>
      </c>
      <c r="CM620" s="824">
        <f t="shared" ca="1" si="488"/>
        <v>0</v>
      </c>
      <c r="CN620" s="824">
        <f t="shared" ca="1" si="488"/>
        <v>0</v>
      </c>
      <c r="CO620" s="824">
        <f t="shared" ca="1" si="488"/>
        <v>0</v>
      </c>
      <c r="CP620" s="824">
        <f t="shared" ca="1" si="488"/>
        <v>0</v>
      </c>
      <c r="CQ620" s="824">
        <f t="shared" ca="1" si="488"/>
        <v>0</v>
      </c>
      <c r="CR620" s="824">
        <f t="shared" ca="1" si="488"/>
        <v>0</v>
      </c>
      <c r="CS620" s="824">
        <f t="shared" ca="1" si="488"/>
        <v>0</v>
      </c>
      <c r="CT620" s="824">
        <f t="shared" ca="1" si="491"/>
        <v>0</v>
      </c>
      <c r="CU620" s="824">
        <f t="shared" ca="1" si="491"/>
        <v>0</v>
      </c>
      <c r="CV620" s="824">
        <f t="shared" ca="1" si="491"/>
        <v>0</v>
      </c>
      <c r="CW620" s="824">
        <f t="shared" ca="1" si="491"/>
        <v>0</v>
      </c>
      <c r="CX620" s="824">
        <f t="shared" ca="1" si="491"/>
        <v>0</v>
      </c>
      <c r="CY620" s="824">
        <f t="shared" ca="1" si="491"/>
        <v>0</v>
      </c>
      <c r="CZ620" s="824">
        <f t="shared" ca="1" si="491"/>
        <v>0</v>
      </c>
      <c r="DA620" s="824">
        <f t="shared" ca="1" si="491"/>
        <v>0</v>
      </c>
      <c r="DB620" s="824">
        <f t="shared" ca="1" si="491"/>
        <v>0</v>
      </c>
      <c r="DC620" s="824">
        <f t="shared" ca="1" si="491"/>
        <v>0</v>
      </c>
      <c r="DD620" s="824">
        <f t="shared" ca="1" si="491"/>
        <v>0</v>
      </c>
      <c r="DE620" s="824">
        <f t="shared" ca="1" si="491"/>
        <v>0</v>
      </c>
      <c r="DF620" s="824">
        <f t="shared" ca="1" si="491"/>
        <v>0</v>
      </c>
      <c r="DG620" s="824">
        <f t="shared" ca="1" si="491"/>
        <v>0</v>
      </c>
      <c r="DH620" s="824">
        <f t="shared" ca="1" si="491"/>
        <v>0</v>
      </c>
      <c r="DI620" s="824">
        <f t="shared" ca="1" si="491"/>
        <v>0</v>
      </c>
      <c r="DJ620" s="824">
        <f t="shared" ca="1" si="454"/>
        <v>0</v>
      </c>
      <c r="DK620" s="824">
        <f t="shared" ca="1" si="454"/>
        <v>0</v>
      </c>
      <c r="DL620" s="824">
        <f t="shared" ca="1" si="454"/>
        <v>0</v>
      </c>
    </row>
    <row r="621" spans="2:116" ht="12" thickBot="1" x14ac:dyDescent="0.3">
      <c r="B621" s="1673"/>
      <c r="C621" s="1680"/>
      <c r="D621" s="15" t="s">
        <v>25</v>
      </c>
      <c r="E621" s="165"/>
      <c r="F621" s="116">
        <f ca="1">SUBTOTAL(109,'3.3 I&amp;W'!$X$170)</f>
        <v>0</v>
      </c>
      <c r="G621" s="116">
        <f ca="1">SUBTOTAL(109,'3.3 I&amp;W'!$Y$170)</f>
        <v>0</v>
      </c>
      <c r="H621" s="116">
        <f ca="1">SUBTOTAL(109,'3.3 I&amp;W'!$AD$170)</f>
        <v>0</v>
      </c>
      <c r="I621" s="116">
        <f ca="1">SUBTOTAL(109,'3.3 I&amp;W'!$AE$170)</f>
        <v>0</v>
      </c>
      <c r="J621" s="116"/>
      <c r="K621" s="116"/>
      <c r="L621" s="116"/>
      <c r="M621" s="116">
        <f ca="1">SUBTOTAL(109,'3.3 I&amp;W'!$AI$170)</f>
        <v>0</v>
      </c>
      <c r="N621" s="156">
        <f t="shared" ca="1" si="479"/>
        <v>0</v>
      </c>
      <c r="O621" s="116">
        <f ca="1">SUBTOTAL(109,'3.3 I&amp;W'!$S$170)</f>
        <v>0</v>
      </c>
      <c r="P621" s="30">
        <f t="shared" ca="1" si="469"/>
        <v>0</v>
      </c>
      <c r="Q621" s="31">
        <f t="shared" ca="1" si="470"/>
        <v>0</v>
      </c>
      <c r="R621" s="31">
        <f t="shared" ca="1" si="471"/>
        <v>0</v>
      </c>
      <c r="S621" s="31">
        <f t="shared" ca="1" si="472"/>
        <v>0</v>
      </c>
      <c r="T621" s="32">
        <f t="shared" ca="1" si="473"/>
        <v>0</v>
      </c>
      <c r="U621" s="37">
        <f t="shared" ref="U621:U647" ca="1" si="492">IF(M621=0,0,O621*$G$158^(N621*M621)*((N621+1)*M621-$G$154)/M621*(1/$G$157^$G$154))</f>
        <v>0</v>
      </c>
      <c r="V621" s="40">
        <f t="shared" ca="1" si="474"/>
        <v>0</v>
      </c>
      <c r="W621" s="41">
        <f t="shared" ca="1" si="475"/>
        <v>0</v>
      </c>
      <c r="X621" s="43"/>
      <c r="Y621" s="46"/>
      <c r="Z621" s="126"/>
      <c r="AA621" s="136"/>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824">
        <f t="shared" ca="1" si="476"/>
        <v>0</v>
      </c>
      <c r="BM621" s="824">
        <f t="shared" ca="1" si="477"/>
        <v>0</v>
      </c>
      <c r="BN621" s="824">
        <f t="shared" ca="1" si="478"/>
        <v>0</v>
      </c>
      <c r="BO621" s="824">
        <f t="shared" ca="1" si="489"/>
        <v>0</v>
      </c>
      <c r="BP621" s="824">
        <f t="shared" ca="1" si="489"/>
        <v>0</v>
      </c>
      <c r="BQ621" s="824">
        <f t="shared" ca="1" si="489"/>
        <v>0</v>
      </c>
      <c r="BR621" s="824">
        <f t="shared" ca="1" si="489"/>
        <v>0</v>
      </c>
      <c r="BS621" s="824">
        <f t="shared" ca="1" si="489"/>
        <v>0</v>
      </c>
      <c r="BT621" s="824">
        <f t="shared" ca="1" si="489"/>
        <v>0</v>
      </c>
      <c r="BU621" s="824">
        <f t="shared" ca="1" si="489"/>
        <v>0</v>
      </c>
      <c r="BV621" s="824">
        <f t="shared" ca="1" si="489"/>
        <v>0</v>
      </c>
      <c r="BW621" s="824">
        <f t="shared" ca="1" si="489"/>
        <v>0</v>
      </c>
      <c r="BX621" s="824">
        <f t="shared" ca="1" si="489"/>
        <v>0</v>
      </c>
      <c r="BY621" s="824">
        <f t="shared" ca="1" si="489"/>
        <v>0</v>
      </c>
      <c r="BZ621" s="824">
        <f t="shared" ca="1" si="489"/>
        <v>0</v>
      </c>
      <c r="CA621" s="824">
        <f t="shared" ca="1" si="489"/>
        <v>0</v>
      </c>
      <c r="CB621" s="824">
        <f t="shared" ca="1" si="489"/>
        <v>0</v>
      </c>
      <c r="CC621" s="824">
        <f t="shared" ca="1" si="489"/>
        <v>0</v>
      </c>
      <c r="CD621" s="824">
        <f t="shared" ca="1" si="489"/>
        <v>0</v>
      </c>
      <c r="CE621" s="824">
        <f t="shared" ca="1" si="488"/>
        <v>0</v>
      </c>
      <c r="CF621" s="824">
        <f t="shared" ca="1" si="488"/>
        <v>0</v>
      </c>
      <c r="CG621" s="824">
        <f t="shared" ca="1" si="488"/>
        <v>0</v>
      </c>
      <c r="CH621" s="824">
        <f t="shared" ca="1" si="488"/>
        <v>0</v>
      </c>
      <c r="CI621" s="824">
        <f t="shared" ca="1" si="488"/>
        <v>0</v>
      </c>
      <c r="CJ621" s="824">
        <f t="shared" ca="1" si="488"/>
        <v>0</v>
      </c>
      <c r="CK621" s="824">
        <f t="shared" ca="1" si="488"/>
        <v>0</v>
      </c>
      <c r="CL621" s="824">
        <f t="shared" ca="1" si="488"/>
        <v>0</v>
      </c>
      <c r="CM621" s="824">
        <f t="shared" ca="1" si="488"/>
        <v>0</v>
      </c>
      <c r="CN621" s="824">
        <f t="shared" ca="1" si="488"/>
        <v>0</v>
      </c>
      <c r="CO621" s="824">
        <f t="shared" ca="1" si="488"/>
        <v>0</v>
      </c>
      <c r="CP621" s="824">
        <f t="shared" ca="1" si="488"/>
        <v>0</v>
      </c>
      <c r="CQ621" s="824">
        <f t="shared" ca="1" si="488"/>
        <v>0</v>
      </c>
      <c r="CR621" s="824">
        <f t="shared" ca="1" si="488"/>
        <v>0</v>
      </c>
      <c r="CS621" s="824">
        <f t="shared" ca="1" si="488"/>
        <v>0</v>
      </c>
      <c r="CT621" s="824">
        <f t="shared" ca="1" si="491"/>
        <v>0</v>
      </c>
      <c r="CU621" s="824">
        <f t="shared" ca="1" si="491"/>
        <v>0</v>
      </c>
      <c r="CV621" s="824">
        <f t="shared" ca="1" si="491"/>
        <v>0</v>
      </c>
      <c r="CW621" s="824">
        <f t="shared" ca="1" si="491"/>
        <v>0</v>
      </c>
      <c r="CX621" s="824">
        <f t="shared" ca="1" si="491"/>
        <v>0</v>
      </c>
      <c r="CY621" s="824">
        <f t="shared" ca="1" si="491"/>
        <v>0</v>
      </c>
      <c r="CZ621" s="824">
        <f t="shared" ca="1" si="491"/>
        <v>0</v>
      </c>
      <c r="DA621" s="824">
        <f t="shared" ca="1" si="491"/>
        <v>0</v>
      </c>
      <c r="DB621" s="824">
        <f t="shared" ca="1" si="491"/>
        <v>0</v>
      </c>
      <c r="DC621" s="824">
        <f t="shared" ca="1" si="491"/>
        <v>0</v>
      </c>
      <c r="DD621" s="824">
        <f t="shared" ca="1" si="491"/>
        <v>0</v>
      </c>
      <c r="DE621" s="824">
        <f t="shared" ca="1" si="491"/>
        <v>0</v>
      </c>
      <c r="DF621" s="824">
        <f t="shared" ca="1" si="491"/>
        <v>0</v>
      </c>
      <c r="DG621" s="824">
        <f t="shared" ca="1" si="491"/>
        <v>0</v>
      </c>
      <c r="DH621" s="824">
        <f t="shared" ca="1" si="491"/>
        <v>0</v>
      </c>
      <c r="DI621" s="824">
        <f t="shared" ca="1" si="491"/>
        <v>0</v>
      </c>
      <c r="DJ621" s="824">
        <f t="shared" ca="1" si="454"/>
        <v>0</v>
      </c>
      <c r="DK621" s="824">
        <f t="shared" ca="1" si="454"/>
        <v>0</v>
      </c>
      <c r="DL621" s="824">
        <f t="shared" ca="1" si="454"/>
        <v>0</v>
      </c>
    </row>
    <row r="622" spans="2:116" ht="12" thickBot="1" x14ac:dyDescent="0.3">
      <c r="B622" s="1673"/>
      <c r="C622" s="1680"/>
      <c r="D622" s="15" t="s">
        <v>19</v>
      </c>
      <c r="E622" s="116"/>
      <c r="F622" s="116">
        <f ca="1">SUBTOTAL(109,'3.3 I&amp;W'!$X$178)</f>
        <v>0</v>
      </c>
      <c r="G622" s="116">
        <f ca="1">SUBTOTAL(109,'3.3 I&amp;W'!$Y$178)</f>
        <v>0</v>
      </c>
      <c r="H622" s="116">
        <f ca="1">SUBTOTAL(109,'3.3 I&amp;W'!$AD$178)</f>
        <v>0</v>
      </c>
      <c r="I622" s="116">
        <f ca="1">SUBTOTAL(109,'3.3 I&amp;W'!$AE$178)</f>
        <v>0</v>
      </c>
      <c r="J622" s="116"/>
      <c r="K622" s="116"/>
      <c r="L622" s="116"/>
      <c r="M622" s="116">
        <f ca="1">SUBTOTAL(109,'3.3 I&amp;W'!$AI$178)</f>
        <v>0</v>
      </c>
      <c r="N622" s="156">
        <f t="shared" ca="1" si="479"/>
        <v>0</v>
      </c>
      <c r="O622" s="116">
        <f ca="1">SUBTOTAL(109,'3.3 I&amp;W'!$S$178)</f>
        <v>0</v>
      </c>
      <c r="P622" s="30">
        <f t="shared" ca="1" si="469"/>
        <v>0</v>
      </c>
      <c r="Q622" s="31">
        <f t="shared" ca="1" si="470"/>
        <v>0</v>
      </c>
      <c r="R622" s="31">
        <f t="shared" ca="1" si="471"/>
        <v>0</v>
      </c>
      <c r="S622" s="31">
        <f t="shared" ca="1" si="472"/>
        <v>0</v>
      </c>
      <c r="T622" s="32">
        <f t="shared" ca="1" si="473"/>
        <v>0</v>
      </c>
      <c r="U622" s="37">
        <f t="shared" ca="1" si="492"/>
        <v>0</v>
      </c>
      <c r="V622" s="40">
        <f t="shared" ca="1" si="474"/>
        <v>0</v>
      </c>
      <c r="W622" s="41">
        <f t="shared" ca="1" si="475"/>
        <v>0</v>
      </c>
      <c r="X622" s="43"/>
      <c r="Y622" s="46"/>
      <c r="Z622" s="126"/>
      <c r="AA622" s="136"/>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824">
        <f t="shared" ca="1" si="476"/>
        <v>0</v>
      </c>
      <c r="BM622" s="824">
        <f t="shared" ca="1" si="477"/>
        <v>0</v>
      </c>
      <c r="BN622" s="824">
        <f t="shared" ca="1" si="478"/>
        <v>0</v>
      </c>
      <c r="BO622" s="824">
        <f t="shared" ca="1" si="489"/>
        <v>0</v>
      </c>
      <c r="BP622" s="824">
        <f t="shared" ca="1" si="489"/>
        <v>0</v>
      </c>
      <c r="BQ622" s="824">
        <f t="shared" ca="1" si="489"/>
        <v>0</v>
      </c>
      <c r="BR622" s="824">
        <f t="shared" ca="1" si="489"/>
        <v>0</v>
      </c>
      <c r="BS622" s="824">
        <f t="shared" ca="1" si="489"/>
        <v>0</v>
      </c>
      <c r="BT622" s="824">
        <f t="shared" ca="1" si="489"/>
        <v>0</v>
      </c>
      <c r="BU622" s="824">
        <f t="shared" ca="1" si="489"/>
        <v>0</v>
      </c>
      <c r="BV622" s="824">
        <f t="shared" ca="1" si="489"/>
        <v>0</v>
      </c>
      <c r="BW622" s="824">
        <f t="shared" ca="1" si="489"/>
        <v>0</v>
      </c>
      <c r="BX622" s="824">
        <f t="shared" ca="1" si="489"/>
        <v>0</v>
      </c>
      <c r="BY622" s="824">
        <f t="shared" ca="1" si="489"/>
        <v>0</v>
      </c>
      <c r="BZ622" s="824">
        <f t="shared" ca="1" si="489"/>
        <v>0</v>
      </c>
      <c r="CA622" s="824">
        <f t="shared" ca="1" si="489"/>
        <v>0</v>
      </c>
      <c r="CB622" s="824">
        <f t="shared" ca="1" si="489"/>
        <v>0</v>
      </c>
      <c r="CC622" s="824">
        <f t="shared" ca="1" si="489"/>
        <v>0</v>
      </c>
      <c r="CD622" s="824">
        <f t="shared" ca="1" si="489"/>
        <v>0</v>
      </c>
      <c r="CE622" s="824">
        <f t="shared" ca="1" si="488"/>
        <v>0</v>
      </c>
      <c r="CF622" s="824">
        <f t="shared" ca="1" si="488"/>
        <v>0</v>
      </c>
      <c r="CG622" s="824">
        <f t="shared" ca="1" si="488"/>
        <v>0</v>
      </c>
      <c r="CH622" s="824">
        <f t="shared" ca="1" si="488"/>
        <v>0</v>
      </c>
      <c r="CI622" s="824">
        <f t="shared" ca="1" si="488"/>
        <v>0</v>
      </c>
      <c r="CJ622" s="824">
        <f t="shared" ca="1" si="488"/>
        <v>0</v>
      </c>
      <c r="CK622" s="824">
        <f t="shared" ca="1" si="488"/>
        <v>0</v>
      </c>
      <c r="CL622" s="824">
        <f t="shared" ca="1" si="488"/>
        <v>0</v>
      </c>
      <c r="CM622" s="824">
        <f t="shared" ca="1" si="488"/>
        <v>0</v>
      </c>
      <c r="CN622" s="824">
        <f t="shared" ca="1" si="488"/>
        <v>0</v>
      </c>
      <c r="CO622" s="824">
        <f t="shared" ca="1" si="488"/>
        <v>0</v>
      </c>
      <c r="CP622" s="824">
        <f t="shared" ca="1" si="488"/>
        <v>0</v>
      </c>
      <c r="CQ622" s="824">
        <f t="shared" ca="1" si="488"/>
        <v>0</v>
      </c>
      <c r="CR622" s="824">
        <f t="shared" ca="1" si="488"/>
        <v>0</v>
      </c>
      <c r="CS622" s="824">
        <f t="shared" ca="1" si="488"/>
        <v>0</v>
      </c>
      <c r="CT622" s="824">
        <f t="shared" ca="1" si="491"/>
        <v>0</v>
      </c>
      <c r="CU622" s="824">
        <f t="shared" ca="1" si="491"/>
        <v>0</v>
      </c>
      <c r="CV622" s="824">
        <f t="shared" ca="1" si="491"/>
        <v>0</v>
      </c>
      <c r="CW622" s="824">
        <f t="shared" ca="1" si="491"/>
        <v>0</v>
      </c>
      <c r="CX622" s="824">
        <f t="shared" ca="1" si="491"/>
        <v>0</v>
      </c>
      <c r="CY622" s="824">
        <f t="shared" ca="1" si="491"/>
        <v>0</v>
      </c>
      <c r="CZ622" s="824">
        <f t="shared" ca="1" si="491"/>
        <v>0</v>
      </c>
      <c r="DA622" s="824">
        <f t="shared" ca="1" si="491"/>
        <v>0</v>
      </c>
      <c r="DB622" s="824">
        <f t="shared" ca="1" si="491"/>
        <v>0</v>
      </c>
      <c r="DC622" s="824">
        <f t="shared" ca="1" si="491"/>
        <v>0</v>
      </c>
      <c r="DD622" s="824">
        <f t="shared" ca="1" si="491"/>
        <v>0</v>
      </c>
      <c r="DE622" s="824">
        <f t="shared" ca="1" si="491"/>
        <v>0</v>
      </c>
      <c r="DF622" s="824">
        <f t="shared" ca="1" si="491"/>
        <v>0</v>
      </c>
      <c r="DG622" s="824">
        <f t="shared" ca="1" si="491"/>
        <v>0</v>
      </c>
      <c r="DH622" s="824">
        <f t="shared" ca="1" si="491"/>
        <v>0</v>
      </c>
      <c r="DI622" s="824">
        <f t="shared" ca="1" si="491"/>
        <v>0</v>
      </c>
      <c r="DJ622" s="824">
        <f t="shared" ca="1" si="454"/>
        <v>0</v>
      </c>
      <c r="DK622" s="824">
        <f t="shared" ca="1" si="454"/>
        <v>0</v>
      </c>
      <c r="DL622" s="824">
        <f t="shared" ca="1" si="454"/>
        <v>0</v>
      </c>
    </row>
    <row r="623" spans="2:116" ht="12" thickBot="1" x14ac:dyDescent="0.3">
      <c r="B623" s="1673"/>
      <c r="C623" s="1680"/>
      <c r="D623" s="15" t="s">
        <v>19</v>
      </c>
      <c r="E623" s="165"/>
      <c r="F623" s="116">
        <f ca="1">SUBTOTAL(109,'3.3 I&amp;W'!$X$179)</f>
        <v>0</v>
      </c>
      <c r="G623" s="116">
        <f ca="1">SUBTOTAL(109,'3.3 I&amp;W'!$Y$179)</f>
        <v>0</v>
      </c>
      <c r="H623" s="116">
        <f ca="1">SUBTOTAL(109,'3.3 I&amp;W'!$AD$179)</f>
        <v>0</v>
      </c>
      <c r="I623" s="116">
        <f ca="1">SUBTOTAL(109,'3.3 I&amp;W'!$AE$179)</f>
        <v>0</v>
      </c>
      <c r="J623" s="116"/>
      <c r="K623" s="116"/>
      <c r="L623" s="116"/>
      <c r="M623" s="116">
        <f ca="1">SUBTOTAL(109,'3.3 I&amp;W'!$AI$179)</f>
        <v>0</v>
      </c>
      <c r="N623" s="156">
        <f t="shared" ca="1" si="479"/>
        <v>0</v>
      </c>
      <c r="O623" s="116">
        <f ca="1">SUBTOTAL(109,'3.3 I&amp;W'!$S$179)</f>
        <v>0</v>
      </c>
      <c r="P623" s="30">
        <f t="shared" ca="1" si="469"/>
        <v>0</v>
      </c>
      <c r="Q623" s="31">
        <f t="shared" ca="1" si="470"/>
        <v>0</v>
      </c>
      <c r="R623" s="31">
        <f t="shared" ca="1" si="471"/>
        <v>0</v>
      </c>
      <c r="S623" s="31">
        <f t="shared" ca="1" si="472"/>
        <v>0</v>
      </c>
      <c r="T623" s="32">
        <f t="shared" ca="1" si="473"/>
        <v>0</v>
      </c>
      <c r="U623" s="37">
        <f t="shared" ca="1" si="492"/>
        <v>0</v>
      </c>
      <c r="V623" s="40">
        <f t="shared" ca="1" si="474"/>
        <v>0</v>
      </c>
      <c r="W623" s="41">
        <f t="shared" ca="1" si="475"/>
        <v>0</v>
      </c>
      <c r="X623" s="43"/>
      <c r="Y623" s="46"/>
      <c r="Z623" s="126"/>
      <c r="AA623" s="136"/>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824">
        <f t="shared" ca="1" si="476"/>
        <v>0</v>
      </c>
      <c r="BM623" s="824">
        <f t="shared" ca="1" si="477"/>
        <v>0</v>
      </c>
      <c r="BN623" s="824">
        <f t="shared" ca="1" si="478"/>
        <v>0</v>
      </c>
      <c r="BO623" s="824">
        <f t="shared" ca="1" si="489"/>
        <v>0</v>
      </c>
      <c r="BP623" s="824">
        <f t="shared" ca="1" si="489"/>
        <v>0</v>
      </c>
      <c r="BQ623" s="824">
        <f t="shared" ca="1" si="489"/>
        <v>0</v>
      </c>
      <c r="BR623" s="824">
        <f t="shared" ca="1" si="489"/>
        <v>0</v>
      </c>
      <c r="BS623" s="824">
        <f t="shared" ca="1" si="489"/>
        <v>0</v>
      </c>
      <c r="BT623" s="824">
        <f t="shared" ca="1" si="489"/>
        <v>0</v>
      </c>
      <c r="BU623" s="824">
        <f t="shared" ca="1" si="489"/>
        <v>0</v>
      </c>
      <c r="BV623" s="824">
        <f t="shared" ca="1" si="489"/>
        <v>0</v>
      </c>
      <c r="BW623" s="824">
        <f t="shared" ca="1" si="489"/>
        <v>0</v>
      </c>
      <c r="BX623" s="824">
        <f t="shared" ca="1" si="489"/>
        <v>0</v>
      </c>
      <c r="BY623" s="824">
        <f t="shared" ca="1" si="489"/>
        <v>0</v>
      </c>
      <c r="BZ623" s="824">
        <f t="shared" ca="1" si="489"/>
        <v>0</v>
      </c>
      <c r="CA623" s="824">
        <f t="shared" ca="1" si="489"/>
        <v>0</v>
      </c>
      <c r="CB623" s="824">
        <f t="shared" ca="1" si="489"/>
        <v>0</v>
      </c>
      <c r="CC623" s="824">
        <f t="shared" ca="1" si="489"/>
        <v>0</v>
      </c>
      <c r="CD623" s="824">
        <f t="shared" ca="1" si="489"/>
        <v>0</v>
      </c>
      <c r="CE623" s="824">
        <f t="shared" ca="1" si="488"/>
        <v>0</v>
      </c>
      <c r="CF623" s="824">
        <f t="shared" ca="1" si="488"/>
        <v>0</v>
      </c>
      <c r="CG623" s="824">
        <f t="shared" ca="1" si="488"/>
        <v>0</v>
      </c>
      <c r="CH623" s="824">
        <f t="shared" ca="1" si="488"/>
        <v>0</v>
      </c>
      <c r="CI623" s="824">
        <f t="shared" ca="1" si="488"/>
        <v>0</v>
      </c>
      <c r="CJ623" s="824">
        <f t="shared" ca="1" si="488"/>
        <v>0</v>
      </c>
      <c r="CK623" s="824">
        <f t="shared" ca="1" si="488"/>
        <v>0</v>
      </c>
      <c r="CL623" s="824">
        <f t="shared" ca="1" si="488"/>
        <v>0</v>
      </c>
      <c r="CM623" s="824">
        <f t="shared" ca="1" si="488"/>
        <v>0</v>
      </c>
      <c r="CN623" s="824">
        <f t="shared" ca="1" si="488"/>
        <v>0</v>
      </c>
      <c r="CO623" s="824">
        <f t="shared" ca="1" si="488"/>
        <v>0</v>
      </c>
      <c r="CP623" s="824">
        <f t="shared" ca="1" si="488"/>
        <v>0</v>
      </c>
      <c r="CQ623" s="824">
        <f t="shared" ca="1" si="488"/>
        <v>0</v>
      </c>
      <c r="CR623" s="824">
        <f t="shared" ca="1" si="488"/>
        <v>0</v>
      </c>
      <c r="CS623" s="824">
        <f t="shared" ca="1" si="488"/>
        <v>0</v>
      </c>
      <c r="CT623" s="824">
        <f t="shared" ca="1" si="491"/>
        <v>0</v>
      </c>
      <c r="CU623" s="824">
        <f t="shared" ca="1" si="491"/>
        <v>0</v>
      </c>
      <c r="CV623" s="824">
        <f t="shared" ca="1" si="491"/>
        <v>0</v>
      </c>
      <c r="CW623" s="824">
        <f t="shared" ca="1" si="491"/>
        <v>0</v>
      </c>
      <c r="CX623" s="824">
        <f t="shared" ca="1" si="491"/>
        <v>0</v>
      </c>
      <c r="CY623" s="824">
        <f t="shared" ca="1" si="491"/>
        <v>0</v>
      </c>
      <c r="CZ623" s="824">
        <f t="shared" ca="1" si="491"/>
        <v>0</v>
      </c>
      <c r="DA623" s="824">
        <f t="shared" ca="1" si="491"/>
        <v>0</v>
      </c>
      <c r="DB623" s="824">
        <f t="shared" ca="1" si="491"/>
        <v>0</v>
      </c>
      <c r="DC623" s="824">
        <f t="shared" ca="1" si="491"/>
        <v>0</v>
      </c>
      <c r="DD623" s="824">
        <f t="shared" ca="1" si="491"/>
        <v>0</v>
      </c>
      <c r="DE623" s="824">
        <f t="shared" ca="1" si="491"/>
        <v>0</v>
      </c>
      <c r="DF623" s="824">
        <f t="shared" ca="1" si="491"/>
        <v>0</v>
      </c>
      <c r="DG623" s="824">
        <f t="shared" ca="1" si="491"/>
        <v>0</v>
      </c>
      <c r="DH623" s="824">
        <f t="shared" ca="1" si="491"/>
        <v>0</v>
      </c>
      <c r="DI623" s="824">
        <f t="shared" ca="1" si="491"/>
        <v>0</v>
      </c>
      <c r="DJ623" s="824">
        <f t="shared" ca="1" si="454"/>
        <v>0</v>
      </c>
      <c r="DK623" s="824">
        <f t="shared" ca="1" si="454"/>
        <v>0</v>
      </c>
      <c r="DL623" s="824">
        <f t="shared" ca="1" si="454"/>
        <v>0</v>
      </c>
    </row>
    <row r="624" spans="2:116" ht="12" thickBot="1" x14ac:dyDescent="0.3">
      <c r="B624" s="1673"/>
      <c r="C624" s="1680"/>
      <c r="D624" s="15" t="s">
        <v>19</v>
      </c>
      <c r="E624" s="116"/>
      <c r="F624" s="116">
        <f ca="1">SUBTOTAL(109,'3.3 I&amp;W'!$X$180)</f>
        <v>0</v>
      </c>
      <c r="G624" s="116">
        <f ca="1">SUBTOTAL(109,'3.3 I&amp;W'!$Y$180)</f>
        <v>0</v>
      </c>
      <c r="H624" s="116">
        <f ca="1">SUBTOTAL(109,'3.3 I&amp;W'!$AD$180)</f>
        <v>0</v>
      </c>
      <c r="I624" s="116">
        <f ca="1">SUBTOTAL(109,'3.3 I&amp;W'!$AE$180)</f>
        <v>0</v>
      </c>
      <c r="J624" s="116"/>
      <c r="K624" s="116"/>
      <c r="L624" s="116"/>
      <c r="M624" s="116">
        <f ca="1">SUBTOTAL(109,'3.3 I&amp;W'!$AI$180)</f>
        <v>0</v>
      </c>
      <c r="N624" s="156">
        <f t="shared" ca="1" si="479"/>
        <v>0</v>
      </c>
      <c r="O624" s="116">
        <f ca="1">SUBTOTAL(109,'3.3 I&amp;W'!$S$180)</f>
        <v>0</v>
      </c>
      <c r="P624" s="30">
        <f t="shared" ca="1" si="469"/>
        <v>0</v>
      </c>
      <c r="Q624" s="31">
        <f t="shared" ca="1" si="470"/>
        <v>0</v>
      </c>
      <c r="R624" s="31">
        <f t="shared" ca="1" si="471"/>
        <v>0</v>
      </c>
      <c r="S624" s="31">
        <f t="shared" ca="1" si="472"/>
        <v>0</v>
      </c>
      <c r="T624" s="32">
        <f t="shared" ca="1" si="473"/>
        <v>0</v>
      </c>
      <c r="U624" s="37">
        <f t="shared" ca="1" si="492"/>
        <v>0</v>
      </c>
      <c r="V624" s="40">
        <f t="shared" ca="1" si="474"/>
        <v>0</v>
      </c>
      <c r="W624" s="41">
        <f t="shared" ca="1" si="475"/>
        <v>0</v>
      </c>
      <c r="X624" s="43"/>
      <c r="Y624" s="46"/>
      <c r="Z624" s="126"/>
      <c r="AA624" s="136"/>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824">
        <f t="shared" ca="1" si="476"/>
        <v>0</v>
      </c>
      <c r="BM624" s="824">
        <f t="shared" ca="1" si="477"/>
        <v>0</v>
      </c>
      <c r="BN624" s="824">
        <f t="shared" ca="1" si="478"/>
        <v>0</v>
      </c>
      <c r="BO624" s="824">
        <f t="shared" ca="1" si="489"/>
        <v>0</v>
      </c>
      <c r="BP624" s="824">
        <f t="shared" ca="1" si="489"/>
        <v>0</v>
      </c>
      <c r="BQ624" s="824">
        <f t="shared" ca="1" si="489"/>
        <v>0</v>
      </c>
      <c r="BR624" s="824">
        <f t="shared" ca="1" si="489"/>
        <v>0</v>
      </c>
      <c r="BS624" s="824">
        <f t="shared" ca="1" si="489"/>
        <v>0</v>
      </c>
      <c r="BT624" s="824">
        <f t="shared" ca="1" si="489"/>
        <v>0</v>
      </c>
      <c r="BU624" s="824">
        <f t="shared" ca="1" si="489"/>
        <v>0</v>
      </c>
      <c r="BV624" s="824">
        <f t="shared" ca="1" si="489"/>
        <v>0</v>
      </c>
      <c r="BW624" s="824">
        <f t="shared" ca="1" si="489"/>
        <v>0</v>
      </c>
      <c r="BX624" s="824">
        <f t="shared" ca="1" si="489"/>
        <v>0</v>
      </c>
      <c r="BY624" s="824">
        <f t="shared" ca="1" si="489"/>
        <v>0</v>
      </c>
      <c r="BZ624" s="824">
        <f t="shared" ca="1" si="489"/>
        <v>0</v>
      </c>
      <c r="CA624" s="824">
        <f t="shared" ca="1" si="489"/>
        <v>0</v>
      </c>
      <c r="CB624" s="824">
        <f t="shared" ca="1" si="489"/>
        <v>0</v>
      </c>
      <c r="CC624" s="824">
        <f t="shared" ca="1" si="489"/>
        <v>0</v>
      </c>
      <c r="CD624" s="824">
        <f t="shared" ca="1" si="489"/>
        <v>0</v>
      </c>
      <c r="CE624" s="824">
        <f t="shared" ca="1" si="488"/>
        <v>0</v>
      </c>
      <c r="CF624" s="824">
        <f t="shared" ca="1" si="488"/>
        <v>0</v>
      </c>
      <c r="CG624" s="824">
        <f t="shared" ca="1" si="488"/>
        <v>0</v>
      </c>
      <c r="CH624" s="824">
        <f t="shared" ca="1" si="488"/>
        <v>0</v>
      </c>
      <c r="CI624" s="824">
        <f t="shared" ca="1" si="488"/>
        <v>0</v>
      </c>
      <c r="CJ624" s="824">
        <f t="shared" ca="1" si="488"/>
        <v>0</v>
      </c>
      <c r="CK624" s="824">
        <f t="shared" ca="1" si="488"/>
        <v>0</v>
      </c>
      <c r="CL624" s="824">
        <f t="shared" ca="1" si="488"/>
        <v>0</v>
      </c>
      <c r="CM624" s="824">
        <f t="shared" ca="1" si="488"/>
        <v>0</v>
      </c>
      <c r="CN624" s="824">
        <f t="shared" ca="1" si="488"/>
        <v>0</v>
      </c>
      <c r="CO624" s="824">
        <f t="shared" ca="1" si="488"/>
        <v>0</v>
      </c>
      <c r="CP624" s="824">
        <f t="shared" ca="1" si="488"/>
        <v>0</v>
      </c>
      <c r="CQ624" s="824">
        <f t="shared" ca="1" si="488"/>
        <v>0</v>
      </c>
      <c r="CR624" s="824">
        <f t="shared" ca="1" si="488"/>
        <v>0</v>
      </c>
      <c r="CS624" s="824">
        <f t="shared" ca="1" si="488"/>
        <v>0</v>
      </c>
      <c r="CT624" s="824">
        <f t="shared" ca="1" si="491"/>
        <v>0</v>
      </c>
      <c r="CU624" s="824">
        <f t="shared" ca="1" si="491"/>
        <v>0</v>
      </c>
      <c r="CV624" s="824">
        <f t="shared" ca="1" si="491"/>
        <v>0</v>
      </c>
      <c r="CW624" s="824">
        <f t="shared" ca="1" si="491"/>
        <v>0</v>
      </c>
      <c r="CX624" s="824">
        <f t="shared" ca="1" si="491"/>
        <v>0</v>
      </c>
      <c r="CY624" s="824">
        <f t="shared" ca="1" si="491"/>
        <v>0</v>
      </c>
      <c r="CZ624" s="824">
        <f t="shared" ca="1" si="491"/>
        <v>0</v>
      </c>
      <c r="DA624" s="824">
        <f t="shared" ca="1" si="491"/>
        <v>0</v>
      </c>
      <c r="DB624" s="824">
        <f t="shared" ca="1" si="491"/>
        <v>0</v>
      </c>
      <c r="DC624" s="824">
        <f t="shared" ca="1" si="491"/>
        <v>0</v>
      </c>
      <c r="DD624" s="824">
        <f t="shared" ca="1" si="491"/>
        <v>0</v>
      </c>
      <c r="DE624" s="824">
        <f t="shared" ca="1" si="491"/>
        <v>0</v>
      </c>
      <c r="DF624" s="824">
        <f t="shared" ca="1" si="491"/>
        <v>0</v>
      </c>
      <c r="DG624" s="824">
        <f t="shared" ca="1" si="491"/>
        <v>0</v>
      </c>
      <c r="DH624" s="824">
        <f t="shared" ca="1" si="491"/>
        <v>0</v>
      </c>
      <c r="DI624" s="824">
        <f t="shared" ca="1" si="491"/>
        <v>0</v>
      </c>
      <c r="DJ624" s="824">
        <f t="shared" ca="1" si="454"/>
        <v>0</v>
      </c>
      <c r="DK624" s="824">
        <f t="shared" ca="1" si="454"/>
        <v>0</v>
      </c>
      <c r="DL624" s="824">
        <f t="shared" ca="1" si="454"/>
        <v>0</v>
      </c>
    </row>
    <row r="625" spans="2:116" ht="12" thickBot="1" x14ac:dyDescent="0.3">
      <c r="B625" s="1673"/>
      <c r="C625" s="1680"/>
      <c r="D625" s="15" t="s">
        <v>182</v>
      </c>
      <c r="E625" s="165"/>
      <c r="F625" s="116">
        <f ca="1">SUBTOTAL(109,'3.3 I&amp;W'!$X$184)</f>
        <v>0</v>
      </c>
      <c r="G625" s="116">
        <f ca="1">SUBTOTAL(109,'3.3 I&amp;W'!$Y$184)</f>
        <v>0</v>
      </c>
      <c r="H625" s="116">
        <f ca="1">SUBTOTAL(109,'3.3 I&amp;W'!$AD$184)</f>
        <v>0</v>
      </c>
      <c r="I625" s="116">
        <f ca="1">SUBTOTAL(109,'3.3 I&amp;W'!$AE$184)</f>
        <v>0</v>
      </c>
      <c r="J625" s="116"/>
      <c r="K625" s="116"/>
      <c r="L625" s="116"/>
      <c r="M625" s="116">
        <f ca="1">SUBTOTAL(109,'3.3 I&amp;W'!$AI$184)</f>
        <v>0</v>
      </c>
      <c r="N625" s="156">
        <f t="shared" ca="1" si="479"/>
        <v>0</v>
      </c>
      <c r="O625" s="116">
        <f ca="1">SUBTOTAL(109,'3.3 I&amp;W'!$S$184)</f>
        <v>0</v>
      </c>
      <c r="P625" s="30">
        <f t="shared" ca="1" si="469"/>
        <v>0</v>
      </c>
      <c r="Q625" s="31">
        <f t="shared" ca="1" si="470"/>
        <v>0</v>
      </c>
      <c r="R625" s="31">
        <f t="shared" ca="1" si="471"/>
        <v>0</v>
      </c>
      <c r="S625" s="31">
        <f t="shared" ca="1" si="472"/>
        <v>0</v>
      </c>
      <c r="T625" s="32">
        <f t="shared" ca="1" si="473"/>
        <v>0</v>
      </c>
      <c r="U625" s="37">
        <f t="shared" ca="1" si="492"/>
        <v>0</v>
      </c>
      <c r="V625" s="40">
        <f t="shared" ca="1" si="474"/>
        <v>0</v>
      </c>
      <c r="W625" s="41">
        <f t="shared" ca="1" si="475"/>
        <v>0</v>
      </c>
      <c r="X625" s="43"/>
      <c r="Y625" s="46"/>
      <c r="Z625" s="126"/>
      <c r="AA625" s="136"/>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824">
        <f t="shared" ca="1" si="476"/>
        <v>0</v>
      </c>
      <c r="BM625" s="824">
        <f t="shared" ca="1" si="477"/>
        <v>0</v>
      </c>
      <c r="BN625" s="824">
        <f t="shared" ca="1" si="478"/>
        <v>0</v>
      </c>
      <c r="BO625" s="824">
        <f t="shared" ca="1" si="489"/>
        <v>0</v>
      </c>
      <c r="BP625" s="824">
        <f t="shared" ca="1" si="489"/>
        <v>0</v>
      </c>
      <c r="BQ625" s="824">
        <f t="shared" ca="1" si="489"/>
        <v>0</v>
      </c>
      <c r="BR625" s="824">
        <f t="shared" ca="1" si="489"/>
        <v>0</v>
      </c>
      <c r="BS625" s="824">
        <f t="shared" ca="1" si="489"/>
        <v>0</v>
      </c>
      <c r="BT625" s="824">
        <f t="shared" ca="1" si="489"/>
        <v>0</v>
      </c>
      <c r="BU625" s="824">
        <f t="shared" ca="1" si="489"/>
        <v>0</v>
      </c>
      <c r="BV625" s="824">
        <f t="shared" ca="1" si="489"/>
        <v>0</v>
      </c>
      <c r="BW625" s="824">
        <f t="shared" ca="1" si="489"/>
        <v>0</v>
      </c>
      <c r="BX625" s="824">
        <f t="shared" ca="1" si="489"/>
        <v>0</v>
      </c>
      <c r="BY625" s="824">
        <f t="shared" ca="1" si="489"/>
        <v>0</v>
      </c>
      <c r="BZ625" s="824">
        <f t="shared" ca="1" si="489"/>
        <v>0</v>
      </c>
      <c r="CA625" s="824">
        <f t="shared" ca="1" si="489"/>
        <v>0</v>
      </c>
      <c r="CB625" s="824">
        <f t="shared" ca="1" si="489"/>
        <v>0</v>
      </c>
      <c r="CC625" s="824">
        <f t="shared" ca="1" si="489"/>
        <v>0</v>
      </c>
      <c r="CD625" s="824">
        <f t="shared" ca="1" si="489"/>
        <v>0</v>
      </c>
      <c r="CE625" s="824">
        <f t="shared" ca="1" si="488"/>
        <v>0</v>
      </c>
      <c r="CF625" s="824">
        <f t="shared" ca="1" si="488"/>
        <v>0</v>
      </c>
      <c r="CG625" s="824">
        <f t="shared" ca="1" si="488"/>
        <v>0</v>
      </c>
      <c r="CH625" s="824">
        <f t="shared" ca="1" si="488"/>
        <v>0</v>
      </c>
      <c r="CI625" s="824">
        <f t="shared" ca="1" si="488"/>
        <v>0</v>
      </c>
      <c r="CJ625" s="824">
        <f t="shared" ca="1" si="488"/>
        <v>0</v>
      </c>
      <c r="CK625" s="824">
        <f t="shared" ca="1" si="488"/>
        <v>0</v>
      </c>
      <c r="CL625" s="824">
        <f t="shared" ca="1" si="488"/>
        <v>0</v>
      </c>
      <c r="CM625" s="824">
        <f t="shared" ca="1" si="488"/>
        <v>0</v>
      </c>
      <c r="CN625" s="824">
        <f t="shared" ca="1" si="488"/>
        <v>0</v>
      </c>
      <c r="CO625" s="824">
        <f t="shared" ca="1" si="488"/>
        <v>0</v>
      </c>
      <c r="CP625" s="824">
        <f t="shared" ca="1" si="488"/>
        <v>0</v>
      </c>
      <c r="CQ625" s="824">
        <f t="shared" ca="1" si="488"/>
        <v>0</v>
      </c>
      <c r="CR625" s="824">
        <f t="shared" ca="1" si="488"/>
        <v>0</v>
      </c>
      <c r="CS625" s="824">
        <f t="shared" ca="1" si="488"/>
        <v>0</v>
      </c>
      <c r="CT625" s="824">
        <f t="shared" ca="1" si="491"/>
        <v>0</v>
      </c>
      <c r="CU625" s="824">
        <f t="shared" ca="1" si="491"/>
        <v>0</v>
      </c>
      <c r="CV625" s="824">
        <f t="shared" ca="1" si="491"/>
        <v>0</v>
      </c>
      <c r="CW625" s="824">
        <f t="shared" ca="1" si="491"/>
        <v>0</v>
      </c>
      <c r="CX625" s="824">
        <f t="shared" ca="1" si="491"/>
        <v>0</v>
      </c>
      <c r="CY625" s="824">
        <f t="shared" ca="1" si="491"/>
        <v>0</v>
      </c>
      <c r="CZ625" s="824">
        <f t="shared" ca="1" si="491"/>
        <v>0</v>
      </c>
      <c r="DA625" s="824">
        <f t="shared" ca="1" si="491"/>
        <v>0</v>
      </c>
      <c r="DB625" s="824">
        <f t="shared" ca="1" si="491"/>
        <v>0</v>
      </c>
      <c r="DC625" s="824">
        <f t="shared" ca="1" si="491"/>
        <v>0</v>
      </c>
      <c r="DD625" s="824">
        <f t="shared" ca="1" si="491"/>
        <v>0</v>
      </c>
      <c r="DE625" s="824">
        <f t="shared" ca="1" si="491"/>
        <v>0</v>
      </c>
      <c r="DF625" s="824">
        <f t="shared" ca="1" si="491"/>
        <v>0</v>
      </c>
      <c r="DG625" s="824">
        <f t="shared" ca="1" si="491"/>
        <v>0</v>
      </c>
      <c r="DH625" s="824">
        <f t="shared" ca="1" si="491"/>
        <v>0</v>
      </c>
      <c r="DI625" s="824">
        <f t="shared" ca="1" si="491"/>
        <v>0</v>
      </c>
      <c r="DJ625" s="824">
        <f t="shared" ca="1" si="454"/>
        <v>0</v>
      </c>
      <c r="DK625" s="824">
        <f t="shared" ca="1" si="454"/>
        <v>0</v>
      </c>
      <c r="DL625" s="824">
        <f t="shared" ca="1" si="454"/>
        <v>0</v>
      </c>
    </row>
    <row r="626" spans="2:116" ht="12" thickBot="1" x14ac:dyDescent="0.3">
      <c r="B626" s="1673"/>
      <c r="C626" s="1680"/>
      <c r="D626" s="15" t="s">
        <v>182</v>
      </c>
      <c r="E626" s="116"/>
      <c r="F626" s="116">
        <f ca="1">SUBTOTAL(109,'3.3 I&amp;W'!$X$185)</f>
        <v>0</v>
      </c>
      <c r="G626" s="116">
        <f ca="1">SUBTOTAL(109,'3.3 I&amp;W'!$Y$185)</f>
        <v>0</v>
      </c>
      <c r="H626" s="116">
        <f ca="1">SUBTOTAL(109,'3.3 I&amp;W'!$AD$185)</f>
        <v>0</v>
      </c>
      <c r="I626" s="116">
        <f ca="1">SUBTOTAL(109,'3.3 I&amp;W'!$AE$185)</f>
        <v>0</v>
      </c>
      <c r="J626" s="116"/>
      <c r="K626" s="116"/>
      <c r="L626" s="116"/>
      <c r="M626" s="116">
        <f ca="1">SUBTOTAL(109,'3.3 I&amp;W'!$AI$185)</f>
        <v>0</v>
      </c>
      <c r="N626" s="156">
        <f t="shared" ca="1" si="479"/>
        <v>0</v>
      </c>
      <c r="O626" s="116">
        <f ca="1">SUBTOTAL(109,'3.3 I&amp;W'!$S$185)</f>
        <v>0</v>
      </c>
      <c r="P626" s="30">
        <f t="shared" ca="1" si="469"/>
        <v>0</v>
      </c>
      <c r="Q626" s="31">
        <f t="shared" ca="1" si="470"/>
        <v>0</v>
      </c>
      <c r="R626" s="31">
        <f t="shared" ca="1" si="471"/>
        <v>0</v>
      </c>
      <c r="S626" s="31">
        <f t="shared" ca="1" si="472"/>
        <v>0</v>
      </c>
      <c r="T626" s="32">
        <f t="shared" ca="1" si="473"/>
        <v>0</v>
      </c>
      <c r="U626" s="37">
        <f t="shared" ca="1" si="492"/>
        <v>0</v>
      </c>
      <c r="V626" s="40">
        <f t="shared" ca="1" si="474"/>
        <v>0</v>
      </c>
      <c r="W626" s="41">
        <f t="shared" ca="1" si="475"/>
        <v>0</v>
      </c>
      <c r="X626" s="43"/>
      <c r="Y626" s="46"/>
      <c r="Z626" s="126"/>
      <c r="AA626" s="136"/>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824">
        <f t="shared" ca="1" si="476"/>
        <v>0</v>
      </c>
      <c r="BM626" s="824">
        <f t="shared" ca="1" si="477"/>
        <v>0</v>
      </c>
      <c r="BN626" s="824">
        <f t="shared" ca="1" si="478"/>
        <v>0</v>
      </c>
      <c r="BO626" s="824">
        <f t="shared" ca="1" si="489"/>
        <v>0</v>
      </c>
      <c r="BP626" s="824">
        <f t="shared" ca="1" si="489"/>
        <v>0</v>
      </c>
      <c r="BQ626" s="824">
        <f t="shared" ca="1" si="489"/>
        <v>0</v>
      </c>
      <c r="BR626" s="824">
        <f t="shared" ca="1" si="489"/>
        <v>0</v>
      </c>
      <c r="BS626" s="824">
        <f t="shared" ca="1" si="489"/>
        <v>0</v>
      </c>
      <c r="BT626" s="824">
        <f t="shared" ca="1" si="489"/>
        <v>0</v>
      </c>
      <c r="BU626" s="824">
        <f t="shared" ca="1" si="489"/>
        <v>0</v>
      </c>
      <c r="BV626" s="824">
        <f t="shared" ca="1" si="489"/>
        <v>0</v>
      </c>
      <c r="BW626" s="824">
        <f t="shared" ca="1" si="489"/>
        <v>0</v>
      </c>
      <c r="BX626" s="824">
        <f t="shared" ca="1" si="489"/>
        <v>0</v>
      </c>
      <c r="BY626" s="824">
        <f t="shared" ca="1" si="489"/>
        <v>0</v>
      </c>
      <c r="BZ626" s="824">
        <f t="shared" ca="1" si="489"/>
        <v>0</v>
      </c>
      <c r="CA626" s="824">
        <f t="shared" ca="1" si="489"/>
        <v>0</v>
      </c>
      <c r="CB626" s="824">
        <f t="shared" ca="1" si="489"/>
        <v>0</v>
      </c>
      <c r="CC626" s="824">
        <f t="shared" ca="1" si="489"/>
        <v>0</v>
      </c>
      <c r="CD626" s="824">
        <f t="shared" ca="1" si="489"/>
        <v>0</v>
      </c>
      <c r="CE626" s="824">
        <f t="shared" ca="1" si="488"/>
        <v>0</v>
      </c>
      <c r="CF626" s="824">
        <f t="shared" ca="1" si="488"/>
        <v>0</v>
      </c>
      <c r="CG626" s="824">
        <f t="shared" ca="1" si="488"/>
        <v>0</v>
      </c>
      <c r="CH626" s="824">
        <f t="shared" ca="1" si="488"/>
        <v>0</v>
      </c>
      <c r="CI626" s="824">
        <f t="shared" ca="1" si="488"/>
        <v>0</v>
      </c>
      <c r="CJ626" s="824">
        <f t="shared" ca="1" si="488"/>
        <v>0</v>
      </c>
      <c r="CK626" s="824">
        <f t="shared" ca="1" si="488"/>
        <v>0</v>
      </c>
      <c r="CL626" s="824">
        <f t="shared" ca="1" si="488"/>
        <v>0</v>
      </c>
      <c r="CM626" s="824">
        <f t="shared" ca="1" si="488"/>
        <v>0</v>
      </c>
      <c r="CN626" s="824">
        <f t="shared" ca="1" si="488"/>
        <v>0</v>
      </c>
      <c r="CO626" s="824">
        <f t="shared" ca="1" si="488"/>
        <v>0</v>
      </c>
      <c r="CP626" s="824">
        <f t="shared" ca="1" si="488"/>
        <v>0</v>
      </c>
      <c r="CQ626" s="824">
        <f t="shared" ca="1" si="488"/>
        <v>0</v>
      </c>
      <c r="CR626" s="824">
        <f t="shared" ca="1" si="488"/>
        <v>0</v>
      </c>
      <c r="CS626" s="824">
        <f t="shared" ca="1" si="488"/>
        <v>0</v>
      </c>
      <c r="CT626" s="824">
        <f t="shared" ca="1" si="491"/>
        <v>0</v>
      </c>
      <c r="CU626" s="824">
        <f t="shared" ca="1" si="491"/>
        <v>0</v>
      </c>
      <c r="CV626" s="824">
        <f t="shared" ca="1" si="491"/>
        <v>0</v>
      </c>
      <c r="CW626" s="824">
        <f t="shared" ca="1" si="491"/>
        <v>0</v>
      </c>
      <c r="CX626" s="824">
        <f t="shared" ca="1" si="491"/>
        <v>0</v>
      </c>
      <c r="CY626" s="824">
        <f t="shared" ca="1" si="491"/>
        <v>0</v>
      </c>
      <c r="CZ626" s="824">
        <f t="shared" ca="1" si="491"/>
        <v>0</v>
      </c>
      <c r="DA626" s="824">
        <f t="shared" ca="1" si="491"/>
        <v>0</v>
      </c>
      <c r="DB626" s="824">
        <f t="shared" ca="1" si="491"/>
        <v>0</v>
      </c>
      <c r="DC626" s="824">
        <f t="shared" ca="1" si="491"/>
        <v>0</v>
      </c>
      <c r="DD626" s="824">
        <f t="shared" ca="1" si="491"/>
        <v>0</v>
      </c>
      <c r="DE626" s="824">
        <f t="shared" ca="1" si="491"/>
        <v>0</v>
      </c>
      <c r="DF626" s="824">
        <f t="shared" ca="1" si="491"/>
        <v>0</v>
      </c>
      <c r="DG626" s="824">
        <f t="shared" ca="1" si="491"/>
        <v>0</v>
      </c>
      <c r="DH626" s="824">
        <f t="shared" ca="1" si="491"/>
        <v>0</v>
      </c>
      <c r="DI626" s="824">
        <f t="shared" ca="1" si="491"/>
        <v>0</v>
      </c>
      <c r="DJ626" s="824">
        <f t="shared" ca="1" si="454"/>
        <v>0</v>
      </c>
      <c r="DK626" s="824">
        <f t="shared" ca="1" si="454"/>
        <v>0</v>
      </c>
      <c r="DL626" s="824">
        <f t="shared" ca="1" si="454"/>
        <v>0</v>
      </c>
    </row>
    <row r="627" spans="2:116" ht="12" thickBot="1" x14ac:dyDescent="0.3">
      <c r="B627" s="1673"/>
      <c r="C627" s="1680"/>
      <c r="D627" s="15" t="s">
        <v>183</v>
      </c>
      <c r="E627" s="165"/>
      <c r="F627" s="116">
        <f ca="1">SUBTOTAL(109,'3.3 I&amp;W'!$X$188)</f>
        <v>0</v>
      </c>
      <c r="G627" s="116">
        <f ca="1">SUBTOTAL(109,'3.3 I&amp;W'!$Y$188)</f>
        <v>0</v>
      </c>
      <c r="H627" s="116">
        <f ca="1">SUBTOTAL(109,'3.3 I&amp;W'!$AD$188)</f>
        <v>2.4037706591677386E-3</v>
      </c>
      <c r="I627" s="116">
        <f ca="1">SUBTOTAL(109,'3.3 I&amp;W'!$AE$188)</f>
        <v>368</v>
      </c>
      <c r="J627" s="116"/>
      <c r="K627" s="116"/>
      <c r="L627" s="116"/>
      <c r="M627" s="116">
        <f ca="1">SUBTOTAL(109,'3.3 I&amp;W'!$AI$188)</f>
        <v>50</v>
      </c>
      <c r="N627" s="156">
        <f t="shared" ca="1" si="479"/>
        <v>0</v>
      </c>
      <c r="O627" s="116">
        <f ca="1">SUBTOTAL(109,'3.3 I&amp;W'!$S$188)</f>
        <v>153092.80799999999</v>
      </c>
      <c r="P627" s="30">
        <f t="shared" ca="1" si="469"/>
        <v>0</v>
      </c>
      <c r="Q627" s="31">
        <f t="shared" ca="1" si="470"/>
        <v>0</v>
      </c>
      <c r="R627" s="31">
        <f t="shared" ca="1" si="471"/>
        <v>0</v>
      </c>
      <c r="S627" s="31">
        <f t="shared" ca="1" si="472"/>
        <v>0</v>
      </c>
      <c r="T627" s="32">
        <f t="shared" ca="1" si="473"/>
        <v>0</v>
      </c>
      <c r="U627" s="37">
        <f t="shared" ca="1" si="492"/>
        <v>22965.18942201394</v>
      </c>
      <c r="V627" s="40">
        <f t="shared" ca="1" si="474"/>
        <v>0</v>
      </c>
      <c r="W627" s="41">
        <f t="shared" ca="1" si="475"/>
        <v>11820.823048403066</v>
      </c>
      <c r="X627" s="43"/>
      <c r="Y627" s="46"/>
      <c r="Z627" s="126"/>
      <c r="AA627" s="136"/>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824">
        <f t="shared" ca="1" si="476"/>
        <v>50</v>
      </c>
      <c r="BM627" s="824">
        <f t="shared" ca="1" si="477"/>
        <v>0</v>
      </c>
      <c r="BN627" s="824">
        <f t="shared" ca="1" si="478"/>
        <v>153092.80799999999</v>
      </c>
      <c r="BO627" s="824">
        <f t="shared" ca="1" si="489"/>
        <v>0</v>
      </c>
      <c r="BP627" s="824">
        <f t="shared" ca="1" si="489"/>
        <v>0</v>
      </c>
      <c r="BQ627" s="824">
        <f t="shared" ca="1" si="489"/>
        <v>0</v>
      </c>
      <c r="BR627" s="824">
        <f t="shared" ca="1" si="489"/>
        <v>0</v>
      </c>
      <c r="BS627" s="824">
        <f t="shared" ca="1" si="489"/>
        <v>0</v>
      </c>
      <c r="BT627" s="824">
        <f t="shared" ca="1" si="489"/>
        <v>0</v>
      </c>
      <c r="BU627" s="824">
        <f t="shared" ca="1" si="489"/>
        <v>0</v>
      </c>
      <c r="BV627" s="824">
        <f t="shared" ca="1" si="489"/>
        <v>0</v>
      </c>
      <c r="BW627" s="824">
        <f t="shared" ca="1" si="489"/>
        <v>0</v>
      </c>
      <c r="BX627" s="824">
        <f t="shared" ca="1" si="489"/>
        <v>0</v>
      </c>
      <c r="BY627" s="824">
        <f t="shared" ca="1" si="489"/>
        <v>0</v>
      </c>
      <c r="BZ627" s="824">
        <f t="shared" ca="1" si="489"/>
        <v>0</v>
      </c>
      <c r="CA627" s="824">
        <f t="shared" ca="1" si="489"/>
        <v>0</v>
      </c>
      <c r="CB627" s="824">
        <f t="shared" ca="1" si="489"/>
        <v>0</v>
      </c>
      <c r="CC627" s="824">
        <f t="shared" ca="1" si="489"/>
        <v>0</v>
      </c>
      <c r="CD627" s="824">
        <f t="shared" ca="1" si="489"/>
        <v>0</v>
      </c>
      <c r="CE627" s="824">
        <f t="shared" ca="1" si="488"/>
        <v>0</v>
      </c>
      <c r="CF627" s="824">
        <f t="shared" ca="1" si="488"/>
        <v>0</v>
      </c>
      <c r="CG627" s="824">
        <f t="shared" ca="1" si="488"/>
        <v>0</v>
      </c>
      <c r="CH627" s="824">
        <f t="shared" ca="1" si="488"/>
        <v>0</v>
      </c>
      <c r="CI627" s="824">
        <f t="shared" ca="1" si="488"/>
        <v>0</v>
      </c>
      <c r="CJ627" s="824">
        <f t="shared" ca="1" si="488"/>
        <v>0</v>
      </c>
      <c r="CK627" s="824">
        <f t="shared" ca="1" si="488"/>
        <v>0</v>
      </c>
      <c r="CL627" s="824">
        <f t="shared" ca="1" si="488"/>
        <v>0</v>
      </c>
      <c r="CM627" s="824">
        <f t="shared" ca="1" si="488"/>
        <v>0</v>
      </c>
      <c r="CN627" s="824">
        <f t="shared" ca="1" si="488"/>
        <v>0</v>
      </c>
      <c r="CO627" s="824">
        <f t="shared" ca="1" si="488"/>
        <v>0</v>
      </c>
      <c r="CP627" s="824">
        <f t="shared" ca="1" si="488"/>
        <v>0</v>
      </c>
      <c r="CQ627" s="824">
        <f t="shared" ca="1" si="488"/>
        <v>0</v>
      </c>
      <c r="CR627" s="824">
        <f t="shared" ca="1" si="488"/>
        <v>0</v>
      </c>
      <c r="CS627" s="824">
        <f t="shared" ca="1" si="488"/>
        <v>0</v>
      </c>
      <c r="CT627" s="824">
        <f t="shared" ca="1" si="491"/>
        <v>0</v>
      </c>
      <c r="CU627" s="824">
        <f t="shared" ca="1" si="491"/>
        <v>0</v>
      </c>
      <c r="CV627" s="824">
        <f t="shared" ca="1" si="491"/>
        <v>0</v>
      </c>
      <c r="CW627" s="824">
        <f t="shared" ca="1" si="491"/>
        <v>0</v>
      </c>
      <c r="CX627" s="824">
        <f t="shared" ca="1" si="491"/>
        <v>0</v>
      </c>
      <c r="CY627" s="824">
        <f t="shared" ca="1" si="491"/>
        <v>0</v>
      </c>
      <c r="CZ627" s="824">
        <f t="shared" ca="1" si="491"/>
        <v>0</v>
      </c>
      <c r="DA627" s="824">
        <f t="shared" ca="1" si="491"/>
        <v>0</v>
      </c>
      <c r="DB627" s="824">
        <f t="shared" ca="1" si="491"/>
        <v>0</v>
      </c>
      <c r="DC627" s="824">
        <f t="shared" ca="1" si="491"/>
        <v>0</v>
      </c>
      <c r="DD627" s="824">
        <f t="shared" ca="1" si="491"/>
        <v>0</v>
      </c>
      <c r="DE627" s="824">
        <f t="shared" ca="1" si="491"/>
        <v>0</v>
      </c>
      <c r="DF627" s="824">
        <f t="shared" ca="1" si="491"/>
        <v>0</v>
      </c>
      <c r="DG627" s="824">
        <f t="shared" ca="1" si="491"/>
        <v>0</v>
      </c>
      <c r="DH627" s="824">
        <f t="shared" ca="1" si="491"/>
        <v>0</v>
      </c>
      <c r="DI627" s="824">
        <f t="shared" ca="1" si="491"/>
        <v>0</v>
      </c>
      <c r="DJ627" s="824">
        <f t="shared" ca="1" si="454"/>
        <v>0</v>
      </c>
      <c r="DK627" s="824">
        <f t="shared" ca="1" si="454"/>
        <v>0</v>
      </c>
      <c r="DL627" s="824">
        <f t="shared" ca="1" si="454"/>
        <v>0</v>
      </c>
    </row>
    <row r="628" spans="2:116" ht="12" thickBot="1" x14ac:dyDescent="0.3">
      <c r="B628" s="1673"/>
      <c r="C628" s="1680"/>
      <c r="D628" s="15" t="s">
        <v>183</v>
      </c>
      <c r="E628" s="116"/>
      <c r="F628" s="116">
        <f ca="1">SUBTOTAL(109,'3.3 I&amp;W'!$X$189)</f>
        <v>0</v>
      </c>
      <c r="G628" s="116">
        <f ca="1">SUBTOTAL(109,'3.3 I&amp;W'!$Y$189)</f>
        <v>0</v>
      </c>
      <c r="H628" s="116">
        <f ca="1">SUBTOTAL(109,'3.3 I&amp;W'!$AD$189)</f>
        <v>0</v>
      </c>
      <c r="I628" s="116">
        <f ca="1">SUBTOTAL(109,'3.3 I&amp;W'!$AE$189)</f>
        <v>0</v>
      </c>
      <c r="J628" s="116"/>
      <c r="K628" s="116"/>
      <c r="L628" s="116"/>
      <c r="M628" s="116">
        <f ca="1">SUBTOTAL(109,'3.3 I&amp;W'!$AI$189)</f>
        <v>0</v>
      </c>
      <c r="N628" s="156">
        <f t="shared" ca="1" si="479"/>
        <v>0</v>
      </c>
      <c r="O628" s="116">
        <f ca="1">SUBTOTAL(109,'3.3 I&amp;W'!$S$189)</f>
        <v>0</v>
      </c>
      <c r="P628" s="30">
        <f t="shared" ca="1" si="469"/>
        <v>0</v>
      </c>
      <c r="Q628" s="31">
        <f t="shared" ca="1" si="470"/>
        <v>0</v>
      </c>
      <c r="R628" s="31">
        <f t="shared" ca="1" si="471"/>
        <v>0</v>
      </c>
      <c r="S628" s="31">
        <f t="shared" ca="1" si="472"/>
        <v>0</v>
      </c>
      <c r="T628" s="32">
        <f t="shared" ca="1" si="473"/>
        <v>0</v>
      </c>
      <c r="U628" s="37">
        <f t="shared" ca="1" si="492"/>
        <v>0</v>
      </c>
      <c r="V628" s="40">
        <f t="shared" ca="1" si="474"/>
        <v>0</v>
      </c>
      <c r="W628" s="41">
        <f t="shared" ca="1" si="475"/>
        <v>0</v>
      </c>
      <c r="X628" s="43"/>
      <c r="Y628" s="46"/>
      <c r="Z628" s="126"/>
      <c r="AA628" s="136"/>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824">
        <f t="shared" ca="1" si="476"/>
        <v>0</v>
      </c>
      <c r="BM628" s="824">
        <f t="shared" ca="1" si="477"/>
        <v>0</v>
      </c>
      <c r="BN628" s="824">
        <f t="shared" ca="1" si="478"/>
        <v>0</v>
      </c>
      <c r="BO628" s="824">
        <f t="shared" ca="1" si="489"/>
        <v>0</v>
      </c>
      <c r="BP628" s="824">
        <f t="shared" ca="1" si="489"/>
        <v>0</v>
      </c>
      <c r="BQ628" s="824">
        <f t="shared" ca="1" si="489"/>
        <v>0</v>
      </c>
      <c r="BR628" s="824">
        <f t="shared" ca="1" si="489"/>
        <v>0</v>
      </c>
      <c r="BS628" s="824">
        <f t="shared" ca="1" si="489"/>
        <v>0</v>
      </c>
      <c r="BT628" s="824">
        <f t="shared" ca="1" si="489"/>
        <v>0</v>
      </c>
      <c r="BU628" s="824">
        <f t="shared" ca="1" si="489"/>
        <v>0</v>
      </c>
      <c r="BV628" s="824">
        <f t="shared" ca="1" si="489"/>
        <v>0</v>
      </c>
      <c r="BW628" s="824">
        <f t="shared" ca="1" si="489"/>
        <v>0</v>
      </c>
      <c r="BX628" s="824">
        <f t="shared" ca="1" si="489"/>
        <v>0</v>
      </c>
      <c r="BY628" s="824">
        <f t="shared" ca="1" si="489"/>
        <v>0</v>
      </c>
      <c r="BZ628" s="824">
        <f t="shared" ca="1" si="489"/>
        <v>0</v>
      </c>
      <c r="CA628" s="824">
        <f t="shared" ca="1" si="489"/>
        <v>0</v>
      </c>
      <c r="CB628" s="824">
        <f t="shared" ca="1" si="489"/>
        <v>0</v>
      </c>
      <c r="CC628" s="824">
        <f t="shared" ca="1" si="489"/>
        <v>0</v>
      </c>
      <c r="CD628" s="824">
        <f t="shared" ca="1" si="489"/>
        <v>0</v>
      </c>
      <c r="CE628" s="824">
        <f t="shared" ca="1" si="488"/>
        <v>0</v>
      </c>
      <c r="CF628" s="824">
        <f t="shared" ca="1" si="488"/>
        <v>0</v>
      </c>
      <c r="CG628" s="824">
        <f t="shared" ca="1" si="488"/>
        <v>0</v>
      </c>
      <c r="CH628" s="824">
        <f t="shared" ca="1" si="488"/>
        <v>0</v>
      </c>
      <c r="CI628" s="824">
        <f t="shared" ca="1" si="488"/>
        <v>0</v>
      </c>
      <c r="CJ628" s="824">
        <f t="shared" ca="1" si="488"/>
        <v>0</v>
      </c>
      <c r="CK628" s="824">
        <f t="shared" ca="1" si="488"/>
        <v>0</v>
      </c>
      <c r="CL628" s="824">
        <f t="shared" ca="1" si="488"/>
        <v>0</v>
      </c>
      <c r="CM628" s="824">
        <f t="shared" ca="1" si="488"/>
        <v>0</v>
      </c>
      <c r="CN628" s="824">
        <f t="shared" ca="1" si="488"/>
        <v>0</v>
      </c>
      <c r="CO628" s="824">
        <f t="shared" ca="1" si="488"/>
        <v>0</v>
      </c>
      <c r="CP628" s="824">
        <f t="shared" ca="1" si="488"/>
        <v>0</v>
      </c>
      <c r="CQ628" s="824">
        <f t="shared" ca="1" si="488"/>
        <v>0</v>
      </c>
      <c r="CR628" s="824">
        <f t="shared" ca="1" si="488"/>
        <v>0</v>
      </c>
      <c r="CS628" s="824">
        <f t="shared" ca="1" si="488"/>
        <v>0</v>
      </c>
      <c r="CT628" s="824">
        <f t="shared" ca="1" si="491"/>
        <v>0</v>
      </c>
      <c r="CU628" s="824">
        <f t="shared" ca="1" si="491"/>
        <v>0</v>
      </c>
      <c r="CV628" s="824">
        <f t="shared" ca="1" si="491"/>
        <v>0</v>
      </c>
      <c r="CW628" s="824">
        <f t="shared" ca="1" si="491"/>
        <v>0</v>
      </c>
      <c r="CX628" s="824">
        <f t="shared" ca="1" si="491"/>
        <v>0</v>
      </c>
      <c r="CY628" s="824">
        <f t="shared" ca="1" si="491"/>
        <v>0</v>
      </c>
      <c r="CZ628" s="824">
        <f t="shared" ca="1" si="491"/>
        <v>0</v>
      </c>
      <c r="DA628" s="824">
        <f t="shared" ca="1" si="491"/>
        <v>0</v>
      </c>
      <c r="DB628" s="824">
        <f t="shared" ca="1" si="491"/>
        <v>0</v>
      </c>
      <c r="DC628" s="824">
        <f t="shared" ca="1" si="491"/>
        <v>0</v>
      </c>
      <c r="DD628" s="824">
        <f t="shared" ca="1" si="491"/>
        <v>0</v>
      </c>
      <c r="DE628" s="824">
        <f t="shared" ca="1" si="491"/>
        <v>0</v>
      </c>
      <c r="DF628" s="824">
        <f t="shared" ca="1" si="491"/>
        <v>0</v>
      </c>
      <c r="DG628" s="824">
        <f t="shared" ca="1" si="491"/>
        <v>0</v>
      </c>
      <c r="DH628" s="824">
        <f t="shared" ca="1" si="491"/>
        <v>0</v>
      </c>
      <c r="DI628" s="824">
        <f t="shared" ca="1" si="491"/>
        <v>0</v>
      </c>
      <c r="DJ628" s="824">
        <f t="shared" ca="1" si="454"/>
        <v>0</v>
      </c>
      <c r="DK628" s="824">
        <f t="shared" ca="1" si="454"/>
        <v>0</v>
      </c>
      <c r="DL628" s="824">
        <f t="shared" ca="1" si="454"/>
        <v>0</v>
      </c>
    </row>
    <row r="629" spans="2:116" ht="12" thickBot="1" x14ac:dyDescent="0.3">
      <c r="B629" s="1673"/>
      <c r="C629" s="1680"/>
      <c r="D629" s="15" t="s">
        <v>183</v>
      </c>
      <c r="E629" s="165"/>
      <c r="F629" s="116">
        <f ca="1">SUBTOTAL(109,'3.3 I&amp;W'!$X$190)</f>
        <v>0</v>
      </c>
      <c r="G629" s="116">
        <f ca="1">SUBTOTAL(109,'3.3 I&amp;W'!$Y$190)</f>
        <v>0</v>
      </c>
      <c r="H629" s="116">
        <f ca="1">SUBTOTAL(109,'3.3 I&amp;W'!$AD$190)</f>
        <v>0</v>
      </c>
      <c r="I629" s="116">
        <f ca="1">SUBTOTAL(109,'3.3 I&amp;W'!$AE$190)</f>
        <v>0</v>
      </c>
      <c r="J629" s="116"/>
      <c r="K629" s="116"/>
      <c r="L629" s="116"/>
      <c r="M629" s="116">
        <f ca="1">SUBTOTAL(109,'3.3 I&amp;W'!$AI$190)</f>
        <v>0</v>
      </c>
      <c r="N629" s="156">
        <f t="shared" ca="1" si="479"/>
        <v>0</v>
      </c>
      <c r="O629" s="116">
        <f ca="1">SUBTOTAL(109,'3.3 I&amp;W'!$S$190)</f>
        <v>0</v>
      </c>
      <c r="P629" s="30">
        <f t="shared" ca="1" si="469"/>
        <v>0</v>
      </c>
      <c r="Q629" s="31">
        <f t="shared" ca="1" si="470"/>
        <v>0</v>
      </c>
      <c r="R629" s="31">
        <f t="shared" ca="1" si="471"/>
        <v>0</v>
      </c>
      <c r="S629" s="31">
        <f t="shared" ca="1" si="472"/>
        <v>0</v>
      </c>
      <c r="T629" s="32">
        <f t="shared" ca="1" si="473"/>
        <v>0</v>
      </c>
      <c r="U629" s="37">
        <f t="shared" ca="1" si="492"/>
        <v>0</v>
      </c>
      <c r="V629" s="40">
        <f t="shared" ca="1" si="474"/>
        <v>0</v>
      </c>
      <c r="W629" s="41">
        <f t="shared" ca="1" si="475"/>
        <v>0</v>
      </c>
      <c r="X629" s="43"/>
      <c r="Y629" s="46"/>
      <c r="Z629" s="126"/>
      <c r="AA629" s="136"/>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824">
        <f t="shared" ca="1" si="476"/>
        <v>0</v>
      </c>
      <c r="BM629" s="824">
        <f t="shared" ca="1" si="477"/>
        <v>0</v>
      </c>
      <c r="BN629" s="824">
        <f t="shared" ca="1" si="478"/>
        <v>0</v>
      </c>
      <c r="BO629" s="824">
        <f t="shared" ca="1" si="489"/>
        <v>0</v>
      </c>
      <c r="BP629" s="824">
        <f t="shared" ca="1" si="489"/>
        <v>0</v>
      </c>
      <c r="BQ629" s="824">
        <f t="shared" ca="1" si="489"/>
        <v>0</v>
      </c>
      <c r="BR629" s="824">
        <f t="shared" ca="1" si="489"/>
        <v>0</v>
      </c>
      <c r="BS629" s="824">
        <f t="shared" ca="1" si="489"/>
        <v>0</v>
      </c>
      <c r="BT629" s="824">
        <f t="shared" ca="1" si="489"/>
        <v>0</v>
      </c>
      <c r="BU629" s="824">
        <f t="shared" ca="1" si="489"/>
        <v>0</v>
      </c>
      <c r="BV629" s="824">
        <f t="shared" ca="1" si="489"/>
        <v>0</v>
      </c>
      <c r="BW629" s="824">
        <f t="shared" ca="1" si="489"/>
        <v>0</v>
      </c>
      <c r="BX629" s="824">
        <f t="shared" ca="1" si="489"/>
        <v>0</v>
      </c>
      <c r="BY629" s="824">
        <f t="shared" ca="1" si="489"/>
        <v>0</v>
      </c>
      <c r="BZ629" s="824">
        <f t="shared" ca="1" si="489"/>
        <v>0</v>
      </c>
      <c r="CA629" s="824">
        <f t="shared" ca="1" si="489"/>
        <v>0</v>
      </c>
      <c r="CB629" s="824">
        <f t="shared" ca="1" si="489"/>
        <v>0</v>
      </c>
      <c r="CC629" s="824">
        <f t="shared" ca="1" si="489"/>
        <v>0</v>
      </c>
      <c r="CD629" s="824">
        <f t="shared" ca="1" si="489"/>
        <v>0</v>
      </c>
      <c r="CE629" s="824">
        <f t="shared" ca="1" si="488"/>
        <v>0</v>
      </c>
      <c r="CF629" s="824">
        <f t="shared" ca="1" si="488"/>
        <v>0</v>
      </c>
      <c r="CG629" s="824">
        <f t="shared" ca="1" si="488"/>
        <v>0</v>
      </c>
      <c r="CH629" s="824">
        <f t="shared" ca="1" si="488"/>
        <v>0</v>
      </c>
      <c r="CI629" s="824">
        <f t="shared" ca="1" si="488"/>
        <v>0</v>
      </c>
      <c r="CJ629" s="824">
        <f t="shared" ca="1" si="488"/>
        <v>0</v>
      </c>
      <c r="CK629" s="824">
        <f t="shared" ca="1" si="488"/>
        <v>0</v>
      </c>
      <c r="CL629" s="824">
        <f t="shared" ca="1" si="488"/>
        <v>0</v>
      </c>
      <c r="CM629" s="824">
        <f t="shared" ca="1" si="488"/>
        <v>0</v>
      </c>
      <c r="CN629" s="824">
        <f t="shared" ca="1" si="488"/>
        <v>0</v>
      </c>
      <c r="CO629" s="824">
        <f t="shared" ca="1" si="488"/>
        <v>0</v>
      </c>
      <c r="CP629" s="824">
        <f t="shared" ca="1" si="488"/>
        <v>0</v>
      </c>
      <c r="CQ629" s="824">
        <f t="shared" ca="1" si="488"/>
        <v>0</v>
      </c>
      <c r="CR629" s="824">
        <f t="shared" ca="1" si="488"/>
        <v>0</v>
      </c>
      <c r="CS629" s="824">
        <f t="shared" ca="1" si="488"/>
        <v>0</v>
      </c>
      <c r="CT629" s="824">
        <f t="shared" ca="1" si="491"/>
        <v>0</v>
      </c>
      <c r="CU629" s="824">
        <f t="shared" ca="1" si="491"/>
        <v>0</v>
      </c>
      <c r="CV629" s="824">
        <f t="shared" ca="1" si="491"/>
        <v>0</v>
      </c>
      <c r="CW629" s="824">
        <f t="shared" ca="1" si="491"/>
        <v>0</v>
      </c>
      <c r="CX629" s="824">
        <f t="shared" ca="1" si="491"/>
        <v>0</v>
      </c>
      <c r="CY629" s="824">
        <f t="shared" ca="1" si="491"/>
        <v>0</v>
      </c>
      <c r="CZ629" s="824">
        <f t="shared" ca="1" si="491"/>
        <v>0</v>
      </c>
      <c r="DA629" s="824">
        <f t="shared" ca="1" si="491"/>
        <v>0</v>
      </c>
      <c r="DB629" s="824">
        <f t="shared" ca="1" si="491"/>
        <v>0</v>
      </c>
      <c r="DC629" s="824">
        <f t="shared" ca="1" si="491"/>
        <v>0</v>
      </c>
      <c r="DD629" s="824">
        <f t="shared" ca="1" si="491"/>
        <v>0</v>
      </c>
      <c r="DE629" s="824">
        <f t="shared" ca="1" si="491"/>
        <v>0</v>
      </c>
      <c r="DF629" s="824">
        <f t="shared" ca="1" si="491"/>
        <v>0</v>
      </c>
      <c r="DG629" s="824">
        <f t="shared" ca="1" si="491"/>
        <v>0</v>
      </c>
      <c r="DH629" s="824">
        <f t="shared" ca="1" si="491"/>
        <v>0</v>
      </c>
      <c r="DI629" s="824">
        <f t="shared" ca="1" si="491"/>
        <v>0</v>
      </c>
      <c r="DJ629" s="824">
        <f t="shared" ca="1" si="454"/>
        <v>0</v>
      </c>
      <c r="DK629" s="824">
        <f t="shared" ca="1" si="454"/>
        <v>0</v>
      </c>
      <c r="DL629" s="824">
        <f t="shared" ca="1" si="454"/>
        <v>0</v>
      </c>
    </row>
    <row r="630" spans="2:116" ht="12" thickBot="1" x14ac:dyDescent="0.3">
      <c r="B630" s="1673"/>
      <c r="C630" s="1680"/>
      <c r="D630" s="15" t="s">
        <v>183</v>
      </c>
      <c r="E630" s="116"/>
      <c r="F630" s="116">
        <f ca="1">SUBTOTAL(109,'3.3 I&amp;W'!$X$191)</f>
        <v>0</v>
      </c>
      <c r="G630" s="116">
        <f ca="1">SUBTOTAL(109,'3.3 I&amp;W'!$Y$191)</f>
        <v>0</v>
      </c>
      <c r="H630" s="116">
        <f ca="1">SUBTOTAL(109,'3.3 I&amp;W'!$AD$191)</f>
        <v>0</v>
      </c>
      <c r="I630" s="116">
        <f ca="1">SUBTOTAL(109,'3.3 I&amp;W'!$AE$191)</f>
        <v>0</v>
      </c>
      <c r="J630" s="116"/>
      <c r="K630" s="116"/>
      <c r="L630" s="116"/>
      <c r="M630" s="116">
        <f ca="1">SUBTOTAL(109,'3.3 I&amp;W'!$AI$191)</f>
        <v>0</v>
      </c>
      <c r="N630" s="156">
        <f t="shared" ca="1" si="479"/>
        <v>0</v>
      </c>
      <c r="O630" s="116">
        <f ca="1">SUBTOTAL(109,'3.3 I&amp;W'!$S$191)</f>
        <v>0</v>
      </c>
      <c r="P630" s="30">
        <f t="shared" ca="1" si="469"/>
        <v>0</v>
      </c>
      <c r="Q630" s="31">
        <f t="shared" ca="1" si="470"/>
        <v>0</v>
      </c>
      <c r="R630" s="31">
        <f t="shared" ca="1" si="471"/>
        <v>0</v>
      </c>
      <c r="S630" s="31">
        <f t="shared" ca="1" si="472"/>
        <v>0</v>
      </c>
      <c r="T630" s="32">
        <f t="shared" ca="1" si="473"/>
        <v>0</v>
      </c>
      <c r="U630" s="37">
        <f t="shared" ca="1" si="492"/>
        <v>0</v>
      </c>
      <c r="V630" s="40">
        <f t="shared" ca="1" si="474"/>
        <v>0</v>
      </c>
      <c r="W630" s="41">
        <f t="shared" ca="1" si="475"/>
        <v>0</v>
      </c>
      <c r="X630" s="43"/>
      <c r="Y630" s="46"/>
      <c r="Z630" s="126"/>
      <c r="AA630" s="136"/>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824">
        <f t="shared" ca="1" si="476"/>
        <v>0</v>
      </c>
      <c r="BM630" s="824">
        <f t="shared" ca="1" si="477"/>
        <v>0</v>
      </c>
      <c r="BN630" s="824">
        <f t="shared" ca="1" si="478"/>
        <v>0</v>
      </c>
      <c r="BO630" s="824">
        <f t="shared" ca="1" si="489"/>
        <v>0</v>
      </c>
      <c r="BP630" s="824">
        <f t="shared" ca="1" si="489"/>
        <v>0</v>
      </c>
      <c r="BQ630" s="824">
        <f t="shared" ca="1" si="489"/>
        <v>0</v>
      </c>
      <c r="BR630" s="824">
        <f t="shared" ca="1" si="489"/>
        <v>0</v>
      </c>
      <c r="BS630" s="824">
        <f t="shared" ca="1" si="489"/>
        <v>0</v>
      </c>
      <c r="BT630" s="824">
        <f t="shared" ca="1" si="489"/>
        <v>0</v>
      </c>
      <c r="BU630" s="824">
        <f t="shared" ca="1" si="489"/>
        <v>0</v>
      </c>
      <c r="BV630" s="824">
        <f t="shared" ca="1" si="489"/>
        <v>0</v>
      </c>
      <c r="BW630" s="824">
        <f t="shared" ca="1" si="489"/>
        <v>0</v>
      </c>
      <c r="BX630" s="824">
        <f t="shared" ca="1" si="489"/>
        <v>0</v>
      </c>
      <c r="BY630" s="824">
        <f t="shared" ca="1" si="489"/>
        <v>0</v>
      </c>
      <c r="BZ630" s="824">
        <f t="shared" ca="1" si="489"/>
        <v>0</v>
      </c>
      <c r="CA630" s="824">
        <f t="shared" ca="1" si="489"/>
        <v>0</v>
      </c>
      <c r="CB630" s="824">
        <f t="shared" ca="1" si="489"/>
        <v>0</v>
      </c>
      <c r="CC630" s="824">
        <f t="shared" ca="1" si="489"/>
        <v>0</v>
      </c>
      <c r="CD630" s="824">
        <f t="shared" ca="1" si="489"/>
        <v>0</v>
      </c>
      <c r="CE630" s="824">
        <f t="shared" ca="1" si="488"/>
        <v>0</v>
      </c>
      <c r="CF630" s="824">
        <f t="shared" ca="1" si="488"/>
        <v>0</v>
      </c>
      <c r="CG630" s="824">
        <f t="shared" ca="1" si="488"/>
        <v>0</v>
      </c>
      <c r="CH630" s="824">
        <f t="shared" ca="1" si="488"/>
        <v>0</v>
      </c>
      <c r="CI630" s="824">
        <f t="shared" ca="1" si="488"/>
        <v>0</v>
      </c>
      <c r="CJ630" s="824">
        <f t="shared" ca="1" si="488"/>
        <v>0</v>
      </c>
      <c r="CK630" s="824">
        <f t="shared" ca="1" si="488"/>
        <v>0</v>
      </c>
      <c r="CL630" s="824">
        <f t="shared" ca="1" si="488"/>
        <v>0</v>
      </c>
      <c r="CM630" s="824">
        <f t="shared" ca="1" si="488"/>
        <v>0</v>
      </c>
      <c r="CN630" s="824">
        <f t="shared" ca="1" si="488"/>
        <v>0</v>
      </c>
      <c r="CO630" s="824">
        <f t="shared" ca="1" si="488"/>
        <v>0</v>
      </c>
      <c r="CP630" s="824">
        <f t="shared" ca="1" si="488"/>
        <v>0</v>
      </c>
      <c r="CQ630" s="824">
        <f t="shared" ca="1" si="488"/>
        <v>0</v>
      </c>
      <c r="CR630" s="824">
        <f t="shared" ca="1" si="488"/>
        <v>0</v>
      </c>
      <c r="CS630" s="824">
        <f t="shared" ca="1" si="488"/>
        <v>0</v>
      </c>
      <c r="CT630" s="824">
        <f t="shared" ca="1" si="491"/>
        <v>0</v>
      </c>
      <c r="CU630" s="824">
        <f t="shared" ca="1" si="491"/>
        <v>0</v>
      </c>
      <c r="CV630" s="824">
        <f t="shared" ca="1" si="491"/>
        <v>0</v>
      </c>
      <c r="CW630" s="824">
        <f t="shared" ca="1" si="491"/>
        <v>0</v>
      </c>
      <c r="CX630" s="824">
        <f t="shared" ca="1" si="491"/>
        <v>0</v>
      </c>
      <c r="CY630" s="824">
        <f t="shared" ca="1" si="491"/>
        <v>0</v>
      </c>
      <c r="CZ630" s="824">
        <f t="shared" ca="1" si="491"/>
        <v>0</v>
      </c>
      <c r="DA630" s="824">
        <f t="shared" ca="1" si="491"/>
        <v>0</v>
      </c>
      <c r="DB630" s="824">
        <f t="shared" ca="1" si="491"/>
        <v>0</v>
      </c>
      <c r="DC630" s="824">
        <f t="shared" ca="1" si="491"/>
        <v>0</v>
      </c>
      <c r="DD630" s="824">
        <f t="shared" ca="1" si="491"/>
        <v>0</v>
      </c>
      <c r="DE630" s="824">
        <f t="shared" ca="1" si="491"/>
        <v>0</v>
      </c>
      <c r="DF630" s="824">
        <f t="shared" ca="1" si="491"/>
        <v>0</v>
      </c>
      <c r="DG630" s="824">
        <f t="shared" ca="1" si="491"/>
        <v>0</v>
      </c>
      <c r="DH630" s="824">
        <f t="shared" ca="1" si="491"/>
        <v>0</v>
      </c>
      <c r="DI630" s="824">
        <f t="shared" ca="1" si="491"/>
        <v>0</v>
      </c>
      <c r="DJ630" s="824">
        <f t="shared" ca="1" si="454"/>
        <v>0</v>
      </c>
      <c r="DK630" s="824">
        <f t="shared" ca="1" si="454"/>
        <v>0</v>
      </c>
      <c r="DL630" s="824">
        <f t="shared" ca="1" si="454"/>
        <v>0</v>
      </c>
    </row>
    <row r="631" spans="2:116" ht="12" thickBot="1" x14ac:dyDescent="0.3">
      <c r="B631" s="1673"/>
      <c r="C631" s="1680"/>
      <c r="D631" s="15" t="s">
        <v>183</v>
      </c>
      <c r="E631" s="165"/>
      <c r="F631" s="116">
        <f ca="1">SUBTOTAL(109,'3.3 I&amp;W'!$X$192)</f>
        <v>0</v>
      </c>
      <c r="G631" s="116">
        <f ca="1">SUBTOTAL(109,'3.3 I&amp;W'!$Y$192)</f>
        <v>0</v>
      </c>
      <c r="H631" s="116">
        <f ca="1">SUBTOTAL(109,'3.3 I&amp;W'!$AD$192)</f>
        <v>0</v>
      </c>
      <c r="I631" s="116">
        <f ca="1">SUBTOTAL(109,'3.3 I&amp;W'!$AE$192)</f>
        <v>0</v>
      </c>
      <c r="J631" s="116"/>
      <c r="K631" s="116"/>
      <c r="L631" s="116"/>
      <c r="M631" s="116">
        <f ca="1">SUBTOTAL(109,'3.3 I&amp;W'!$AI$192)</f>
        <v>0</v>
      </c>
      <c r="N631" s="156">
        <f t="shared" ca="1" si="479"/>
        <v>0</v>
      </c>
      <c r="O631" s="116">
        <f ca="1">SUBTOTAL(109,'3.3 I&amp;W'!$S$192)</f>
        <v>0</v>
      </c>
      <c r="P631" s="30">
        <f t="shared" ca="1" si="469"/>
        <v>0</v>
      </c>
      <c r="Q631" s="31">
        <f t="shared" ca="1" si="470"/>
        <v>0</v>
      </c>
      <c r="R631" s="31">
        <f t="shared" ca="1" si="471"/>
        <v>0</v>
      </c>
      <c r="S631" s="31">
        <f t="shared" ca="1" si="472"/>
        <v>0</v>
      </c>
      <c r="T631" s="32">
        <f t="shared" ca="1" si="473"/>
        <v>0</v>
      </c>
      <c r="U631" s="37">
        <f t="shared" ca="1" si="492"/>
        <v>0</v>
      </c>
      <c r="V631" s="40">
        <f t="shared" ca="1" si="474"/>
        <v>0</v>
      </c>
      <c r="W631" s="41">
        <f t="shared" ca="1" si="475"/>
        <v>0</v>
      </c>
      <c r="X631" s="43"/>
      <c r="Y631" s="46"/>
      <c r="Z631" s="126"/>
      <c r="AA631" s="136"/>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824">
        <f t="shared" ca="1" si="476"/>
        <v>0</v>
      </c>
      <c r="BM631" s="824">
        <f t="shared" ca="1" si="477"/>
        <v>0</v>
      </c>
      <c r="BN631" s="824">
        <f t="shared" ca="1" si="478"/>
        <v>0</v>
      </c>
      <c r="BO631" s="824">
        <f t="shared" ca="1" si="489"/>
        <v>0</v>
      </c>
      <c r="BP631" s="824">
        <f t="shared" ca="1" si="489"/>
        <v>0</v>
      </c>
      <c r="BQ631" s="824">
        <f t="shared" ca="1" si="489"/>
        <v>0</v>
      </c>
      <c r="BR631" s="824">
        <f t="shared" ca="1" si="489"/>
        <v>0</v>
      </c>
      <c r="BS631" s="824">
        <f t="shared" ca="1" si="489"/>
        <v>0</v>
      </c>
      <c r="BT631" s="824">
        <f t="shared" ca="1" si="489"/>
        <v>0</v>
      </c>
      <c r="BU631" s="824">
        <f t="shared" ca="1" si="489"/>
        <v>0</v>
      </c>
      <c r="BV631" s="824">
        <f t="shared" ca="1" si="489"/>
        <v>0</v>
      </c>
      <c r="BW631" s="824">
        <f t="shared" ca="1" si="489"/>
        <v>0</v>
      </c>
      <c r="BX631" s="824">
        <f t="shared" ca="1" si="489"/>
        <v>0</v>
      </c>
      <c r="BY631" s="824">
        <f t="shared" ca="1" si="489"/>
        <v>0</v>
      </c>
      <c r="BZ631" s="824">
        <f t="shared" ca="1" si="489"/>
        <v>0</v>
      </c>
      <c r="CA631" s="824">
        <f t="shared" ca="1" si="489"/>
        <v>0</v>
      </c>
      <c r="CB631" s="824">
        <f t="shared" ca="1" si="489"/>
        <v>0</v>
      </c>
      <c r="CC631" s="824">
        <f t="shared" ca="1" si="489"/>
        <v>0</v>
      </c>
      <c r="CD631" s="824">
        <f t="shared" ref="CD631:CS646" ca="1" si="493">IF(OR(IF($BL631*1&lt;$BL$196,$BL631*1=CD$198,FALSE),IF($BL631*2&lt;$BL$196,$BL631*2=CD$198,FALSE),IF($BL631*3&lt;$BL$196,$BL631*3=CD$198,FALSE),IF($BL631*4&lt;$BL$196,$BL631*4=CD$198,FALSE),IF($BL631*5&lt;$BL$196,$BL631*5=CD$198,FALSE)),$BN631*$BM$196^CD$198,0)</f>
        <v>0</v>
      </c>
      <c r="CE631" s="824">
        <f t="shared" ca="1" si="493"/>
        <v>0</v>
      </c>
      <c r="CF631" s="824">
        <f t="shared" ca="1" si="493"/>
        <v>0</v>
      </c>
      <c r="CG631" s="824">
        <f t="shared" ca="1" si="493"/>
        <v>0</v>
      </c>
      <c r="CH631" s="824">
        <f t="shared" ca="1" si="493"/>
        <v>0</v>
      </c>
      <c r="CI631" s="824">
        <f t="shared" ca="1" si="493"/>
        <v>0</v>
      </c>
      <c r="CJ631" s="824">
        <f t="shared" ca="1" si="493"/>
        <v>0</v>
      </c>
      <c r="CK631" s="824">
        <f t="shared" ca="1" si="493"/>
        <v>0</v>
      </c>
      <c r="CL631" s="824">
        <f t="shared" ca="1" si="493"/>
        <v>0</v>
      </c>
      <c r="CM631" s="824">
        <f t="shared" ca="1" si="493"/>
        <v>0</v>
      </c>
      <c r="CN631" s="824">
        <f t="shared" ca="1" si="493"/>
        <v>0</v>
      </c>
      <c r="CO631" s="824">
        <f t="shared" ca="1" si="493"/>
        <v>0</v>
      </c>
      <c r="CP631" s="824">
        <f t="shared" ca="1" si="493"/>
        <v>0</v>
      </c>
      <c r="CQ631" s="824">
        <f t="shared" ca="1" si="493"/>
        <v>0</v>
      </c>
      <c r="CR631" s="824">
        <f t="shared" ca="1" si="493"/>
        <v>0</v>
      </c>
      <c r="CS631" s="824">
        <f t="shared" ca="1" si="493"/>
        <v>0</v>
      </c>
      <c r="CT631" s="824">
        <f t="shared" ca="1" si="491"/>
        <v>0</v>
      </c>
      <c r="CU631" s="824">
        <f t="shared" ca="1" si="491"/>
        <v>0</v>
      </c>
      <c r="CV631" s="824">
        <f t="shared" ca="1" si="491"/>
        <v>0</v>
      </c>
      <c r="CW631" s="824">
        <f t="shared" ca="1" si="491"/>
        <v>0</v>
      </c>
      <c r="CX631" s="824">
        <f t="shared" ca="1" si="491"/>
        <v>0</v>
      </c>
      <c r="CY631" s="824">
        <f t="shared" ca="1" si="491"/>
        <v>0</v>
      </c>
      <c r="CZ631" s="824">
        <f t="shared" ca="1" si="491"/>
        <v>0</v>
      </c>
      <c r="DA631" s="824">
        <f t="shared" ca="1" si="491"/>
        <v>0</v>
      </c>
      <c r="DB631" s="824">
        <f t="shared" ca="1" si="491"/>
        <v>0</v>
      </c>
      <c r="DC631" s="824">
        <f t="shared" ca="1" si="491"/>
        <v>0</v>
      </c>
      <c r="DD631" s="824">
        <f t="shared" ca="1" si="491"/>
        <v>0</v>
      </c>
      <c r="DE631" s="824">
        <f t="shared" ca="1" si="491"/>
        <v>0</v>
      </c>
      <c r="DF631" s="824">
        <f t="shared" ca="1" si="491"/>
        <v>0</v>
      </c>
      <c r="DG631" s="824">
        <f t="shared" ca="1" si="491"/>
        <v>0</v>
      </c>
      <c r="DH631" s="824">
        <f t="shared" ca="1" si="491"/>
        <v>0</v>
      </c>
      <c r="DI631" s="824">
        <f t="shared" ca="1" si="491"/>
        <v>0</v>
      </c>
      <c r="DJ631" s="824">
        <f t="shared" ca="1" si="454"/>
        <v>0</v>
      </c>
      <c r="DK631" s="824">
        <f t="shared" ca="1" si="454"/>
        <v>0</v>
      </c>
      <c r="DL631" s="824">
        <f t="shared" ca="1" si="454"/>
        <v>0</v>
      </c>
    </row>
    <row r="632" spans="2:116" ht="12" thickBot="1" x14ac:dyDescent="0.3">
      <c r="B632" s="1673"/>
      <c r="C632" s="1680"/>
      <c r="D632" s="15" t="s">
        <v>183</v>
      </c>
      <c r="E632" s="116"/>
      <c r="F632" s="116">
        <f ca="1">SUBTOTAL(109,'3.3 I&amp;W'!$X$193)</f>
        <v>0</v>
      </c>
      <c r="G632" s="116">
        <f ca="1">SUBTOTAL(109,'3.3 I&amp;W'!$Y$193)</f>
        <v>0</v>
      </c>
      <c r="H632" s="116">
        <f ca="1">SUBTOTAL(109,'3.3 I&amp;W'!$AD$193)</f>
        <v>0</v>
      </c>
      <c r="I632" s="116">
        <f ca="1">SUBTOTAL(109,'3.3 I&amp;W'!$AE$193)</f>
        <v>0</v>
      </c>
      <c r="J632" s="116"/>
      <c r="K632" s="116"/>
      <c r="L632" s="116"/>
      <c r="M632" s="116">
        <f ca="1">SUBTOTAL(109,'3.3 I&amp;W'!$AI$193)</f>
        <v>0</v>
      </c>
      <c r="N632" s="156">
        <f t="shared" ca="1" si="479"/>
        <v>0</v>
      </c>
      <c r="O632" s="116">
        <f ca="1">SUBTOTAL(109,'3.3 I&amp;W'!$S$193)</f>
        <v>0</v>
      </c>
      <c r="P632" s="30">
        <f t="shared" ca="1" si="469"/>
        <v>0</v>
      </c>
      <c r="Q632" s="31">
        <f t="shared" ca="1" si="470"/>
        <v>0</v>
      </c>
      <c r="R632" s="31">
        <f t="shared" ca="1" si="471"/>
        <v>0</v>
      </c>
      <c r="S632" s="31">
        <f t="shared" ca="1" si="472"/>
        <v>0</v>
      </c>
      <c r="T632" s="32">
        <f t="shared" ca="1" si="473"/>
        <v>0</v>
      </c>
      <c r="U632" s="37">
        <f t="shared" ca="1" si="492"/>
        <v>0</v>
      </c>
      <c r="V632" s="40">
        <f t="shared" ca="1" si="474"/>
        <v>0</v>
      </c>
      <c r="W632" s="41">
        <f t="shared" ca="1" si="475"/>
        <v>0</v>
      </c>
      <c r="X632" s="43"/>
      <c r="Y632" s="46"/>
      <c r="Z632" s="126"/>
      <c r="AA632" s="136"/>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824">
        <f t="shared" ca="1" si="476"/>
        <v>0</v>
      </c>
      <c r="BM632" s="824">
        <f t="shared" ca="1" si="477"/>
        <v>0</v>
      </c>
      <c r="BN632" s="824">
        <f t="shared" ca="1" si="478"/>
        <v>0</v>
      </c>
      <c r="BO632" s="824">
        <f t="shared" ref="BO632:CD647" ca="1" si="494">IF(OR(IF($BL632*1&lt;$BL$196,$BL632*1=BO$198,FALSE),IF($BL632*2&lt;$BL$196,$BL632*2=BO$198,FALSE),IF($BL632*3&lt;$BL$196,$BL632*3=BO$198,FALSE),IF($BL632*4&lt;$BL$196,$BL632*4=BO$198,FALSE),IF($BL632*5&lt;$BL$196,$BL632*5=BO$198,FALSE)),$BN632*$BM$196^BO$198,0)</f>
        <v>0</v>
      </c>
      <c r="BP632" s="824">
        <f t="shared" ca="1" si="494"/>
        <v>0</v>
      </c>
      <c r="BQ632" s="824">
        <f t="shared" ca="1" si="494"/>
        <v>0</v>
      </c>
      <c r="BR632" s="824">
        <f t="shared" ca="1" si="494"/>
        <v>0</v>
      </c>
      <c r="BS632" s="824">
        <f t="shared" ca="1" si="494"/>
        <v>0</v>
      </c>
      <c r="BT632" s="824">
        <f t="shared" ca="1" si="494"/>
        <v>0</v>
      </c>
      <c r="BU632" s="824">
        <f t="shared" ca="1" si="494"/>
        <v>0</v>
      </c>
      <c r="BV632" s="824">
        <f t="shared" ca="1" si="494"/>
        <v>0</v>
      </c>
      <c r="BW632" s="824">
        <f t="shared" ca="1" si="494"/>
        <v>0</v>
      </c>
      <c r="BX632" s="824">
        <f t="shared" ca="1" si="494"/>
        <v>0</v>
      </c>
      <c r="BY632" s="824">
        <f t="shared" ca="1" si="494"/>
        <v>0</v>
      </c>
      <c r="BZ632" s="824">
        <f t="shared" ca="1" si="494"/>
        <v>0</v>
      </c>
      <c r="CA632" s="824">
        <f t="shared" ca="1" si="494"/>
        <v>0</v>
      </c>
      <c r="CB632" s="824">
        <f t="shared" ca="1" si="494"/>
        <v>0</v>
      </c>
      <c r="CC632" s="824">
        <f t="shared" ca="1" si="494"/>
        <v>0</v>
      </c>
      <c r="CD632" s="824">
        <f t="shared" ca="1" si="494"/>
        <v>0</v>
      </c>
      <c r="CE632" s="824">
        <f t="shared" ca="1" si="493"/>
        <v>0</v>
      </c>
      <c r="CF632" s="824">
        <f t="shared" ca="1" si="493"/>
        <v>0</v>
      </c>
      <c r="CG632" s="824">
        <f t="shared" ca="1" si="493"/>
        <v>0</v>
      </c>
      <c r="CH632" s="824">
        <f t="shared" ca="1" si="493"/>
        <v>0</v>
      </c>
      <c r="CI632" s="824">
        <f t="shared" ca="1" si="493"/>
        <v>0</v>
      </c>
      <c r="CJ632" s="824">
        <f t="shared" ca="1" si="493"/>
        <v>0</v>
      </c>
      <c r="CK632" s="824">
        <f t="shared" ca="1" si="493"/>
        <v>0</v>
      </c>
      <c r="CL632" s="824">
        <f t="shared" ca="1" si="493"/>
        <v>0</v>
      </c>
      <c r="CM632" s="824">
        <f t="shared" ca="1" si="493"/>
        <v>0</v>
      </c>
      <c r="CN632" s="824">
        <f t="shared" ca="1" si="493"/>
        <v>0</v>
      </c>
      <c r="CO632" s="824">
        <f t="shared" ca="1" si="493"/>
        <v>0</v>
      </c>
      <c r="CP632" s="824">
        <f t="shared" ca="1" si="493"/>
        <v>0</v>
      </c>
      <c r="CQ632" s="824">
        <f t="shared" ca="1" si="493"/>
        <v>0</v>
      </c>
      <c r="CR632" s="824">
        <f t="shared" ca="1" si="493"/>
        <v>0</v>
      </c>
      <c r="CS632" s="824">
        <f t="shared" ca="1" si="493"/>
        <v>0</v>
      </c>
      <c r="CT632" s="824">
        <f t="shared" ca="1" si="491"/>
        <v>0</v>
      </c>
      <c r="CU632" s="824">
        <f t="shared" ca="1" si="491"/>
        <v>0</v>
      </c>
      <c r="CV632" s="824">
        <f t="shared" ca="1" si="491"/>
        <v>0</v>
      </c>
      <c r="CW632" s="824">
        <f t="shared" ca="1" si="491"/>
        <v>0</v>
      </c>
      <c r="CX632" s="824">
        <f t="shared" ca="1" si="491"/>
        <v>0</v>
      </c>
      <c r="CY632" s="824">
        <f t="shared" ca="1" si="491"/>
        <v>0</v>
      </c>
      <c r="CZ632" s="824">
        <f t="shared" ca="1" si="491"/>
        <v>0</v>
      </c>
      <c r="DA632" s="824">
        <f t="shared" ca="1" si="491"/>
        <v>0</v>
      </c>
      <c r="DB632" s="824">
        <f t="shared" ca="1" si="491"/>
        <v>0</v>
      </c>
      <c r="DC632" s="824">
        <f t="shared" ca="1" si="491"/>
        <v>0</v>
      </c>
      <c r="DD632" s="824">
        <f t="shared" ca="1" si="491"/>
        <v>0</v>
      </c>
      <c r="DE632" s="824">
        <f t="shared" ca="1" si="491"/>
        <v>0</v>
      </c>
      <c r="DF632" s="824">
        <f t="shared" ca="1" si="491"/>
        <v>0</v>
      </c>
      <c r="DG632" s="824">
        <f t="shared" ca="1" si="491"/>
        <v>0</v>
      </c>
      <c r="DH632" s="824">
        <f t="shared" ca="1" si="491"/>
        <v>0</v>
      </c>
      <c r="DI632" s="824">
        <f t="shared" ref="DI632" ca="1" si="495">IF(OR(IF($BL632*1&lt;$BL$196,$BL632*1=DI$198,FALSE),IF($BL632*2&lt;$BL$196,$BL632*2=DI$198,FALSE),IF($BL632*3&lt;$BL$196,$BL632*3=DI$198,FALSE),IF($BL632*4&lt;$BL$196,$BL632*4=DI$198,FALSE),IF($BL632*5&lt;$BL$196,$BL632*5=DI$198,FALSE)),$BN632*$BM$196^DI$198,0)</f>
        <v>0</v>
      </c>
      <c r="DJ632" s="824">
        <f t="shared" ca="1" si="454"/>
        <v>0</v>
      </c>
      <c r="DK632" s="824">
        <f t="shared" ca="1" si="454"/>
        <v>0</v>
      </c>
      <c r="DL632" s="824">
        <f t="shared" ca="1" si="454"/>
        <v>0</v>
      </c>
    </row>
    <row r="633" spans="2:116" ht="12" thickBot="1" x14ac:dyDescent="0.3">
      <c r="B633" s="1673"/>
      <c r="C633" s="1680"/>
      <c r="D633" s="15" t="s">
        <v>183</v>
      </c>
      <c r="E633" s="165"/>
      <c r="F633" s="116">
        <f ca="1">SUBTOTAL(109,'3.3 I&amp;W'!$X$194)</f>
        <v>0</v>
      </c>
      <c r="G633" s="116">
        <f ca="1">SUBTOTAL(109,'3.3 I&amp;W'!$Y$194)</f>
        <v>0</v>
      </c>
      <c r="H633" s="116">
        <f ca="1">SUBTOTAL(109,'3.3 I&amp;W'!$AD$194)</f>
        <v>0</v>
      </c>
      <c r="I633" s="116">
        <f ca="1">SUBTOTAL(109,'3.3 I&amp;W'!$AE$194)</f>
        <v>0</v>
      </c>
      <c r="J633" s="116"/>
      <c r="K633" s="116"/>
      <c r="L633" s="116"/>
      <c r="M633" s="116">
        <f ca="1">SUBTOTAL(109,'3.3 I&amp;W'!$AI$194)</f>
        <v>0</v>
      </c>
      <c r="N633" s="156">
        <f t="shared" ca="1" si="479"/>
        <v>0</v>
      </c>
      <c r="O633" s="116">
        <f ca="1">SUBTOTAL(109,'3.3 I&amp;W'!$S$194)</f>
        <v>0</v>
      </c>
      <c r="P633" s="30">
        <f t="shared" ca="1" si="469"/>
        <v>0</v>
      </c>
      <c r="Q633" s="31">
        <f t="shared" ca="1" si="470"/>
        <v>0</v>
      </c>
      <c r="R633" s="31">
        <f t="shared" ca="1" si="471"/>
        <v>0</v>
      </c>
      <c r="S633" s="31">
        <f t="shared" ca="1" si="472"/>
        <v>0</v>
      </c>
      <c r="T633" s="32">
        <f t="shared" ca="1" si="473"/>
        <v>0</v>
      </c>
      <c r="U633" s="37">
        <f t="shared" ca="1" si="492"/>
        <v>0</v>
      </c>
      <c r="V633" s="40">
        <f t="shared" ca="1" si="474"/>
        <v>0</v>
      </c>
      <c r="W633" s="41">
        <f t="shared" ca="1" si="475"/>
        <v>0</v>
      </c>
      <c r="X633" s="43"/>
      <c r="Y633" s="46"/>
      <c r="Z633" s="126"/>
      <c r="AA633" s="136"/>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824">
        <f t="shared" ca="1" si="476"/>
        <v>0</v>
      </c>
      <c r="BM633" s="824">
        <f t="shared" ca="1" si="477"/>
        <v>0</v>
      </c>
      <c r="BN633" s="824">
        <f t="shared" ca="1" si="478"/>
        <v>0</v>
      </c>
      <c r="BO633" s="824">
        <f t="shared" ca="1" si="494"/>
        <v>0</v>
      </c>
      <c r="BP633" s="824">
        <f t="shared" ca="1" si="494"/>
        <v>0</v>
      </c>
      <c r="BQ633" s="824">
        <f t="shared" ca="1" si="494"/>
        <v>0</v>
      </c>
      <c r="BR633" s="824">
        <f t="shared" ca="1" si="494"/>
        <v>0</v>
      </c>
      <c r="BS633" s="824">
        <f t="shared" ca="1" si="494"/>
        <v>0</v>
      </c>
      <c r="BT633" s="824">
        <f t="shared" ca="1" si="494"/>
        <v>0</v>
      </c>
      <c r="BU633" s="824">
        <f t="shared" ca="1" si="494"/>
        <v>0</v>
      </c>
      <c r="BV633" s="824">
        <f t="shared" ca="1" si="494"/>
        <v>0</v>
      </c>
      <c r="BW633" s="824">
        <f t="shared" ca="1" si="494"/>
        <v>0</v>
      </c>
      <c r="BX633" s="824">
        <f t="shared" ca="1" si="494"/>
        <v>0</v>
      </c>
      <c r="BY633" s="824">
        <f t="shared" ca="1" si="494"/>
        <v>0</v>
      </c>
      <c r="BZ633" s="824">
        <f t="shared" ca="1" si="494"/>
        <v>0</v>
      </c>
      <c r="CA633" s="824">
        <f t="shared" ca="1" si="494"/>
        <v>0</v>
      </c>
      <c r="CB633" s="824">
        <f t="shared" ca="1" si="494"/>
        <v>0</v>
      </c>
      <c r="CC633" s="824">
        <f t="shared" ca="1" si="494"/>
        <v>0</v>
      </c>
      <c r="CD633" s="824">
        <f t="shared" ca="1" si="494"/>
        <v>0</v>
      </c>
      <c r="CE633" s="824">
        <f t="shared" ca="1" si="493"/>
        <v>0</v>
      </c>
      <c r="CF633" s="824">
        <f t="shared" ca="1" si="493"/>
        <v>0</v>
      </c>
      <c r="CG633" s="824">
        <f t="shared" ca="1" si="493"/>
        <v>0</v>
      </c>
      <c r="CH633" s="824">
        <f t="shared" ca="1" si="493"/>
        <v>0</v>
      </c>
      <c r="CI633" s="824">
        <f t="shared" ca="1" si="493"/>
        <v>0</v>
      </c>
      <c r="CJ633" s="824">
        <f t="shared" ca="1" si="493"/>
        <v>0</v>
      </c>
      <c r="CK633" s="824">
        <f t="shared" ca="1" si="493"/>
        <v>0</v>
      </c>
      <c r="CL633" s="824">
        <f t="shared" ca="1" si="493"/>
        <v>0</v>
      </c>
      <c r="CM633" s="824">
        <f t="shared" ca="1" si="493"/>
        <v>0</v>
      </c>
      <c r="CN633" s="824">
        <f t="shared" ca="1" si="493"/>
        <v>0</v>
      </c>
      <c r="CO633" s="824">
        <f t="shared" ca="1" si="493"/>
        <v>0</v>
      </c>
      <c r="CP633" s="824">
        <f t="shared" ca="1" si="493"/>
        <v>0</v>
      </c>
      <c r="CQ633" s="824">
        <f t="shared" ca="1" si="493"/>
        <v>0</v>
      </c>
      <c r="CR633" s="824">
        <f t="shared" ca="1" si="493"/>
        <v>0</v>
      </c>
      <c r="CS633" s="824">
        <f t="shared" ca="1" si="493"/>
        <v>0</v>
      </c>
      <c r="CT633" s="824">
        <f t="shared" ref="CT633:DI648" ca="1" si="496">IF(OR(IF($BL633*1&lt;$BL$196,$BL633*1=CT$198,FALSE),IF($BL633*2&lt;$BL$196,$BL633*2=CT$198,FALSE),IF($BL633*3&lt;$BL$196,$BL633*3=CT$198,FALSE),IF($BL633*4&lt;$BL$196,$BL633*4=CT$198,FALSE),IF($BL633*5&lt;$BL$196,$BL633*5=CT$198,FALSE)),$BN633*$BM$196^CT$198,0)</f>
        <v>0</v>
      </c>
      <c r="CU633" s="824">
        <f t="shared" ca="1" si="496"/>
        <v>0</v>
      </c>
      <c r="CV633" s="824">
        <f t="shared" ca="1" si="496"/>
        <v>0</v>
      </c>
      <c r="CW633" s="824">
        <f t="shared" ca="1" si="496"/>
        <v>0</v>
      </c>
      <c r="CX633" s="824">
        <f t="shared" ca="1" si="496"/>
        <v>0</v>
      </c>
      <c r="CY633" s="824">
        <f t="shared" ca="1" si="496"/>
        <v>0</v>
      </c>
      <c r="CZ633" s="824">
        <f t="shared" ca="1" si="496"/>
        <v>0</v>
      </c>
      <c r="DA633" s="824">
        <f t="shared" ca="1" si="496"/>
        <v>0</v>
      </c>
      <c r="DB633" s="824">
        <f t="shared" ca="1" si="496"/>
        <v>0</v>
      </c>
      <c r="DC633" s="824">
        <f t="shared" ca="1" si="496"/>
        <v>0</v>
      </c>
      <c r="DD633" s="824">
        <f t="shared" ca="1" si="496"/>
        <v>0</v>
      </c>
      <c r="DE633" s="824">
        <f t="shared" ca="1" si="496"/>
        <v>0</v>
      </c>
      <c r="DF633" s="824">
        <f t="shared" ca="1" si="496"/>
        <v>0</v>
      </c>
      <c r="DG633" s="824">
        <f t="shared" ca="1" si="496"/>
        <v>0</v>
      </c>
      <c r="DH633" s="824">
        <f t="shared" ca="1" si="496"/>
        <v>0</v>
      </c>
      <c r="DI633" s="824">
        <f t="shared" ca="1" si="496"/>
        <v>0</v>
      </c>
      <c r="DJ633" s="824">
        <f t="shared" ca="1" si="454"/>
        <v>0</v>
      </c>
      <c r="DK633" s="824">
        <f t="shared" ca="1" si="454"/>
        <v>0</v>
      </c>
      <c r="DL633" s="824">
        <f t="shared" ca="1" si="454"/>
        <v>0</v>
      </c>
    </row>
    <row r="634" spans="2:116" ht="12" thickBot="1" x14ac:dyDescent="0.3">
      <c r="B634" s="1673"/>
      <c r="C634" s="1680"/>
      <c r="D634" s="15" t="s">
        <v>15</v>
      </c>
      <c r="E634" s="116"/>
      <c r="F634" s="116">
        <f ca="1">SUBTOTAL(109,'3.3 I&amp;W'!$X$197)</f>
        <v>0</v>
      </c>
      <c r="G634" s="116">
        <f ca="1">SUBTOTAL(109,'3.3 I&amp;W'!$Y$197)</f>
        <v>0</v>
      </c>
      <c r="H634" s="116">
        <f ca="1">SUBTOTAL(109,'3.3 I&amp;W'!$AD$197)</f>
        <v>1.0183990766515039E-2</v>
      </c>
      <c r="I634" s="116">
        <f ca="1">SUBTOTAL(109,'3.3 I&amp;W'!$AE$197)</f>
        <v>360</v>
      </c>
      <c r="J634" s="116"/>
      <c r="K634" s="116"/>
      <c r="L634" s="116"/>
      <c r="M634" s="116">
        <f ca="1">SUBTOTAL(109,'3.3 I&amp;W'!$AI$197)</f>
        <v>25</v>
      </c>
      <c r="N634" s="156">
        <f t="shared" ca="1" si="479"/>
        <v>1</v>
      </c>
      <c r="O634" s="116">
        <f ca="1">SUBTOTAL(109,'3.3 I&amp;W'!$S$197)</f>
        <v>35349.599999999999</v>
      </c>
      <c r="P634" s="30">
        <f t="shared" ca="1" si="469"/>
        <v>32042.242915794082</v>
      </c>
      <c r="Q634" s="31">
        <f t="shared" ca="1" si="470"/>
        <v>0</v>
      </c>
      <c r="R634" s="31">
        <f t="shared" ca="1" si="471"/>
        <v>0</v>
      </c>
      <c r="S634" s="31">
        <f t="shared" ca="1" si="472"/>
        <v>0</v>
      </c>
      <c r="T634" s="32">
        <f t="shared" ca="1" si="473"/>
        <v>0</v>
      </c>
      <c r="U634" s="37">
        <f t="shared" ca="1" si="492"/>
        <v>15771.479700095048</v>
      </c>
      <c r="V634" s="40">
        <f t="shared" ca="1" si="474"/>
        <v>0</v>
      </c>
      <c r="W634" s="41">
        <f t="shared" ca="1" si="475"/>
        <v>11563.848634307347</v>
      </c>
      <c r="X634" s="43"/>
      <c r="Y634" s="46"/>
      <c r="Z634" s="126"/>
      <c r="AA634" s="136"/>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824">
        <f t="shared" ca="1" si="476"/>
        <v>25</v>
      </c>
      <c r="BM634" s="824">
        <f t="shared" ca="1" si="477"/>
        <v>1</v>
      </c>
      <c r="BN634" s="824">
        <f t="shared" ca="1" si="478"/>
        <v>35349.599999999999</v>
      </c>
      <c r="BO634" s="824">
        <f t="shared" ca="1" si="494"/>
        <v>0</v>
      </c>
      <c r="BP634" s="824">
        <f t="shared" ca="1" si="494"/>
        <v>0</v>
      </c>
      <c r="BQ634" s="824">
        <f t="shared" ca="1" si="494"/>
        <v>0</v>
      </c>
      <c r="BR634" s="824">
        <f t="shared" ca="1" si="494"/>
        <v>0</v>
      </c>
      <c r="BS634" s="824">
        <f t="shared" ca="1" si="494"/>
        <v>0</v>
      </c>
      <c r="BT634" s="824">
        <f t="shared" ca="1" si="494"/>
        <v>0</v>
      </c>
      <c r="BU634" s="824">
        <f t="shared" ca="1" si="494"/>
        <v>0</v>
      </c>
      <c r="BV634" s="824">
        <f t="shared" ca="1" si="494"/>
        <v>0</v>
      </c>
      <c r="BW634" s="824">
        <f t="shared" ca="1" si="494"/>
        <v>0</v>
      </c>
      <c r="BX634" s="824">
        <f t="shared" ca="1" si="494"/>
        <v>0</v>
      </c>
      <c r="BY634" s="824">
        <f t="shared" ca="1" si="494"/>
        <v>0</v>
      </c>
      <c r="BZ634" s="824">
        <f t="shared" ca="1" si="494"/>
        <v>0</v>
      </c>
      <c r="CA634" s="824">
        <f t="shared" ca="1" si="494"/>
        <v>0</v>
      </c>
      <c r="CB634" s="824">
        <f t="shared" ca="1" si="494"/>
        <v>0</v>
      </c>
      <c r="CC634" s="824">
        <f t="shared" ca="1" si="494"/>
        <v>0</v>
      </c>
      <c r="CD634" s="824">
        <f t="shared" ca="1" si="494"/>
        <v>0</v>
      </c>
      <c r="CE634" s="824">
        <f t="shared" ca="1" si="493"/>
        <v>0</v>
      </c>
      <c r="CF634" s="824">
        <f t="shared" ca="1" si="493"/>
        <v>0</v>
      </c>
      <c r="CG634" s="824">
        <f t="shared" ca="1" si="493"/>
        <v>0</v>
      </c>
      <c r="CH634" s="824">
        <f t="shared" ca="1" si="493"/>
        <v>0</v>
      </c>
      <c r="CI634" s="824">
        <f t="shared" ca="1" si="493"/>
        <v>0</v>
      </c>
      <c r="CJ634" s="824">
        <f t="shared" ca="1" si="493"/>
        <v>0</v>
      </c>
      <c r="CK634" s="824">
        <f t="shared" ca="1" si="493"/>
        <v>0</v>
      </c>
      <c r="CL634" s="824">
        <f t="shared" ca="1" si="493"/>
        <v>0</v>
      </c>
      <c r="CM634" s="824">
        <f t="shared" ca="1" si="493"/>
        <v>52568.695803746785</v>
      </c>
      <c r="CN634" s="824">
        <f t="shared" ca="1" si="493"/>
        <v>0</v>
      </c>
      <c r="CO634" s="824">
        <f t="shared" ca="1" si="493"/>
        <v>0</v>
      </c>
      <c r="CP634" s="824">
        <f t="shared" ca="1" si="493"/>
        <v>0</v>
      </c>
      <c r="CQ634" s="824">
        <f t="shared" ca="1" si="493"/>
        <v>0</v>
      </c>
      <c r="CR634" s="824">
        <f t="shared" ca="1" si="493"/>
        <v>0</v>
      </c>
      <c r="CS634" s="824">
        <f t="shared" ca="1" si="493"/>
        <v>0</v>
      </c>
      <c r="CT634" s="824">
        <f t="shared" ca="1" si="496"/>
        <v>0</v>
      </c>
      <c r="CU634" s="824">
        <f t="shared" ca="1" si="496"/>
        <v>0</v>
      </c>
      <c r="CV634" s="824">
        <f t="shared" ca="1" si="496"/>
        <v>0</v>
      </c>
      <c r="CW634" s="824">
        <f t="shared" ca="1" si="496"/>
        <v>0</v>
      </c>
      <c r="CX634" s="824">
        <f t="shared" ca="1" si="496"/>
        <v>0</v>
      </c>
      <c r="CY634" s="824">
        <f t="shared" ca="1" si="496"/>
        <v>0</v>
      </c>
      <c r="CZ634" s="824">
        <f t="shared" ca="1" si="496"/>
        <v>0</v>
      </c>
      <c r="DA634" s="824">
        <f t="shared" ca="1" si="496"/>
        <v>0</v>
      </c>
      <c r="DB634" s="824">
        <f t="shared" ca="1" si="496"/>
        <v>0</v>
      </c>
      <c r="DC634" s="824">
        <f t="shared" ca="1" si="496"/>
        <v>0</v>
      </c>
      <c r="DD634" s="824">
        <f t="shared" ca="1" si="496"/>
        <v>0</v>
      </c>
      <c r="DE634" s="824">
        <f t="shared" ca="1" si="496"/>
        <v>0</v>
      </c>
      <c r="DF634" s="824">
        <f t="shared" ca="1" si="496"/>
        <v>0</v>
      </c>
      <c r="DG634" s="824">
        <f t="shared" ca="1" si="496"/>
        <v>0</v>
      </c>
      <c r="DH634" s="824">
        <f t="shared" ca="1" si="496"/>
        <v>0</v>
      </c>
      <c r="DI634" s="824">
        <f t="shared" ca="1" si="496"/>
        <v>0</v>
      </c>
      <c r="DJ634" s="824">
        <f t="shared" ca="1" si="454"/>
        <v>0</v>
      </c>
      <c r="DK634" s="824">
        <f t="shared" ca="1" si="454"/>
        <v>0</v>
      </c>
      <c r="DL634" s="824">
        <f t="shared" ca="1" si="454"/>
        <v>0</v>
      </c>
    </row>
    <row r="635" spans="2:116" ht="12" thickBot="1" x14ac:dyDescent="0.3">
      <c r="B635" s="1673"/>
      <c r="C635" s="1680"/>
      <c r="D635" s="15" t="s">
        <v>15</v>
      </c>
      <c r="E635" s="165"/>
      <c r="F635" s="116">
        <f ca="1">SUBTOTAL(109,'3.3 I&amp;W'!$X$198)</f>
        <v>0</v>
      </c>
      <c r="G635" s="116">
        <f ca="1">SUBTOTAL(109,'3.3 I&amp;W'!$Y$198)</f>
        <v>0</v>
      </c>
      <c r="H635" s="116">
        <f ca="1">SUBTOTAL(109,'3.3 I&amp;W'!$AD$198)</f>
        <v>0</v>
      </c>
      <c r="I635" s="116">
        <f ca="1">SUBTOTAL(109,'3.3 I&amp;W'!$AE$198)</f>
        <v>0</v>
      </c>
      <c r="J635" s="116"/>
      <c r="K635" s="116"/>
      <c r="L635" s="116"/>
      <c r="M635" s="116">
        <f ca="1">SUBTOTAL(109,'3.3 I&amp;W'!$AI$198)</f>
        <v>0</v>
      </c>
      <c r="N635" s="156">
        <f t="shared" ca="1" si="479"/>
        <v>0</v>
      </c>
      <c r="O635" s="116">
        <f ca="1">SUBTOTAL(109,'3.3 I&amp;W'!$S$198)</f>
        <v>0</v>
      </c>
      <c r="P635" s="30">
        <f t="shared" ca="1" si="469"/>
        <v>0</v>
      </c>
      <c r="Q635" s="31">
        <f t="shared" ca="1" si="470"/>
        <v>0</v>
      </c>
      <c r="R635" s="31">
        <f t="shared" ca="1" si="471"/>
        <v>0</v>
      </c>
      <c r="S635" s="31">
        <f t="shared" ca="1" si="472"/>
        <v>0</v>
      </c>
      <c r="T635" s="32">
        <f t="shared" ca="1" si="473"/>
        <v>0</v>
      </c>
      <c r="U635" s="37">
        <f t="shared" ca="1" si="492"/>
        <v>0</v>
      </c>
      <c r="V635" s="40">
        <f t="shared" ca="1" si="474"/>
        <v>0</v>
      </c>
      <c r="W635" s="41">
        <f t="shared" ca="1" si="475"/>
        <v>0</v>
      </c>
      <c r="X635" s="43"/>
      <c r="Y635" s="46"/>
      <c r="Z635" s="126"/>
      <c r="AA635" s="136"/>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824">
        <f t="shared" ca="1" si="476"/>
        <v>0</v>
      </c>
      <c r="BM635" s="824">
        <f t="shared" ca="1" si="477"/>
        <v>0</v>
      </c>
      <c r="BN635" s="824">
        <f t="shared" ca="1" si="478"/>
        <v>0</v>
      </c>
      <c r="BO635" s="824">
        <f t="shared" ca="1" si="494"/>
        <v>0</v>
      </c>
      <c r="BP635" s="824">
        <f t="shared" ca="1" si="494"/>
        <v>0</v>
      </c>
      <c r="BQ635" s="824">
        <f t="shared" ca="1" si="494"/>
        <v>0</v>
      </c>
      <c r="BR635" s="824">
        <f t="shared" ca="1" si="494"/>
        <v>0</v>
      </c>
      <c r="BS635" s="824">
        <f t="shared" ca="1" si="494"/>
        <v>0</v>
      </c>
      <c r="BT635" s="824">
        <f t="shared" ca="1" si="494"/>
        <v>0</v>
      </c>
      <c r="BU635" s="824">
        <f t="shared" ca="1" si="494"/>
        <v>0</v>
      </c>
      <c r="BV635" s="824">
        <f t="shared" ca="1" si="494"/>
        <v>0</v>
      </c>
      <c r="BW635" s="824">
        <f t="shared" ca="1" si="494"/>
        <v>0</v>
      </c>
      <c r="BX635" s="824">
        <f t="shared" ca="1" si="494"/>
        <v>0</v>
      </c>
      <c r="BY635" s="824">
        <f t="shared" ca="1" si="494"/>
        <v>0</v>
      </c>
      <c r="BZ635" s="824">
        <f t="shared" ca="1" si="494"/>
        <v>0</v>
      </c>
      <c r="CA635" s="824">
        <f t="shared" ca="1" si="494"/>
        <v>0</v>
      </c>
      <c r="CB635" s="824">
        <f t="shared" ca="1" si="494"/>
        <v>0</v>
      </c>
      <c r="CC635" s="824">
        <f t="shared" ca="1" si="494"/>
        <v>0</v>
      </c>
      <c r="CD635" s="824">
        <f t="shared" ca="1" si="494"/>
        <v>0</v>
      </c>
      <c r="CE635" s="824">
        <f t="shared" ca="1" si="493"/>
        <v>0</v>
      </c>
      <c r="CF635" s="824">
        <f t="shared" ca="1" si="493"/>
        <v>0</v>
      </c>
      <c r="CG635" s="824">
        <f t="shared" ca="1" si="493"/>
        <v>0</v>
      </c>
      <c r="CH635" s="824">
        <f t="shared" ca="1" si="493"/>
        <v>0</v>
      </c>
      <c r="CI635" s="824">
        <f t="shared" ca="1" si="493"/>
        <v>0</v>
      </c>
      <c r="CJ635" s="824">
        <f t="shared" ca="1" si="493"/>
        <v>0</v>
      </c>
      <c r="CK635" s="824">
        <f t="shared" ca="1" si="493"/>
        <v>0</v>
      </c>
      <c r="CL635" s="824">
        <f t="shared" ca="1" si="493"/>
        <v>0</v>
      </c>
      <c r="CM635" s="824">
        <f t="shared" ca="1" si="493"/>
        <v>0</v>
      </c>
      <c r="CN635" s="824">
        <f t="shared" ca="1" si="493"/>
        <v>0</v>
      </c>
      <c r="CO635" s="824">
        <f t="shared" ca="1" si="493"/>
        <v>0</v>
      </c>
      <c r="CP635" s="824">
        <f t="shared" ca="1" si="493"/>
        <v>0</v>
      </c>
      <c r="CQ635" s="824">
        <f t="shared" ca="1" si="493"/>
        <v>0</v>
      </c>
      <c r="CR635" s="824">
        <f t="shared" ca="1" si="493"/>
        <v>0</v>
      </c>
      <c r="CS635" s="824">
        <f t="shared" ca="1" si="493"/>
        <v>0</v>
      </c>
      <c r="CT635" s="824">
        <f t="shared" ca="1" si="496"/>
        <v>0</v>
      </c>
      <c r="CU635" s="824">
        <f t="shared" ca="1" si="496"/>
        <v>0</v>
      </c>
      <c r="CV635" s="824">
        <f t="shared" ca="1" si="496"/>
        <v>0</v>
      </c>
      <c r="CW635" s="824">
        <f t="shared" ca="1" si="496"/>
        <v>0</v>
      </c>
      <c r="CX635" s="824">
        <f t="shared" ca="1" si="496"/>
        <v>0</v>
      </c>
      <c r="CY635" s="824">
        <f t="shared" ca="1" si="496"/>
        <v>0</v>
      </c>
      <c r="CZ635" s="824">
        <f t="shared" ca="1" si="496"/>
        <v>0</v>
      </c>
      <c r="DA635" s="824">
        <f t="shared" ca="1" si="496"/>
        <v>0</v>
      </c>
      <c r="DB635" s="824">
        <f t="shared" ca="1" si="496"/>
        <v>0</v>
      </c>
      <c r="DC635" s="824">
        <f t="shared" ca="1" si="496"/>
        <v>0</v>
      </c>
      <c r="DD635" s="824">
        <f t="shared" ca="1" si="496"/>
        <v>0</v>
      </c>
      <c r="DE635" s="824">
        <f t="shared" ca="1" si="496"/>
        <v>0</v>
      </c>
      <c r="DF635" s="824">
        <f t="shared" ca="1" si="496"/>
        <v>0</v>
      </c>
      <c r="DG635" s="824">
        <f t="shared" ca="1" si="496"/>
        <v>0</v>
      </c>
      <c r="DH635" s="824">
        <f t="shared" ca="1" si="496"/>
        <v>0</v>
      </c>
      <c r="DI635" s="824">
        <f t="shared" ca="1" si="496"/>
        <v>0</v>
      </c>
      <c r="DJ635" s="824">
        <f t="shared" ca="1" si="454"/>
        <v>0</v>
      </c>
      <c r="DK635" s="824">
        <f t="shared" ca="1" si="454"/>
        <v>0</v>
      </c>
      <c r="DL635" s="824">
        <f t="shared" ca="1" si="454"/>
        <v>0</v>
      </c>
    </row>
    <row r="636" spans="2:116" ht="12" thickBot="1" x14ac:dyDescent="0.3">
      <c r="B636" s="1673"/>
      <c r="C636" s="1680"/>
      <c r="D636" s="15" t="s">
        <v>15</v>
      </c>
      <c r="E636" s="116"/>
      <c r="F636" s="116">
        <f ca="1">SUBTOTAL(109,'3.3 I&amp;W'!$X$199)</f>
        <v>0</v>
      </c>
      <c r="G636" s="116">
        <f ca="1">SUBTOTAL(109,'3.3 I&amp;W'!$Y$199)</f>
        <v>0</v>
      </c>
      <c r="H636" s="116">
        <f ca="1">SUBTOTAL(109,'3.3 I&amp;W'!$AD$199)</f>
        <v>0</v>
      </c>
      <c r="I636" s="116">
        <f ca="1">SUBTOTAL(109,'3.3 I&amp;W'!$AE$199)</f>
        <v>0</v>
      </c>
      <c r="J636" s="116"/>
      <c r="K636" s="116"/>
      <c r="L636" s="116"/>
      <c r="M636" s="116">
        <f ca="1">SUBTOTAL(109,'3.3 I&amp;W'!$AI$199)</f>
        <v>0</v>
      </c>
      <c r="N636" s="156">
        <f t="shared" ca="1" si="479"/>
        <v>0</v>
      </c>
      <c r="O636" s="116">
        <f ca="1">SUBTOTAL(109,'3.3 I&amp;W'!$S$199)</f>
        <v>0</v>
      </c>
      <c r="P636" s="30">
        <f t="shared" ca="1" si="469"/>
        <v>0</v>
      </c>
      <c r="Q636" s="31">
        <f t="shared" ca="1" si="470"/>
        <v>0</v>
      </c>
      <c r="R636" s="31">
        <f t="shared" ca="1" si="471"/>
        <v>0</v>
      </c>
      <c r="S636" s="31">
        <f t="shared" ca="1" si="472"/>
        <v>0</v>
      </c>
      <c r="T636" s="32">
        <f t="shared" ca="1" si="473"/>
        <v>0</v>
      </c>
      <c r="U636" s="37">
        <f t="shared" ca="1" si="492"/>
        <v>0</v>
      </c>
      <c r="V636" s="40">
        <f t="shared" ca="1" si="474"/>
        <v>0</v>
      </c>
      <c r="W636" s="41">
        <f t="shared" ca="1" si="475"/>
        <v>0</v>
      </c>
      <c r="X636" s="43"/>
      <c r="Y636" s="46"/>
      <c r="Z636" s="126"/>
      <c r="AA636" s="136"/>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824">
        <f t="shared" ca="1" si="476"/>
        <v>0</v>
      </c>
      <c r="BM636" s="824">
        <f t="shared" ca="1" si="477"/>
        <v>0</v>
      </c>
      <c r="BN636" s="824">
        <f t="shared" ca="1" si="478"/>
        <v>0</v>
      </c>
      <c r="BO636" s="824">
        <f t="shared" ca="1" si="494"/>
        <v>0</v>
      </c>
      <c r="BP636" s="824">
        <f t="shared" ca="1" si="494"/>
        <v>0</v>
      </c>
      <c r="BQ636" s="824">
        <f t="shared" ca="1" si="494"/>
        <v>0</v>
      </c>
      <c r="BR636" s="824">
        <f t="shared" ca="1" si="494"/>
        <v>0</v>
      </c>
      <c r="BS636" s="824">
        <f t="shared" ca="1" si="494"/>
        <v>0</v>
      </c>
      <c r="BT636" s="824">
        <f t="shared" ca="1" si="494"/>
        <v>0</v>
      </c>
      <c r="BU636" s="824">
        <f t="shared" ca="1" si="494"/>
        <v>0</v>
      </c>
      <c r="BV636" s="824">
        <f t="shared" ca="1" si="494"/>
        <v>0</v>
      </c>
      <c r="BW636" s="824">
        <f t="shared" ca="1" si="494"/>
        <v>0</v>
      </c>
      <c r="BX636" s="824">
        <f t="shared" ca="1" si="494"/>
        <v>0</v>
      </c>
      <c r="BY636" s="824">
        <f t="shared" ca="1" si="494"/>
        <v>0</v>
      </c>
      <c r="BZ636" s="824">
        <f t="shared" ca="1" si="494"/>
        <v>0</v>
      </c>
      <c r="CA636" s="824">
        <f t="shared" ca="1" si="494"/>
        <v>0</v>
      </c>
      <c r="CB636" s="824">
        <f t="shared" ca="1" si="494"/>
        <v>0</v>
      </c>
      <c r="CC636" s="824">
        <f t="shared" ca="1" si="494"/>
        <v>0</v>
      </c>
      <c r="CD636" s="824">
        <f t="shared" ca="1" si="494"/>
        <v>0</v>
      </c>
      <c r="CE636" s="824">
        <f t="shared" ca="1" si="493"/>
        <v>0</v>
      </c>
      <c r="CF636" s="824">
        <f t="shared" ca="1" si="493"/>
        <v>0</v>
      </c>
      <c r="CG636" s="824">
        <f t="shared" ca="1" si="493"/>
        <v>0</v>
      </c>
      <c r="CH636" s="824">
        <f t="shared" ca="1" si="493"/>
        <v>0</v>
      </c>
      <c r="CI636" s="824">
        <f t="shared" ca="1" si="493"/>
        <v>0</v>
      </c>
      <c r="CJ636" s="824">
        <f t="shared" ca="1" si="493"/>
        <v>0</v>
      </c>
      <c r="CK636" s="824">
        <f t="shared" ca="1" si="493"/>
        <v>0</v>
      </c>
      <c r="CL636" s="824">
        <f t="shared" ca="1" si="493"/>
        <v>0</v>
      </c>
      <c r="CM636" s="824">
        <f t="shared" ca="1" si="493"/>
        <v>0</v>
      </c>
      <c r="CN636" s="824">
        <f t="shared" ca="1" si="493"/>
        <v>0</v>
      </c>
      <c r="CO636" s="824">
        <f t="shared" ca="1" si="493"/>
        <v>0</v>
      </c>
      <c r="CP636" s="824">
        <f t="shared" ca="1" si="493"/>
        <v>0</v>
      </c>
      <c r="CQ636" s="824">
        <f t="shared" ca="1" si="493"/>
        <v>0</v>
      </c>
      <c r="CR636" s="824">
        <f t="shared" ca="1" si="493"/>
        <v>0</v>
      </c>
      <c r="CS636" s="824">
        <f t="shared" ca="1" si="493"/>
        <v>0</v>
      </c>
      <c r="CT636" s="824">
        <f t="shared" ca="1" si="496"/>
        <v>0</v>
      </c>
      <c r="CU636" s="824">
        <f t="shared" ca="1" si="496"/>
        <v>0</v>
      </c>
      <c r="CV636" s="824">
        <f t="shared" ca="1" si="496"/>
        <v>0</v>
      </c>
      <c r="CW636" s="824">
        <f t="shared" ca="1" si="496"/>
        <v>0</v>
      </c>
      <c r="CX636" s="824">
        <f t="shared" ca="1" si="496"/>
        <v>0</v>
      </c>
      <c r="CY636" s="824">
        <f t="shared" ca="1" si="496"/>
        <v>0</v>
      </c>
      <c r="CZ636" s="824">
        <f t="shared" ca="1" si="496"/>
        <v>0</v>
      </c>
      <c r="DA636" s="824">
        <f t="shared" ca="1" si="496"/>
        <v>0</v>
      </c>
      <c r="DB636" s="824">
        <f t="shared" ca="1" si="496"/>
        <v>0</v>
      </c>
      <c r="DC636" s="824">
        <f t="shared" ca="1" si="496"/>
        <v>0</v>
      </c>
      <c r="DD636" s="824">
        <f t="shared" ca="1" si="496"/>
        <v>0</v>
      </c>
      <c r="DE636" s="824">
        <f t="shared" ca="1" si="496"/>
        <v>0</v>
      </c>
      <c r="DF636" s="824">
        <f t="shared" ca="1" si="496"/>
        <v>0</v>
      </c>
      <c r="DG636" s="824">
        <f t="shared" ca="1" si="496"/>
        <v>0</v>
      </c>
      <c r="DH636" s="824">
        <f t="shared" ca="1" si="496"/>
        <v>0</v>
      </c>
      <c r="DI636" s="824">
        <f t="shared" ca="1" si="496"/>
        <v>0</v>
      </c>
      <c r="DJ636" s="824">
        <f t="shared" ca="1" si="454"/>
        <v>0</v>
      </c>
      <c r="DK636" s="824">
        <f t="shared" ca="1" si="454"/>
        <v>0</v>
      </c>
      <c r="DL636" s="824">
        <f t="shared" ca="1" si="454"/>
        <v>0</v>
      </c>
    </row>
    <row r="637" spans="2:116" ht="12" thickBot="1" x14ac:dyDescent="0.3">
      <c r="B637" s="1673"/>
      <c r="C637" s="1680"/>
      <c r="D637" s="15" t="s">
        <v>15</v>
      </c>
      <c r="E637" s="165"/>
      <c r="F637" s="116">
        <f ca="1">SUBTOTAL(109,'3.3 I&amp;W'!$X$200)</f>
        <v>0</v>
      </c>
      <c r="G637" s="116">
        <f ca="1">SUBTOTAL(109,'3.3 I&amp;W'!$Y$200)</f>
        <v>0</v>
      </c>
      <c r="H637" s="116">
        <f ca="1">SUBTOTAL(109,'3.3 I&amp;W'!$AD$200)</f>
        <v>0</v>
      </c>
      <c r="I637" s="116">
        <f ca="1">SUBTOTAL(109,'3.3 I&amp;W'!$AE$200)</f>
        <v>0</v>
      </c>
      <c r="J637" s="116"/>
      <c r="K637" s="116"/>
      <c r="L637" s="116"/>
      <c r="M637" s="116">
        <f ca="1">SUBTOTAL(109,'3.3 I&amp;W'!$AI$200)</f>
        <v>0</v>
      </c>
      <c r="N637" s="156">
        <f t="shared" ca="1" si="479"/>
        <v>0</v>
      </c>
      <c r="O637" s="116">
        <f ca="1">SUBTOTAL(109,'3.3 I&amp;W'!$S$200)</f>
        <v>0</v>
      </c>
      <c r="P637" s="30">
        <f t="shared" ca="1" si="469"/>
        <v>0</v>
      </c>
      <c r="Q637" s="31">
        <f t="shared" ca="1" si="470"/>
        <v>0</v>
      </c>
      <c r="R637" s="31">
        <f t="shared" ca="1" si="471"/>
        <v>0</v>
      </c>
      <c r="S637" s="31">
        <f t="shared" ca="1" si="472"/>
        <v>0</v>
      </c>
      <c r="T637" s="32">
        <f t="shared" ca="1" si="473"/>
        <v>0</v>
      </c>
      <c r="U637" s="37">
        <f t="shared" ca="1" si="492"/>
        <v>0</v>
      </c>
      <c r="V637" s="40">
        <f t="shared" ca="1" si="474"/>
        <v>0</v>
      </c>
      <c r="W637" s="41">
        <f t="shared" ca="1" si="475"/>
        <v>0</v>
      </c>
      <c r="X637" s="43"/>
      <c r="Y637" s="46"/>
      <c r="Z637" s="126"/>
      <c r="AA637" s="136"/>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824">
        <f t="shared" ca="1" si="476"/>
        <v>0</v>
      </c>
      <c r="BM637" s="824">
        <f t="shared" ca="1" si="477"/>
        <v>0</v>
      </c>
      <c r="BN637" s="824">
        <f t="shared" ca="1" si="478"/>
        <v>0</v>
      </c>
      <c r="BO637" s="824">
        <f t="shared" ca="1" si="494"/>
        <v>0</v>
      </c>
      <c r="BP637" s="824">
        <f t="shared" ca="1" si="494"/>
        <v>0</v>
      </c>
      <c r="BQ637" s="824">
        <f t="shared" ca="1" si="494"/>
        <v>0</v>
      </c>
      <c r="BR637" s="824">
        <f t="shared" ca="1" si="494"/>
        <v>0</v>
      </c>
      <c r="BS637" s="824">
        <f t="shared" ca="1" si="494"/>
        <v>0</v>
      </c>
      <c r="BT637" s="824">
        <f t="shared" ca="1" si="494"/>
        <v>0</v>
      </c>
      <c r="BU637" s="824">
        <f t="shared" ca="1" si="494"/>
        <v>0</v>
      </c>
      <c r="BV637" s="824">
        <f t="shared" ca="1" si="494"/>
        <v>0</v>
      </c>
      <c r="BW637" s="824">
        <f t="shared" ca="1" si="494"/>
        <v>0</v>
      </c>
      <c r="BX637" s="824">
        <f t="shared" ca="1" si="494"/>
        <v>0</v>
      </c>
      <c r="BY637" s="824">
        <f t="shared" ca="1" si="494"/>
        <v>0</v>
      </c>
      <c r="BZ637" s="824">
        <f t="shared" ca="1" si="494"/>
        <v>0</v>
      </c>
      <c r="CA637" s="824">
        <f t="shared" ca="1" si="494"/>
        <v>0</v>
      </c>
      <c r="CB637" s="824">
        <f t="shared" ca="1" si="494"/>
        <v>0</v>
      </c>
      <c r="CC637" s="824">
        <f t="shared" ca="1" si="494"/>
        <v>0</v>
      </c>
      <c r="CD637" s="824">
        <f t="shared" ca="1" si="494"/>
        <v>0</v>
      </c>
      <c r="CE637" s="824">
        <f t="shared" ca="1" si="493"/>
        <v>0</v>
      </c>
      <c r="CF637" s="824">
        <f t="shared" ca="1" si="493"/>
        <v>0</v>
      </c>
      <c r="CG637" s="824">
        <f t="shared" ca="1" si="493"/>
        <v>0</v>
      </c>
      <c r="CH637" s="824">
        <f t="shared" ca="1" si="493"/>
        <v>0</v>
      </c>
      <c r="CI637" s="824">
        <f t="shared" ca="1" si="493"/>
        <v>0</v>
      </c>
      <c r="CJ637" s="824">
        <f t="shared" ca="1" si="493"/>
        <v>0</v>
      </c>
      <c r="CK637" s="824">
        <f t="shared" ca="1" si="493"/>
        <v>0</v>
      </c>
      <c r="CL637" s="824">
        <f t="shared" ca="1" si="493"/>
        <v>0</v>
      </c>
      <c r="CM637" s="824">
        <f t="shared" ca="1" si="493"/>
        <v>0</v>
      </c>
      <c r="CN637" s="824">
        <f t="shared" ca="1" si="493"/>
        <v>0</v>
      </c>
      <c r="CO637" s="824">
        <f t="shared" ca="1" si="493"/>
        <v>0</v>
      </c>
      <c r="CP637" s="824">
        <f t="shared" ca="1" si="493"/>
        <v>0</v>
      </c>
      <c r="CQ637" s="824">
        <f t="shared" ca="1" si="493"/>
        <v>0</v>
      </c>
      <c r="CR637" s="824">
        <f t="shared" ca="1" si="493"/>
        <v>0</v>
      </c>
      <c r="CS637" s="824">
        <f t="shared" ca="1" si="493"/>
        <v>0</v>
      </c>
      <c r="CT637" s="824">
        <f t="shared" ca="1" si="496"/>
        <v>0</v>
      </c>
      <c r="CU637" s="824">
        <f t="shared" ca="1" si="496"/>
        <v>0</v>
      </c>
      <c r="CV637" s="824">
        <f t="shared" ca="1" si="496"/>
        <v>0</v>
      </c>
      <c r="CW637" s="824">
        <f t="shared" ca="1" si="496"/>
        <v>0</v>
      </c>
      <c r="CX637" s="824">
        <f t="shared" ca="1" si="496"/>
        <v>0</v>
      </c>
      <c r="CY637" s="824">
        <f t="shared" ca="1" si="496"/>
        <v>0</v>
      </c>
      <c r="CZ637" s="824">
        <f t="shared" ca="1" si="496"/>
        <v>0</v>
      </c>
      <c r="DA637" s="824">
        <f t="shared" ca="1" si="496"/>
        <v>0</v>
      </c>
      <c r="DB637" s="824">
        <f t="shared" ca="1" si="496"/>
        <v>0</v>
      </c>
      <c r="DC637" s="824">
        <f t="shared" ca="1" si="496"/>
        <v>0</v>
      </c>
      <c r="DD637" s="824">
        <f t="shared" ca="1" si="496"/>
        <v>0</v>
      </c>
      <c r="DE637" s="824">
        <f t="shared" ca="1" si="496"/>
        <v>0</v>
      </c>
      <c r="DF637" s="824">
        <f t="shared" ca="1" si="496"/>
        <v>0</v>
      </c>
      <c r="DG637" s="824">
        <f t="shared" ca="1" si="496"/>
        <v>0</v>
      </c>
      <c r="DH637" s="824">
        <f t="shared" ca="1" si="496"/>
        <v>0</v>
      </c>
      <c r="DI637" s="824">
        <f t="shared" ca="1" si="496"/>
        <v>0</v>
      </c>
      <c r="DJ637" s="824">
        <f t="shared" ca="1" si="454"/>
        <v>0</v>
      </c>
      <c r="DK637" s="824">
        <f t="shared" ca="1" si="454"/>
        <v>0</v>
      </c>
      <c r="DL637" s="824">
        <f t="shared" ca="1" si="454"/>
        <v>0</v>
      </c>
    </row>
    <row r="638" spans="2:116" ht="12" thickBot="1" x14ac:dyDescent="0.3">
      <c r="B638" s="1673"/>
      <c r="C638" s="1680"/>
      <c r="D638" s="15" t="s">
        <v>11</v>
      </c>
      <c r="E638" s="116"/>
      <c r="F638" s="116">
        <f ca="1">SUBTOTAL(109,'3.3 I&amp;W'!$X$207)</f>
        <v>0</v>
      </c>
      <c r="G638" s="116">
        <f ca="1">SUBTOTAL(109,'3.3 I&amp;W'!$Y$207)</f>
        <v>0</v>
      </c>
      <c r="H638" s="116">
        <f ca="1">SUBTOTAL(109,'3.3 I&amp;W'!$AD$207)</f>
        <v>0</v>
      </c>
      <c r="I638" s="116">
        <f ca="1">SUBTOTAL(109,'3.3 I&amp;W'!$AE$207)</f>
        <v>0</v>
      </c>
      <c r="J638" s="116"/>
      <c r="K638" s="116"/>
      <c r="L638" s="116"/>
      <c r="M638" s="116">
        <f ca="1">SUBTOTAL(109,'3.3 I&amp;W'!$AI$207)</f>
        <v>50</v>
      </c>
      <c r="N638" s="156">
        <f t="shared" ca="1" si="479"/>
        <v>0</v>
      </c>
      <c r="O638" s="116">
        <f ca="1">SUBTOTAL(109,'3.3 I&amp;W'!$S$207)</f>
        <v>158175.552</v>
      </c>
      <c r="P638" s="30">
        <f t="shared" ca="1" si="469"/>
        <v>0</v>
      </c>
      <c r="Q638" s="31">
        <f t="shared" ca="1" si="470"/>
        <v>0</v>
      </c>
      <c r="R638" s="31">
        <f t="shared" ca="1" si="471"/>
        <v>0</v>
      </c>
      <c r="S638" s="31">
        <f t="shared" ca="1" si="472"/>
        <v>0</v>
      </c>
      <c r="T638" s="32">
        <f t="shared" ca="1" si="473"/>
        <v>0</v>
      </c>
      <c r="U638" s="37">
        <f t="shared" ca="1" si="492"/>
        <v>23727.643127504827</v>
      </c>
      <c r="V638" s="40">
        <f t="shared" ca="1" si="474"/>
        <v>0</v>
      </c>
      <c r="W638" s="41">
        <f t="shared" ca="1" si="475"/>
        <v>0</v>
      </c>
      <c r="X638" s="43"/>
      <c r="Y638" s="46"/>
      <c r="Z638" s="126"/>
      <c r="AA638" s="136"/>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824">
        <f t="shared" ca="1" si="476"/>
        <v>50</v>
      </c>
      <c r="BM638" s="824">
        <f t="shared" ca="1" si="477"/>
        <v>0</v>
      </c>
      <c r="BN638" s="824">
        <f t="shared" ca="1" si="478"/>
        <v>158175.552</v>
      </c>
      <c r="BO638" s="824">
        <f t="shared" ca="1" si="494"/>
        <v>0</v>
      </c>
      <c r="BP638" s="824">
        <f t="shared" ca="1" si="494"/>
        <v>0</v>
      </c>
      <c r="BQ638" s="824">
        <f t="shared" ca="1" si="494"/>
        <v>0</v>
      </c>
      <c r="BR638" s="824">
        <f t="shared" ca="1" si="494"/>
        <v>0</v>
      </c>
      <c r="BS638" s="824">
        <f t="shared" ca="1" si="494"/>
        <v>0</v>
      </c>
      <c r="BT638" s="824">
        <f t="shared" ca="1" si="494"/>
        <v>0</v>
      </c>
      <c r="BU638" s="824">
        <f t="shared" ca="1" si="494"/>
        <v>0</v>
      </c>
      <c r="BV638" s="824">
        <f t="shared" ca="1" si="494"/>
        <v>0</v>
      </c>
      <c r="BW638" s="824">
        <f t="shared" ca="1" si="494"/>
        <v>0</v>
      </c>
      <c r="BX638" s="824">
        <f t="shared" ca="1" si="494"/>
        <v>0</v>
      </c>
      <c r="BY638" s="824">
        <f t="shared" ca="1" si="494"/>
        <v>0</v>
      </c>
      <c r="BZ638" s="824">
        <f t="shared" ca="1" si="494"/>
        <v>0</v>
      </c>
      <c r="CA638" s="824">
        <f t="shared" ca="1" si="494"/>
        <v>0</v>
      </c>
      <c r="CB638" s="824">
        <f t="shared" ca="1" si="494"/>
        <v>0</v>
      </c>
      <c r="CC638" s="824">
        <f t="shared" ca="1" si="494"/>
        <v>0</v>
      </c>
      <c r="CD638" s="824">
        <f t="shared" ca="1" si="494"/>
        <v>0</v>
      </c>
      <c r="CE638" s="824">
        <f t="shared" ca="1" si="493"/>
        <v>0</v>
      </c>
      <c r="CF638" s="824">
        <f t="shared" ca="1" si="493"/>
        <v>0</v>
      </c>
      <c r="CG638" s="824">
        <f t="shared" ca="1" si="493"/>
        <v>0</v>
      </c>
      <c r="CH638" s="824">
        <f t="shared" ca="1" si="493"/>
        <v>0</v>
      </c>
      <c r="CI638" s="824">
        <f t="shared" ca="1" si="493"/>
        <v>0</v>
      </c>
      <c r="CJ638" s="824">
        <f t="shared" ca="1" si="493"/>
        <v>0</v>
      </c>
      <c r="CK638" s="824">
        <f t="shared" ca="1" si="493"/>
        <v>0</v>
      </c>
      <c r="CL638" s="824">
        <f t="shared" ca="1" si="493"/>
        <v>0</v>
      </c>
      <c r="CM638" s="824">
        <f t="shared" ca="1" si="493"/>
        <v>0</v>
      </c>
      <c r="CN638" s="824">
        <f t="shared" ca="1" si="493"/>
        <v>0</v>
      </c>
      <c r="CO638" s="824">
        <f t="shared" ca="1" si="493"/>
        <v>0</v>
      </c>
      <c r="CP638" s="824">
        <f t="shared" ca="1" si="493"/>
        <v>0</v>
      </c>
      <c r="CQ638" s="824">
        <f t="shared" ca="1" si="493"/>
        <v>0</v>
      </c>
      <c r="CR638" s="824">
        <f t="shared" ca="1" si="493"/>
        <v>0</v>
      </c>
      <c r="CS638" s="824">
        <f t="shared" ca="1" si="493"/>
        <v>0</v>
      </c>
      <c r="CT638" s="824">
        <f t="shared" ca="1" si="496"/>
        <v>0</v>
      </c>
      <c r="CU638" s="824">
        <f t="shared" ca="1" si="496"/>
        <v>0</v>
      </c>
      <c r="CV638" s="824">
        <f t="shared" ca="1" si="496"/>
        <v>0</v>
      </c>
      <c r="CW638" s="824">
        <f t="shared" ca="1" si="496"/>
        <v>0</v>
      </c>
      <c r="CX638" s="824">
        <f t="shared" ca="1" si="496"/>
        <v>0</v>
      </c>
      <c r="CY638" s="824">
        <f t="shared" ca="1" si="496"/>
        <v>0</v>
      </c>
      <c r="CZ638" s="824">
        <f t="shared" ca="1" si="496"/>
        <v>0</v>
      </c>
      <c r="DA638" s="824">
        <f t="shared" ca="1" si="496"/>
        <v>0</v>
      </c>
      <c r="DB638" s="824">
        <f t="shared" ca="1" si="496"/>
        <v>0</v>
      </c>
      <c r="DC638" s="824">
        <f t="shared" ca="1" si="496"/>
        <v>0</v>
      </c>
      <c r="DD638" s="824">
        <f t="shared" ca="1" si="496"/>
        <v>0</v>
      </c>
      <c r="DE638" s="824">
        <f t="shared" ca="1" si="496"/>
        <v>0</v>
      </c>
      <c r="DF638" s="824">
        <f t="shared" ca="1" si="496"/>
        <v>0</v>
      </c>
      <c r="DG638" s="824">
        <f t="shared" ca="1" si="496"/>
        <v>0</v>
      </c>
      <c r="DH638" s="824">
        <f t="shared" ca="1" si="496"/>
        <v>0</v>
      </c>
      <c r="DI638" s="824">
        <f t="shared" ca="1" si="496"/>
        <v>0</v>
      </c>
      <c r="DJ638" s="824">
        <f t="shared" ca="1" si="454"/>
        <v>0</v>
      </c>
      <c r="DK638" s="824">
        <f t="shared" ca="1" si="454"/>
        <v>0</v>
      </c>
      <c r="DL638" s="824">
        <f t="shared" ca="1" si="454"/>
        <v>0</v>
      </c>
    </row>
    <row r="639" spans="2:116" ht="11.25" customHeight="1" thickBot="1" x14ac:dyDescent="0.3">
      <c r="B639" s="1673"/>
      <c r="C639" s="1680"/>
      <c r="D639" s="15" t="s">
        <v>11</v>
      </c>
      <c r="E639" s="165"/>
      <c r="F639" s="116">
        <f ca="1">SUBTOTAL(109,'3.3 I&amp;W'!$X$208)</f>
        <v>0</v>
      </c>
      <c r="G639" s="116">
        <f ca="1">SUBTOTAL(109,'3.3 I&amp;W'!$Y$208)</f>
        <v>0</v>
      </c>
      <c r="H639" s="116">
        <f ca="1">SUBTOTAL(109,'3.3 I&amp;W'!$AD$208)</f>
        <v>0</v>
      </c>
      <c r="I639" s="116">
        <f ca="1">SUBTOTAL(109,'3.3 I&amp;W'!$AE$208)</f>
        <v>0</v>
      </c>
      <c r="J639" s="116"/>
      <c r="K639" s="116"/>
      <c r="L639" s="116"/>
      <c r="M639" s="116">
        <f ca="1">SUBTOTAL(109,'3.3 I&amp;W'!$AI$208)</f>
        <v>0</v>
      </c>
      <c r="N639" s="156">
        <f t="shared" ca="1" si="479"/>
        <v>0</v>
      </c>
      <c r="O639" s="116">
        <f ca="1">SUBTOTAL(109,'3.3 I&amp;W'!$S$208)</f>
        <v>0</v>
      </c>
      <c r="P639" s="30">
        <f t="shared" ca="1" si="469"/>
        <v>0</v>
      </c>
      <c r="Q639" s="31">
        <f t="shared" ca="1" si="470"/>
        <v>0</v>
      </c>
      <c r="R639" s="31">
        <f t="shared" ca="1" si="471"/>
        <v>0</v>
      </c>
      <c r="S639" s="31">
        <f t="shared" ca="1" si="472"/>
        <v>0</v>
      </c>
      <c r="T639" s="32">
        <f t="shared" ca="1" si="473"/>
        <v>0</v>
      </c>
      <c r="U639" s="37">
        <f t="shared" ca="1" si="492"/>
        <v>0</v>
      </c>
      <c r="V639" s="40">
        <f t="shared" ca="1" si="474"/>
        <v>0</v>
      </c>
      <c r="W639" s="41">
        <f t="shared" ca="1" si="475"/>
        <v>0</v>
      </c>
      <c r="X639" s="43"/>
      <c r="Y639" s="46"/>
      <c r="Z639" s="126"/>
      <c r="AA639" s="136"/>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824">
        <f t="shared" ca="1" si="476"/>
        <v>0</v>
      </c>
      <c r="BM639" s="824">
        <f t="shared" ca="1" si="477"/>
        <v>0</v>
      </c>
      <c r="BN639" s="824">
        <f t="shared" ca="1" si="478"/>
        <v>0</v>
      </c>
      <c r="BO639" s="824">
        <f t="shared" ca="1" si="494"/>
        <v>0</v>
      </c>
      <c r="BP639" s="824">
        <f t="shared" ca="1" si="494"/>
        <v>0</v>
      </c>
      <c r="BQ639" s="824">
        <f t="shared" ca="1" si="494"/>
        <v>0</v>
      </c>
      <c r="BR639" s="824">
        <f t="shared" ca="1" si="494"/>
        <v>0</v>
      </c>
      <c r="BS639" s="824">
        <f t="shared" ca="1" si="494"/>
        <v>0</v>
      </c>
      <c r="BT639" s="824">
        <f t="shared" ca="1" si="494"/>
        <v>0</v>
      </c>
      <c r="BU639" s="824">
        <f t="shared" ca="1" si="494"/>
        <v>0</v>
      </c>
      <c r="BV639" s="824">
        <f t="shared" ca="1" si="494"/>
        <v>0</v>
      </c>
      <c r="BW639" s="824">
        <f t="shared" ca="1" si="494"/>
        <v>0</v>
      </c>
      <c r="BX639" s="824">
        <f t="shared" ca="1" si="494"/>
        <v>0</v>
      </c>
      <c r="BY639" s="824">
        <f t="shared" ca="1" si="494"/>
        <v>0</v>
      </c>
      <c r="BZ639" s="824">
        <f t="shared" ca="1" si="494"/>
        <v>0</v>
      </c>
      <c r="CA639" s="824">
        <f t="shared" ca="1" si="494"/>
        <v>0</v>
      </c>
      <c r="CB639" s="824">
        <f t="shared" ca="1" si="494"/>
        <v>0</v>
      </c>
      <c r="CC639" s="824">
        <f t="shared" ca="1" si="494"/>
        <v>0</v>
      </c>
      <c r="CD639" s="824">
        <f t="shared" ca="1" si="494"/>
        <v>0</v>
      </c>
      <c r="CE639" s="824">
        <f t="shared" ca="1" si="493"/>
        <v>0</v>
      </c>
      <c r="CF639" s="824">
        <f t="shared" ca="1" si="493"/>
        <v>0</v>
      </c>
      <c r="CG639" s="824">
        <f t="shared" ca="1" si="493"/>
        <v>0</v>
      </c>
      <c r="CH639" s="824">
        <f t="shared" ca="1" si="493"/>
        <v>0</v>
      </c>
      <c r="CI639" s="824">
        <f t="shared" ca="1" si="493"/>
        <v>0</v>
      </c>
      <c r="CJ639" s="824">
        <f t="shared" ca="1" si="493"/>
        <v>0</v>
      </c>
      <c r="CK639" s="824">
        <f t="shared" ca="1" si="493"/>
        <v>0</v>
      </c>
      <c r="CL639" s="824">
        <f t="shared" ca="1" si="493"/>
        <v>0</v>
      </c>
      <c r="CM639" s="824">
        <f t="shared" ca="1" si="493"/>
        <v>0</v>
      </c>
      <c r="CN639" s="824">
        <f t="shared" ca="1" si="493"/>
        <v>0</v>
      </c>
      <c r="CO639" s="824">
        <f t="shared" ca="1" si="493"/>
        <v>0</v>
      </c>
      <c r="CP639" s="824">
        <f t="shared" ca="1" si="493"/>
        <v>0</v>
      </c>
      <c r="CQ639" s="824">
        <f t="shared" ca="1" si="493"/>
        <v>0</v>
      </c>
      <c r="CR639" s="824">
        <f t="shared" ca="1" si="493"/>
        <v>0</v>
      </c>
      <c r="CS639" s="824">
        <f t="shared" ca="1" si="493"/>
        <v>0</v>
      </c>
      <c r="CT639" s="824">
        <f t="shared" ca="1" si="496"/>
        <v>0</v>
      </c>
      <c r="CU639" s="824">
        <f t="shared" ca="1" si="496"/>
        <v>0</v>
      </c>
      <c r="CV639" s="824">
        <f t="shared" ca="1" si="496"/>
        <v>0</v>
      </c>
      <c r="CW639" s="824">
        <f t="shared" ca="1" si="496"/>
        <v>0</v>
      </c>
      <c r="CX639" s="824">
        <f t="shared" ca="1" si="496"/>
        <v>0</v>
      </c>
      <c r="CY639" s="824">
        <f t="shared" ca="1" si="496"/>
        <v>0</v>
      </c>
      <c r="CZ639" s="824">
        <f t="shared" ca="1" si="496"/>
        <v>0</v>
      </c>
      <c r="DA639" s="824">
        <f t="shared" ca="1" si="496"/>
        <v>0</v>
      </c>
      <c r="DB639" s="824">
        <f t="shared" ca="1" si="496"/>
        <v>0</v>
      </c>
      <c r="DC639" s="824">
        <f t="shared" ca="1" si="496"/>
        <v>0</v>
      </c>
      <c r="DD639" s="824">
        <f t="shared" ca="1" si="496"/>
        <v>0</v>
      </c>
      <c r="DE639" s="824">
        <f t="shared" ca="1" si="496"/>
        <v>0</v>
      </c>
      <c r="DF639" s="824">
        <f t="shared" ca="1" si="496"/>
        <v>0</v>
      </c>
      <c r="DG639" s="824">
        <f t="shared" ca="1" si="496"/>
        <v>0</v>
      </c>
      <c r="DH639" s="824">
        <f t="shared" ca="1" si="496"/>
        <v>0</v>
      </c>
      <c r="DI639" s="824">
        <f t="shared" ca="1" si="496"/>
        <v>0</v>
      </c>
      <c r="DJ639" s="824">
        <f t="shared" ca="1" si="454"/>
        <v>0</v>
      </c>
      <c r="DK639" s="824">
        <f t="shared" ca="1" si="454"/>
        <v>0</v>
      </c>
      <c r="DL639" s="824">
        <f t="shared" ca="1" si="454"/>
        <v>0</v>
      </c>
    </row>
    <row r="640" spans="2:116" ht="12" thickBot="1" x14ac:dyDescent="0.3">
      <c r="B640" s="1673"/>
      <c r="C640" s="1680"/>
      <c r="D640" s="15" t="s">
        <v>11</v>
      </c>
      <c r="E640" s="116"/>
      <c r="F640" s="116">
        <f ca="1">SUBTOTAL(109,'3.3 I&amp;W'!$X$209)</f>
        <v>0</v>
      </c>
      <c r="G640" s="116">
        <f ca="1">SUBTOTAL(109,'3.3 I&amp;W'!$Y$209)</f>
        <v>0</v>
      </c>
      <c r="H640" s="116">
        <f ca="1">SUBTOTAL(109,'3.3 I&amp;W'!$AD$209)</f>
        <v>0</v>
      </c>
      <c r="I640" s="116">
        <f ca="1">SUBTOTAL(109,'3.3 I&amp;W'!$AE$209)</f>
        <v>0</v>
      </c>
      <c r="J640" s="116"/>
      <c r="K640" s="116"/>
      <c r="L640" s="116"/>
      <c r="M640" s="116">
        <f ca="1">SUBTOTAL(109,'3.3 I&amp;W'!$AI$209)</f>
        <v>0</v>
      </c>
      <c r="N640" s="156">
        <f t="shared" ca="1" si="479"/>
        <v>0</v>
      </c>
      <c r="O640" s="116">
        <f ca="1">SUBTOTAL(109,'3.3 I&amp;W'!$S$209)</f>
        <v>0</v>
      </c>
      <c r="P640" s="30">
        <f t="shared" ca="1" si="469"/>
        <v>0</v>
      </c>
      <c r="Q640" s="31">
        <f t="shared" ca="1" si="470"/>
        <v>0</v>
      </c>
      <c r="R640" s="31">
        <f t="shared" ca="1" si="471"/>
        <v>0</v>
      </c>
      <c r="S640" s="31">
        <f t="shared" ca="1" si="472"/>
        <v>0</v>
      </c>
      <c r="T640" s="32">
        <f t="shared" ca="1" si="473"/>
        <v>0</v>
      </c>
      <c r="U640" s="37">
        <f t="shared" ca="1" si="492"/>
        <v>0</v>
      </c>
      <c r="V640" s="40">
        <f t="shared" ca="1" si="474"/>
        <v>0</v>
      </c>
      <c r="W640" s="41">
        <f t="shared" ca="1" si="475"/>
        <v>0</v>
      </c>
      <c r="X640" s="43"/>
      <c r="Y640" s="46"/>
      <c r="Z640" s="126"/>
      <c r="AA640" s="136"/>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824">
        <f t="shared" ca="1" si="476"/>
        <v>0</v>
      </c>
      <c r="BM640" s="824">
        <f t="shared" ca="1" si="477"/>
        <v>0</v>
      </c>
      <c r="BN640" s="824">
        <f t="shared" ca="1" si="478"/>
        <v>0</v>
      </c>
      <c r="BO640" s="824">
        <f t="shared" ca="1" si="494"/>
        <v>0</v>
      </c>
      <c r="BP640" s="824">
        <f t="shared" ca="1" si="494"/>
        <v>0</v>
      </c>
      <c r="BQ640" s="824">
        <f t="shared" ca="1" si="494"/>
        <v>0</v>
      </c>
      <c r="BR640" s="824">
        <f t="shared" ca="1" si="494"/>
        <v>0</v>
      </c>
      <c r="BS640" s="824">
        <f t="shared" ca="1" si="494"/>
        <v>0</v>
      </c>
      <c r="BT640" s="824">
        <f t="shared" ca="1" si="494"/>
        <v>0</v>
      </c>
      <c r="BU640" s="824">
        <f t="shared" ca="1" si="494"/>
        <v>0</v>
      </c>
      <c r="BV640" s="824">
        <f t="shared" ca="1" si="494"/>
        <v>0</v>
      </c>
      <c r="BW640" s="824">
        <f t="shared" ca="1" si="494"/>
        <v>0</v>
      </c>
      <c r="BX640" s="824">
        <f t="shared" ca="1" si="494"/>
        <v>0</v>
      </c>
      <c r="BY640" s="824">
        <f t="shared" ca="1" si="494"/>
        <v>0</v>
      </c>
      <c r="BZ640" s="824">
        <f t="shared" ca="1" si="494"/>
        <v>0</v>
      </c>
      <c r="CA640" s="824">
        <f t="shared" ca="1" si="494"/>
        <v>0</v>
      </c>
      <c r="CB640" s="824">
        <f t="shared" ca="1" si="494"/>
        <v>0</v>
      </c>
      <c r="CC640" s="824">
        <f t="shared" ca="1" si="494"/>
        <v>0</v>
      </c>
      <c r="CD640" s="824">
        <f t="shared" ca="1" si="494"/>
        <v>0</v>
      </c>
      <c r="CE640" s="824">
        <f t="shared" ca="1" si="493"/>
        <v>0</v>
      </c>
      <c r="CF640" s="824">
        <f t="shared" ca="1" si="493"/>
        <v>0</v>
      </c>
      <c r="CG640" s="824">
        <f t="shared" ca="1" si="493"/>
        <v>0</v>
      </c>
      <c r="CH640" s="824">
        <f t="shared" ca="1" si="493"/>
        <v>0</v>
      </c>
      <c r="CI640" s="824">
        <f t="shared" ca="1" si="493"/>
        <v>0</v>
      </c>
      <c r="CJ640" s="824">
        <f t="shared" ca="1" si="493"/>
        <v>0</v>
      </c>
      <c r="CK640" s="824">
        <f t="shared" ca="1" si="493"/>
        <v>0</v>
      </c>
      <c r="CL640" s="824">
        <f t="shared" ca="1" si="493"/>
        <v>0</v>
      </c>
      <c r="CM640" s="824">
        <f t="shared" ca="1" si="493"/>
        <v>0</v>
      </c>
      <c r="CN640" s="824">
        <f t="shared" ca="1" si="493"/>
        <v>0</v>
      </c>
      <c r="CO640" s="824">
        <f t="shared" ca="1" si="493"/>
        <v>0</v>
      </c>
      <c r="CP640" s="824">
        <f t="shared" ca="1" si="493"/>
        <v>0</v>
      </c>
      <c r="CQ640" s="824">
        <f t="shared" ca="1" si="493"/>
        <v>0</v>
      </c>
      <c r="CR640" s="824">
        <f t="shared" ca="1" si="493"/>
        <v>0</v>
      </c>
      <c r="CS640" s="824">
        <f t="shared" ca="1" si="493"/>
        <v>0</v>
      </c>
      <c r="CT640" s="824">
        <f t="shared" ca="1" si="496"/>
        <v>0</v>
      </c>
      <c r="CU640" s="824">
        <f t="shared" ca="1" si="496"/>
        <v>0</v>
      </c>
      <c r="CV640" s="824">
        <f t="shared" ca="1" si="496"/>
        <v>0</v>
      </c>
      <c r="CW640" s="824">
        <f t="shared" ca="1" si="496"/>
        <v>0</v>
      </c>
      <c r="CX640" s="824">
        <f t="shared" ca="1" si="496"/>
        <v>0</v>
      </c>
      <c r="CY640" s="824">
        <f t="shared" ca="1" si="496"/>
        <v>0</v>
      </c>
      <c r="CZ640" s="824">
        <f t="shared" ca="1" si="496"/>
        <v>0</v>
      </c>
      <c r="DA640" s="824">
        <f t="shared" ca="1" si="496"/>
        <v>0</v>
      </c>
      <c r="DB640" s="824">
        <f t="shared" ca="1" si="496"/>
        <v>0</v>
      </c>
      <c r="DC640" s="824">
        <f t="shared" ca="1" si="496"/>
        <v>0</v>
      </c>
      <c r="DD640" s="824">
        <f t="shared" ca="1" si="496"/>
        <v>0</v>
      </c>
      <c r="DE640" s="824">
        <f t="shared" ca="1" si="496"/>
        <v>0</v>
      </c>
      <c r="DF640" s="824">
        <f t="shared" ca="1" si="496"/>
        <v>0</v>
      </c>
      <c r="DG640" s="824">
        <f t="shared" ca="1" si="496"/>
        <v>0</v>
      </c>
      <c r="DH640" s="824">
        <f t="shared" ca="1" si="496"/>
        <v>0</v>
      </c>
      <c r="DI640" s="824">
        <f t="shared" ca="1" si="496"/>
        <v>0</v>
      </c>
      <c r="DJ640" s="824">
        <f t="shared" ca="1" si="454"/>
        <v>0</v>
      </c>
      <c r="DK640" s="824">
        <f t="shared" ca="1" si="454"/>
        <v>0</v>
      </c>
      <c r="DL640" s="824">
        <f t="shared" ca="1" si="454"/>
        <v>0</v>
      </c>
    </row>
    <row r="641" spans="2:116" ht="11.25" customHeight="1" thickBot="1" x14ac:dyDescent="0.3">
      <c r="B641" s="1673"/>
      <c r="C641" s="1680"/>
      <c r="D641" s="15" t="s">
        <v>11</v>
      </c>
      <c r="E641" s="165"/>
      <c r="F641" s="116">
        <f ca="1">SUBTOTAL(109,'3.3 I&amp;W'!$X$210)</f>
        <v>0</v>
      </c>
      <c r="G641" s="116">
        <f ca="1">SUBTOTAL(109,'3.3 I&amp;W'!$Y$210)</f>
        <v>0</v>
      </c>
      <c r="H641" s="116">
        <f ca="1">SUBTOTAL(109,'3.3 I&amp;W'!$AD$210)</f>
        <v>0</v>
      </c>
      <c r="I641" s="116">
        <f ca="1">SUBTOTAL(109,'3.3 I&amp;W'!$AE$210)</f>
        <v>0</v>
      </c>
      <c r="J641" s="116"/>
      <c r="K641" s="116"/>
      <c r="L641" s="116"/>
      <c r="M641" s="116">
        <f ca="1">SUBTOTAL(109,'3.3 I&amp;W'!$AI$210)</f>
        <v>0</v>
      </c>
      <c r="N641" s="156">
        <f t="shared" ca="1" si="479"/>
        <v>0</v>
      </c>
      <c r="O641" s="116">
        <f ca="1">SUBTOTAL(109,'3.3 I&amp;W'!$S$210)</f>
        <v>0</v>
      </c>
      <c r="P641" s="30">
        <f t="shared" ca="1" si="469"/>
        <v>0</v>
      </c>
      <c r="Q641" s="31">
        <f t="shared" ca="1" si="470"/>
        <v>0</v>
      </c>
      <c r="R641" s="31">
        <f t="shared" ca="1" si="471"/>
        <v>0</v>
      </c>
      <c r="S641" s="31">
        <f t="shared" ca="1" si="472"/>
        <v>0</v>
      </c>
      <c r="T641" s="32">
        <f t="shared" ca="1" si="473"/>
        <v>0</v>
      </c>
      <c r="U641" s="37">
        <f t="shared" ca="1" si="492"/>
        <v>0</v>
      </c>
      <c r="V641" s="40">
        <f t="shared" ca="1" si="474"/>
        <v>0</v>
      </c>
      <c r="W641" s="41">
        <f t="shared" ca="1" si="475"/>
        <v>0</v>
      </c>
      <c r="X641" s="43"/>
      <c r="Y641" s="46"/>
      <c r="Z641" s="126"/>
      <c r="AA641" s="136"/>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824">
        <f t="shared" ca="1" si="476"/>
        <v>0</v>
      </c>
      <c r="BM641" s="824">
        <f t="shared" ca="1" si="477"/>
        <v>0</v>
      </c>
      <c r="BN641" s="824">
        <f t="shared" ca="1" si="478"/>
        <v>0</v>
      </c>
      <c r="BO641" s="824">
        <f t="shared" ca="1" si="494"/>
        <v>0</v>
      </c>
      <c r="BP641" s="824">
        <f t="shared" ca="1" si="494"/>
        <v>0</v>
      </c>
      <c r="BQ641" s="824">
        <f t="shared" ca="1" si="494"/>
        <v>0</v>
      </c>
      <c r="BR641" s="824">
        <f t="shared" ca="1" si="494"/>
        <v>0</v>
      </c>
      <c r="BS641" s="824">
        <f t="shared" ca="1" si="494"/>
        <v>0</v>
      </c>
      <c r="BT641" s="824">
        <f t="shared" ca="1" si="494"/>
        <v>0</v>
      </c>
      <c r="BU641" s="824">
        <f t="shared" ca="1" si="494"/>
        <v>0</v>
      </c>
      <c r="BV641" s="824">
        <f t="shared" ca="1" si="494"/>
        <v>0</v>
      </c>
      <c r="BW641" s="824">
        <f t="shared" ca="1" si="494"/>
        <v>0</v>
      </c>
      <c r="BX641" s="824">
        <f t="shared" ca="1" si="494"/>
        <v>0</v>
      </c>
      <c r="BY641" s="824">
        <f t="shared" ca="1" si="494"/>
        <v>0</v>
      </c>
      <c r="BZ641" s="824">
        <f t="shared" ca="1" si="494"/>
        <v>0</v>
      </c>
      <c r="CA641" s="824">
        <f t="shared" ca="1" si="494"/>
        <v>0</v>
      </c>
      <c r="CB641" s="824">
        <f t="shared" ca="1" si="494"/>
        <v>0</v>
      </c>
      <c r="CC641" s="824">
        <f t="shared" ca="1" si="494"/>
        <v>0</v>
      </c>
      <c r="CD641" s="824">
        <f t="shared" ca="1" si="494"/>
        <v>0</v>
      </c>
      <c r="CE641" s="824">
        <f t="shared" ca="1" si="493"/>
        <v>0</v>
      </c>
      <c r="CF641" s="824">
        <f t="shared" ca="1" si="493"/>
        <v>0</v>
      </c>
      <c r="CG641" s="824">
        <f t="shared" ca="1" si="493"/>
        <v>0</v>
      </c>
      <c r="CH641" s="824">
        <f t="shared" ca="1" si="493"/>
        <v>0</v>
      </c>
      <c r="CI641" s="824">
        <f t="shared" ca="1" si="493"/>
        <v>0</v>
      </c>
      <c r="CJ641" s="824">
        <f t="shared" ca="1" si="493"/>
        <v>0</v>
      </c>
      <c r="CK641" s="824">
        <f t="shared" ca="1" si="493"/>
        <v>0</v>
      </c>
      <c r="CL641" s="824">
        <f t="shared" ca="1" si="493"/>
        <v>0</v>
      </c>
      <c r="CM641" s="824">
        <f t="shared" ca="1" si="493"/>
        <v>0</v>
      </c>
      <c r="CN641" s="824">
        <f t="shared" ca="1" si="493"/>
        <v>0</v>
      </c>
      <c r="CO641" s="824">
        <f t="shared" ca="1" si="493"/>
        <v>0</v>
      </c>
      <c r="CP641" s="824">
        <f t="shared" ca="1" si="493"/>
        <v>0</v>
      </c>
      <c r="CQ641" s="824">
        <f t="shared" ca="1" si="493"/>
        <v>0</v>
      </c>
      <c r="CR641" s="824">
        <f t="shared" ca="1" si="493"/>
        <v>0</v>
      </c>
      <c r="CS641" s="824">
        <f t="shared" ca="1" si="493"/>
        <v>0</v>
      </c>
      <c r="CT641" s="824">
        <f t="shared" ca="1" si="496"/>
        <v>0</v>
      </c>
      <c r="CU641" s="824">
        <f t="shared" ca="1" si="496"/>
        <v>0</v>
      </c>
      <c r="CV641" s="824">
        <f t="shared" ca="1" si="496"/>
        <v>0</v>
      </c>
      <c r="CW641" s="824">
        <f t="shared" ca="1" si="496"/>
        <v>0</v>
      </c>
      <c r="CX641" s="824">
        <f t="shared" ca="1" si="496"/>
        <v>0</v>
      </c>
      <c r="CY641" s="824">
        <f t="shared" ca="1" si="496"/>
        <v>0</v>
      </c>
      <c r="CZ641" s="824">
        <f t="shared" ca="1" si="496"/>
        <v>0</v>
      </c>
      <c r="DA641" s="824">
        <f t="shared" ca="1" si="496"/>
        <v>0</v>
      </c>
      <c r="DB641" s="824">
        <f t="shared" ca="1" si="496"/>
        <v>0</v>
      </c>
      <c r="DC641" s="824">
        <f t="shared" ca="1" si="496"/>
        <v>0</v>
      </c>
      <c r="DD641" s="824">
        <f t="shared" ca="1" si="496"/>
        <v>0</v>
      </c>
      <c r="DE641" s="824">
        <f t="shared" ca="1" si="496"/>
        <v>0</v>
      </c>
      <c r="DF641" s="824">
        <f t="shared" ca="1" si="496"/>
        <v>0</v>
      </c>
      <c r="DG641" s="824">
        <f t="shared" ca="1" si="496"/>
        <v>0</v>
      </c>
      <c r="DH641" s="824">
        <f t="shared" ca="1" si="496"/>
        <v>0</v>
      </c>
      <c r="DI641" s="824">
        <f t="shared" ca="1" si="496"/>
        <v>0</v>
      </c>
      <c r="DJ641" s="824">
        <f t="shared" ref="DJ641:DL655" ca="1" si="497">IF(OR(IF($BL641*1&lt;$BL$196,$BL641*1=DJ$198,FALSE),IF($BL641*2&lt;$BL$196,$BL641*2=DJ$198,FALSE),IF($BL641*3&lt;$BL$196,$BL641*3=DJ$198,FALSE),IF($BL641*4&lt;$BL$196,$BL641*4=DJ$198,FALSE),IF($BL641*5&lt;$BL$196,$BL641*5=DJ$198,FALSE)),$BN641*$BM$196^DJ$198,0)</f>
        <v>0</v>
      </c>
      <c r="DK641" s="824">
        <f t="shared" ca="1" si="497"/>
        <v>0</v>
      </c>
      <c r="DL641" s="824">
        <f t="shared" ca="1" si="497"/>
        <v>0</v>
      </c>
    </row>
    <row r="642" spans="2:116" ht="12" thickBot="1" x14ac:dyDescent="0.3">
      <c r="B642" s="1673"/>
      <c r="C642" s="1680"/>
      <c r="D642" s="15" t="s">
        <v>11</v>
      </c>
      <c r="E642" s="116"/>
      <c r="F642" s="116">
        <f ca="1">SUBTOTAL(109,'3.3 I&amp;W'!$X$211)</f>
        <v>0</v>
      </c>
      <c r="G642" s="116">
        <f ca="1">SUBTOTAL(109,'3.3 I&amp;W'!$Y$211)</f>
        <v>0</v>
      </c>
      <c r="H642" s="116">
        <f ca="1">SUBTOTAL(109,'3.3 I&amp;W'!$AD$211)</f>
        <v>0</v>
      </c>
      <c r="I642" s="116">
        <f ca="1">SUBTOTAL(109,'3.3 I&amp;W'!$AE$211)</f>
        <v>0</v>
      </c>
      <c r="J642" s="116"/>
      <c r="K642" s="116"/>
      <c r="L642" s="116"/>
      <c r="M642" s="116">
        <f ca="1">SUBTOTAL(109,'3.3 I&amp;W'!$AI$211)</f>
        <v>0</v>
      </c>
      <c r="N642" s="156">
        <f t="shared" ca="1" si="479"/>
        <v>0</v>
      </c>
      <c r="O642" s="116">
        <f ca="1">SUBTOTAL(109,'3.3 I&amp;W'!$S$211)</f>
        <v>0</v>
      </c>
      <c r="P642" s="30">
        <f t="shared" ca="1" si="469"/>
        <v>0</v>
      </c>
      <c r="Q642" s="31">
        <f t="shared" ca="1" si="470"/>
        <v>0</v>
      </c>
      <c r="R642" s="31">
        <f t="shared" ca="1" si="471"/>
        <v>0</v>
      </c>
      <c r="S642" s="31">
        <f t="shared" ca="1" si="472"/>
        <v>0</v>
      </c>
      <c r="T642" s="32">
        <f t="shared" ca="1" si="473"/>
        <v>0</v>
      </c>
      <c r="U642" s="37">
        <f t="shared" ca="1" si="492"/>
        <v>0</v>
      </c>
      <c r="V642" s="40">
        <f t="shared" ca="1" si="474"/>
        <v>0</v>
      </c>
      <c r="W642" s="41">
        <f t="shared" ca="1" si="475"/>
        <v>0</v>
      </c>
      <c r="X642" s="43"/>
      <c r="Y642" s="46"/>
      <c r="Z642" s="126"/>
      <c r="AA642" s="136"/>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824">
        <f t="shared" ca="1" si="476"/>
        <v>0</v>
      </c>
      <c r="BM642" s="824">
        <f t="shared" ca="1" si="477"/>
        <v>0</v>
      </c>
      <c r="BN642" s="824">
        <f t="shared" ca="1" si="478"/>
        <v>0</v>
      </c>
      <c r="BO642" s="824">
        <f t="shared" ca="1" si="494"/>
        <v>0</v>
      </c>
      <c r="BP642" s="824">
        <f t="shared" ca="1" si="494"/>
        <v>0</v>
      </c>
      <c r="BQ642" s="824">
        <f t="shared" ca="1" si="494"/>
        <v>0</v>
      </c>
      <c r="BR642" s="824">
        <f t="shared" ca="1" si="494"/>
        <v>0</v>
      </c>
      <c r="BS642" s="824">
        <f t="shared" ca="1" si="494"/>
        <v>0</v>
      </c>
      <c r="BT642" s="824">
        <f t="shared" ca="1" si="494"/>
        <v>0</v>
      </c>
      <c r="BU642" s="824">
        <f t="shared" ca="1" si="494"/>
        <v>0</v>
      </c>
      <c r="BV642" s="824">
        <f t="shared" ca="1" si="494"/>
        <v>0</v>
      </c>
      <c r="BW642" s="824">
        <f t="shared" ca="1" si="494"/>
        <v>0</v>
      </c>
      <c r="BX642" s="824">
        <f t="shared" ca="1" si="494"/>
        <v>0</v>
      </c>
      <c r="BY642" s="824">
        <f t="shared" ca="1" si="494"/>
        <v>0</v>
      </c>
      <c r="BZ642" s="824">
        <f t="shared" ca="1" si="494"/>
        <v>0</v>
      </c>
      <c r="CA642" s="824">
        <f t="shared" ca="1" si="494"/>
        <v>0</v>
      </c>
      <c r="CB642" s="824">
        <f t="shared" ca="1" si="494"/>
        <v>0</v>
      </c>
      <c r="CC642" s="824">
        <f t="shared" ca="1" si="494"/>
        <v>0</v>
      </c>
      <c r="CD642" s="824">
        <f t="shared" ca="1" si="494"/>
        <v>0</v>
      </c>
      <c r="CE642" s="824">
        <f t="shared" ca="1" si="493"/>
        <v>0</v>
      </c>
      <c r="CF642" s="824">
        <f t="shared" ca="1" si="493"/>
        <v>0</v>
      </c>
      <c r="CG642" s="824">
        <f t="shared" ca="1" si="493"/>
        <v>0</v>
      </c>
      <c r="CH642" s="824">
        <f t="shared" ca="1" si="493"/>
        <v>0</v>
      </c>
      <c r="CI642" s="824">
        <f t="shared" ca="1" si="493"/>
        <v>0</v>
      </c>
      <c r="CJ642" s="824">
        <f t="shared" ca="1" si="493"/>
        <v>0</v>
      </c>
      <c r="CK642" s="824">
        <f t="shared" ca="1" si="493"/>
        <v>0</v>
      </c>
      <c r="CL642" s="824">
        <f t="shared" ca="1" si="493"/>
        <v>0</v>
      </c>
      <c r="CM642" s="824">
        <f t="shared" ca="1" si="493"/>
        <v>0</v>
      </c>
      <c r="CN642" s="824">
        <f t="shared" ca="1" si="493"/>
        <v>0</v>
      </c>
      <c r="CO642" s="824">
        <f t="shared" ca="1" si="493"/>
        <v>0</v>
      </c>
      <c r="CP642" s="824">
        <f t="shared" ca="1" si="493"/>
        <v>0</v>
      </c>
      <c r="CQ642" s="824">
        <f t="shared" ca="1" si="493"/>
        <v>0</v>
      </c>
      <c r="CR642" s="824">
        <f t="shared" ca="1" si="493"/>
        <v>0</v>
      </c>
      <c r="CS642" s="824">
        <f t="shared" ca="1" si="493"/>
        <v>0</v>
      </c>
      <c r="CT642" s="824">
        <f t="shared" ca="1" si="496"/>
        <v>0</v>
      </c>
      <c r="CU642" s="824">
        <f t="shared" ca="1" si="496"/>
        <v>0</v>
      </c>
      <c r="CV642" s="824">
        <f t="shared" ca="1" si="496"/>
        <v>0</v>
      </c>
      <c r="CW642" s="824">
        <f t="shared" ca="1" si="496"/>
        <v>0</v>
      </c>
      <c r="CX642" s="824">
        <f t="shared" ca="1" si="496"/>
        <v>0</v>
      </c>
      <c r="CY642" s="824">
        <f t="shared" ca="1" si="496"/>
        <v>0</v>
      </c>
      <c r="CZ642" s="824">
        <f t="shared" ca="1" si="496"/>
        <v>0</v>
      </c>
      <c r="DA642" s="824">
        <f t="shared" ca="1" si="496"/>
        <v>0</v>
      </c>
      <c r="DB642" s="824">
        <f t="shared" ca="1" si="496"/>
        <v>0</v>
      </c>
      <c r="DC642" s="824">
        <f t="shared" ca="1" si="496"/>
        <v>0</v>
      </c>
      <c r="DD642" s="824">
        <f t="shared" ca="1" si="496"/>
        <v>0</v>
      </c>
      <c r="DE642" s="824">
        <f t="shared" ca="1" si="496"/>
        <v>0</v>
      </c>
      <c r="DF642" s="824">
        <f t="shared" ca="1" si="496"/>
        <v>0</v>
      </c>
      <c r="DG642" s="824">
        <f t="shared" ca="1" si="496"/>
        <v>0</v>
      </c>
      <c r="DH642" s="824">
        <f t="shared" ca="1" si="496"/>
        <v>0</v>
      </c>
      <c r="DI642" s="824">
        <f t="shared" ca="1" si="496"/>
        <v>0</v>
      </c>
      <c r="DJ642" s="824">
        <f t="shared" ca="1" si="497"/>
        <v>0</v>
      </c>
      <c r="DK642" s="824">
        <f t="shared" ca="1" si="497"/>
        <v>0</v>
      </c>
      <c r="DL642" s="824">
        <f t="shared" ca="1" si="497"/>
        <v>0</v>
      </c>
    </row>
    <row r="643" spans="2:116" ht="12" thickBot="1" x14ac:dyDescent="0.3">
      <c r="B643" s="1673"/>
      <c r="C643" s="1680"/>
      <c r="D643" s="15" t="s">
        <v>265</v>
      </c>
      <c r="E643" s="165"/>
      <c r="F643" s="116">
        <f ca="1">SUBTOTAL(109,'3.3 I&amp;W'!$X$216)</f>
        <v>0</v>
      </c>
      <c r="G643" s="116">
        <f ca="1">SUBTOTAL(109,'3.3 I&amp;W'!$Y$216)</f>
        <v>0</v>
      </c>
      <c r="H643" s="116">
        <f ca="1">SUBTOTAL(109,'3.3 I&amp;W'!$AD$216)</f>
        <v>0</v>
      </c>
      <c r="I643" s="116">
        <f ca="1">SUBTOTAL(109,'3.3 I&amp;W'!$AE$216)</f>
        <v>0</v>
      </c>
      <c r="J643" s="116"/>
      <c r="K643" s="116"/>
      <c r="L643" s="116"/>
      <c r="M643" s="116">
        <f ca="1">SUBTOTAL(109,'3.3 I&amp;W'!$AI$216)</f>
        <v>0</v>
      </c>
      <c r="N643" s="156">
        <f t="shared" ca="1" si="479"/>
        <v>0</v>
      </c>
      <c r="O643" s="116">
        <f ca="1">SUBTOTAL(109,'3.3 I&amp;W'!$S$216)</f>
        <v>0</v>
      </c>
      <c r="P643" s="30">
        <f t="shared" ca="1" si="469"/>
        <v>0</v>
      </c>
      <c r="Q643" s="31">
        <f t="shared" ca="1" si="470"/>
        <v>0</v>
      </c>
      <c r="R643" s="31">
        <f t="shared" ca="1" si="471"/>
        <v>0</v>
      </c>
      <c r="S643" s="31">
        <f t="shared" ca="1" si="472"/>
        <v>0</v>
      </c>
      <c r="T643" s="32">
        <f t="shared" ca="1" si="473"/>
        <v>0</v>
      </c>
      <c r="U643" s="37">
        <f t="shared" ca="1" si="492"/>
        <v>0</v>
      </c>
      <c r="V643" s="40">
        <f t="shared" ca="1" si="474"/>
        <v>0</v>
      </c>
      <c r="W643" s="41">
        <f t="shared" ca="1" si="475"/>
        <v>0</v>
      </c>
      <c r="X643" s="43"/>
      <c r="Y643" s="46"/>
      <c r="Z643" s="126"/>
      <c r="AA643" s="136"/>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824">
        <f t="shared" ca="1" si="476"/>
        <v>0</v>
      </c>
      <c r="BM643" s="824">
        <f t="shared" ca="1" si="477"/>
        <v>0</v>
      </c>
      <c r="BN643" s="824">
        <f t="shared" ca="1" si="478"/>
        <v>0</v>
      </c>
      <c r="BO643" s="824">
        <f t="shared" ca="1" si="494"/>
        <v>0</v>
      </c>
      <c r="BP643" s="824">
        <f t="shared" ca="1" si="494"/>
        <v>0</v>
      </c>
      <c r="BQ643" s="824">
        <f t="shared" ca="1" si="494"/>
        <v>0</v>
      </c>
      <c r="BR643" s="824">
        <f t="shared" ca="1" si="494"/>
        <v>0</v>
      </c>
      <c r="BS643" s="824">
        <f t="shared" ca="1" si="494"/>
        <v>0</v>
      </c>
      <c r="BT643" s="824">
        <f t="shared" ca="1" si="494"/>
        <v>0</v>
      </c>
      <c r="BU643" s="824">
        <f t="shared" ca="1" si="494"/>
        <v>0</v>
      </c>
      <c r="BV643" s="824">
        <f t="shared" ca="1" si="494"/>
        <v>0</v>
      </c>
      <c r="BW643" s="824">
        <f t="shared" ca="1" si="494"/>
        <v>0</v>
      </c>
      <c r="BX643" s="824">
        <f t="shared" ca="1" si="494"/>
        <v>0</v>
      </c>
      <c r="BY643" s="824">
        <f t="shared" ca="1" si="494"/>
        <v>0</v>
      </c>
      <c r="BZ643" s="824">
        <f t="shared" ca="1" si="494"/>
        <v>0</v>
      </c>
      <c r="CA643" s="824">
        <f t="shared" ca="1" si="494"/>
        <v>0</v>
      </c>
      <c r="CB643" s="824">
        <f t="shared" ca="1" si="494"/>
        <v>0</v>
      </c>
      <c r="CC643" s="824">
        <f t="shared" ca="1" si="494"/>
        <v>0</v>
      </c>
      <c r="CD643" s="824">
        <f t="shared" ca="1" si="494"/>
        <v>0</v>
      </c>
      <c r="CE643" s="824">
        <f t="shared" ca="1" si="493"/>
        <v>0</v>
      </c>
      <c r="CF643" s="824">
        <f t="shared" ca="1" si="493"/>
        <v>0</v>
      </c>
      <c r="CG643" s="824">
        <f t="shared" ca="1" si="493"/>
        <v>0</v>
      </c>
      <c r="CH643" s="824">
        <f t="shared" ca="1" si="493"/>
        <v>0</v>
      </c>
      <c r="CI643" s="824">
        <f t="shared" ca="1" si="493"/>
        <v>0</v>
      </c>
      <c r="CJ643" s="824">
        <f t="shared" ca="1" si="493"/>
        <v>0</v>
      </c>
      <c r="CK643" s="824">
        <f t="shared" ca="1" si="493"/>
        <v>0</v>
      </c>
      <c r="CL643" s="824">
        <f t="shared" ca="1" si="493"/>
        <v>0</v>
      </c>
      <c r="CM643" s="824">
        <f t="shared" ca="1" si="493"/>
        <v>0</v>
      </c>
      <c r="CN643" s="824">
        <f t="shared" ca="1" si="493"/>
        <v>0</v>
      </c>
      <c r="CO643" s="824">
        <f t="shared" ca="1" si="493"/>
        <v>0</v>
      </c>
      <c r="CP643" s="824">
        <f t="shared" ca="1" si="493"/>
        <v>0</v>
      </c>
      <c r="CQ643" s="824">
        <f t="shared" ca="1" si="493"/>
        <v>0</v>
      </c>
      <c r="CR643" s="824">
        <f t="shared" ca="1" si="493"/>
        <v>0</v>
      </c>
      <c r="CS643" s="824">
        <f t="shared" ca="1" si="493"/>
        <v>0</v>
      </c>
      <c r="CT643" s="824">
        <f t="shared" ca="1" si="496"/>
        <v>0</v>
      </c>
      <c r="CU643" s="824">
        <f t="shared" ca="1" si="496"/>
        <v>0</v>
      </c>
      <c r="CV643" s="824">
        <f t="shared" ca="1" si="496"/>
        <v>0</v>
      </c>
      <c r="CW643" s="824">
        <f t="shared" ca="1" si="496"/>
        <v>0</v>
      </c>
      <c r="CX643" s="824">
        <f t="shared" ca="1" si="496"/>
        <v>0</v>
      </c>
      <c r="CY643" s="824">
        <f t="shared" ca="1" si="496"/>
        <v>0</v>
      </c>
      <c r="CZ643" s="824">
        <f t="shared" ca="1" si="496"/>
        <v>0</v>
      </c>
      <c r="DA643" s="824">
        <f t="shared" ca="1" si="496"/>
        <v>0</v>
      </c>
      <c r="DB643" s="824">
        <f t="shared" ca="1" si="496"/>
        <v>0</v>
      </c>
      <c r="DC643" s="824">
        <f t="shared" ca="1" si="496"/>
        <v>0</v>
      </c>
      <c r="DD643" s="824">
        <f t="shared" ca="1" si="496"/>
        <v>0</v>
      </c>
      <c r="DE643" s="824">
        <f t="shared" ca="1" si="496"/>
        <v>0</v>
      </c>
      <c r="DF643" s="824">
        <f t="shared" ca="1" si="496"/>
        <v>0</v>
      </c>
      <c r="DG643" s="824">
        <f t="shared" ca="1" si="496"/>
        <v>0</v>
      </c>
      <c r="DH643" s="824">
        <f t="shared" ca="1" si="496"/>
        <v>0</v>
      </c>
      <c r="DI643" s="824">
        <f t="shared" ca="1" si="496"/>
        <v>0</v>
      </c>
      <c r="DJ643" s="824">
        <f t="shared" ca="1" si="497"/>
        <v>0</v>
      </c>
      <c r="DK643" s="824">
        <f t="shared" ca="1" si="497"/>
        <v>0</v>
      </c>
      <c r="DL643" s="824">
        <f t="shared" ca="1" si="497"/>
        <v>0</v>
      </c>
    </row>
    <row r="644" spans="2:116" ht="12" thickBot="1" x14ac:dyDescent="0.3">
      <c r="B644" s="1673"/>
      <c r="C644" s="1680"/>
      <c r="D644" s="15" t="s">
        <v>9</v>
      </c>
      <c r="E644" s="116"/>
      <c r="F644" s="116"/>
      <c r="G644" s="116"/>
      <c r="H644" s="116"/>
      <c r="I644" s="116"/>
      <c r="J644" s="116"/>
      <c r="K644" s="116"/>
      <c r="L644" s="116"/>
      <c r="M644" s="116"/>
      <c r="N644" s="156">
        <f t="shared" si="479"/>
        <v>0</v>
      </c>
      <c r="O644" s="116">
        <f ca="1">SUBTOTAL(109,'3.3 I&amp;W'!$S$220)</f>
        <v>526746</v>
      </c>
      <c r="P644" s="30">
        <f t="shared" si="469"/>
        <v>0</v>
      </c>
      <c r="Q644" s="31">
        <f t="shared" si="470"/>
        <v>0</v>
      </c>
      <c r="R644" s="31">
        <f t="shared" si="471"/>
        <v>0</v>
      </c>
      <c r="S644" s="31">
        <f t="shared" si="472"/>
        <v>0</v>
      </c>
      <c r="T644" s="32">
        <f t="shared" si="473"/>
        <v>0</v>
      </c>
      <c r="U644" s="37">
        <f t="shared" si="492"/>
        <v>0</v>
      </c>
      <c r="V644" s="40">
        <f t="shared" si="474"/>
        <v>0</v>
      </c>
      <c r="W644" s="41">
        <f t="shared" si="475"/>
        <v>0</v>
      </c>
      <c r="X644" s="43"/>
      <c r="Y644" s="46"/>
      <c r="Z644" s="126"/>
      <c r="AA644" s="136"/>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824">
        <f t="shared" si="476"/>
        <v>0</v>
      </c>
      <c r="BM644" s="824">
        <f t="shared" si="477"/>
        <v>0</v>
      </c>
      <c r="BN644" s="824">
        <f t="shared" ca="1" si="478"/>
        <v>526746</v>
      </c>
      <c r="BO644" s="824">
        <f t="shared" si="494"/>
        <v>0</v>
      </c>
      <c r="BP644" s="824">
        <f t="shared" si="494"/>
        <v>0</v>
      </c>
      <c r="BQ644" s="824">
        <f t="shared" si="494"/>
        <v>0</v>
      </c>
      <c r="BR644" s="824">
        <f t="shared" si="494"/>
        <v>0</v>
      </c>
      <c r="BS644" s="824">
        <f t="shared" si="494"/>
        <v>0</v>
      </c>
      <c r="BT644" s="824">
        <f t="shared" si="494"/>
        <v>0</v>
      </c>
      <c r="BU644" s="824">
        <f t="shared" si="494"/>
        <v>0</v>
      </c>
      <c r="BV644" s="824">
        <f t="shared" si="494"/>
        <v>0</v>
      </c>
      <c r="BW644" s="824">
        <f t="shared" si="494"/>
        <v>0</v>
      </c>
      <c r="BX644" s="824">
        <f t="shared" si="494"/>
        <v>0</v>
      </c>
      <c r="BY644" s="824">
        <f t="shared" si="494"/>
        <v>0</v>
      </c>
      <c r="BZ644" s="824">
        <f t="shared" si="494"/>
        <v>0</v>
      </c>
      <c r="CA644" s="824">
        <f t="shared" si="494"/>
        <v>0</v>
      </c>
      <c r="CB644" s="824">
        <f t="shared" si="494"/>
        <v>0</v>
      </c>
      <c r="CC644" s="824">
        <f t="shared" si="494"/>
        <v>0</v>
      </c>
      <c r="CD644" s="824">
        <f t="shared" si="494"/>
        <v>0</v>
      </c>
      <c r="CE644" s="824">
        <f t="shared" si="493"/>
        <v>0</v>
      </c>
      <c r="CF644" s="824">
        <f t="shared" si="493"/>
        <v>0</v>
      </c>
      <c r="CG644" s="824">
        <f t="shared" si="493"/>
        <v>0</v>
      </c>
      <c r="CH644" s="824">
        <f t="shared" si="493"/>
        <v>0</v>
      </c>
      <c r="CI644" s="824">
        <f t="shared" si="493"/>
        <v>0</v>
      </c>
      <c r="CJ644" s="824">
        <f t="shared" si="493"/>
        <v>0</v>
      </c>
      <c r="CK644" s="824">
        <f t="shared" si="493"/>
        <v>0</v>
      </c>
      <c r="CL644" s="824">
        <f t="shared" si="493"/>
        <v>0</v>
      </c>
      <c r="CM644" s="824">
        <f t="shared" si="493"/>
        <v>0</v>
      </c>
      <c r="CN644" s="824">
        <f t="shared" si="493"/>
        <v>0</v>
      </c>
      <c r="CO644" s="824">
        <f t="shared" si="493"/>
        <v>0</v>
      </c>
      <c r="CP644" s="824">
        <f t="shared" si="493"/>
        <v>0</v>
      </c>
      <c r="CQ644" s="824">
        <f t="shared" si="493"/>
        <v>0</v>
      </c>
      <c r="CR644" s="824">
        <f t="shared" si="493"/>
        <v>0</v>
      </c>
      <c r="CS644" s="824">
        <f t="shared" si="493"/>
        <v>0</v>
      </c>
      <c r="CT644" s="824">
        <f t="shared" si="496"/>
        <v>0</v>
      </c>
      <c r="CU644" s="824">
        <f t="shared" si="496"/>
        <v>0</v>
      </c>
      <c r="CV644" s="824">
        <f t="shared" si="496"/>
        <v>0</v>
      </c>
      <c r="CW644" s="824">
        <f t="shared" si="496"/>
        <v>0</v>
      </c>
      <c r="CX644" s="824">
        <f t="shared" si="496"/>
        <v>0</v>
      </c>
      <c r="CY644" s="824">
        <f t="shared" si="496"/>
        <v>0</v>
      </c>
      <c r="CZ644" s="824">
        <f t="shared" si="496"/>
        <v>0</v>
      </c>
      <c r="DA644" s="824">
        <f t="shared" si="496"/>
        <v>0</v>
      </c>
      <c r="DB644" s="824">
        <f t="shared" si="496"/>
        <v>0</v>
      </c>
      <c r="DC644" s="824">
        <f t="shared" si="496"/>
        <v>0</v>
      </c>
      <c r="DD644" s="824">
        <f t="shared" si="496"/>
        <v>0</v>
      </c>
      <c r="DE644" s="824">
        <f t="shared" si="496"/>
        <v>0</v>
      </c>
      <c r="DF644" s="824">
        <f t="shared" si="496"/>
        <v>0</v>
      </c>
      <c r="DG644" s="824">
        <f t="shared" si="496"/>
        <v>0</v>
      </c>
      <c r="DH644" s="824">
        <f t="shared" si="496"/>
        <v>0</v>
      </c>
      <c r="DI644" s="824">
        <f t="shared" si="496"/>
        <v>0</v>
      </c>
      <c r="DJ644" s="824">
        <f t="shared" si="497"/>
        <v>0</v>
      </c>
      <c r="DK644" s="824">
        <f t="shared" si="497"/>
        <v>0</v>
      </c>
      <c r="DL644" s="824">
        <f t="shared" si="497"/>
        <v>0</v>
      </c>
    </row>
    <row r="645" spans="2:116" ht="12" thickBot="1" x14ac:dyDescent="0.3">
      <c r="B645" s="1673"/>
      <c r="C645" s="1680"/>
      <c r="D645" s="15" t="s">
        <v>3</v>
      </c>
      <c r="E645" s="165"/>
      <c r="F645" s="116">
        <f>SUBTOTAL(109,'3.3 I&amp;W'!$X$233)</f>
        <v>0</v>
      </c>
      <c r="G645" s="116">
        <f>SUBTOTAL(109,'3.3 I&amp;W'!$Y$233)</f>
        <v>0</v>
      </c>
      <c r="H645" s="116">
        <f>SUBTOTAL(109,'3.3 I&amp;W'!$AD$233)</f>
        <v>0</v>
      </c>
      <c r="I645" s="116">
        <f>SUBTOTAL(109,'3.3 I&amp;W'!$AE$233)</f>
        <v>0</v>
      </c>
      <c r="J645" s="116"/>
      <c r="K645" s="116"/>
      <c r="L645" s="116"/>
      <c r="M645" s="116">
        <f>SUBTOTAL(109,'3.3 I&amp;W'!$AI$233)</f>
        <v>0</v>
      </c>
      <c r="N645" s="156">
        <f t="shared" si="479"/>
        <v>0</v>
      </c>
      <c r="O645" s="116">
        <f ca="1">SUBTOTAL(109,'3.3 I&amp;W'!$S$233)</f>
        <v>0</v>
      </c>
      <c r="P645" s="30">
        <f t="shared" si="469"/>
        <v>0</v>
      </c>
      <c r="Q645" s="31">
        <f t="shared" si="470"/>
        <v>0</v>
      </c>
      <c r="R645" s="31">
        <f t="shared" si="471"/>
        <v>0</v>
      </c>
      <c r="S645" s="31">
        <f t="shared" si="472"/>
        <v>0</v>
      </c>
      <c r="T645" s="32">
        <f t="shared" si="473"/>
        <v>0</v>
      </c>
      <c r="U645" s="37">
        <f t="shared" si="492"/>
        <v>0</v>
      </c>
      <c r="V645" s="40">
        <f t="shared" si="474"/>
        <v>0</v>
      </c>
      <c r="W645" s="41">
        <f t="shared" si="475"/>
        <v>0</v>
      </c>
      <c r="X645" s="43"/>
      <c r="Y645" s="46"/>
      <c r="Z645" s="126"/>
      <c r="AA645" s="136"/>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824">
        <f t="shared" ref="BL645:BL655" si="498">M645</f>
        <v>0</v>
      </c>
      <c r="BM645" s="824">
        <f t="shared" ref="BM645:BM655" si="499">N645</f>
        <v>0</v>
      </c>
      <c r="BN645" s="824">
        <f t="shared" ref="BN645:BN655" ca="1" si="500">O645</f>
        <v>0</v>
      </c>
      <c r="BO645" s="824">
        <f t="shared" si="494"/>
        <v>0</v>
      </c>
      <c r="BP645" s="824">
        <f t="shared" si="494"/>
        <v>0</v>
      </c>
      <c r="BQ645" s="824">
        <f t="shared" si="494"/>
        <v>0</v>
      </c>
      <c r="BR645" s="824">
        <f t="shared" si="494"/>
        <v>0</v>
      </c>
      <c r="BS645" s="824">
        <f t="shared" si="494"/>
        <v>0</v>
      </c>
      <c r="BT645" s="824">
        <f t="shared" si="494"/>
        <v>0</v>
      </c>
      <c r="BU645" s="824">
        <f t="shared" si="494"/>
        <v>0</v>
      </c>
      <c r="BV645" s="824">
        <f t="shared" si="494"/>
        <v>0</v>
      </c>
      <c r="BW645" s="824">
        <f t="shared" si="494"/>
        <v>0</v>
      </c>
      <c r="BX645" s="824">
        <f t="shared" si="494"/>
        <v>0</v>
      </c>
      <c r="BY645" s="824">
        <f t="shared" si="494"/>
        <v>0</v>
      </c>
      <c r="BZ645" s="824">
        <f t="shared" si="494"/>
        <v>0</v>
      </c>
      <c r="CA645" s="824">
        <f t="shared" si="494"/>
        <v>0</v>
      </c>
      <c r="CB645" s="824">
        <f t="shared" si="494"/>
        <v>0</v>
      </c>
      <c r="CC645" s="824">
        <f t="shared" si="494"/>
        <v>0</v>
      </c>
      <c r="CD645" s="824">
        <f t="shared" si="494"/>
        <v>0</v>
      </c>
      <c r="CE645" s="824">
        <f t="shared" si="493"/>
        <v>0</v>
      </c>
      <c r="CF645" s="824">
        <f t="shared" si="493"/>
        <v>0</v>
      </c>
      <c r="CG645" s="824">
        <f t="shared" si="493"/>
        <v>0</v>
      </c>
      <c r="CH645" s="824">
        <f t="shared" si="493"/>
        <v>0</v>
      </c>
      <c r="CI645" s="824">
        <f t="shared" si="493"/>
        <v>0</v>
      </c>
      <c r="CJ645" s="824">
        <f t="shared" si="493"/>
        <v>0</v>
      </c>
      <c r="CK645" s="824">
        <f t="shared" si="493"/>
        <v>0</v>
      </c>
      <c r="CL645" s="824">
        <f t="shared" si="493"/>
        <v>0</v>
      </c>
      <c r="CM645" s="824">
        <f t="shared" si="493"/>
        <v>0</v>
      </c>
      <c r="CN645" s="824">
        <f t="shared" si="493"/>
        <v>0</v>
      </c>
      <c r="CO645" s="824">
        <f t="shared" si="493"/>
        <v>0</v>
      </c>
      <c r="CP645" s="824">
        <f t="shared" si="493"/>
        <v>0</v>
      </c>
      <c r="CQ645" s="824">
        <f t="shared" si="493"/>
        <v>0</v>
      </c>
      <c r="CR645" s="824">
        <f t="shared" si="493"/>
        <v>0</v>
      </c>
      <c r="CS645" s="824">
        <f t="shared" si="493"/>
        <v>0</v>
      </c>
      <c r="CT645" s="824">
        <f t="shared" si="496"/>
        <v>0</v>
      </c>
      <c r="CU645" s="824">
        <f t="shared" si="496"/>
        <v>0</v>
      </c>
      <c r="CV645" s="824">
        <f t="shared" si="496"/>
        <v>0</v>
      </c>
      <c r="CW645" s="824">
        <f t="shared" si="496"/>
        <v>0</v>
      </c>
      <c r="CX645" s="824">
        <f t="shared" si="496"/>
        <v>0</v>
      </c>
      <c r="CY645" s="824">
        <f t="shared" si="496"/>
        <v>0</v>
      </c>
      <c r="CZ645" s="824">
        <f t="shared" si="496"/>
        <v>0</v>
      </c>
      <c r="DA645" s="824">
        <f t="shared" si="496"/>
        <v>0</v>
      </c>
      <c r="DB645" s="824">
        <f t="shared" si="496"/>
        <v>0</v>
      </c>
      <c r="DC645" s="824">
        <f t="shared" si="496"/>
        <v>0</v>
      </c>
      <c r="DD645" s="824">
        <f t="shared" si="496"/>
        <v>0</v>
      </c>
      <c r="DE645" s="824">
        <f t="shared" si="496"/>
        <v>0</v>
      </c>
      <c r="DF645" s="824">
        <f t="shared" si="496"/>
        <v>0</v>
      </c>
      <c r="DG645" s="824">
        <f t="shared" si="496"/>
        <v>0</v>
      </c>
      <c r="DH645" s="824">
        <f t="shared" si="496"/>
        <v>0</v>
      </c>
      <c r="DI645" s="824">
        <f t="shared" si="496"/>
        <v>0</v>
      </c>
      <c r="DJ645" s="824">
        <f t="shared" si="497"/>
        <v>0</v>
      </c>
      <c r="DK645" s="824">
        <f t="shared" si="497"/>
        <v>0</v>
      </c>
      <c r="DL645" s="824">
        <f t="shared" si="497"/>
        <v>0</v>
      </c>
    </row>
    <row r="646" spans="2:116" ht="12" thickBot="1" x14ac:dyDescent="0.3">
      <c r="B646" s="1673"/>
      <c r="C646" s="1680"/>
      <c r="D646" s="15" t="s">
        <v>1</v>
      </c>
      <c r="E646" s="116"/>
      <c r="F646" s="116">
        <f>SUBTOTAL(109,'3.3 I&amp;W'!$X$234)</f>
        <v>0</v>
      </c>
      <c r="G646" s="116">
        <f>SUBTOTAL(109,'3.3 I&amp;W'!$Y$234)</f>
        <v>0</v>
      </c>
      <c r="H646" s="116">
        <f>SUBTOTAL(109,'3.3 I&amp;W'!$AD$234)</f>
        <v>0</v>
      </c>
      <c r="I646" s="116">
        <f>SUBTOTAL(109,'3.3 I&amp;W'!$AE$234)</f>
        <v>0</v>
      </c>
      <c r="J646" s="116"/>
      <c r="K646" s="116"/>
      <c r="L646" s="116"/>
      <c r="M646" s="116">
        <f>SUBTOTAL(109,'3.3 I&amp;W'!$AI$234)</f>
        <v>0</v>
      </c>
      <c r="N646" s="156">
        <f t="shared" si="479"/>
        <v>0</v>
      </c>
      <c r="O646" s="116">
        <f ca="1">SUBTOTAL(109,'3.3 I&amp;W'!$S$234)</f>
        <v>0</v>
      </c>
      <c r="P646" s="30">
        <f t="shared" si="469"/>
        <v>0</v>
      </c>
      <c r="Q646" s="31">
        <f t="shared" si="470"/>
        <v>0</v>
      </c>
      <c r="R646" s="31">
        <f t="shared" si="471"/>
        <v>0</v>
      </c>
      <c r="S646" s="31">
        <f t="shared" si="472"/>
        <v>0</v>
      </c>
      <c r="T646" s="32">
        <f t="shared" si="473"/>
        <v>0</v>
      </c>
      <c r="U646" s="37">
        <f t="shared" si="492"/>
        <v>0</v>
      </c>
      <c r="V646" s="40">
        <f t="shared" si="474"/>
        <v>0</v>
      </c>
      <c r="W646" s="41">
        <f t="shared" si="475"/>
        <v>0</v>
      </c>
      <c r="X646" s="43"/>
      <c r="Y646" s="46"/>
      <c r="Z646" s="126"/>
      <c r="AA646" s="136"/>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824">
        <f t="shared" si="498"/>
        <v>0</v>
      </c>
      <c r="BM646" s="824">
        <f t="shared" si="499"/>
        <v>0</v>
      </c>
      <c r="BN646" s="824">
        <f t="shared" ca="1" si="500"/>
        <v>0</v>
      </c>
      <c r="BO646" s="824">
        <f t="shared" si="494"/>
        <v>0</v>
      </c>
      <c r="BP646" s="824">
        <f t="shared" si="494"/>
        <v>0</v>
      </c>
      <c r="BQ646" s="824">
        <f t="shared" si="494"/>
        <v>0</v>
      </c>
      <c r="BR646" s="824">
        <f t="shared" si="494"/>
        <v>0</v>
      </c>
      <c r="BS646" s="824">
        <f t="shared" si="494"/>
        <v>0</v>
      </c>
      <c r="BT646" s="824">
        <f t="shared" si="494"/>
        <v>0</v>
      </c>
      <c r="BU646" s="824">
        <f t="shared" si="494"/>
        <v>0</v>
      </c>
      <c r="BV646" s="824">
        <f t="shared" si="494"/>
        <v>0</v>
      </c>
      <c r="BW646" s="824">
        <f t="shared" si="494"/>
        <v>0</v>
      </c>
      <c r="BX646" s="824">
        <f t="shared" si="494"/>
        <v>0</v>
      </c>
      <c r="BY646" s="824">
        <f t="shared" si="494"/>
        <v>0</v>
      </c>
      <c r="BZ646" s="824">
        <f t="shared" si="494"/>
        <v>0</v>
      </c>
      <c r="CA646" s="824">
        <f t="shared" si="494"/>
        <v>0</v>
      </c>
      <c r="CB646" s="824">
        <f t="shared" si="494"/>
        <v>0</v>
      </c>
      <c r="CC646" s="824">
        <f t="shared" si="494"/>
        <v>0</v>
      </c>
      <c r="CD646" s="824">
        <f t="shared" si="494"/>
        <v>0</v>
      </c>
      <c r="CE646" s="824">
        <f t="shared" si="493"/>
        <v>0</v>
      </c>
      <c r="CF646" s="824">
        <f t="shared" si="493"/>
        <v>0</v>
      </c>
      <c r="CG646" s="824">
        <f t="shared" si="493"/>
        <v>0</v>
      </c>
      <c r="CH646" s="824">
        <f t="shared" si="493"/>
        <v>0</v>
      </c>
      <c r="CI646" s="824">
        <f t="shared" si="493"/>
        <v>0</v>
      </c>
      <c r="CJ646" s="824">
        <f t="shared" si="493"/>
        <v>0</v>
      </c>
      <c r="CK646" s="824">
        <f t="shared" si="493"/>
        <v>0</v>
      </c>
      <c r="CL646" s="824">
        <f t="shared" si="493"/>
        <v>0</v>
      </c>
      <c r="CM646" s="824">
        <f t="shared" si="493"/>
        <v>0</v>
      </c>
      <c r="CN646" s="824">
        <f t="shared" si="493"/>
        <v>0</v>
      </c>
      <c r="CO646" s="824">
        <f t="shared" si="493"/>
        <v>0</v>
      </c>
      <c r="CP646" s="824">
        <f t="shared" si="493"/>
        <v>0</v>
      </c>
      <c r="CQ646" s="824">
        <f t="shared" si="493"/>
        <v>0</v>
      </c>
      <c r="CR646" s="824">
        <f t="shared" si="493"/>
        <v>0</v>
      </c>
      <c r="CS646" s="824">
        <f t="shared" si="493"/>
        <v>0</v>
      </c>
      <c r="CT646" s="824">
        <f t="shared" si="496"/>
        <v>0</v>
      </c>
      <c r="CU646" s="824">
        <f t="shared" si="496"/>
        <v>0</v>
      </c>
      <c r="CV646" s="824">
        <f t="shared" si="496"/>
        <v>0</v>
      </c>
      <c r="CW646" s="824">
        <f t="shared" si="496"/>
        <v>0</v>
      </c>
      <c r="CX646" s="824">
        <f t="shared" si="496"/>
        <v>0</v>
      </c>
      <c r="CY646" s="824">
        <f t="shared" si="496"/>
        <v>0</v>
      </c>
      <c r="CZ646" s="824">
        <f t="shared" si="496"/>
        <v>0</v>
      </c>
      <c r="DA646" s="824">
        <f t="shared" si="496"/>
        <v>0</v>
      </c>
      <c r="DB646" s="824">
        <f t="shared" si="496"/>
        <v>0</v>
      </c>
      <c r="DC646" s="824">
        <f t="shared" si="496"/>
        <v>0</v>
      </c>
      <c r="DD646" s="824">
        <f t="shared" si="496"/>
        <v>0</v>
      </c>
      <c r="DE646" s="824">
        <f t="shared" si="496"/>
        <v>0</v>
      </c>
      <c r="DF646" s="824">
        <f t="shared" si="496"/>
        <v>0</v>
      </c>
      <c r="DG646" s="824">
        <f t="shared" si="496"/>
        <v>0</v>
      </c>
      <c r="DH646" s="824">
        <f t="shared" si="496"/>
        <v>0</v>
      </c>
      <c r="DI646" s="824">
        <f t="shared" si="496"/>
        <v>0</v>
      </c>
      <c r="DJ646" s="824">
        <f t="shared" si="497"/>
        <v>0</v>
      </c>
      <c r="DK646" s="824">
        <f t="shared" si="497"/>
        <v>0</v>
      </c>
      <c r="DL646" s="824">
        <f t="shared" si="497"/>
        <v>0</v>
      </c>
    </row>
    <row r="647" spans="2:116" ht="12" thickBot="1" x14ac:dyDescent="0.3">
      <c r="B647" s="1673"/>
      <c r="C647" s="1680"/>
      <c r="D647" s="183" t="s">
        <v>0</v>
      </c>
      <c r="E647" s="182"/>
      <c r="F647" s="11">
        <f>SUBTOTAL(109,'3.3 I&amp;W'!$X$238)</f>
        <v>0</v>
      </c>
      <c r="G647" s="11">
        <f>SUBTOTAL(109,'3.3 I&amp;W'!$Y$238)</f>
        <v>0</v>
      </c>
      <c r="H647" s="11">
        <f>SUBTOTAL(109,'3.3 I&amp;W'!$AD$238)</f>
        <v>0</v>
      </c>
      <c r="I647" s="11">
        <f>SUBTOTAL(109,'3.3 I&amp;W'!$AE$238)</f>
        <v>0</v>
      </c>
      <c r="J647" s="11"/>
      <c r="K647" s="11"/>
      <c r="L647" s="11"/>
      <c r="M647" s="11">
        <f>SUBTOTAL(109,'3.3 I&amp;W'!$AI$238)</f>
        <v>0</v>
      </c>
      <c r="N647" s="156">
        <f t="shared" si="479"/>
        <v>0</v>
      </c>
      <c r="O647" s="11">
        <f ca="1">SUBTOTAL(109,'3.3 I&amp;W'!$S$239)</f>
        <v>0</v>
      </c>
      <c r="P647" s="65">
        <f t="shared" si="469"/>
        <v>0</v>
      </c>
      <c r="Q647" s="66">
        <f t="shared" si="470"/>
        <v>0</v>
      </c>
      <c r="R647" s="66">
        <f t="shared" si="471"/>
        <v>0</v>
      </c>
      <c r="S647" s="66">
        <f t="shared" si="472"/>
        <v>0</v>
      </c>
      <c r="T647" s="67">
        <f t="shared" si="473"/>
        <v>0</v>
      </c>
      <c r="U647" s="37">
        <f t="shared" si="492"/>
        <v>0</v>
      </c>
      <c r="V647" s="40">
        <f t="shared" ref="V647:V663" si="501">G647*$I$169</f>
        <v>0</v>
      </c>
      <c r="W647" s="41">
        <f t="shared" ref="W647:W663" si="502">(I647+J647)*$I$167</f>
        <v>0</v>
      </c>
      <c r="X647" s="184"/>
      <c r="Y647" s="185"/>
      <c r="Z647" s="198"/>
      <c r="AA647" s="186"/>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824">
        <f t="shared" si="498"/>
        <v>0</v>
      </c>
      <c r="BM647" s="824">
        <f t="shared" si="499"/>
        <v>0</v>
      </c>
      <c r="BN647" s="824">
        <f t="shared" ca="1" si="500"/>
        <v>0</v>
      </c>
      <c r="BO647" s="824">
        <f t="shared" si="494"/>
        <v>0</v>
      </c>
      <c r="BP647" s="824">
        <f t="shared" si="494"/>
        <v>0</v>
      </c>
      <c r="BQ647" s="824">
        <f t="shared" si="494"/>
        <v>0</v>
      </c>
      <c r="BR647" s="824">
        <f t="shared" si="494"/>
        <v>0</v>
      </c>
      <c r="BS647" s="824">
        <f t="shared" si="494"/>
        <v>0</v>
      </c>
      <c r="BT647" s="824">
        <f t="shared" si="494"/>
        <v>0</v>
      </c>
      <c r="BU647" s="824">
        <f t="shared" si="494"/>
        <v>0</v>
      </c>
      <c r="BV647" s="824">
        <f t="shared" si="494"/>
        <v>0</v>
      </c>
      <c r="BW647" s="824">
        <f t="shared" si="494"/>
        <v>0</v>
      </c>
      <c r="BX647" s="824">
        <f t="shared" si="494"/>
        <v>0</v>
      </c>
      <c r="BY647" s="824">
        <f t="shared" si="494"/>
        <v>0</v>
      </c>
      <c r="BZ647" s="824">
        <f t="shared" si="494"/>
        <v>0</v>
      </c>
      <c r="CA647" s="824">
        <f t="shared" si="494"/>
        <v>0</v>
      </c>
      <c r="CB647" s="824">
        <f t="shared" si="494"/>
        <v>0</v>
      </c>
      <c r="CC647" s="824">
        <f t="shared" si="494"/>
        <v>0</v>
      </c>
      <c r="CD647" s="824">
        <f t="shared" ref="CD647:CS655" si="503">IF(OR(IF($BL647*1&lt;$BL$196,$BL647*1=CD$198,FALSE),IF($BL647*2&lt;$BL$196,$BL647*2=CD$198,FALSE),IF($BL647*3&lt;$BL$196,$BL647*3=CD$198,FALSE),IF($BL647*4&lt;$BL$196,$BL647*4=CD$198,FALSE),IF($BL647*5&lt;$BL$196,$BL647*5=CD$198,FALSE)),$BN647*$BM$196^CD$198,0)</f>
        <v>0</v>
      </c>
      <c r="CE647" s="824">
        <f t="shared" si="503"/>
        <v>0</v>
      </c>
      <c r="CF647" s="824">
        <f t="shared" si="503"/>
        <v>0</v>
      </c>
      <c r="CG647" s="824">
        <f t="shared" si="503"/>
        <v>0</v>
      </c>
      <c r="CH647" s="824">
        <f t="shared" si="503"/>
        <v>0</v>
      </c>
      <c r="CI647" s="824">
        <f t="shared" si="503"/>
        <v>0</v>
      </c>
      <c r="CJ647" s="824">
        <f t="shared" si="503"/>
        <v>0</v>
      </c>
      <c r="CK647" s="824">
        <f t="shared" si="503"/>
        <v>0</v>
      </c>
      <c r="CL647" s="824">
        <f t="shared" si="503"/>
        <v>0</v>
      </c>
      <c r="CM647" s="824">
        <f t="shared" si="503"/>
        <v>0</v>
      </c>
      <c r="CN647" s="824">
        <f t="shared" si="503"/>
        <v>0</v>
      </c>
      <c r="CO647" s="824">
        <f t="shared" si="503"/>
        <v>0</v>
      </c>
      <c r="CP647" s="824">
        <f t="shared" si="503"/>
        <v>0</v>
      </c>
      <c r="CQ647" s="824">
        <f t="shared" si="503"/>
        <v>0</v>
      </c>
      <c r="CR647" s="824">
        <f t="shared" si="503"/>
        <v>0</v>
      </c>
      <c r="CS647" s="824">
        <f t="shared" si="503"/>
        <v>0</v>
      </c>
      <c r="CT647" s="824">
        <f t="shared" si="496"/>
        <v>0</v>
      </c>
      <c r="CU647" s="824">
        <f t="shared" si="496"/>
        <v>0</v>
      </c>
      <c r="CV647" s="824">
        <f t="shared" si="496"/>
        <v>0</v>
      </c>
      <c r="CW647" s="824">
        <f t="shared" si="496"/>
        <v>0</v>
      </c>
      <c r="CX647" s="824">
        <f t="shared" si="496"/>
        <v>0</v>
      </c>
      <c r="CY647" s="824">
        <f t="shared" si="496"/>
        <v>0</v>
      </c>
      <c r="CZ647" s="824">
        <f t="shared" si="496"/>
        <v>0</v>
      </c>
      <c r="DA647" s="824">
        <f t="shared" si="496"/>
        <v>0</v>
      </c>
      <c r="DB647" s="824">
        <f t="shared" si="496"/>
        <v>0</v>
      </c>
      <c r="DC647" s="824">
        <f t="shared" si="496"/>
        <v>0</v>
      </c>
      <c r="DD647" s="824">
        <f t="shared" si="496"/>
        <v>0</v>
      </c>
      <c r="DE647" s="824">
        <f t="shared" si="496"/>
        <v>0</v>
      </c>
      <c r="DF647" s="824">
        <f t="shared" si="496"/>
        <v>0</v>
      </c>
      <c r="DG647" s="824">
        <f t="shared" si="496"/>
        <v>0</v>
      </c>
      <c r="DH647" s="824">
        <f t="shared" si="496"/>
        <v>0</v>
      </c>
      <c r="DI647" s="824">
        <f t="shared" si="496"/>
        <v>0</v>
      </c>
      <c r="DJ647" s="824">
        <f t="shared" si="497"/>
        <v>0</v>
      </c>
      <c r="DK647" s="824">
        <f t="shared" si="497"/>
        <v>0</v>
      </c>
      <c r="DL647" s="824">
        <f t="shared" si="497"/>
        <v>0</v>
      </c>
    </row>
    <row r="648" spans="2:116" ht="12" thickBot="1" x14ac:dyDescent="0.3">
      <c r="B648" s="1673"/>
      <c r="C648" s="1060"/>
      <c r="D648" s="199">
        <f>'3.2 I&amp;W'!F584:F584</f>
        <v>0</v>
      </c>
      <c r="E648" s="116"/>
      <c r="F648" s="11">
        <f ca="1">SUBTOTAL(109,'3.3 I&amp;W'!$X$246)</f>
        <v>0</v>
      </c>
      <c r="G648" s="11">
        <f ca="1">SUBTOTAL(109,'3.3 I&amp;W'!$Y$246)</f>
        <v>0</v>
      </c>
      <c r="H648" s="11">
        <f ca="1">SUBTOTAL(109,'3.3 I&amp;W'!$AD$246)</f>
        <v>0</v>
      </c>
      <c r="I648" s="11">
        <f ca="1">SUBTOTAL(109,'3.3 I&amp;W'!$AE$246)</f>
        <v>0</v>
      </c>
      <c r="J648" s="116"/>
      <c r="K648" s="116"/>
      <c r="L648" s="116"/>
      <c r="M648" s="11">
        <f ca="1">SUBTOTAL(109,'3.3 I&amp;W'!$AI$246)</f>
        <v>100</v>
      </c>
      <c r="N648" s="156">
        <f t="shared" ca="1" si="479"/>
        <v>0</v>
      </c>
      <c r="O648" s="200">
        <f ca="1">SUBTOTAL(109,'3.3 I&amp;W'!$S$246)</f>
        <v>1116603.8639999998</v>
      </c>
      <c r="P648" s="65">
        <f ca="1">IF(N648&gt;=1,O648*$G$158^(1*M648)/($G$157^(1*M648)),0)</f>
        <v>0</v>
      </c>
      <c r="Q648" s="66">
        <f ca="1">IF(N648&gt;=2,O648*$G$158^(2*M648)/($G$157^(2*M648)),0)</f>
        <v>0</v>
      </c>
      <c r="R648" s="66">
        <f ca="1">IF(N648&gt;=3,O648*$G$158^(3*M648)/($G$157^(3*M648)),0)</f>
        <v>0</v>
      </c>
      <c r="S648" s="66">
        <f ca="1">IF(N648&gt;=4,O648*$G$158^(4*M648)/($G$157^(4*M648)),0)</f>
        <v>0</v>
      </c>
      <c r="T648" s="67">
        <f ca="1">IF(N648&gt;=5,O648*$G$158^(5*M648)/($G$157^(5*M648)),0)</f>
        <v>0</v>
      </c>
      <c r="U648" s="37">
        <f ca="1">IF(M648=0,0,O648*$G$158^(N648*M648)*((N648+1)*M648-$G$154)/M648*(1/$G$157^$G$154))</f>
        <v>362916.29736939806</v>
      </c>
      <c r="V648" s="40">
        <f t="shared" ca="1" si="501"/>
        <v>0</v>
      </c>
      <c r="W648" s="41">
        <f t="shared" ca="1" si="502"/>
        <v>0</v>
      </c>
      <c r="X648" s="197"/>
      <c r="Y648" s="193"/>
      <c r="Z648" s="48"/>
      <c r="AA648" s="194"/>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824">
        <f t="shared" ca="1" si="498"/>
        <v>100</v>
      </c>
      <c r="BM648" s="824">
        <f t="shared" ca="1" si="499"/>
        <v>0</v>
      </c>
      <c r="BN648" s="824">
        <f t="shared" ca="1" si="500"/>
        <v>1116603.8639999998</v>
      </c>
      <c r="BO648" s="824">
        <f t="shared" ref="BO648:CD655" ca="1" si="504">IF(OR(IF($BL648*1&lt;$BL$196,$BL648*1=BO$198,FALSE),IF($BL648*2&lt;$BL$196,$BL648*2=BO$198,FALSE),IF($BL648*3&lt;$BL$196,$BL648*3=BO$198,FALSE),IF($BL648*4&lt;$BL$196,$BL648*4=BO$198,FALSE),IF($BL648*5&lt;$BL$196,$BL648*5=BO$198,FALSE)),$BN648*$BM$196^BO$198,0)</f>
        <v>0</v>
      </c>
      <c r="BP648" s="824">
        <f t="shared" ca="1" si="504"/>
        <v>0</v>
      </c>
      <c r="BQ648" s="824">
        <f t="shared" ca="1" si="504"/>
        <v>0</v>
      </c>
      <c r="BR648" s="824">
        <f t="shared" ca="1" si="504"/>
        <v>0</v>
      </c>
      <c r="BS648" s="824">
        <f t="shared" ca="1" si="504"/>
        <v>0</v>
      </c>
      <c r="BT648" s="824">
        <f t="shared" ca="1" si="504"/>
        <v>0</v>
      </c>
      <c r="BU648" s="824">
        <f t="shared" ca="1" si="504"/>
        <v>0</v>
      </c>
      <c r="BV648" s="824">
        <f t="shared" ca="1" si="504"/>
        <v>0</v>
      </c>
      <c r="BW648" s="824">
        <f t="shared" ca="1" si="504"/>
        <v>0</v>
      </c>
      <c r="BX648" s="824">
        <f t="shared" ca="1" si="504"/>
        <v>0</v>
      </c>
      <c r="BY648" s="824">
        <f t="shared" ca="1" si="504"/>
        <v>0</v>
      </c>
      <c r="BZ648" s="824">
        <f t="shared" ca="1" si="504"/>
        <v>0</v>
      </c>
      <c r="CA648" s="824">
        <f t="shared" ca="1" si="504"/>
        <v>0</v>
      </c>
      <c r="CB648" s="824">
        <f t="shared" ca="1" si="504"/>
        <v>0</v>
      </c>
      <c r="CC648" s="824">
        <f t="shared" ca="1" si="504"/>
        <v>0</v>
      </c>
      <c r="CD648" s="824">
        <f t="shared" ca="1" si="504"/>
        <v>0</v>
      </c>
      <c r="CE648" s="824">
        <f t="shared" ca="1" si="503"/>
        <v>0</v>
      </c>
      <c r="CF648" s="824">
        <f t="shared" ca="1" si="503"/>
        <v>0</v>
      </c>
      <c r="CG648" s="824">
        <f t="shared" ca="1" si="503"/>
        <v>0</v>
      </c>
      <c r="CH648" s="824">
        <f t="shared" ca="1" si="503"/>
        <v>0</v>
      </c>
      <c r="CI648" s="824">
        <f t="shared" ca="1" si="503"/>
        <v>0</v>
      </c>
      <c r="CJ648" s="824">
        <f t="shared" ca="1" si="503"/>
        <v>0</v>
      </c>
      <c r="CK648" s="824">
        <f t="shared" ca="1" si="503"/>
        <v>0</v>
      </c>
      <c r="CL648" s="824">
        <f t="shared" ca="1" si="503"/>
        <v>0</v>
      </c>
      <c r="CM648" s="824">
        <f t="shared" ca="1" si="503"/>
        <v>0</v>
      </c>
      <c r="CN648" s="824">
        <f t="shared" ca="1" si="503"/>
        <v>0</v>
      </c>
      <c r="CO648" s="824">
        <f t="shared" ca="1" si="503"/>
        <v>0</v>
      </c>
      <c r="CP648" s="824">
        <f t="shared" ca="1" si="503"/>
        <v>0</v>
      </c>
      <c r="CQ648" s="824">
        <f t="shared" ca="1" si="503"/>
        <v>0</v>
      </c>
      <c r="CR648" s="824">
        <f t="shared" ca="1" si="503"/>
        <v>0</v>
      </c>
      <c r="CS648" s="824">
        <f t="shared" ca="1" si="503"/>
        <v>0</v>
      </c>
      <c r="CT648" s="824">
        <f t="shared" ca="1" si="496"/>
        <v>0</v>
      </c>
      <c r="CU648" s="824">
        <f t="shared" ca="1" si="496"/>
        <v>0</v>
      </c>
      <c r="CV648" s="824">
        <f t="shared" ca="1" si="496"/>
        <v>0</v>
      </c>
      <c r="CW648" s="824">
        <f t="shared" ca="1" si="496"/>
        <v>0</v>
      </c>
      <c r="CX648" s="824">
        <f t="shared" ca="1" si="496"/>
        <v>0</v>
      </c>
      <c r="CY648" s="824">
        <f t="shared" ca="1" si="496"/>
        <v>0</v>
      </c>
      <c r="CZ648" s="824">
        <f t="shared" ca="1" si="496"/>
        <v>0</v>
      </c>
      <c r="DA648" s="824">
        <f t="shared" ca="1" si="496"/>
        <v>0</v>
      </c>
      <c r="DB648" s="824">
        <f t="shared" ca="1" si="496"/>
        <v>0</v>
      </c>
      <c r="DC648" s="824">
        <f t="shared" ca="1" si="496"/>
        <v>0</v>
      </c>
      <c r="DD648" s="824">
        <f t="shared" ca="1" si="496"/>
        <v>0</v>
      </c>
      <c r="DE648" s="824">
        <f t="shared" ca="1" si="496"/>
        <v>0</v>
      </c>
      <c r="DF648" s="824">
        <f t="shared" ca="1" si="496"/>
        <v>0</v>
      </c>
      <c r="DG648" s="824">
        <f t="shared" ca="1" si="496"/>
        <v>0</v>
      </c>
      <c r="DH648" s="824">
        <f t="shared" ca="1" si="496"/>
        <v>0</v>
      </c>
      <c r="DI648" s="824">
        <f t="shared" ref="DI648" ca="1" si="505">IF(OR(IF($BL648*1&lt;$BL$196,$BL648*1=DI$198,FALSE),IF($BL648*2&lt;$BL$196,$BL648*2=DI$198,FALSE),IF($BL648*3&lt;$BL$196,$BL648*3=DI$198,FALSE),IF($BL648*4&lt;$BL$196,$BL648*4=DI$198,FALSE),IF($BL648*5&lt;$BL$196,$BL648*5=DI$198,FALSE)),$BN648*$BM$196^DI$198,0)</f>
        <v>0</v>
      </c>
      <c r="DJ648" s="824">
        <f t="shared" ca="1" si="497"/>
        <v>0</v>
      </c>
      <c r="DK648" s="824">
        <f t="shared" ca="1" si="497"/>
        <v>0</v>
      </c>
      <c r="DL648" s="824">
        <f t="shared" ca="1" si="497"/>
        <v>0</v>
      </c>
    </row>
    <row r="649" spans="2:116" ht="12" thickBot="1" x14ac:dyDescent="0.3">
      <c r="B649" s="1673"/>
      <c r="C649" s="1060"/>
      <c r="D649" s="199">
        <f>'3.2 I&amp;W'!F585:F585</f>
        <v>0</v>
      </c>
      <c r="E649" s="116"/>
      <c r="F649" s="11">
        <f ca="1">SUBTOTAL(109,'3.3 I&amp;W'!$X$247)</f>
        <v>0</v>
      </c>
      <c r="G649" s="11">
        <f ca="1">SUBTOTAL(109,'3.3 I&amp;W'!$Y$247)</f>
        <v>0</v>
      </c>
      <c r="H649" s="11">
        <f ca="1">SUBTOTAL(109,'3.3 I&amp;W'!$AD$247)</f>
        <v>0</v>
      </c>
      <c r="I649" s="11">
        <f ca="1">SUBTOTAL(109,'3.3 I&amp;W'!$AE$247)</f>
        <v>0</v>
      </c>
      <c r="J649" s="116"/>
      <c r="K649" s="116"/>
      <c r="L649" s="116"/>
      <c r="M649" s="11">
        <f ca="1">SUBTOTAL(109,'3.3 I&amp;W'!$AI$247)</f>
        <v>50</v>
      </c>
      <c r="N649" s="156">
        <f t="shared" ca="1" si="479"/>
        <v>0</v>
      </c>
      <c r="O649" s="200">
        <f ca="1">SUBTOTAL(109,'3.3 I&amp;W'!$S$247)</f>
        <v>22720.5</v>
      </c>
      <c r="P649" s="65">
        <f ca="1">IF(N649&gt;=1,O649*$G$158^(1*M649)/($G$157^(1*M649)),0)</f>
        <v>0</v>
      </c>
      <c r="Q649" s="66">
        <f ca="1">IF(N649&gt;=2,O649*$G$158^(2*M649)/($G$157^(2*M649)),0)</f>
        <v>0</v>
      </c>
      <c r="R649" s="66">
        <f ca="1">IF(N649&gt;=3,O649*$G$158^(3*M649)/($G$157^(3*M649)),0)</f>
        <v>0</v>
      </c>
      <c r="S649" s="66">
        <f ca="1">IF(N649&gt;=4,O649*$G$158^(4*M649)/($G$157^(4*M649)),0)</f>
        <v>0</v>
      </c>
      <c r="T649" s="67">
        <f ca="1">IF(N649&gt;=5,O649*$G$158^(5*M649)/($G$157^(5*M649)),0)</f>
        <v>0</v>
      </c>
      <c r="U649" s="37">
        <f ca="1">IF(M649=0,0,O649*$G$158^(N649*M649)*((N649+1)*M649-$G$154)/M649*(1/$G$157^$G$154))</f>
        <v>3408.2632167989746</v>
      </c>
      <c r="V649" s="40">
        <f t="shared" ca="1" si="501"/>
        <v>0</v>
      </c>
      <c r="W649" s="41">
        <f t="shared" ca="1" si="502"/>
        <v>0</v>
      </c>
      <c r="X649" s="191"/>
      <c r="Y649" s="193"/>
      <c r="Z649" s="48"/>
      <c r="AA649" s="194"/>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824">
        <f t="shared" ca="1" si="498"/>
        <v>50</v>
      </c>
      <c r="BM649" s="824">
        <f t="shared" ca="1" si="499"/>
        <v>0</v>
      </c>
      <c r="BN649" s="824">
        <f t="shared" ca="1" si="500"/>
        <v>22720.5</v>
      </c>
      <c r="BO649" s="824">
        <f t="shared" ca="1" si="504"/>
        <v>0</v>
      </c>
      <c r="BP649" s="824">
        <f t="shared" ca="1" si="504"/>
        <v>0</v>
      </c>
      <c r="BQ649" s="824">
        <f t="shared" ca="1" si="504"/>
        <v>0</v>
      </c>
      <c r="BR649" s="824">
        <f t="shared" ca="1" si="504"/>
        <v>0</v>
      </c>
      <c r="BS649" s="824">
        <f t="shared" ca="1" si="504"/>
        <v>0</v>
      </c>
      <c r="BT649" s="824">
        <f t="shared" ca="1" si="504"/>
        <v>0</v>
      </c>
      <c r="BU649" s="824">
        <f t="shared" ca="1" si="504"/>
        <v>0</v>
      </c>
      <c r="BV649" s="824">
        <f t="shared" ca="1" si="504"/>
        <v>0</v>
      </c>
      <c r="BW649" s="824">
        <f t="shared" ca="1" si="504"/>
        <v>0</v>
      </c>
      <c r="BX649" s="824">
        <f t="shared" ca="1" si="504"/>
        <v>0</v>
      </c>
      <c r="BY649" s="824">
        <f t="shared" ca="1" si="504"/>
        <v>0</v>
      </c>
      <c r="BZ649" s="824">
        <f t="shared" ca="1" si="504"/>
        <v>0</v>
      </c>
      <c r="CA649" s="824">
        <f t="shared" ca="1" si="504"/>
        <v>0</v>
      </c>
      <c r="CB649" s="824">
        <f t="shared" ca="1" si="504"/>
        <v>0</v>
      </c>
      <c r="CC649" s="824">
        <f t="shared" ca="1" si="504"/>
        <v>0</v>
      </c>
      <c r="CD649" s="824">
        <f t="shared" ca="1" si="504"/>
        <v>0</v>
      </c>
      <c r="CE649" s="824">
        <f t="shared" ca="1" si="503"/>
        <v>0</v>
      </c>
      <c r="CF649" s="824">
        <f t="shared" ca="1" si="503"/>
        <v>0</v>
      </c>
      <c r="CG649" s="824">
        <f t="shared" ca="1" si="503"/>
        <v>0</v>
      </c>
      <c r="CH649" s="824">
        <f t="shared" ca="1" si="503"/>
        <v>0</v>
      </c>
      <c r="CI649" s="824">
        <f t="shared" ca="1" si="503"/>
        <v>0</v>
      </c>
      <c r="CJ649" s="824">
        <f t="shared" ca="1" si="503"/>
        <v>0</v>
      </c>
      <c r="CK649" s="824">
        <f t="shared" ca="1" si="503"/>
        <v>0</v>
      </c>
      <c r="CL649" s="824">
        <f t="shared" ca="1" si="503"/>
        <v>0</v>
      </c>
      <c r="CM649" s="824">
        <f t="shared" ca="1" si="503"/>
        <v>0</v>
      </c>
      <c r="CN649" s="824">
        <f t="shared" ca="1" si="503"/>
        <v>0</v>
      </c>
      <c r="CO649" s="824">
        <f t="shared" ca="1" si="503"/>
        <v>0</v>
      </c>
      <c r="CP649" s="824">
        <f t="shared" ca="1" si="503"/>
        <v>0</v>
      </c>
      <c r="CQ649" s="824">
        <f t="shared" ca="1" si="503"/>
        <v>0</v>
      </c>
      <c r="CR649" s="824">
        <f t="shared" ca="1" si="503"/>
        <v>0</v>
      </c>
      <c r="CS649" s="824">
        <f t="shared" ca="1" si="503"/>
        <v>0</v>
      </c>
      <c r="CT649" s="824">
        <f t="shared" ref="CT649:DI655" ca="1" si="506">IF(OR(IF($BL649*1&lt;$BL$196,$BL649*1=CT$198,FALSE),IF($BL649*2&lt;$BL$196,$BL649*2=CT$198,FALSE),IF($BL649*3&lt;$BL$196,$BL649*3=CT$198,FALSE),IF($BL649*4&lt;$BL$196,$BL649*4=CT$198,FALSE),IF($BL649*5&lt;$BL$196,$BL649*5=CT$198,FALSE)),$BN649*$BM$196^CT$198,0)</f>
        <v>0</v>
      </c>
      <c r="CU649" s="824">
        <f t="shared" ca="1" si="506"/>
        <v>0</v>
      </c>
      <c r="CV649" s="824">
        <f t="shared" ca="1" si="506"/>
        <v>0</v>
      </c>
      <c r="CW649" s="824">
        <f t="shared" ca="1" si="506"/>
        <v>0</v>
      </c>
      <c r="CX649" s="824">
        <f t="shared" ca="1" si="506"/>
        <v>0</v>
      </c>
      <c r="CY649" s="824">
        <f t="shared" ca="1" si="506"/>
        <v>0</v>
      </c>
      <c r="CZ649" s="824">
        <f t="shared" ca="1" si="506"/>
        <v>0</v>
      </c>
      <c r="DA649" s="824">
        <f t="shared" ca="1" si="506"/>
        <v>0</v>
      </c>
      <c r="DB649" s="824">
        <f t="shared" ca="1" si="506"/>
        <v>0</v>
      </c>
      <c r="DC649" s="824">
        <f t="shared" ca="1" si="506"/>
        <v>0</v>
      </c>
      <c r="DD649" s="824">
        <f t="shared" ca="1" si="506"/>
        <v>0</v>
      </c>
      <c r="DE649" s="824">
        <f t="shared" ca="1" si="506"/>
        <v>0</v>
      </c>
      <c r="DF649" s="824">
        <f t="shared" ca="1" si="506"/>
        <v>0</v>
      </c>
      <c r="DG649" s="824">
        <f t="shared" ca="1" si="506"/>
        <v>0</v>
      </c>
      <c r="DH649" s="824">
        <f t="shared" ca="1" si="506"/>
        <v>0</v>
      </c>
      <c r="DI649" s="824">
        <f t="shared" ca="1" si="506"/>
        <v>0</v>
      </c>
      <c r="DJ649" s="824">
        <f t="shared" ca="1" si="497"/>
        <v>0</v>
      </c>
      <c r="DK649" s="824">
        <f t="shared" ca="1" si="497"/>
        <v>0</v>
      </c>
      <c r="DL649" s="824">
        <f t="shared" ca="1" si="497"/>
        <v>0</v>
      </c>
    </row>
    <row r="650" spans="2:116" ht="12" thickBot="1" x14ac:dyDescent="0.3">
      <c r="B650" s="1673"/>
      <c r="C650" s="1060"/>
      <c r="D650" s="199">
        <f>'3.2 I&amp;W'!F586:F586</f>
        <v>0</v>
      </c>
      <c r="E650" s="116"/>
      <c r="F650" s="11">
        <f ca="1">SUBTOTAL(109,'3.3 I&amp;W'!$X$248)</f>
        <v>0</v>
      </c>
      <c r="G650" s="11">
        <f ca="1">SUBTOTAL(109,'3.3 I&amp;W'!$Y$248)</f>
        <v>0</v>
      </c>
      <c r="H650" s="11">
        <f ca="1">SUBTOTAL(109,'3.3 I&amp;W'!$AD$248)</f>
        <v>0</v>
      </c>
      <c r="I650" s="11">
        <f ca="1">SUBTOTAL(109,'3.3 I&amp;W'!$AE$248)</f>
        <v>0</v>
      </c>
      <c r="J650" s="116"/>
      <c r="K650" s="116"/>
      <c r="L650" s="116"/>
      <c r="M650" s="11">
        <f ca="1">SUBTOTAL(109,'3.3 I&amp;W'!$AI$248)</f>
        <v>100</v>
      </c>
      <c r="N650" s="156">
        <f t="shared" ca="1" si="479"/>
        <v>0</v>
      </c>
      <c r="O650" s="200">
        <f ca="1">SUBTOTAL(109,'3.3 I&amp;W'!$S$248)</f>
        <v>507862.68</v>
      </c>
      <c r="P650" s="65">
        <f ca="1">IF(N650&gt;=1,O650*$G$158^(1*M650)/($G$157^(1*M650)),0)</f>
        <v>0</v>
      </c>
      <c r="Q650" s="66">
        <f ca="1">IF(N650&gt;=2,O650*$G$158^(2*M650)/($G$157^(2*M650)),0)</f>
        <v>0</v>
      </c>
      <c r="R650" s="66">
        <f ca="1">IF(N650&gt;=3,O650*$G$158^(3*M650)/($G$157^(3*M650)),0)</f>
        <v>0</v>
      </c>
      <c r="S650" s="66">
        <f ca="1">IF(N650&gt;=4,O650*$G$158^(4*M650)/($G$157^(4*M650)),0)</f>
        <v>0</v>
      </c>
      <c r="T650" s="67">
        <f ca="1">IF(N650&gt;=5,O650*$G$158^(5*M650)/($G$157^(5*M650)),0)</f>
        <v>0</v>
      </c>
      <c r="U650" s="37">
        <f ca="1">IF(M650=0,0,O650*$G$158^(N650*M650)*((N650+1)*M650-$G$154)/M650*(1/$G$157^$G$154))</f>
        <v>165064.48646652675</v>
      </c>
      <c r="V650" s="40">
        <f t="shared" ca="1" si="501"/>
        <v>0</v>
      </c>
      <c r="W650" s="41">
        <f t="shared" ca="1" si="502"/>
        <v>0</v>
      </c>
      <c r="X650" s="191"/>
      <c r="Y650" s="193"/>
      <c r="Z650" s="48"/>
      <c r="AA650" s="194"/>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824">
        <f t="shared" ca="1" si="498"/>
        <v>100</v>
      </c>
      <c r="BM650" s="824">
        <f t="shared" ca="1" si="499"/>
        <v>0</v>
      </c>
      <c r="BN650" s="824">
        <f t="shared" ca="1" si="500"/>
        <v>507862.68</v>
      </c>
      <c r="BO650" s="824">
        <f t="shared" ca="1" si="504"/>
        <v>0</v>
      </c>
      <c r="BP650" s="824">
        <f t="shared" ca="1" si="504"/>
        <v>0</v>
      </c>
      <c r="BQ650" s="824">
        <f t="shared" ca="1" si="504"/>
        <v>0</v>
      </c>
      <c r="BR650" s="824">
        <f t="shared" ca="1" si="504"/>
        <v>0</v>
      </c>
      <c r="BS650" s="824">
        <f t="shared" ca="1" si="504"/>
        <v>0</v>
      </c>
      <c r="BT650" s="824">
        <f t="shared" ca="1" si="504"/>
        <v>0</v>
      </c>
      <c r="BU650" s="824">
        <f t="shared" ca="1" si="504"/>
        <v>0</v>
      </c>
      <c r="BV650" s="824">
        <f t="shared" ca="1" si="504"/>
        <v>0</v>
      </c>
      <c r="BW650" s="824">
        <f t="shared" ca="1" si="504"/>
        <v>0</v>
      </c>
      <c r="BX650" s="824">
        <f t="shared" ca="1" si="504"/>
        <v>0</v>
      </c>
      <c r="BY650" s="824">
        <f t="shared" ca="1" si="504"/>
        <v>0</v>
      </c>
      <c r="BZ650" s="824">
        <f t="shared" ca="1" si="504"/>
        <v>0</v>
      </c>
      <c r="CA650" s="824">
        <f t="shared" ca="1" si="504"/>
        <v>0</v>
      </c>
      <c r="CB650" s="824">
        <f t="shared" ca="1" si="504"/>
        <v>0</v>
      </c>
      <c r="CC650" s="824">
        <f t="shared" ca="1" si="504"/>
        <v>0</v>
      </c>
      <c r="CD650" s="824">
        <f t="shared" ca="1" si="504"/>
        <v>0</v>
      </c>
      <c r="CE650" s="824">
        <f t="shared" ca="1" si="503"/>
        <v>0</v>
      </c>
      <c r="CF650" s="824">
        <f t="shared" ca="1" si="503"/>
        <v>0</v>
      </c>
      <c r="CG650" s="824">
        <f t="shared" ca="1" si="503"/>
        <v>0</v>
      </c>
      <c r="CH650" s="824">
        <f t="shared" ca="1" si="503"/>
        <v>0</v>
      </c>
      <c r="CI650" s="824">
        <f t="shared" ca="1" si="503"/>
        <v>0</v>
      </c>
      <c r="CJ650" s="824">
        <f t="shared" ca="1" si="503"/>
        <v>0</v>
      </c>
      <c r="CK650" s="824">
        <f t="shared" ca="1" si="503"/>
        <v>0</v>
      </c>
      <c r="CL650" s="824">
        <f t="shared" ca="1" si="503"/>
        <v>0</v>
      </c>
      <c r="CM650" s="824">
        <f t="shared" ca="1" si="503"/>
        <v>0</v>
      </c>
      <c r="CN650" s="824">
        <f t="shared" ca="1" si="503"/>
        <v>0</v>
      </c>
      <c r="CO650" s="824">
        <f t="shared" ca="1" si="503"/>
        <v>0</v>
      </c>
      <c r="CP650" s="824">
        <f t="shared" ca="1" si="503"/>
        <v>0</v>
      </c>
      <c r="CQ650" s="824">
        <f t="shared" ca="1" si="503"/>
        <v>0</v>
      </c>
      <c r="CR650" s="824">
        <f t="shared" ca="1" si="503"/>
        <v>0</v>
      </c>
      <c r="CS650" s="824">
        <f t="shared" ca="1" si="503"/>
        <v>0</v>
      </c>
      <c r="CT650" s="824">
        <f t="shared" ca="1" si="506"/>
        <v>0</v>
      </c>
      <c r="CU650" s="824">
        <f t="shared" ca="1" si="506"/>
        <v>0</v>
      </c>
      <c r="CV650" s="824">
        <f t="shared" ca="1" si="506"/>
        <v>0</v>
      </c>
      <c r="CW650" s="824">
        <f t="shared" ca="1" si="506"/>
        <v>0</v>
      </c>
      <c r="CX650" s="824">
        <f t="shared" ca="1" si="506"/>
        <v>0</v>
      </c>
      <c r="CY650" s="824">
        <f t="shared" ca="1" si="506"/>
        <v>0</v>
      </c>
      <c r="CZ650" s="824">
        <f t="shared" ca="1" si="506"/>
        <v>0</v>
      </c>
      <c r="DA650" s="824">
        <f t="shared" ca="1" si="506"/>
        <v>0</v>
      </c>
      <c r="DB650" s="824">
        <f t="shared" ca="1" si="506"/>
        <v>0</v>
      </c>
      <c r="DC650" s="824">
        <f t="shared" ca="1" si="506"/>
        <v>0</v>
      </c>
      <c r="DD650" s="824">
        <f t="shared" ca="1" si="506"/>
        <v>0</v>
      </c>
      <c r="DE650" s="824">
        <f t="shared" ca="1" si="506"/>
        <v>0</v>
      </c>
      <c r="DF650" s="824">
        <f t="shared" ca="1" si="506"/>
        <v>0</v>
      </c>
      <c r="DG650" s="824">
        <f t="shared" ca="1" si="506"/>
        <v>0</v>
      </c>
      <c r="DH650" s="824">
        <f t="shared" ca="1" si="506"/>
        <v>0</v>
      </c>
      <c r="DI650" s="824">
        <f t="shared" ca="1" si="506"/>
        <v>0</v>
      </c>
      <c r="DJ650" s="824">
        <f t="shared" ca="1" si="497"/>
        <v>0</v>
      </c>
      <c r="DK650" s="824">
        <f t="shared" ca="1" si="497"/>
        <v>0</v>
      </c>
      <c r="DL650" s="824">
        <f t="shared" ca="1" si="497"/>
        <v>0</v>
      </c>
    </row>
    <row r="651" spans="2:116" ht="12" thickBot="1" x14ac:dyDescent="0.3">
      <c r="B651" s="1673"/>
      <c r="C651" s="1060"/>
      <c r="D651" s="199">
        <f>'3.2 I&amp;W'!F587:F587</f>
        <v>0</v>
      </c>
      <c r="E651" s="116"/>
      <c r="F651" s="11">
        <f ca="1">SUBTOTAL(109,'3.3 I&amp;W'!$X$249)</f>
        <v>0</v>
      </c>
      <c r="G651" s="11">
        <f ca="1">SUBTOTAL(109,'3.3 I&amp;W'!$Y$249)</f>
        <v>0</v>
      </c>
      <c r="H651" s="11">
        <f ca="1">SUBTOTAL(109,'3.3 I&amp;W'!$AD$249)</f>
        <v>0</v>
      </c>
      <c r="I651" s="11">
        <f ca="1">SUBTOTAL(109,'3.3 I&amp;W'!$AE$249)</f>
        <v>0</v>
      </c>
      <c r="J651" s="116"/>
      <c r="K651" s="116"/>
      <c r="L651" s="116"/>
      <c r="M651" s="11">
        <f ca="1">SUBTOTAL(109,'3.3 I&amp;W'!$AI$249)</f>
        <v>50</v>
      </c>
      <c r="N651" s="156">
        <f t="shared" ca="1" si="479"/>
        <v>0</v>
      </c>
      <c r="O651" s="200">
        <f ca="1">SUBTOTAL(109,'3.3 I&amp;W'!$S$249)</f>
        <v>138950.43599999999</v>
      </c>
      <c r="P651" s="65">
        <f ca="1">IF(N651&gt;=1,O651*$G$158^(1*M651)/($G$157^(1*M651)),0)</f>
        <v>0</v>
      </c>
      <c r="Q651" s="66">
        <f ca="1">IF(N651&gt;=2,O651*$G$158^(2*M651)/($G$157^(2*M651)),0)</f>
        <v>0</v>
      </c>
      <c r="R651" s="66">
        <f ca="1">IF(N651&gt;=3,O651*$G$158^(3*M651)/($G$157^(3*M651)),0)</f>
        <v>0</v>
      </c>
      <c r="S651" s="66">
        <f ca="1">IF(N651&gt;=4,O651*$G$158^(4*M651)/($G$157^(4*M651)),0)</f>
        <v>0</v>
      </c>
      <c r="T651" s="67">
        <f ca="1">IF(N651&gt;=5,O651*$G$158^(5*M651)/($G$157^(5*M651)),0)</f>
        <v>0</v>
      </c>
      <c r="U651" s="37">
        <f ca="1">IF(M651=0,0,O651*$G$158^(N651*M651)*((N651+1)*M651-$G$154)/M651*(1/$G$157^$G$154))</f>
        <v>20843.716466494137</v>
      </c>
      <c r="V651" s="40">
        <f t="shared" ca="1" si="501"/>
        <v>0</v>
      </c>
      <c r="W651" s="41">
        <f t="shared" ca="1" si="502"/>
        <v>0</v>
      </c>
      <c r="X651" s="191"/>
      <c r="Y651" s="193"/>
      <c r="Z651" s="48"/>
      <c r="AA651" s="194"/>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824">
        <f t="shared" ca="1" si="498"/>
        <v>50</v>
      </c>
      <c r="BM651" s="824">
        <f t="shared" ca="1" si="499"/>
        <v>0</v>
      </c>
      <c r="BN651" s="824">
        <f t="shared" ca="1" si="500"/>
        <v>138950.43599999999</v>
      </c>
      <c r="BO651" s="824">
        <f t="shared" ca="1" si="504"/>
        <v>0</v>
      </c>
      <c r="BP651" s="824">
        <f t="shared" ca="1" si="504"/>
        <v>0</v>
      </c>
      <c r="BQ651" s="824">
        <f t="shared" ca="1" si="504"/>
        <v>0</v>
      </c>
      <c r="BR651" s="824">
        <f t="shared" ca="1" si="504"/>
        <v>0</v>
      </c>
      <c r="BS651" s="824">
        <f t="shared" ca="1" si="504"/>
        <v>0</v>
      </c>
      <c r="BT651" s="824">
        <f t="shared" ca="1" si="504"/>
        <v>0</v>
      </c>
      <c r="BU651" s="824">
        <f t="shared" ca="1" si="504"/>
        <v>0</v>
      </c>
      <c r="BV651" s="824">
        <f t="shared" ca="1" si="504"/>
        <v>0</v>
      </c>
      <c r="BW651" s="824">
        <f t="shared" ca="1" si="504"/>
        <v>0</v>
      </c>
      <c r="BX651" s="824">
        <f t="shared" ca="1" si="504"/>
        <v>0</v>
      </c>
      <c r="BY651" s="824">
        <f t="shared" ca="1" si="504"/>
        <v>0</v>
      </c>
      <c r="BZ651" s="824">
        <f t="shared" ca="1" si="504"/>
        <v>0</v>
      </c>
      <c r="CA651" s="824">
        <f t="shared" ca="1" si="504"/>
        <v>0</v>
      </c>
      <c r="CB651" s="824">
        <f t="shared" ca="1" si="504"/>
        <v>0</v>
      </c>
      <c r="CC651" s="824">
        <f t="shared" ca="1" si="504"/>
        <v>0</v>
      </c>
      <c r="CD651" s="824">
        <f t="shared" ca="1" si="504"/>
        <v>0</v>
      </c>
      <c r="CE651" s="824">
        <f t="shared" ca="1" si="503"/>
        <v>0</v>
      </c>
      <c r="CF651" s="824">
        <f t="shared" ca="1" si="503"/>
        <v>0</v>
      </c>
      <c r="CG651" s="824">
        <f t="shared" ca="1" si="503"/>
        <v>0</v>
      </c>
      <c r="CH651" s="824">
        <f t="shared" ca="1" si="503"/>
        <v>0</v>
      </c>
      <c r="CI651" s="824">
        <f t="shared" ca="1" si="503"/>
        <v>0</v>
      </c>
      <c r="CJ651" s="824">
        <f t="shared" ca="1" si="503"/>
        <v>0</v>
      </c>
      <c r="CK651" s="824">
        <f t="shared" ca="1" si="503"/>
        <v>0</v>
      </c>
      <c r="CL651" s="824">
        <f t="shared" ca="1" si="503"/>
        <v>0</v>
      </c>
      <c r="CM651" s="824">
        <f t="shared" ca="1" si="503"/>
        <v>0</v>
      </c>
      <c r="CN651" s="824">
        <f t="shared" ca="1" si="503"/>
        <v>0</v>
      </c>
      <c r="CO651" s="824">
        <f t="shared" ca="1" si="503"/>
        <v>0</v>
      </c>
      <c r="CP651" s="824">
        <f t="shared" ca="1" si="503"/>
        <v>0</v>
      </c>
      <c r="CQ651" s="824">
        <f t="shared" ca="1" si="503"/>
        <v>0</v>
      </c>
      <c r="CR651" s="824">
        <f t="shared" ca="1" si="503"/>
        <v>0</v>
      </c>
      <c r="CS651" s="824">
        <f t="shared" ca="1" si="503"/>
        <v>0</v>
      </c>
      <c r="CT651" s="824">
        <f t="shared" ca="1" si="506"/>
        <v>0</v>
      </c>
      <c r="CU651" s="824">
        <f t="shared" ca="1" si="506"/>
        <v>0</v>
      </c>
      <c r="CV651" s="824">
        <f t="shared" ca="1" si="506"/>
        <v>0</v>
      </c>
      <c r="CW651" s="824">
        <f t="shared" ca="1" si="506"/>
        <v>0</v>
      </c>
      <c r="CX651" s="824">
        <f t="shared" ca="1" si="506"/>
        <v>0</v>
      </c>
      <c r="CY651" s="824">
        <f t="shared" ca="1" si="506"/>
        <v>0</v>
      </c>
      <c r="CZ651" s="824">
        <f t="shared" ca="1" si="506"/>
        <v>0</v>
      </c>
      <c r="DA651" s="824">
        <f t="shared" ca="1" si="506"/>
        <v>0</v>
      </c>
      <c r="DB651" s="824">
        <f t="shared" ca="1" si="506"/>
        <v>0</v>
      </c>
      <c r="DC651" s="824">
        <f t="shared" ca="1" si="506"/>
        <v>0</v>
      </c>
      <c r="DD651" s="824">
        <f t="shared" ca="1" si="506"/>
        <v>0</v>
      </c>
      <c r="DE651" s="824">
        <f t="shared" ca="1" si="506"/>
        <v>0</v>
      </c>
      <c r="DF651" s="824">
        <f t="shared" ca="1" si="506"/>
        <v>0</v>
      </c>
      <c r="DG651" s="824">
        <f t="shared" ca="1" si="506"/>
        <v>0</v>
      </c>
      <c r="DH651" s="824">
        <f t="shared" ca="1" si="506"/>
        <v>0</v>
      </c>
      <c r="DI651" s="824">
        <f t="shared" ca="1" si="506"/>
        <v>0</v>
      </c>
      <c r="DJ651" s="824">
        <f t="shared" ca="1" si="497"/>
        <v>0</v>
      </c>
      <c r="DK651" s="824">
        <f t="shared" ca="1" si="497"/>
        <v>0</v>
      </c>
      <c r="DL651" s="824">
        <f t="shared" ca="1" si="497"/>
        <v>0</v>
      </c>
    </row>
    <row r="652" spans="2:116" ht="12" thickBot="1" x14ac:dyDescent="0.3">
      <c r="B652" s="1673"/>
      <c r="C652" s="1060"/>
      <c r="D652" s="199">
        <f>'3.2 I&amp;W'!F588:F588</f>
        <v>0</v>
      </c>
      <c r="E652" s="116"/>
      <c r="F652" s="11">
        <f ca="1">SUBTOTAL(109,'3.3 I&amp;W'!$X$250)</f>
        <v>0</v>
      </c>
      <c r="G652" s="11">
        <f ca="1">SUBTOTAL(109,'3.3 I&amp;W'!$Y$250)</f>
        <v>0</v>
      </c>
      <c r="H652" s="11">
        <f ca="1">SUBTOTAL(109,'3.3 I&amp;W'!$AD$250)</f>
        <v>0</v>
      </c>
      <c r="I652" s="11">
        <f ca="1">SUBTOTAL(109,'3.3 I&amp;W'!$AE$250)</f>
        <v>0</v>
      </c>
      <c r="J652" s="116"/>
      <c r="K652" s="116"/>
      <c r="L652" s="116"/>
      <c r="M652" s="11">
        <f ca="1">SUBTOTAL(109,'3.3 I&amp;W'!$AI$250)</f>
        <v>100</v>
      </c>
      <c r="N652" s="156">
        <f t="shared" ca="1" si="479"/>
        <v>0</v>
      </c>
      <c r="O652" s="200">
        <f ca="1">SUBTOTAL(109,'3.3 I&amp;W'!$S$250)</f>
        <v>59679.18</v>
      </c>
      <c r="P652" s="65">
        <f ca="1">IF(N652&gt;=1,O652*$G$158^(1*M652)/($G$157^(1*M652)),0)</f>
        <v>0</v>
      </c>
      <c r="Q652" s="66">
        <f ca="1">IF(N652&gt;=2,O652*$G$158^(2*M652)/($G$157^(2*M652)),0)</f>
        <v>0</v>
      </c>
      <c r="R652" s="66">
        <f ca="1">IF(N652&gt;=3,O652*$G$158^(3*M652)/($G$157^(3*M652)),0)</f>
        <v>0</v>
      </c>
      <c r="S652" s="66">
        <f ca="1">IF(N652&gt;=4,O652*$G$158^(4*M652)/($G$157^(4*M652)),0)</f>
        <v>0</v>
      </c>
      <c r="T652" s="67">
        <f ca="1">IF(N652&gt;=5,O652*$G$158^(5*M652)/($G$157^(5*M652)),0)</f>
        <v>0</v>
      </c>
      <c r="U652" s="37">
        <f ca="1">IF(M652=0,0,O652*$G$158^(N652*M652)*((N652+1)*M652-$G$154)/M652*(1/$G$157^$G$154))</f>
        <v>19396.804662715946</v>
      </c>
      <c r="V652" s="40">
        <f t="shared" ca="1" si="501"/>
        <v>0</v>
      </c>
      <c r="W652" s="41">
        <f t="shared" ca="1" si="502"/>
        <v>0</v>
      </c>
      <c r="X652" s="191"/>
      <c r="Y652" s="193"/>
      <c r="Z652" s="48"/>
      <c r="AA652" s="194"/>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824">
        <f t="shared" ca="1" si="498"/>
        <v>100</v>
      </c>
      <c r="BM652" s="824">
        <f t="shared" ca="1" si="499"/>
        <v>0</v>
      </c>
      <c r="BN652" s="824">
        <f t="shared" ca="1" si="500"/>
        <v>59679.18</v>
      </c>
      <c r="BO652" s="824">
        <f t="shared" ca="1" si="504"/>
        <v>0</v>
      </c>
      <c r="BP652" s="824">
        <f t="shared" ca="1" si="504"/>
        <v>0</v>
      </c>
      <c r="BQ652" s="824">
        <f t="shared" ca="1" si="504"/>
        <v>0</v>
      </c>
      <c r="BR652" s="824">
        <f t="shared" ca="1" si="504"/>
        <v>0</v>
      </c>
      <c r="BS652" s="824">
        <f t="shared" ca="1" si="504"/>
        <v>0</v>
      </c>
      <c r="BT652" s="824">
        <f t="shared" ca="1" si="504"/>
        <v>0</v>
      </c>
      <c r="BU652" s="824">
        <f t="shared" ca="1" si="504"/>
        <v>0</v>
      </c>
      <c r="BV652" s="824">
        <f t="shared" ca="1" si="504"/>
        <v>0</v>
      </c>
      <c r="BW652" s="824">
        <f t="shared" ca="1" si="504"/>
        <v>0</v>
      </c>
      <c r="BX652" s="824">
        <f t="shared" ca="1" si="504"/>
        <v>0</v>
      </c>
      <c r="BY652" s="824">
        <f t="shared" ca="1" si="504"/>
        <v>0</v>
      </c>
      <c r="BZ652" s="824">
        <f t="shared" ca="1" si="504"/>
        <v>0</v>
      </c>
      <c r="CA652" s="824">
        <f t="shared" ca="1" si="504"/>
        <v>0</v>
      </c>
      <c r="CB652" s="824">
        <f t="shared" ca="1" si="504"/>
        <v>0</v>
      </c>
      <c r="CC652" s="824">
        <f t="shared" ca="1" si="504"/>
        <v>0</v>
      </c>
      <c r="CD652" s="824">
        <f t="shared" ca="1" si="504"/>
        <v>0</v>
      </c>
      <c r="CE652" s="824">
        <f t="shared" ca="1" si="503"/>
        <v>0</v>
      </c>
      <c r="CF652" s="824">
        <f t="shared" ca="1" si="503"/>
        <v>0</v>
      </c>
      <c r="CG652" s="824">
        <f t="shared" ca="1" si="503"/>
        <v>0</v>
      </c>
      <c r="CH652" s="824">
        <f t="shared" ca="1" si="503"/>
        <v>0</v>
      </c>
      <c r="CI652" s="824">
        <f t="shared" ca="1" si="503"/>
        <v>0</v>
      </c>
      <c r="CJ652" s="824">
        <f t="shared" ca="1" si="503"/>
        <v>0</v>
      </c>
      <c r="CK652" s="824">
        <f t="shared" ca="1" si="503"/>
        <v>0</v>
      </c>
      <c r="CL652" s="824">
        <f t="shared" ca="1" si="503"/>
        <v>0</v>
      </c>
      <c r="CM652" s="824">
        <f t="shared" ca="1" si="503"/>
        <v>0</v>
      </c>
      <c r="CN652" s="824">
        <f t="shared" ca="1" si="503"/>
        <v>0</v>
      </c>
      <c r="CO652" s="824">
        <f t="shared" ca="1" si="503"/>
        <v>0</v>
      </c>
      <c r="CP652" s="824">
        <f t="shared" ca="1" si="503"/>
        <v>0</v>
      </c>
      <c r="CQ652" s="824">
        <f t="shared" ca="1" si="503"/>
        <v>0</v>
      </c>
      <c r="CR652" s="824">
        <f t="shared" ca="1" si="503"/>
        <v>0</v>
      </c>
      <c r="CS652" s="824">
        <f t="shared" ca="1" si="503"/>
        <v>0</v>
      </c>
      <c r="CT652" s="824">
        <f t="shared" ca="1" si="506"/>
        <v>0</v>
      </c>
      <c r="CU652" s="824">
        <f t="shared" ca="1" si="506"/>
        <v>0</v>
      </c>
      <c r="CV652" s="824">
        <f t="shared" ca="1" si="506"/>
        <v>0</v>
      </c>
      <c r="CW652" s="824">
        <f t="shared" ca="1" si="506"/>
        <v>0</v>
      </c>
      <c r="CX652" s="824">
        <f t="shared" ca="1" si="506"/>
        <v>0</v>
      </c>
      <c r="CY652" s="824">
        <f t="shared" ca="1" si="506"/>
        <v>0</v>
      </c>
      <c r="CZ652" s="824">
        <f t="shared" ca="1" si="506"/>
        <v>0</v>
      </c>
      <c r="DA652" s="824">
        <f t="shared" ca="1" si="506"/>
        <v>0</v>
      </c>
      <c r="DB652" s="824">
        <f t="shared" ca="1" si="506"/>
        <v>0</v>
      </c>
      <c r="DC652" s="824">
        <f t="shared" ca="1" si="506"/>
        <v>0</v>
      </c>
      <c r="DD652" s="824">
        <f t="shared" ca="1" si="506"/>
        <v>0</v>
      </c>
      <c r="DE652" s="824">
        <f t="shared" ca="1" si="506"/>
        <v>0</v>
      </c>
      <c r="DF652" s="824">
        <f t="shared" ca="1" si="506"/>
        <v>0</v>
      </c>
      <c r="DG652" s="824">
        <f t="shared" ca="1" si="506"/>
        <v>0</v>
      </c>
      <c r="DH652" s="824">
        <f t="shared" ca="1" si="506"/>
        <v>0</v>
      </c>
      <c r="DI652" s="824">
        <f t="shared" ca="1" si="506"/>
        <v>0</v>
      </c>
      <c r="DJ652" s="824">
        <f t="shared" ca="1" si="497"/>
        <v>0</v>
      </c>
      <c r="DK652" s="824">
        <f t="shared" ca="1" si="497"/>
        <v>0</v>
      </c>
      <c r="DL652" s="824">
        <f t="shared" ca="1" si="497"/>
        <v>0</v>
      </c>
    </row>
    <row r="653" spans="2:116" ht="12" thickBot="1" x14ac:dyDescent="0.3">
      <c r="B653" s="1673"/>
      <c r="C653" s="1060"/>
      <c r="D653" s="199">
        <f>'3.2 I&amp;W'!F593:F593</f>
        <v>0</v>
      </c>
      <c r="E653" s="116"/>
      <c r="F653" s="116"/>
      <c r="G653" s="116"/>
      <c r="H653" s="116"/>
      <c r="I653" s="116"/>
      <c r="J653" s="116"/>
      <c r="K653" s="116"/>
      <c r="L653" s="116"/>
      <c r="M653" s="116"/>
      <c r="N653" s="156">
        <f t="shared" si="479"/>
        <v>0</v>
      </c>
      <c r="O653" s="200">
        <f ca="1">IF(E653="j",0,IF('3.3 I&amp;W'!$S$254="",0,'3.3 I&amp;W'!$S$254))</f>
        <v>0</v>
      </c>
      <c r="P653" s="30"/>
      <c r="Q653" s="31"/>
      <c r="R653" s="31"/>
      <c r="S653" s="31"/>
      <c r="T653" s="188"/>
      <c r="U653" s="190"/>
      <c r="V653" s="40">
        <f t="shared" si="501"/>
        <v>0</v>
      </c>
      <c r="W653" s="41">
        <f t="shared" si="502"/>
        <v>0</v>
      </c>
      <c r="X653" s="191"/>
      <c r="Y653" s="193"/>
      <c r="Z653" s="48"/>
      <c r="AA653" s="194"/>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824">
        <f t="shared" si="498"/>
        <v>0</v>
      </c>
      <c r="BM653" s="824">
        <f t="shared" si="499"/>
        <v>0</v>
      </c>
      <c r="BN653" s="824">
        <f t="shared" ca="1" si="500"/>
        <v>0</v>
      </c>
      <c r="BO653" s="824">
        <f t="shared" si="504"/>
        <v>0</v>
      </c>
      <c r="BP653" s="824">
        <f t="shared" si="504"/>
        <v>0</v>
      </c>
      <c r="BQ653" s="824">
        <f t="shared" si="504"/>
        <v>0</v>
      </c>
      <c r="BR653" s="824">
        <f t="shared" si="504"/>
        <v>0</v>
      </c>
      <c r="BS653" s="824">
        <f t="shared" si="504"/>
        <v>0</v>
      </c>
      <c r="BT653" s="824">
        <f t="shared" si="504"/>
        <v>0</v>
      </c>
      <c r="BU653" s="824">
        <f t="shared" si="504"/>
        <v>0</v>
      </c>
      <c r="BV653" s="824">
        <f t="shared" si="504"/>
        <v>0</v>
      </c>
      <c r="BW653" s="824">
        <f t="shared" si="504"/>
        <v>0</v>
      </c>
      <c r="BX653" s="824">
        <f t="shared" si="504"/>
        <v>0</v>
      </c>
      <c r="BY653" s="824">
        <f t="shared" si="504"/>
        <v>0</v>
      </c>
      <c r="BZ653" s="824">
        <f t="shared" si="504"/>
        <v>0</v>
      </c>
      <c r="CA653" s="824">
        <f t="shared" si="504"/>
        <v>0</v>
      </c>
      <c r="CB653" s="824">
        <f t="shared" si="504"/>
        <v>0</v>
      </c>
      <c r="CC653" s="824">
        <f t="shared" si="504"/>
        <v>0</v>
      </c>
      <c r="CD653" s="824">
        <f t="shared" si="504"/>
        <v>0</v>
      </c>
      <c r="CE653" s="824">
        <f t="shared" si="503"/>
        <v>0</v>
      </c>
      <c r="CF653" s="824">
        <f t="shared" si="503"/>
        <v>0</v>
      </c>
      <c r="CG653" s="824">
        <f t="shared" si="503"/>
        <v>0</v>
      </c>
      <c r="CH653" s="824">
        <f t="shared" si="503"/>
        <v>0</v>
      </c>
      <c r="CI653" s="824">
        <f t="shared" si="503"/>
        <v>0</v>
      </c>
      <c r="CJ653" s="824">
        <f t="shared" si="503"/>
        <v>0</v>
      </c>
      <c r="CK653" s="824">
        <f t="shared" si="503"/>
        <v>0</v>
      </c>
      <c r="CL653" s="824">
        <f t="shared" si="503"/>
        <v>0</v>
      </c>
      <c r="CM653" s="824">
        <f t="shared" si="503"/>
        <v>0</v>
      </c>
      <c r="CN653" s="824">
        <f t="shared" si="503"/>
        <v>0</v>
      </c>
      <c r="CO653" s="824">
        <f t="shared" si="503"/>
        <v>0</v>
      </c>
      <c r="CP653" s="824">
        <f t="shared" si="503"/>
        <v>0</v>
      </c>
      <c r="CQ653" s="824">
        <f t="shared" si="503"/>
        <v>0</v>
      </c>
      <c r="CR653" s="824">
        <f t="shared" si="503"/>
        <v>0</v>
      </c>
      <c r="CS653" s="824">
        <f t="shared" si="503"/>
        <v>0</v>
      </c>
      <c r="CT653" s="824">
        <f t="shared" si="506"/>
        <v>0</v>
      </c>
      <c r="CU653" s="824">
        <f t="shared" si="506"/>
        <v>0</v>
      </c>
      <c r="CV653" s="824">
        <f t="shared" si="506"/>
        <v>0</v>
      </c>
      <c r="CW653" s="824">
        <f t="shared" si="506"/>
        <v>0</v>
      </c>
      <c r="CX653" s="824">
        <f t="shared" si="506"/>
        <v>0</v>
      </c>
      <c r="CY653" s="824">
        <f t="shared" si="506"/>
        <v>0</v>
      </c>
      <c r="CZ653" s="824">
        <f t="shared" si="506"/>
        <v>0</v>
      </c>
      <c r="DA653" s="824">
        <f t="shared" si="506"/>
        <v>0</v>
      </c>
      <c r="DB653" s="824">
        <f t="shared" si="506"/>
        <v>0</v>
      </c>
      <c r="DC653" s="824">
        <f t="shared" si="506"/>
        <v>0</v>
      </c>
      <c r="DD653" s="824">
        <f t="shared" si="506"/>
        <v>0</v>
      </c>
      <c r="DE653" s="824">
        <f t="shared" si="506"/>
        <v>0</v>
      </c>
      <c r="DF653" s="824">
        <f t="shared" si="506"/>
        <v>0</v>
      </c>
      <c r="DG653" s="824">
        <f t="shared" si="506"/>
        <v>0</v>
      </c>
      <c r="DH653" s="824">
        <f t="shared" si="506"/>
        <v>0</v>
      </c>
      <c r="DI653" s="824">
        <f t="shared" si="506"/>
        <v>0</v>
      </c>
      <c r="DJ653" s="824">
        <f t="shared" si="497"/>
        <v>0</v>
      </c>
      <c r="DK653" s="824">
        <f t="shared" si="497"/>
        <v>0</v>
      </c>
      <c r="DL653" s="824">
        <f t="shared" si="497"/>
        <v>0</v>
      </c>
    </row>
    <row r="654" spans="2:116" ht="12" thickBot="1" x14ac:dyDescent="0.3">
      <c r="B654" s="1673"/>
      <c r="C654" s="1060"/>
      <c r="D654" s="199"/>
      <c r="E654" s="116"/>
      <c r="F654" s="116"/>
      <c r="G654" s="116"/>
      <c r="H654" s="116"/>
      <c r="I654" s="116"/>
      <c r="J654" s="116"/>
      <c r="K654" s="116"/>
      <c r="L654" s="116"/>
      <c r="M654" s="116"/>
      <c r="N654" s="156">
        <f t="shared" si="479"/>
        <v>0</v>
      </c>
      <c r="O654" s="200"/>
      <c r="P654" s="30"/>
      <c r="Q654" s="31"/>
      <c r="R654" s="31"/>
      <c r="S654" s="31"/>
      <c r="T654" s="188"/>
      <c r="U654" s="190"/>
      <c r="V654" s="40">
        <f t="shared" si="501"/>
        <v>0</v>
      </c>
      <c r="W654" s="41">
        <f t="shared" si="502"/>
        <v>0</v>
      </c>
      <c r="X654" s="191"/>
      <c r="Y654" s="193"/>
      <c r="Z654" s="48"/>
      <c r="AA654" s="194"/>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824">
        <f t="shared" si="498"/>
        <v>0</v>
      </c>
      <c r="BM654" s="824">
        <f t="shared" si="499"/>
        <v>0</v>
      </c>
      <c r="BN654" s="824">
        <f t="shared" si="500"/>
        <v>0</v>
      </c>
      <c r="BO654" s="824">
        <f t="shared" si="504"/>
        <v>0</v>
      </c>
      <c r="BP654" s="824">
        <f t="shared" si="504"/>
        <v>0</v>
      </c>
      <c r="BQ654" s="824">
        <f t="shared" si="504"/>
        <v>0</v>
      </c>
      <c r="BR654" s="824">
        <f t="shared" si="504"/>
        <v>0</v>
      </c>
      <c r="BS654" s="824">
        <f t="shared" si="504"/>
        <v>0</v>
      </c>
      <c r="BT654" s="824">
        <f t="shared" si="504"/>
        <v>0</v>
      </c>
      <c r="BU654" s="824">
        <f t="shared" si="504"/>
        <v>0</v>
      </c>
      <c r="BV654" s="824">
        <f t="shared" si="504"/>
        <v>0</v>
      </c>
      <c r="BW654" s="824">
        <f t="shared" si="504"/>
        <v>0</v>
      </c>
      <c r="BX654" s="824">
        <f t="shared" si="504"/>
        <v>0</v>
      </c>
      <c r="BY654" s="824">
        <f t="shared" si="504"/>
        <v>0</v>
      </c>
      <c r="BZ654" s="824">
        <f t="shared" si="504"/>
        <v>0</v>
      </c>
      <c r="CA654" s="824">
        <f t="shared" si="504"/>
        <v>0</v>
      </c>
      <c r="CB654" s="824">
        <f t="shared" si="504"/>
        <v>0</v>
      </c>
      <c r="CC654" s="824">
        <f t="shared" si="504"/>
        <v>0</v>
      </c>
      <c r="CD654" s="824">
        <f t="shared" si="504"/>
        <v>0</v>
      </c>
      <c r="CE654" s="824">
        <f t="shared" si="503"/>
        <v>0</v>
      </c>
      <c r="CF654" s="824">
        <f t="shared" si="503"/>
        <v>0</v>
      </c>
      <c r="CG654" s="824">
        <f t="shared" si="503"/>
        <v>0</v>
      </c>
      <c r="CH654" s="824">
        <f t="shared" si="503"/>
        <v>0</v>
      </c>
      <c r="CI654" s="824">
        <f t="shared" si="503"/>
        <v>0</v>
      </c>
      <c r="CJ654" s="824">
        <f t="shared" si="503"/>
        <v>0</v>
      </c>
      <c r="CK654" s="824">
        <f t="shared" si="503"/>
        <v>0</v>
      </c>
      <c r="CL654" s="824">
        <f t="shared" si="503"/>
        <v>0</v>
      </c>
      <c r="CM654" s="824">
        <f t="shared" si="503"/>
        <v>0</v>
      </c>
      <c r="CN654" s="824">
        <f t="shared" si="503"/>
        <v>0</v>
      </c>
      <c r="CO654" s="824">
        <f t="shared" si="503"/>
        <v>0</v>
      </c>
      <c r="CP654" s="824">
        <f t="shared" si="503"/>
        <v>0</v>
      </c>
      <c r="CQ654" s="824">
        <f t="shared" si="503"/>
        <v>0</v>
      </c>
      <c r="CR654" s="824">
        <f t="shared" si="503"/>
        <v>0</v>
      </c>
      <c r="CS654" s="824">
        <f t="shared" si="503"/>
        <v>0</v>
      </c>
      <c r="CT654" s="824">
        <f t="shared" si="506"/>
        <v>0</v>
      </c>
      <c r="CU654" s="824">
        <f t="shared" si="506"/>
        <v>0</v>
      </c>
      <c r="CV654" s="824">
        <f t="shared" si="506"/>
        <v>0</v>
      </c>
      <c r="CW654" s="824">
        <f t="shared" si="506"/>
        <v>0</v>
      </c>
      <c r="CX654" s="824">
        <f t="shared" si="506"/>
        <v>0</v>
      </c>
      <c r="CY654" s="824">
        <f t="shared" si="506"/>
        <v>0</v>
      </c>
      <c r="CZ654" s="824">
        <f t="shared" si="506"/>
        <v>0</v>
      </c>
      <c r="DA654" s="824">
        <f t="shared" si="506"/>
        <v>0</v>
      </c>
      <c r="DB654" s="824">
        <f t="shared" si="506"/>
        <v>0</v>
      </c>
      <c r="DC654" s="824">
        <f t="shared" si="506"/>
        <v>0</v>
      </c>
      <c r="DD654" s="824">
        <f t="shared" si="506"/>
        <v>0</v>
      </c>
      <c r="DE654" s="824">
        <f t="shared" si="506"/>
        <v>0</v>
      </c>
      <c r="DF654" s="824">
        <f t="shared" si="506"/>
        <v>0</v>
      </c>
      <c r="DG654" s="824">
        <f t="shared" si="506"/>
        <v>0</v>
      </c>
      <c r="DH654" s="824">
        <f t="shared" si="506"/>
        <v>0</v>
      </c>
      <c r="DI654" s="824">
        <f t="shared" si="506"/>
        <v>0</v>
      </c>
      <c r="DJ654" s="824">
        <f t="shared" si="497"/>
        <v>0</v>
      </c>
      <c r="DK654" s="824">
        <f t="shared" si="497"/>
        <v>0</v>
      </c>
      <c r="DL654" s="824">
        <f t="shared" si="497"/>
        <v>0</v>
      </c>
    </row>
    <row r="655" spans="2:116" ht="12" thickBot="1" x14ac:dyDescent="0.3">
      <c r="B655" s="1673"/>
      <c r="C655" s="1060"/>
      <c r="D655" s="199"/>
      <c r="E655" s="116"/>
      <c r="F655" s="11"/>
      <c r="G655" s="17"/>
      <c r="H655" s="11"/>
      <c r="I655" s="11"/>
      <c r="J655" s="11"/>
      <c r="K655" s="11"/>
      <c r="L655" s="11"/>
      <c r="M655" s="11"/>
      <c r="N655" s="156">
        <f t="shared" si="479"/>
        <v>0</v>
      </c>
      <c r="O655" s="200"/>
      <c r="P655" s="33"/>
      <c r="Q655" s="34"/>
      <c r="R655" s="34"/>
      <c r="S655" s="34"/>
      <c r="T655" s="189"/>
      <c r="U655" s="190"/>
      <c r="V655" s="40">
        <f t="shared" si="501"/>
        <v>0</v>
      </c>
      <c r="W655" s="41">
        <f t="shared" si="502"/>
        <v>0</v>
      </c>
      <c r="X655" s="192"/>
      <c r="Y655" s="195"/>
      <c r="Z655" s="49"/>
      <c r="AA655" s="196"/>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824">
        <f t="shared" si="498"/>
        <v>0</v>
      </c>
      <c r="BM655" s="824">
        <f t="shared" si="499"/>
        <v>0</v>
      </c>
      <c r="BN655" s="824">
        <f t="shared" si="500"/>
        <v>0</v>
      </c>
      <c r="BO655" s="824">
        <f t="shared" si="504"/>
        <v>0</v>
      </c>
      <c r="BP655" s="824">
        <f t="shared" si="504"/>
        <v>0</v>
      </c>
      <c r="BQ655" s="824">
        <f t="shared" si="504"/>
        <v>0</v>
      </c>
      <c r="BR655" s="824">
        <f t="shared" si="504"/>
        <v>0</v>
      </c>
      <c r="BS655" s="824">
        <f t="shared" si="504"/>
        <v>0</v>
      </c>
      <c r="BT655" s="824">
        <f t="shared" si="504"/>
        <v>0</v>
      </c>
      <c r="BU655" s="824">
        <f t="shared" si="504"/>
        <v>0</v>
      </c>
      <c r="BV655" s="824">
        <f t="shared" si="504"/>
        <v>0</v>
      </c>
      <c r="BW655" s="824">
        <f t="shared" si="504"/>
        <v>0</v>
      </c>
      <c r="BX655" s="824">
        <f t="shared" si="504"/>
        <v>0</v>
      </c>
      <c r="BY655" s="824">
        <f t="shared" si="504"/>
        <v>0</v>
      </c>
      <c r="BZ655" s="824">
        <f t="shared" si="504"/>
        <v>0</v>
      </c>
      <c r="CA655" s="824">
        <f t="shared" si="504"/>
        <v>0</v>
      </c>
      <c r="CB655" s="824">
        <f t="shared" si="504"/>
        <v>0</v>
      </c>
      <c r="CC655" s="824">
        <f t="shared" si="504"/>
        <v>0</v>
      </c>
      <c r="CD655" s="824">
        <f t="shared" si="504"/>
        <v>0</v>
      </c>
      <c r="CE655" s="824">
        <f t="shared" si="503"/>
        <v>0</v>
      </c>
      <c r="CF655" s="824">
        <f t="shared" si="503"/>
        <v>0</v>
      </c>
      <c r="CG655" s="824">
        <f t="shared" si="503"/>
        <v>0</v>
      </c>
      <c r="CH655" s="824">
        <f t="shared" si="503"/>
        <v>0</v>
      </c>
      <c r="CI655" s="824">
        <f t="shared" si="503"/>
        <v>0</v>
      </c>
      <c r="CJ655" s="824">
        <f t="shared" si="503"/>
        <v>0</v>
      </c>
      <c r="CK655" s="824">
        <f t="shared" si="503"/>
        <v>0</v>
      </c>
      <c r="CL655" s="824">
        <f t="shared" si="503"/>
        <v>0</v>
      </c>
      <c r="CM655" s="824">
        <f t="shared" si="503"/>
        <v>0</v>
      </c>
      <c r="CN655" s="824">
        <f t="shared" si="503"/>
        <v>0</v>
      </c>
      <c r="CO655" s="824">
        <f t="shared" si="503"/>
        <v>0</v>
      </c>
      <c r="CP655" s="824">
        <f t="shared" si="503"/>
        <v>0</v>
      </c>
      <c r="CQ655" s="824">
        <f t="shared" si="503"/>
        <v>0</v>
      </c>
      <c r="CR655" s="824">
        <f t="shared" si="503"/>
        <v>0</v>
      </c>
      <c r="CS655" s="824">
        <f t="shared" si="503"/>
        <v>0</v>
      </c>
      <c r="CT655" s="824">
        <f t="shared" si="506"/>
        <v>0</v>
      </c>
      <c r="CU655" s="824">
        <f t="shared" si="506"/>
        <v>0</v>
      </c>
      <c r="CV655" s="824">
        <f t="shared" si="506"/>
        <v>0</v>
      </c>
      <c r="CW655" s="824">
        <f t="shared" si="506"/>
        <v>0</v>
      </c>
      <c r="CX655" s="824">
        <f t="shared" si="506"/>
        <v>0</v>
      </c>
      <c r="CY655" s="824">
        <f t="shared" si="506"/>
        <v>0</v>
      </c>
      <c r="CZ655" s="824">
        <f t="shared" si="506"/>
        <v>0</v>
      </c>
      <c r="DA655" s="824">
        <f t="shared" si="506"/>
        <v>0</v>
      </c>
      <c r="DB655" s="824">
        <f t="shared" si="506"/>
        <v>0</v>
      </c>
      <c r="DC655" s="824">
        <f t="shared" si="506"/>
        <v>0</v>
      </c>
      <c r="DD655" s="824">
        <f t="shared" si="506"/>
        <v>0</v>
      </c>
      <c r="DE655" s="824">
        <f t="shared" si="506"/>
        <v>0</v>
      </c>
      <c r="DF655" s="824">
        <f t="shared" si="506"/>
        <v>0</v>
      </c>
      <c r="DG655" s="824">
        <f t="shared" si="506"/>
        <v>0</v>
      </c>
      <c r="DH655" s="824">
        <f t="shared" si="506"/>
        <v>0</v>
      </c>
      <c r="DI655" s="824">
        <f t="shared" si="506"/>
        <v>0</v>
      </c>
      <c r="DJ655" s="824">
        <f t="shared" si="497"/>
        <v>0</v>
      </c>
      <c r="DK655" s="824">
        <f t="shared" si="497"/>
        <v>0</v>
      </c>
      <c r="DL655" s="824">
        <f t="shared" si="497"/>
        <v>0</v>
      </c>
    </row>
    <row r="656" spans="2:116" ht="11.25" customHeight="1" thickBot="1" x14ac:dyDescent="0.3">
      <c r="B656" s="1673"/>
      <c r="C656" s="1679" t="s">
        <v>275</v>
      </c>
      <c r="D656" s="18" t="str">
        <f>'3.2 Fi&amp;Fo'!$D$47</f>
        <v>Verwaltung und Management</v>
      </c>
      <c r="E656" s="166"/>
      <c r="F656" s="13"/>
      <c r="G656" s="11"/>
      <c r="H656" s="13"/>
      <c r="I656" s="13"/>
      <c r="J656" s="64">
        <f>SUBTOTAL(109,'3.3 Fi&amp;Fo'!$K$47)</f>
        <v>0</v>
      </c>
      <c r="K656" s="12"/>
      <c r="L656" s="12"/>
      <c r="M656" s="13"/>
      <c r="N656" s="178"/>
      <c r="O656" s="21"/>
      <c r="P656" s="65">
        <f t="shared" ref="P656:P663" si="507">IF(N656&gt;=1,O656*$G$158^(1*M656)/($G$157^(1*M656)),0)</f>
        <v>0</v>
      </c>
      <c r="Q656" s="66">
        <f t="shared" ref="Q656:Q663" si="508">IF(N656&gt;=2,O656*$G$158^(2*M656)/($G$157^(2*M656)),0)</f>
        <v>0</v>
      </c>
      <c r="R656" s="66">
        <f t="shared" ref="R656:R663" si="509">IF(N656&gt;=3,O656*$G$158^(3*M656)/($G$157^(3*M656)),0)</f>
        <v>0</v>
      </c>
      <c r="S656" s="66">
        <f t="shared" ref="S656:S663" si="510">IF(N656&gt;=4,O656*$G$158^(4*M656)/($G$157^(4*M656)),0)</f>
        <v>0</v>
      </c>
      <c r="T656" s="67">
        <f t="shared" ref="T656:T663" si="511">IF(N656&gt;=5,O656*$G$158^(5*M656)/($G$157^(5*M656)),0)</f>
        <v>0</v>
      </c>
      <c r="U656" s="37">
        <f t="shared" ref="U656:U686" si="512">IF(M656=0,0,O656*$G$158^(N656*M656)*((N656+1)*M656-$G$154)/M656*(1/$G$157^$G$154))</f>
        <v>0</v>
      </c>
      <c r="V656" s="40">
        <f t="shared" si="501"/>
        <v>0</v>
      </c>
      <c r="W656" s="41">
        <f t="shared" si="502"/>
        <v>0</v>
      </c>
      <c r="X656" s="42"/>
      <c r="Y656" s="45"/>
      <c r="Z656" s="127"/>
      <c r="AA656" s="136"/>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824"/>
      <c r="BM656" s="824"/>
      <c r="BN656" s="824"/>
      <c r="BO656" s="824"/>
      <c r="BP656" s="824"/>
      <c r="BQ656" s="824"/>
      <c r="BR656" s="824"/>
      <c r="BS656" s="824"/>
      <c r="BT656" s="824"/>
      <c r="BU656" s="824"/>
      <c r="BV656" s="824"/>
      <c r="BW656" s="824"/>
      <c r="BX656" s="824"/>
      <c r="BY656" s="824"/>
      <c r="BZ656" s="824"/>
      <c r="CA656" s="824"/>
      <c r="CB656" s="824"/>
      <c r="CC656" s="824"/>
      <c r="CD656" s="824"/>
      <c r="CE656" s="824"/>
      <c r="CF656" s="824"/>
      <c r="CG656" s="824"/>
      <c r="CH656" s="824"/>
      <c r="CI656" s="824"/>
      <c r="CJ656" s="824"/>
      <c r="CK656" s="824"/>
      <c r="CL656" s="824"/>
      <c r="CM656" s="824"/>
      <c r="CN656" s="824"/>
      <c r="CO656" s="824"/>
      <c r="CP656" s="824"/>
      <c r="CQ656" s="824"/>
      <c r="CR656" s="824"/>
      <c r="CS656" s="824"/>
      <c r="CT656" s="824"/>
      <c r="CU656" s="824"/>
      <c r="CV656" s="824"/>
      <c r="CW656" s="824"/>
      <c r="CX656" s="824"/>
      <c r="CY656" s="824"/>
      <c r="CZ656" s="824"/>
      <c r="DA656" s="824"/>
      <c r="DB656" s="824"/>
      <c r="DC656" s="824"/>
      <c r="DD656" s="824"/>
      <c r="DE656" s="824"/>
      <c r="DF656" s="824"/>
      <c r="DG656" s="824"/>
      <c r="DH656" s="824"/>
      <c r="DI656" s="824"/>
      <c r="DJ656" s="824"/>
      <c r="DK656" s="824"/>
      <c r="DL656" s="824"/>
    </row>
    <row r="657" spans="2:116" ht="12" thickBot="1" x14ac:dyDescent="0.3">
      <c r="B657" s="1673"/>
      <c r="C657" s="1680"/>
      <c r="D657" s="16" t="str">
        <f>'3.2 Fi&amp;Fo'!$D$48</f>
        <v>Gebühren, Steuern und Abgaben</v>
      </c>
      <c r="E657" s="97"/>
      <c r="F657" s="9"/>
      <c r="G657" s="116"/>
      <c r="H657" s="9"/>
      <c r="I657" s="9"/>
      <c r="J657" s="5">
        <f ca="1">SUBTOTAL(109,'3.3 Fi&amp;Fo'!$K$48)-'PV-Einspeisung'!AB146</f>
        <v>2996.3999999999996</v>
      </c>
      <c r="K657" s="116"/>
      <c r="L657" s="116"/>
      <c r="M657" s="9"/>
      <c r="N657" s="179"/>
      <c r="O657" s="22"/>
      <c r="P657" s="30">
        <f t="shared" si="507"/>
        <v>0</v>
      </c>
      <c r="Q657" s="31">
        <f t="shared" si="508"/>
        <v>0</v>
      </c>
      <c r="R657" s="31">
        <f t="shared" si="509"/>
        <v>0</v>
      </c>
      <c r="S657" s="31">
        <f t="shared" si="510"/>
        <v>0</v>
      </c>
      <c r="T657" s="32">
        <f t="shared" si="511"/>
        <v>0</v>
      </c>
      <c r="U657" s="37">
        <f t="shared" si="512"/>
        <v>0</v>
      </c>
      <c r="V657" s="40">
        <f t="shared" si="501"/>
        <v>0</v>
      </c>
      <c r="W657" s="41">
        <f t="shared" ca="1" si="502"/>
        <v>96249.766799551478</v>
      </c>
      <c r="X657" s="43"/>
      <c r="Y657" s="46"/>
      <c r="Z657" s="126"/>
      <c r="AA657" s="136"/>
      <c r="AB657" s="3"/>
      <c r="AC657" s="1665" t="s">
        <v>328</v>
      </c>
      <c r="AD657" s="1665"/>
      <c r="AE657" s="1665"/>
      <c r="AF657" s="850" t="str">
        <f>LISTEN!$B$3</f>
        <v>Heizöl</v>
      </c>
      <c r="AG657" s="850" t="str">
        <f>LISTEN!$C$3</f>
        <v>Erdgas</v>
      </c>
      <c r="AH657" s="850" t="str">
        <f>LISTEN!$D$3</f>
        <v>Kohle</v>
      </c>
      <c r="AI657" s="850" t="str">
        <f>LISTEN!$E$3</f>
        <v>Fernwärme ne.</v>
      </c>
      <c r="AJ657" s="850" t="str">
        <f>LISTEN!$F$3</f>
        <v>Fernwärme e.</v>
      </c>
      <c r="AK657" s="850" t="str">
        <f>LISTEN!$G$3</f>
        <v>Biomasse</v>
      </c>
      <c r="AL657" s="850" t="str">
        <f>LISTEN!$H$3</f>
        <v>Strom</v>
      </c>
      <c r="AM657" s="850" t="str">
        <f>LISTEN!$I$3</f>
        <v>Wärmepumpenstrom</v>
      </c>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824"/>
      <c r="BM657" s="824"/>
      <c r="BN657" s="827" t="s">
        <v>580</v>
      </c>
      <c r="BO657" s="827">
        <v>1</v>
      </c>
      <c r="BP657" s="827">
        <v>2</v>
      </c>
      <c r="BQ657" s="827">
        <v>3</v>
      </c>
      <c r="BR657" s="827">
        <v>4</v>
      </c>
      <c r="BS657" s="827">
        <v>5</v>
      </c>
      <c r="BT657" s="827">
        <v>6</v>
      </c>
      <c r="BU657" s="827">
        <v>7</v>
      </c>
      <c r="BV657" s="827">
        <v>8</v>
      </c>
      <c r="BW657" s="827">
        <v>9</v>
      </c>
      <c r="BX657" s="827">
        <v>10</v>
      </c>
      <c r="BY657" s="827">
        <v>11</v>
      </c>
      <c r="BZ657" s="827">
        <v>12</v>
      </c>
      <c r="CA657" s="827">
        <v>13</v>
      </c>
      <c r="CB657" s="827">
        <v>14</v>
      </c>
      <c r="CC657" s="827">
        <v>15</v>
      </c>
      <c r="CD657" s="827">
        <v>16</v>
      </c>
      <c r="CE657" s="827">
        <v>17</v>
      </c>
      <c r="CF657" s="827">
        <v>18</v>
      </c>
      <c r="CG657" s="827">
        <v>19</v>
      </c>
      <c r="CH657" s="827">
        <v>20</v>
      </c>
      <c r="CI657" s="827">
        <v>21</v>
      </c>
      <c r="CJ657" s="827">
        <v>22</v>
      </c>
      <c r="CK657" s="827">
        <v>23</v>
      </c>
      <c r="CL657" s="827">
        <v>24</v>
      </c>
      <c r="CM657" s="827">
        <v>25</v>
      </c>
      <c r="CN657" s="827">
        <v>26</v>
      </c>
      <c r="CO657" s="827">
        <v>27</v>
      </c>
      <c r="CP657" s="827">
        <v>28</v>
      </c>
      <c r="CQ657" s="827">
        <v>29</v>
      </c>
      <c r="CR657" s="827">
        <v>30</v>
      </c>
      <c r="CS657" s="827">
        <v>31</v>
      </c>
      <c r="CT657" s="827">
        <v>32</v>
      </c>
      <c r="CU657" s="827">
        <v>33</v>
      </c>
      <c r="CV657" s="827">
        <v>34</v>
      </c>
      <c r="CW657" s="827">
        <v>35</v>
      </c>
      <c r="CX657" s="827">
        <v>36</v>
      </c>
      <c r="CY657" s="827">
        <v>37</v>
      </c>
      <c r="CZ657" s="827">
        <v>38</v>
      </c>
      <c r="DA657" s="827">
        <v>39</v>
      </c>
      <c r="DB657" s="827">
        <v>40</v>
      </c>
      <c r="DC657" s="827">
        <v>41</v>
      </c>
      <c r="DD657" s="827">
        <v>42</v>
      </c>
      <c r="DE657" s="827">
        <v>43</v>
      </c>
      <c r="DF657" s="827">
        <v>44</v>
      </c>
      <c r="DG657" s="827">
        <v>45</v>
      </c>
      <c r="DH657" s="827">
        <v>46</v>
      </c>
      <c r="DI657" s="827">
        <v>47</v>
      </c>
      <c r="DJ657" s="827">
        <v>48</v>
      </c>
      <c r="DK657" s="827">
        <v>49</v>
      </c>
      <c r="DL657" s="827">
        <v>50</v>
      </c>
    </row>
    <row r="658" spans="2:116" ht="12" thickBot="1" x14ac:dyDescent="0.3">
      <c r="B658" s="1673"/>
      <c r="C658" s="1680"/>
      <c r="D658" s="16" t="str">
        <f>'3.2 Fi&amp;Fo'!$D$56</f>
        <v>Technisches Gebäudemanagement</v>
      </c>
      <c r="E658" s="97"/>
      <c r="F658" s="9"/>
      <c r="G658" s="116"/>
      <c r="H658" s="9"/>
      <c r="I658" s="9"/>
      <c r="J658" s="5">
        <f>SUBTOTAL(109,'3.3 Fi&amp;Fo'!$K$56)</f>
        <v>0</v>
      </c>
      <c r="K658" s="116"/>
      <c r="L658" s="116"/>
      <c r="M658" s="9"/>
      <c r="N658" s="179"/>
      <c r="O658" s="22"/>
      <c r="P658" s="30">
        <f t="shared" si="507"/>
        <v>0</v>
      </c>
      <c r="Q658" s="31">
        <f t="shared" si="508"/>
        <v>0</v>
      </c>
      <c r="R658" s="31">
        <f t="shared" si="509"/>
        <v>0</v>
      </c>
      <c r="S658" s="31">
        <f t="shared" si="510"/>
        <v>0</v>
      </c>
      <c r="T658" s="32">
        <f t="shared" si="511"/>
        <v>0</v>
      </c>
      <c r="U658" s="37">
        <f t="shared" si="512"/>
        <v>0</v>
      </c>
      <c r="V658" s="40">
        <f t="shared" si="501"/>
        <v>0</v>
      </c>
      <c r="W658" s="41">
        <f t="shared" si="502"/>
        <v>0</v>
      </c>
      <c r="X658" s="43"/>
      <c r="Y658" s="46"/>
      <c r="Z658" s="128"/>
      <c r="AA658" s="136"/>
      <c r="AB658" s="3"/>
      <c r="AC658" s="156" t="s">
        <v>329</v>
      </c>
      <c r="AD658" s="156" t="s">
        <v>199</v>
      </c>
      <c r="AE658" s="156" t="s">
        <v>198</v>
      </c>
      <c r="AF658" s="850">
        <f ca="1">SUMIF($L$659:$L$677,AF657,$K$659:$K$677)</f>
        <v>0</v>
      </c>
      <c r="AG658" s="850">
        <f t="shared" ref="AG658:AM658" ca="1" si="513">SUMIF($L$659:$L$677,AG657,$K$659:$K$677)</f>
        <v>0</v>
      </c>
      <c r="AH658" s="850">
        <f t="shared" ca="1" si="513"/>
        <v>0</v>
      </c>
      <c r="AI658" s="850">
        <f t="shared" ca="1" si="513"/>
        <v>0</v>
      </c>
      <c r="AJ658" s="850">
        <f t="shared" ca="1" si="513"/>
        <v>0</v>
      </c>
      <c r="AK658" s="850">
        <f t="shared" ca="1" si="513"/>
        <v>0</v>
      </c>
      <c r="AL658" s="850">
        <f t="shared" ca="1" si="513"/>
        <v>6070.6199347199999</v>
      </c>
      <c r="AM658" s="850">
        <f t="shared" ca="1" si="513"/>
        <v>2293.65194256</v>
      </c>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824"/>
      <c r="BM658" s="824"/>
      <c r="BN658" s="828"/>
      <c r="BO658" s="828">
        <f ca="1">SUM(BO549:BO655)</f>
        <v>0</v>
      </c>
      <c r="BP658" s="828">
        <f ca="1">SUM(BP549:BP655)</f>
        <v>0</v>
      </c>
      <c r="BQ658" s="828">
        <f ca="1">SUM(BQ549:BQ655)</f>
        <v>0</v>
      </c>
      <c r="BR658" s="828">
        <f ca="1">SUM(BR549:BR655)</f>
        <v>0</v>
      </c>
      <c r="BS658" s="828">
        <f t="shared" ref="BS658:DL658" ca="1" si="514">SUM(BS549:BS655)</f>
        <v>0</v>
      </c>
      <c r="BT658" s="828">
        <f t="shared" ca="1" si="514"/>
        <v>0</v>
      </c>
      <c r="BU658" s="828">
        <f t="shared" ca="1" si="514"/>
        <v>0</v>
      </c>
      <c r="BV658" s="828">
        <f t="shared" ca="1" si="514"/>
        <v>0</v>
      </c>
      <c r="BW658" s="828">
        <f t="shared" ca="1" si="514"/>
        <v>0</v>
      </c>
      <c r="BX658" s="828">
        <f t="shared" ca="1" si="514"/>
        <v>0</v>
      </c>
      <c r="BY658" s="828">
        <f t="shared" ca="1" si="514"/>
        <v>0</v>
      </c>
      <c r="BZ658" s="828">
        <f t="shared" ca="1" si="514"/>
        <v>0</v>
      </c>
      <c r="CA658" s="828">
        <f t="shared" ca="1" si="514"/>
        <v>0</v>
      </c>
      <c r="CB658" s="828">
        <f t="shared" ca="1" si="514"/>
        <v>0</v>
      </c>
      <c r="CC658" s="828">
        <f t="shared" ca="1" si="514"/>
        <v>27819.795727419776</v>
      </c>
      <c r="CD658" s="828">
        <f t="shared" ca="1" si="514"/>
        <v>0</v>
      </c>
      <c r="CE658" s="828">
        <f t="shared" ca="1" si="514"/>
        <v>0</v>
      </c>
      <c r="CF658" s="828">
        <f t="shared" ca="1" si="514"/>
        <v>0</v>
      </c>
      <c r="CG658" s="828">
        <f t="shared" ca="1" si="514"/>
        <v>0</v>
      </c>
      <c r="CH658" s="828">
        <f t="shared" ca="1" si="514"/>
        <v>32983.937103226628</v>
      </c>
      <c r="CI658" s="828">
        <f t="shared" ca="1" si="514"/>
        <v>0</v>
      </c>
      <c r="CJ658" s="828">
        <f t="shared" ca="1" si="514"/>
        <v>0</v>
      </c>
      <c r="CK658" s="828">
        <f t="shared" ca="1" si="514"/>
        <v>0</v>
      </c>
      <c r="CL658" s="828">
        <f t="shared" ca="1" si="514"/>
        <v>0</v>
      </c>
      <c r="CM658" s="828">
        <f t="shared" ca="1" si="514"/>
        <v>105231.07945221136</v>
      </c>
      <c r="CN658" s="828">
        <f t="shared" ca="1" si="514"/>
        <v>0</v>
      </c>
      <c r="CO658" s="828">
        <f t="shared" ca="1" si="514"/>
        <v>0</v>
      </c>
      <c r="CP658" s="828">
        <f t="shared" ca="1" si="514"/>
        <v>0</v>
      </c>
      <c r="CQ658" s="828">
        <f t="shared" ca="1" si="514"/>
        <v>0</v>
      </c>
      <c r="CR658" s="828">
        <f t="shared" ca="1" si="514"/>
        <v>150514.72851978976</v>
      </c>
      <c r="CS658" s="828">
        <f t="shared" ca="1" si="514"/>
        <v>0</v>
      </c>
      <c r="CT658" s="828">
        <f t="shared" ca="1" si="514"/>
        <v>0</v>
      </c>
      <c r="CU658" s="828">
        <f t="shared" ca="1" si="514"/>
        <v>0</v>
      </c>
      <c r="CV658" s="828">
        <f t="shared" ca="1" si="514"/>
        <v>0</v>
      </c>
      <c r="CW658" s="828">
        <f t="shared" ca="1" si="514"/>
        <v>0</v>
      </c>
      <c r="CX658" s="828">
        <f t="shared" ca="1" si="514"/>
        <v>0</v>
      </c>
      <c r="CY658" s="828">
        <f t="shared" ca="1" si="514"/>
        <v>0</v>
      </c>
      <c r="CZ658" s="828">
        <f t="shared" ca="1" si="514"/>
        <v>0</v>
      </c>
      <c r="DA658" s="828">
        <f t="shared" ca="1" si="514"/>
        <v>0</v>
      </c>
      <c r="DB658" s="828">
        <f t="shared" ca="1" si="514"/>
        <v>0</v>
      </c>
      <c r="DC658" s="828">
        <f t="shared" ca="1" si="514"/>
        <v>0</v>
      </c>
      <c r="DD658" s="828">
        <f t="shared" ca="1" si="514"/>
        <v>0</v>
      </c>
      <c r="DE658" s="828">
        <f t="shared" ca="1" si="514"/>
        <v>0</v>
      </c>
      <c r="DF658" s="828">
        <f t="shared" ca="1" si="514"/>
        <v>0</v>
      </c>
      <c r="DG658" s="828">
        <f t="shared" ca="1" si="514"/>
        <v>0</v>
      </c>
      <c r="DH658" s="828">
        <f t="shared" ca="1" si="514"/>
        <v>0</v>
      </c>
      <c r="DI658" s="828">
        <f t="shared" ca="1" si="514"/>
        <v>0</v>
      </c>
      <c r="DJ658" s="828">
        <f t="shared" ca="1" si="514"/>
        <v>0</v>
      </c>
      <c r="DK658" s="828">
        <f t="shared" ca="1" si="514"/>
        <v>0</v>
      </c>
      <c r="DL658" s="828">
        <f t="shared" ca="1" si="514"/>
        <v>0</v>
      </c>
    </row>
    <row r="659" spans="2:116" ht="12" thickBot="1" x14ac:dyDescent="0.3">
      <c r="B659" s="1673"/>
      <c r="C659" s="1680"/>
      <c r="D659" s="97" t="str">
        <f>'3.2 Fi&amp;Fo'!$E$63</f>
        <v>Heizung</v>
      </c>
      <c r="E659" s="97"/>
      <c r="F659" s="9"/>
      <c r="G659" s="116"/>
      <c r="H659" s="9"/>
      <c r="I659" s="9"/>
      <c r="J659" s="116"/>
      <c r="K659" s="5">
        <f ca="1">SUBTOTAL(109,'3.3 Fi&amp;Fo'!$K$63)</f>
        <v>1247.9660793600001</v>
      </c>
      <c r="L659" s="5" t="str">
        <f ca="1">'2. Energie KW.'!F77</f>
        <v>Wärmepumpenstrom</v>
      </c>
      <c r="M659" s="9"/>
      <c r="N659" s="179"/>
      <c r="O659" s="22"/>
      <c r="P659" s="30">
        <f t="shared" si="507"/>
        <v>0</v>
      </c>
      <c r="Q659" s="31">
        <f t="shared" si="508"/>
        <v>0</v>
      </c>
      <c r="R659" s="31">
        <f t="shared" si="509"/>
        <v>0</v>
      </c>
      <c r="S659" s="31">
        <f t="shared" si="510"/>
        <v>0</v>
      </c>
      <c r="T659" s="32">
        <f t="shared" si="511"/>
        <v>0</v>
      </c>
      <c r="U659" s="37">
        <f t="shared" si="512"/>
        <v>0</v>
      </c>
      <c r="V659" s="40">
        <f t="shared" si="501"/>
        <v>0</v>
      </c>
      <c r="W659" s="41">
        <f t="shared" si="502"/>
        <v>0</v>
      </c>
      <c r="X659" s="43">
        <f ca="1">IFERROR(K659*VLOOKUP(L659,$A$159:$I$166,9,FALSE),0)</f>
        <v>55483.513160208538</v>
      </c>
      <c r="Y659" s="46"/>
      <c r="Z659" s="128"/>
      <c r="AA659" s="136">
        <f ca="1">K659*$O$151</f>
        <v>0</v>
      </c>
      <c r="AB659" s="3"/>
      <c r="AC659" s="156">
        <f ca="1">IF(L659="f",K659,0)</f>
        <v>0</v>
      </c>
      <c r="AD659" s="156">
        <f ca="1">IF(L659="s",K659,0)</f>
        <v>0</v>
      </c>
      <c r="AE659" s="156">
        <f ca="1">IF(L659="b",K659,0)</f>
        <v>0</v>
      </c>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row>
    <row r="660" spans="2:116" ht="12" thickBot="1" x14ac:dyDescent="0.3">
      <c r="B660" s="1673"/>
      <c r="C660" s="1680"/>
      <c r="D660" s="97" t="str">
        <f>'3.2 Fi&amp;Fo'!$E$64</f>
        <v>Heizung 2</v>
      </c>
      <c r="E660" s="97"/>
      <c r="F660" s="9"/>
      <c r="G660" s="116"/>
      <c r="H660" s="9"/>
      <c r="I660" s="9"/>
      <c r="J660" s="116"/>
      <c r="K660" s="5">
        <f ca="1">SUBTOTAL(109,'3.3 Fi&amp;Fo'!$K$64)</f>
        <v>0</v>
      </c>
      <c r="L660" s="5">
        <f ca="1">'2. Energie KW.'!F78</f>
        <v>0</v>
      </c>
      <c r="M660" s="9"/>
      <c r="N660" s="179"/>
      <c r="O660" s="22"/>
      <c r="P660" s="30">
        <f t="shared" si="507"/>
        <v>0</v>
      </c>
      <c r="Q660" s="31">
        <f t="shared" si="508"/>
        <v>0</v>
      </c>
      <c r="R660" s="31">
        <f t="shared" si="509"/>
        <v>0</v>
      </c>
      <c r="S660" s="31">
        <f t="shared" si="510"/>
        <v>0</v>
      </c>
      <c r="T660" s="32">
        <f t="shared" si="511"/>
        <v>0</v>
      </c>
      <c r="U660" s="37">
        <f t="shared" si="512"/>
        <v>0</v>
      </c>
      <c r="V660" s="40">
        <f t="shared" si="501"/>
        <v>0</v>
      </c>
      <c r="W660" s="41">
        <f t="shared" si="502"/>
        <v>0</v>
      </c>
      <c r="X660" s="43">
        <f t="shared" ref="X660:X679" ca="1" si="515">IFERROR(K660*VLOOKUP(L660,$A$159:$I$166,9,FALSE),0)</f>
        <v>0</v>
      </c>
      <c r="Y660" s="46"/>
      <c r="Z660" s="128"/>
      <c r="AA660" s="136">
        <f ca="1">K660*$O$151</f>
        <v>0</v>
      </c>
      <c r="AB660" s="3"/>
      <c r="AC660" s="156">
        <f t="shared" ref="AC660:AC680" ca="1" si="516">IF(L660="f",K660,0)</f>
        <v>0</v>
      </c>
      <c r="AD660" s="156">
        <f t="shared" ref="AD660:AD680" ca="1" si="517">IF(L660="s",K660,0)</f>
        <v>0</v>
      </c>
      <c r="AE660" s="156">
        <f t="shared" ref="AE660:AE680" ca="1" si="518">IF(L660="b",K660,0)</f>
        <v>0</v>
      </c>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row>
    <row r="661" spans="2:116" ht="12" thickBot="1" x14ac:dyDescent="0.3">
      <c r="B661" s="1673"/>
      <c r="C661" s="1680"/>
      <c r="D661" s="97" t="str">
        <f>'3.2 Fi&amp;Fo'!$E$65</f>
        <v>Warmwasser</v>
      </c>
      <c r="E661" s="97"/>
      <c r="F661" s="9"/>
      <c r="G661" s="116"/>
      <c r="H661" s="9"/>
      <c r="I661" s="9"/>
      <c r="J661" s="116"/>
      <c r="K661" s="5">
        <f ca="1">SUBTOTAL(109,'3.3 Fi&amp;Fo'!$K$65)</f>
        <v>1045.6858631999999</v>
      </c>
      <c r="L661" s="5" t="str">
        <f ca="1">'2. Energie KW.'!F79</f>
        <v>Wärmepumpenstrom</v>
      </c>
      <c r="M661" s="9"/>
      <c r="N661" s="179"/>
      <c r="O661" s="22"/>
      <c r="P661" s="30">
        <f t="shared" si="507"/>
        <v>0</v>
      </c>
      <c r="Q661" s="31">
        <f t="shared" si="508"/>
        <v>0</v>
      </c>
      <c r="R661" s="31">
        <f t="shared" si="509"/>
        <v>0</v>
      </c>
      <c r="S661" s="31">
        <f t="shared" si="510"/>
        <v>0</v>
      </c>
      <c r="T661" s="32">
        <f t="shared" si="511"/>
        <v>0</v>
      </c>
      <c r="U661" s="37">
        <f t="shared" si="512"/>
        <v>0</v>
      </c>
      <c r="V661" s="40">
        <f t="shared" si="501"/>
        <v>0</v>
      </c>
      <c r="W661" s="41">
        <f t="shared" si="502"/>
        <v>0</v>
      </c>
      <c r="X661" s="43">
        <f t="shared" ca="1" si="515"/>
        <v>46490.306356768131</v>
      </c>
      <c r="Y661" s="46"/>
      <c r="Z661" s="128"/>
      <c r="AA661" s="136">
        <f ca="1">K661*$O$151</f>
        <v>0</v>
      </c>
      <c r="AB661" s="3"/>
      <c r="AC661" s="156">
        <f t="shared" ca="1" si="516"/>
        <v>0</v>
      </c>
      <c r="AD661" s="156">
        <f t="shared" ca="1" si="517"/>
        <v>0</v>
      </c>
      <c r="AE661" s="156">
        <f t="shared" ca="1" si="518"/>
        <v>0</v>
      </c>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row>
    <row r="662" spans="2:116" ht="12" thickBot="1" x14ac:dyDescent="0.3">
      <c r="B662" s="1673"/>
      <c r="C662" s="1680"/>
      <c r="D662" s="97" t="str">
        <f>'3.2 Fi&amp;Fo'!$E$66</f>
        <v>Warmwasser 2</v>
      </c>
      <c r="E662" s="97"/>
      <c r="F662" s="9"/>
      <c r="G662" s="116"/>
      <c r="H662" s="9"/>
      <c r="I662" s="9"/>
      <c r="J662" s="116"/>
      <c r="K662" s="5">
        <f ca="1">SUBTOTAL(109,'3.3 Fi&amp;Fo'!$K$66)</f>
        <v>0</v>
      </c>
      <c r="L662" s="5">
        <f ca="1">'2. Energie KW.'!F80</f>
        <v>0</v>
      </c>
      <c r="M662" s="9"/>
      <c r="N662" s="179"/>
      <c r="O662" s="22"/>
      <c r="P662" s="30">
        <f t="shared" si="507"/>
        <v>0</v>
      </c>
      <c r="Q662" s="31">
        <f t="shared" si="508"/>
        <v>0</v>
      </c>
      <c r="R662" s="31">
        <f t="shared" si="509"/>
        <v>0</v>
      </c>
      <c r="S662" s="31">
        <f t="shared" si="510"/>
        <v>0</v>
      </c>
      <c r="T662" s="32">
        <f t="shared" si="511"/>
        <v>0</v>
      </c>
      <c r="U662" s="37">
        <f t="shared" si="512"/>
        <v>0</v>
      </c>
      <c r="V662" s="40">
        <f t="shared" si="501"/>
        <v>0</v>
      </c>
      <c r="W662" s="41">
        <f t="shared" si="502"/>
        <v>0</v>
      </c>
      <c r="X662" s="43">
        <f t="shared" ca="1" si="515"/>
        <v>0</v>
      </c>
      <c r="Y662" s="46"/>
      <c r="Z662" s="128"/>
      <c r="AA662" s="136">
        <f ca="1">K662*$O$151</f>
        <v>0</v>
      </c>
      <c r="AB662" s="3"/>
      <c r="AC662" s="156">
        <f t="shared" ca="1" si="516"/>
        <v>0</v>
      </c>
      <c r="AD662" s="156">
        <f t="shared" ca="1" si="517"/>
        <v>0</v>
      </c>
      <c r="AE662" s="156">
        <f t="shared" ca="1" si="518"/>
        <v>0</v>
      </c>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row>
    <row r="663" spans="2:116" ht="12" thickBot="1" x14ac:dyDescent="0.3">
      <c r="B663" s="1673"/>
      <c r="C663" s="1680"/>
      <c r="D663" s="97" t="str">
        <f>'3.2 Fi&amp;Fo'!$E$67</f>
        <v>Klimatisierung</v>
      </c>
      <c r="E663" s="97"/>
      <c r="F663" s="9"/>
      <c r="G663" s="116"/>
      <c r="H663" s="9"/>
      <c r="I663" s="9"/>
      <c r="J663" s="116"/>
      <c r="K663" s="5">
        <f ca="1">SUBTOTAL(109,'3.3 Fi&amp;Fo'!$K$67)</f>
        <v>0</v>
      </c>
      <c r="L663" s="5">
        <f ca="1">'2. Energie KW.'!F81</f>
        <v>0</v>
      </c>
      <c r="M663" s="9"/>
      <c r="N663" s="179"/>
      <c r="O663" s="22"/>
      <c r="P663" s="30">
        <f t="shared" si="507"/>
        <v>0</v>
      </c>
      <c r="Q663" s="31">
        <f t="shared" si="508"/>
        <v>0</v>
      </c>
      <c r="R663" s="31">
        <f t="shared" si="509"/>
        <v>0</v>
      </c>
      <c r="S663" s="31">
        <f t="shared" si="510"/>
        <v>0</v>
      </c>
      <c r="T663" s="32">
        <f t="shared" si="511"/>
        <v>0</v>
      </c>
      <c r="U663" s="37">
        <f t="shared" si="512"/>
        <v>0</v>
      </c>
      <c r="V663" s="40">
        <f t="shared" si="501"/>
        <v>0</v>
      </c>
      <c r="W663" s="41">
        <f t="shared" si="502"/>
        <v>0</v>
      </c>
      <c r="X663" s="43">
        <f t="shared" ca="1" si="515"/>
        <v>0</v>
      </c>
      <c r="Y663" s="46"/>
      <c r="Z663" s="128"/>
      <c r="AA663" s="136">
        <f ca="1">K663*$O$151</f>
        <v>0</v>
      </c>
      <c r="AB663" s="3"/>
      <c r="AC663" s="156">
        <f t="shared" ca="1" si="516"/>
        <v>0</v>
      </c>
      <c r="AD663" s="156">
        <f t="shared" ca="1" si="517"/>
        <v>0</v>
      </c>
      <c r="AE663" s="156">
        <f t="shared" ca="1" si="518"/>
        <v>0</v>
      </c>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row>
    <row r="664" spans="2:116" ht="12" thickBot="1" x14ac:dyDescent="0.3">
      <c r="B664" s="1673"/>
      <c r="C664" s="1680"/>
      <c r="D664" s="97"/>
      <c r="E664" s="97"/>
      <c r="F664" s="9"/>
      <c r="G664" s="116"/>
      <c r="H664" s="9"/>
      <c r="I664" s="9"/>
      <c r="J664" s="116"/>
      <c r="K664" s="5"/>
      <c r="L664" s="5"/>
      <c r="M664" s="9"/>
      <c r="N664" s="179"/>
      <c r="O664" s="22"/>
      <c r="P664" s="30"/>
      <c r="Q664" s="31"/>
      <c r="R664" s="31"/>
      <c r="S664" s="31"/>
      <c r="T664" s="32"/>
      <c r="U664" s="37"/>
      <c r="V664" s="40"/>
      <c r="W664" s="41"/>
      <c r="X664" s="43"/>
      <c r="Y664" s="46"/>
      <c r="Z664" s="128"/>
      <c r="AA664" s="136"/>
      <c r="AB664" s="3"/>
      <c r="AC664" s="156"/>
      <c r="AD664" s="156"/>
      <c r="AE664" s="156"/>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row>
    <row r="665" spans="2:116" ht="12" thickBot="1" x14ac:dyDescent="0.3">
      <c r="B665" s="1673"/>
      <c r="C665" s="1680"/>
      <c r="D665" s="97" t="str">
        <f>'3.2 Fi&amp;Fo'!$E$68</f>
        <v>Kühlung</v>
      </c>
      <c r="E665" s="97"/>
      <c r="F665" s="9"/>
      <c r="G665" s="116"/>
      <c r="H665" s="9"/>
      <c r="I665" s="9"/>
      <c r="J665" s="116"/>
      <c r="K665" s="5">
        <f ca="1">SUBTOTAL(109,'3.3 Fi&amp;Fo'!$K$68)</f>
        <v>0</v>
      </c>
      <c r="L665" s="5">
        <f ca="1">'2. Energie KW.'!F82</f>
        <v>0</v>
      </c>
      <c r="M665" s="9"/>
      <c r="N665" s="179"/>
      <c r="O665" s="22"/>
      <c r="P665" s="30">
        <f>IF(N665&gt;=1,O665*$G$158^(1*M665)/($G$157^(1*M665)),0)</f>
        <v>0</v>
      </c>
      <c r="Q665" s="31">
        <f>IF(N665&gt;=2,O665*$G$158^(2*M665)/($G$157^(2*M665)),0)</f>
        <v>0</v>
      </c>
      <c r="R665" s="31">
        <f>IF(N665&gt;=3,O665*$G$158^(3*M665)/($G$157^(3*M665)),0)</f>
        <v>0</v>
      </c>
      <c r="S665" s="31">
        <f>IF(N665&gt;=4,O665*$G$158^(4*M665)/($G$157^(4*M665)),0)</f>
        <v>0</v>
      </c>
      <c r="T665" s="32">
        <f>IF(N665&gt;=5,O665*$G$158^(5*M665)/($G$157^(5*M665)),0)</f>
        <v>0</v>
      </c>
      <c r="U665" s="37">
        <f t="shared" si="512"/>
        <v>0</v>
      </c>
      <c r="V665" s="40">
        <f t="shared" ref="V665:V686" si="519">G665*$I$169</f>
        <v>0</v>
      </c>
      <c r="W665" s="41">
        <f t="shared" ref="W665:W686" si="520">(I665+J665)*$I$167</f>
        <v>0</v>
      </c>
      <c r="X665" s="43">
        <f t="shared" ca="1" si="515"/>
        <v>0</v>
      </c>
      <c r="Y665" s="46"/>
      <c r="Z665" s="128"/>
      <c r="AA665" s="136">
        <f t="shared" ref="AA665:AA680" ca="1" si="521">K665*$O$151</f>
        <v>0</v>
      </c>
      <c r="AB665" s="3"/>
      <c r="AC665" s="156">
        <f t="shared" ca="1" si="516"/>
        <v>0</v>
      </c>
      <c r="AD665" s="156">
        <f t="shared" ca="1" si="517"/>
        <v>0</v>
      </c>
      <c r="AE665" s="156">
        <f t="shared" ca="1" si="518"/>
        <v>0</v>
      </c>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row>
    <row r="666" spans="2:116" ht="12" thickBot="1" x14ac:dyDescent="0.3">
      <c r="B666" s="1673"/>
      <c r="C666" s="1680"/>
      <c r="D666" s="97" t="str">
        <f>'3.2 Fi&amp;Fo'!$E$69</f>
        <v>Hilfstrom Heizung</v>
      </c>
      <c r="E666" s="97"/>
      <c r="F666" s="9"/>
      <c r="G666" s="116"/>
      <c r="H666" s="9"/>
      <c r="I666" s="9"/>
      <c r="J666" s="116"/>
      <c r="K666" s="5">
        <f>SUBTOTAL(109,'3.3 Fi&amp;Fo'!$K$69)</f>
        <v>171.06515712000001</v>
      </c>
      <c r="L666" s="5" t="str">
        <f>'2. Energie KW.'!F83</f>
        <v>Strom</v>
      </c>
      <c r="M666" s="9"/>
      <c r="N666" s="179"/>
      <c r="O666" s="22"/>
      <c r="P666" s="30">
        <f>IF(N666&gt;=1,O666*$G$158^(1*M666)/($G$157^(1*M666)),0)</f>
        <v>0</v>
      </c>
      <c r="Q666" s="31">
        <f>IF(N666&gt;=2,O666*$G$158^(2*M666)/($G$157^(2*M666)),0)</f>
        <v>0</v>
      </c>
      <c r="R666" s="31">
        <f>IF(N666&gt;=3,O666*$G$158^(3*M666)/($G$157^(3*M666)),0)</f>
        <v>0</v>
      </c>
      <c r="S666" s="31">
        <f>IF(N666&gt;=4,O666*$G$158^(4*M666)/($G$157^(4*M666)),0)</f>
        <v>0</v>
      </c>
      <c r="T666" s="32">
        <f>IF(N666&gt;=5,O666*$G$158^(5*M666)/($G$157^(5*M666)),0)</f>
        <v>0</v>
      </c>
      <c r="U666" s="37">
        <f t="shared" si="512"/>
        <v>0</v>
      </c>
      <c r="V666" s="40">
        <f t="shared" si="519"/>
        <v>0</v>
      </c>
      <c r="W666" s="41">
        <f t="shared" si="520"/>
        <v>0</v>
      </c>
      <c r="X666" s="43">
        <f t="shared" si="515"/>
        <v>6386.4824333478236</v>
      </c>
      <c r="Y666" s="46"/>
      <c r="Z666" s="128"/>
      <c r="AA666" s="136">
        <f t="shared" si="521"/>
        <v>0</v>
      </c>
      <c r="AB666" s="3"/>
      <c r="AC666" s="156">
        <f t="shared" si="516"/>
        <v>0</v>
      </c>
      <c r="AD666" s="156">
        <f t="shared" si="517"/>
        <v>0</v>
      </c>
      <c r="AE666" s="156">
        <f t="shared" si="518"/>
        <v>0</v>
      </c>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row>
    <row r="667" spans="2:116" ht="12" thickBot="1" x14ac:dyDescent="0.3">
      <c r="B667" s="1673"/>
      <c r="C667" s="1680"/>
      <c r="D667" s="97" t="str">
        <f>'3.2 Fi&amp;Fo'!$E$70</f>
        <v>Hilfsstrom Warmwasser</v>
      </c>
      <c r="E667" s="97"/>
      <c r="F667" s="9"/>
      <c r="G667" s="116"/>
      <c r="H667" s="9"/>
      <c r="I667" s="9"/>
      <c r="J667" s="116"/>
      <c r="K667" s="5">
        <f>SUBTOTAL(109,'3.3 Fi&amp;Fo'!$K$70)</f>
        <v>109.657152</v>
      </c>
      <c r="L667" s="5" t="str">
        <f>'2. Energie KW.'!F84</f>
        <v>Strom</v>
      </c>
      <c r="M667" s="9"/>
      <c r="N667" s="179"/>
      <c r="O667" s="22"/>
      <c r="P667" s="30">
        <f>IF(N667&gt;=1,O667*$G$158^(1*M667)/($G$157^(1*M667)),0)</f>
        <v>0</v>
      </c>
      <c r="Q667" s="31">
        <f>IF(N667&gt;=2,O667*$G$158^(2*M667)/($G$157^(2*M667)),0)</f>
        <v>0</v>
      </c>
      <c r="R667" s="31">
        <f>IF(N667&gt;=3,O667*$G$158^(3*M667)/($G$157^(3*M667)),0)</f>
        <v>0</v>
      </c>
      <c r="S667" s="31">
        <f>IF(N667&gt;=4,O667*$G$158^(4*M667)/($G$157^(4*M667)),0)</f>
        <v>0</v>
      </c>
      <c r="T667" s="32">
        <f>IF(N667&gt;=5,O667*$G$158^(5*M667)/($G$157^(5*M667)),0)</f>
        <v>0</v>
      </c>
      <c r="U667" s="37">
        <f t="shared" si="512"/>
        <v>0</v>
      </c>
      <c r="V667" s="40">
        <f t="shared" si="519"/>
        <v>0</v>
      </c>
      <c r="W667" s="41">
        <f t="shared" si="520"/>
        <v>0</v>
      </c>
      <c r="X667" s="43">
        <f t="shared" si="515"/>
        <v>4093.8989957357844</v>
      </c>
      <c r="Y667" s="46"/>
      <c r="Z667" s="128"/>
      <c r="AA667" s="136">
        <f t="shared" si="521"/>
        <v>0</v>
      </c>
      <c r="AB667" s="3"/>
      <c r="AC667" s="156">
        <f t="shared" si="516"/>
        <v>0</v>
      </c>
      <c r="AD667" s="156">
        <f t="shared" si="517"/>
        <v>0</v>
      </c>
      <c r="AE667" s="156">
        <f t="shared" si="518"/>
        <v>0</v>
      </c>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row>
    <row r="668" spans="2:116" ht="12" thickBot="1" x14ac:dyDescent="0.3">
      <c r="B668" s="1673"/>
      <c r="C668" s="1680"/>
      <c r="D668" s="97" t="str">
        <f>'3.2 Fi&amp;Fo'!$E$71</f>
        <v>Hilfsstrom Solaranlage</v>
      </c>
      <c r="E668" s="97"/>
      <c r="F668" s="9"/>
      <c r="G668" s="116"/>
      <c r="H668" s="9"/>
      <c r="I668" s="9"/>
      <c r="J668" s="116"/>
      <c r="K668" s="5">
        <f ca="1">SUBTOTAL(109,'3.3 Fi&amp;Fo'!$K$71)</f>
        <v>0</v>
      </c>
      <c r="L668" s="5" t="str">
        <f>'2. Energie KW.'!F85</f>
        <v>Strom</v>
      </c>
      <c r="M668" s="9"/>
      <c r="N668" s="179"/>
      <c r="O668" s="22"/>
      <c r="P668" s="30">
        <f t="shared" ref="P668:P682" si="522">IF(N668&gt;=1,O668*$G$158^(1*M668)/($G$157^(1*M668)),0)</f>
        <v>0</v>
      </c>
      <c r="Q668" s="31">
        <f t="shared" ref="Q668:Q682" si="523">IF(N668&gt;=2,O668*$G$158^(2*M668)/($G$157^(2*M668)),0)</f>
        <v>0</v>
      </c>
      <c r="R668" s="31">
        <f t="shared" ref="R668:R682" si="524">IF(N668&gt;=3,O668*$G$158^(3*M668)/($G$157^(3*M668)),0)</f>
        <v>0</v>
      </c>
      <c r="S668" s="31">
        <f t="shared" ref="S668:S682" si="525">IF(N668&gt;=4,O668*$G$158^(4*M668)/($G$157^(4*M668)),0)</f>
        <v>0</v>
      </c>
      <c r="T668" s="32">
        <f t="shared" ref="T668:T682" si="526">IF(N668&gt;=5,O668*$G$158^(5*M668)/($G$157^(5*M668)),0)</f>
        <v>0</v>
      </c>
      <c r="U668" s="37">
        <f t="shared" si="512"/>
        <v>0</v>
      </c>
      <c r="V668" s="40">
        <f t="shared" si="519"/>
        <v>0</v>
      </c>
      <c r="W668" s="41">
        <f t="shared" si="520"/>
        <v>0</v>
      </c>
      <c r="X668" s="43">
        <f t="shared" ca="1" si="515"/>
        <v>0</v>
      </c>
      <c r="Y668" s="46"/>
      <c r="Z668" s="128"/>
      <c r="AA668" s="136">
        <f t="shared" ca="1" si="521"/>
        <v>0</v>
      </c>
      <c r="AB668" s="3"/>
      <c r="AC668" s="156">
        <f t="shared" si="516"/>
        <v>0</v>
      </c>
      <c r="AD668" s="156">
        <f t="shared" si="517"/>
        <v>0</v>
      </c>
      <c r="AE668" s="156">
        <f t="shared" si="518"/>
        <v>0</v>
      </c>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row>
    <row r="669" spans="2:116" ht="12" thickBot="1" x14ac:dyDescent="0.3">
      <c r="B669" s="1673"/>
      <c r="C669" s="1680"/>
      <c r="D669" s="97" t="str">
        <f>'3.2 Fi&amp;Fo'!$E$72</f>
        <v>Hilfsstrom Klimatisierung</v>
      </c>
      <c r="E669" s="97"/>
      <c r="F669" s="9"/>
      <c r="G669" s="116"/>
      <c r="H669" s="9"/>
      <c r="I669" s="9"/>
      <c r="J669" s="116"/>
      <c r="K669" s="5">
        <f ca="1">SUBTOTAL(109,'3.3 Fi&amp;Fo'!$K$72)</f>
        <v>0</v>
      </c>
      <c r="L669" s="5" t="str">
        <f>'2. Energie KW.'!F86</f>
        <v>Strom</v>
      </c>
      <c r="M669" s="9"/>
      <c r="N669" s="179"/>
      <c r="O669" s="22"/>
      <c r="P669" s="30">
        <f t="shared" si="522"/>
        <v>0</v>
      </c>
      <c r="Q669" s="31">
        <f t="shared" si="523"/>
        <v>0</v>
      </c>
      <c r="R669" s="31">
        <f t="shared" si="524"/>
        <v>0</v>
      </c>
      <c r="S669" s="31">
        <f t="shared" si="525"/>
        <v>0</v>
      </c>
      <c r="T669" s="32">
        <f t="shared" si="526"/>
        <v>0</v>
      </c>
      <c r="U669" s="37">
        <f t="shared" si="512"/>
        <v>0</v>
      </c>
      <c r="V669" s="40">
        <f t="shared" si="519"/>
        <v>0</v>
      </c>
      <c r="W669" s="41">
        <f t="shared" si="520"/>
        <v>0</v>
      </c>
      <c r="X669" s="43">
        <f t="shared" ca="1" si="515"/>
        <v>0</v>
      </c>
      <c r="Y669" s="46"/>
      <c r="Z669" s="128"/>
      <c r="AA669" s="136">
        <f t="shared" ca="1" si="521"/>
        <v>0</v>
      </c>
      <c r="AB669" s="3"/>
      <c r="AC669" s="156">
        <f t="shared" si="516"/>
        <v>0</v>
      </c>
      <c r="AD669" s="156">
        <f t="shared" si="517"/>
        <v>0</v>
      </c>
      <c r="AE669" s="156">
        <f t="shared" si="518"/>
        <v>0</v>
      </c>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row>
    <row r="670" spans="2:116" ht="12" thickBot="1" x14ac:dyDescent="0.3">
      <c r="B670" s="1673"/>
      <c r="C670" s="1680"/>
      <c r="D670" s="97" t="str">
        <f>'3.2 Fi&amp;Fo'!$E$73</f>
        <v>Hilfsstrom Lüftung</v>
      </c>
      <c r="E670" s="97"/>
      <c r="F670" s="9"/>
      <c r="G670" s="116"/>
      <c r="H670" s="9"/>
      <c r="I670" s="9"/>
      <c r="J670" s="116"/>
      <c r="K670" s="5">
        <f ca="1">SUBTOTAL(109,'3.3 Fi&amp;Fo'!$K$73)</f>
        <v>307.04002559999998</v>
      </c>
      <c r="L670" s="5" t="str">
        <f>'2. Energie KW.'!F87</f>
        <v>Strom</v>
      </c>
      <c r="M670" s="9"/>
      <c r="N670" s="179"/>
      <c r="O670" s="22"/>
      <c r="P670" s="30">
        <f t="shared" si="522"/>
        <v>0</v>
      </c>
      <c r="Q670" s="31">
        <f t="shared" si="523"/>
        <v>0</v>
      </c>
      <c r="R670" s="31">
        <f t="shared" si="524"/>
        <v>0</v>
      </c>
      <c r="S670" s="31">
        <f t="shared" si="525"/>
        <v>0</v>
      </c>
      <c r="T670" s="32">
        <f t="shared" si="526"/>
        <v>0</v>
      </c>
      <c r="U670" s="37">
        <f t="shared" si="512"/>
        <v>0</v>
      </c>
      <c r="V670" s="40">
        <f t="shared" si="519"/>
        <v>0</v>
      </c>
      <c r="W670" s="41">
        <f t="shared" si="520"/>
        <v>0</v>
      </c>
      <c r="X670" s="43">
        <f t="shared" ca="1" si="515"/>
        <v>11462.917188060195</v>
      </c>
      <c r="Y670" s="46"/>
      <c r="Z670" s="128"/>
      <c r="AA670" s="136">
        <f t="shared" ca="1" si="521"/>
        <v>0</v>
      </c>
      <c r="AB670" s="3"/>
      <c r="AC670" s="156">
        <f t="shared" si="516"/>
        <v>0</v>
      </c>
      <c r="AD670" s="156">
        <f t="shared" si="517"/>
        <v>0</v>
      </c>
      <c r="AE670" s="156">
        <f t="shared" si="518"/>
        <v>0</v>
      </c>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row>
    <row r="671" spans="2:116" ht="12" thickBot="1" x14ac:dyDescent="0.3">
      <c r="B671" s="1673"/>
      <c r="C671" s="1680"/>
      <c r="D671" s="97" t="str">
        <f>'3.2 Fi&amp;Fo'!$E$74</f>
        <v>Hilfsstrom Kühlung</v>
      </c>
      <c r="E671" s="97"/>
      <c r="F671" s="9"/>
      <c r="G671" s="116"/>
      <c r="H671" s="9"/>
      <c r="I671" s="9"/>
      <c r="J671" s="116"/>
      <c r="K671" s="5">
        <f ca="1">SUBTOTAL(109,'3.3 Fi&amp;Fo'!$K$74)</f>
        <v>0</v>
      </c>
      <c r="L671" s="5" t="str">
        <f>'2. Energie KW.'!F88</f>
        <v>Strom</v>
      </c>
      <c r="M671" s="9"/>
      <c r="N671" s="179"/>
      <c r="O671" s="22"/>
      <c r="P671" s="30">
        <f t="shared" si="522"/>
        <v>0</v>
      </c>
      <c r="Q671" s="31">
        <f t="shared" si="523"/>
        <v>0</v>
      </c>
      <c r="R671" s="31">
        <f t="shared" si="524"/>
        <v>0</v>
      </c>
      <c r="S671" s="31">
        <f t="shared" si="525"/>
        <v>0</v>
      </c>
      <c r="T671" s="32">
        <f t="shared" si="526"/>
        <v>0</v>
      </c>
      <c r="U671" s="37">
        <f t="shared" si="512"/>
        <v>0</v>
      </c>
      <c r="V671" s="40">
        <f t="shared" si="519"/>
        <v>0</v>
      </c>
      <c r="W671" s="41">
        <f t="shared" si="520"/>
        <v>0</v>
      </c>
      <c r="X671" s="43">
        <f t="shared" ca="1" si="515"/>
        <v>0</v>
      </c>
      <c r="Y671" s="46"/>
      <c r="Z671" s="128"/>
      <c r="AA671" s="136">
        <f t="shared" ca="1" si="521"/>
        <v>0</v>
      </c>
      <c r="AB671" s="3"/>
      <c r="AC671" s="156">
        <f t="shared" si="516"/>
        <v>0</v>
      </c>
      <c r="AD671" s="156">
        <f t="shared" si="517"/>
        <v>0</v>
      </c>
      <c r="AE671" s="156">
        <f t="shared" si="518"/>
        <v>0</v>
      </c>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row>
    <row r="672" spans="2:116" ht="12" thickBot="1" x14ac:dyDescent="0.3">
      <c r="B672" s="1673"/>
      <c r="C672" s="1680"/>
      <c r="D672" s="97" t="str">
        <f>'3.2 Fi&amp;Fo'!$E$75</f>
        <v>Beleuchtung</v>
      </c>
      <c r="E672" s="97"/>
      <c r="F672" s="9"/>
      <c r="G672" s="116"/>
      <c r="H672" s="9"/>
      <c r="I672" s="9"/>
      <c r="J672" s="116"/>
      <c r="K672" s="5">
        <f ca="1">SUBTOTAL(109,'3.3 Fi&amp;Fo'!$K$75)</f>
        <v>0</v>
      </c>
      <c r="L672" s="5" t="str">
        <f>'2. Energie KW.'!F89</f>
        <v>Strom</v>
      </c>
      <c r="M672" s="9"/>
      <c r="N672" s="179"/>
      <c r="O672" s="22"/>
      <c r="P672" s="30">
        <f t="shared" si="522"/>
        <v>0</v>
      </c>
      <c r="Q672" s="31">
        <f t="shared" si="523"/>
        <v>0</v>
      </c>
      <c r="R672" s="31">
        <f t="shared" si="524"/>
        <v>0</v>
      </c>
      <c r="S672" s="31">
        <f t="shared" si="525"/>
        <v>0</v>
      </c>
      <c r="T672" s="32">
        <f t="shared" si="526"/>
        <v>0</v>
      </c>
      <c r="U672" s="37">
        <f t="shared" si="512"/>
        <v>0</v>
      </c>
      <c r="V672" s="40">
        <f t="shared" si="519"/>
        <v>0</v>
      </c>
      <c r="W672" s="41">
        <f t="shared" si="520"/>
        <v>0</v>
      </c>
      <c r="X672" s="43">
        <f t="shared" ca="1" si="515"/>
        <v>0</v>
      </c>
      <c r="Y672" s="46"/>
      <c r="Z672" s="128"/>
      <c r="AA672" s="136">
        <f t="shared" ca="1" si="521"/>
        <v>0</v>
      </c>
      <c r="AB672" s="3"/>
      <c r="AC672" s="156">
        <f t="shared" si="516"/>
        <v>0</v>
      </c>
      <c r="AD672" s="156">
        <f t="shared" si="517"/>
        <v>0</v>
      </c>
      <c r="AE672" s="156">
        <f t="shared" si="518"/>
        <v>0</v>
      </c>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row>
    <row r="673" spans="2:63" ht="12" thickBot="1" x14ac:dyDescent="0.3">
      <c r="B673" s="1673"/>
      <c r="C673" s="1680"/>
      <c r="D673" s="97" t="str">
        <f>'3.2 Fi&amp;Fo'!$E$76</f>
        <v>EDV</v>
      </c>
      <c r="E673" s="97"/>
      <c r="F673" s="9"/>
      <c r="G673" s="116"/>
      <c r="H673" s="9"/>
      <c r="I673" s="9"/>
      <c r="J673" s="116"/>
      <c r="K673" s="5">
        <f ca="1">SUBTOTAL(109,'3.3 Fi&amp;Fo'!$K$76)</f>
        <v>0</v>
      </c>
      <c r="L673" s="5" t="str">
        <f>'2. Energie KW.'!F90</f>
        <v>Strom</v>
      </c>
      <c r="M673" s="9"/>
      <c r="N673" s="179"/>
      <c r="O673" s="22"/>
      <c r="P673" s="30">
        <f t="shared" si="522"/>
        <v>0</v>
      </c>
      <c r="Q673" s="31">
        <f t="shared" si="523"/>
        <v>0</v>
      </c>
      <c r="R673" s="31">
        <f t="shared" si="524"/>
        <v>0</v>
      </c>
      <c r="S673" s="31">
        <f t="shared" si="525"/>
        <v>0</v>
      </c>
      <c r="T673" s="32">
        <f t="shared" si="526"/>
        <v>0</v>
      </c>
      <c r="U673" s="37">
        <f t="shared" si="512"/>
        <v>0</v>
      </c>
      <c r="V673" s="40">
        <f t="shared" si="519"/>
        <v>0</v>
      </c>
      <c r="W673" s="41">
        <f t="shared" si="520"/>
        <v>0</v>
      </c>
      <c r="X673" s="43">
        <f t="shared" ca="1" si="515"/>
        <v>0</v>
      </c>
      <c r="Y673" s="46"/>
      <c r="Z673" s="128"/>
      <c r="AA673" s="136">
        <f t="shared" ca="1" si="521"/>
        <v>0</v>
      </c>
      <c r="AB673" s="3"/>
      <c r="AC673" s="156">
        <f t="shared" si="516"/>
        <v>0</v>
      </c>
      <c r="AD673" s="156">
        <f t="shared" si="517"/>
        <v>0</v>
      </c>
      <c r="AE673" s="156">
        <f t="shared" si="518"/>
        <v>0</v>
      </c>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row>
    <row r="674" spans="2:63" ht="12" thickBot="1" x14ac:dyDescent="0.3">
      <c r="B674" s="1673"/>
      <c r="C674" s="1680"/>
      <c r="D674" s="97" t="str">
        <f>'3.2 Fi&amp;Fo'!$E$77</f>
        <v>Haushaltsstrom</v>
      </c>
      <c r="E674" s="97"/>
      <c r="F674" s="9"/>
      <c r="G674" s="116"/>
      <c r="H674" s="9"/>
      <c r="I674" s="9"/>
      <c r="J674" s="116"/>
      <c r="K674" s="5">
        <f ca="1">SUBTOTAL(109,'3.3 Fi&amp;Fo'!$K$77)</f>
        <v>5482.8576000000003</v>
      </c>
      <c r="L674" s="5" t="str">
        <f>'2. Energie KW.'!F91</f>
        <v>Strom</v>
      </c>
      <c r="M674" s="9"/>
      <c r="N674" s="179"/>
      <c r="O674" s="22"/>
      <c r="P674" s="30">
        <f t="shared" si="522"/>
        <v>0</v>
      </c>
      <c r="Q674" s="31">
        <f t="shared" si="523"/>
        <v>0</v>
      </c>
      <c r="R674" s="31">
        <f t="shared" si="524"/>
        <v>0</v>
      </c>
      <c r="S674" s="31">
        <f t="shared" si="525"/>
        <v>0</v>
      </c>
      <c r="T674" s="32">
        <f t="shared" si="526"/>
        <v>0</v>
      </c>
      <c r="U674" s="37">
        <f t="shared" si="512"/>
        <v>0</v>
      </c>
      <c r="V674" s="40">
        <f t="shared" si="519"/>
        <v>0</v>
      </c>
      <c r="W674" s="41">
        <f t="shared" si="520"/>
        <v>0</v>
      </c>
      <c r="X674" s="43">
        <f t="shared" ca="1" si="515"/>
        <v>204694.94978678922</v>
      </c>
      <c r="Y674" s="46"/>
      <c r="Z674" s="128"/>
      <c r="AA674" s="136">
        <f t="shared" ca="1" si="521"/>
        <v>0</v>
      </c>
      <c r="AB674" s="3"/>
      <c r="AC674" s="156">
        <f t="shared" si="516"/>
        <v>0</v>
      </c>
      <c r="AD674" s="156">
        <f t="shared" si="517"/>
        <v>0</v>
      </c>
      <c r="AE674" s="156">
        <f t="shared" si="518"/>
        <v>0</v>
      </c>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row>
    <row r="675" spans="2:63" ht="12" thickBot="1" x14ac:dyDescent="0.3">
      <c r="B675" s="1673"/>
      <c r="C675" s="1680"/>
      <c r="D675" s="97" t="str">
        <f>'3.2 Fi&amp;Fo'!$E$78</f>
        <v>Befeuchten</v>
      </c>
      <c r="E675" s="97"/>
      <c r="F675" s="9"/>
      <c r="G675" s="116"/>
      <c r="H675" s="9"/>
      <c r="I675" s="9"/>
      <c r="J675" s="116"/>
      <c r="K675" s="5">
        <f ca="1">SUBTOTAL(109,'3.3 Fi&amp;Fo'!$K$78)</f>
        <v>0</v>
      </c>
      <c r="L675" s="5">
        <f ca="1">'2. Energie KW.'!F92</f>
        <v>0</v>
      </c>
      <c r="M675" s="9"/>
      <c r="N675" s="179"/>
      <c r="O675" s="22"/>
      <c r="P675" s="30">
        <f t="shared" si="522"/>
        <v>0</v>
      </c>
      <c r="Q675" s="31">
        <f t="shared" si="523"/>
        <v>0</v>
      </c>
      <c r="R675" s="31">
        <f t="shared" si="524"/>
        <v>0</v>
      </c>
      <c r="S675" s="31">
        <f t="shared" si="525"/>
        <v>0</v>
      </c>
      <c r="T675" s="32">
        <f t="shared" si="526"/>
        <v>0</v>
      </c>
      <c r="U675" s="37">
        <f t="shared" si="512"/>
        <v>0</v>
      </c>
      <c r="V675" s="40">
        <f t="shared" si="519"/>
        <v>0</v>
      </c>
      <c r="W675" s="41">
        <f t="shared" si="520"/>
        <v>0</v>
      </c>
      <c r="X675" s="43">
        <f t="shared" ca="1" si="515"/>
        <v>0</v>
      </c>
      <c r="Y675" s="46"/>
      <c r="Z675" s="128"/>
      <c r="AA675" s="136">
        <f t="shared" ca="1" si="521"/>
        <v>0</v>
      </c>
      <c r="AB675" s="3"/>
      <c r="AC675" s="156">
        <f t="shared" ca="1" si="516"/>
        <v>0</v>
      </c>
      <c r="AD675" s="156">
        <f t="shared" ca="1" si="517"/>
        <v>0</v>
      </c>
      <c r="AE675" s="156">
        <f t="shared" ca="1" si="518"/>
        <v>0</v>
      </c>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row>
    <row r="676" spans="2:63" ht="12" thickBot="1" x14ac:dyDescent="0.3">
      <c r="B676" s="1673"/>
      <c r="C676" s="1680"/>
      <c r="D676" s="97" t="str">
        <f>'3.2 Fi&amp;Fo'!$E$79</f>
        <v>Entfeuchten</v>
      </c>
      <c r="E676" s="97"/>
      <c r="F676" s="9"/>
      <c r="G676" s="116"/>
      <c r="H676" s="9"/>
      <c r="I676" s="9"/>
      <c r="J676" s="116"/>
      <c r="K676" s="5">
        <f ca="1">SUBTOTAL(109,'3.3 Fi&amp;Fo'!$K$79)</f>
        <v>0</v>
      </c>
      <c r="L676" s="5">
        <f ca="1">'2. Energie KW.'!F93</f>
        <v>0</v>
      </c>
      <c r="M676" s="9"/>
      <c r="N676" s="179"/>
      <c r="O676" s="22"/>
      <c r="P676" s="30">
        <f t="shared" si="522"/>
        <v>0</v>
      </c>
      <c r="Q676" s="31">
        <f t="shared" si="523"/>
        <v>0</v>
      </c>
      <c r="R676" s="31">
        <f t="shared" si="524"/>
        <v>0</v>
      </c>
      <c r="S676" s="31">
        <f t="shared" si="525"/>
        <v>0</v>
      </c>
      <c r="T676" s="32">
        <f t="shared" si="526"/>
        <v>0</v>
      </c>
      <c r="U676" s="37">
        <f t="shared" si="512"/>
        <v>0</v>
      </c>
      <c r="V676" s="40">
        <f t="shared" si="519"/>
        <v>0</v>
      </c>
      <c r="W676" s="41">
        <f t="shared" si="520"/>
        <v>0</v>
      </c>
      <c r="X676" s="43">
        <f t="shared" ca="1" si="515"/>
        <v>0</v>
      </c>
      <c r="Y676" s="46"/>
      <c r="Z676" s="128"/>
      <c r="AA676" s="136">
        <f t="shared" ca="1" si="521"/>
        <v>0</v>
      </c>
      <c r="AB676" s="3"/>
      <c r="AC676" s="156">
        <f t="shared" ca="1" si="516"/>
        <v>0</v>
      </c>
      <c r="AD676" s="156">
        <f t="shared" ca="1" si="517"/>
        <v>0</v>
      </c>
      <c r="AE676" s="156">
        <f t="shared" ca="1" si="518"/>
        <v>0</v>
      </c>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row>
    <row r="677" spans="2:63" ht="12" thickBot="1" x14ac:dyDescent="0.3">
      <c r="B677" s="1673"/>
      <c r="C677" s="1680"/>
      <c r="D677" s="97" t="str">
        <f>'3.2 Fi&amp;Fo'!$E$80</f>
        <v>Sonstiges</v>
      </c>
      <c r="E677" s="97"/>
      <c r="F677" s="9"/>
      <c r="G677" s="116"/>
      <c r="H677" s="9"/>
      <c r="I677" s="9"/>
      <c r="J677" s="116"/>
      <c r="K677" s="5">
        <f ca="1">SUBTOTAL(109,'3.3 Fi&amp;Fo'!$K$80)</f>
        <v>0</v>
      </c>
      <c r="L677" s="5">
        <f ca="1">'2. Energie KW.'!F94</f>
        <v>0</v>
      </c>
      <c r="M677" s="9"/>
      <c r="N677" s="179"/>
      <c r="O677" s="22"/>
      <c r="P677" s="30">
        <f t="shared" si="522"/>
        <v>0</v>
      </c>
      <c r="Q677" s="31">
        <f t="shared" si="523"/>
        <v>0</v>
      </c>
      <c r="R677" s="31">
        <f t="shared" si="524"/>
        <v>0</v>
      </c>
      <c r="S677" s="31">
        <f t="shared" si="525"/>
        <v>0</v>
      </c>
      <c r="T677" s="32">
        <f t="shared" si="526"/>
        <v>0</v>
      </c>
      <c r="U677" s="37">
        <f t="shared" si="512"/>
        <v>0</v>
      </c>
      <c r="V677" s="40">
        <f t="shared" si="519"/>
        <v>0</v>
      </c>
      <c r="W677" s="41">
        <f t="shared" si="520"/>
        <v>0</v>
      </c>
      <c r="X677" s="43">
        <f t="shared" ca="1" si="515"/>
        <v>0</v>
      </c>
      <c r="Y677" s="46"/>
      <c r="Z677" s="128"/>
      <c r="AA677" s="136">
        <f t="shared" ca="1" si="521"/>
        <v>0</v>
      </c>
      <c r="AB677" s="3"/>
      <c r="AC677" s="156">
        <f t="shared" ca="1" si="516"/>
        <v>0</v>
      </c>
      <c r="AD677" s="156">
        <f t="shared" ca="1" si="517"/>
        <v>0</v>
      </c>
      <c r="AE677" s="156">
        <f t="shared" ca="1" si="518"/>
        <v>0</v>
      </c>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row>
    <row r="678" spans="2:63" ht="12" thickBot="1" x14ac:dyDescent="0.3">
      <c r="B678" s="1673"/>
      <c r="C678" s="1680"/>
      <c r="D678" s="97" t="str">
        <f>'3.2 Fi&amp;Fo'!$E$84</f>
        <v>Eigennutzung PV</v>
      </c>
      <c r="E678" s="97"/>
      <c r="F678" s="9"/>
      <c r="G678" s="116"/>
      <c r="H678" s="9"/>
      <c r="I678" s="9"/>
      <c r="J678" s="116"/>
      <c r="K678" s="5"/>
      <c r="L678" s="5"/>
      <c r="M678" s="9"/>
      <c r="N678" s="179"/>
      <c r="O678" s="22"/>
      <c r="P678" s="30">
        <f t="shared" si="522"/>
        <v>0</v>
      </c>
      <c r="Q678" s="31">
        <f t="shared" si="523"/>
        <v>0</v>
      </c>
      <c r="R678" s="31">
        <f t="shared" si="524"/>
        <v>0</v>
      </c>
      <c r="S678" s="31">
        <f t="shared" si="525"/>
        <v>0</v>
      </c>
      <c r="T678" s="32">
        <f t="shared" si="526"/>
        <v>0</v>
      </c>
      <c r="U678" s="37">
        <f t="shared" si="512"/>
        <v>0</v>
      </c>
      <c r="V678" s="40">
        <f t="shared" si="519"/>
        <v>0</v>
      </c>
      <c r="W678" s="41">
        <f t="shared" si="520"/>
        <v>0</v>
      </c>
      <c r="X678" s="43">
        <f t="shared" si="515"/>
        <v>0</v>
      </c>
      <c r="Y678" s="46"/>
      <c r="Z678" s="128"/>
      <c r="AA678" s="136">
        <f t="shared" si="521"/>
        <v>0</v>
      </c>
      <c r="AB678" s="3"/>
      <c r="AC678" s="156">
        <f t="shared" si="516"/>
        <v>0</v>
      </c>
      <c r="AD678" s="156">
        <f t="shared" si="517"/>
        <v>0</v>
      </c>
      <c r="AE678" s="156">
        <f t="shared" si="518"/>
        <v>0</v>
      </c>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row>
    <row r="679" spans="2:63" ht="12" thickBot="1" x14ac:dyDescent="0.3">
      <c r="B679" s="1673"/>
      <c r="C679" s="1680"/>
      <c r="D679" s="97" t="str">
        <f>'3.2 Fi&amp;Fo'!$E$85</f>
        <v>Stromeinspeisung PV</v>
      </c>
      <c r="E679" s="97"/>
      <c r="F679" s="9"/>
      <c r="G679" s="116"/>
      <c r="H679" s="9"/>
      <c r="I679" s="9"/>
      <c r="J679" s="116"/>
      <c r="K679" s="5"/>
      <c r="L679" s="5"/>
      <c r="M679" s="9"/>
      <c r="N679" s="179"/>
      <c r="O679" s="22"/>
      <c r="P679" s="30">
        <f t="shared" si="522"/>
        <v>0</v>
      </c>
      <c r="Q679" s="31">
        <f t="shared" si="523"/>
        <v>0</v>
      </c>
      <c r="R679" s="31">
        <f t="shared" si="524"/>
        <v>0</v>
      </c>
      <c r="S679" s="31">
        <f t="shared" si="525"/>
        <v>0</v>
      </c>
      <c r="T679" s="32">
        <f t="shared" si="526"/>
        <v>0</v>
      </c>
      <c r="U679" s="37">
        <f t="shared" si="512"/>
        <v>0</v>
      </c>
      <c r="V679" s="40">
        <f t="shared" si="519"/>
        <v>0</v>
      </c>
      <c r="W679" s="41">
        <f t="shared" si="520"/>
        <v>0</v>
      </c>
      <c r="X679" s="43">
        <f t="shared" si="515"/>
        <v>0</v>
      </c>
      <c r="Y679" s="46"/>
      <c r="Z679" s="128"/>
      <c r="AA679" s="136">
        <f t="shared" si="521"/>
        <v>0</v>
      </c>
      <c r="AB679" s="3"/>
      <c r="AC679" s="156">
        <f t="shared" si="516"/>
        <v>0</v>
      </c>
      <c r="AD679" s="156">
        <f t="shared" si="517"/>
        <v>0</v>
      </c>
      <c r="AE679" s="156">
        <f t="shared" si="518"/>
        <v>0</v>
      </c>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row>
    <row r="680" spans="2:63" ht="12" thickBot="1" x14ac:dyDescent="0.3">
      <c r="B680" s="1673"/>
      <c r="C680" s="1680"/>
      <c r="D680" s="16" t="str">
        <f>'3.2 Fi&amp;Fo'!$D$89</f>
        <v>Wasser und Abwasser</v>
      </c>
      <c r="E680" s="97"/>
      <c r="F680" s="9"/>
      <c r="G680" s="116"/>
      <c r="H680" s="9"/>
      <c r="I680" s="9"/>
      <c r="J680" s="5">
        <f>SUBTOTAL(109,'3.3 Fi&amp;Fo'!$K$89)</f>
        <v>0</v>
      </c>
      <c r="K680" s="5"/>
      <c r="L680" s="5"/>
      <c r="M680" s="9"/>
      <c r="N680" s="179"/>
      <c r="O680" s="22"/>
      <c r="P680" s="30">
        <f t="shared" si="522"/>
        <v>0</v>
      </c>
      <c r="Q680" s="31">
        <f t="shared" si="523"/>
        <v>0</v>
      </c>
      <c r="R680" s="31">
        <f t="shared" si="524"/>
        <v>0</v>
      </c>
      <c r="S680" s="31">
        <f t="shared" si="525"/>
        <v>0</v>
      </c>
      <c r="T680" s="32">
        <f t="shared" si="526"/>
        <v>0</v>
      </c>
      <c r="U680" s="37">
        <f t="shared" si="512"/>
        <v>0</v>
      </c>
      <c r="V680" s="40">
        <f t="shared" si="519"/>
        <v>0</v>
      </c>
      <c r="W680" s="41">
        <f t="shared" si="520"/>
        <v>0</v>
      </c>
      <c r="X680" s="43"/>
      <c r="Y680" s="46"/>
      <c r="Z680" s="128"/>
      <c r="AA680" s="136">
        <f t="shared" si="521"/>
        <v>0</v>
      </c>
      <c r="AB680" s="3"/>
      <c r="AC680" s="157">
        <f t="shared" si="516"/>
        <v>0</v>
      </c>
      <c r="AD680" s="157">
        <f t="shared" si="517"/>
        <v>0</v>
      </c>
      <c r="AE680" s="157">
        <f t="shared" si="518"/>
        <v>0</v>
      </c>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row>
    <row r="681" spans="2:63" ht="12" thickBot="1" x14ac:dyDescent="0.3">
      <c r="B681" s="1673"/>
      <c r="C681" s="1680"/>
      <c r="D681" s="16" t="str">
        <f>'3.2 Fi&amp;Fo'!$D$93</f>
        <v>Reinigung und Pflege</v>
      </c>
      <c r="E681" s="97"/>
      <c r="F681" s="9"/>
      <c r="G681" s="116"/>
      <c r="H681" s="9"/>
      <c r="I681" s="9"/>
      <c r="J681" s="5">
        <f>SUBTOTAL(109,'3.3 Fi&amp;Fo'!$K$93)</f>
        <v>0</v>
      </c>
      <c r="K681" s="116"/>
      <c r="L681" s="116"/>
      <c r="M681" s="9"/>
      <c r="N681" s="179"/>
      <c r="O681" s="22"/>
      <c r="P681" s="30">
        <f t="shared" si="522"/>
        <v>0</v>
      </c>
      <c r="Q681" s="31">
        <f t="shared" si="523"/>
        <v>0</v>
      </c>
      <c r="R681" s="31">
        <f t="shared" si="524"/>
        <v>0</v>
      </c>
      <c r="S681" s="31">
        <f t="shared" si="525"/>
        <v>0</v>
      </c>
      <c r="T681" s="32">
        <f t="shared" si="526"/>
        <v>0</v>
      </c>
      <c r="U681" s="37">
        <f t="shared" si="512"/>
        <v>0</v>
      </c>
      <c r="V681" s="40">
        <f t="shared" si="519"/>
        <v>0</v>
      </c>
      <c r="W681" s="41">
        <f t="shared" si="520"/>
        <v>0</v>
      </c>
      <c r="X681" s="43"/>
      <c r="Y681" s="46"/>
      <c r="Z681" s="129"/>
      <c r="AA681" s="155"/>
      <c r="AB681" s="161" t="s">
        <v>285</v>
      </c>
      <c r="AC681" s="158">
        <f ca="1">SUM(AC659:AC680)</f>
        <v>0</v>
      </c>
      <c r="AD681" s="159">
        <f ca="1">SUM(AD659:AD680)</f>
        <v>0</v>
      </c>
      <c r="AE681" s="160">
        <f ca="1">SUM(AE659:AE680)</f>
        <v>0</v>
      </c>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row>
    <row r="682" spans="2:63" ht="12" thickBot="1" x14ac:dyDescent="0.3">
      <c r="B682" s="1673"/>
      <c r="C682" s="1680"/>
      <c r="D682" s="16" t="s">
        <v>344</v>
      </c>
      <c r="E682" s="97"/>
      <c r="F682" s="9"/>
      <c r="G682" s="116"/>
      <c r="H682" s="9"/>
      <c r="I682" s="9"/>
      <c r="J682" s="5">
        <f>SUBTOTAL(109,'3.3 Fi&amp;Fo'!$K$100)</f>
        <v>0</v>
      </c>
      <c r="K682" s="116"/>
      <c r="L682" s="116"/>
      <c r="M682" s="9"/>
      <c r="N682" s="179"/>
      <c r="O682" s="22"/>
      <c r="P682" s="30">
        <f t="shared" si="522"/>
        <v>0</v>
      </c>
      <c r="Q682" s="31">
        <f t="shared" si="523"/>
        <v>0</v>
      </c>
      <c r="R682" s="31">
        <f t="shared" si="524"/>
        <v>0</v>
      </c>
      <c r="S682" s="31">
        <f t="shared" si="525"/>
        <v>0</v>
      </c>
      <c r="T682" s="32">
        <f t="shared" si="526"/>
        <v>0</v>
      </c>
      <c r="U682" s="37">
        <f t="shared" si="512"/>
        <v>0</v>
      </c>
      <c r="V682" s="40">
        <f t="shared" si="519"/>
        <v>0</v>
      </c>
      <c r="W682" s="41">
        <f t="shared" si="520"/>
        <v>0</v>
      </c>
      <c r="X682" s="43"/>
      <c r="Y682" s="46"/>
      <c r="Z682" s="129"/>
      <c r="AA682" s="136"/>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row>
    <row r="683" spans="2:63" ht="12" thickBot="1" x14ac:dyDescent="0.3">
      <c r="B683" s="1673"/>
      <c r="C683" s="1680"/>
      <c r="D683" s="97" t="s">
        <v>272</v>
      </c>
      <c r="E683" s="97"/>
      <c r="F683" s="9"/>
      <c r="G683" s="116"/>
      <c r="H683" s="9"/>
      <c r="I683" s="9"/>
      <c r="J683" s="5">
        <f>SUBTOTAL(109,'3.3 Fi&amp;Fo'!$K$104)</f>
        <v>0</v>
      </c>
      <c r="K683" s="116"/>
      <c r="L683" s="116"/>
      <c r="M683" s="9"/>
      <c r="N683" s="179"/>
      <c r="O683" s="22"/>
      <c r="P683" s="30">
        <f>IF(N683&gt;=1,O683*$G$158^(1*M683)/($G$157^(1*M683)),0)</f>
        <v>0</v>
      </c>
      <c r="Q683" s="31">
        <f>IF(N683&gt;=2,O683*$G$158^(2*M683)/($G$157^(2*M683)),0)</f>
        <v>0</v>
      </c>
      <c r="R683" s="31">
        <f>IF(N683&gt;=3,O683*$G$158^(3*M683)/($G$157^(3*M683)),0)</f>
        <v>0</v>
      </c>
      <c r="S683" s="31">
        <f>IF(N683&gt;=4,O683*$G$158^(4*M683)/($G$157^(4*M683)),0)</f>
        <v>0</v>
      </c>
      <c r="T683" s="32">
        <f>IF(N683&gt;=5,O683*$G$158^(5*M683)/($G$157^(5*M683)),0)</f>
        <v>0</v>
      </c>
      <c r="U683" s="37">
        <f t="shared" si="512"/>
        <v>0</v>
      </c>
      <c r="V683" s="40">
        <f t="shared" si="519"/>
        <v>0</v>
      </c>
      <c r="W683" s="41">
        <f t="shared" si="520"/>
        <v>0</v>
      </c>
      <c r="X683" s="43"/>
      <c r="Y683" s="46"/>
      <c r="Z683" s="129"/>
      <c r="AA683" s="136"/>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row>
    <row r="684" spans="2:63" ht="12" thickBot="1" x14ac:dyDescent="0.3">
      <c r="B684" s="1673"/>
      <c r="C684" s="1680"/>
      <c r="D684" s="97" t="s">
        <v>272</v>
      </c>
      <c r="E684" s="97"/>
      <c r="F684" s="9"/>
      <c r="G684" s="116"/>
      <c r="H684" s="9"/>
      <c r="I684" s="9"/>
      <c r="J684" s="5">
        <f>SUBTOTAL(109,'3.3 Fi&amp;Fo'!$K$105)</f>
        <v>0</v>
      </c>
      <c r="K684" s="116"/>
      <c r="L684" s="116"/>
      <c r="M684" s="9"/>
      <c r="N684" s="179"/>
      <c r="O684" s="22"/>
      <c r="P684" s="30">
        <f>IF(N684&gt;=1,O684*$G$158^(1*M684)/($G$157^(1*M684)),0)</f>
        <v>0</v>
      </c>
      <c r="Q684" s="31">
        <f>IF(N684&gt;=2,O684*$G$158^(2*M684)/($G$157^(2*M684)),0)</f>
        <v>0</v>
      </c>
      <c r="R684" s="31">
        <f>IF(N684&gt;=3,O684*$G$158^(3*M684)/($G$157^(3*M684)),0)</f>
        <v>0</v>
      </c>
      <c r="S684" s="31">
        <f>IF(N684&gt;=4,O684*$G$158^(4*M684)/($G$157^(4*M684)),0)</f>
        <v>0</v>
      </c>
      <c r="T684" s="32">
        <f>IF(N684&gt;=5,O684*$G$158^(5*M684)/($G$157^(5*M684)),0)</f>
        <v>0</v>
      </c>
      <c r="U684" s="37">
        <f t="shared" si="512"/>
        <v>0</v>
      </c>
      <c r="V684" s="40">
        <f t="shared" si="519"/>
        <v>0</v>
      </c>
      <c r="W684" s="41">
        <f t="shared" si="520"/>
        <v>0</v>
      </c>
      <c r="X684" s="43"/>
      <c r="Y684" s="46"/>
      <c r="Z684" s="129"/>
      <c r="AA684" s="136"/>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row>
    <row r="685" spans="2:63" ht="12" thickBot="1" x14ac:dyDescent="0.3">
      <c r="B685" s="1673"/>
      <c r="C685" s="1680"/>
      <c r="D685" s="98" t="s">
        <v>272</v>
      </c>
      <c r="E685" s="97"/>
      <c r="F685" s="19"/>
      <c r="G685" s="63"/>
      <c r="H685" s="19"/>
      <c r="I685" s="19"/>
      <c r="J685" s="5">
        <f>SUBTOTAL(109,'3.3 Fi&amp;Fo'!$K$106)</f>
        <v>0</v>
      </c>
      <c r="K685" s="116"/>
      <c r="L685" s="116"/>
      <c r="M685" s="9"/>
      <c r="N685" s="179"/>
      <c r="O685" s="22"/>
      <c r="P685" s="30">
        <f>IF(N685&gt;=1,O685*$G$158^(1*M685)/($G$157^(1*M685)),0)</f>
        <v>0</v>
      </c>
      <c r="Q685" s="31">
        <f>IF(N685&gt;=2,O685*$G$158^(2*M685)/($G$157^(2*M685)),0)</f>
        <v>0</v>
      </c>
      <c r="R685" s="31">
        <f>IF(N685&gt;=3,O685*$G$158^(3*M685)/($G$157^(3*M685)),0)</f>
        <v>0</v>
      </c>
      <c r="S685" s="31">
        <f>IF(N685&gt;=4,O685*$G$158^(4*M685)/($G$157^(4*M685)),0)</f>
        <v>0</v>
      </c>
      <c r="T685" s="32">
        <f>IF(N685&gt;=5,O685*$G$158^(5*M685)/($G$157^(5*M685)),0)</f>
        <v>0</v>
      </c>
      <c r="U685" s="37">
        <f t="shared" si="512"/>
        <v>0</v>
      </c>
      <c r="V685" s="40">
        <f t="shared" si="519"/>
        <v>0</v>
      </c>
      <c r="W685" s="41">
        <f t="shared" si="520"/>
        <v>0</v>
      </c>
      <c r="X685" s="43"/>
      <c r="Y685" s="46"/>
      <c r="Z685" s="129"/>
      <c r="AA685" s="136"/>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row>
    <row r="686" spans="2:63" ht="12" thickBot="1" x14ac:dyDescent="0.3">
      <c r="B686" s="1674"/>
      <c r="C686" s="1681"/>
      <c r="D686" s="330" t="s">
        <v>406</v>
      </c>
      <c r="E686" s="97"/>
      <c r="F686" s="17"/>
      <c r="G686" s="17"/>
      <c r="H686" s="17"/>
      <c r="I686" s="17"/>
      <c r="J686" s="5">
        <f>-SUBTOTAL(109,'3.3 Fi&amp;Fo'!$K$110)</f>
        <v>0</v>
      </c>
      <c r="K686" s="17"/>
      <c r="L686" s="17"/>
      <c r="M686" s="19"/>
      <c r="N686" s="180"/>
      <c r="O686" s="23"/>
      <c r="P686" s="30">
        <f>IF(N686&gt;=1,O686*$G$158^(1*M686)/($G$157^(1*M686)),0)</f>
        <v>0</v>
      </c>
      <c r="Q686" s="31">
        <f>IF(N686&gt;=2,O686*$G$158^(2*M686)/($G$157^(2*M686)),0)</f>
        <v>0</v>
      </c>
      <c r="R686" s="31">
        <f>IF(N686&gt;=3,O686*$G$158^(3*M686)/($G$157^(3*M686)),0)</f>
        <v>0</v>
      </c>
      <c r="S686" s="31">
        <f>IF(N686&gt;=4,O686*$G$158^(4*M686)/($G$157^(4*M686)),0)</f>
        <v>0</v>
      </c>
      <c r="T686" s="32">
        <f>IF(N686&gt;=5,O686*$G$158^(5*M686)/($G$157^(5*M686)),0)</f>
        <v>0</v>
      </c>
      <c r="U686" s="37">
        <f t="shared" si="512"/>
        <v>0</v>
      </c>
      <c r="V686" s="40">
        <f t="shared" si="519"/>
        <v>0</v>
      </c>
      <c r="W686" s="41">
        <f t="shared" si="520"/>
        <v>0</v>
      </c>
      <c r="X686" s="44"/>
      <c r="Y686" s="47"/>
      <c r="Z686" s="130"/>
      <c r="AA686" s="134"/>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row>
    <row r="687" spans="2:63" ht="11.25" customHeight="1" x14ac:dyDescent="0.25">
      <c r="G687" s="300" t="str">
        <f t="shared" ref="G687" si="527">G547</f>
        <v>Kosten für Instandsetzung</v>
      </c>
      <c r="I687" s="300" t="str">
        <f t="shared" ref="I687:K687" si="528">I547</f>
        <v>Kosten für Wartung</v>
      </c>
      <c r="J687" s="300" t="str">
        <f t="shared" si="528"/>
        <v>Betriebsgebundene Kosten</v>
      </c>
      <c r="K687" s="300" t="str">
        <f t="shared" si="528"/>
        <v>Verbrauchsgebunden Kosten</v>
      </c>
    </row>
    <row r="688" spans="2:63" ht="11.25" customHeight="1" x14ac:dyDescent="0.25">
      <c r="D688" s="300" t="s">
        <v>581</v>
      </c>
      <c r="G688" s="300">
        <f t="shared" ref="G688" ca="1" si="529">SUM(G549:G686)</f>
        <v>0</v>
      </c>
      <c r="I688" s="300">
        <f t="shared" ref="I688:K688" ca="1" si="530">SUM(I549:I686)</f>
        <v>3674.9</v>
      </c>
      <c r="J688" s="300">
        <f t="shared" ca="1" si="530"/>
        <v>2996.3999999999996</v>
      </c>
      <c r="K688" s="300">
        <f t="shared" ca="1" si="530"/>
        <v>8364.2718772799999</v>
      </c>
    </row>
    <row r="697" spans="2:64" ht="12" thickBot="1" x14ac:dyDescent="0.3"/>
    <row r="698" spans="2:64" x14ac:dyDescent="0.25">
      <c r="B698" s="1672" t="str">
        <f>F8</f>
        <v>PHWRGSo</v>
      </c>
      <c r="C698" s="1675"/>
      <c r="D698" s="1676"/>
      <c r="E698" s="1676"/>
      <c r="F698" s="1676"/>
      <c r="G698" s="1676"/>
      <c r="H698" s="1676"/>
      <c r="I698" s="1676"/>
      <c r="J698" s="1676"/>
      <c r="K698" s="1676"/>
      <c r="L698" s="1676"/>
      <c r="M698" s="1676"/>
      <c r="N698" s="1676"/>
      <c r="O698" s="1676"/>
      <c r="P698" s="1676"/>
      <c r="Q698" s="1676"/>
      <c r="R698" s="1676"/>
      <c r="S698" s="1676"/>
      <c r="T698" s="1676"/>
      <c r="U698" s="1676"/>
      <c r="V698" s="1676"/>
      <c r="W698" s="1676"/>
      <c r="X698" s="1676"/>
      <c r="Y698" s="1676"/>
      <c r="Z698" s="1676"/>
      <c r="AA698" s="1676"/>
      <c r="AB698" s="1676"/>
      <c r="AC698" s="1676"/>
      <c r="AD698" s="1676"/>
      <c r="AE698" s="1676"/>
      <c r="AF698" s="1676"/>
      <c r="AG698" s="1676"/>
      <c r="AH698" s="1676"/>
      <c r="AI698" s="1676"/>
      <c r="AJ698" s="1676"/>
      <c r="AK698" s="1676"/>
      <c r="AL698" s="1676"/>
      <c r="AM698" s="1676"/>
      <c r="AN698" s="1676"/>
      <c r="AO698" s="1676"/>
      <c r="AP698" s="1676"/>
      <c r="AQ698" s="1676"/>
      <c r="AR698" s="1676"/>
      <c r="AS698" s="1676"/>
      <c r="AT698" s="1676"/>
      <c r="AU698" s="1676"/>
      <c r="AV698" s="1676"/>
      <c r="AW698" s="1676"/>
      <c r="AX698" s="1676"/>
      <c r="AY698" s="1676"/>
      <c r="AZ698" s="1676"/>
      <c r="BA698" s="1676"/>
      <c r="BB698" s="1676"/>
      <c r="BC698" s="1676"/>
      <c r="BD698" s="1676"/>
      <c r="BE698" s="1676"/>
      <c r="BF698" s="1676"/>
      <c r="BG698" s="1676"/>
      <c r="BH698" s="1676"/>
      <c r="BI698" s="1676"/>
      <c r="BJ698" s="1676"/>
      <c r="BK698" s="1676"/>
      <c r="BL698" s="1676"/>
    </row>
    <row r="699" spans="2:64" x14ac:dyDescent="0.25">
      <c r="B699" s="1673"/>
      <c r="C699" s="3"/>
      <c r="D699" s="3"/>
      <c r="E699" s="3"/>
      <c r="F699" s="3"/>
      <c r="G699" s="3"/>
      <c r="H699" s="3"/>
      <c r="I699" s="3"/>
      <c r="J699" s="3"/>
      <c r="K699" s="3"/>
      <c r="L699" s="3"/>
      <c r="M699" s="3"/>
      <c r="N699" s="3"/>
      <c r="O699" s="3"/>
      <c r="P699" s="3"/>
      <c r="Q699" s="3"/>
      <c r="R699" s="3"/>
      <c r="S699" s="3"/>
      <c r="T699" s="3"/>
      <c r="U699" s="3"/>
      <c r="V699" s="96"/>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row>
    <row r="700" spans="2:64" x14ac:dyDescent="0.25">
      <c r="B700" s="1673"/>
      <c r="C700" s="3"/>
      <c r="D700" s="3"/>
      <c r="E700" s="3"/>
      <c r="F700" s="3"/>
      <c r="G700" s="3"/>
      <c r="H700" s="3"/>
      <c r="I700" s="3"/>
      <c r="J700" s="3"/>
      <c r="K700" s="3"/>
      <c r="L700" s="3"/>
      <c r="M700" s="3"/>
      <c r="N700" s="3"/>
      <c r="O700" s="3"/>
      <c r="P700" s="3"/>
      <c r="Q700" s="3"/>
      <c r="R700" s="3"/>
      <c r="S700" s="3"/>
      <c r="T700" s="3"/>
      <c r="U700" s="3"/>
      <c r="V700" s="96"/>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row>
    <row r="701" spans="2:64" x14ac:dyDescent="0.25">
      <c r="B701" s="1673"/>
      <c r="C701" s="3"/>
      <c r="D701" s="3"/>
      <c r="E701" s="3"/>
      <c r="F701" s="3"/>
      <c r="G701" s="61"/>
      <c r="H701" s="3"/>
      <c r="I701" s="3"/>
      <c r="J701" s="3"/>
      <c r="K701" s="3"/>
      <c r="L701" s="3"/>
      <c r="M701" s="3"/>
      <c r="N701" s="3"/>
      <c r="O701" s="3"/>
      <c r="P701" s="3"/>
      <c r="Q701" s="3"/>
      <c r="R701" s="3"/>
      <c r="S701" s="3"/>
      <c r="T701" s="3"/>
      <c r="U701" s="3"/>
      <c r="V701" s="96"/>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row>
    <row r="702" spans="2:64" x14ac:dyDescent="0.25">
      <c r="B702" s="1673"/>
      <c r="C702" s="3"/>
      <c r="D702" s="3"/>
      <c r="E702" s="3"/>
      <c r="F702" s="3"/>
      <c r="G702" s="3"/>
      <c r="H702" s="3"/>
      <c r="I702" s="3"/>
      <c r="J702" s="3"/>
      <c r="K702" s="3"/>
      <c r="L702" s="3"/>
      <c r="M702" s="3"/>
      <c r="N702" s="3"/>
      <c r="O702" s="3"/>
      <c r="P702" s="3"/>
      <c r="Q702" s="3"/>
      <c r="R702" s="3"/>
      <c r="S702" s="3"/>
      <c r="T702" s="3"/>
      <c r="U702" s="3"/>
      <c r="V702" s="96"/>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row>
    <row r="703" spans="2:64" x14ac:dyDescent="0.25">
      <c r="B703" s="1673"/>
      <c r="C703" s="3"/>
      <c r="D703" s="3"/>
      <c r="E703" s="3"/>
      <c r="F703" s="3"/>
      <c r="G703" s="3"/>
      <c r="H703" s="3"/>
      <c r="I703" s="3"/>
      <c r="J703" s="3"/>
      <c r="K703" s="3"/>
      <c r="L703" s="3"/>
      <c r="M703" s="3"/>
      <c r="N703" s="3"/>
      <c r="O703" s="3"/>
      <c r="P703" s="3"/>
      <c r="Q703" s="3"/>
      <c r="R703" s="3"/>
      <c r="S703" s="3"/>
      <c r="T703" s="3"/>
      <c r="U703" s="3"/>
      <c r="V703" s="96"/>
      <c r="W703" s="3"/>
      <c r="X703" s="3"/>
      <c r="Y703" s="3"/>
      <c r="Z703" s="59"/>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row>
    <row r="704" spans="2:64" x14ac:dyDescent="0.25">
      <c r="B704" s="1673"/>
      <c r="C704" s="3"/>
      <c r="D704" s="3"/>
      <c r="E704" s="3"/>
      <c r="F704" s="3"/>
      <c r="G704" s="3"/>
      <c r="H704" s="3"/>
      <c r="I704" s="3"/>
      <c r="J704" s="3"/>
      <c r="K704" s="3"/>
      <c r="L704" s="3"/>
      <c r="M704" s="3"/>
      <c r="N704" s="3"/>
      <c r="O704" s="3"/>
      <c r="P704" s="3"/>
      <c r="Q704" s="3"/>
      <c r="R704" s="3"/>
      <c r="S704" s="3"/>
      <c r="T704" s="3"/>
      <c r="U704" s="3"/>
      <c r="V704" s="96"/>
      <c r="W704" s="3"/>
      <c r="X704" s="3"/>
      <c r="Y704" s="3"/>
      <c r="Z704" s="3"/>
      <c r="AA704" s="59"/>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row>
    <row r="705" spans="2:116" x14ac:dyDescent="0.25">
      <c r="B705" s="1673"/>
      <c r="C705" s="3"/>
      <c r="D705" s="3"/>
      <c r="E705" s="3"/>
      <c r="F705" s="3"/>
      <c r="G705" s="3"/>
      <c r="H705" s="3"/>
      <c r="I705" s="3"/>
      <c r="J705" s="3"/>
      <c r="K705" s="3"/>
      <c r="L705" s="3"/>
      <c r="M705" s="3"/>
      <c r="N705" s="3"/>
      <c r="O705" s="3"/>
      <c r="P705" s="3"/>
      <c r="Q705" s="3"/>
      <c r="R705" s="3"/>
      <c r="S705" s="3"/>
      <c r="T705" s="3"/>
      <c r="U705" s="3"/>
      <c r="V705" s="96"/>
      <c r="W705" s="3"/>
      <c r="X705" s="3"/>
      <c r="Y705" s="3"/>
      <c r="Z705" s="3"/>
      <c r="AA705" s="59"/>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row>
    <row r="706" spans="2:116" x14ac:dyDescent="0.25">
      <c r="B706" s="1673"/>
      <c r="C706" s="3"/>
      <c r="D706" s="3"/>
      <c r="E706" s="3"/>
      <c r="F706" s="3"/>
      <c r="G706" s="3"/>
      <c r="H706" s="3"/>
      <c r="I706" s="3"/>
      <c r="J706" s="3"/>
      <c r="K706" s="3"/>
      <c r="L706" s="3"/>
      <c r="M706" s="3"/>
      <c r="N706" s="3"/>
      <c r="O706" s="3"/>
      <c r="P706" s="3"/>
      <c r="Q706" s="3"/>
      <c r="R706" s="3"/>
      <c r="S706" s="3"/>
      <c r="T706" s="3"/>
      <c r="U706" s="3"/>
      <c r="V706" s="96"/>
      <c r="W706" s="3"/>
      <c r="X706" s="3"/>
      <c r="Y706" s="3"/>
      <c r="Z706" s="59"/>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row>
    <row r="707" spans="2:116" x14ac:dyDescent="0.25">
      <c r="B707" s="1673"/>
      <c r="C707" s="3"/>
      <c r="D707" s="3"/>
      <c r="E707" s="3"/>
      <c r="F707" s="3"/>
      <c r="G707" s="3"/>
      <c r="H707" s="3"/>
      <c r="I707" s="3"/>
      <c r="J707" s="3"/>
      <c r="K707" s="3"/>
      <c r="L707" s="3"/>
      <c r="M707" s="3"/>
      <c r="N707" s="3"/>
      <c r="O707" s="3"/>
      <c r="P707" s="3"/>
      <c r="Q707" s="3"/>
      <c r="R707" s="3"/>
      <c r="S707" s="3"/>
      <c r="T707" s="3"/>
      <c r="U707" s="3"/>
      <c r="V707" s="96"/>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row>
    <row r="708" spans="2:116" x14ac:dyDescent="0.25">
      <c r="B708" s="1673"/>
      <c r="C708" s="3"/>
      <c r="D708" s="3"/>
      <c r="E708" s="3"/>
      <c r="F708" s="3"/>
      <c r="G708" s="3"/>
      <c r="H708" s="3"/>
      <c r="I708" s="3"/>
      <c r="J708" s="3"/>
      <c r="K708" s="3"/>
      <c r="L708" s="3"/>
      <c r="M708" s="3"/>
      <c r="N708" s="3"/>
      <c r="O708" s="3"/>
      <c r="P708" s="3"/>
      <c r="Q708" s="3"/>
      <c r="R708" s="3"/>
      <c r="S708" s="3"/>
      <c r="T708" s="3"/>
      <c r="U708" s="3"/>
      <c r="V708" s="96"/>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row>
    <row r="709" spans="2:116" x14ac:dyDescent="0.25">
      <c r="B709" s="1673"/>
      <c r="C709" s="3"/>
      <c r="D709" s="3"/>
      <c r="E709" s="3"/>
      <c r="F709" s="3"/>
      <c r="G709" s="3"/>
      <c r="H709" s="3"/>
      <c r="I709" s="3"/>
      <c r="J709" s="3"/>
      <c r="K709" s="3"/>
      <c r="L709" s="3"/>
      <c r="M709" s="3"/>
      <c r="N709" s="3"/>
      <c r="O709" s="3"/>
      <c r="P709" s="3"/>
      <c r="Q709" s="3"/>
      <c r="R709" s="3"/>
      <c r="S709" s="3"/>
      <c r="T709" s="3"/>
      <c r="U709" s="3"/>
      <c r="V709" s="96"/>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row>
    <row r="710" spans="2:116" x14ac:dyDescent="0.25">
      <c r="B710" s="1673"/>
      <c r="C710" s="3"/>
      <c r="D710" s="3"/>
      <c r="E710" s="3"/>
      <c r="F710" s="3"/>
      <c r="G710" s="3"/>
      <c r="H710" s="3"/>
      <c r="I710" s="3"/>
      <c r="J710" s="3"/>
      <c r="K710" s="3"/>
      <c r="L710" s="3"/>
      <c r="M710" s="3"/>
      <c r="N710" s="3"/>
      <c r="O710" s="3"/>
      <c r="P710" s="3"/>
      <c r="Q710" s="3"/>
      <c r="R710" s="3"/>
      <c r="S710" s="3"/>
      <c r="T710" s="3"/>
      <c r="U710" s="3"/>
      <c r="V710" s="96"/>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row>
    <row r="711" spans="2:116" x14ac:dyDescent="0.25">
      <c r="B711" s="1673"/>
      <c r="C711" s="3"/>
      <c r="D711" s="3"/>
      <c r="E711" s="3"/>
      <c r="F711" s="3"/>
      <c r="G711" s="3"/>
      <c r="H711" s="3"/>
      <c r="I711" s="3"/>
      <c r="J711" s="3"/>
      <c r="K711" s="3"/>
      <c r="L711" s="3"/>
      <c r="M711" s="3"/>
      <c r="N711" s="3"/>
      <c r="O711" s="3"/>
      <c r="P711" s="3"/>
      <c r="Q711" s="3"/>
      <c r="R711" s="3"/>
      <c r="S711" s="3"/>
      <c r="T711" s="3"/>
      <c r="U711" s="3"/>
      <c r="V711" s="96"/>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row>
    <row r="712" spans="2:116" ht="11.25" customHeight="1" x14ac:dyDescent="0.25">
      <c r="B712" s="1673"/>
      <c r="C712" s="3"/>
      <c r="D712" s="3"/>
      <c r="E712" s="3"/>
      <c r="F712" s="3"/>
      <c r="G712" s="3"/>
      <c r="H712" s="3"/>
      <c r="I712" s="3"/>
      <c r="J712" s="3"/>
      <c r="K712" s="3"/>
      <c r="L712" s="3"/>
      <c r="M712" s="3"/>
      <c r="N712" s="3"/>
      <c r="O712" s="3"/>
      <c r="P712" s="3"/>
      <c r="Q712" s="3"/>
      <c r="R712" s="3"/>
      <c r="S712" s="3"/>
      <c r="T712" s="3"/>
      <c r="U712" s="3"/>
      <c r="V712" s="96"/>
      <c r="W712" s="3"/>
      <c r="X712" s="3"/>
      <c r="Y712" s="3"/>
      <c r="Z712" s="3"/>
      <c r="AA712" s="3"/>
      <c r="AB712" s="3"/>
      <c r="AC712" s="3"/>
      <c r="AD712" s="3"/>
      <c r="AE712" s="3"/>
      <c r="AF712" s="3"/>
      <c r="AG712" s="3"/>
      <c r="AH712" s="3"/>
      <c r="AI712" s="3"/>
      <c r="AJ712" s="3"/>
      <c r="AK712" s="61"/>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row>
    <row r="713" spans="2:116" ht="11.25" customHeight="1" x14ac:dyDescent="0.25">
      <c r="B713" s="1673"/>
      <c r="C713" s="3"/>
      <c r="D713" s="3"/>
      <c r="E713" s="3"/>
      <c r="F713" s="3"/>
      <c r="G713" s="3"/>
      <c r="H713" s="3"/>
      <c r="I713" s="3"/>
      <c r="J713" s="3"/>
      <c r="K713" s="3"/>
      <c r="L713" s="3"/>
      <c r="M713" s="3"/>
      <c r="N713" s="3"/>
      <c r="O713" s="3"/>
      <c r="P713" s="3"/>
      <c r="Q713" s="3"/>
      <c r="R713" s="3"/>
      <c r="S713" s="3"/>
      <c r="T713" s="3"/>
      <c r="U713" s="3"/>
      <c r="V713" s="96"/>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row>
    <row r="714" spans="2:116" x14ac:dyDescent="0.25">
      <c r="B714" s="1673"/>
      <c r="C714" s="3"/>
      <c r="D714" s="3"/>
      <c r="E714" s="3"/>
      <c r="F714" s="3"/>
      <c r="G714" s="3"/>
      <c r="H714" s="3"/>
      <c r="I714" s="3"/>
      <c r="J714" s="3"/>
      <c r="K714" s="3"/>
      <c r="L714" s="3"/>
      <c r="M714" s="3"/>
      <c r="N714" s="3"/>
      <c r="O714" s="3"/>
      <c r="P714" s="3"/>
      <c r="Q714" s="3"/>
      <c r="R714" s="3"/>
      <c r="S714" s="3"/>
      <c r="T714" s="3"/>
      <c r="U714" s="3"/>
      <c r="V714" s="96"/>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row>
    <row r="715" spans="2:116" x14ac:dyDescent="0.25">
      <c r="B715" s="1673"/>
      <c r="C715" s="3"/>
      <c r="D715" s="3"/>
      <c r="E715" s="3"/>
      <c r="F715" s="3"/>
      <c r="G715" s="3"/>
      <c r="H715" s="3"/>
      <c r="I715" s="3"/>
      <c r="J715" s="3"/>
      <c r="K715" s="3"/>
      <c r="L715" s="3"/>
      <c r="M715" s="3"/>
      <c r="N715" s="3"/>
      <c r="O715" s="3"/>
      <c r="P715" s="3"/>
      <c r="Q715" s="3"/>
      <c r="R715" s="3"/>
      <c r="S715" s="3"/>
      <c r="T715" s="3"/>
      <c r="U715" s="3"/>
      <c r="V715" s="96"/>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row>
    <row r="716" spans="2:116" x14ac:dyDescent="0.25">
      <c r="B716" s="1673"/>
      <c r="C716" s="3"/>
      <c r="D716" s="3"/>
      <c r="E716" s="3"/>
      <c r="F716" s="3"/>
      <c r="G716" s="3"/>
      <c r="H716" s="3"/>
      <c r="I716" s="3"/>
      <c r="J716" s="3"/>
      <c r="K716" s="3"/>
      <c r="L716" s="3"/>
      <c r="M716" s="3"/>
      <c r="N716" s="3"/>
      <c r="O716" s="3"/>
      <c r="P716" s="3"/>
      <c r="Q716" s="3"/>
      <c r="R716" s="3"/>
      <c r="S716" s="3"/>
      <c r="T716" s="3"/>
      <c r="U716" s="3"/>
      <c r="V716" s="96"/>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row>
    <row r="717" spans="2:116" ht="12" thickBot="1" x14ac:dyDescent="0.3">
      <c r="B717" s="1673"/>
      <c r="C717" s="3"/>
      <c r="D717" s="3"/>
      <c r="E717" s="3"/>
      <c r="F717" s="3"/>
      <c r="G717" s="3"/>
      <c r="H717" s="3"/>
      <c r="I717" s="3"/>
      <c r="J717" s="3"/>
      <c r="K717" s="3"/>
      <c r="L717" s="3"/>
      <c r="M717" s="3"/>
      <c r="N717" s="3"/>
      <c r="O717" s="3"/>
      <c r="P717" s="3"/>
      <c r="Q717" s="3"/>
      <c r="R717" s="3"/>
      <c r="S717" s="3"/>
      <c r="T717" s="3"/>
      <c r="U717" s="3"/>
      <c r="V717" s="96"/>
      <c r="W717" s="3"/>
      <c r="X717" s="3"/>
      <c r="Y717" s="3"/>
      <c r="Z717" s="3"/>
      <c r="AA717" s="3"/>
      <c r="AB717" s="3"/>
      <c r="AC717" s="3"/>
      <c r="AD717" s="3"/>
      <c r="AE717" s="3"/>
      <c r="AF717" s="3"/>
      <c r="AG717" s="3"/>
      <c r="AH717" s="3"/>
      <c r="AI717" s="59"/>
      <c r="AJ717" s="59"/>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row>
    <row r="718" spans="2:116" ht="18" x14ac:dyDescent="0.25">
      <c r="B718" s="1673"/>
      <c r="C718" s="3"/>
      <c r="D718" s="3"/>
      <c r="E718" s="3"/>
      <c r="F718" s="3"/>
      <c r="G718" s="3"/>
      <c r="H718" s="3"/>
      <c r="I718" s="3"/>
      <c r="J718" s="3"/>
      <c r="K718" s="3"/>
      <c r="L718" s="3"/>
      <c r="M718" s="3"/>
      <c r="N718" s="3"/>
      <c r="O718" s="3"/>
      <c r="P718" s="3"/>
      <c r="Q718" s="3"/>
      <c r="R718" s="3"/>
      <c r="S718" s="3"/>
      <c r="T718" s="3"/>
      <c r="U718" s="3"/>
      <c r="V718" s="96"/>
      <c r="W718" s="3"/>
      <c r="X718" s="3"/>
      <c r="Y718" s="3"/>
      <c r="Z718" s="3"/>
      <c r="AA718" s="3"/>
      <c r="AB718" s="71"/>
      <c r="AC718" s="72"/>
      <c r="AD718" s="72"/>
      <c r="AE718" s="72"/>
      <c r="AF718" s="72"/>
      <c r="AG718" s="72"/>
      <c r="AH718" s="68"/>
      <c r="AI718" s="68"/>
      <c r="AJ718" s="69"/>
      <c r="AK718" s="68"/>
      <c r="AL718" s="68"/>
      <c r="AM718" s="70"/>
      <c r="AN718" s="830"/>
      <c r="AO718" s="830"/>
      <c r="AP718" s="830"/>
      <c r="AQ718" s="830"/>
      <c r="AR718" s="830"/>
      <c r="AS718" s="830"/>
      <c r="AT718" s="830"/>
      <c r="AU718" s="830"/>
      <c r="AV718" s="830"/>
      <c r="AW718" s="830"/>
      <c r="AX718" s="830"/>
      <c r="AY718" s="830"/>
      <c r="AZ718" s="830"/>
      <c r="BA718" s="830"/>
      <c r="BB718" s="830"/>
      <c r="BC718" s="830"/>
      <c r="BD718" s="830"/>
      <c r="BE718" s="830"/>
      <c r="BF718" s="830"/>
      <c r="BG718" s="830"/>
      <c r="BH718" s="830"/>
      <c r="BI718" s="830"/>
      <c r="BJ718" s="830"/>
      <c r="BK718" s="3"/>
      <c r="BL718" s="826" t="s">
        <v>576</v>
      </c>
      <c r="BM718" s="824"/>
      <c r="BN718" s="824"/>
      <c r="BO718" s="824"/>
      <c r="BP718" s="824"/>
      <c r="BQ718" s="824"/>
      <c r="BR718" s="824"/>
      <c r="BS718" s="824"/>
      <c r="BT718" s="824"/>
      <c r="BU718" s="824"/>
      <c r="BV718" s="824"/>
      <c r="BW718" s="824"/>
      <c r="BX718" s="824"/>
      <c r="BY718" s="824"/>
      <c r="BZ718" s="824"/>
      <c r="CA718" s="824"/>
      <c r="CB718" s="824"/>
      <c r="CC718" s="824"/>
      <c r="CD718" s="824"/>
      <c r="CE718" s="824"/>
      <c r="CF718" s="824"/>
      <c r="CG718" s="824"/>
      <c r="CH718" s="824"/>
      <c r="CI718" s="824"/>
      <c r="CJ718" s="824"/>
      <c r="CK718" s="824"/>
      <c r="CL718" s="824"/>
      <c r="CM718" s="824"/>
      <c r="CN718" s="824"/>
      <c r="CO718" s="824"/>
      <c r="CP718" s="824"/>
      <c r="CQ718" s="824"/>
      <c r="CR718" s="824"/>
      <c r="CS718" s="824"/>
      <c r="CT718" s="824"/>
      <c r="CU718" s="824"/>
      <c r="CV718" s="824"/>
      <c r="CW718" s="824"/>
      <c r="CX718" s="824"/>
      <c r="CY718" s="824"/>
      <c r="CZ718" s="824"/>
      <c r="DA718" s="824"/>
      <c r="DB718" s="824"/>
      <c r="DC718" s="824"/>
      <c r="DD718" s="824"/>
      <c r="DE718" s="824"/>
      <c r="DF718" s="824"/>
      <c r="DG718" s="824"/>
      <c r="DH718" s="824"/>
      <c r="DI718" s="824"/>
      <c r="DJ718" s="824"/>
      <c r="DK718" s="824"/>
      <c r="DL718" s="824"/>
    </row>
    <row r="719" spans="2:116" ht="26.25" thickBot="1" x14ac:dyDescent="0.3">
      <c r="B719" s="1673"/>
      <c r="C719" s="3"/>
      <c r="D719" s="3"/>
      <c r="E719" s="3"/>
      <c r="F719" s="96"/>
      <c r="G719" s="96"/>
      <c r="H719" s="96"/>
      <c r="I719" s="96"/>
      <c r="J719" s="96"/>
      <c r="K719" s="96"/>
      <c r="L719" s="96"/>
      <c r="M719" s="96"/>
      <c r="N719" s="96"/>
      <c r="O719" s="96"/>
      <c r="P719" s="96"/>
      <c r="Q719" s="96"/>
      <c r="R719" s="96"/>
      <c r="S719" s="96"/>
      <c r="T719" s="96"/>
      <c r="U719" s="96"/>
      <c r="V719" s="96"/>
      <c r="W719" s="3"/>
      <c r="X719" s="3"/>
      <c r="Y719" s="3"/>
      <c r="Z719" s="3"/>
      <c r="AA719" s="3"/>
      <c r="AB719" s="92" t="s">
        <v>287</v>
      </c>
      <c r="AC719" s="72"/>
      <c r="AD719" s="72"/>
      <c r="AE719" s="72"/>
      <c r="AF719" s="72"/>
      <c r="AG719" s="72"/>
      <c r="AH719" s="72"/>
      <c r="AI719" s="72"/>
      <c r="AJ719" s="72"/>
      <c r="AK719" s="73"/>
      <c r="AL719" s="72"/>
      <c r="AM719" s="74"/>
      <c r="AN719" s="831"/>
      <c r="AO719" s="831"/>
      <c r="AP719" s="831"/>
      <c r="AQ719" s="831"/>
      <c r="AR719" s="831"/>
      <c r="AS719" s="831"/>
      <c r="AT719" s="831"/>
      <c r="AU719" s="831"/>
      <c r="AV719" s="831"/>
      <c r="AW719" s="831"/>
      <c r="AX719" s="831"/>
      <c r="AY719" s="831"/>
      <c r="AZ719" s="831"/>
      <c r="BA719" s="831"/>
      <c r="BB719" s="831"/>
      <c r="BC719" s="831"/>
      <c r="BD719" s="831"/>
      <c r="BE719" s="831"/>
      <c r="BF719" s="831"/>
      <c r="BG719" s="831"/>
      <c r="BH719" s="831"/>
      <c r="BI719" s="831"/>
      <c r="BJ719" s="831"/>
      <c r="BK719" s="3"/>
      <c r="BL719" s="824" t="s">
        <v>200</v>
      </c>
      <c r="BM719" s="824" t="s">
        <v>579</v>
      </c>
      <c r="BN719" s="824"/>
      <c r="BO719" s="824"/>
      <c r="BP719" s="824"/>
      <c r="BQ719" s="824"/>
      <c r="BR719" s="824"/>
      <c r="BS719" s="824"/>
      <c r="BT719" s="824"/>
      <c r="BU719" s="824"/>
      <c r="BV719" s="824"/>
      <c r="BW719" s="824"/>
      <c r="BX719" s="824"/>
      <c r="BY719" s="824"/>
      <c r="BZ719" s="824"/>
      <c r="CA719" s="824"/>
      <c r="CB719" s="824"/>
      <c r="CC719" s="824"/>
      <c r="CD719" s="824"/>
      <c r="CE719" s="824"/>
      <c r="CF719" s="824"/>
      <c r="CG719" s="824"/>
      <c r="CH719" s="824"/>
      <c r="CI719" s="824"/>
      <c r="CJ719" s="824"/>
      <c r="CK719" s="824"/>
      <c r="CL719" s="824"/>
      <c r="CM719" s="824"/>
      <c r="CN719" s="824"/>
      <c r="CO719" s="824"/>
      <c r="CP719" s="824"/>
      <c r="CQ719" s="824"/>
      <c r="CR719" s="824"/>
      <c r="CS719" s="824"/>
      <c r="CT719" s="824"/>
      <c r="CU719" s="824"/>
      <c r="CV719" s="824"/>
      <c r="CW719" s="824"/>
      <c r="CX719" s="824"/>
      <c r="CY719" s="824"/>
      <c r="CZ719" s="824"/>
      <c r="DA719" s="824"/>
      <c r="DB719" s="824"/>
      <c r="DC719" s="824"/>
      <c r="DD719" s="824"/>
      <c r="DE719" s="824"/>
      <c r="DF719" s="824"/>
      <c r="DG719" s="824"/>
      <c r="DH719" s="824"/>
      <c r="DI719" s="824"/>
      <c r="DJ719" s="824"/>
      <c r="DK719" s="824"/>
      <c r="DL719" s="824"/>
    </row>
    <row r="720" spans="2:116" ht="12" thickBot="1" x14ac:dyDescent="0.3">
      <c r="B720" s="1673"/>
      <c r="C720" s="3"/>
      <c r="D720" s="3"/>
      <c r="E720" s="3"/>
      <c r="F720" s="96"/>
      <c r="G720" s="96"/>
      <c r="H720" s="1669" t="s">
        <v>273</v>
      </c>
      <c r="I720" s="1670"/>
      <c r="J720" s="1671"/>
      <c r="K720" s="96"/>
      <c r="L720" s="96"/>
      <c r="M720" s="96"/>
      <c r="N720" s="96"/>
      <c r="O720" s="96"/>
      <c r="P720" s="96"/>
      <c r="Q720" s="96"/>
      <c r="R720" s="96"/>
      <c r="S720" s="96"/>
      <c r="T720" s="96"/>
      <c r="U720" s="96"/>
      <c r="V720" s="96"/>
      <c r="W720" s="3"/>
      <c r="X720" s="3"/>
      <c r="Y720" s="1677" t="s">
        <v>278</v>
      </c>
      <c r="Z720" s="1678"/>
      <c r="AA720" s="3"/>
      <c r="AB720" s="71"/>
      <c r="AC720" s="73"/>
      <c r="AD720" s="72"/>
      <c r="AE720" s="72"/>
      <c r="AF720" s="72"/>
      <c r="AG720" s="73"/>
      <c r="AH720" s="75" t="s">
        <v>250</v>
      </c>
      <c r="AI720" s="76">
        <f ca="1">IRR(AK727:AK777)</f>
        <v>3.2603514055896898E-2</v>
      </c>
      <c r="AJ720" s="72"/>
      <c r="AK720" s="72"/>
      <c r="AL720" s="72"/>
      <c r="AM720" s="77"/>
      <c r="AN720" s="832"/>
      <c r="AO720" s="832"/>
      <c r="AP720" s="832"/>
      <c r="AQ720" s="832"/>
      <c r="AR720" s="832"/>
      <c r="AS720" s="832"/>
      <c r="AT720" s="832"/>
      <c r="AU720" s="832"/>
      <c r="AV720" s="832"/>
      <c r="AW720" s="832"/>
      <c r="AX720" s="832"/>
      <c r="AY720" s="832"/>
      <c r="AZ720" s="832"/>
      <c r="BA720" s="832"/>
      <c r="BB720" s="832"/>
      <c r="BC720" s="832"/>
      <c r="BD720" s="832"/>
      <c r="BE720" s="832"/>
      <c r="BF720" s="832"/>
      <c r="BG720" s="832"/>
      <c r="BH720" s="832"/>
      <c r="BI720" s="832"/>
      <c r="BJ720" s="832"/>
      <c r="BK720" s="93"/>
      <c r="BL720" s="824">
        <f>$G$154</f>
        <v>35</v>
      </c>
      <c r="BM720" s="825">
        <f>$G$158</f>
        <v>1.016</v>
      </c>
      <c r="BN720" s="824"/>
      <c r="BO720" s="824"/>
      <c r="BP720" s="824"/>
      <c r="BQ720" s="824"/>
      <c r="BR720" s="824"/>
      <c r="BS720" s="824"/>
      <c r="BT720" s="824"/>
      <c r="BU720" s="824"/>
      <c r="BV720" s="824"/>
      <c r="BW720" s="824"/>
      <c r="BX720" s="824"/>
      <c r="BY720" s="824"/>
      <c r="BZ720" s="824"/>
      <c r="CA720" s="824"/>
      <c r="CB720" s="824"/>
      <c r="CC720" s="824"/>
      <c r="CD720" s="824"/>
      <c r="CE720" s="824"/>
      <c r="CF720" s="824"/>
      <c r="CG720" s="824"/>
      <c r="CH720" s="824"/>
      <c r="CI720" s="824"/>
      <c r="CJ720" s="824"/>
      <c r="CK720" s="824"/>
      <c r="CL720" s="824"/>
      <c r="CM720" s="824"/>
      <c r="CN720" s="824"/>
      <c r="CO720" s="824"/>
      <c r="CP720" s="824"/>
      <c r="CQ720" s="824"/>
      <c r="CR720" s="824"/>
      <c r="CS720" s="824"/>
      <c r="CT720" s="824"/>
      <c r="CU720" s="824"/>
      <c r="CV720" s="824"/>
      <c r="CW720" s="824"/>
      <c r="CX720" s="824"/>
      <c r="CY720" s="824"/>
      <c r="CZ720" s="824"/>
      <c r="DA720" s="824"/>
      <c r="DB720" s="824"/>
      <c r="DC720" s="824"/>
      <c r="DD720" s="824"/>
      <c r="DE720" s="824"/>
      <c r="DF720" s="824"/>
      <c r="DG720" s="824"/>
      <c r="DH720" s="824"/>
      <c r="DI720" s="824"/>
      <c r="DJ720" s="824"/>
      <c r="DK720" s="824"/>
      <c r="DL720" s="824"/>
    </row>
    <row r="721" spans="2:116" ht="12" thickBot="1" x14ac:dyDescent="0.3">
      <c r="B721" s="1673"/>
      <c r="C721" s="3"/>
      <c r="D721" s="3"/>
      <c r="E721" s="3"/>
      <c r="F721" s="116" t="s">
        <v>252</v>
      </c>
      <c r="G721" s="116" t="s">
        <v>257</v>
      </c>
      <c r="H721" s="116" t="s">
        <v>251</v>
      </c>
      <c r="I721" s="116" t="s">
        <v>258</v>
      </c>
      <c r="J721" s="116" t="s">
        <v>273</v>
      </c>
      <c r="K721" s="116" t="s">
        <v>268</v>
      </c>
      <c r="L721" s="116" t="s">
        <v>197</v>
      </c>
      <c r="M721" s="116" t="s">
        <v>189</v>
      </c>
      <c r="N721" s="156" t="s">
        <v>210</v>
      </c>
      <c r="O721" s="1061" t="s">
        <v>62</v>
      </c>
      <c r="P721" s="1666" t="s">
        <v>241</v>
      </c>
      <c r="Q721" s="1667"/>
      <c r="R721" s="1667"/>
      <c r="S721" s="1667"/>
      <c r="T721" s="1668"/>
      <c r="U721" s="35" t="s">
        <v>242</v>
      </c>
      <c r="V721" s="38" t="s">
        <v>254</v>
      </c>
      <c r="W721" s="52" t="s">
        <v>277</v>
      </c>
      <c r="X721" s="53" t="s">
        <v>288</v>
      </c>
      <c r="Y721" s="54" t="s">
        <v>289</v>
      </c>
      <c r="Z721" s="50" t="s">
        <v>290</v>
      </c>
      <c r="AA721" s="133" t="s">
        <v>298</v>
      </c>
      <c r="AB721" s="72"/>
      <c r="AC721" s="78"/>
      <c r="AD721" s="78"/>
      <c r="AE721" s="72"/>
      <c r="AF721" s="72"/>
      <c r="AG721" s="72"/>
      <c r="AH721" s="72"/>
      <c r="AI721" s="72"/>
      <c r="AJ721" s="72"/>
      <c r="AK721" s="73"/>
      <c r="AL721" s="72"/>
      <c r="AM721" s="79"/>
      <c r="AN721" s="830"/>
      <c r="AO721" s="830"/>
      <c r="AP721" s="830"/>
      <c r="AQ721" s="830"/>
      <c r="AR721" s="830"/>
      <c r="AS721" s="830"/>
      <c r="AT721" s="830"/>
      <c r="AU721" s="830"/>
      <c r="AV721" s="830"/>
      <c r="AW721" s="830"/>
      <c r="AX721" s="848"/>
      <c r="AY721" s="848"/>
      <c r="AZ721" s="848"/>
      <c r="BA721" s="848"/>
      <c r="BB721" s="848"/>
      <c r="BC721" s="848"/>
      <c r="BD721" s="848"/>
      <c r="BE721" s="848"/>
      <c r="BF721" s="848"/>
      <c r="BG721" s="848"/>
      <c r="BH721" s="848"/>
      <c r="BI721" s="848"/>
      <c r="BJ721" s="848"/>
      <c r="BK721" s="61"/>
      <c r="BL721" s="824"/>
      <c r="BM721" s="824"/>
      <c r="BN721" s="824"/>
      <c r="BO721" s="824" t="s">
        <v>481</v>
      </c>
      <c r="BP721" s="824"/>
      <c r="BQ721" s="824"/>
      <c r="BR721" s="824"/>
      <c r="BS721" s="824"/>
      <c r="BT721" s="824"/>
      <c r="BU721" s="824"/>
      <c r="BV721" s="824"/>
      <c r="BW721" s="824"/>
      <c r="BX721" s="824"/>
      <c r="BY721" s="824"/>
      <c r="BZ721" s="824"/>
      <c r="CA721" s="824"/>
      <c r="CB721" s="824"/>
      <c r="CC721" s="824"/>
      <c r="CD721" s="824"/>
      <c r="CE721" s="824"/>
      <c r="CF721" s="824"/>
      <c r="CG721" s="824"/>
      <c r="CH721" s="824"/>
      <c r="CI721" s="824"/>
      <c r="CJ721" s="824"/>
      <c r="CK721" s="824"/>
      <c r="CL721" s="824"/>
      <c r="CM721" s="824"/>
      <c r="CN721" s="824"/>
      <c r="CO721" s="824"/>
      <c r="CP721" s="824"/>
      <c r="CQ721" s="824"/>
      <c r="CR721" s="824"/>
      <c r="CS721" s="824"/>
      <c r="CT721" s="824"/>
      <c r="CU721" s="824"/>
      <c r="CV721" s="824"/>
      <c r="CW721" s="824"/>
      <c r="CX721" s="824"/>
      <c r="CY721" s="824"/>
      <c r="CZ721" s="824"/>
      <c r="DA721" s="824"/>
      <c r="DB721" s="824"/>
      <c r="DC721" s="824"/>
      <c r="DD721" s="824"/>
      <c r="DE721" s="824"/>
      <c r="DF721" s="824"/>
      <c r="DG721" s="824"/>
      <c r="DH721" s="824"/>
      <c r="DI721" s="824"/>
      <c r="DJ721" s="824"/>
      <c r="DK721" s="824"/>
      <c r="DL721" s="824"/>
    </row>
    <row r="722" spans="2:116" ht="12" thickBot="1" x14ac:dyDescent="0.3">
      <c r="B722" s="1673"/>
      <c r="C722" s="95" t="s">
        <v>266</v>
      </c>
      <c r="D722" s="10" t="s">
        <v>235</v>
      </c>
      <c r="E722" s="11" t="s">
        <v>356</v>
      </c>
      <c r="F722" s="11" t="s">
        <v>262</v>
      </c>
      <c r="G722" s="11" t="s">
        <v>261</v>
      </c>
      <c r="H722" s="11" t="s">
        <v>259</v>
      </c>
      <c r="I722" s="11" t="s">
        <v>260</v>
      </c>
      <c r="J722" s="11" t="s">
        <v>274</v>
      </c>
      <c r="K722" s="11" t="s">
        <v>271</v>
      </c>
      <c r="L722" s="11"/>
      <c r="M722" s="11" t="s">
        <v>211</v>
      </c>
      <c r="N722" s="157" t="s">
        <v>212</v>
      </c>
      <c r="O722" s="20" t="s">
        <v>291</v>
      </c>
      <c r="P722" s="24" t="s">
        <v>236</v>
      </c>
      <c r="Q722" s="25" t="s">
        <v>237</v>
      </c>
      <c r="R722" s="25" t="s">
        <v>238</v>
      </c>
      <c r="S722" s="25" t="s">
        <v>239</v>
      </c>
      <c r="T722" s="26" t="s">
        <v>240</v>
      </c>
      <c r="U722" s="36" t="s">
        <v>243</v>
      </c>
      <c r="V722" s="39" t="s">
        <v>253</v>
      </c>
      <c r="W722" s="55" t="s">
        <v>354</v>
      </c>
      <c r="X722" s="56" t="s">
        <v>353</v>
      </c>
      <c r="Y722" s="57"/>
      <c r="Z722" s="58"/>
      <c r="AA722" s="134"/>
      <c r="AB722" s="72"/>
      <c r="AC722" s="72"/>
      <c r="AD722" s="80"/>
      <c r="AE722" s="72"/>
      <c r="AF722" s="72"/>
      <c r="AG722" s="72"/>
      <c r="AH722" s="72"/>
      <c r="AI722" s="72"/>
      <c r="AJ722" s="72"/>
      <c r="AK722" s="73"/>
      <c r="AL722" s="72"/>
      <c r="AM722" s="81"/>
      <c r="AN722" s="833" t="s">
        <v>200</v>
      </c>
      <c r="AO722" s="847">
        <f>$G$154</f>
        <v>35</v>
      </c>
      <c r="AP722" s="833"/>
      <c r="AQ722" s="833"/>
      <c r="AR722" s="833"/>
      <c r="AS722" s="833"/>
      <c r="AT722" s="833"/>
      <c r="AU722" s="833"/>
      <c r="AV722" s="833"/>
      <c r="AW722" s="833"/>
      <c r="AX722" s="833"/>
      <c r="AY722" s="833"/>
      <c r="AZ722" s="833"/>
      <c r="BA722" s="833"/>
      <c r="BB722" s="833"/>
      <c r="BC722" s="833"/>
      <c r="BD722" s="833"/>
      <c r="BE722" s="833"/>
      <c r="BF722" s="833"/>
      <c r="BG722" s="833"/>
      <c r="BH722" s="833"/>
      <c r="BI722" s="833"/>
      <c r="BJ722" s="833"/>
      <c r="BK722" s="61"/>
      <c r="BL722" s="824" t="s">
        <v>577</v>
      </c>
      <c r="BM722" s="824" t="s">
        <v>210</v>
      </c>
      <c r="BN722" s="824" t="s">
        <v>578</v>
      </c>
      <c r="BO722" s="824">
        <v>1</v>
      </c>
      <c r="BP722" s="824">
        <v>2</v>
      </c>
      <c r="BQ722" s="824">
        <v>3</v>
      </c>
      <c r="BR722" s="824">
        <v>4</v>
      </c>
      <c r="BS722" s="824">
        <v>5</v>
      </c>
      <c r="BT722" s="824">
        <v>6</v>
      </c>
      <c r="BU722" s="824">
        <v>7</v>
      </c>
      <c r="BV722" s="824">
        <v>8</v>
      </c>
      <c r="BW722" s="824">
        <v>9</v>
      </c>
      <c r="BX722" s="824">
        <v>10</v>
      </c>
      <c r="BY722" s="824">
        <v>11</v>
      </c>
      <c r="BZ722" s="824">
        <v>12</v>
      </c>
      <c r="CA722" s="824">
        <v>13</v>
      </c>
      <c r="CB722" s="824">
        <v>14</v>
      </c>
      <c r="CC722" s="824">
        <v>15</v>
      </c>
      <c r="CD722" s="824">
        <v>16</v>
      </c>
      <c r="CE722" s="824">
        <v>17</v>
      </c>
      <c r="CF722" s="824">
        <v>18</v>
      </c>
      <c r="CG722" s="824">
        <v>19</v>
      </c>
      <c r="CH722" s="824">
        <v>20</v>
      </c>
      <c r="CI722" s="824">
        <v>21</v>
      </c>
      <c r="CJ722" s="824">
        <v>22</v>
      </c>
      <c r="CK722" s="824">
        <v>23</v>
      </c>
      <c r="CL722" s="824">
        <v>24</v>
      </c>
      <c r="CM722" s="824">
        <v>25</v>
      </c>
      <c r="CN722" s="824">
        <v>26</v>
      </c>
      <c r="CO722" s="824">
        <v>27</v>
      </c>
      <c r="CP722" s="824">
        <v>28</v>
      </c>
      <c r="CQ722" s="824">
        <v>29</v>
      </c>
      <c r="CR722" s="824">
        <v>30</v>
      </c>
      <c r="CS722" s="824">
        <v>31</v>
      </c>
      <c r="CT722" s="824">
        <v>32</v>
      </c>
      <c r="CU722" s="824">
        <v>33</v>
      </c>
      <c r="CV722" s="824">
        <v>34</v>
      </c>
      <c r="CW722" s="824">
        <v>35</v>
      </c>
      <c r="CX722" s="824">
        <v>36</v>
      </c>
      <c r="CY722" s="824">
        <v>37</v>
      </c>
      <c r="CZ722" s="824">
        <v>38</v>
      </c>
      <c r="DA722" s="824">
        <v>39</v>
      </c>
      <c r="DB722" s="824">
        <v>40</v>
      </c>
      <c r="DC722" s="824">
        <v>41</v>
      </c>
      <c r="DD722" s="824">
        <v>42</v>
      </c>
      <c r="DE722" s="824">
        <v>43</v>
      </c>
      <c r="DF722" s="824">
        <v>44</v>
      </c>
      <c r="DG722" s="824">
        <v>45</v>
      </c>
      <c r="DH722" s="824">
        <v>46</v>
      </c>
      <c r="DI722" s="824">
        <v>47</v>
      </c>
      <c r="DJ722" s="824">
        <v>48</v>
      </c>
      <c r="DK722" s="824">
        <v>49</v>
      </c>
      <c r="DL722" s="824">
        <v>50</v>
      </c>
    </row>
    <row r="723" spans="2:116" ht="12" thickBot="1" x14ac:dyDescent="0.3">
      <c r="B723" s="1673"/>
      <c r="C723" s="1679" t="s">
        <v>267</v>
      </c>
      <c r="D723" s="14" t="s">
        <v>61</v>
      </c>
      <c r="E723" s="12"/>
      <c r="F723" s="12">
        <f>SUBTOTAL(109,'3.4 I&amp;W'!$U$27)</f>
        <v>0</v>
      </c>
      <c r="G723" s="12">
        <f>SUBTOTAL(109,'3.4 I&amp;W'!$V$27)</f>
        <v>0</v>
      </c>
      <c r="H723" s="12">
        <f>SUBTOTAL(109,'3.4 I&amp;W'!$AA$27)</f>
        <v>0</v>
      </c>
      <c r="I723" s="12">
        <f>SUBTOTAL(109,'3.4 I&amp;W'!$AB$27)</f>
        <v>0</v>
      </c>
      <c r="J723" s="12"/>
      <c r="K723" s="12"/>
      <c r="L723" s="12"/>
      <c r="M723" s="12">
        <f ca="1">SUBTOTAL(109,'3.4 I&amp;W'!$AI$27)</f>
        <v>0</v>
      </c>
      <c r="N723" s="156">
        <f ca="1">IF(OR(M723=0,M723="",M723=$G$154),0,ROUNDDOWN($G$154/M723,0)+IF(MOD($G$154,M723)=0,-1))</f>
        <v>0</v>
      </c>
      <c r="O723" s="12">
        <f ca="1">SUBTOTAL(109,'3.4 I&amp;W'!$S$27)</f>
        <v>432000</v>
      </c>
      <c r="P723" s="27">
        <f ca="1">IF(N723&gt;=1,O723*$G$158^(1*M723)/($G$157^(1*M723)),0)</f>
        <v>0</v>
      </c>
      <c r="Q723" s="28">
        <f t="shared" ref="Q723:Q740" ca="1" si="531">IF(N723&gt;=2,O723*$G$158^(2*M723)/($G$157^(2*M723)),0)</f>
        <v>0</v>
      </c>
      <c r="R723" s="28">
        <f t="shared" ref="R723:R740" ca="1" si="532">IF(N723&gt;=3,O723*$G$158^(3*M723)/($G$157^(3*M723)),0)</f>
        <v>0</v>
      </c>
      <c r="S723" s="28">
        <f t="shared" ref="S723:S740" ca="1" si="533">IF(N723&gt;=4,O723*$G$158^(4*M723)/($G$157^(4*M723)),0)</f>
        <v>0</v>
      </c>
      <c r="T723" s="29">
        <f t="shared" ref="T723:T740" ca="1" si="534">IF(N723&gt;=5,O723*$G$158^(5*M723)/($G$157^(5*M723)),0)</f>
        <v>0</v>
      </c>
      <c r="U723" s="37">
        <f ca="1">IF(M723=0,0,O723*$G$158^(N723*M723)*((N723+1)*M723-$G$154)/M723*(1/$G$157^$G$154))</f>
        <v>0</v>
      </c>
      <c r="V723" s="40">
        <f t="shared" ref="V723:V754" si="535">G723*$I$169</f>
        <v>0</v>
      </c>
      <c r="W723" s="41">
        <f t="shared" ref="W723:W754" si="536">(I723+J723)*$I$167</f>
        <v>0</v>
      </c>
      <c r="X723" s="42"/>
      <c r="Y723" s="45"/>
      <c r="Z723" s="124"/>
      <c r="AA723" s="135"/>
      <c r="AB723" s="72"/>
      <c r="AC723" s="72"/>
      <c r="AD723" s="72"/>
      <c r="AE723" s="72"/>
      <c r="AF723" s="72"/>
      <c r="AG723" s="72"/>
      <c r="AH723" s="72"/>
      <c r="AI723" s="72"/>
      <c r="AJ723" s="72"/>
      <c r="AK723" s="72"/>
      <c r="AL723" s="72"/>
      <c r="AM723" s="79"/>
      <c r="AN723" s="830"/>
      <c r="AO723" s="830"/>
      <c r="AP723" s="830"/>
      <c r="AQ723" s="830"/>
      <c r="AR723" s="830"/>
      <c r="AS723" s="830"/>
      <c r="AT723" s="830"/>
      <c r="AU723" s="830"/>
      <c r="AV723" s="830"/>
      <c r="AW723" s="830"/>
      <c r="AX723" s="830"/>
      <c r="AY723" s="830"/>
      <c r="AZ723" s="830"/>
      <c r="BA723" s="830"/>
      <c r="BB723" s="830"/>
      <c r="BC723" s="830"/>
      <c r="BD723" s="830"/>
      <c r="BE723" s="830"/>
      <c r="BF723" s="830"/>
      <c r="BG723" s="830"/>
      <c r="BH723" s="830"/>
      <c r="BI723" s="830"/>
      <c r="BJ723" s="830"/>
      <c r="BK723" s="3"/>
      <c r="BL723" s="824">
        <f t="shared" ref="BL723:BL754" ca="1" si="537">M723</f>
        <v>0</v>
      </c>
      <c r="BM723" s="824">
        <f t="shared" ref="BM723:BM754" ca="1" si="538">N723</f>
        <v>0</v>
      </c>
      <c r="BN723" s="824">
        <f t="shared" ref="BN723:BN754" ca="1" si="539">O723</f>
        <v>432000</v>
      </c>
      <c r="BO723" s="824">
        <f ca="1">IF(OR(IF($BL723*1&lt;$BL$196,$BL723*1=BO$198,FALSE),IF($BL723*2&lt;$BL$196,$BL723*2=BO$198,FALSE),IF($BL723*3&lt;$BL$196,$BL723*3=BO$198,FALSE),IF($BL723*4&lt;$BL$196,$BL723*4=BO$198,FALSE),IF($BL723*5&lt;$BL$196,$BL723*5=BO$198,FALSE)),$BN723*$BM$196^BO$198,0)</f>
        <v>0</v>
      </c>
      <c r="BP723" s="824">
        <f t="shared" ref="BP723:DL729" ca="1" si="540">IF(OR(IF($BL723*1&lt;$BL$196,$BL723*1=BP$198,FALSE),IF($BL723*2&lt;$BL$196,$BL723*2=BP$198,FALSE),IF($BL723*3&lt;$BL$196,$BL723*3=BP$198,FALSE),IF($BL723*4&lt;$BL$196,$BL723*4=BP$198,FALSE),IF($BL723*5&lt;$BL$196,$BL723*5=BP$198,FALSE)),$BN723*$BM$196^BP$198,0)</f>
        <v>0</v>
      </c>
      <c r="BQ723" s="824">
        <f t="shared" ca="1" si="540"/>
        <v>0</v>
      </c>
      <c r="BR723" s="824">
        <f t="shared" ca="1" si="540"/>
        <v>0</v>
      </c>
      <c r="BS723" s="824">
        <f t="shared" ca="1" si="540"/>
        <v>0</v>
      </c>
      <c r="BT723" s="824">
        <f t="shared" ca="1" si="540"/>
        <v>0</v>
      </c>
      <c r="BU723" s="824">
        <f t="shared" ca="1" si="540"/>
        <v>0</v>
      </c>
      <c r="BV723" s="824">
        <f t="shared" ca="1" si="540"/>
        <v>0</v>
      </c>
      <c r="BW723" s="824">
        <f t="shared" ca="1" si="540"/>
        <v>0</v>
      </c>
      <c r="BX723" s="824">
        <f t="shared" ca="1" si="540"/>
        <v>0</v>
      </c>
      <c r="BY723" s="824">
        <f t="shared" ca="1" si="540"/>
        <v>0</v>
      </c>
      <c r="BZ723" s="824">
        <f t="shared" ca="1" si="540"/>
        <v>0</v>
      </c>
      <c r="CA723" s="824">
        <f t="shared" ca="1" si="540"/>
        <v>0</v>
      </c>
      <c r="CB723" s="824">
        <f t="shared" ca="1" si="540"/>
        <v>0</v>
      </c>
      <c r="CC723" s="824">
        <f t="shared" ca="1" si="540"/>
        <v>0</v>
      </c>
      <c r="CD723" s="824">
        <f t="shared" ca="1" si="540"/>
        <v>0</v>
      </c>
      <c r="CE723" s="824">
        <f t="shared" ca="1" si="540"/>
        <v>0</v>
      </c>
      <c r="CF723" s="824">
        <f t="shared" ca="1" si="540"/>
        <v>0</v>
      </c>
      <c r="CG723" s="824">
        <f t="shared" ca="1" si="540"/>
        <v>0</v>
      </c>
      <c r="CH723" s="824">
        <f t="shared" ca="1" si="540"/>
        <v>0</v>
      </c>
      <c r="CI723" s="824">
        <f t="shared" ca="1" si="540"/>
        <v>0</v>
      </c>
      <c r="CJ723" s="824">
        <f t="shared" ca="1" si="540"/>
        <v>0</v>
      </c>
      <c r="CK723" s="824">
        <f t="shared" ca="1" si="540"/>
        <v>0</v>
      </c>
      <c r="CL723" s="824">
        <f t="shared" ca="1" si="540"/>
        <v>0</v>
      </c>
      <c r="CM723" s="824">
        <f t="shared" ca="1" si="540"/>
        <v>0</v>
      </c>
      <c r="CN723" s="824">
        <f t="shared" ca="1" si="540"/>
        <v>0</v>
      </c>
      <c r="CO723" s="824">
        <f t="shared" ca="1" si="540"/>
        <v>0</v>
      </c>
      <c r="CP723" s="824">
        <f t="shared" ca="1" si="540"/>
        <v>0</v>
      </c>
      <c r="CQ723" s="824">
        <f t="shared" ca="1" si="540"/>
        <v>0</v>
      </c>
      <c r="CR723" s="824">
        <f t="shared" ca="1" si="540"/>
        <v>0</v>
      </c>
      <c r="CS723" s="824">
        <f t="shared" ca="1" si="540"/>
        <v>0</v>
      </c>
      <c r="CT723" s="824">
        <f t="shared" ca="1" si="540"/>
        <v>0</v>
      </c>
      <c r="CU723" s="824">
        <f t="shared" ca="1" si="540"/>
        <v>0</v>
      </c>
      <c r="CV723" s="824">
        <f t="shared" ca="1" si="540"/>
        <v>0</v>
      </c>
      <c r="CW723" s="824">
        <f t="shared" ca="1" si="540"/>
        <v>0</v>
      </c>
      <c r="CX723" s="824">
        <f t="shared" ca="1" si="540"/>
        <v>0</v>
      </c>
      <c r="CY723" s="824">
        <f t="shared" ca="1" si="540"/>
        <v>0</v>
      </c>
      <c r="CZ723" s="824">
        <f t="shared" ca="1" si="540"/>
        <v>0</v>
      </c>
      <c r="DA723" s="824">
        <f t="shared" ca="1" si="540"/>
        <v>0</v>
      </c>
      <c r="DB723" s="824">
        <f t="shared" ca="1" si="540"/>
        <v>0</v>
      </c>
      <c r="DC723" s="824">
        <f t="shared" ca="1" si="540"/>
        <v>0</v>
      </c>
      <c r="DD723" s="824">
        <f t="shared" ca="1" si="540"/>
        <v>0</v>
      </c>
      <c r="DE723" s="824">
        <f t="shared" ca="1" si="540"/>
        <v>0</v>
      </c>
      <c r="DF723" s="824">
        <f t="shared" ca="1" si="540"/>
        <v>0</v>
      </c>
      <c r="DG723" s="824">
        <f t="shared" ca="1" si="540"/>
        <v>0</v>
      </c>
      <c r="DH723" s="824">
        <f t="shared" ca="1" si="540"/>
        <v>0</v>
      </c>
      <c r="DI723" s="824">
        <f t="shared" ca="1" si="540"/>
        <v>0</v>
      </c>
      <c r="DJ723" s="824">
        <f t="shared" ca="1" si="540"/>
        <v>0</v>
      </c>
      <c r="DK723" s="824">
        <f t="shared" ca="1" si="540"/>
        <v>0</v>
      </c>
      <c r="DL723" s="824">
        <f t="shared" ca="1" si="540"/>
        <v>0</v>
      </c>
    </row>
    <row r="724" spans="2:116" ht="13.5" thickBot="1" x14ac:dyDescent="0.3">
      <c r="B724" s="1673"/>
      <c r="C724" s="1680"/>
      <c r="D724" s="15" t="s">
        <v>50</v>
      </c>
      <c r="E724" s="116"/>
      <c r="F724" s="116">
        <f>SUBTOTAL(109,'3.4 I&amp;W'!$U$34)</f>
        <v>0</v>
      </c>
      <c r="G724" s="116">
        <f>SUBTOTAL(109,'3.4 I&amp;W'!$V$34)</f>
        <v>0</v>
      </c>
      <c r="H724" s="116">
        <f>SUBTOTAL(109,'3.4 I&amp;W'!$AA$34)</f>
        <v>0</v>
      </c>
      <c r="I724" s="116">
        <f>SUBTOTAL(109,'3.4 I&amp;W'!$AB$34)</f>
        <v>0</v>
      </c>
      <c r="J724" s="116"/>
      <c r="K724" s="116"/>
      <c r="L724" s="116"/>
      <c r="M724" s="116">
        <f ca="1">SUBTOTAL(109,'3.4 I&amp;W'!$AI$34)</f>
        <v>100</v>
      </c>
      <c r="N724" s="156">
        <f t="shared" ref="N724:N787" ca="1" si="541">IF(OR(M724=0,M724="",M724=$G$154),0,ROUNDDOWN($G$154/M724,0)+IF(MOD($G$154,M724)=0,-1))</f>
        <v>0</v>
      </c>
      <c r="O724" s="116">
        <f ca="1">SUBTOTAL(109,'3.4 I&amp;W'!$S$34)</f>
        <v>89427.599999999991</v>
      </c>
      <c r="P724" s="30">
        <f ca="1">IF(N724&gt;=1,O724*$G$158^(1*M724)/($G$157^(1*M724)),0)</f>
        <v>0</v>
      </c>
      <c r="Q724" s="31">
        <f t="shared" ca="1" si="531"/>
        <v>0</v>
      </c>
      <c r="R724" s="31">
        <f t="shared" ca="1" si="532"/>
        <v>0</v>
      </c>
      <c r="S724" s="31">
        <f t="shared" ca="1" si="533"/>
        <v>0</v>
      </c>
      <c r="T724" s="32">
        <f t="shared" ca="1" si="534"/>
        <v>0</v>
      </c>
      <c r="U724" s="37">
        <f t="shared" ref="U724:U794" ca="1" si="542">IF(M724=0,0,O724*$G$158^(N724*M724)*((N724+1)*M724-$G$154)/M724*(1/$G$157^$G$154))</f>
        <v>29065.575107692428</v>
      </c>
      <c r="V724" s="40">
        <f t="shared" si="535"/>
        <v>0</v>
      </c>
      <c r="W724" s="41">
        <f t="shared" si="536"/>
        <v>0</v>
      </c>
      <c r="X724" s="43"/>
      <c r="Y724" s="46"/>
      <c r="Z724" s="126"/>
      <c r="AA724" s="136"/>
      <c r="AB724" s="72"/>
      <c r="AC724" s="72"/>
      <c r="AD724" s="72"/>
      <c r="AE724" s="72"/>
      <c r="AF724" s="72"/>
      <c r="AG724" s="72"/>
      <c r="AH724" s="72"/>
      <c r="AI724" s="72"/>
      <c r="AJ724" s="72"/>
      <c r="AK724" s="72"/>
      <c r="AL724" s="72"/>
      <c r="AM724" s="82"/>
      <c r="AN724" s="834"/>
      <c r="AO724" s="834"/>
      <c r="AP724" s="834"/>
      <c r="AQ724" s="834"/>
      <c r="AR724" s="834"/>
      <c r="AS724" s="834"/>
      <c r="AT724" s="834"/>
      <c r="AU724" s="834"/>
      <c r="AV724" s="834"/>
      <c r="AW724" s="834"/>
      <c r="AX724" s="854"/>
      <c r="AY724" s="851" t="s">
        <v>582</v>
      </c>
      <c r="AZ724" s="840"/>
      <c r="BA724" s="840"/>
      <c r="BB724" s="840"/>
      <c r="BC724" s="840"/>
      <c r="BD724" s="840"/>
      <c r="BE724" s="840"/>
      <c r="BF724" s="840"/>
      <c r="BG724" s="840"/>
      <c r="BH724" s="855" t="s">
        <v>276</v>
      </c>
      <c r="BI724" s="855"/>
      <c r="BJ724" s="855"/>
      <c r="BK724" s="856"/>
      <c r="BL724" s="824">
        <f t="shared" ca="1" si="537"/>
        <v>100</v>
      </c>
      <c r="BM724" s="824">
        <f t="shared" ca="1" si="538"/>
        <v>0</v>
      </c>
      <c r="BN724" s="824">
        <f t="shared" ca="1" si="539"/>
        <v>89427.599999999991</v>
      </c>
      <c r="BO724" s="824">
        <f t="shared" ref="BO724:CD741" ca="1" si="543">IF(OR(IF($BL724*1&lt;$BL$196,$BL724*1=BO$198,FALSE),IF($BL724*2&lt;$BL$196,$BL724*2=BO$198,FALSE),IF($BL724*3&lt;$BL$196,$BL724*3=BO$198,FALSE),IF($BL724*4&lt;$BL$196,$BL724*4=BO$198,FALSE),IF($BL724*5&lt;$BL$196,$BL724*5=BO$198,FALSE)),$BN724*$BM$196^BO$198,0)</f>
        <v>0</v>
      </c>
      <c r="BP724" s="824">
        <f t="shared" ca="1" si="540"/>
        <v>0</v>
      </c>
      <c r="BQ724" s="824">
        <f t="shared" ca="1" si="540"/>
        <v>0</v>
      </c>
      <c r="BR724" s="824">
        <f t="shared" ca="1" si="540"/>
        <v>0</v>
      </c>
      <c r="BS724" s="824">
        <f t="shared" ca="1" si="540"/>
        <v>0</v>
      </c>
      <c r="BT724" s="824">
        <f t="shared" ca="1" si="540"/>
        <v>0</v>
      </c>
      <c r="BU724" s="824">
        <f t="shared" ca="1" si="540"/>
        <v>0</v>
      </c>
      <c r="BV724" s="824">
        <f t="shared" ca="1" si="540"/>
        <v>0</v>
      </c>
      <c r="BW724" s="824">
        <f t="shared" ca="1" si="540"/>
        <v>0</v>
      </c>
      <c r="BX724" s="824">
        <f t="shared" ca="1" si="540"/>
        <v>0</v>
      </c>
      <c r="BY724" s="824">
        <f t="shared" ca="1" si="540"/>
        <v>0</v>
      </c>
      <c r="BZ724" s="824">
        <f t="shared" ca="1" si="540"/>
        <v>0</v>
      </c>
      <c r="CA724" s="824">
        <f t="shared" ca="1" si="540"/>
        <v>0</v>
      </c>
      <c r="CB724" s="824">
        <f t="shared" ca="1" si="540"/>
        <v>0</v>
      </c>
      <c r="CC724" s="824">
        <f t="shared" ca="1" si="540"/>
        <v>0</v>
      </c>
      <c r="CD724" s="824">
        <f t="shared" ca="1" si="540"/>
        <v>0</v>
      </c>
      <c r="CE724" s="824">
        <f t="shared" ca="1" si="540"/>
        <v>0</v>
      </c>
      <c r="CF724" s="824">
        <f t="shared" ca="1" si="540"/>
        <v>0</v>
      </c>
      <c r="CG724" s="824">
        <f t="shared" ca="1" si="540"/>
        <v>0</v>
      </c>
      <c r="CH724" s="824">
        <f t="shared" ca="1" si="540"/>
        <v>0</v>
      </c>
      <c r="CI724" s="824">
        <f t="shared" ca="1" si="540"/>
        <v>0</v>
      </c>
      <c r="CJ724" s="824">
        <f t="shared" ca="1" si="540"/>
        <v>0</v>
      </c>
      <c r="CK724" s="824">
        <f t="shared" ca="1" si="540"/>
        <v>0</v>
      </c>
      <c r="CL724" s="824">
        <f t="shared" ca="1" si="540"/>
        <v>0</v>
      </c>
      <c r="CM724" s="824">
        <f t="shared" ca="1" si="540"/>
        <v>0</v>
      </c>
      <c r="CN724" s="824">
        <f t="shared" ca="1" si="540"/>
        <v>0</v>
      </c>
      <c r="CO724" s="824">
        <f t="shared" ca="1" si="540"/>
        <v>0</v>
      </c>
      <c r="CP724" s="824">
        <f t="shared" ca="1" si="540"/>
        <v>0</v>
      </c>
      <c r="CQ724" s="824">
        <f t="shared" ca="1" si="540"/>
        <v>0</v>
      </c>
      <c r="CR724" s="824">
        <f t="shared" ca="1" si="540"/>
        <v>0</v>
      </c>
      <c r="CS724" s="824">
        <f t="shared" ca="1" si="540"/>
        <v>0</v>
      </c>
      <c r="CT724" s="824">
        <f t="shared" ca="1" si="540"/>
        <v>0</v>
      </c>
      <c r="CU724" s="824">
        <f t="shared" ca="1" si="540"/>
        <v>0</v>
      </c>
      <c r="CV724" s="824">
        <f t="shared" ca="1" si="540"/>
        <v>0</v>
      </c>
      <c r="CW724" s="824">
        <f t="shared" ca="1" si="540"/>
        <v>0</v>
      </c>
      <c r="CX724" s="824">
        <f t="shared" ca="1" si="540"/>
        <v>0</v>
      </c>
      <c r="CY724" s="824">
        <f t="shared" ca="1" si="540"/>
        <v>0</v>
      </c>
      <c r="CZ724" s="824">
        <f t="shared" ca="1" si="540"/>
        <v>0</v>
      </c>
      <c r="DA724" s="824">
        <f t="shared" ca="1" si="540"/>
        <v>0</v>
      </c>
      <c r="DB724" s="824">
        <f t="shared" ca="1" si="540"/>
        <v>0</v>
      </c>
      <c r="DC724" s="824">
        <f t="shared" ca="1" si="540"/>
        <v>0</v>
      </c>
      <c r="DD724" s="824">
        <f t="shared" ca="1" si="540"/>
        <v>0</v>
      </c>
      <c r="DE724" s="824">
        <f t="shared" ca="1" si="540"/>
        <v>0</v>
      </c>
      <c r="DF724" s="824">
        <f t="shared" ca="1" si="540"/>
        <v>0</v>
      </c>
      <c r="DG724" s="824">
        <f t="shared" ca="1" si="540"/>
        <v>0</v>
      </c>
      <c r="DH724" s="824">
        <f t="shared" ca="1" si="540"/>
        <v>0</v>
      </c>
      <c r="DI724" s="824">
        <f t="shared" ca="1" si="540"/>
        <v>0</v>
      </c>
      <c r="DJ724" s="824">
        <f t="shared" ca="1" si="540"/>
        <v>0</v>
      </c>
      <c r="DK724" s="824">
        <f t="shared" ca="1" si="540"/>
        <v>0</v>
      </c>
      <c r="DL724" s="824">
        <f t="shared" ca="1" si="540"/>
        <v>0</v>
      </c>
    </row>
    <row r="725" spans="2:116" ht="12" thickBot="1" x14ac:dyDescent="0.3">
      <c r="B725" s="1673"/>
      <c r="C725" s="1680"/>
      <c r="D725" s="15" t="s">
        <v>125</v>
      </c>
      <c r="E725" s="116"/>
      <c r="F725" s="116">
        <f ca="1">SUBTOTAL(109,'3.4 I&amp;W'!$X$43)</f>
        <v>0</v>
      </c>
      <c r="G725" s="116">
        <f ca="1">SUBTOTAL(109,'3.4 I&amp;W'!$Y$43)</f>
        <v>0</v>
      </c>
      <c r="H725" s="116">
        <f ca="1">SUBTOTAL(109,'3.4 I&amp;W'!$AD$43)</f>
        <v>5.9945403570901585E-4</v>
      </c>
      <c r="I725" s="116">
        <f ca="1">SUBTOTAL(109,'3.4 I&amp;W'!$AE$43)</f>
        <v>42.9</v>
      </c>
      <c r="J725" s="116"/>
      <c r="K725" s="116"/>
      <c r="L725" s="116"/>
      <c r="M725" s="116">
        <f ca="1">SUBTOTAL(109,'3.4 I&amp;W'!$AI$43)</f>
        <v>30</v>
      </c>
      <c r="N725" s="156">
        <f t="shared" ca="1" si="541"/>
        <v>1</v>
      </c>
      <c r="O725" s="116">
        <f ca="1">SUBTOTAL(109,'3.4 I&amp;W'!$S$43)</f>
        <v>71565.119999999995</v>
      </c>
      <c r="P725" s="30">
        <f t="shared" ref="P725:P740" ca="1" si="544">IF(N725&gt;=1,O725*$G$158^(1*M725)/($G$157^(1*M725)),0)</f>
        <v>63607.377384804036</v>
      </c>
      <c r="Q725" s="31">
        <f t="shared" ca="1" si="531"/>
        <v>0</v>
      </c>
      <c r="R725" s="31">
        <f t="shared" ca="1" si="532"/>
        <v>0</v>
      </c>
      <c r="S725" s="31">
        <f t="shared" ca="1" si="533"/>
        <v>0</v>
      </c>
      <c r="T725" s="32">
        <f t="shared" ca="1" si="534"/>
        <v>0</v>
      </c>
      <c r="U725" s="37">
        <f t="shared" ca="1" si="542"/>
        <v>48009.301191579703</v>
      </c>
      <c r="V725" s="40">
        <f t="shared" ca="1" si="535"/>
        <v>0</v>
      </c>
      <c r="W725" s="41">
        <f t="shared" ca="1" si="536"/>
        <v>1378.0252955882922</v>
      </c>
      <c r="X725" s="43"/>
      <c r="Y725" s="46"/>
      <c r="Z725" s="126"/>
      <c r="AA725" s="136"/>
      <c r="AB725" s="72"/>
      <c r="AC725" s="1660" t="s">
        <v>191</v>
      </c>
      <c r="AD725" s="1661"/>
      <c r="AE725" s="1661"/>
      <c r="AF725" s="1662"/>
      <c r="AG725" s="1660" t="s">
        <v>112</v>
      </c>
      <c r="AH725" s="1661"/>
      <c r="AI725" s="1661"/>
      <c r="AJ725" s="1662"/>
      <c r="AK725" s="175" t="s">
        <v>249</v>
      </c>
      <c r="AL725" s="175" t="s">
        <v>269</v>
      </c>
      <c r="AM725" s="175" t="s">
        <v>270</v>
      </c>
      <c r="AN725" s="835"/>
      <c r="AO725" s="835"/>
      <c r="AP725" s="835"/>
      <c r="AQ725" s="853"/>
      <c r="AR725" s="839">
        <f>$G$169</f>
        <v>1.016</v>
      </c>
      <c r="AS725" s="839">
        <f>$G$167</f>
        <v>1.016</v>
      </c>
      <c r="AT725" s="835"/>
      <c r="AU725" s="853"/>
      <c r="AV725" s="853"/>
      <c r="AW725" s="835"/>
      <c r="AX725" s="839">
        <f>G682</f>
        <v>0</v>
      </c>
      <c r="AY725" s="842"/>
      <c r="AZ725" s="842">
        <f>$G$159</f>
        <v>1</v>
      </c>
      <c r="BA725" s="842">
        <f>$G$160</f>
        <v>1</v>
      </c>
      <c r="BB725" s="842">
        <f>$G$161</f>
        <v>1</v>
      </c>
      <c r="BC725" s="842">
        <f>$G$162</f>
        <v>1</v>
      </c>
      <c r="BD725" s="842">
        <f>$G$163</f>
        <v>1</v>
      </c>
      <c r="BE725" s="842">
        <f>$G$164</f>
        <v>1</v>
      </c>
      <c r="BF725" s="842">
        <f>$G$165</f>
        <v>1.0249999999999999</v>
      </c>
      <c r="BG725" s="842">
        <f>$G$166</f>
        <v>1.0349999999999999</v>
      </c>
      <c r="BH725" s="857"/>
      <c r="BI725" s="857">
        <f>$G$167</f>
        <v>1.016</v>
      </c>
      <c r="BJ725" s="857">
        <f>$G$167</f>
        <v>1.016</v>
      </c>
      <c r="BK725" s="856"/>
      <c r="BL725" s="824">
        <f t="shared" ca="1" si="537"/>
        <v>30</v>
      </c>
      <c r="BM725" s="824">
        <f t="shared" ca="1" si="538"/>
        <v>1</v>
      </c>
      <c r="BN725" s="824">
        <f t="shared" ca="1" si="539"/>
        <v>71565.119999999995</v>
      </c>
      <c r="BO725" s="824">
        <f t="shared" ca="1" si="543"/>
        <v>0</v>
      </c>
      <c r="BP725" s="824">
        <f t="shared" ca="1" si="540"/>
        <v>0</v>
      </c>
      <c r="BQ725" s="824">
        <f t="shared" ca="1" si="540"/>
        <v>0</v>
      </c>
      <c r="BR725" s="824">
        <f t="shared" ca="1" si="540"/>
        <v>0</v>
      </c>
      <c r="BS725" s="824">
        <f t="shared" ca="1" si="540"/>
        <v>0</v>
      </c>
      <c r="BT725" s="824">
        <f t="shared" ca="1" si="540"/>
        <v>0</v>
      </c>
      <c r="BU725" s="824">
        <f t="shared" ca="1" si="540"/>
        <v>0</v>
      </c>
      <c r="BV725" s="824">
        <f t="shared" ca="1" si="540"/>
        <v>0</v>
      </c>
      <c r="BW725" s="824">
        <f t="shared" ca="1" si="540"/>
        <v>0</v>
      </c>
      <c r="BX725" s="824">
        <f t="shared" ca="1" si="540"/>
        <v>0</v>
      </c>
      <c r="BY725" s="824">
        <f t="shared" ca="1" si="540"/>
        <v>0</v>
      </c>
      <c r="BZ725" s="824">
        <f t="shared" ca="1" si="540"/>
        <v>0</v>
      </c>
      <c r="CA725" s="824">
        <f t="shared" ca="1" si="540"/>
        <v>0</v>
      </c>
      <c r="CB725" s="824">
        <f t="shared" ca="1" si="540"/>
        <v>0</v>
      </c>
      <c r="CC725" s="824">
        <f t="shared" ca="1" si="540"/>
        <v>0</v>
      </c>
      <c r="CD725" s="824">
        <f t="shared" ca="1" si="540"/>
        <v>0</v>
      </c>
      <c r="CE725" s="824">
        <f t="shared" ca="1" si="540"/>
        <v>0</v>
      </c>
      <c r="CF725" s="824">
        <f t="shared" ca="1" si="540"/>
        <v>0</v>
      </c>
      <c r="CG725" s="824">
        <f t="shared" ca="1" si="540"/>
        <v>0</v>
      </c>
      <c r="CH725" s="824">
        <f t="shared" ca="1" si="540"/>
        <v>0</v>
      </c>
      <c r="CI725" s="824">
        <f t="shared" ca="1" si="540"/>
        <v>0</v>
      </c>
      <c r="CJ725" s="824">
        <f t="shared" ca="1" si="540"/>
        <v>0</v>
      </c>
      <c r="CK725" s="824">
        <f t="shared" ca="1" si="540"/>
        <v>0</v>
      </c>
      <c r="CL725" s="824">
        <f t="shared" ca="1" si="540"/>
        <v>0</v>
      </c>
      <c r="CM725" s="824">
        <f t="shared" ca="1" si="540"/>
        <v>0</v>
      </c>
      <c r="CN725" s="824">
        <f t="shared" ca="1" si="540"/>
        <v>0</v>
      </c>
      <c r="CO725" s="824">
        <f t="shared" ca="1" si="540"/>
        <v>0</v>
      </c>
      <c r="CP725" s="824">
        <f t="shared" ca="1" si="540"/>
        <v>0</v>
      </c>
      <c r="CQ725" s="824">
        <f t="shared" ca="1" si="540"/>
        <v>0</v>
      </c>
      <c r="CR725" s="824">
        <f t="shared" ca="1" si="540"/>
        <v>115215.95986039846</v>
      </c>
      <c r="CS725" s="824">
        <f t="shared" ca="1" si="540"/>
        <v>0</v>
      </c>
      <c r="CT725" s="824">
        <f t="shared" ca="1" si="540"/>
        <v>0</v>
      </c>
      <c r="CU725" s="824">
        <f t="shared" ca="1" si="540"/>
        <v>0</v>
      </c>
      <c r="CV725" s="824">
        <f t="shared" ca="1" si="540"/>
        <v>0</v>
      </c>
      <c r="CW725" s="824">
        <f t="shared" ca="1" si="540"/>
        <v>0</v>
      </c>
      <c r="CX725" s="824">
        <f t="shared" ca="1" si="540"/>
        <v>0</v>
      </c>
      <c r="CY725" s="824">
        <f t="shared" ca="1" si="540"/>
        <v>0</v>
      </c>
      <c r="CZ725" s="824">
        <f t="shared" ca="1" si="540"/>
        <v>0</v>
      </c>
      <c r="DA725" s="824">
        <f t="shared" ca="1" si="540"/>
        <v>0</v>
      </c>
      <c r="DB725" s="824">
        <f t="shared" ca="1" si="540"/>
        <v>0</v>
      </c>
      <c r="DC725" s="824">
        <f t="shared" ca="1" si="540"/>
        <v>0</v>
      </c>
      <c r="DD725" s="824">
        <f t="shared" ca="1" si="540"/>
        <v>0</v>
      </c>
      <c r="DE725" s="824">
        <f t="shared" ca="1" si="540"/>
        <v>0</v>
      </c>
      <c r="DF725" s="824">
        <f t="shared" ca="1" si="540"/>
        <v>0</v>
      </c>
      <c r="DG725" s="824">
        <f t="shared" ca="1" si="540"/>
        <v>0</v>
      </c>
      <c r="DH725" s="824">
        <f t="shared" ca="1" si="540"/>
        <v>0</v>
      </c>
      <c r="DI725" s="824">
        <f t="shared" ca="1" si="540"/>
        <v>0</v>
      </c>
      <c r="DJ725" s="824">
        <f t="shared" ca="1" si="540"/>
        <v>0</v>
      </c>
      <c r="DK725" s="824">
        <f t="shared" ca="1" si="540"/>
        <v>0</v>
      </c>
      <c r="DL725" s="824">
        <f t="shared" ca="1" si="540"/>
        <v>0</v>
      </c>
    </row>
    <row r="726" spans="2:116" ht="12" thickBot="1" x14ac:dyDescent="0.3">
      <c r="B726" s="1673"/>
      <c r="C726" s="1680"/>
      <c r="D726" s="15" t="s">
        <v>125</v>
      </c>
      <c r="E726" s="165"/>
      <c r="F726" s="116">
        <f ca="1">SUBTOTAL(109,'3.4 I&amp;W'!$X$44)</f>
        <v>0</v>
      </c>
      <c r="G726" s="116">
        <f ca="1">SUBTOTAL(109,'3.4 I&amp;W'!$Y$44)</f>
        <v>0</v>
      </c>
      <c r="H726" s="116">
        <f ca="1">SUBTOTAL(109,'3.4 I&amp;W'!$AD$44)</f>
        <v>0</v>
      </c>
      <c r="I726" s="116">
        <f ca="1">SUBTOTAL(109,'3.4 I&amp;W'!$AE$44)</f>
        <v>0</v>
      </c>
      <c r="J726" s="116"/>
      <c r="K726" s="116"/>
      <c r="L726" s="116"/>
      <c r="M726" s="116">
        <f ca="1">SUBTOTAL(109,'3.4 I&amp;W'!$AI$44)</f>
        <v>0</v>
      </c>
      <c r="N726" s="156">
        <f t="shared" ca="1" si="541"/>
        <v>0</v>
      </c>
      <c r="O726" s="116">
        <f ca="1">SUBTOTAL(109,'3.4 I&amp;W'!$S$44)</f>
        <v>0</v>
      </c>
      <c r="P726" s="30">
        <f t="shared" ca="1" si="544"/>
        <v>0</v>
      </c>
      <c r="Q726" s="31">
        <f t="shared" ca="1" si="531"/>
        <v>0</v>
      </c>
      <c r="R726" s="31">
        <f t="shared" ca="1" si="532"/>
        <v>0</v>
      </c>
      <c r="S726" s="31">
        <f t="shared" ca="1" si="533"/>
        <v>0</v>
      </c>
      <c r="T726" s="32">
        <f t="shared" ca="1" si="534"/>
        <v>0</v>
      </c>
      <c r="U726" s="37">
        <f t="shared" ca="1" si="542"/>
        <v>0</v>
      </c>
      <c r="V726" s="40">
        <f t="shared" ca="1" si="535"/>
        <v>0</v>
      </c>
      <c r="W726" s="41">
        <f t="shared" ca="1" si="536"/>
        <v>0</v>
      </c>
      <c r="X726" s="43"/>
      <c r="Y726" s="46"/>
      <c r="Z726" s="126"/>
      <c r="AA726" s="136"/>
      <c r="AB726" s="131" t="s">
        <v>248</v>
      </c>
      <c r="AC726" s="83" t="s">
        <v>245</v>
      </c>
      <c r="AD726" s="131" t="s">
        <v>246</v>
      </c>
      <c r="AE726" s="131" t="s">
        <v>205</v>
      </c>
      <c r="AF726" s="176" t="s">
        <v>247</v>
      </c>
      <c r="AG726" s="83" t="s">
        <v>245</v>
      </c>
      <c r="AH726" s="201" t="s">
        <v>246</v>
      </c>
      <c r="AI726" s="201" t="s">
        <v>205</v>
      </c>
      <c r="AJ726" s="202" t="s">
        <v>247</v>
      </c>
      <c r="AK726" s="311"/>
      <c r="AL726" s="72"/>
      <c r="AM726" s="79"/>
      <c r="AN726" s="843" t="s">
        <v>248</v>
      </c>
      <c r="AO726" s="836" t="s">
        <v>192</v>
      </c>
      <c r="AP726" s="836" t="s">
        <v>280</v>
      </c>
      <c r="AQ726" s="836" t="s">
        <v>284</v>
      </c>
      <c r="AR726" s="836" t="s">
        <v>332</v>
      </c>
      <c r="AS726" s="836" t="s">
        <v>281</v>
      </c>
      <c r="AT726" s="836" t="s">
        <v>282</v>
      </c>
      <c r="AU726" s="837" t="s">
        <v>544</v>
      </c>
      <c r="AV726" s="837" t="s">
        <v>542</v>
      </c>
      <c r="AW726" s="836" t="s">
        <v>396</v>
      </c>
      <c r="AX726" s="836" t="s">
        <v>414</v>
      </c>
      <c r="AY726" s="842" t="s">
        <v>481</v>
      </c>
      <c r="AZ726" s="852" t="str">
        <f>$AF$307</f>
        <v>Heizöl</v>
      </c>
      <c r="BA726" s="852" t="str">
        <f>$AG$307</f>
        <v>Erdgas</v>
      </c>
      <c r="BB726" s="852" t="str">
        <f>$AH$307</f>
        <v>Kohle</v>
      </c>
      <c r="BC726" s="852" t="str">
        <f>$AI$307</f>
        <v>Fernwärme ne.</v>
      </c>
      <c r="BD726" s="852" t="str">
        <f>$AJ$307</f>
        <v>Fernwärme e.</v>
      </c>
      <c r="BE726" s="852" t="str">
        <f>$AK$307</f>
        <v>Biomasse</v>
      </c>
      <c r="BF726" s="852" t="str">
        <f>$AL$307</f>
        <v>Strom</v>
      </c>
      <c r="BG726" s="852" t="str">
        <f>$AM$307</f>
        <v>Wärmepumpenstrom</v>
      </c>
      <c r="BH726" s="857" t="s">
        <v>481</v>
      </c>
      <c r="BI726" s="857" t="s">
        <v>63</v>
      </c>
      <c r="BJ726" s="857" t="s">
        <v>583</v>
      </c>
      <c r="BK726" s="856" t="s">
        <v>584</v>
      </c>
      <c r="BL726" s="824">
        <f t="shared" ca="1" si="537"/>
        <v>0</v>
      </c>
      <c r="BM726" s="824">
        <f t="shared" ca="1" si="538"/>
        <v>0</v>
      </c>
      <c r="BN726" s="824">
        <f t="shared" ca="1" si="539"/>
        <v>0</v>
      </c>
      <c r="BO726" s="824">
        <f t="shared" ca="1" si="543"/>
        <v>0</v>
      </c>
      <c r="BP726" s="824">
        <f t="shared" ca="1" si="543"/>
        <v>0</v>
      </c>
      <c r="BQ726" s="824">
        <f t="shared" ca="1" si="543"/>
        <v>0</v>
      </c>
      <c r="BR726" s="824">
        <f t="shared" ca="1" si="543"/>
        <v>0</v>
      </c>
      <c r="BS726" s="824">
        <f t="shared" ca="1" si="543"/>
        <v>0</v>
      </c>
      <c r="BT726" s="824">
        <f t="shared" ca="1" si="543"/>
        <v>0</v>
      </c>
      <c r="BU726" s="824">
        <f t="shared" ca="1" si="543"/>
        <v>0</v>
      </c>
      <c r="BV726" s="824">
        <f t="shared" ca="1" si="543"/>
        <v>0</v>
      </c>
      <c r="BW726" s="824">
        <f t="shared" ca="1" si="543"/>
        <v>0</v>
      </c>
      <c r="BX726" s="824">
        <f t="shared" ca="1" si="543"/>
        <v>0</v>
      </c>
      <c r="BY726" s="824">
        <f t="shared" ca="1" si="543"/>
        <v>0</v>
      </c>
      <c r="BZ726" s="824">
        <f t="shared" ca="1" si="543"/>
        <v>0</v>
      </c>
      <c r="CA726" s="824">
        <f t="shared" ca="1" si="543"/>
        <v>0</v>
      </c>
      <c r="CB726" s="824">
        <f t="shared" ca="1" si="543"/>
        <v>0</v>
      </c>
      <c r="CC726" s="824">
        <f t="shared" ca="1" si="543"/>
        <v>0</v>
      </c>
      <c r="CD726" s="824">
        <f t="shared" ca="1" si="543"/>
        <v>0</v>
      </c>
      <c r="CE726" s="824">
        <f t="shared" ca="1" si="540"/>
        <v>0</v>
      </c>
      <c r="CF726" s="824">
        <f t="shared" ca="1" si="540"/>
        <v>0</v>
      </c>
      <c r="CG726" s="824">
        <f t="shared" ca="1" si="540"/>
        <v>0</v>
      </c>
      <c r="CH726" s="824">
        <f t="shared" ca="1" si="540"/>
        <v>0</v>
      </c>
      <c r="CI726" s="824">
        <f t="shared" ca="1" si="540"/>
        <v>0</v>
      </c>
      <c r="CJ726" s="824">
        <f t="shared" ca="1" si="540"/>
        <v>0</v>
      </c>
      <c r="CK726" s="824">
        <f t="shared" ca="1" si="540"/>
        <v>0</v>
      </c>
      <c r="CL726" s="824">
        <f t="shared" ca="1" si="540"/>
        <v>0</v>
      </c>
      <c r="CM726" s="824">
        <f t="shared" ca="1" si="540"/>
        <v>0</v>
      </c>
      <c r="CN726" s="824">
        <f t="shared" ca="1" si="540"/>
        <v>0</v>
      </c>
      <c r="CO726" s="824">
        <f t="shared" ca="1" si="540"/>
        <v>0</v>
      </c>
      <c r="CP726" s="824">
        <f t="shared" ca="1" si="540"/>
        <v>0</v>
      </c>
      <c r="CQ726" s="824">
        <f t="shared" ca="1" si="540"/>
        <v>0</v>
      </c>
      <c r="CR726" s="824">
        <f t="shared" ca="1" si="540"/>
        <v>0</v>
      </c>
      <c r="CS726" s="824">
        <f t="shared" ca="1" si="540"/>
        <v>0</v>
      </c>
      <c r="CT726" s="824">
        <f t="shared" ca="1" si="540"/>
        <v>0</v>
      </c>
      <c r="CU726" s="824">
        <f t="shared" ca="1" si="540"/>
        <v>0</v>
      </c>
      <c r="CV726" s="824">
        <f t="shared" ca="1" si="540"/>
        <v>0</v>
      </c>
      <c r="CW726" s="824">
        <f t="shared" ca="1" si="540"/>
        <v>0</v>
      </c>
      <c r="CX726" s="824">
        <f t="shared" ca="1" si="540"/>
        <v>0</v>
      </c>
      <c r="CY726" s="824">
        <f t="shared" ca="1" si="540"/>
        <v>0</v>
      </c>
      <c r="CZ726" s="824">
        <f t="shared" ca="1" si="540"/>
        <v>0</v>
      </c>
      <c r="DA726" s="824">
        <f t="shared" ca="1" si="540"/>
        <v>0</v>
      </c>
      <c r="DB726" s="824">
        <f t="shared" ca="1" si="540"/>
        <v>0</v>
      </c>
      <c r="DC726" s="824">
        <f t="shared" ca="1" si="540"/>
        <v>0</v>
      </c>
      <c r="DD726" s="824">
        <f t="shared" ca="1" si="540"/>
        <v>0</v>
      </c>
      <c r="DE726" s="824">
        <f t="shared" ca="1" si="540"/>
        <v>0</v>
      </c>
      <c r="DF726" s="824">
        <f t="shared" ca="1" si="540"/>
        <v>0</v>
      </c>
      <c r="DG726" s="824">
        <f t="shared" ca="1" si="540"/>
        <v>0</v>
      </c>
      <c r="DH726" s="824">
        <f t="shared" ca="1" si="540"/>
        <v>0</v>
      </c>
      <c r="DI726" s="824">
        <f t="shared" ca="1" si="540"/>
        <v>0</v>
      </c>
      <c r="DJ726" s="824">
        <f t="shared" ca="1" si="540"/>
        <v>0</v>
      </c>
      <c r="DK726" s="824">
        <f t="shared" ca="1" si="540"/>
        <v>0</v>
      </c>
      <c r="DL726" s="824">
        <f t="shared" ca="1" si="540"/>
        <v>0</v>
      </c>
    </row>
    <row r="727" spans="2:116" ht="12" thickBot="1" x14ac:dyDescent="0.3">
      <c r="B727" s="1673"/>
      <c r="C727" s="1680"/>
      <c r="D727" s="15" t="s">
        <v>125</v>
      </c>
      <c r="E727" s="116"/>
      <c r="F727" s="116">
        <f ca="1">SUBTOTAL(109,'3.4 I&amp;W'!$X$45)</f>
        <v>0</v>
      </c>
      <c r="G727" s="116">
        <f ca="1">SUBTOTAL(109,'3.4 I&amp;W'!$Y$45)</f>
        <v>0</v>
      </c>
      <c r="H727" s="116">
        <f ca="1">SUBTOTAL(109,'3.4 I&amp;W'!$AD$45)</f>
        <v>0</v>
      </c>
      <c r="I727" s="116">
        <f ca="1">SUBTOTAL(109,'3.4 I&amp;W'!$AE$45)</f>
        <v>0</v>
      </c>
      <c r="J727" s="116"/>
      <c r="K727" s="116"/>
      <c r="L727" s="116"/>
      <c r="M727" s="116">
        <f ca="1">SUBTOTAL(109,'3.4 I&amp;W'!$AI$45)</f>
        <v>50</v>
      </c>
      <c r="N727" s="156">
        <f t="shared" ca="1" si="541"/>
        <v>0</v>
      </c>
      <c r="O727" s="116">
        <f ca="1">SUBTOTAL(109,'3.4 I&amp;W'!$S$45)</f>
        <v>93488.099999999991</v>
      </c>
      <c r="P727" s="30">
        <f t="shared" ca="1" si="544"/>
        <v>0</v>
      </c>
      <c r="Q727" s="31">
        <f t="shared" ca="1" si="531"/>
        <v>0</v>
      </c>
      <c r="R727" s="31">
        <f t="shared" ca="1" si="532"/>
        <v>0</v>
      </c>
      <c r="S727" s="31">
        <f t="shared" ca="1" si="533"/>
        <v>0</v>
      </c>
      <c r="T727" s="32">
        <f t="shared" ca="1" si="534"/>
        <v>0</v>
      </c>
      <c r="U727" s="37">
        <f t="shared" ca="1" si="542"/>
        <v>14023.989456148596</v>
      </c>
      <c r="V727" s="40">
        <f t="shared" ca="1" si="535"/>
        <v>0</v>
      </c>
      <c r="W727" s="41">
        <f t="shared" ca="1" si="536"/>
        <v>0</v>
      </c>
      <c r="X727" s="43"/>
      <c r="Y727" s="46"/>
      <c r="Z727" s="126"/>
      <c r="AA727" s="136"/>
      <c r="AB727" s="131">
        <v>0</v>
      </c>
      <c r="AC727" s="168"/>
      <c r="AD727" s="169"/>
      <c r="AE727" s="169"/>
      <c r="AF727" s="170">
        <f ca="1">'3.4 Fi&amp;Fo'!$F$25</f>
        <v>1181606.8639999998</v>
      </c>
      <c r="AG727" s="168"/>
      <c r="AH727" s="203"/>
      <c r="AI727" s="203"/>
      <c r="AJ727" s="204">
        <f>'3.4 Fi&amp;Fo'!$G$19</f>
        <v>1831926.8</v>
      </c>
      <c r="AK727" s="312">
        <f ca="1">AF727+AJ727</f>
        <v>3013533.6639999999</v>
      </c>
      <c r="AL727" s="310">
        <f>'3.4 Fi&amp;Fo'!$G$14</f>
        <v>43250</v>
      </c>
      <c r="AM727" s="177">
        <f>'3.4 Fi&amp;Fo'!$G$17</f>
        <v>1114633.632</v>
      </c>
      <c r="AN727" s="838">
        <v>0</v>
      </c>
      <c r="AO727" s="844">
        <v>0</v>
      </c>
      <c r="AP727" s="844">
        <f>BN832</f>
        <v>0</v>
      </c>
      <c r="AQ727" s="844">
        <f>IF(AN727=$AO$198,$F$16*$G$157^AN727,0)</f>
        <v>0</v>
      </c>
      <c r="AR727" s="844">
        <v>0</v>
      </c>
      <c r="AS727" s="844">
        <v>0</v>
      </c>
      <c r="AT727" s="844">
        <v>0</v>
      </c>
      <c r="AU727" s="844">
        <v>0</v>
      </c>
      <c r="AV727" s="844">
        <v>0</v>
      </c>
      <c r="AW727" s="844">
        <f>IF(ISNA(VLOOKUP(B698,$N$6:$O$10,2,FALSE)),0,VLOOKUP(B698,$N$6:$O$10,2,FALSE))</f>
        <v>0</v>
      </c>
      <c r="AX727" s="844">
        <v>0</v>
      </c>
      <c r="AY727" s="841">
        <f>AN727</f>
        <v>0</v>
      </c>
      <c r="AZ727" s="842">
        <v>0</v>
      </c>
      <c r="BA727" s="842">
        <v>0</v>
      </c>
      <c r="BB727" s="842">
        <v>0</v>
      </c>
      <c r="BC727" s="842">
        <v>0</v>
      </c>
      <c r="BD727" s="842">
        <v>0</v>
      </c>
      <c r="BE727" s="842">
        <v>0</v>
      </c>
      <c r="BF727" s="842">
        <v>0</v>
      </c>
      <c r="BG727" s="842">
        <v>0</v>
      </c>
      <c r="BH727" s="858">
        <f>AN727</f>
        <v>0</v>
      </c>
      <c r="BI727" s="858">
        <v>0</v>
      </c>
      <c r="BJ727" s="858">
        <v>0</v>
      </c>
      <c r="BK727" s="859">
        <v>0</v>
      </c>
      <c r="BL727" s="824">
        <f t="shared" ca="1" si="537"/>
        <v>50</v>
      </c>
      <c r="BM727" s="824">
        <f t="shared" ca="1" si="538"/>
        <v>0</v>
      </c>
      <c r="BN727" s="824">
        <f t="shared" ca="1" si="539"/>
        <v>93488.099999999991</v>
      </c>
      <c r="BO727" s="824">
        <f t="shared" ca="1" si="543"/>
        <v>0</v>
      </c>
      <c r="BP727" s="824">
        <f t="shared" ca="1" si="543"/>
        <v>0</v>
      </c>
      <c r="BQ727" s="824">
        <f t="shared" ca="1" si="543"/>
        <v>0</v>
      </c>
      <c r="BR727" s="824">
        <f t="shared" ca="1" si="543"/>
        <v>0</v>
      </c>
      <c r="BS727" s="824">
        <f t="shared" ca="1" si="543"/>
        <v>0</v>
      </c>
      <c r="BT727" s="824">
        <f t="shared" ca="1" si="543"/>
        <v>0</v>
      </c>
      <c r="BU727" s="824">
        <f t="shared" ca="1" si="543"/>
        <v>0</v>
      </c>
      <c r="BV727" s="824">
        <f t="shared" ca="1" si="543"/>
        <v>0</v>
      </c>
      <c r="BW727" s="824">
        <f t="shared" ca="1" si="543"/>
        <v>0</v>
      </c>
      <c r="BX727" s="824">
        <f t="shared" ca="1" si="543"/>
        <v>0</v>
      </c>
      <c r="BY727" s="824">
        <f t="shared" ca="1" si="543"/>
        <v>0</v>
      </c>
      <c r="BZ727" s="824">
        <f t="shared" ca="1" si="543"/>
        <v>0</v>
      </c>
      <c r="CA727" s="824">
        <f t="shared" ca="1" si="543"/>
        <v>0</v>
      </c>
      <c r="CB727" s="824">
        <f t="shared" ca="1" si="543"/>
        <v>0</v>
      </c>
      <c r="CC727" s="824">
        <f t="shared" ca="1" si="543"/>
        <v>0</v>
      </c>
      <c r="CD727" s="824">
        <f t="shared" ca="1" si="543"/>
        <v>0</v>
      </c>
      <c r="CE727" s="824">
        <f t="shared" ca="1" si="540"/>
        <v>0</v>
      </c>
      <c r="CF727" s="824">
        <f t="shared" ca="1" si="540"/>
        <v>0</v>
      </c>
      <c r="CG727" s="824">
        <f t="shared" ca="1" si="540"/>
        <v>0</v>
      </c>
      <c r="CH727" s="824">
        <f t="shared" ca="1" si="540"/>
        <v>0</v>
      </c>
      <c r="CI727" s="824">
        <f t="shared" ca="1" si="540"/>
        <v>0</v>
      </c>
      <c r="CJ727" s="824">
        <f t="shared" ca="1" si="540"/>
        <v>0</v>
      </c>
      <c r="CK727" s="824">
        <f t="shared" ca="1" si="540"/>
        <v>0</v>
      </c>
      <c r="CL727" s="824">
        <f t="shared" ca="1" si="540"/>
        <v>0</v>
      </c>
      <c r="CM727" s="824">
        <f t="shared" ca="1" si="540"/>
        <v>0</v>
      </c>
      <c r="CN727" s="824">
        <f t="shared" ca="1" si="540"/>
        <v>0</v>
      </c>
      <c r="CO727" s="824">
        <f t="shared" ca="1" si="540"/>
        <v>0</v>
      </c>
      <c r="CP727" s="824">
        <f t="shared" ca="1" si="540"/>
        <v>0</v>
      </c>
      <c r="CQ727" s="824">
        <f t="shared" ca="1" si="540"/>
        <v>0</v>
      </c>
      <c r="CR727" s="824">
        <f t="shared" ca="1" si="540"/>
        <v>0</v>
      </c>
      <c r="CS727" s="824">
        <f t="shared" ca="1" si="540"/>
        <v>0</v>
      </c>
      <c r="CT727" s="824">
        <f t="shared" ca="1" si="540"/>
        <v>0</v>
      </c>
      <c r="CU727" s="824">
        <f t="shared" ca="1" si="540"/>
        <v>0</v>
      </c>
      <c r="CV727" s="824">
        <f t="shared" ca="1" si="540"/>
        <v>0</v>
      </c>
      <c r="CW727" s="824">
        <f t="shared" ca="1" si="540"/>
        <v>0</v>
      </c>
      <c r="CX727" s="824">
        <f t="shared" ca="1" si="540"/>
        <v>0</v>
      </c>
      <c r="CY727" s="824">
        <f t="shared" ca="1" si="540"/>
        <v>0</v>
      </c>
      <c r="CZ727" s="824">
        <f t="shared" ca="1" si="540"/>
        <v>0</v>
      </c>
      <c r="DA727" s="824">
        <f t="shared" ca="1" si="540"/>
        <v>0</v>
      </c>
      <c r="DB727" s="824">
        <f t="shared" ca="1" si="540"/>
        <v>0</v>
      </c>
      <c r="DC727" s="824">
        <f t="shared" ca="1" si="540"/>
        <v>0</v>
      </c>
      <c r="DD727" s="824">
        <f t="shared" ca="1" si="540"/>
        <v>0</v>
      </c>
      <c r="DE727" s="824">
        <f t="shared" ca="1" si="540"/>
        <v>0</v>
      </c>
      <c r="DF727" s="824">
        <f t="shared" ca="1" si="540"/>
        <v>0</v>
      </c>
      <c r="DG727" s="824">
        <f t="shared" ca="1" si="540"/>
        <v>0</v>
      </c>
      <c r="DH727" s="824">
        <f t="shared" ca="1" si="540"/>
        <v>0</v>
      </c>
      <c r="DI727" s="824">
        <f t="shared" ca="1" si="540"/>
        <v>0</v>
      </c>
      <c r="DJ727" s="824">
        <f t="shared" ca="1" si="540"/>
        <v>0</v>
      </c>
      <c r="DK727" s="824">
        <f t="shared" ca="1" si="540"/>
        <v>0</v>
      </c>
      <c r="DL727" s="824">
        <f t="shared" ca="1" si="540"/>
        <v>0</v>
      </c>
    </row>
    <row r="728" spans="2:116" ht="12" thickBot="1" x14ac:dyDescent="0.3">
      <c r="B728" s="1673"/>
      <c r="C728" s="1680"/>
      <c r="D728" s="15" t="s">
        <v>125</v>
      </c>
      <c r="E728" s="165"/>
      <c r="F728" s="116">
        <f ca="1">SUBTOTAL(109,'3.4 I&amp;W'!$X$46)</f>
        <v>0</v>
      </c>
      <c r="G728" s="116">
        <f ca="1">SUBTOTAL(109,'3.4 I&amp;W'!$Y$46)</f>
        <v>0</v>
      </c>
      <c r="H728" s="116">
        <f ca="1">SUBTOTAL(109,'3.4 I&amp;W'!$AD$46)</f>
        <v>0</v>
      </c>
      <c r="I728" s="116">
        <f ca="1">SUBTOTAL(109,'3.4 I&amp;W'!$AE$46)</f>
        <v>0</v>
      </c>
      <c r="J728" s="116"/>
      <c r="K728" s="116"/>
      <c r="L728" s="116"/>
      <c r="M728" s="116">
        <f ca="1">SUBTOTAL(109,'3.4 I&amp;W'!$AI$46)</f>
        <v>0</v>
      </c>
      <c r="N728" s="156">
        <f t="shared" ca="1" si="541"/>
        <v>0</v>
      </c>
      <c r="O728" s="116">
        <f ca="1">SUBTOTAL(109,'3.4 I&amp;W'!$S$46)</f>
        <v>0</v>
      </c>
      <c r="P728" s="30">
        <f t="shared" ca="1" si="544"/>
        <v>0</v>
      </c>
      <c r="Q728" s="31">
        <f t="shared" ca="1" si="531"/>
        <v>0</v>
      </c>
      <c r="R728" s="31">
        <f t="shared" ca="1" si="532"/>
        <v>0</v>
      </c>
      <c r="S728" s="31">
        <f t="shared" ca="1" si="533"/>
        <v>0</v>
      </c>
      <c r="T728" s="32">
        <f t="shared" ca="1" si="534"/>
        <v>0</v>
      </c>
      <c r="U728" s="37">
        <f t="shared" ca="1" si="542"/>
        <v>0</v>
      </c>
      <c r="V728" s="40">
        <f t="shared" ca="1" si="535"/>
        <v>0</v>
      </c>
      <c r="W728" s="41">
        <f t="shared" ca="1" si="536"/>
        <v>0</v>
      </c>
      <c r="X728" s="43"/>
      <c r="Y728" s="46"/>
      <c r="Z728" s="126"/>
      <c r="AA728" s="136"/>
      <c r="AB728" s="131">
        <v>1</v>
      </c>
      <c r="AC728" s="168">
        <f ca="1">IF(AF727&lt;=1,0,'3.4 Fi&amp;Fo'!$I$25)</f>
        <v>47266.884954954228</v>
      </c>
      <c r="AD728" s="169">
        <f ca="1">IF(AF727&lt;=1,0,AF727*'3.4 Fi&amp;Fo'!$H$25)</f>
        <v>23632.137279999995</v>
      </c>
      <c r="AE728" s="169">
        <f t="shared" ref="AE728:AE777" ca="1" si="545">AC728-AD728</f>
        <v>23634.747674954233</v>
      </c>
      <c r="AF728" s="170">
        <f t="shared" ref="AF728:AF777" ca="1" si="546">AF727-AE728</f>
        <v>1157972.1163250457</v>
      </c>
      <c r="AG728" s="168">
        <f>IF(AJ727&lt;=1,0,IF(AB728&lt;='3.4 Fi&amp;Fo'!$F$34,'3.4 Fi&amp;Fo'!$J$34,IF(AB728&lt;='3.4 Fi&amp;Fo'!$F$35,'3.4 Fi&amp;Fo'!$J$35,IF(AB728&lt;='3.4 Fi&amp;Fo'!$F$36,'3.4 Fi&amp;Fo'!$J$36,IF(AB728&lt;='3.4 Fi&amp;Fo'!$F$37,'3.4 Fi&amp;Fo'!$J$37,IF(AB728&lt;='3.4 Fi&amp;Fo'!$F$38,'3.4 Fi&amp;Fo'!$J$38,IF(AB728&lt;='3.4 Fi&amp;Fo'!$F$39,'3.4 Fi&amp;Fo'!$J$39,IF(AB728&lt;='3.4 Fi&amp;Fo'!$F$40,'3.4 Fi&amp;Fo'!$J$40))))))))</f>
        <v>27490.901999999998</v>
      </c>
      <c r="AH728" s="203">
        <f>IF(AJ727&lt;=1,0,AJ727*IF(AB728&lt;='3.4 Fi&amp;Fo'!$F$34,'3.4 Fi&amp;Fo'!$I$34,IF(AB728&lt;='3.4 Fi&amp;Fo'!$F$35,'3.4 Fi&amp;Fo'!$I$35,IF(AB728&lt;='3.4 Fi&amp;Fo'!$F$38,'3.4 Fi&amp;Fo'!$I$38,IF(AB728&lt;='3.4 Fi&amp;Fo'!$F$39,'3.4 Fi&amp;Fo'!$I$39,IF(AB728&lt;='3.4 Fi&amp;Fo'!$F$40,'3.4 Fi&amp;Fo'!$I$40))))))</f>
        <v>27478.901999999998</v>
      </c>
      <c r="AI728" s="203">
        <f t="shared" ref="AI728:AI759" si="547">AG728-AH728</f>
        <v>12</v>
      </c>
      <c r="AJ728" s="204">
        <f t="shared" ref="AJ728:AJ777" si="548">AJ727-AI728</f>
        <v>1831914.8</v>
      </c>
      <c r="AK728" s="312">
        <f t="shared" ref="AK728:AK759" ca="1" si="549">-AC728-AG728+AL728-AM728</f>
        <v>-97050.459594954227</v>
      </c>
      <c r="AL728" s="169">
        <f>IF(AB728&lt;='3.4 Fi&amp;Fo'!$J$15,'3.4 Fi&amp;Fo'!$I$15,0)</f>
        <v>0</v>
      </c>
      <c r="AM728" s="169">
        <f>IF(AB728&lt;=$G$154,($AM$727*(1+$D$152)^AB728-$AM$727*(1+$D$152)^AB727),0)</f>
        <v>22292.672640000004</v>
      </c>
      <c r="AN728" s="838">
        <f>IF($AO$198&gt;1,1,"")</f>
        <v>1</v>
      </c>
      <c r="AO728" s="844">
        <f t="shared" ref="AO728:AO777" ca="1" si="550">AK728*-1</f>
        <v>97050.459594954227</v>
      </c>
      <c r="AP728" s="839">
        <f ca="1">BO832</f>
        <v>0</v>
      </c>
      <c r="AQ728" s="844">
        <f t="shared" ref="AQ728:AQ777" si="551">IF(AN728=$AO$198,$F$16*$G$157^AN728,0)</f>
        <v>0</v>
      </c>
      <c r="AR728" s="839">
        <f ca="1">G862</f>
        <v>0</v>
      </c>
      <c r="AS728" s="839">
        <f ca="1">SUM(BI728:BK728)</f>
        <v>7490.2999999999993</v>
      </c>
      <c r="AT728" s="839">
        <f ca="1">SUM(AZ728:BG728)</f>
        <v>8469.1298366400006</v>
      </c>
      <c r="AU728" s="839">
        <f ca="1">'PV-Einspeisung'!AA209*-1</f>
        <v>0</v>
      </c>
      <c r="AV728" s="839">
        <f ca="1">'PV-Einspeisung'!AE209*-1</f>
        <v>0</v>
      </c>
      <c r="AW728" s="839"/>
      <c r="AX728" s="839">
        <f ca="1">IF(-$AC$108*$G$152&lt;=0,-$AC$108*$G$152,0)*-1</f>
        <v>0</v>
      </c>
      <c r="AY728" s="841">
        <f t="shared" ref="AY728:AY777" si="552">AN728</f>
        <v>1</v>
      </c>
      <c r="AZ728" s="842">
        <f ca="1">AF832</f>
        <v>0</v>
      </c>
      <c r="BA728" s="842">
        <f t="shared" ref="BA728" ca="1" si="553">AG832</f>
        <v>0</v>
      </c>
      <c r="BB728" s="842">
        <f t="shared" ref="BB728" ca="1" si="554">AH832</f>
        <v>0</v>
      </c>
      <c r="BC728" s="842">
        <f t="shared" ref="BC728" ca="1" si="555">AI832</f>
        <v>0</v>
      </c>
      <c r="BD728" s="842">
        <f t="shared" ref="BD728" ca="1" si="556">AJ832</f>
        <v>0</v>
      </c>
      <c r="BE728" s="842">
        <f t="shared" ref="BE728" ca="1" si="557">AK832</f>
        <v>0</v>
      </c>
      <c r="BF728" s="842">
        <f t="shared" ref="BF728" ca="1" si="558">AL832</f>
        <v>6456.61310976</v>
      </c>
      <c r="BG728" s="842">
        <f t="shared" ref="BG728" ca="1" si="559">AM832</f>
        <v>2012.5167268799999</v>
      </c>
      <c r="BH728" s="858">
        <f t="shared" ref="BH728:BH777" si="560">AN728</f>
        <v>1</v>
      </c>
      <c r="BI728" s="858">
        <f ca="1">J862</f>
        <v>2996.3999999999996</v>
      </c>
      <c r="BJ728" s="858">
        <f ca="1">I862</f>
        <v>4493.8999999999996</v>
      </c>
      <c r="BK728" s="859">
        <f ca="1">'PV-Einspeisung'!AB209*-1</f>
        <v>0</v>
      </c>
      <c r="BL728" s="824">
        <f t="shared" ca="1" si="537"/>
        <v>0</v>
      </c>
      <c r="BM728" s="824">
        <f t="shared" ca="1" si="538"/>
        <v>0</v>
      </c>
      <c r="BN728" s="824">
        <f t="shared" ca="1" si="539"/>
        <v>0</v>
      </c>
      <c r="BO728" s="824">
        <f t="shared" ca="1" si="543"/>
        <v>0</v>
      </c>
      <c r="BP728" s="824">
        <f t="shared" ca="1" si="543"/>
        <v>0</v>
      </c>
      <c r="BQ728" s="824">
        <f t="shared" ca="1" si="543"/>
        <v>0</v>
      </c>
      <c r="BR728" s="824">
        <f t="shared" ca="1" si="543"/>
        <v>0</v>
      </c>
      <c r="BS728" s="824">
        <f t="shared" ca="1" si="543"/>
        <v>0</v>
      </c>
      <c r="BT728" s="824">
        <f t="shared" ca="1" si="543"/>
        <v>0</v>
      </c>
      <c r="BU728" s="824">
        <f t="shared" ca="1" si="543"/>
        <v>0</v>
      </c>
      <c r="BV728" s="824">
        <f t="shared" ca="1" si="543"/>
        <v>0</v>
      </c>
      <c r="BW728" s="824">
        <f t="shared" ca="1" si="543"/>
        <v>0</v>
      </c>
      <c r="BX728" s="824">
        <f t="shared" ca="1" si="543"/>
        <v>0</v>
      </c>
      <c r="BY728" s="824">
        <f t="shared" ca="1" si="543"/>
        <v>0</v>
      </c>
      <c r="BZ728" s="824">
        <f t="shared" ca="1" si="543"/>
        <v>0</v>
      </c>
      <c r="CA728" s="824">
        <f t="shared" ca="1" si="543"/>
        <v>0</v>
      </c>
      <c r="CB728" s="824">
        <f t="shared" ca="1" si="543"/>
        <v>0</v>
      </c>
      <c r="CC728" s="824">
        <f t="shared" ca="1" si="543"/>
        <v>0</v>
      </c>
      <c r="CD728" s="824">
        <f t="shared" ca="1" si="543"/>
        <v>0</v>
      </c>
      <c r="CE728" s="824">
        <f t="shared" ca="1" si="540"/>
        <v>0</v>
      </c>
      <c r="CF728" s="824">
        <f t="shared" ca="1" si="540"/>
        <v>0</v>
      </c>
      <c r="CG728" s="824">
        <f t="shared" ca="1" si="540"/>
        <v>0</v>
      </c>
      <c r="CH728" s="824">
        <f t="shared" ca="1" si="540"/>
        <v>0</v>
      </c>
      <c r="CI728" s="824">
        <f t="shared" ca="1" si="540"/>
        <v>0</v>
      </c>
      <c r="CJ728" s="824">
        <f t="shared" ca="1" si="540"/>
        <v>0</v>
      </c>
      <c r="CK728" s="824">
        <f t="shared" ca="1" si="540"/>
        <v>0</v>
      </c>
      <c r="CL728" s="824">
        <f t="shared" ca="1" si="540"/>
        <v>0</v>
      </c>
      <c r="CM728" s="824">
        <f t="shared" ca="1" si="540"/>
        <v>0</v>
      </c>
      <c r="CN728" s="824">
        <f t="shared" ca="1" si="540"/>
        <v>0</v>
      </c>
      <c r="CO728" s="824">
        <f t="shared" ca="1" si="540"/>
        <v>0</v>
      </c>
      <c r="CP728" s="824">
        <f t="shared" ca="1" si="540"/>
        <v>0</v>
      </c>
      <c r="CQ728" s="824">
        <f t="shared" ca="1" si="540"/>
        <v>0</v>
      </c>
      <c r="CR728" s="824">
        <f t="shared" ca="1" si="540"/>
        <v>0</v>
      </c>
      <c r="CS728" s="824">
        <f t="shared" ca="1" si="540"/>
        <v>0</v>
      </c>
      <c r="CT728" s="824">
        <f t="shared" ca="1" si="540"/>
        <v>0</v>
      </c>
      <c r="CU728" s="824">
        <f t="shared" ca="1" si="540"/>
        <v>0</v>
      </c>
      <c r="CV728" s="824">
        <f t="shared" ca="1" si="540"/>
        <v>0</v>
      </c>
      <c r="CW728" s="824">
        <f t="shared" ca="1" si="540"/>
        <v>0</v>
      </c>
      <c r="CX728" s="824">
        <f t="shared" ca="1" si="540"/>
        <v>0</v>
      </c>
      <c r="CY728" s="824">
        <f t="shared" ca="1" si="540"/>
        <v>0</v>
      </c>
      <c r="CZ728" s="824">
        <f t="shared" ca="1" si="540"/>
        <v>0</v>
      </c>
      <c r="DA728" s="824">
        <f t="shared" ca="1" si="540"/>
        <v>0</v>
      </c>
      <c r="DB728" s="824">
        <f t="shared" ca="1" si="540"/>
        <v>0</v>
      </c>
      <c r="DC728" s="824">
        <f t="shared" ca="1" si="540"/>
        <v>0</v>
      </c>
      <c r="DD728" s="824">
        <f t="shared" ca="1" si="540"/>
        <v>0</v>
      </c>
      <c r="DE728" s="824">
        <f t="shared" ca="1" si="540"/>
        <v>0</v>
      </c>
      <c r="DF728" s="824">
        <f t="shared" ca="1" si="540"/>
        <v>0</v>
      </c>
      <c r="DG728" s="824">
        <f t="shared" ca="1" si="540"/>
        <v>0</v>
      </c>
      <c r="DH728" s="824">
        <f t="shared" ca="1" si="540"/>
        <v>0</v>
      </c>
      <c r="DI728" s="824">
        <f t="shared" ca="1" si="540"/>
        <v>0</v>
      </c>
      <c r="DJ728" s="824">
        <f t="shared" ca="1" si="540"/>
        <v>0</v>
      </c>
      <c r="DK728" s="824">
        <f t="shared" ca="1" si="540"/>
        <v>0</v>
      </c>
      <c r="DL728" s="824">
        <f t="shared" ca="1" si="540"/>
        <v>0</v>
      </c>
    </row>
    <row r="729" spans="2:116" ht="12" thickBot="1" x14ac:dyDescent="0.3">
      <c r="B729" s="1673"/>
      <c r="C729" s="1680"/>
      <c r="D729" s="15" t="s">
        <v>126</v>
      </c>
      <c r="E729" s="116"/>
      <c r="F729" s="116">
        <f ca="1">SUBTOTAL(109,'3.4 I&amp;W'!$X$49)</f>
        <v>0</v>
      </c>
      <c r="G729" s="116">
        <f ca="1">SUBTOTAL(109,'3.4 I&amp;W'!$Y$49)</f>
        <v>0</v>
      </c>
      <c r="H729" s="116">
        <f ca="1">SUBTOTAL(109,'3.4 I&amp;W'!$AD$49)</f>
        <v>0</v>
      </c>
      <c r="I729" s="116">
        <f ca="1">SUBTOTAL(109,'3.4 I&amp;W'!$AE$49)</f>
        <v>0</v>
      </c>
      <c r="J729" s="116"/>
      <c r="K729" s="116"/>
      <c r="L729" s="116"/>
      <c r="M729" s="116">
        <f ca="1">SUBTOTAL(109,'3.4 I&amp;W'!$AI$49)</f>
        <v>0</v>
      </c>
      <c r="N729" s="156">
        <f t="shared" ca="1" si="541"/>
        <v>0</v>
      </c>
      <c r="O729" s="116">
        <f ca="1">SUBTOTAL(109,'3.4 I&amp;W'!$S$49)</f>
        <v>0</v>
      </c>
      <c r="P729" s="30">
        <f t="shared" ca="1" si="544"/>
        <v>0</v>
      </c>
      <c r="Q729" s="31">
        <f t="shared" ca="1" si="531"/>
        <v>0</v>
      </c>
      <c r="R729" s="31">
        <f t="shared" ca="1" si="532"/>
        <v>0</v>
      </c>
      <c r="S729" s="31">
        <f t="shared" ca="1" si="533"/>
        <v>0</v>
      </c>
      <c r="T729" s="32">
        <f t="shared" ca="1" si="534"/>
        <v>0</v>
      </c>
      <c r="U729" s="37">
        <f t="shared" ca="1" si="542"/>
        <v>0</v>
      </c>
      <c r="V729" s="40">
        <f t="shared" ca="1" si="535"/>
        <v>0</v>
      </c>
      <c r="W729" s="41">
        <f t="shared" ca="1" si="536"/>
        <v>0</v>
      </c>
      <c r="X729" s="43"/>
      <c r="Y729" s="46"/>
      <c r="Z729" s="126"/>
      <c r="AA729" s="136"/>
      <c r="AB729" s="131">
        <v>2</v>
      </c>
      <c r="AC729" s="168">
        <f ca="1">IF(AF728&lt;=1,0,'3.4 Fi&amp;Fo'!$I$25)</f>
        <v>47266.884954954228</v>
      </c>
      <c r="AD729" s="169">
        <f ca="1">IF(AF728&lt;=1,0,AF728*'3.4 Fi&amp;Fo'!$H$25)</f>
        <v>23159.442326500914</v>
      </c>
      <c r="AE729" s="169">
        <f t="shared" ca="1" si="545"/>
        <v>24107.442628453315</v>
      </c>
      <c r="AF729" s="170">
        <f t="shared" ca="1" si="546"/>
        <v>1133864.6736965925</v>
      </c>
      <c r="AG729" s="168">
        <f>IF(AJ728&lt;=1,0,IF(AB729&lt;='3.4 Fi&amp;Fo'!$F$34,'3.4 Fi&amp;Fo'!$J$34,IF(AB729&lt;='3.4 Fi&amp;Fo'!$F$35,'3.4 Fi&amp;Fo'!$J$35,IF(AB729&lt;='3.4 Fi&amp;Fo'!$F$36,'3.4 Fi&amp;Fo'!$J$36,IF(AB729&lt;='3.4 Fi&amp;Fo'!$F$37,'3.4 Fi&amp;Fo'!$J$37,IF(AB729&lt;='3.4 Fi&amp;Fo'!$F$38,'3.4 Fi&amp;Fo'!$J$38,IF(AB729&lt;='3.4 Fi&amp;Fo'!$F$39,'3.4 Fi&amp;Fo'!$J$39,IF(AB729&lt;='3.4 Fi&amp;Fo'!$F$40,'3.4 Fi&amp;Fo'!$J$40))))))))</f>
        <v>27490.901999999998</v>
      </c>
      <c r="AH729" s="203">
        <f>IF(AJ728&lt;=1,0,AJ728*IF(AB729&lt;='3.4 Fi&amp;Fo'!$F$34,'3.4 Fi&amp;Fo'!$I$34,IF(AB729&lt;='3.4 Fi&amp;Fo'!$F$35,'3.4 Fi&amp;Fo'!$I$35,IF(AB729&lt;='3.4 Fi&amp;Fo'!$F$38,'3.4 Fi&amp;Fo'!$I$38,IF(AB729&lt;='3.4 Fi&amp;Fo'!$F$39,'3.4 Fi&amp;Fo'!$I$39,IF(AB729&lt;='3.4 Fi&amp;Fo'!$F$40,'3.4 Fi&amp;Fo'!$I$40))))))</f>
        <v>27478.721999999998</v>
      </c>
      <c r="AI729" s="203">
        <f t="shared" si="547"/>
        <v>12.180000000000291</v>
      </c>
      <c r="AJ729" s="204">
        <f t="shared" si="548"/>
        <v>1831902.62</v>
      </c>
      <c r="AK729" s="312">
        <f t="shared" ca="1" si="549"/>
        <v>-97496.313047754302</v>
      </c>
      <c r="AL729" s="169">
        <f>IF(AB729&lt;='3.4 Fi&amp;Fo'!$J$15,'3.4 Fi&amp;Fo'!$I$15,0)</f>
        <v>0</v>
      </c>
      <c r="AM729" s="169">
        <f t="shared" ref="AM729:AM777" si="561">IF(AB729&lt;=$G$154,($AM$727*(1+$D$152)^AB729-$AM$727*(1+$D$152)^AB728),0)</f>
        <v>22738.526092800079</v>
      </c>
      <c r="AN729" s="838">
        <f>IF($AO$198&gt;AN728,AN728+1,"")</f>
        <v>2</v>
      </c>
      <c r="AO729" s="844">
        <f t="shared" ca="1" si="550"/>
        <v>97496.313047754302</v>
      </c>
      <c r="AP729" s="839">
        <f ca="1">BP832</f>
        <v>0</v>
      </c>
      <c r="AQ729" s="844">
        <f t="shared" si="551"/>
        <v>0</v>
      </c>
      <c r="AR729" s="839">
        <f ca="1">IF(AN729="","",AR728*$AR$201)</f>
        <v>0</v>
      </c>
      <c r="AS729" s="839">
        <f t="shared" ref="AS729:AS777" ca="1" si="562">SUM(BI729:BK729)</f>
        <v>7610.1447999999991</v>
      </c>
      <c r="AT729" s="839">
        <f t="shared" ref="AT729:AT777" ca="1" si="563">SUM(AZ729:BG729)</f>
        <v>8700.9832498247997</v>
      </c>
      <c r="AU729" s="839">
        <f ca="1">'PV-Einspeisung'!AA210*-1</f>
        <v>0</v>
      </c>
      <c r="AV729" s="839">
        <f ca="1">'PV-Einspeisung'!AE210*-1</f>
        <v>0</v>
      </c>
      <c r="AW729" s="839"/>
      <c r="AX729" s="839">
        <f ca="1">IF(AN729="","",AX728*$AX$201)</f>
        <v>0</v>
      </c>
      <c r="AY729" s="841">
        <f t="shared" si="552"/>
        <v>2</v>
      </c>
      <c r="AZ729" s="842">
        <f ca="1">IF($AN729="","",AZ728*$AZ$201)</f>
        <v>0</v>
      </c>
      <c r="BA729" s="842">
        <f ca="1">IF($AN729="","",BA728*$BA$201)</f>
        <v>0</v>
      </c>
      <c r="BB729" s="842">
        <f ca="1">IF($AN729="","",BB728*$BB$201)</f>
        <v>0</v>
      </c>
      <c r="BC729" s="842">
        <f ca="1">IF($AN729="","",BC728*$BC$201)</f>
        <v>0</v>
      </c>
      <c r="BD729" s="842">
        <f ca="1">IF($AN729="","",BD728*$BD$201)</f>
        <v>0</v>
      </c>
      <c r="BE729" s="842">
        <f ca="1">IF($AN729="","",BE728*$BE$201)</f>
        <v>0</v>
      </c>
      <c r="BF729" s="842">
        <f ca="1">IF($AN729="","",BF728*$BF$201)</f>
        <v>6618.0284375039992</v>
      </c>
      <c r="BG729" s="842">
        <f ca="1">IF($AN729="","",BG728*$BG$201)</f>
        <v>2082.9548123207996</v>
      </c>
      <c r="BH729" s="858">
        <f t="shared" si="560"/>
        <v>2</v>
      </c>
      <c r="BI729" s="857">
        <f ca="1">IF($AN729="","",BI728*$BI$201)</f>
        <v>3044.3423999999995</v>
      </c>
      <c r="BJ729" s="857">
        <f ca="1">IF($AN729="","",BJ728*$BJ$201)</f>
        <v>4565.8023999999996</v>
      </c>
      <c r="BK729" s="859">
        <f ca="1">'PV-Einspeisung'!AB210*-1</f>
        <v>0</v>
      </c>
      <c r="BL729" s="824">
        <f t="shared" ca="1" si="537"/>
        <v>0</v>
      </c>
      <c r="BM729" s="824">
        <f t="shared" ca="1" si="538"/>
        <v>0</v>
      </c>
      <c r="BN729" s="824">
        <f t="shared" ca="1" si="539"/>
        <v>0</v>
      </c>
      <c r="BO729" s="824">
        <f t="shared" ca="1" si="543"/>
        <v>0</v>
      </c>
      <c r="BP729" s="824">
        <f t="shared" ca="1" si="543"/>
        <v>0</v>
      </c>
      <c r="BQ729" s="824">
        <f t="shared" ca="1" si="543"/>
        <v>0</v>
      </c>
      <c r="BR729" s="824">
        <f t="shared" ca="1" si="543"/>
        <v>0</v>
      </c>
      <c r="BS729" s="824">
        <f t="shared" ca="1" si="543"/>
        <v>0</v>
      </c>
      <c r="BT729" s="824">
        <f t="shared" ca="1" si="543"/>
        <v>0</v>
      </c>
      <c r="BU729" s="824">
        <f t="shared" ca="1" si="543"/>
        <v>0</v>
      </c>
      <c r="BV729" s="824">
        <f t="shared" ca="1" si="543"/>
        <v>0</v>
      </c>
      <c r="BW729" s="824">
        <f t="shared" ca="1" si="543"/>
        <v>0</v>
      </c>
      <c r="BX729" s="824">
        <f t="shared" ca="1" si="543"/>
        <v>0</v>
      </c>
      <c r="BY729" s="824">
        <f t="shared" ca="1" si="543"/>
        <v>0</v>
      </c>
      <c r="BZ729" s="824">
        <f t="shared" ca="1" si="543"/>
        <v>0</v>
      </c>
      <c r="CA729" s="824">
        <f t="shared" ca="1" si="543"/>
        <v>0</v>
      </c>
      <c r="CB729" s="824">
        <f t="shared" ca="1" si="543"/>
        <v>0</v>
      </c>
      <c r="CC729" s="824">
        <f t="shared" ca="1" si="543"/>
        <v>0</v>
      </c>
      <c r="CD729" s="824">
        <f t="shared" ca="1" si="543"/>
        <v>0</v>
      </c>
      <c r="CE729" s="824">
        <f t="shared" ca="1" si="540"/>
        <v>0</v>
      </c>
      <c r="CF729" s="824">
        <f t="shared" ca="1" si="540"/>
        <v>0</v>
      </c>
      <c r="CG729" s="824">
        <f t="shared" ca="1" si="540"/>
        <v>0</v>
      </c>
      <c r="CH729" s="824">
        <f t="shared" ca="1" si="540"/>
        <v>0</v>
      </c>
      <c r="CI729" s="824">
        <f t="shared" ca="1" si="540"/>
        <v>0</v>
      </c>
      <c r="CJ729" s="824">
        <f t="shared" ca="1" si="540"/>
        <v>0</v>
      </c>
      <c r="CK729" s="824">
        <f t="shared" ref="CK729:CZ755" ca="1" si="564">IF(OR(IF($BL729*1&lt;$BL$196,$BL729*1=CK$198,FALSE),IF($BL729*2&lt;$BL$196,$BL729*2=CK$198,FALSE),IF($BL729*3&lt;$BL$196,$BL729*3=CK$198,FALSE),IF($BL729*4&lt;$BL$196,$BL729*4=CK$198,FALSE),IF($BL729*5&lt;$BL$196,$BL729*5=CK$198,FALSE)),$BN729*$BM$196^CK$198,0)</f>
        <v>0</v>
      </c>
      <c r="CL729" s="824">
        <f t="shared" ca="1" si="564"/>
        <v>0</v>
      </c>
      <c r="CM729" s="824">
        <f t="shared" ca="1" si="564"/>
        <v>0</v>
      </c>
      <c r="CN729" s="824">
        <f t="shared" ca="1" si="564"/>
        <v>0</v>
      </c>
      <c r="CO729" s="824">
        <f t="shared" ca="1" si="564"/>
        <v>0</v>
      </c>
      <c r="CP729" s="824">
        <f t="shared" ca="1" si="564"/>
        <v>0</v>
      </c>
      <c r="CQ729" s="824">
        <f t="shared" ca="1" si="564"/>
        <v>0</v>
      </c>
      <c r="CR729" s="824">
        <f t="shared" ca="1" si="564"/>
        <v>0</v>
      </c>
      <c r="CS729" s="824">
        <f t="shared" ca="1" si="564"/>
        <v>0</v>
      </c>
      <c r="CT729" s="824">
        <f t="shared" ca="1" si="564"/>
        <v>0</v>
      </c>
      <c r="CU729" s="824">
        <f t="shared" ca="1" si="564"/>
        <v>0</v>
      </c>
      <c r="CV729" s="824">
        <f t="shared" ca="1" si="564"/>
        <v>0</v>
      </c>
      <c r="CW729" s="824">
        <f t="shared" ca="1" si="564"/>
        <v>0</v>
      </c>
      <c r="CX729" s="824">
        <f t="shared" ca="1" si="564"/>
        <v>0</v>
      </c>
      <c r="CY729" s="824">
        <f t="shared" ca="1" si="564"/>
        <v>0</v>
      </c>
      <c r="CZ729" s="824">
        <f t="shared" ca="1" si="564"/>
        <v>0</v>
      </c>
      <c r="DA729" s="824">
        <f t="shared" ref="DA729:DL750" ca="1" si="565">IF(OR(IF($BL729*1&lt;$BL$196,$BL729*1=DA$198,FALSE),IF($BL729*2&lt;$BL$196,$BL729*2=DA$198,FALSE),IF($BL729*3&lt;$BL$196,$BL729*3=DA$198,FALSE),IF($BL729*4&lt;$BL$196,$BL729*4=DA$198,FALSE),IF($BL729*5&lt;$BL$196,$BL729*5=DA$198,FALSE)),$BN729*$BM$196^DA$198,0)</f>
        <v>0</v>
      </c>
      <c r="DB729" s="824">
        <f t="shared" ca="1" si="565"/>
        <v>0</v>
      </c>
      <c r="DC729" s="824">
        <f t="shared" ca="1" si="565"/>
        <v>0</v>
      </c>
      <c r="DD729" s="824">
        <f t="shared" ca="1" si="565"/>
        <v>0</v>
      </c>
      <c r="DE729" s="824">
        <f t="shared" ca="1" si="565"/>
        <v>0</v>
      </c>
      <c r="DF729" s="824">
        <f t="shared" ca="1" si="565"/>
        <v>0</v>
      </c>
      <c r="DG729" s="824">
        <f t="shared" ca="1" si="565"/>
        <v>0</v>
      </c>
      <c r="DH729" s="824">
        <f t="shared" ca="1" si="565"/>
        <v>0</v>
      </c>
      <c r="DI729" s="824">
        <f t="shared" ca="1" si="565"/>
        <v>0</v>
      </c>
      <c r="DJ729" s="824">
        <f t="shared" ca="1" si="565"/>
        <v>0</v>
      </c>
      <c r="DK729" s="824">
        <f t="shared" ca="1" si="565"/>
        <v>0</v>
      </c>
      <c r="DL729" s="824">
        <f t="shared" ca="1" si="565"/>
        <v>0</v>
      </c>
    </row>
    <row r="730" spans="2:116" ht="12" thickBot="1" x14ac:dyDescent="0.3">
      <c r="B730" s="1673"/>
      <c r="C730" s="1680"/>
      <c r="D730" s="15" t="s">
        <v>126</v>
      </c>
      <c r="E730" s="165"/>
      <c r="F730" s="116">
        <f ca="1">SUBTOTAL(109,'3.4 I&amp;W'!$X$50)</f>
        <v>0</v>
      </c>
      <c r="G730" s="116">
        <f ca="1">SUBTOTAL(109,'3.4 I&amp;W'!$Y$50)</f>
        <v>0</v>
      </c>
      <c r="H730" s="116">
        <f ca="1">SUBTOTAL(109,'3.4 I&amp;W'!$AD$50)</f>
        <v>0</v>
      </c>
      <c r="I730" s="116">
        <f ca="1">SUBTOTAL(109,'3.4 I&amp;W'!$AE$50)</f>
        <v>0</v>
      </c>
      <c r="J730" s="116"/>
      <c r="K730" s="116"/>
      <c r="L730" s="116"/>
      <c r="M730" s="116">
        <f ca="1">SUBTOTAL(109,'3.4 I&amp;W'!$AI$50)</f>
        <v>0</v>
      </c>
      <c r="N730" s="156">
        <f t="shared" ca="1" si="541"/>
        <v>0</v>
      </c>
      <c r="O730" s="116">
        <f ca="1">SUBTOTAL(109,'3.4 I&amp;W'!$S$50)</f>
        <v>0</v>
      </c>
      <c r="P730" s="30">
        <f t="shared" ca="1" si="544"/>
        <v>0</v>
      </c>
      <c r="Q730" s="31">
        <f t="shared" ca="1" si="531"/>
        <v>0</v>
      </c>
      <c r="R730" s="31">
        <f t="shared" ca="1" si="532"/>
        <v>0</v>
      </c>
      <c r="S730" s="31">
        <f t="shared" ca="1" si="533"/>
        <v>0</v>
      </c>
      <c r="T730" s="32">
        <f t="shared" ca="1" si="534"/>
        <v>0</v>
      </c>
      <c r="U730" s="37">
        <f t="shared" ca="1" si="542"/>
        <v>0</v>
      </c>
      <c r="V730" s="40">
        <f t="shared" ca="1" si="535"/>
        <v>0</v>
      </c>
      <c r="W730" s="41">
        <f t="shared" ca="1" si="536"/>
        <v>0</v>
      </c>
      <c r="X730" s="43"/>
      <c r="Y730" s="46"/>
      <c r="Z730" s="126"/>
      <c r="AA730" s="136"/>
      <c r="AB730" s="131">
        <v>3</v>
      </c>
      <c r="AC730" s="168">
        <f ca="1">IF(AF729&lt;=1,0,'3.4 Fi&amp;Fo'!$I$25)</f>
        <v>47266.884954954228</v>
      </c>
      <c r="AD730" s="169">
        <f ca="1">IF(AF729&lt;=1,0,AF729*'3.4 Fi&amp;Fo'!$H$25)</f>
        <v>22677.293473931848</v>
      </c>
      <c r="AE730" s="169">
        <f t="shared" ca="1" si="545"/>
        <v>24589.59148102238</v>
      </c>
      <c r="AF730" s="170">
        <f t="shared" ca="1" si="546"/>
        <v>1109275.0822155701</v>
      </c>
      <c r="AG730" s="168">
        <f>IF(AJ729&lt;=1,0,IF(AB730&lt;='3.4 Fi&amp;Fo'!$F$34,'3.4 Fi&amp;Fo'!$J$34,IF(AB730&lt;='3.4 Fi&amp;Fo'!$F$35,'3.4 Fi&amp;Fo'!$J$35,IF(AB730&lt;='3.4 Fi&amp;Fo'!$F$36,'3.4 Fi&amp;Fo'!$J$36,IF(AB730&lt;='3.4 Fi&amp;Fo'!$F$37,'3.4 Fi&amp;Fo'!$J$37,IF(AB730&lt;='3.4 Fi&amp;Fo'!$F$38,'3.4 Fi&amp;Fo'!$J$38,IF(AB730&lt;='3.4 Fi&amp;Fo'!$F$39,'3.4 Fi&amp;Fo'!$J$39,IF(AB730&lt;='3.4 Fi&amp;Fo'!$F$40,'3.4 Fi&amp;Fo'!$J$40))))))))</f>
        <v>27490.901999999998</v>
      </c>
      <c r="AH730" s="203">
        <f>IF(AJ729&lt;=1,0,AJ729*IF(AB730&lt;='3.4 Fi&amp;Fo'!$F$34,'3.4 Fi&amp;Fo'!$I$34,IF(AB730&lt;='3.4 Fi&amp;Fo'!$F$35,'3.4 Fi&amp;Fo'!$I$35,IF(AB730&lt;='3.4 Fi&amp;Fo'!$F$38,'3.4 Fi&amp;Fo'!$I$38,IF(AB730&lt;='3.4 Fi&amp;Fo'!$F$39,'3.4 Fi&amp;Fo'!$I$39,IF(AB730&lt;='3.4 Fi&amp;Fo'!$F$40,'3.4 Fi&amp;Fo'!$I$40))))))</f>
        <v>27478.5393</v>
      </c>
      <c r="AI730" s="203">
        <f t="shared" si="547"/>
        <v>12.362699999997858</v>
      </c>
      <c r="AJ730" s="204">
        <f t="shared" si="548"/>
        <v>1831890.2573000002</v>
      </c>
      <c r="AK730" s="312">
        <f t="shared" ca="1" si="549"/>
        <v>-97951.083569609982</v>
      </c>
      <c r="AL730" s="169">
        <f>IF(AB730&lt;='3.4 Fi&amp;Fo'!$J$15,'3.4 Fi&amp;Fo'!$I$15,0)</f>
        <v>0</v>
      </c>
      <c r="AM730" s="169">
        <f t="shared" si="561"/>
        <v>23193.296614655759</v>
      </c>
      <c r="AN730" s="838">
        <f t="shared" ref="AN730:AN777" si="566">IF($AO$198&gt;AN729,AN729+1,"")</f>
        <v>3</v>
      </c>
      <c r="AO730" s="844">
        <f t="shared" ca="1" si="550"/>
        <v>97951.083569609982</v>
      </c>
      <c r="AP730" s="839">
        <f ca="1">BQ832</f>
        <v>0</v>
      </c>
      <c r="AQ730" s="844">
        <f t="shared" si="551"/>
        <v>0</v>
      </c>
      <c r="AR730" s="839">
        <f t="shared" ref="AR730:AR777" ca="1" si="567">IF(AN730="","",AR729*$AR$201)</f>
        <v>0</v>
      </c>
      <c r="AS730" s="839">
        <f t="shared" ca="1" si="562"/>
        <v>7731.9071167999991</v>
      </c>
      <c r="AT730" s="839">
        <f t="shared" ca="1" si="563"/>
        <v>8939.3373791936247</v>
      </c>
      <c r="AU730" s="839">
        <f ca="1">'PV-Einspeisung'!AA211*-1</f>
        <v>0</v>
      </c>
      <c r="AV730" s="839">
        <f ca="1">'PV-Einspeisung'!AE211*-1</f>
        <v>0</v>
      </c>
      <c r="AW730" s="839"/>
      <c r="AX730" s="839">
        <f t="shared" ref="AX730:AX777" ca="1" si="568">IF(AN730="","",AX729*$AX$201)</f>
        <v>0</v>
      </c>
      <c r="AY730" s="841">
        <f t="shared" si="552"/>
        <v>3</v>
      </c>
      <c r="AZ730" s="842">
        <f t="shared" ref="AZ730:AZ767" ca="1" si="569">IF($AN730="","",AZ729*$AZ$201)</f>
        <v>0</v>
      </c>
      <c r="BA730" s="842">
        <f t="shared" ref="BA730:BA777" ca="1" si="570">IF($AN730="","",BA729*$BA$201)</f>
        <v>0</v>
      </c>
      <c r="BB730" s="842">
        <f t="shared" ref="BB730:BB777" ca="1" si="571">IF($AN730="","",BB729*$BB$201)</f>
        <v>0</v>
      </c>
      <c r="BC730" s="842">
        <f t="shared" ref="BC730:BC777" ca="1" si="572">IF($AN730="","",BC729*$BC$201)</f>
        <v>0</v>
      </c>
      <c r="BD730" s="842">
        <f t="shared" ref="BD730:BD777" ca="1" si="573">IF($AN730="","",BD729*$BD$201)</f>
        <v>0</v>
      </c>
      <c r="BE730" s="842">
        <f t="shared" ref="BE730:BE777" ca="1" si="574">IF($AN730="","",BE729*$BE$201)</f>
        <v>0</v>
      </c>
      <c r="BF730" s="842">
        <f t="shared" ref="BF730:BF777" ca="1" si="575">IF($AN730="","",BF729*$BF$201)</f>
        <v>6783.4791484415982</v>
      </c>
      <c r="BG730" s="842">
        <f t="shared" ref="BG730:BG777" ca="1" si="576">IF($AN730="","",BG729*$BG$201)</f>
        <v>2155.8582307520273</v>
      </c>
      <c r="BH730" s="858">
        <f t="shared" si="560"/>
        <v>3</v>
      </c>
      <c r="BI730" s="857">
        <f t="shared" ref="BI730:BI777" ca="1" si="577">IF($AN730="","",BI729*$BI$201)</f>
        <v>3093.0518783999996</v>
      </c>
      <c r="BJ730" s="857">
        <f t="shared" ref="BJ730:BJ777" ca="1" si="578">IF($AN730="","",BJ729*$BJ$201)</f>
        <v>4638.8552383999995</v>
      </c>
      <c r="BK730" s="859">
        <f ca="1">'PV-Einspeisung'!AB211*-1</f>
        <v>0</v>
      </c>
      <c r="BL730" s="824">
        <f t="shared" ca="1" si="537"/>
        <v>0</v>
      </c>
      <c r="BM730" s="824">
        <f t="shared" ca="1" si="538"/>
        <v>0</v>
      </c>
      <c r="BN730" s="824">
        <f t="shared" ca="1" si="539"/>
        <v>0</v>
      </c>
      <c r="BO730" s="824">
        <f t="shared" ca="1" si="543"/>
        <v>0</v>
      </c>
      <c r="BP730" s="824">
        <f t="shared" ca="1" si="543"/>
        <v>0</v>
      </c>
      <c r="BQ730" s="824">
        <f t="shared" ca="1" si="543"/>
        <v>0</v>
      </c>
      <c r="BR730" s="824">
        <f t="shared" ca="1" si="543"/>
        <v>0</v>
      </c>
      <c r="BS730" s="824">
        <f t="shared" ca="1" si="543"/>
        <v>0</v>
      </c>
      <c r="BT730" s="824">
        <f t="shared" ca="1" si="543"/>
        <v>0</v>
      </c>
      <c r="BU730" s="824">
        <f t="shared" ca="1" si="543"/>
        <v>0</v>
      </c>
      <c r="BV730" s="824">
        <f t="shared" ca="1" si="543"/>
        <v>0</v>
      </c>
      <c r="BW730" s="824">
        <f t="shared" ca="1" si="543"/>
        <v>0</v>
      </c>
      <c r="BX730" s="824">
        <f t="shared" ca="1" si="543"/>
        <v>0</v>
      </c>
      <c r="BY730" s="824">
        <f t="shared" ca="1" si="543"/>
        <v>0</v>
      </c>
      <c r="BZ730" s="824">
        <f t="shared" ca="1" si="543"/>
        <v>0</v>
      </c>
      <c r="CA730" s="824">
        <f t="shared" ca="1" si="543"/>
        <v>0</v>
      </c>
      <c r="CB730" s="824">
        <f t="shared" ca="1" si="543"/>
        <v>0</v>
      </c>
      <c r="CC730" s="824">
        <f t="shared" ca="1" si="543"/>
        <v>0</v>
      </c>
      <c r="CD730" s="824">
        <f t="shared" ca="1" si="543"/>
        <v>0</v>
      </c>
      <c r="CE730" s="824">
        <f t="shared" ref="CE730:CT746" ca="1" si="579">IF(OR(IF($BL730*1&lt;$BL$196,$BL730*1=CE$198,FALSE),IF($BL730*2&lt;$BL$196,$BL730*2=CE$198,FALSE),IF($BL730*3&lt;$BL$196,$BL730*3=CE$198,FALSE),IF($BL730*4&lt;$BL$196,$BL730*4=CE$198,FALSE),IF($BL730*5&lt;$BL$196,$BL730*5=CE$198,FALSE)),$BN730*$BM$196^CE$198,0)</f>
        <v>0</v>
      </c>
      <c r="CF730" s="824">
        <f t="shared" ca="1" si="579"/>
        <v>0</v>
      </c>
      <c r="CG730" s="824">
        <f t="shared" ca="1" si="579"/>
        <v>0</v>
      </c>
      <c r="CH730" s="824">
        <f t="shared" ca="1" si="579"/>
        <v>0</v>
      </c>
      <c r="CI730" s="824">
        <f t="shared" ca="1" si="579"/>
        <v>0</v>
      </c>
      <c r="CJ730" s="824">
        <f t="shared" ca="1" si="579"/>
        <v>0</v>
      </c>
      <c r="CK730" s="824">
        <f t="shared" ca="1" si="579"/>
        <v>0</v>
      </c>
      <c r="CL730" s="824">
        <f t="shared" ca="1" si="579"/>
        <v>0</v>
      </c>
      <c r="CM730" s="824">
        <f t="shared" ca="1" si="579"/>
        <v>0</v>
      </c>
      <c r="CN730" s="824">
        <f t="shared" ca="1" si="579"/>
        <v>0</v>
      </c>
      <c r="CO730" s="824">
        <f t="shared" ca="1" si="579"/>
        <v>0</v>
      </c>
      <c r="CP730" s="824">
        <f t="shared" ca="1" si="579"/>
        <v>0</v>
      </c>
      <c r="CQ730" s="824">
        <f t="shared" ca="1" si="579"/>
        <v>0</v>
      </c>
      <c r="CR730" s="824">
        <f t="shared" ca="1" si="579"/>
        <v>0</v>
      </c>
      <c r="CS730" s="824">
        <f t="shared" ca="1" si="579"/>
        <v>0</v>
      </c>
      <c r="CT730" s="824">
        <f t="shared" ca="1" si="579"/>
        <v>0</v>
      </c>
      <c r="CU730" s="824">
        <f t="shared" ca="1" si="564"/>
        <v>0</v>
      </c>
      <c r="CV730" s="824">
        <f t="shared" ca="1" si="564"/>
        <v>0</v>
      </c>
      <c r="CW730" s="824">
        <f t="shared" ca="1" si="564"/>
        <v>0</v>
      </c>
      <c r="CX730" s="824">
        <f t="shared" ca="1" si="564"/>
        <v>0</v>
      </c>
      <c r="CY730" s="824">
        <f t="shared" ca="1" si="564"/>
        <v>0</v>
      </c>
      <c r="CZ730" s="824">
        <f t="shared" ca="1" si="564"/>
        <v>0</v>
      </c>
      <c r="DA730" s="824">
        <f t="shared" ca="1" si="565"/>
        <v>0</v>
      </c>
      <c r="DB730" s="824">
        <f t="shared" ca="1" si="565"/>
        <v>0</v>
      </c>
      <c r="DC730" s="824">
        <f t="shared" ca="1" si="565"/>
        <v>0</v>
      </c>
      <c r="DD730" s="824">
        <f t="shared" ca="1" si="565"/>
        <v>0</v>
      </c>
      <c r="DE730" s="824">
        <f t="shared" ca="1" si="565"/>
        <v>0</v>
      </c>
      <c r="DF730" s="824">
        <f t="shared" ca="1" si="565"/>
        <v>0</v>
      </c>
      <c r="DG730" s="824">
        <f t="shared" ca="1" si="565"/>
        <v>0</v>
      </c>
      <c r="DH730" s="824">
        <f t="shared" ca="1" si="565"/>
        <v>0</v>
      </c>
      <c r="DI730" s="824">
        <f t="shared" ca="1" si="565"/>
        <v>0</v>
      </c>
      <c r="DJ730" s="824">
        <f t="shared" ca="1" si="565"/>
        <v>0</v>
      </c>
      <c r="DK730" s="824">
        <f t="shared" ca="1" si="565"/>
        <v>0</v>
      </c>
      <c r="DL730" s="824">
        <f t="shared" ca="1" si="565"/>
        <v>0</v>
      </c>
    </row>
    <row r="731" spans="2:116" ht="12" thickBot="1" x14ac:dyDescent="0.3">
      <c r="B731" s="1673"/>
      <c r="C731" s="1680"/>
      <c r="D731" s="15" t="s">
        <v>126</v>
      </c>
      <c r="E731" s="116"/>
      <c r="F731" s="116">
        <f ca="1">SUBTOTAL(109,'3.4 I&amp;W'!$X$51)</f>
        <v>0</v>
      </c>
      <c r="G731" s="116">
        <f ca="1">SUBTOTAL(109,'3.4 I&amp;W'!$Y$51)</f>
        <v>0</v>
      </c>
      <c r="H731" s="116">
        <f ca="1">SUBTOTAL(109,'3.4 I&amp;W'!$AD$51)</f>
        <v>0</v>
      </c>
      <c r="I731" s="116">
        <f ca="1">SUBTOTAL(109,'3.4 I&amp;W'!$AE$51)</f>
        <v>0</v>
      </c>
      <c r="J731" s="116"/>
      <c r="K731" s="116"/>
      <c r="L731" s="116"/>
      <c r="M731" s="116">
        <f ca="1">SUBTOTAL(109,'3.4 I&amp;W'!$AI$51)</f>
        <v>0</v>
      </c>
      <c r="N731" s="156">
        <f t="shared" ca="1" si="541"/>
        <v>0</v>
      </c>
      <c r="O731" s="116">
        <f ca="1">SUBTOTAL(109,'3.4 I&amp;W'!$S$51)</f>
        <v>0</v>
      </c>
      <c r="P731" s="30">
        <f t="shared" ca="1" si="544"/>
        <v>0</v>
      </c>
      <c r="Q731" s="31">
        <f t="shared" ca="1" si="531"/>
        <v>0</v>
      </c>
      <c r="R731" s="31">
        <f t="shared" ca="1" si="532"/>
        <v>0</v>
      </c>
      <c r="S731" s="31">
        <f t="shared" ca="1" si="533"/>
        <v>0</v>
      </c>
      <c r="T731" s="32">
        <f t="shared" ca="1" si="534"/>
        <v>0</v>
      </c>
      <c r="U731" s="37">
        <f t="shared" ca="1" si="542"/>
        <v>0</v>
      </c>
      <c r="V731" s="40">
        <f t="shared" ca="1" si="535"/>
        <v>0</v>
      </c>
      <c r="W731" s="41">
        <f t="shared" ca="1" si="536"/>
        <v>0</v>
      </c>
      <c r="X731" s="43"/>
      <c r="Y731" s="46"/>
      <c r="Z731" s="126"/>
      <c r="AA731" s="136"/>
      <c r="AB731" s="131">
        <v>4</v>
      </c>
      <c r="AC731" s="168">
        <f ca="1">IF(AF730&lt;=1,0,'3.4 Fi&amp;Fo'!$I$25)</f>
        <v>47266.884954954228</v>
      </c>
      <c r="AD731" s="169">
        <f ca="1">IF(AF730&lt;=1,0,AF730*'3.4 Fi&amp;Fo'!$H$25)</f>
        <v>22185.501644311404</v>
      </c>
      <c r="AE731" s="169">
        <f t="shared" ca="1" si="545"/>
        <v>25081.383310642825</v>
      </c>
      <c r="AF731" s="170">
        <f t="shared" ca="1" si="546"/>
        <v>1084193.6989049274</v>
      </c>
      <c r="AG731" s="168">
        <f>IF(AJ730&lt;=1,0,IF(AB731&lt;='3.4 Fi&amp;Fo'!$F$34,'3.4 Fi&amp;Fo'!$J$34,IF(AB731&lt;='3.4 Fi&amp;Fo'!$F$35,'3.4 Fi&amp;Fo'!$J$35,IF(AB731&lt;='3.4 Fi&amp;Fo'!$F$36,'3.4 Fi&amp;Fo'!$J$36,IF(AB731&lt;='3.4 Fi&amp;Fo'!$F$37,'3.4 Fi&amp;Fo'!$J$37,IF(AB731&lt;='3.4 Fi&amp;Fo'!$F$38,'3.4 Fi&amp;Fo'!$J$38,IF(AB731&lt;='3.4 Fi&amp;Fo'!$F$39,'3.4 Fi&amp;Fo'!$J$39,IF(AB731&lt;='3.4 Fi&amp;Fo'!$F$40,'3.4 Fi&amp;Fo'!$J$40))))))))</f>
        <v>27490.901999999998</v>
      </c>
      <c r="AH731" s="203">
        <f>IF(AJ730&lt;=1,0,AJ730*IF(AB731&lt;='3.4 Fi&amp;Fo'!$F$34,'3.4 Fi&amp;Fo'!$I$34,IF(AB731&lt;='3.4 Fi&amp;Fo'!$F$35,'3.4 Fi&amp;Fo'!$I$35,IF(AB731&lt;='3.4 Fi&amp;Fo'!$F$38,'3.4 Fi&amp;Fo'!$I$38,IF(AB731&lt;='3.4 Fi&amp;Fo'!$F$39,'3.4 Fi&amp;Fo'!$I$39,IF(AB731&lt;='3.4 Fi&amp;Fo'!$F$40,'3.4 Fi&amp;Fo'!$I$40))))))</f>
        <v>27478.353859500003</v>
      </c>
      <c r="AI731" s="203">
        <f t="shared" si="547"/>
        <v>12.548140499995498</v>
      </c>
      <c r="AJ731" s="204">
        <f t="shared" si="548"/>
        <v>1831877.7091595002</v>
      </c>
      <c r="AK731" s="312">
        <f t="shared" ca="1" si="549"/>
        <v>-98414.949501903451</v>
      </c>
      <c r="AL731" s="169">
        <f>IF(AB731&lt;='3.4 Fi&amp;Fo'!$J$15,'3.4 Fi&amp;Fo'!$I$15,0)</f>
        <v>0</v>
      </c>
      <c r="AM731" s="169">
        <f t="shared" si="561"/>
        <v>23657.162546949228</v>
      </c>
      <c r="AN731" s="838">
        <f t="shared" si="566"/>
        <v>4</v>
      </c>
      <c r="AO731" s="844">
        <f t="shared" ca="1" si="550"/>
        <v>98414.949501903451</v>
      </c>
      <c r="AP731" s="839">
        <f ca="1">BR832</f>
        <v>0</v>
      </c>
      <c r="AQ731" s="844">
        <f t="shared" si="551"/>
        <v>0</v>
      </c>
      <c r="AR731" s="839">
        <f t="shared" ca="1" si="567"/>
        <v>0</v>
      </c>
      <c r="AS731" s="839">
        <f t="shared" ca="1" si="562"/>
        <v>7855.6176306687994</v>
      </c>
      <c r="AT731" s="839">
        <f t="shared" ca="1" si="563"/>
        <v>9184.3793959809864</v>
      </c>
      <c r="AU731" s="839">
        <f ca="1">'PV-Einspeisung'!AA212*-1</f>
        <v>0</v>
      </c>
      <c r="AV731" s="839">
        <f ca="1">'PV-Einspeisung'!AE212*-1</f>
        <v>0</v>
      </c>
      <c r="AW731" s="839"/>
      <c r="AX731" s="839">
        <f t="shared" ca="1" si="568"/>
        <v>0</v>
      </c>
      <c r="AY731" s="841">
        <f t="shared" si="552"/>
        <v>4</v>
      </c>
      <c r="AZ731" s="842">
        <f t="shared" ca="1" si="569"/>
        <v>0</v>
      </c>
      <c r="BA731" s="842">
        <f t="shared" ca="1" si="570"/>
        <v>0</v>
      </c>
      <c r="BB731" s="842">
        <f t="shared" ca="1" si="571"/>
        <v>0</v>
      </c>
      <c r="BC731" s="842">
        <f t="shared" ca="1" si="572"/>
        <v>0</v>
      </c>
      <c r="BD731" s="842">
        <f t="shared" ca="1" si="573"/>
        <v>0</v>
      </c>
      <c r="BE731" s="842">
        <f t="shared" ca="1" si="574"/>
        <v>0</v>
      </c>
      <c r="BF731" s="842">
        <f t="shared" ca="1" si="575"/>
        <v>6953.0661271526378</v>
      </c>
      <c r="BG731" s="842">
        <f t="shared" ca="1" si="576"/>
        <v>2231.3132688283481</v>
      </c>
      <c r="BH731" s="858">
        <f t="shared" si="560"/>
        <v>4</v>
      </c>
      <c r="BI731" s="857">
        <f t="shared" ca="1" si="577"/>
        <v>3142.5407084543995</v>
      </c>
      <c r="BJ731" s="857">
        <f t="shared" ca="1" si="578"/>
        <v>4713.0769222143999</v>
      </c>
      <c r="BK731" s="859">
        <f ca="1">'PV-Einspeisung'!AB212*-1</f>
        <v>0</v>
      </c>
      <c r="BL731" s="824">
        <f t="shared" ca="1" si="537"/>
        <v>0</v>
      </c>
      <c r="BM731" s="824">
        <f t="shared" ca="1" si="538"/>
        <v>0</v>
      </c>
      <c r="BN731" s="824">
        <f t="shared" ca="1" si="539"/>
        <v>0</v>
      </c>
      <c r="BO731" s="824">
        <f t="shared" ca="1" si="543"/>
        <v>0</v>
      </c>
      <c r="BP731" s="824">
        <f t="shared" ca="1" si="543"/>
        <v>0</v>
      </c>
      <c r="BQ731" s="824">
        <f t="shared" ca="1" si="543"/>
        <v>0</v>
      </c>
      <c r="BR731" s="824">
        <f t="shared" ca="1" si="543"/>
        <v>0</v>
      </c>
      <c r="BS731" s="824">
        <f t="shared" ca="1" si="543"/>
        <v>0</v>
      </c>
      <c r="BT731" s="824">
        <f t="shared" ca="1" si="543"/>
        <v>0</v>
      </c>
      <c r="BU731" s="824">
        <f t="shared" ca="1" si="543"/>
        <v>0</v>
      </c>
      <c r="BV731" s="824">
        <f t="shared" ca="1" si="543"/>
        <v>0</v>
      </c>
      <c r="BW731" s="824">
        <f t="shared" ca="1" si="543"/>
        <v>0</v>
      </c>
      <c r="BX731" s="824">
        <f t="shared" ca="1" si="543"/>
        <v>0</v>
      </c>
      <c r="BY731" s="824">
        <f t="shared" ca="1" si="543"/>
        <v>0</v>
      </c>
      <c r="BZ731" s="824">
        <f t="shared" ca="1" si="543"/>
        <v>0</v>
      </c>
      <c r="CA731" s="824">
        <f t="shared" ca="1" si="543"/>
        <v>0</v>
      </c>
      <c r="CB731" s="824">
        <f t="shared" ca="1" si="543"/>
        <v>0</v>
      </c>
      <c r="CC731" s="824">
        <f t="shared" ca="1" si="543"/>
        <v>0</v>
      </c>
      <c r="CD731" s="824">
        <f t="shared" ca="1" si="543"/>
        <v>0</v>
      </c>
      <c r="CE731" s="824">
        <f t="shared" ca="1" si="579"/>
        <v>0</v>
      </c>
      <c r="CF731" s="824">
        <f t="shared" ca="1" si="579"/>
        <v>0</v>
      </c>
      <c r="CG731" s="824">
        <f t="shared" ca="1" si="579"/>
        <v>0</v>
      </c>
      <c r="CH731" s="824">
        <f t="shared" ca="1" si="579"/>
        <v>0</v>
      </c>
      <c r="CI731" s="824">
        <f t="shared" ca="1" si="579"/>
        <v>0</v>
      </c>
      <c r="CJ731" s="824">
        <f t="shared" ca="1" si="579"/>
        <v>0</v>
      </c>
      <c r="CK731" s="824">
        <f t="shared" ca="1" si="579"/>
        <v>0</v>
      </c>
      <c r="CL731" s="824">
        <f t="shared" ca="1" si="579"/>
        <v>0</v>
      </c>
      <c r="CM731" s="824">
        <f t="shared" ca="1" si="579"/>
        <v>0</v>
      </c>
      <c r="CN731" s="824">
        <f t="shared" ca="1" si="579"/>
        <v>0</v>
      </c>
      <c r="CO731" s="824">
        <f t="shared" ca="1" si="579"/>
        <v>0</v>
      </c>
      <c r="CP731" s="824">
        <f t="shared" ca="1" si="579"/>
        <v>0</v>
      </c>
      <c r="CQ731" s="824">
        <f t="shared" ca="1" si="579"/>
        <v>0</v>
      </c>
      <c r="CR731" s="824">
        <f t="shared" ca="1" si="579"/>
        <v>0</v>
      </c>
      <c r="CS731" s="824">
        <f t="shared" ca="1" si="579"/>
        <v>0</v>
      </c>
      <c r="CT731" s="824">
        <f t="shared" ca="1" si="579"/>
        <v>0</v>
      </c>
      <c r="CU731" s="824">
        <f t="shared" ca="1" si="564"/>
        <v>0</v>
      </c>
      <c r="CV731" s="824">
        <f t="shared" ca="1" si="564"/>
        <v>0</v>
      </c>
      <c r="CW731" s="824">
        <f t="shared" ca="1" si="564"/>
        <v>0</v>
      </c>
      <c r="CX731" s="824">
        <f t="shared" ca="1" si="564"/>
        <v>0</v>
      </c>
      <c r="CY731" s="824">
        <f t="shared" ca="1" si="564"/>
        <v>0</v>
      </c>
      <c r="CZ731" s="824">
        <f t="shared" ca="1" si="564"/>
        <v>0</v>
      </c>
      <c r="DA731" s="824">
        <f t="shared" ca="1" si="565"/>
        <v>0</v>
      </c>
      <c r="DB731" s="824">
        <f t="shared" ca="1" si="565"/>
        <v>0</v>
      </c>
      <c r="DC731" s="824">
        <f t="shared" ca="1" si="565"/>
        <v>0</v>
      </c>
      <c r="DD731" s="824">
        <f t="shared" ca="1" si="565"/>
        <v>0</v>
      </c>
      <c r="DE731" s="824">
        <f t="shared" ca="1" si="565"/>
        <v>0</v>
      </c>
      <c r="DF731" s="824">
        <f t="shared" ca="1" si="565"/>
        <v>0</v>
      </c>
      <c r="DG731" s="824">
        <f t="shared" ca="1" si="565"/>
        <v>0</v>
      </c>
      <c r="DH731" s="824">
        <f t="shared" ca="1" si="565"/>
        <v>0</v>
      </c>
      <c r="DI731" s="824">
        <f t="shared" ca="1" si="565"/>
        <v>0</v>
      </c>
      <c r="DJ731" s="824">
        <f t="shared" ca="1" si="565"/>
        <v>0</v>
      </c>
      <c r="DK731" s="824">
        <f t="shared" ca="1" si="565"/>
        <v>0</v>
      </c>
      <c r="DL731" s="824">
        <f t="shared" ca="1" si="565"/>
        <v>0</v>
      </c>
    </row>
    <row r="732" spans="2:116" ht="12" thickBot="1" x14ac:dyDescent="0.3">
      <c r="B732" s="1673"/>
      <c r="C732" s="1680"/>
      <c r="D732" s="15" t="s">
        <v>126</v>
      </c>
      <c r="E732" s="165"/>
      <c r="F732" s="116">
        <f ca="1">SUBTOTAL(109,'3.4 I&amp;W'!$X$52)</f>
        <v>0</v>
      </c>
      <c r="G732" s="116">
        <f ca="1">SUBTOTAL(109,'3.4 I&amp;W'!$Y$52)</f>
        <v>0</v>
      </c>
      <c r="H732" s="116">
        <f ca="1">SUBTOTAL(109,'3.4 I&amp;W'!$AD$52)</f>
        <v>0</v>
      </c>
      <c r="I732" s="116">
        <f ca="1">SUBTOTAL(109,'3.4 I&amp;W'!$AE$52)</f>
        <v>0</v>
      </c>
      <c r="J732" s="116"/>
      <c r="K732" s="116"/>
      <c r="L732" s="116"/>
      <c r="M732" s="116">
        <f ca="1">SUBTOTAL(109,'3.4 I&amp;W'!$AI$52)</f>
        <v>0</v>
      </c>
      <c r="N732" s="156">
        <f t="shared" ca="1" si="541"/>
        <v>0</v>
      </c>
      <c r="O732" s="116">
        <f ca="1">SUBTOTAL(109,'3.4 I&amp;W'!$S$52)</f>
        <v>0</v>
      </c>
      <c r="P732" s="30">
        <f t="shared" ca="1" si="544"/>
        <v>0</v>
      </c>
      <c r="Q732" s="31">
        <f t="shared" ca="1" si="531"/>
        <v>0</v>
      </c>
      <c r="R732" s="31">
        <f t="shared" ca="1" si="532"/>
        <v>0</v>
      </c>
      <c r="S732" s="31">
        <f t="shared" ca="1" si="533"/>
        <v>0</v>
      </c>
      <c r="T732" s="32">
        <f t="shared" ca="1" si="534"/>
        <v>0</v>
      </c>
      <c r="U732" s="37">
        <f t="shared" ca="1" si="542"/>
        <v>0</v>
      </c>
      <c r="V732" s="40">
        <f t="shared" ca="1" si="535"/>
        <v>0</v>
      </c>
      <c r="W732" s="41">
        <f t="shared" ca="1" si="536"/>
        <v>0</v>
      </c>
      <c r="X732" s="43"/>
      <c r="Y732" s="46"/>
      <c r="Z732" s="126"/>
      <c r="AA732" s="136"/>
      <c r="AB732" s="131">
        <v>5</v>
      </c>
      <c r="AC732" s="168">
        <f ca="1">IF(AF731&lt;=1,0,'3.4 Fi&amp;Fo'!$I$25)</f>
        <v>47266.884954954228</v>
      </c>
      <c r="AD732" s="169">
        <f ca="1">IF(AF731&lt;=1,0,AF731*'3.4 Fi&amp;Fo'!$H$25)</f>
        <v>21683.873978098549</v>
      </c>
      <c r="AE732" s="169">
        <f t="shared" ca="1" si="545"/>
        <v>25583.010976855679</v>
      </c>
      <c r="AF732" s="170">
        <f t="shared" ca="1" si="546"/>
        <v>1058610.6879280717</v>
      </c>
      <c r="AG732" s="168">
        <f>IF(AJ731&lt;=1,0,IF(AB732&lt;='3.4 Fi&amp;Fo'!$F$34,'3.4 Fi&amp;Fo'!$J$34,IF(AB732&lt;='3.4 Fi&amp;Fo'!$F$35,'3.4 Fi&amp;Fo'!$J$35,IF(AB732&lt;='3.4 Fi&amp;Fo'!$F$36,'3.4 Fi&amp;Fo'!$J$36,IF(AB732&lt;='3.4 Fi&amp;Fo'!$F$37,'3.4 Fi&amp;Fo'!$J$37,IF(AB732&lt;='3.4 Fi&amp;Fo'!$F$38,'3.4 Fi&amp;Fo'!$J$38,IF(AB732&lt;='3.4 Fi&amp;Fo'!$F$39,'3.4 Fi&amp;Fo'!$J$39,IF(AB732&lt;='3.4 Fi&amp;Fo'!$F$40,'3.4 Fi&amp;Fo'!$J$40))))))))</f>
        <v>27490.901999999998</v>
      </c>
      <c r="AH732" s="203">
        <f>IF(AJ731&lt;=1,0,AJ731*IF(AB732&lt;='3.4 Fi&amp;Fo'!$F$34,'3.4 Fi&amp;Fo'!$I$34,IF(AB732&lt;='3.4 Fi&amp;Fo'!$F$35,'3.4 Fi&amp;Fo'!$I$35,IF(AB732&lt;='3.4 Fi&amp;Fo'!$F$38,'3.4 Fi&amp;Fo'!$I$38,IF(AB732&lt;='3.4 Fi&amp;Fo'!$F$39,'3.4 Fi&amp;Fo'!$I$39,IF(AB732&lt;='3.4 Fi&amp;Fo'!$F$40,'3.4 Fi&amp;Fo'!$I$40))))))</f>
        <v>27478.165637392503</v>
      </c>
      <c r="AI732" s="203">
        <f t="shared" si="547"/>
        <v>12.736362607494812</v>
      </c>
      <c r="AJ732" s="204">
        <f t="shared" si="548"/>
        <v>1831864.9727968927</v>
      </c>
      <c r="AK732" s="312">
        <f t="shared" ca="1" si="549"/>
        <v>-98888.092752842422</v>
      </c>
      <c r="AL732" s="169">
        <f>IF(AB732&lt;='3.4 Fi&amp;Fo'!$J$15,'3.4 Fi&amp;Fo'!$I$15,0)</f>
        <v>0</v>
      </c>
      <c r="AM732" s="169">
        <f t="shared" si="561"/>
        <v>24130.305797888199</v>
      </c>
      <c r="AN732" s="838">
        <f t="shared" si="566"/>
        <v>5</v>
      </c>
      <c r="AO732" s="844">
        <f t="shared" ca="1" si="550"/>
        <v>98888.092752842422</v>
      </c>
      <c r="AP732" s="839">
        <f ca="1">BS832</f>
        <v>0</v>
      </c>
      <c r="AQ732" s="844">
        <f t="shared" si="551"/>
        <v>0</v>
      </c>
      <c r="AR732" s="839">
        <f t="shared" ca="1" si="567"/>
        <v>0</v>
      </c>
      <c r="AS732" s="839">
        <f t="shared" ca="1" si="562"/>
        <v>7981.3075127595002</v>
      </c>
      <c r="AT732" s="839">
        <f t="shared" ca="1" si="563"/>
        <v>9436.302013568793</v>
      </c>
      <c r="AU732" s="839">
        <f ca="1">'PV-Einspeisung'!AA213*-1</f>
        <v>0</v>
      </c>
      <c r="AV732" s="839">
        <f ca="1">'PV-Einspeisung'!AE213*-1</f>
        <v>0</v>
      </c>
      <c r="AW732" s="839"/>
      <c r="AX732" s="839">
        <f t="shared" ca="1" si="568"/>
        <v>0</v>
      </c>
      <c r="AY732" s="841">
        <f t="shared" si="552"/>
        <v>5</v>
      </c>
      <c r="AZ732" s="842">
        <f t="shared" ca="1" si="569"/>
        <v>0</v>
      </c>
      <c r="BA732" s="842">
        <f t="shared" ca="1" si="570"/>
        <v>0</v>
      </c>
      <c r="BB732" s="842">
        <f t="shared" ca="1" si="571"/>
        <v>0</v>
      </c>
      <c r="BC732" s="842">
        <f t="shared" ca="1" si="572"/>
        <v>0</v>
      </c>
      <c r="BD732" s="842">
        <f t="shared" ca="1" si="573"/>
        <v>0</v>
      </c>
      <c r="BE732" s="842">
        <f t="shared" ca="1" si="574"/>
        <v>0</v>
      </c>
      <c r="BF732" s="842">
        <f t="shared" ca="1" si="575"/>
        <v>7126.8927803314527</v>
      </c>
      <c r="BG732" s="842">
        <f t="shared" ca="1" si="576"/>
        <v>2309.4092332373402</v>
      </c>
      <c r="BH732" s="858">
        <f t="shared" si="560"/>
        <v>5</v>
      </c>
      <c r="BI732" s="857">
        <f t="shared" ca="1" si="577"/>
        <v>3192.8213597896697</v>
      </c>
      <c r="BJ732" s="857">
        <f t="shared" ca="1" si="578"/>
        <v>4788.4861529698301</v>
      </c>
      <c r="BK732" s="859">
        <f ca="1">'PV-Einspeisung'!AB213*-1</f>
        <v>0</v>
      </c>
      <c r="BL732" s="824">
        <f t="shared" ca="1" si="537"/>
        <v>0</v>
      </c>
      <c r="BM732" s="824">
        <f t="shared" ca="1" si="538"/>
        <v>0</v>
      </c>
      <c r="BN732" s="824">
        <f t="shared" ca="1" si="539"/>
        <v>0</v>
      </c>
      <c r="BO732" s="824">
        <f t="shared" ca="1" si="543"/>
        <v>0</v>
      </c>
      <c r="BP732" s="824">
        <f t="shared" ca="1" si="543"/>
        <v>0</v>
      </c>
      <c r="BQ732" s="824">
        <f t="shared" ca="1" si="543"/>
        <v>0</v>
      </c>
      <c r="BR732" s="824">
        <f t="shared" ca="1" si="543"/>
        <v>0</v>
      </c>
      <c r="BS732" s="824">
        <f t="shared" ca="1" si="543"/>
        <v>0</v>
      </c>
      <c r="BT732" s="824">
        <f t="shared" ca="1" si="543"/>
        <v>0</v>
      </c>
      <c r="BU732" s="824">
        <f t="shared" ca="1" si="543"/>
        <v>0</v>
      </c>
      <c r="BV732" s="824">
        <f t="shared" ca="1" si="543"/>
        <v>0</v>
      </c>
      <c r="BW732" s="824">
        <f t="shared" ca="1" si="543"/>
        <v>0</v>
      </c>
      <c r="BX732" s="824">
        <f t="shared" ca="1" si="543"/>
        <v>0</v>
      </c>
      <c r="BY732" s="824">
        <f t="shared" ca="1" si="543"/>
        <v>0</v>
      </c>
      <c r="BZ732" s="824">
        <f t="shared" ca="1" si="543"/>
        <v>0</v>
      </c>
      <c r="CA732" s="824">
        <f t="shared" ca="1" si="543"/>
        <v>0</v>
      </c>
      <c r="CB732" s="824">
        <f t="shared" ca="1" si="543"/>
        <v>0</v>
      </c>
      <c r="CC732" s="824">
        <f t="shared" ca="1" si="543"/>
        <v>0</v>
      </c>
      <c r="CD732" s="824">
        <f t="shared" ca="1" si="543"/>
        <v>0</v>
      </c>
      <c r="CE732" s="824">
        <f t="shared" ca="1" si="579"/>
        <v>0</v>
      </c>
      <c r="CF732" s="824">
        <f t="shared" ca="1" si="579"/>
        <v>0</v>
      </c>
      <c r="CG732" s="824">
        <f t="shared" ca="1" si="579"/>
        <v>0</v>
      </c>
      <c r="CH732" s="824">
        <f t="shared" ca="1" si="579"/>
        <v>0</v>
      </c>
      <c r="CI732" s="824">
        <f t="shared" ca="1" si="579"/>
        <v>0</v>
      </c>
      <c r="CJ732" s="824">
        <f t="shared" ca="1" si="579"/>
        <v>0</v>
      </c>
      <c r="CK732" s="824">
        <f t="shared" ca="1" si="579"/>
        <v>0</v>
      </c>
      <c r="CL732" s="824">
        <f t="shared" ca="1" si="579"/>
        <v>0</v>
      </c>
      <c r="CM732" s="824">
        <f t="shared" ca="1" si="579"/>
        <v>0</v>
      </c>
      <c r="CN732" s="824">
        <f t="shared" ca="1" si="579"/>
        <v>0</v>
      </c>
      <c r="CO732" s="824">
        <f t="shared" ca="1" si="579"/>
        <v>0</v>
      </c>
      <c r="CP732" s="824">
        <f t="shared" ca="1" si="579"/>
        <v>0</v>
      </c>
      <c r="CQ732" s="824">
        <f t="shared" ca="1" si="579"/>
        <v>0</v>
      </c>
      <c r="CR732" s="824">
        <f t="shared" ca="1" si="579"/>
        <v>0</v>
      </c>
      <c r="CS732" s="824">
        <f t="shared" ca="1" si="579"/>
        <v>0</v>
      </c>
      <c r="CT732" s="824">
        <f t="shared" ca="1" si="579"/>
        <v>0</v>
      </c>
      <c r="CU732" s="824">
        <f t="shared" ca="1" si="564"/>
        <v>0</v>
      </c>
      <c r="CV732" s="824">
        <f t="shared" ca="1" si="564"/>
        <v>0</v>
      </c>
      <c r="CW732" s="824">
        <f t="shared" ca="1" si="564"/>
        <v>0</v>
      </c>
      <c r="CX732" s="824">
        <f t="shared" ca="1" si="564"/>
        <v>0</v>
      </c>
      <c r="CY732" s="824">
        <f t="shared" ca="1" si="564"/>
        <v>0</v>
      </c>
      <c r="CZ732" s="824">
        <f t="shared" ca="1" si="564"/>
        <v>0</v>
      </c>
      <c r="DA732" s="824">
        <f t="shared" ca="1" si="565"/>
        <v>0</v>
      </c>
      <c r="DB732" s="824">
        <f t="shared" ca="1" si="565"/>
        <v>0</v>
      </c>
      <c r="DC732" s="824">
        <f t="shared" ca="1" si="565"/>
        <v>0</v>
      </c>
      <c r="DD732" s="824">
        <f t="shared" ca="1" si="565"/>
        <v>0</v>
      </c>
      <c r="DE732" s="824">
        <f t="shared" ca="1" si="565"/>
        <v>0</v>
      </c>
      <c r="DF732" s="824">
        <f t="shared" ca="1" si="565"/>
        <v>0</v>
      </c>
      <c r="DG732" s="824">
        <f t="shared" ca="1" si="565"/>
        <v>0</v>
      </c>
      <c r="DH732" s="824">
        <f t="shared" ca="1" si="565"/>
        <v>0</v>
      </c>
      <c r="DI732" s="824">
        <f t="shared" ca="1" si="565"/>
        <v>0</v>
      </c>
      <c r="DJ732" s="824">
        <f t="shared" ca="1" si="565"/>
        <v>0</v>
      </c>
      <c r="DK732" s="824">
        <f t="shared" ca="1" si="565"/>
        <v>0</v>
      </c>
      <c r="DL732" s="824">
        <f t="shared" ca="1" si="565"/>
        <v>0</v>
      </c>
    </row>
    <row r="733" spans="2:116" ht="12" thickBot="1" x14ac:dyDescent="0.3">
      <c r="B733" s="1673"/>
      <c r="C733" s="1680"/>
      <c r="D733" s="15" t="s">
        <v>127</v>
      </c>
      <c r="E733" s="116"/>
      <c r="F733" s="116">
        <f ca="1">SUBTOTAL(109,'3.4 I&amp;W'!$X$56)</f>
        <v>0</v>
      </c>
      <c r="G733" s="116">
        <f ca="1">SUBTOTAL(109,'3.4 I&amp;W'!$Y$56)</f>
        <v>0</v>
      </c>
      <c r="H733" s="116">
        <f ca="1">SUBTOTAL(109,'3.4 I&amp;W'!$AD$56)</f>
        <v>0</v>
      </c>
      <c r="I733" s="116">
        <f ca="1">SUBTOTAL(109,'3.4 I&amp;W'!$AE$56)</f>
        <v>0</v>
      </c>
      <c r="J733" s="116"/>
      <c r="K733" s="116"/>
      <c r="L733" s="116"/>
      <c r="M733" s="116">
        <f ca="1">SUBTOTAL(109,'3.4 I&amp;W'!$AI$56)</f>
        <v>0</v>
      </c>
      <c r="N733" s="156">
        <f t="shared" ca="1" si="541"/>
        <v>0</v>
      </c>
      <c r="O733" s="116">
        <f ca="1">SUBTOTAL(109,'3.4 I&amp;W'!$S$56)</f>
        <v>0</v>
      </c>
      <c r="P733" s="30">
        <f t="shared" ca="1" si="544"/>
        <v>0</v>
      </c>
      <c r="Q733" s="31">
        <f t="shared" ca="1" si="531"/>
        <v>0</v>
      </c>
      <c r="R733" s="31">
        <f t="shared" ca="1" si="532"/>
        <v>0</v>
      </c>
      <c r="S733" s="31">
        <f t="shared" ca="1" si="533"/>
        <v>0</v>
      </c>
      <c r="T733" s="32">
        <f t="shared" ca="1" si="534"/>
        <v>0</v>
      </c>
      <c r="U733" s="37">
        <f t="shared" ca="1" si="542"/>
        <v>0</v>
      </c>
      <c r="V733" s="40">
        <f t="shared" ca="1" si="535"/>
        <v>0</v>
      </c>
      <c r="W733" s="41">
        <f t="shared" ca="1" si="536"/>
        <v>0</v>
      </c>
      <c r="X733" s="43"/>
      <c r="Y733" s="46"/>
      <c r="Z733" s="126"/>
      <c r="AA733" s="136"/>
      <c r="AB733" s="131">
        <v>6</v>
      </c>
      <c r="AC733" s="168">
        <f ca="1">IF(AF732&lt;=1,0,'3.4 Fi&amp;Fo'!$I$25)</f>
        <v>47266.884954954228</v>
      </c>
      <c r="AD733" s="169">
        <f ca="1">IF(AF732&lt;=1,0,AF732*'3.4 Fi&amp;Fo'!$H$25)</f>
        <v>21172.213758561436</v>
      </c>
      <c r="AE733" s="169">
        <f t="shared" ca="1" si="545"/>
        <v>26094.671196392792</v>
      </c>
      <c r="AF733" s="170">
        <f t="shared" ca="1" si="546"/>
        <v>1032516.016731679</v>
      </c>
      <c r="AG733" s="168">
        <f>IF(AJ732&lt;=1,0,IF(AB733&lt;='3.4 Fi&amp;Fo'!$F$34,'3.4 Fi&amp;Fo'!$J$34,IF(AB733&lt;='3.4 Fi&amp;Fo'!$F$35,'3.4 Fi&amp;Fo'!$J$35,IF(AB733&lt;='3.4 Fi&amp;Fo'!$F$36,'3.4 Fi&amp;Fo'!$J$36,IF(AB733&lt;='3.4 Fi&amp;Fo'!$F$37,'3.4 Fi&amp;Fo'!$J$37,IF(AB733&lt;='3.4 Fi&amp;Fo'!$F$38,'3.4 Fi&amp;Fo'!$J$38,IF(AB733&lt;='3.4 Fi&amp;Fo'!$F$39,'3.4 Fi&amp;Fo'!$J$39,IF(AB733&lt;='3.4 Fi&amp;Fo'!$F$40,'3.4 Fi&amp;Fo'!$J$40))))))))</f>
        <v>45810.170000000006</v>
      </c>
      <c r="AH733" s="203">
        <f>IF(AJ732&lt;=1,0,AJ732*IF(AB733&lt;='3.4 Fi&amp;Fo'!$F$34,'3.4 Fi&amp;Fo'!$I$34,IF(AB733&lt;='3.4 Fi&amp;Fo'!$F$35,'3.4 Fi&amp;Fo'!$I$35,IF(AB733&lt;='3.4 Fi&amp;Fo'!$F$38,'3.4 Fi&amp;Fo'!$I$38,IF(AB733&lt;='3.4 Fi&amp;Fo'!$F$39,'3.4 Fi&amp;Fo'!$I$39,IF(AB733&lt;='3.4 Fi&amp;Fo'!$F$40,'3.4 Fi&amp;Fo'!$I$40))))))</f>
        <v>45796.624319922325</v>
      </c>
      <c r="AI733" s="203">
        <f t="shared" si="547"/>
        <v>13.545680077681027</v>
      </c>
      <c r="AJ733" s="204">
        <f t="shared" si="548"/>
        <v>1831851.427116815</v>
      </c>
      <c r="AK733" s="312">
        <f t="shared" ca="1" si="549"/>
        <v>-117689.96686880015</v>
      </c>
      <c r="AL733" s="169">
        <f>IF(AB733&lt;='3.4 Fi&amp;Fo'!$J$15,'3.4 Fi&amp;Fo'!$I$15,0)</f>
        <v>0</v>
      </c>
      <c r="AM733" s="169">
        <f t="shared" si="561"/>
        <v>24612.911913845921</v>
      </c>
      <c r="AN733" s="838">
        <f t="shared" si="566"/>
        <v>6</v>
      </c>
      <c r="AO733" s="844">
        <f t="shared" ca="1" si="550"/>
        <v>117689.96686880015</v>
      </c>
      <c r="AP733" s="839">
        <f ca="1">BT832</f>
        <v>0</v>
      </c>
      <c r="AQ733" s="844">
        <f t="shared" si="551"/>
        <v>0</v>
      </c>
      <c r="AR733" s="839">
        <f t="shared" ca="1" si="567"/>
        <v>0</v>
      </c>
      <c r="AS733" s="839">
        <f t="shared" ca="1" si="562"/>
        <v>8109.008432963652</v>
      </c>
      <c r="AT733" s="839">
        <f t="shared" ca="1" si="563"/>
        <v>9695.303656240385</v>
      </c>
      <c r="AU733" s="839">
        <f ca="1">'PV-Einspeisung'!AA214*-1</f>
        <v>0</v>
      </c>
      <c r="AV733" s="839">
        <f ca="1">'PV-Einspeisung'!AE214*-1</f>
        <v>0</v>
      </c>
      <c r="AW733" s="839"/>
      <c r="AX733" s="839">
        <f t="shared" ca="1" si="568"/>
        <v>0</v>
      </c>
      <c r="AY733" s="841">
        <f t="shared" si="552"/>
        <v>6</v>
      </c>
      <c r="AZ733" s="842">
        <f t="shared" ca="1" si="569"/>
        <v>0</v>
      </c>
      <c r="BA733" s="842">
        <f t="shared" ca="1" si="570"/>
        <v>0</v>
      </c>
      <c r="BB733" s="842">
        <f t="shared" ca="1" si="571"/>
        <v>0</v>
      </c>
      <c r="BC733" s="842">
        <f t="shared" ca="1" si="572"/>
        <v>0</v>
      </c>
      <c r="BD733" s="842">
        <f t="shared" ca="1" si="573"/>
        <v>0</v>
      </c>
      <c r="BE733" s="842">
        <f t="shared" ca="1" si="574"/>
        <v>0</v>
      </c>
      <c r="BF733" s="842">
        <f t="shared" ca="1" si="575"/>
        <v>7305.0650998397387</v>
      </c>
      <c r="BG733" s="842">
        <f t="shared" ca="1" si="576"/>
        <v>2390.2385564006468</v>
      </c>
      <c r="BH733" s="858">
        <f t="shared" si="560"/>
        <v>6</v>
      </c>
      <c r="BI733" s="857">
        <f t="shared" ca="1" si="577"/>
        <v>3243.9065015463043</v>
      </c>
      <c r="BJ733" s="857">
        <f t="shared" ca="1" si="578"/>
        <v>4865.1019314173473</v>
      </c>
      <c r="BK733" s="859">
        <f ca="1">'PV-Einspeisung'!AB214*-1</f>
        <v>0</v>
      </c>
      <c r="BL733" s="824">
        <f t="shared" ca="1" si="537"/>
        <v>0</v>
      </c>
      <c r="BM733" s="824">
        <f t="shared" ca="1" si="538"/>
        <v>0</v>
      </c>
      <c r="BN733" s="824">
        <f t="shared" ca="1" si="539"/>
        <v>0</v>
      </c>
      <c r="BO733" s="824">
        <f t="shared" ca="1" si="543"/>
        <v>0</v>
      </c>
      <c r="BP733" s="824">
        <f t="shared" ca="1" si="543"/>
        <v>0</v>
      </c>
      <c r="BQ733" s="824">
        <f t="shared" ca="1" si="543"/>
        <v>0</v>
      </c>
      <c r="BR733" s="824">
        <f t="shared" ca="1" si="543"/>
        <v>0</v>
      </c>
      <c r="BS733" s="824">
        <f t="shared" ca="1" si="543"/>
        <v>0</v>
      </c>
      <c r="BT733" s="824">
        <f t="shared" ca="1" si="543"/>
        <v>0</v>
      </c>
      <c r="BU733" s="824">
        <f t="shared" ca="1" si="543"/>
        <v>0</v>
      </c>
      <c r="BV733" s="824">
        <f t="shared" ca="1" si="543"/>
        <v>0</v>
      </c>
      <c r="BW733" s="824">
        <f t="shared" ca="1" si="543"/>
        <v>0</v>
      </c>
      <c r="BX733" s="824">
        <f t="shared" ca="1" si="543"/>
        <v>0</v>
      </c>
      <c r="BY733" s="824">
        <f t="shared" ca="1" si="543"/>
        <v>0</v>
      </c>
      <c r="BZ733" s="824">
        <f t="shared" ca="1" si="543"/>
        <v>0</v>
      </c>
      <c r="CA733" s="824">
        <f t="shared" ca="1" si="543"/>
        <v>0</v>
      </c>
      <c r="CB733" s="824">
        <f t="shared" ca="1" si="543"/>
        <v>0</v>
      </c>
      <c r="CC733" s="824">
        <f t="shared" ca="1" si="543"/>
        <v>0</v>
      </c>
      <c r="CD733" s="824">
        <f t="shared" ca="1" si="543"/>
        <v>0</v>
      </c>
      <c r="CE733" s="824">
        <f t="shared" ca="1" si="579"/>
        <v>0</v>
      </c>
      <c r="CF733" s="824">
        <f t="shared" ca="1" si="579"/>
        <v>0</v>
      </c>
      <c r="CG733" s="824">
        <f t="shared" ca="1" si="579"/>
        <v>0</v>
      </c>
      <c r="CH733" s="824">
        <f t="shared" ca="1" si="579"/>
        <v>0</v>
      </c>
      <c r="CI733" s="824">
        <f t="shared" ca="1" si="579"/>
        <v>0</v>
      </c>
      <c r="CJ733" s="824">
        <f t="shared" ca="1" si="579"/>
        <v>0</v>
      </c>
      <c r="CK733" s="824">
        <f t="shared" ca="1" si="579"/>
        <v>0</v>
      </c>
      <c r="CL733" s="824">
        <f t="shared" ca="1" si="579"/>
        <v>0</v>
      </c>
      <c r="CM733" s="824">
        <f t="shared" ca="1" si="579"/>
        <v>0</v>
      </c>
      <c r="CN733" s="824">
        <f t="shared" ca="1" si="579"/>
        <v>0</v>
      </c>
      <c r="CO733" s="824">
        <f t="shared" ca="1" si="579"/>
        <v>0</v>
      </c>
      <c r="CP733" s="824">
        <f t="shared" ca="1" si="579"/>
        <v>0</v>
      </c>
      <c r="CQ733" s="824">
        <f t="shared" ca="1" si="579"/>
        <v>0</v>
      </c>
      <c r="CR733" s="824">
        <f t="shared" ca="1" si="579"/>
        <v>0</v>
      </c>
      <c r="CS733" s="824">
        <f t="shared" ca="1" si="579"/>
        <v>0</v>
      </c>
      <c r="CT733" s="824">
        <f t="shared" ca="1" si="579"/>
        <v>0</v>
      </c>
      <c r="CU733" s="824">
        <f t="shared" ca="1" si="564"/>
        <v>0</v>
      </c>
      <c r="CV733" s="824">
        <f t="shared" ca="1" si="564"/>
        <v>0</v>
      </c>
      <c r="CW733" s="824">
        <f t="shared" ca="1" si="564"/>
        <v>0</v>
      </c>
      <c r="CX733" s="824">
        <f t="shared" ca="1" si="564"/>
        <v>0</v>
      </c>
      <c r="CY733" s="824">
        <f t="shared" ca="1" si="564"/>
        <v>0</v>
      </c>
      <c r="CZ733" s="824">
        <f t="shared" ca="1" si="564"/>
        <v>0</v>
      </c>
      <c r="DA733" s="824">
        <f t="shared" ca="1" si="565"/>
        <v>0</v>
      </c>
      <c r="DB733" s="824">
        <f t="shared" ca="1" si="565"/>
        <v>0</v>
      </c>
      <c r="DC733" s="824">
        <f t="shared" ca="1" si="565"/>
        <v>0</v>
      </c>
      <c r="DD733" s="824">
        <f t="shared" ca="1" si="565"/>
        <v>0</v>
      </c>
      <c r="DE733" s="824">
        <f t="shared" ca="1" si="565"/>
        <v>0</v>
      </c>
      <c r="DF733" s="824">
        <f t="shared" ca="1" si="565"/>
        <v>0</v>
      </c>
      <c r="DG733" s="824">
        <f t="shared" ca="1" si="565"/>
        <v>0</v>
      </c>
      <c r="DH733" s="824">
        <f t="shared" ca="1" si="565"/>
        <v>0</v>
      </c>
      <c r="DI733" s="824">
        <f t="shared" ca="1" si="565"/>
        <v>0</v>
      </c>
      <c r="DJ733" s="824">
        <f t="shared" ca="1" si="565"/>
        <v>0</v>
      </c>
      <c r="DK733" s="824">
        <f t="shared" ca="1" si="565"/>
        <v>0</v>
      </c>
      <c r="DL733" s="824">
        <f t="shared" ca="1" si="565"/>
        <v>0</v>
      </c>
    </row>
    <row r="734" spans="2:116" ht="12" thickBot="1" x14ac:dyDescent="0.3">
      <c r="B734" s="1673"/>
      <c r="C734" s="1680"/>
      <c r="D734" s="15" t="s">
        <v>127</v>
      </c>
      <c r="E734" s="165"/>
      <c r="F734" s="116">
        <f ca="1">SUBTOTAL(109,'3.4 I&amp;W'!$X$57)</f>
        <v>0</v>
      </c>
      <c r="G734" s="116">
        <f ca="1">SUBTOTAL(109,'3.4 I&amp;W'!$Y$57)</f>
        <v>0</v>
      </c>
      <c r="H734" s="116">
        <f ca="1">SUBTOTAL(109,'3.4 I&amp;W'!$AD$57)</f>
        <v>0</v>
      </c>
      <c r="I734" s="116">
        <f ca="1">SUBTOTAL(109,'3.4 I&amp;W'!$AE$57)</f>
        <v>0</v>
      </c>
      <c r="J734" s="116"/>
      <c r="K734" s="116"/>
      <c r="L734" s="116"/>
      <c r="M734" s="116">
        <f ca="1">SUBTOTAL(109,'3.4 I&amp;W'!$AI$57)</f>
        <v>0</v>
      </c>
      <c r="N734" s="156">
        <f t="shared" ca="1" si="541"/>
        <v>0</v>
      </c>
      <c r="O734" s="116">
        <f ca="1">SUBTOTAL(109,'3.4 I&amp;W'!$S$57)</f>
        <v>0</v>
      </c>
      <c r="P734" s="30">
        <f t="shared" ca="1" si="544"/>
        <v>0</v>
      </c>
      <c r="Q734" s="31">
        <f t="shared" ca="1" si="531"/>
        <v>0</v>
      </c>
      <c r="R734" s="31">
        <f t="shared" ca="1" si="532"/>
        <v>0</v>
      </c>
      <c r="S734" s="31">
        <f t="shared" ca="1" si="533"/>
        <v>0</v>
      </c>
      <c r="T734" s="32">
        <f t="shared" ca="1" si="534"/>
        <v>0</v>
      </c>
      <c r="U734" s="37">
        <f t="shared" ca="1" si="542"/>
        <v>0</v>
      </c>
      <c r="V734" s="40">
        <f t="shared" ca="1" si="535"/>
        <v>0</v>
      </c>
      <c r="W734" s="41">
        <f t="shared" ca="1" si="536"/>
        <v>0</v>
      </c>
      <c r="X734" s="43"/>
      <c r="Y734" s="46"/>
      <c r="Z734" s="126"/>
      <c r="AA734" s="136"/>
      <c r="AB734" s="131">
        <v>7</v>
      </c>
      <c r="AC734" s="168">
        <f ca="1">IF(AF733&lt;=1,0,'3.4 Fi&amp;Fo'!$I$25)</f>
        <v>47266.884954954228</v>
      </c>
      <c r="AD734" s="169">
        <f ca="1">IF(AF733&lt;=1,0,AF733*'3.4 Fi&amp;Fo'!$H$25)</f>
        <v>20650.320334633579</v>
      </c>
      <c r="AE734" s="169">
        <f t="shared" ca="1" si="545"/>
        <v>26616.564620320649</v>
      </c>
      <c r="AF734" s="170">
        <f t="shared" ca="1" si="546"/>
        <v>1005899.4521113583</v>
      </c>
      <c r="AG734" s="168">
        <f>IF(AJ733&lt;=1,0,IF(AB734&lt;='3.4 Fi&amp;Fo'!$F$34,'3.4 Fi&amp;Fo'!$J$34,IF(AB734&lt;='3.4 Fi&amp;Fo'!$F$35,'3.4 Fi&amp;Fo'!$J$35,IF(AB734&lt;='3.4 Fi&amp;Fo'!$F$36,'3.4 Fi&amp;Fo'!$J$36,IF(AB734&lt;='3.4 Fi&amp;Fo'!$F$37,'3.4 Fi&amp;Fo'!$J$37,IF(AB734&lt;='3.4 Fi&amp;Fo'!$F$38,'3.4 Fi&amp;Fo'!$J$38,IF(AB734&lt;='3.4 Fi&amp;Fo'!$F$39,'3.4 Fi&amp;Fo'!$J$39,IF(AB734&lt;='3.4 Fi&amp;Fo'!$F$40,'3.4 Fi&amp;Fo'!$J$40))))))))</f>
        <v>45810.170000000006</v>
      </c>
      <c r="AH734" s="203">
        <f>IF(AJ733&lt;=1,0,AJ733*IF(AB734&lt;='3.4 Fi&amp;Fo'!$F$34,'3.4 Fi&amp;Fo'!$I$34,IF(AB734&lt;='3.4 Fi&amp;Fo'!$F$35,'3.4 Fi&amp;Fo'!$I$35,IF(AB734&lt;='3.4 Fi&amp;Fo'!$F$38,'3.4 Fi&amp;Fo'!$I$38,IF(AB734&lt;='3.4 Fi&amp;Fo'!$F$39,'3.4 Fi&amp;Fo'!$I$39,IF(AB734&lt;='3.4 Fi&amp;Fo'!$F$40,'3.4 Fi&amp;Fo'!$I$40))))))</f>
        <v>45796.285677920379</v>
      </c>
      <c r="AI734" s="203">
        <f t="shared" si="547"/>
        <v>13.884322079626145</v>
      </c>
      <c r="AJ734" s="204">
        <f t="shared" si="548"/>
        <v>1831837.5427947354</v>
      </c>
      <c r="AK734" s="312">
        <f t="shared" ca="1" si="549"/>
        <v>-118182.22510707662</v>
      </c>
      <c r="AL734" s="169">
        <f>IF(AB734&lt;='3.4 Fi&amp;Fo'!$J$15,'3.4 Fi&amp;Fo'!$I$15,0)</f>
        <v>0</v>
      </c>
      <c r="AM734" s="169">
        <f t="shared" si="561"/>
        <v>25105.170152122388</v>
      </c>
      <c r="AN734" s="838">
        <f t="shared" si="566"/>
        <v>7</v>
      </c>
      <c r="AO734" s="844">
        <f t="shared" ca="1" si="550"/>
        <v>118182.22510707662</v>
      </c>
      <c r="AP734" s="839">
        <f ca="1">BU832</f>
        <v>0</v>
      </c>
      <c r="AQ734" s="844">
        <f t="shared" si="551"/>
        <v>0</v>
      </c>
      <c r="AR734" s="839">
        <f t="shared" ca="1" si="567"/>
        <v>0</v>
      </c>
      <c r="AS734" s="839">
        <f t="shared" ca="1" si="562"/>
        <v>8238.7525678910715</v>
      </c>
      <c r="AT734" s="839">
        <f t="shared" ca="1" si="563"/>
        <v>9961.5886332104001</v>
      </c>
      <c r="AU734" s="839">
        <f ca="1">'PV-Einspeisung'!AA215*-1</f>
        <v>0</v>
      </c>
      <c r="AV734" s="839">
        <f ca="1">'PV-Einspeisung'!AE215*-1</f>
        <v>0</v>
      </c>
      <c r="AW734" s="839"/>
      <c r="AX734" s="839">
        <f t="shared" ca="1" si="568"/>
        <v>0</v>
      </c>
      <c r="AY734" s="841">
        <f t="shared" si="552"/>
        <v>7</v>
      </c>
      <c r="AZ734" s="842">
        <f t="shared" ca="1" si="569"/>
        <v>0</v>
      </c>
      <c r="BA734" s="842">
        <f t="shared" ca="1" si="570"/>
        <v>0</v>
      </c>
      <c r="BB734" s="842">
        <f t="shared" ca="1" si="571"/>
        <v>0</v>
      </c>
      <c r="BC734" s="842">
        <f t="shared" ca="1" si="572"/>
        <v>0</v>
      </c>
      <c r="BD734" s="842">
        <f t="shared" ca="1" si="573"/>
        <v>0</v>
      </c>
      <c r="BE734" s="842">
        <f t="shared" ca="1" si="574"/>
        <v>0</v>
      </c>
      <c r="BF734" s="842">
        <f t="shared" ca="1" si="575"/>
        <v>7487.6917273357312</v>
      </c>
      <c r="BG734" s="842">
        <f t="shared" ca="1" si="576"/>
        <v>2473.8969058746693</v>
      </c>
      <c r="BH734" s="858">
        <f t="shared" si="560"/>
        <v>7</v>
      </c>
      <c r="BI734" s="857">
        <f t="shared" ca="1" si="577"/>
        <v>3295.8090055710454</v>
      </c>
      <c r="BJ734" s="857">
        <f t="shared" ca="1" si="578"/>
        <v>4942.9435623200252</v>
      </c>
      <c r="BK734" s="859">
        <f ca="1">'PV-Einspeisung'!AB215*-1</f>
        <v>0</v>
      </c>
      <c r="BL734" s="824">
        <f t="shared" ca="1" si="537"/>
        <v>0</v>
      </c>
      <c r="BM734" s="824">
        <f t="shared" ca="1" si="538"/>
        <v>0</v>
      </c>
      <c r="BN734" s="824">
        <f t="shared" ca="1" si="539"/>
        <v>0</v>
      </c>
      <c r="BO734" s="824">
        <f t="shared" ca="1" si="543"/>
        <v>0</v>
      </c>
      <c r="BP734" s="824">
        <f t="shared" ca="1" si="543"/>
        <v>0</v>
      </c>
      <c r="BQ734" s="824">
        <f t="shared" ca="1" si="543"/>
        <v>0</v>
      </c>
      <c r="BR734" s="824">
        <f t="shared" ca="1" si="543"/>
        <v>0</v>
      </c>
      <c r="BS734" s="824">
        <f t="shared" ca="1" si="543"/>
        <v>0</v>
      </c>
      <c r="BT734" s="824">
        <f t="shared" ca="1" si="543"/>
        <v>0</v>
      </c>
      <c r="BU734" s="824">
        <f t="shared" ca="1" si="543"/>
        <v>0</v>
      </c>
      <c r="BV734" s="824">
        <f t="shared" ca="1" si="543"/>
        <v>0</v>
      </c>
      <c r="BW734" s="824">
        <f t="shared" ca="1" si="543"/>
        <v>0</v>
      </c>
      <c r="BX734" s="824">
        <f t="shared" ca="1" si="543"/>
        <v>0</v>
      </c>
      <c r="BY734" s="824">
        <f t="shared" ca="1" si="543"/>
        <v>0</v>
      </c>
      <c r="BZ734" s="824">
        <f t="shared" ca="1" si="543"/>
        <v>0</v>
      </c>
      <c r="CA734" s="824">
        <f t="shared" ca="1" si="543"/>
        <v>0</v>
      </c>
      <c r="CB734" s="824">
        <f t="shared" ca="1" si="543"/>
        <v>0</v>
      </c>
      <c r="CC734" s="824">
        <f t="shared" ca="1" si="543"/>
        <v>0</v>
      </c>
      <c r="CD734" s="824">
        <f t="shared" ca="1" si="543"/>
        <v>0</v>
      </c>
      <c r="CE734" s="824">
        <f t="shared" ca="1" si="579"/>
        <v>0</v>
      </c>
      <c r="CF734" s="824">
        <f t="shared" ca="1" si="579"/>
        <v>0</v>
      </c>
      <c r="CG734" s="824">
        <f t="shared" ca="1" si="579"/>
        <v>0</v>
      </c>
      <c r="CH734" s="824">
        <f t="shared" ca="1" si="579"/>
        <v>0</v>
      </c>
      <c r="CI734" s="824">
        <f t="shared" ca="1" si="579"/>
        <v>0</v>
      </c>
      <c r="CJ734" s="824">
        <f t="shared" ca="1" si="579"/>
        <v>0</v>
      </c>
      <c r="CK734" s="824">
        <f t="shared" ca="1" si="579"/>
        <v>0</v>
      </c>
      <c r="CL734" s="824">
        <f t="shared" ca="1" si="579"/>
        <v>0</v>
      </c>
      <c r="CM734" s="824">
        <f t="shared" ca="1" si="579"/>
        <v>0</v>
      </c>
      <c r="CN734" s="824">
        <f t="shared" ca="1" si="579"/>
        <v>0</v>
      </c>
      <c r="CO734" s="824">
        <f t="shared" ca="1" si="579"/>
        <v>0</v>
      </c>
      <c r="CP734" s="824">
        <f t="shared" ca="1" si="579"/>
        <v>0</v>
      </c>
      <c r="CQ734" s="824">
        <f t="shared" ca="1" si="579"/>
        <v>0</v>
      </c>
      <c r="CR734" s="824">
        <f t="shared" ca="1" si="579"/>
        <v>0</v>
      </c>
      <c r="CS734" s="824">
        <f t="shared" ca="1" si="579"/>
        <v>0</v>
      </c>
      <c r="CT734" s="824">
        <f t="shared" ca="1" si="579"/>
        <v>0</v>
      </c>
      <c r="CU734" s="824">
        <f t="shared" ca="1" si="564"/>
        <v>0</v>
      </c>
      <c r="CV734" s="824">
        <f t="shared" ca="1" si="564"/>
        <v>0</v>
      </c>
      <c r="CW734" s="824">
        <f t="shared" ca="1" si="564"/>
        <v>0</v>
      </c>
      <c r="CX734" s="824">
        <f t="shared" ca="1" si="564"/>
        <v>0</v>
      </c>
      <c r="CY734" s="824">
        <f t="shared" ca="1" si="564"/>
        <v>0</v>
      </c>
      <c r="CZ734" s="824">
        <f t="shared" ca="1" si="564"/>
        <v>0</v>
      </c>
      <c r="DA734" s="824">
        <f t="shared" ca="1" si="565"/>
        <v>0</v>
      </c>
      <c r="DB734" s="824">
        <f t="shared" ca="1" si="565"/>
        <v>0</v>
      </c>
      <c r="DC734" s="824">
        <f t="shared" ca="1" si="565"/>
        <v>0</v>
      </c>
      <c r="DD734" s="824">
        <f t="shared" ca="1" si="565"/>
        <v>0</v>
      </c>
      <c r="DE734" s="824">
        <f t="shared" ca="1" si="565"/>
        <v>0</v>
      </c>
      <c r="DF734" s="824">
        <f t="shared" ca="1" si="565"/>
        <v>0</v>
      </c>
      <c r="DG734" s="824">
        <f t="shared" ca="1" si="565"/>
        <v>0</v>
      </c>
      <c r="DH734" s="824">
        <f t="shared" ca="1" si="565"/>
        <v>0</v>
      </c>
      <c r="DI734" s="824">
        <f t="shared" ca="1" si="565"/>
        <v>0</v>
      </c>
      <c r="DJ734" s="824">
        <f t="shared" ca="1" si="565"/>
        <v>0</v>
      </c>
      <c r="DK734" s="824">
        <f t="shared" ca="1" si="565"/>
        <v>0</v>
      </c>
      <c r="DL734" s="824">
        <f t="shared" ca="1" si="565"/>
        <v>0</v>
      </c>
    </row>
    <row r="735" spans="2:116" ht="12" thickBot="1" x14ac:dyDescent="0.3">
      <c r="B735" s="1673"/>
      <c r="C735" s="1680"/>
      <c r="D735" s="15" t="s">
        <v>127</v>
      </c>
      <c r="E735" s="116"/>
      <c r="F735" s="116">
        <f ca="1">SUBTOTAL(109,'3.4 I&amp;W'!$X$58)</f>
        <v>0</v>
      </c>
      <c r="G735" s="116">
        <f ca="1">SUBTOTAL(109,'3.4 I&amp;W'!$Y$58)</f>
        <v>0</v>
      </c>
      <c r="H735" s="116">
        <f ca="1">SUBTOTAL(109,'3.4 I&amp;W'!$AD$58)</f>
        <v>0</v>
      </c>
      <c r="I735" s="116">
        <f ca="1">SUBTOTAL(109,'3.4 I&amp;W'!$AE$58)</f>
        <v>0</v>
      </c>
      <c r="J735" s="116"/>
      <c r="K735" s="116"/>
      <c r="L735" s="116"/>
      <c r="M735" s="116">
        <f ca="1">SUBTOTAL(109,'3.4 I&amp;W'!$AI$58)</f>
        <v>0</v>
      </c>
      <c r="N735" s="156">
        <f t="shared" ca="1" si="541"/>
        <v>0</v>
      </c>
      <c r="O735" s="116">
        <f ca="1">SUBTOTAL(109,'3.4 I&amp;W'!$S$58)</f>
        <v>0</v>
      </c>
      <c r="P735" s="30">
        <f t="shared" ca="1" si="544"/>
        <v>0</v>
      </c>
      <c r="Q735" s="31">
        <f t="shared" ca="1" si="531"/>
        <v>0</v>
      </c>
      <c r="R735" s="31">
        <f t="shared" ca="1" si="532"/>
        <v>0</v>
      </c>
      <c r="S735" s="31">
        <f t="shared" ca="1" si="533"/>
        <v>0</v>
      </c>
      <c r="T735" s="32">
        <f t="shared" ca="1" si="534"/>
        <v>0</v>
      </c>
      <c r="U735" s="37">
        <f t="shared" ca="1" si="542"/>
        <v>0</v>
      </c>
      <c r="V735" s="40">
        <f t="shared" ca="1" si="535"/>
        <v>0</v>
      </c>
      <c r="W735" s="41">
        <f t="shared" ca="1" si="536"/>
        <v>0</v>
      </c>
      <c r="X735" s="43"/>
      <c r="Y735" s="46"/>
      <c r="Z735" s="126"/>
      <c r="AA735" s="136"/>
      <c r="AB735" s="131">
        <v>8</v>
      </c>
      <c r="AC735" s="168">
        <f ca="1">IF(AF734&lt;=1,0,'3.4 Fi&amp;Fo'!$I$25)</f>
        <v>47266.884954954228</v>
      </c>
      <c r="AD735" s="169">
        <f ca="1">IF(AF734&lt;=1,0,AF734*'3.4 Fi&amp;Fo'!$H$25)</f>
        <v>20117.989042227167</v>
      </c>
      <c r="AE735" s="169">
        <f t="shared" ca="1" si="545"/>
        <v>27148.895912727061</v>
      </c>
      <c r="AF735" s="170">
        <f t="shared" ca="1" si="546"/>
        <v>978750.55619863118</v>
      </c>
      <c r="AG735" s="168">
        <f>IF(AJ734&lt;=1,0,IF(AB735&lt;='3.4 Fi&amp;Fo'!$F$34,'3.4 Fi&amp;Fo'!$J$34,IF(AB735&lt;='3.4 Fi&amp;Fo'!$F$35,'3.4 Fi&amp;Fo'!$J$35,IF(AB735&lt;='3.4 Fi&amp;Fo'!$F$36,'3.4 Fi&amp;Fo'!$J$36,IF(AB735&lt;='3.4 Fi&amp;Fo'!$F$37,'3.4 Fi&amp;Fo'!$J$37,IF(AB735&lt;='3.4 Fi&amp;Fo'!$F$38,'3.4 Fi&amp;Fo'!$J$38,IF(AB735&lt;='3.4 Fi&amp;Fo'!$F$39,'3.4 Fi&amp;Fo'!$J$39,IF(AB735&lt;='3.4 Fi&amp;Fo'!$F$40,'3.4 Fi&amp;Fo'!$J$40))))))))</f>
        <v>45810.170000000006</v>
      </c>
      <c r="AH735" s="203">
        <f>IF(AJ734&lt;=1,0,AJ734*IF(AB735&lt;='3.4 Fi&amp;Fo'!$F$34,'3.4 Fi&amp;Fo'!$I$34,IF(AB735&lt;='3.4 Fi&amp;Fo'!$F$35,'3.4 Fi&amp;Fo'!$I$35,IF(AB735&lt;='3.4 Fi&amp;Fo'!$F$38,'3.4 Fi&amp;Fo'!$I$38,IF(AB735&lt;='3.4 Fi&amp;Fo'!$F$39,'3.4 Fi&amp;Fo'!$I$39,IF(AB735&lt;='3.4 Fi&amp;Fo'!$F$40,'3.4 Fi&amp;Fo'!$I$40))))))</f>
        <v>45795.938569868391</v>
      </c>
      <c r="AI735" s="203">
        <f t="shared" si="547"/>
        <v>14.231430131614616</v>
      </c>
      <c r="AJ735" s="204">
        <f t="shared" si="548"/>
        <v>1831823.3113646037</v>
      </c>
      <c r="AK735" s="312">
        <f t="shared" ca="1" si="549"/>
        <v>-118684.32851011962</v>
      </c>
      <c r="AL735" s="169">
        <f>IF(AB735&lt;='3.4 Fi&amp;Fo'!$J$15,'3.4 Fi&amp;Fo'!$I$15,0)</f>
        <v>0</v>
      </c>
      <c r="AM735" s="169">
        <f t="shared" si="561"/>
        <v>25607.27355516539</v>
      </c>
      <c r="AN735" s="838">
        <f t="shared" si="566"/>
        <v>8</v>
      </c>
      <c r="AO735" s="844">
        <f t="shared" ca="1" si="550"/>
        <v>118684.32851011962</v>
      </c>
      <c r="AP735" s="839">
        <f ca="1">BV832</f>
        <v>0</v>
      </c>
      <c r="AQ735" s="844">
        <f t="shared" si="551"/>
        <v>0</v>
      </c>
      <c r="AR735" s="839">
        <f t="shared" ca="1" si="567"/>
        <v>0</v>
      </c>
      <c r="AS735" s="839">
        <f t="shared" ca="1" si="562"/>
        <v>8370.572608977327</v>
      </c>
      <c r="AT735" s="839">
        <f t="shared" ca="1" si="563"/>
        <v>10235.367318099406</v>
      </c>
      <c r="AU735" s="839">
        <f ca="1">'PV-Einspeisung'!AA216*-1</f>
        <v>0</v>
      </c>
      <c r="AV735" s="839">
        <f ca="1">'PV-Einspeisung'!AE216*-1</f>
        <v>0</v>
      </c>
      <c r="AW735" s="839"/>
      <c r="AX735" s="839">
        <f t="shared" ca="1" si="568"/>
        <v>0</v>
      </c>
      <c r="AY735" s="841">
        <f t="shared" si="552"/>
        <v>8</v>
      </c>
      <c r="AZ735" s="842">
        <f t="shared" ca="1" si="569"/>
        <v>0</v>
      </c>
      <c r="BA735" s="842">
        <f t="shared" ca="1" si="570"/>
        <v>0</v>
      </c>
      <c r="BB735" s="842">
        <f t="shared" ca="1" si="571"/>
        <v>0</v>
      </c>
      <c r="BC735" s="842">
        <f t="shared" ca="1" si="572"/>
        <v>0</v>
      </c>
      <c r="BD735" s="842">
        <f t="shared" ca="1" si="573"/>
        <v>0</v>
      </c>
      <c r="BE735" s="842">
        <f t="shared" ca="1" si="574"/>
        <v>0</v>
      </c>
      <c r="BF735" s="842">
        <f t="shared" ca="1" si="575"/>
        <v>7674.8840205191236</v>
      </c>
      <c r="BG735" s="842">
        <f t="shared" ca="1" si="576"/>
        <v>2560.4832975802824</v>
      </c>
      <c r="BH735" s="858">
        <f t="shared" si="560"/>
        <v>8</v>
      </c>
      <c r="BI735" s="857">
        <f t="shared" ca="1" si="577"/>
        <v>3348.5419496601821</v>
      </c>
      <c r="BJ735" s="857">
        <f t="shared" ca="1" si="578"/>
        <v>5022.0306593171454</v>
      </c>
      <c r="BK735" s="859">
        <f ca="1">'PV-Einspeisung'!AB216*-1</f>
        <v>0</v>
      </c>
      <c r="BL735" s="824">
        <f t="shared" ca="1" si="537"/>
        <v>0</v>
      </c>
      <c r="BM735" s="824">
        <f t="shared" ca="1" si="538"/>
        <v>0</v>
      </c>
      <c r="BN735" s="824">
        <f t="shared" ca="1" si="539"/>
        <v>0</v>
      </c>
      <c r="BO735" s="824">
        <f t="shared" ca="1" si="543"/>
        <v>0</v>
      </c>
      <c r="BP735" s="824">
        <f t="shared" ca="1" si="543"/>
        <v>0</v>
      </c>
      <c r="BQ735" s="824">
        <f t="shared" ca="1" si="543"/>
        <v>0</v>
      </c>
      <c r="BR735" s="824">
        <f t="shared" ca="1" si="543"/>
        <v>0</v>
      </c>
      <c r="BS735" s="824">
        <f t="shared" ca="1" si="543"/>
        <v>0</v>
      </c>
      <c r="BT735" s="824">
        <f t="shared" ca="1" si="543"/>
        <v>0</v>
      </c>
      <c r="BU735" s="824">
        <f t="shared" ca="1" si="543"/>
        <v>0</v>
      </c>
      <c r="BV735" s="824">
        <f t="shared" ca="1" si="543"/>
        <v>0</v>
      </c>
      <c r="BW735" s="824">
        <f t="shared" ca="1" si="543"/>
        <v>0</v>
      </c>
      <c r="BX735" s="824">
        <f t="shared" ca="1" si="543"/>
        <v>0</v>
      </c>
      <c r="BY735" s="824">
        <f t="shared" ca="1" si="543"/>
        <v>0</v>
      </c>
      <c r="BZ735" s="824">
        <f t="shared" ca="1" si="543"/>
        <v>0</v>
      </c>
      <c r="CA735" s="824">
        <f t="shared" ca="1" si="543"/>
        <v>0</v>
      </c>
      <c r="CB735" s="824">
        <f t="shared" ca="1" si="543"/>
        <v>0</v>
      </c>
      <c r="CC735" s="824">
        <f t="shared" ca="1" si="543"/>
        <v>0</v>
      </c>
      <c r="CD735" s="824">
        <f t="shared" ca="1" si="543"/>
        <v>0</v>
      </c>
      <c r="CE735" s="824">
        <f t="shared" ca="1" si="579"/>
        <v>0</v>
      </c>
      <c r="CF735" s="824">
        <f t="shared" ca="1" si="579"/>
        <v>0</v>
      </c>
      <c r="CG735" s="824">
        <f t="shared" ca="1" si="579"/>
        <v>0</v>
      </c>
      <c r="CH735" s="824">
        <f t="shared" ca="1" si="579"/>
        <v>0</v>
      </c>
      <c r="CI735" s="824">
        <f t="shared" ca="1" si="579"/>
        <v>0</v>
      </c>
      <c r="CJ735" s="824">
        <f t="shared" ca="1" si="579"/>
        <v>0</v>
      </c>
      <c r="CK735" s="824">
        <f t="shared" ca="1" si="579"/>
        <v>0</v>
      </c>
      <c r="CL735" s="824">
        <f t="shared" ca="1" si="579"/>
        <v>0</v>
      </c>
      <c r="CM735" s="824">
        <f t="shared" ca="1" si="579"/>
        <v>0</v>
      </c>
      <c r="CN735" s="824">
        <f t="shared" ca="1" si="579"/>
        <v>0</v>
      </c>
      <c r="CO735" s="824">
        <f t="shared" ca="1" si="579"/>
        <v>0</v>
      </c>
      <c r="CP735" s="824">
        <f t="shared" ca="1" si="579"/>
        <v>0</v>
      </c>
      <c r="CQ735" s="824">
        <f t="shared" ca="1" si="579"/>
        <v>0</v>
      </c>
      <c r="CR735" s="824">
        <f t="shared" ca="1" si="579"/>
        <v>0</v>
      </c>
      <c r="CS735" s="824">
        <f t="shared" ca="1" si="579"/>
        <v>0</v>
      </c>
      <c r="CT735" s="824">
        <f t="shared" ca="1" si="579"/>
        <v>0</v>
      </c>
      <c r="CU735" s="824">
        <f t="shared" ca="1" si="564"/>
        <v>0</v>
      </c>
      <c r="CV735" s="824">
        <f t="shared" ca="1" si="564"/>
        <v>0</v>
      </c>
      <c r="CW735" s="824">
        <f t="shared" ca="1" si="564"/>
        <v>0</v>
      </c>
      <c r="CX735" s="824">
        <f t="shared" ca="1" si="564"/>
        <v>0</v>
      </c>
      <c r="CY735" s="824">
        <f t="shared" ca="1" si="564"/>
        <v>0</v>
      </c>
      <c r="CZ735" s="824">
        <f t="shared" ca="1" si="564"/>
        <v>0</v>
      </c>
      <c r="DA735" s="824">
        <f t="shared" ca="1" si="565"/>
        <v>0</v>
      </c>
      <c r="DB735" s="824">
        <f t="shared" ca="1" si="565"/>
        <v>0</v>
      </c>
      <c r="DC735" s="824">
        <f t="shared" ca="1" si="565"/>
        <v>0</v>
      </c>
      <c r="DD735" s="824">
        <f t="shared" ca="1" si="565"/>
        <v>0</v>
      </c>
      <c r="DE735" s="824">
        <f t="shared" ca="1" si="565"/>
        <v>0</v>
      </c>
      <c r="DF735" s="824">
        <f t="shared" ca="1" si="565"/>
        <v>0</v>
      </c>
      <c r="DG735" s="824">
        <f t="shared" ca="1" si="565"/>
        <v>0</v>
      </c>
      <c r="DH735" s="824">
        <f t="shared" ca="1" si="565"/>
        <v>0</v>
      </c>
      <c r="DI735" s="824">
        <f t="shared" ca="1" si="565"/>
        <v>0</v>
      </c>
      <c r="DJ735" s="824">
        <f t="shared" ca="1" si="565"/>
        <v>0</v>
      </c>
      <c r="DK735" s="824">
        <f t="shared" ca="1" si="565"/>
        <v>0</v>
      </c>
      <c r="DL735" s="824">
        <f t="shared" ca="1" si="565"/>
        <v>0</v>
      </c>
    </row>
    <row r="736" spans="2:116" ht="12" thickBot="1" x14ac:dyDescent="0.3">
      <c r="B736" s="1673"/>
      <c r="C736" s="1680"/>
      <c r="D736" s="15" t="s">
        <v>128</v>
      </c>
      <c r="E736" s="165"/>
      <c r="F736" s="116">
        <f ca="1">SUBTOTAL(109,'3.4 I&amp;W'!$X$61)</f>
        <v>0</v>
      </c>
      <c r="G736" s="116">
        <f ca="1">SUBTOTAL(109,'3.4 I&amp;W'!$Y$61)</f>
        <v>0</v>
      </c>
      <c r="H736" s="116">
        <f ca="1">SUBTOTAL(109,'3.4 I&amp;W'!$AD$61)</f>
        <v>0</v>
      </c>
      <c r="I736" s="116">
        <f ca="1">SUBTOTAL(109,'3.4 I&amp;W'!$AE$61)</f>
        <v>0</v>
      </c>
      <c r="J736" s="116"/>
      <c r="K736" s="116"/>
      <c r="L736" s="116"/>
      <c r="M736" s="116">
        <f ca="1">SUBTOTAL(109,'3.4 I&amp;W'!$AI$61)</f>
        <v>0</v>
      </c>
      <c r="N736" s="156">
        <f t="shared" ca="1" si="541"/>
        <v>0</v>
      </c>
      <c r="O736" s="116">
        <f ca="1">SUBTOTAL(109,'3.4 I&amp;W'!$S$61)</f>
        <v>0</v>
      </c>
      <c r="P736" s="30">
        <f t="shared" ca="1" si="544"/>
        <v>0</v>
      </c>
      <c r="Q736" s="31">
        <f t="shared" ca="1" si="531"/>
        <v>0</v>
      </c>
      <c r="R736" s="31">
        <f t="shared" ca="1" si="532"/>
        <v>0</v>
      </c>
      <c r="S736" s="31">
        <f t="shared" ca="1" si="533"/>
        <v>0</v>
      </c>
      <c r="T736" s="32">
        <f t="shared" ca="1" si="534"/>
        <v>0</v>
      </c>
      <c r="U736" s="37">
        <f t="shared" ca="1" si="542"/>
        <v>0</v>
      </c>
      <c r="V736" s="40">
        <f t="shared" ca="1" si="535"/>
        <v>0</v>
      </c>
      <c r="W736" s="41">
        <f t="shared" ca="1" si="536"/>
        <v>0</v>
      </c>
      <c r="X736" s="43"/>
      <c r="Y736" s="46"/>
      <c r="Z736" s="126"/>
      <c r="AA736" s="136"/>
      <c r="AB736" s="131">
        <v>9</v>
      </c>
      <c r="AC736" s="168">
        <f ca="1">IF(AF735&lt;=1,0,'3.4 Fi&amp;Fo'!$I$25)</f>
        <v>47266.884954954228</v>
      </c>
      <c r="AD736" s="169">
        <f ca="1">IF(AF735&lt;=1,0,AF735*'3.4 Fi&amp;Fo'!$H$25)</f>
        <v>19575.011123972625</v>
      </c>
      <c r="AE736" s="169">
        <f t="shared" ca="1" si="545"/>
        <v>27691.873830981604</v>
      </c>
      <c r="AF736" s="170">
        <f t="shared" ca="1" si="546"/>
        <v>951058.68236764963</v>
      </c>
      <c r="AG736" s="168">
        <f>IF(AJ735&lt;=1,0,IF(AB736&lt;='3.4 Fi&amp;Fo'!$F$34,'3.4 Fi&amp;Fo'!$J$34,IF(AB736&lt;='3.4 Fi&amp;Fo'!$F$35,'3.4 Fi&amp;Fo'!$J$35,IF(AB736&lt;='3.4 Fi&amp;Fo'!$F$36,'3.4 Fi&amp;Fo'!$J$36,IF(AB736&lt;='3.4 Fi&amp;Fo'!$F$37,'3.4 Fi&amp;Fo'!$J$37,IF(AB736&lt;='3.4 Fi&amp;Fo'!$F$38,'3.4 Fi&amp;Fo'!$J$38,IF(AB736&lt;='3.4 Fi&amp;Fo'!$F$39,'3.4 Fi&amp;Fo'!$J$39,IF(AB736&lt;='3.4 Fi&amp;Fo'!$F$40,'3.4 Fi&amp;Fo'!$J$40))))))))</f>
        <v>45810.170000000006</v>
      </c>
      <c r="AH736" s="203">
        <f>IF(AJ735&lt;=1,0,AJ735*IF(AB736&lt;='3.4 Fi&amp;Fo'!$F$34,'3.4 Fi&amp;Fo'!$I$34,IF(AB736&lt;='3.4 Fi&amp;Fo'!$F$35,'3.4 Fi&amp;Fo'!$I$35,IF(AB736&lt;='3.4 Fi&amp;Fo'!$F$38,'3.4 Fi&amp;Fo'!$I$38,IF(AB736&lt;='3.4 Fi&amp;Fo'!$F$39,'3.4 Fi&amp;Fo'!$I$39,IF(AB736&lt;='3.4 Fi&amp;Fo'!$F$40,'3.4 Fi&amp;Fo'!$I$40))))))</f>
        <v>45795.582784115097</v>
      </c>
      <c r="AI736" s="203">
        <f t="shared" si="547"/>
        <v>14.587215884908801</v>
      </c>
      <c r="AJ736" s="204">
        <f t="shared" si="548"/>
        <v>1831808.7241487189</v>
      </c>
      <c r="AK736" s="312">
        <f t="shared" ca="1" si="549"/>
        <v>-119196.47398122288</v>
      </c>
      <c r="AL736" s="169">
        <f>IF(AB736&lt;='3.4 Fi&amp;Fo'!$J$15,'3.4 Fi&amp;Fo'!$I$15,0)</f>
        <v>0</v>
      </c>
      <c r="AM736" s="169">
        <f t="shared" si="561"/>
        <v>26119.419026268646</v>
      </c>
      <c r="AN736" s="838">
        <f t="shared" si="566"/>
        <v>9</v>
      </c>
      <c r="AO736" s="844">
        <f t="shared" ca="1" si="550"/>
        <v>119196.47398122288</v>
      </c>
      <c r="AP736" s="839">
        <f ca="1">BW832</f>
        <v>0</v>
      </c>
      <c r="AQ736" s="844">
        <f t="shared" si="551"/>
        <v>0</v>
      </c>
      <c r="AR736" s="839">
        <f t="shared" ca="1" si="567"/>
        <v>0</v>
      </c>
      <c r="AS736" s="839">
        <f t="shared" ca="1" si="562"/>
        <v>8504.5017707209645</v>
      </c>
      <c r="AT736" s="839">
        <f t="shared" ca="1" si="563"/>
        <v>10516.856334027692</v>
      </c>
      <c r="AU736" s="839">
        <f ca="1">'PV-Einspeisung'!AA217*-1</f>
        <v>0</v>
      </c>
      <c r="AV736" s="839">
        <f ca="1">'PV-Einspeisung'!AE217*-1</f>
        <v>0</v>
      </c>
      <c r="AW736" s="839"/>
      <c r="AX736" s="839">
        <f t="shared" ca="1" si="568"/>
        <v>0</v>
      </c>
      <c r="AY736" s="841">
        <f t="shared" si="552"/>
        <v>9</v>
      </c>
      <c r="AZ736" s="842">
        <f t="shared" ca="1" si="569"/>
        <v>0</v>
      </c>
      <c r="BA736" s="842">
        <f t="shared" ca="1" si="570"/>
        <v>0</v>
      </c>
      <c r="BB736" s="842">
        <f t="shared" ca="1" si="571"/>
        <v>0</v>
      </c>
      <c r="BC736" s="842">
        <f t="shared" ca="1" si="572"/>
        <v>0</v>
      </c>
      <c r="BD736" s="842">
        <f t="shared" ca="1" si="573"/>
        <v>0</v>
      </c>
      <c r="BE736" s="842">
        <f t="shared" ca="1" si="574"/>
        <v>0</v>
      </c>
      <c r="BF736" s="842">
        <f t="shared" ca="1" si="575"/>
        <v>7866.756121032101</v>
      </c>
      <c r="BG736" s="842">
        <f t="shared" ca="1" si="576"/>
        <v>2650.1002129955923</v>
      </c>
      <c r="BH736" s="858">
        <f t="shared" si="560"/>
        <v>9</v>
      </c>
      <c r="BI736" s="857">
        <f t="shared" ca="1" si="577"/>
        <v>3402.1186208547451</v>
      </c>
      <c r="BJ736" s="857">
        <f t="shared" ca="1" si="578"/>
        <v>5102.3831498662194</v>
      </c>
      <c r="BK736" s="859">
        <f ca="1">'PV-Einspeisung'!AB217*-1</f>
        <v>0</v>
      </c>
      <c r="BL736" s="824">
        <f t="shared" ca="1" si="537"/>
        <v>0</v>
      </c>
      <c r="BM736" s="824">
        <f t="shared" ca="1" si="538"/>
        <v>0</v>
      </c>
      <c r="BN736" s="824">
        <f t="shared" ca="1" si="539"/>
        <v>0</v>
      </c>
      <c r="BO736" s="824">
        <f t="shared" ca="1" si="543"/>
        <v>0</v>
      </c>
      <c r="BP736" s="824">
        <f t="shared" ca="1" si="543"/>
        <v>0</v>
      </c>
      <c r="BQ736" s="824">
        <f t="shared" ca="1" si="543"/>
        <v>0</v>
      </c>
      <c r="BR736" s="824">
        <f t="shared" ca="1" si="543"/>
        <v>0</v>
      </c>
      <c r="BS736" s="824">
        <f t="shared" ca="1" si="543"/>
        <v>0</v>
      </c>
      <c r="BT736" s="824">
        <f t="shared" ca="1" si="543"/>
        <v>0</v>
      </c>
      <c r="BU736" s="824">
        <f t="shared" ca="1" si="543"/>
        <v>0</v>
      </c>
      <c r="BV736" s="824">
        <f t="shared" ca="1" si="543"/>
        <v>0</v>
      </c>
      <c r="BW736" s="824">
        <f t="shared" ca="1" si="543"/>
        <v>0</v>
      </c>
      <c r="BX736" s="824">
        <f t="shared" ca="1" si="543"/>
        <v>0</v>
      </c>
      <c r="BY736" s="824">
        <f t="shared" ca="1" si="543"/>
        <v>0</v>
      </c>
      <c r="BZ736" s="824">
        <f t="shared" ca="1" si="543"/>
        <v>0</v>
      </c>
      <c r="CA736" s="824">
        <f t="shared" ca="1" si="543"/>
        <v>0</v>
      </c>
      <c r="CB736" s="824">
        <f t="shared" ca="1" si="543"/>
        <v>0</v>
      </c>
      <c r="CC736" s="824">
        <f t="shared" ca="1" si="543"/>
        <v>0</v>
      </c>
      <c r="CD736" s="824">
        <f t="shared" ca="1" si="543"/>
        <v>0</v>
      </c>
      <c r="CE736" s="824">
        <f t="shared" ca="1" si="579"/>
        <v>0</v>
      </c>
      <c r="CF736" s="824">
        <f t="shared" ca="1" si="579"/>
        <v>0</v>
      </c>
      <c r="CG736" s="824">
        <f t="shared" ca="1" si="579"/>
        <v>0</v>
      </c>
      <c r="CH736" s="824">
        <f t="shared" ca="1" si="579"/>
        <v>0</v>
      </c>
      <c r="CI736" s="824">
        <f t="shared" ca="1" si="579"/>
        <v>0</v>
      </c>
      <c r="CJ736" s="824">
        <f t="shared" ca="1" si="579"/>
        <v>0</v>
      </c>
      <c r="CK736" s="824">
        <f t="shared" ca="1" si="579"/>
        <v>0</v>
      </c>
      <c r="CL736" s="824">
        <f t="shared" ca="1" si="579"/>
        <v>0</v>
      </c>
      <c r="CM736" s="824">
        <f t="shared" ca="1" si="579"/>
        <v>0</v>
      </c>
      <c r="CN736" s="824">
        <f t="shared" ca="1" si="579"/>
        <v>0</v>
      </c>
      <c r="CO736" s="824">
        <f t="shared" ca="1" si="579"/>
        <v>0</v>
      </c>
      <c r="CP736" s="824">
        <f t="shared" ca="1" si="579"/>
        <v>0</v>
      </c>
      <c r="CQ736" s="824">
        <f t="shared" ca="1" si="579"/>
        <v>0</v>
      </c>
      <c r="CR736" s="824">
        <f t="shared" ca="1" si="579"/>
        <v>0</v>
      </c>
      <c r="CS736" s="824">
        <f t="shared" ca="1" si="579"/>
        <v>0</v>
      </c>
      <c r="CT736" s="824">
        <f t="shared" ca="1" si="579"/>
        <v>0</v>
      </c>
      <c r="CU736" s="824">
        <f t="shared" ca="1" si="564"/>
        <v>0</v>
      </c>
      <c r="CV736" s="824">
        <f t="shared" ca="1" si="564"/>
        <v>0</v>
      </c>
      <c r="CW736" s="824">
        <f t="shared" ca="1" si="564"/>
        <v>0</v>
      </c>
      <c r="CX736" s="824">
        <f t="shared" ca="1" si="564"/>
        <v>0</v>
      </c>
      <c r="CY736" s="824">
        <f t="shared" ca="1" si="564"/>
        <v>0</v>
      </c>
      <c r="CZ736" s="824">
        <f t="shared" ca="1" si="564"/>
        <v>0</v>
      </c>
      <c r="DA736" s="824">
        <f t="shared" ca="1" si="565"/>
        <v>0</v>
      </c>
      <c r="DB736" s="824">
        <f t="shared" ca="1" si="565"/>
        <v>0</v>
      </c>
      <c r="DC736" s="824">
        <f t="shared" ca="1" si="565"/>
        <v>0</v>
      </c>
      <c r="DD736" s="824">
        <f t="shared" ca="1" si="565"/>
        <v>0</v>
      </c>
      <c r="DE736" s="824">
        <f t="shared" ca="1" si="565"/>
        <v>0</v>
      </c>
      <c r="DF736" s="824">
        <f t="shared" ca="1" si="565"/>
        <v>0</v>
      </c>
      <c r="DG736" s="824">
        <f t="shared" ca="1" si="565"/>
        <v>0</v>
      </c>
      <c r="DH736" s="824">
        <f t="shared" ca="1" si="565"/>
        <v>0</v>
      </c>
      <c r="DI736" s="824">
        <f t="shared" ca="1" si="565"/>
        <v>0</v>
      </c>
      <c r="DJ736" s="824">
        <f t="shared" ca="1" si="565"/>
        <v>0</v>
      </c>
      <c r="DK736" s="824">
        <f t="shared" ca="1" si="565"/>
        <v>0</v>
      </c>
      <c r="DL736" s="824">
        <f t="shared" ca="1" si="565"/>
        <v>0</v>
      </c>
    </row>
    <row r="737" spans="2:116" ht="12" thickBot="1" x14ac:dyDescent="0.3">
      <c r="B737" s="1673"/>
      <c r="C737" s="1680"/>
      <c r="D737" s="15" t="s">
        <v>128</v>
      </c>
      <c r="E737" s="116"/>
      <c r="F737" s="116">
        <f ca="1">SUBTOTAL(109,'3.4 I&amp;W'!$X$62)</f>
        <v>0</v>
      </c>
      <c r="G737" s="116">
        <f ca="1">SUBTOTAL(109,'3.4 I&amp;W'!$Y$62)</f>
        <v>0</v>
      </c>
      <c r="H737" s="116">
        <f ca="1">SUBTOTAL(109,'3.4 I&amp;W'!$AD$62)</f>
        <v>0</v>
      </c>
      <c r="I737" s="116">
        <f ca="1">SUBTOTAL(109,'3.4 I&amp;W'!$AE$62)</f>
        <v>0</v>
      </c>
      <c r="J737" s="116"/>
      <c r="K737" s="116"/>
      <c r="L737" s="116"/>
      <c r="M737" s="116">
        <f ca="1">SUBTOTAL(109,'3.4 I&amp;W'!$AI$62)</f>
        <v>0</v>
      </c>
      <c r="N737" s="156">
        <f t="shared" ca="1" si="541"/>
        <v>0</v>
      </c>
      <c r="O737" s="116">
        <f ca="1">SUBTOTAL(109,'3.4 I&amp;W'!$S$62)</f>
        <v>0</v>
      </c>
      <c r="P737" s="30">
        <f t="shared" ca="1" si="544"/>
        <v>0</v>
      </c>
      <c r="Q737" s="31">
        <f t="shared" ca="1" si="531"/>
        <v>0</v>
      </c>
      <c r="R737" s="31">
        <f t="shared" ca="1" si="532"/>
        <v>0</v>
      </c>
      <c r="S737" s="31">
        <f t="shared" ca="1" si="533"/>
        <v>0</v>
      </c>
      <c r="T737" s="32">
        <f t="shared" ca="1" si="534"/>
        <v>0</v>
      </c>
      <c r="U737" s="37">
        <f t="shared" ca="1" si="542"/>
        <v>0</v>
      </c>
      <c r="V737" s="40">
        <f t="shared" ca="1" si="535"/>
        <v>0</v>
      </c>
      <c r="W737" s="41">
        <f t="shared" ca="1" si="536"/>
        <v>0</v>
      </c>
      <c r="X737" s="43"/>
      <c r="Y737" s="46"/>
      <c r="Z737" s="126"/>
      <c r="AA737" s="136"/>
      <c r="AB737" s="131">
        <v>10</v>
      </c>
      <c r="AC737" s="168">
        <f ca="1">IF(AF736&lt;=1,0,'3.4 Fi&amp;Fo'!$I$25)</f>
        <v>47266.884954954228</v>
      </c>
      <c r="AD737" s="169">
        <f ca="1">IF(AF736&lt;=1,0,AF736*'3.4 Fi&amp;Fo'!$H$25)</f>
        <v>19021.173647352993</v>
      </c>
      <c r="AE737" s="169">
        <f t="shared" ca="1" si="545"/>
        <v>28245.711307601236</v>
      </c>
      <c r="AF737" s="170">
        <f t="shared" ca="1" si="546"/>
        <v>922812.97106004844</v>
      </c>
      <c r="AG737" s="168">
        <f>IF(AJ736&lt;=1,0,IF(AB737&lt;='3.4 Fi&amp;Fo'!$F$34,'3.4 Fi&amp;Fo'!$J$34,IF(AB737&lt;='3.4 Fi&amp;Fo'!$F$35,'3.4 Fi&amp;Fo'!$J$35,IF(AB737&lt;='3.4 Fi&amp;Fo'!$F$36,'3.4 Fi&amp;Fo'!$J$36,IF(AB737&lt;='3.4 Fi&amp;Fo'!$F$37,'3.4 Fi&amp;Fo'!$J$37,IF(AB737&lt;='3.4 Fi&amp;Fo'!$F$38,'3.4 Fi&amp;Fo'!$J$38,IF(AB737&lt;='3.4 Fi&amp;Fo'!$F$39,'3.4 Fi&amp;Fo'!$J$39,IF(AB737&lt;='3.4 Fi&amp;Fo'!$F$40,'3.4 Fi&amp;Fo'!$J$40))))))))</f>
        <v>45810.170000000006</v>
      </c>
      <c r="AH737" s="203">
        <f>IF(AJ736&lt;=1,0,AJ736*IF(AB737&lt;='3.4 Fi&amp;Fo'!$F$34,'3.4 Fi&amp;Fo'!$I$34,IF(AB737&lt;='3.4 Fi&amp;Fo'!$F$35,'3.4 Fi&amp;Fo'!$I$35,IF(AB737&lt;='3.4 Fi&amp;Fo'!$F$38,'3.4 Fi&amp;Fo'!$I$38,IF(AB737&lt;='3.4 Fi&amp;Fo'!$F$39,'3.4 Fi&amp;Fo'!$I$39,IF(AB737&lt;='3.4 Fi&amp;Fo'!$F$40,'3.4 Fi&amp;Fo'!$I$40))))))</f>
        <v>45795.218103717976</v>
      </c>
      <c r="AI737" s="203">
        <f t="shared" si="547"/>
        <v>14.951896282029338</v>
      </c>
      <c r="AJ737" s="204">
        <f t="shared" si="548"/>
        <v>1831793.7722524367</v>
      </c>
      <c r="AK737" s="312">
        <f t="shared" ca="1" si="549"/>
        <v>-119718.86236174805</v>
      </c>
      <c r="AL737" s="169">
        <f>IF(AB737&lt;='3.4 Fi&amp;Fo'!$J$15,'3.4 Fi&amp;Fo'!$I$15,0)</f>
        <v>0</v>
      </c>
      <c r="AM737" s="169">
        <f t="shared" si="561"/>
        <v>26641.807406793814</v>
      </c>
      <c r="AN737" s="838">
        <f t="shared" si="566"/>
        <v>10</v>
      </c>
      <c r="AO737" s="844">
        <f t="shared" ca="1" si="550"/>
        <v>119718.86236174805</v>
      </c>
      <c r="AP737" s="839">
        <f ca="1">BX832</f>
        <v>0</v>
      </c>
      <c r="AQ737" s="844">
        <f t="shared" si="551"/>
        <v>0</v>
      </c>
      <c r="AR737" s="839">
        <f t="shared" ca="1" si="567"/>
        <v>0</v>
      </c>
      <c r="AS737" s="839">
        <f t="shared" ca="1" si="562"/>
        <v>8640.5737990524995</v>
      </c>
      <c r="AT737" s="839">
        <f t="shared" ca="1" si="563"/>
        <v>10806.278744508341</v>
      </c>
      <c r="AU737" s="839">
        <f ca="1">'PV-Einspeisung'!AA218*-1</f>
        <v>0</v>
      </c>
      <c r="AV737" s="839">
        <f ca="1">'PV-Einspeisung'!AE218*-1</f>
        <v>0</v>
      </c>
      <c r="AW737" s="839"/>
      <c r="AX737" s="839">
        <f t="shared" ca="1" si="568"/>
        <v>0</v>
      </c>
      <c r="AY737" s="841">
        <f t="shared" si="552"/>
        <v>10</v>
      </c>
      <c r="AZ737" s="842">
        <f t="shared" ca="1" si="569"/>
        <v>0</v>
      </c>
      <c r="BA737" s="842">
        <f t="shared" ca="1" si="570"/>
        <v>0</v>
      </c>
      <c r="BB737" s="842">
        <f t="shared" ca="1" si="571"/>
        <v>0</v>
      </c>
      <c r="BC737" s="842">
        <f t="shared" ca="1" si="572"/>
        <v>0</v>
      </c>
      <c r="BD737" s="842">
        <f t="shared" ca="1" si="573"/>
        <v>0</v>
      </c>
      <c r="BE737" s="842">
        <f t="shared" ca="1" si="574"/>
        <v>0</v>
      </c>
      <c r="BF737" s="842">
        <f t="shared" ca="1" si="575"/>
        <v>8063.4250240579031</v>
      </c>
      <c r="BG737" s="842">
        <f t="shared" ca="1" si="576"/>
        <v>2742.8537204504378</v>
      </c>
      <c r="BH737" s="858">
        <f t="shared" si="560"/>
        <v>10</v>
      </c>
      <c r="BI737" s="857">
        <f t="shared" ca="1" si="577"/>
        <v>3456.5525187884209</v>
      </c>
      <c r="BJ737" s="857">
        <f t="shared" ca="1" si="578"/>
        <v>5184.021280264079</v>
      </c>
      <c r="BK737" s="859">
        <f ca="1">'PV-Einspeisung'!AB218*-1</f>
        <v>0</v>
      </c>
      <c r="BL737" s="824">
        <f t="shared" ca="1" si="537"/>
        <v>0</v>
      </c>
      <c r="BM737" s="824">
        <f t="shared" ca="1" si="538"/>
        <v>0</v>
      </c>
      <c r="BN737" s="824">
        <f t="shared" ca="1" si="539"/>
        <v>0</v>
      </c>
      <c r="BO737" s="824">
        <f t="shared" ca="1" si="543"/>
        <v>0</v>
      </c>
      <c r="BP737" s="824">
        <f t="shared" ca="1" si="543"/>
        <v>0</v>
      </c>
      <c r="BQ737" s="824">
        <f t="shared" ca="1" si="543"/>
        <v>0</v>
      </c>
      <c r="BR737" s="824">
        <f t="shared" ca="1" si="543"/>
        <v>0</v>
      </c>
      <c r="BS737" s="824">
        <f t="shared" ca="1" si="543"/>
        <v>0</v>
      </c>
      <c r="BT737" s="824">
        <f t="shared" ca="1" si="543"/>
        <v>0</v>
      </c>
      <c r="BU737" s="824">
        <f t="shared" ca="1" si="543"/>
        <v>0</v>
      </c>
      <c r="BV737" s="824">
        <f t="shared" ca="1" si="543"/>
        <v>0</v>
      </c>
      <c r="BW737" s="824">
        <f t="shared" ca="1" si="543"/>
        <v>0</v>
      </c>
      <c r="BX737" s="824">
        <f t="shared" ca="1" si="543"/>
        <v>0</v>
      </c>
      <c r="BY737" s="824">
        <f t="shared" ca="1" si="543"/>
        <v>0</v>
      </c>
      <c r="BZ737" s="824">
        <f t="shared" ca="1" si="543"/>
        <v>0</v>
      </c>
      <c r="CA737" s="824">
        <f t="shared" ca="1" si="543"/>
        <v>0</v>
      </c>
      <c r="CB737" s="824">
        <f t="shared" ca="1" si="543"/>
        <v>0</v>
      </c>
      <c r="CC737" s="824">
        <f t="shared" ca="1" si="543"/>
        <v>0</v>
      </c>
      <c r="CD737" s="824">
        <f t="shared" ca="1" si="543"/>
        <v>0</v>
      </c>
      <c r="CE737" s="824">
        <f t="shared" ca="1" si="579"/>
        <v>0</v>
      </c>
      <c r="CF737" s="824">
        <f t="shared" ca="1" si="579"/>
        <v>0</v>
      </c>
      <c r="CG737" s="824">
        <f t="shared" ca="1" si="579"/>
        <v>0</v>
      </c>
      <c r="CH737" s="824">
        <f t="shared" ca="1" si="579"/>
        <v>0</v>
      </c>
      <c r="CI737" s="824">
        <f t="shared" ca="1" si="579"/>
        <v>0</v>
      </c>
      <c r="CJ737" s="824">
        <f t="shared" ca="1" si="579"/>
        <v>0</v>
      </c>
      <c r="CK737" s="824">
        <f t="shared" ca="1" si="579"/>
        <v>0</v>
      </c>
      <c r="CL737" s="824">
        <f t="shared" ca="1" si="579"/>
        <v>0</v>
      </c>
      <c r="CM737" s="824">
        <f t="shared" ca="1" si="579"/>
        <v>0</v>
      </c>
      <c r="CN737" s="824">
        <f t="shared" ca="1" si="579"/>
        <v>0</v>
      </c>
      <c r="CO737" s="824">
        <f t="shared" ca="1" si="579"/>
        <v>0</v>
      </c>
      <c r="CP737" s="824">
        <f t="shared" ca="1" si="579"/>
        <v>0</v>
      </c>
      <c r="CQ737" s="824">
        <f t="shared" ca="1" si="579"/>
        <v>0</v>
      </c>
      <c r="CR737" s="824">
        <f t="shared" ca="1" si="579"/>
        <v>0</v>
      </c>
      <c r="CS737" s="824">
        <f t="shared" ca="1" si="579"/>
        <v>0</v>
      </c>
      <c r="CT737" s="824">
        <f t="shared" ca="1" si="579"/>
        <v>0</v>
      </c>
      <c r="CU737" s="824">
        <f t="shared" ca="1" si="564"/>
        <v>0</v>
      </c>
      <c r="CV737" s="824">
        <f t="shared" ca="1" si="564"/>
        <v>0</v>
      </c>
      <c r="CW737" s="824">
        <f t="shared" ca="1" si="564"/>
        <v>0</v>
      </c>
      <c r="CX737" s="824">
        <f t="shared" ca="1" si="564"/>
        <v>0</v>
      </c>
      <c r="CY737" s="824">
        <f t="shared" ca="1" si="564"/>
        <v>0</v>
      </c>
      <c r="CZ737" s="824">
        <f t="shared" ca="1" si="564"/>
        <v>0</v>
      </c>
      <c r="DA737" s="824">
        <f t="shared" ca="1" si="565"/>
        <v>0</v>
      </c>
      <c r="DB737" s="824">
        <f t="shared" ca="1" si="565"/>
        <v>0</v>
      </c>
      <c r="DC737" s="824">
        <f t="shared" ca="1" si="565"/>
        <v>0</v>
      </c>
      <c r="DD737" s="824">
        <f t="shared" ca="1" si="565"/>
        <v>0</v>
      </c>
      <c r="DE737" s="824">
        <f t="shared" ca="1" si="565"/>
        <v>0</v>
      </c>
      <c r="DF737" s="824">
        <f t="shared" ca="1" si="565"/>
        <v>0</v>
      </c>
      <c r="DG737" s="824">
        <f t="shared" ca="1" si="565"/>
        <v>0</v>
      </c>
      <c r="DH737" s="824">
        <f t="shared" ca="1" si="565"/>
        <v>0</v>
      </c>
      <c r="DI737" s="824">
        <f t="shared" ca="1" si="565"/>
        <v>0</v>
      </c>
      <c r="DJ737" s="824">
        <f t="shared" ca="1" si="565"/>
        <v>0</v>
      </c>
      <c r="DK737" s="824">
        <f t="shared" ca="1" si="565"/>
        <v>0</v>
      </c>
      <c r="DL737" s="824">
        <f t="shared" ca="1" si="565"/>
        <v>0</v>
      </c>
    </row>
    <row r="738" spans="2:116" ht="12" thickBot="1" x14ac:dyDescent="0.3">
      <c r="B738" s="1673"/>
      <c r="C738" s="1680"/>
      <c r="D738" s="15" t="s">
        <v>128</v>
      </c>
      <c r="E738" s="165"/>
      <c r="F738" s="116">
        <f ca="1">SUBTOTAL(109,'3.4 I&amp;W'!$X$63)</f>
        <v>0</v>
      </c>
      <c r="G738" s="116">
        <f ca="1">SUBTOTAL(109,'3.4 I&amp;W'!$Y$63)</f>
        <v>0</v>
      </c>
      <c r="H738" s="116">
        <f ca="1">SUBTOTAL(109,'3.4 I&amp;W'!$AD$63)</f>
        <v>0</v>
      </c>
      <c r="I738" s="116">
        <f ca="1">SUBTOTAL(109,'3.4 I&amp;W'!$AE$63)</f>
        <v>0</v>
      </c>
      <c r="J738" s="116"/>
      <c r="K738" s="116"/>
      <c r="L738" s="116"/>
      <c r="M738" s="116">
        <f ca="1">SUBTOTAL(109,'3.4 I&amp;W'!$AI$63)</f>
        <v>0</v>
      </c>
      <c r="N738" s="156">
        <f t="shared" ca="1" si="541"/>
        <v>0</v>
      </c>
      <c r="O738" s="116">
        <f ca="1">SUBTOTAL(109,'3.4 I&amp;W'!$S$63)</f>
        <v>0</v>
      </c>
      <c r="P738" s="30">
        <f t="shared" ca="1" si="544"/>
        <v>0</v>
      </c>
      <c r="Q738" s="31">
        <f t="shared" ca="1" si="531"/>
        <v>0</v>
      </c>
      <c r="R738" s="31">
        <f t="shared" ca="1" si="532"/>
        <v>0</v>
      </c>
      <c r="S738" s="31">
        <f t="shared" ca="1" si="533"/>
        <v>0</v>
      </c>
      <c r="T738" s="32">
        <f t="shared" ca="1" si="534"/>
        <v>0</v>
      </c>
      <c r="U738" s="37">
        <f t="shared" ca="1" si="542"/>
        <v>0</v>
      </c>
      <c r="V738" s="40">
        <f t="shared" ca="1" si="535"/>
        <v>0</v>
      </c>
      <c r="W738" s="41">
        <f t="shared" ca="1" si="536"/>
        <v>0</v>
      </c>
      <c r="X738" s="43"/>
      <c r="Y738" s="46"/>
      <c r="Z738" s="126"/>
      <c r="AA738" s="136"/>
      <c r="AB738" s="131">
        <v>11</v>
      </c>
      <c r="AC738" s="168">
        <f ca="1">IF(AF737&lt;=1,0,'3.4 Fi&amp;Fo'!$I$25)</f>
        <v>47266.884954954228</v>
      </c>
      <c r="AD738" s="169">
        <f ca="1">IF(AF737&lt;=1,0,AF737*'3.4 Fi&amp;Fo'!$H$25)</f>
        <v>18456.259421200968</v>
      </c>
      <c r="AE738" s="169">
        <f t="shared" ca="1" si="545"/>
        <v>28810.62553375326</v>
      </c>
      <c r="AF738" s="170">
        <f t="shared" ca="1" si="546"/>
        <v>894002.34552629513</v>
      </c>
      <c r="AG738" s="168">
        <f>IF(AJ737&lt;=1,0,IF(AB738&lt;='3.4 Fi&amp;Fo'!$F$34,'3.4 Fi&amp;Fo'!$J$34,IF(AB738&lt;='3.4 Fi&amp;Fo'!$F$35,'3.4 Fi&amp;Fo'!$J$35,IF(AB738&lt;='3.4 Fi&amp;Fo'!$F$36,'3.4 Fi&amp;Fo'!$J$36,IF(AB738&lt;='3.4 Fi&amp;Fo'!$F$37,'3.4 Fi&amp;Fo'!$J$37,IF(AB738&lt;='3.4 Fi&amp;Fo'!$F$38,'3.4 Fi&amp;Fo'!$J$38,IF(AB738&lt;='3.4 Fi&amp;Fo'!$F$39,'3.4 Fi&amp;Fo'!$J$39,IF(AB738&lt;='3.4 Fi&amp;Fo'!$F$40,'3.4 Fi&amp;Fo'!$J$40))))))))</f>
        <v>64129.438000000009</v>
      </c>
      <c r="AH738" s="203">
        <f>IF(AJ737&lt;=1,0,AJ737*IF(AB738&lt;='3.4 Fi&amp;Fo'!$F$34,'3.4 Fi&amp;Fo'!$I$34,IF(AB738&lt;='3.4 Fi&amp;Fo'!$F$35,'3.4 Fi&amp;Fo'!$I$35,IF(AB738&lt;='3.4 Fi&amp;Fo'!$F$38,'3.4 Fi&amp;Fo'!$I$38,IF(AB738&lt;='3.4 Fi&amp;Fo'!$F$39,'3.4 Fi&amp;Fo'!$I$39,IF(AB738&lt;='3.4 Fi&amp;Fo'!$F$40,'3.4 Fi&amp;Fo'!$I$40))))))</f>
        <v>100748.65747388401</v>
      </c>
      <c r="AI738" s="203">
        <f t="shared" si="547"/>
        <v>-36619.219473884004</v>
      </c>
      <c r="AJ738" s="204">
        <f t="shared" si="548"/>
        <v>1868412.9917263207</v>
      </c>
      <c r="AK738" s="312">
        <f t="shared" ca="1" si="549"/>
        <v>-138570.96650988387</v>
      </c>
      <c r="AL738" s="169">
        <f>IF(AB738&lt;='3.4 Fi&amp;Fo'!$J$15,'3.4 Fi&amp;Fo'!$I$15,0)</f>
        <v>0</v>
      </c>
      <c r="AM738" s="169">
        <f t="shared" si="561"/>
        <v>27174.643554929644</v>
      </c>
      <c r="AN738" s="838">
        <f t="shared" si="566"/>
        <v>11</v>
      </c>
      <c r="AO738" s="844">
        <f t="shared" ca="1" si="550"/>
        <v>138570.96650988387</v>
      </c>
      <c r="AP738" s="839">
        <f ca="1">BY832</f>
        <v>0</v>
      </c>
      <c r="AQ738" s="844">
        <f t="shared" si="551"/>
        <v>0</v>
      </c>
      <c r="AR738" s="839">
        <f t="shared" ca="1" si="567"/>
        <v>0</v>
      </c>
      <c r="AS738" s="839">
        <f t="shared" ca="1" si="562"/>
        <v>8778.8229798373395</v>
      </c>
      <c r="AT738" s="839">
        <f t="shared" ca="1" si="563"/>
        <v>11103.864250325554</v>
      </c>
      <c r="AU738" s="839">
        <f ca="1">'PV-Einspeisung'!AA219*-1</f>
        <v>0</v>
      </c>
      <c r="AV738" s="839">
        <f ca="1">'PV-Einspeisung'!AE219*-1</f>
        <v>0</v>
      </c>
      <c r="AW738" s="839"/>
      <c r="AX738" s="839">
        <f t="shared" ca="1" si="568"/>
        <v>0</v>
      </c>
      <c r="AY738" s="841">
        <f t="shared" si="552"/>
        <v>11</v>
      </c>
      <c r="AZ738" s="842">
        <f t="shared" ca="1" si="569"/>
        <v>0</v>
      </c>
      <c r="BA738" s="842">
        <f t="shared" ca="1" si="570"/>
        <v>0</v>
      </c>
      <c r="BB738" s="842">
        <f t="shared" ca="1" si="571"/>
        <v>0</v>
      </c>
      <c r="BC738" s="842">
        <f t="shared" ca="1" si="572"/>
        <v>0</v>
      </c>
      <c r="BD738" s="842">
        <f t="shared" ca="1" si="573"/>
        <v>0</v>
      </c>
      <c r="BE738" s="842">
        <f t="shared" ca="1" si="574"/>
        <v>0</v>
      </c>
      <c r="BF738" s="842">
        <f t="shared" ca="1" si="575"/>
        <v>8265.0106496593507</v>
      </c>
      <c r="BG738" s="842">
        <f t="shared" ca="1" si="576"/>
        <v>2838.853600666203</v>
      </c>
      <c r="BH738" s="858">
        <f t="shared" si="560"/>
        <v>11</v>
      </c>
      <c r="BI738" s="857">
        <f t="shared" ca="1" si="577"/>
        <v>3511.8573590890355</v>
      </c>
      <c r="BJ738" s="857">
        <f t="shared" ca="1" si="578"/>
        <v>5266.965620748304</v>
      </c>
      <c r="BK738" s="859">
        <f ca="1">'PV-Einspeisung'!AB219*-1</f>
        <v>0</v>
      </c>
      <c r="BL738" s="824">
        <f t="shared" ca="1" si="537"/>
        <v>0</v>
      </c>
      <c r="BM738" s="824">
        <f t="shared" ca="1" si="538"/>
        <v>0</v>
      </c>
      <c r="BN738" s="824">
        <f t="shared" ca="1" si="539"/>
        <v>0</v>
      </c>
      <c r="BO738" s="824">
        <f t="shared" ca="1" si="543"/>
        <v>0</v>
      </c>
      <c r="BP738" s="824">
        <f t="shared" ca="1" si="543"/>
        <v>0</v>
      </c>
      <c r="BQ738" s="824">
        <f t="shared" ca="1" si="543"/>
        <v>0</v>
      </c>
      <c r="BR738" s="824">
        <f t="shared" ca="1" si="543"/>
        <v>0</v>
      </c>
      <c r="BS738" s="824">
        <f t="shared" ca="1" si="543"/>
        <v>0</v>
      </c>
      <c r="BT738" s="824">
        <f t="shared" ca="1" si="543"/>
        <v>0</v>
      </c>
      <c r="BU738" s="824">
        <f t="shared" ca="1" si="543"/>
        <v>0</v>
      </c>
      <c r="BV738" s="824">
        <f t="shared" ca="1" si="543"/>
        <v>0</v>
      </c>
      <c r="BW738" s="824">
        <f t="shared" ca="1" si="543"/>
        <v>0</v>
      </c>
      <c r="BX738" s="824">
        <f t="shared" ca="1" si="543"/>
        <v>0</v>
      </c>
      <c r="BY738" s="824">
        <f t="shared" ca="1" si="543"/>
        <v>0</v>
      </c>
      <c r="BZ738" s="824">
        <f t="shared" ca="1" si="543"/>
        <v>0</v>
      </c>
      <c r="CA738" s="824">
        <f t="shared" ca="1" si="543"/>
        <v>0</v>
      </c>
      <c r="CB738" s="824">
        <f t="shared" ca="1" si="543"/>
        <v>0</v>
      </c>
      <c r="CC738" s="824">
        <f t="shared" ca="1" si="543"/>
        <v>0</v>
      </c>
      <c r="CD738" s="824">
        <f t="shared" ca="1" si="543"/>
        <v>0</v>
      </c>
      <c r="CE738" s="824">
        <f t="shared" ca="1" si="579"/>
        <v>0</v>
      </c>
      <c r="CF738" s="824">
        <f t="shared" ca="1" si="579"/>
        <v>0</v>
      </c>
      <c r="CG738" s="824">
        <f t="shared" ca="1" si="579"/>
        <v>0</v>
      </c>
      <c r="CH738" s="824">
        <f t="shared" ca="1" si="579"/>
        <v>0</v>
      </c>
      <c r="CI738" s="824">
        <f t="shared" ca="1" si="579"/>
        <v>0</v>
      </c>
      <c r="CJ738" s="824">
        <f t="shared" ca="1" si="579"/>
        <v>0</v>
      </c>
      <c r="CK738" s="824">
        <f t="shared" ca="1" si="579"/>
        <v>0</v>
      </c>
      <c r="CL738" s="824">
        <f t="shared" ca="1" si="579"/>
        <v>0</v>
      </c>
      <c r="CM738" s="824">
        <f t="shared" ca="1" si="579"/>
        <v>0</v>
      </c>
      <c r="CN738" s="824">
        <f t="shared" ca="1" si="579"/>
        <v>0</v>
      </c>
      <c r="CO738" s="824">
        <f t="shared" ca="1" si="579"/>
        <v>0</v>
      </c>
      <c r="CP738" s="824">
        <f t="shared" ca="1" si="579"/>
        <v>0</v>
      </c>
      <c r="CQ738" s="824">
        <f t="shared" ca="1" si="579"/>
        <v>0</v>
      </c>
      <c r="CR738" s="824">
        <f t="shared" ca="1" si="579"/>
        <v>0</v>
      </c>
      <c r="CS738" s="824">
        <f t="shared" ca="1" si="579"/>
        <v>0</v>
      </c>
      <c r="CT738" s="824">
        <f t="shared" ca="1" si="579"/>
        <v>0</v>
      </c>
      <c r="CU738" s="824">
        <f t="shared" ca="1" si="564"/>
        <v>0</v>
      </c>
      <c r="CV738" s="824">
        <f t="shared" ca="1" si="564"/>
        <v>0</v>
      </c>
      <c r="CW738" s="824">
        <f t="shared" ca="1" si="564"/>
        <v>0</v>
      </c>
      <c r="CX738" s="824">
        <f t="shared" ca="1" si="564"/>
        <v>0</v>
      </c>
      <c r="CY738" s="824">
        <f t="shared" ca="1" si="564"/>
        <v>0</v>
      </c>
      <c r="CZ738" s="824">
        <f t="shared" ca="1" si="564"/>
        <v>0</v>
      </c>
      <c r="DA738" s="824">
        <f t="shared" ca="1" si="565"/>
        <v>0</v>
      </c>
      <c r="DB738" s="824">
        <f t="shared" ca="1" si="565"/>
        <v>0</v>
      </c>
      <c r="DC738" s="824">
        <f t="shared" ca="1" si="565"/>
        <v>0</v>
      </c>
      <c r="DD738" s="824">
        <f t="shared" ca="1" si="565"/>
        <v>0</v>
      </c>
      <c r="DE738" s="824">
        <f t="shared" ca="1" si="565"/>
        <v>0</v>
      </c>
      <c r="DF738" s="824">
        <f t="shared" ca="1" si="565"/>
        <v>0</v>
      </c>
      <c r="DG738" s="824">
        <f t="shared" ca="1" si="565"/>
        <v>0</v>
      </c>
      <c r="DH738" s="824">
        <f t="shared" ca="1" si="565"/>
        <v>0</v>
      </c>
      <c r="DI738" s="824">
        <f t="shared" ca="1" si="565"/>
        <v>0</v>
      </c>
      <c r="DJ738" s="824">
        <f t="shared" ca="1" si="565"/>
        <v>0</v>
      </c>
      <c r="DK738" s="824">
        <f t="shared" ca="1" si="565"/>
        <v>0</v>
      </c>
      <c r="DL738" s="824">
        <f t="shared" ca="1" si="565"/>
        <v>0</v>
      </c>
    </row>
    <row r="739" spans="2:116" ht="12" thickBot="1" x14ac:dyDescent="0.3">
      <c r="B739" s="1673"/>
      <c r="C739" s="1680"/>
      <c r="D739" s="15" t="s">
        <v>132</v>
      </c>
      <c r="E739" s="116"/>
      <c r="F739" s="116">
        <f ca="1">SUBTOTAL(109,'3.4 I&amp;W'!$X$66)</f>
        <v>0</v>
      </c>
      <c r="G739" s="116">
        <f ca="1">SUBTOTAL(109,'3.4 I&amp;W'!$Y$66)</f>
        <v>0</v>
      </c>
      <c r="H739" s="116">
        <f ca="1">SUBTOTAL(109,'3.4 I&amp;W'!$AD$66)</f>
        <v>0</v>
      </c>
      <c r="I739" s="116">
        <f ca="1">SUBTOTAL(109,'3.4 I&amp;W'!$AE$66)</f>
        <v>0</v>
      </c>
      <c r="J739" s="116"/>
      <c r="K739" s="116"/>
      <c r="L739" s="116"/>
      <c r="M739" s="116">
        <f ca="1">SUBTOTAL(109,'3.4 I&amp;W'!$AI$66)</f>
        <v>0</v>
      </c>
      <c r="N739" s="156">
        <f t="shared" ca="1" si="541"/>
        <v>0</v>
      </c>
      <c r="O739" s="116">
        <f ca="1">SUBTOTAL(109,'3.4 I&amp;W'!$S$66)</f>
        <v>0</v>
      </c>
      <c r="P739" s="30">
        <f t="shared" ca="1" si="544"/>
        <v>0</v>
      </c>
      <c r="Q739" s="31">
        <f t="shared" ca="1" si="531"/>
        <v>0</v>
      </c>
      <c r="R739" s="31">
        <f t="shared" ca="1" si="532"/>
        <v>0</v>
      </c>
      <c r="S739" s="31">
        <f t="shared" ca="1" si="533"/>
        <v>0</v>
      </c>
      <c r="T739" s="32">
        <f t="shared" ca="1" si="534"/>
        <v>0</v>
      </c>
      <c r="U739" s="37">
        <f t="shared" ca="1" si="542"/>
        <v>0</v>
      </c>
      <c r="V739" s="40">
        <f t="shared" ca="1" si="535"/>
        <v>0</v>
      </c>
      <c r="W739" s="41">
        <f t="shared" ca="1" si="536"/>
        <v>0</v>
      </c>
      <c r="X739" s="43"/>
      <c r="Y739" s="46"/>
      <c r="Z739" s="126"/>
      <c r="AA739" s="136"/>
      <c r="AB739" s="131">
        <v>12</v>
      </c>
      <c r="AC739" s="168">
        <f ca="1">IF(AF738&lt;=1,0,'3.4 Fi&amp;Fo'!$I$25)</f>
        <v>47266.884954954228</v>
      </c>
      <c r="AD739" s="169">
        <f ca="1">IF(AF738&lt;=1,0,AF738*'3.4 Fi&amp;Fo'!$H$25)</f>
        <v>17880.046910525904</v>
      </c>
      <c r="AE739" s="169">
        <f t="shared" ca="1" si="545"/>
        <v>29386.838044428325</v>
      </c>
      <c r="AF739" s="170">
        <f t="shared" ca="1" si="546"/>
        <v>864615.50748186675</v>
      </c>
      <c r="AG739" s="168">
        <f>IF(AJ738&lt;=1,0,IF(AB739&lt;='3.4 Fi&amp;Fo'!$F$34,'3.4 Fi&amp;Fo'!$J$34,IF(AB739&lt;='3.4 Fi&amp;Fo'!$F$35,'3.4 Fi&amp;Fo'!$J$35,IF(AB739&lt;='3.4 Fi&amp;Fo'!$F$36,'3.4 Fi&amp;Fo'!$J$36,IF(AB739&lt;='3.4 Fi&amp;Fo'!$F$37,'3.4 Fi&amp;Fo'!$J$37,IF(AB739&lt;='3.4 Fi&amp;Fo'!$F$38,'3.4 Fi&amp;Fo'!$J$38,IF(AB739&lt;='3.4 Fi&amp;Fo'!$F$39,'3.4 Fi&amp;Fo'!$J$39,IF(AB739&lt;='3.4 Fi&amp;Fo'!$F$40,'3.4 Fi&amp;Fo'!$J$40))))))))</f>
        <v>64129.438000000009</v>
      </c>
      <c r="AH739" s="203">
        <f>IF(AJ738&lt;=1,0,AJ738*IF(AB739&lt;='3.4 Fi&amp;Fo'!$F$34,'3.4 Fi&amp;Fo'!$I$34,IF(AB739&lt;='3.4 Fi&amp;Fo'!$F$35,'3.4 Fi&amp;Fo'!$I$35,IF(AB739&lt;='3.4 Fi&amp;Fo'!$F$38,'3.4 Fi&amp;Fo'!$I$38,IF(AB739&lt;='3.4 Fi&amp;Fo'!$F$39,'3.4 Fi&amp;Fo'!$I$39,IF(AB739&lt;='3.4 Fi&amp;Fo'!$F$40,'3.4 Fi&amp;Fo'!$I$40))))))</f>
        <v>102762.71454494764</v>
      </c>
      <c r="AI739" s="203">
        <f t="shared" si="547"/>
        <v>-38633.276544947628</v>
      </c>
      <c r="AJ739" s="204">
        <f t="shared" si="548"/>
        <v>1907046.2682712683</v>
      </c>
      <c r="AK739" s="312">
        <f t="shared" ca="1" si="549"/>
        <v>-139114.45938098279</v>
      </c>
      <c r="AL739" s="169">
        <f>IF(AB739&lt;='3.4 Fi&amp;Fo'!$J$15,'3.4 Fi&amp;Fo'!$I$15,0)</f>
        <v>0</v>
      </c>
      <c r="AM739" s="169">
        <f t="shared" si="561"/>
        <v>27718.136426028563</v>
      </c>
      <c r="AN739" s="838">
        <f t="shared" si="566"/>
        <v>12</v>
      </c>
      <c r="AO739" s="844">
        <f t="shared" ca="1" si="550"/>
        <v>139114.45938098279</v>
      </c>
      <c r="AP739" s="839">
        <f ca="1">BZ832</f>
        <v>0</v>
      </c>
      <c r="AQ739" s="844">
        <f t="shared" si="551"/>
        <v>0</v>
      </c>
      <c r="AR739" s="839">
        <f t="shared" ca="1" si="567"/>
        <v>0</v>
      </c>
      <c r="AS739" s="839">
        <f t="shared" ca="1" si="562"/>
        <v>8919.2841475147361</v>
      </c>
      <c r="AT739" s="839">
        <f t="shared" ca="1" si="563"/>
        <v>11409.849392590353</v>
      </c>
      <c r="AU739" s="839">
        <f ca="1">'PV-Einspeisung'!AA220*-1</f>
        <v>0</v>
      </c>
      <c r="AV739" s="839">
        <f ca="1">'PV-Einspeisung'!AE220*-1</f>
        <v>0</v>
      </c>
      <c r="AW739" s="839"/>
      <c r="AX739" s="839">
        <f t="shared" ca="1" si="568"/>
        <v>0</v>
      </c>
      <c r="AY739" s="841">
        <f t="shared" si="552"/>
        <v>12</v>
      </c>
      <c r="AZ739" s="842">
        <f t="shared" ca="1" si="569"/>
        <v>0</v>
      </c>
      <c r="BA739" s="842">
        <f t="shared" ca="1" si="570"/>
        <v>0</v>
      </c>
      <c r="BB739" s="842">
        <f t="shared" ca="1" si="571"/>
        <v>0</v>
      </c>
      <c r="BC739" s="842">
        <f t="shared" ca="1" si="572"/>
        <v>0</v>
      </c>
      <c r="BD739" s="842">
        <f t="shared" ca="1" si="573"/>
        <v>0</v>
      </c>
      <c r="BE739" s="842">
        <f t="shared" ca="1" si="574"/>
        <v>0</v>
      </c>
      <c r="BF739" s="842">
        <f t="shared" ca="1" si="575"/>
        <v>8471.6359159008334</v>
      </c>
      <c r="BG739" s="842">
        <f t="shared" ca="1" si="576"/>
        <v>2938.2134766895197</v>
      </c>
      <c r="BH739" s="858">
        <f t="shared" si="560"/>
        <v>12</v>
      </c>
      <c r="BI739" s="857">
        <f t="shared" ca="1" si="577"/>
        <v>3568.0470768344603</v>
      </c>
      <c r="BJ739" s="857">
        <f t="shared" ca="1" si="578"/>
        <v>5351.2370706802767</v>
      </c>
      <c r="BK739" s="859">
        <f ca="1">'PV-Einspeisung'!AB220*-1</f>
        <v>0</v>
      </c>
      <c r="BL739" s="824">
        <f t="shared" ca="1" si="537"/>
        <v>0</v>
      </c>
      <c r="BM739" s="824">
        <f t="shared" ca="1" si="538"/>
        <v>0</v>
      </c>
      <c r="BN739" s="824">
        <f t="shared" ca="1" si="539"/>
        <v>0</v>
      </c>
      <c r="BO739" s="824">
        <f t="shared" ca="1" si="543"/>
        <v>0</v>
      </c>
      <c r="BP739" s="824">
        <f t="shared" ca="1" si="543"/>
        <v>0</v>
      </c>
      <c r="BQ739" s="824">
        <f t="shared" ca="1" si="543"/>
        <v>0</v>
      </c>
      <c r="BR739" s="824">
        <f t="shared" ca="1" si="543"/>
        <v>0</v>
      </c>
      <c r="BS739" s="824">
        <f t="shared" ca="1" si="543"/>
        <v>0</v>
      </c>
      <c r="BT739" s="824">
        <f t="shared" ca="1" si="543"/>
        <v>0</v>
      </c>
      <c r="BU739" s="824">
        <f t="shared" ca="1" si="543"/>
        <v>0</v>
      </c>
      <c r="BV739" s="824">
        <f t="shared" ca="1" si="543"/>
        <v>0</v>
      </c>
      <c r="BW739" s="824">
        <f t="shared" ca="1" si="543"/>
        <v>0</v>
      </c>
      <c r="BX739" s="824">
        <f t="shared" ca="1" si="543"/>
        <v>0</v>
      </c>
      <c r="BY739" s="824">
        <f t="shared" ca="1" si="543"/>
        <v>0</v>
      </c>
      <c r="BZ739" s="824">
        <f t="shared" ca="1" si="543"/>
        <v>0</v>
      </c>
      <c r="CA739" s="824">
        <f t="shared" ca="1" si="543"/>
        <v>0</v>
      </c>
      <c r="CB739" s="824">
        <f t="shared" ca="1" si="543"/>
        <v>0</v>
      </c>
      <c r="CC739" s="824">
        <f t="shared" ca="1" si="543"/>
        <v>0</v>
      </c>
      <c r="CD739" s="824">
        <f t="shared" ca="1" si="543"/>
        <v>0</v>
      </c>
      <c r="CE739" s="824">
        <f t="shared" ca="1" si="579"/>
        <v>0</v>
      </c>
      <c r="CF739" s="824">
        <f t="shared" ca="1" si="579"/>
        <v>0</v>
      </c>
      <c r="CG739" s="824">
        <f t="shared" ca="1" si="579"/>
        <v>0</v>
      </c>
      <c r="CH739" s="824">
        <f t="shared" ca="1" si="579"/>
        <v>0</v>
      </c>
      <c r="CI739" s="824">
        <f t="shared" ca="1" si="579"/>
        <v>0</v>
      </c>
      <c r="CJ739" s="824">
        <f t="shared" ca="1" si="579"/>
        <v>0</v>
      </c>
      <c r="CK739" s="824">
        <f t="shared" ca="1" si="579"/>
        <v>0</v>
      </c>
      <c r="CL739" s="824">
        <f t="shared" ca="1" si="579"/>
        <v>0</v>
      </c>
      <c r="CM739" s="824">
        <f t="shared" ca="1" si="579"/>
        <v>0</v>
      </c>
      <c r="CN739" s="824">
        <f t="shared" ca="1" si="579"/>
        <v>0</v>
      </c>
      <c r="CO739" s="824">
        <f t="shared" ca="1" si="579"/>
        <v>0</v>
      </c>
      <c r="CP739" s="824">
        <f t="shared" ca="1" si="579"/>
        <v>0</v>
      </c>
      <c r="CQ739" s="824">
        <f t="shared" ca="1" si="579"/>
        <v>0</v>
      </c>
      <c r="CR739" s="824">
        <f t="shared" ca="1" si="579"/>
        <v>0</v>
      </c>
      <c r="CS739" s="824">
        <f t="shared" ca="1" si="579"/>
        <v>0</v>
      </c>
      <c r="CT739" s="824">
        <f t="shared" ca="1" si="579"/>
        <v>0</v>
      </c>
      <c r="CU739" s="824">
        <f t="shared" ca="1" si="564"/>
        <v>0</v>
      </c>
      <c r="CV739" s="824">
        <f t="shared" ca="1" si="564"/>
        <v>0</v>
      </c>
      <c r="CW739" s="824">
        <f t="shared" ca="1" si="564"/>
        <v>0</v>
      </c>
      <c r="CX739" s="824">
        <f t="shared" ca="1" si="564"/>
        <v>0</v>
      </c>
      <c r="CY739" s="824">
        <f t="shared" ca="1" si="564"/>
        <v>0</v>
      </c>
      <c r="CZ739" s="824">
        <f t="shared" ca="1" si="564"/>
        <v>0</v>
      </c>
      <c r="DA739" s="824">
        <f t="shared" ca="1" si="565"/>
        <v>0</v>
      </c>
      <c r="DB739" s="824">
        <f t="shared" ca="1" si="565"/>
        <v>0</v>
      </c>
      <c r="DC739" s="824">
        <f t="shared" ca="1" si="565"/>
        <v>0</v>
      </c>
      <c r="DD739" s="824">
        <f t="shared" ca="1" si="565"/>
        <v>0</v>
      </c>
      <c r="DE739" s="824">
        <f t="shared" ca="1" si="565"/>
        <v>0</v>
      </c>
      <c r="DF739" s="824">
        <f t="shared" ca="1" si="565"/>
        <v>0</v>
      </c>
      <c r="DG739" s="824">
        <f t="shared" ca="1" si="565"/>
        <v>0</v>
      </c>
      <c r="DH739" s="824">
        <f t="shared" ca="1" si="565"/>
        <v>0</v>
      </c>
      <c r="DI739" s="824">
        <f t="shared" ca="1" si="565"/>
        <v>0</v>
      </c>
      <c r="DJ739" s="824">
        <f t="shared" ca="1" si="565"/>
        <v>0</v>
      </c>
      <c r="DK739" s="824">
        <f t="shared" ca="1" si="565"/>
        <v>0</v>
      </c>
      <c r="DL739" s="824">
        <f t="shared" ca="1" si="565"/>
        <v>0</v>
      </c>
    </row>
    <row r="740" spans="2:116" ht="12" thickBot="1" x14ac:dyDescent="0.3">
      <c r="B740" s="1673"/>
      <c r="C740" s="1680"/>
      <c r="D740" s="15" t="s">
        <v>132</v>
      </c>
      <c r="E740" s="165"/>
      <c r="F740" s="116">
        <f ca="1">SUBTOTAL(109,'3.4 I&amp;W'!$X$67)</f>
        <v>0</v>
      </c>
      <c r="G740" s="116">
        <f ca="1">SUBTOTAL(109,'3.4 I&amp;W'!$Y$67)</f>
        <v>0</v>
      </c>
      <c r="H740" s="116">
        <f ca="1">SUBTOTAL(109,'3.4 I&amp;W'!$AD$67)</f>
        <v>0</v>
      </c>
      <c r="I740" s="116">
        <f ca="1">SUBTOTAL(109,'3.4 I&amp;W'!$AE$67)</f>
        <v>0</v>
      </c>
      <c r="J740" s="116"/>
      <c r="K740" s="116"/>
      <c r="L740" s="116"/>
      <c r="M740" s="116">
        <f ca="1">SUBTOTAL(109,'3.4 I&amp;W'!$AI$67)</f>
        <v>0</v>
      </c>
      <c r="N740" s="156">
        <f t="shared" ca="1" si="541"/>
        <v>0</v>
      </c>
      <c r="O740" s="116">
        <f ca="1">SUBTOTAL(109,'3.4 I&amp;W'!$S$67)</f>
        <v>0</v>
      </c>
      <c r="P740" s="30">
        <f t="shared" ca="1" si="544"/>
        <v>0</v>
      </c>
      <c r="Q740" s="31">
        <f t="shared" ca="1" si="531"/>
        <v>0</v>
      </c>
      <c r="R740" s="31">
        <f t="shared" ca="1" si="532"/>
        <v>0</v>
      </c>
      <c r="S740" s="31">
        <f t="shared" ca="1" si="533"/>
        <v>0</v>
      </c>
      <c r="T740" s="32">
        <f t="shared" ca="1" si="534"/>
        <v>0</v>
      </c>
      <c r="U740" s="37">
        <f t="shared" ca="1" si="542"/>
        <v>0</v>
      </c>
      <c r="V740" s="40">
        <f t="shared" ca="1" si="535"/>
        <v>0</v>
      </c>
      <c r="W740" s="41">
        <f t="shared" ca="1" si="536"/>
        <v>0</v>
      </c>
      <c r="X740" s="43"/>
      <c r="Y740" s="46"/>
      <c r="Z740" s="126"/>
      <c r="AA740" s="136"/>
      <c r="AB740" s="131">
        <v>13</v>
      </c>
      <c r="AC740" s="168">
        <f ca="1">IF(AF739&lt;=1,0,'3.4 Fi&amp;Fo'!$I$25)</f>
        <v>47266.884954954228</v>
      </c>
      <c r="AD740" s="169">
        <f ca="1">IF(AF739&lt;=1,0,AF739*'3.4 Fi&amp;Fo'!$H$25)</f>
        <v>17292.310149637335</v>
      </c>
      <c r="AE740" s="169">
        <f t="shared" ca="1" si="545"/>
        <v>29974.574805316894</v>
      </c>
      <c r="AF740" s="170">
        <f t="shared" ca="1" si="546"/>
        <v>834640.93267654988</v>
      </c>
      <c r="AG740" s="168">
        <f>IF(AJ739&lt;=1,0,IF(AB740&lt;='3.4 Fi&amp;Fo'!$F$34,'3.4 Fi&amp;Fo'!$J$34,IF(AB740&lt;='3.4 Fi&amp;Fo'!$F$35,'3.4 Fi&amp;Fo'!$J$35,IF(AB740&lt;='3.4 Fi&amp;Fo'!$F$36,'3.4 Fi&amp;Fo'!$J$36,IF(AB740&lt;='3.4 Fi&amp;Fo'!$F$37,'3.4 Fi&amp;Fo'!$J$37,IF(AB740&lt;='3.4 Fi&amp;Fo'!$F$38,'3.4 Fi&amp;Fo'!$J$38,IF(AB740&lt;='3.4 Fi&amp;Fo'!$F$39,'3.4 Fi&amp;Fo'!$J$39,IF(AB740&lt;='3.4 Fi&amp;Fo'!$F$40,'3.4 Fi&amp;Fo'!$J$40))))))))</f>
        <v>64129.438000000009</v>
      </c>
      <c r="AH740" s="203">
        <f>IF(AJ739&lt;=1,0,AJ739*IF(AB740&lt;='3.4 Fi&amp;Fo'!$F$34,'3.4 Fi&amp;Fo'!$I$34,IF(AB740&lt;='3.4 Fi&amp;Fo'!$F$35,'3.4 Fi&amp;Fo'!$I$35,IF(AB740&lt;='3.4 Fi&amp;Fo'!$F$38,'3.4 Fi&amp;Fo'!$I$38,IF(AB740&lt;='3.4 Fi&amp;Fo'!$F$39,'3.4 Fi&amp;Fo'!$I$39,IF(AB740&lt;='3.4 Fi&amp;Fo'!$F$40,'3.4 Fi&amp;Fo'!$I$40))))))</f>
        <v>104887.54475491976</v>
      </c>
      <c r="AI740" s="203">
        <f t="shared" si="547"/>
        <v>-40758.106754919747</v>
      </c>
      <c r="AJ740" s="204">
        <f t="shared" si="548"/>
        <v>1947804.3750261881</v>
      </c>
      <c r="AK740" s="312">
        <f t="shared" ca="1" si="549"/>
        <v>-139668.82210950309</v>
      </c>
      <c r="AL740" s="169">
        <f>IF(AB740&lt;='3.4 Fi&amp;Fo'!$J$15,'3.4 Fi&amp;Fo'!$I$15,0)</f>
        <v>0</v>
      </c>
      <c r="AM740" s="169">
        <f t="shared" si="561"/>
        <v>28272.499154548859</v>
      </c>
      <c r="AN740" s="838">
        <f t="shared" si="566"/>
        <v>13</v>
      </c>
      <c r="AO740" s="844">
        <f t="shared" ca="1" si="550"/>
        <v>139668.82210950309</v>
      </c>
      <c r="AP740" s="839">
        <f ca="1">CA832</f>
        <v>0</v>
      </c>
      <c r="AQ740" s="844">
        <f t="shared" si="551"/>
        <v>0</v>
      </c>
      <c r="AR740" s="839">
        <f t="shared" ca="1" si="567"/>
        <v>0</v>
      </c>
      <c r="AS740" s="839">
        <f t="shared" ca="1" si="562"/>
        <v>9061.9926938749722</v>
      </c>
      <c r="AT740" s="839">
        <f t="shared" ca="1" si="563"/>
        <v>11724.477762172006</v>
      </c>
      <c r="AU740" s="839">
        <f ca="1">'PV-Einspeisung'!AA221*-1</f>
        <v>0</v>
      </c>
      <c r="AV740" s="839">
        <f ca="1">'PV-Einspeisung'!AE221*-1</f>
        <v>0</v>
      </c>
      <c r="AW740" s="839"/>
      <c r="AX740" s="839">
        <f t="shared" ca="1" si="568"/>
        <v>0</v>
      </c>
      <c r="AY740" s="841">
        <f t="shared" si="552"/>
        <v>13</v>
      </c>
      <c r="AZ740" s="842">
        <f t="shared" ca="1" si="569"/>
        <v>0</v>
      </c>
      <c r="BA740" s="842">
        <f t="shared" ca="1" si="570"/>
        <v>0</v>
      </c>
      <c r="BB740" s="842">
        <f t="shared" ca="1" si="571"/>
        <v>0</v>
      </c>
      <c r="BC740" s="842">
        <f t="shared" ca="1" si="572"/>
        <v>0</v>
      </c>
      <c r="BD740" s="842">
        <f t="shared" ca="1" si="573"/>
        <v>0</v>
      </c>
      <c r="BE740" s="842">
        <f t="shared" ca="1" si="574"/>
        <v>0</v>
      </c>
      <c r="BF740" s="842">
        <f t="shared" ca="1" si="575"/>
        <v>8683.4268137983527</v>
      </c>
      <c r="BG740" s="842">
        <f t="shared" ca="1" si="576"/>
        <v>3041.0509483736528</v>
      </c>
      <c r="BH740" s="858">
        <f t="shared" si="560"/>
        <v>13</v>
      </c>
      <c r="BI740" s="857">
        <f t="shared" ca="1" si="577"/>
        <v>3625.1358300638117</v>
      </c>
      <c r="BJ740" s="857">
        <f t="shared" ca="1" si="578"/>
        <v>5436.856863811161</v>
      </c>
      <c r="BK740" s="859">
        <f ca="1">'PV-Einspeisung'!AB221*-1</f>
        <v>0</v>
      </c>
      <c r="BL740" s="824">
        <f t="shared" ca="1" si="537"/>
        <v>0</v>
      </c>
      <c r="BM740" s="824">
        <f t="shared" ca="1" si="538"/>
        <v>0</v>
      </c>
      <c r="BN740" s="824">
        <f t="shared" ca="1" si="539"/>
        <v>0</v>
      </c>
      <c r="BO740" s="824">
        <f t="shared" ca="1" si="543"/>
        <v>0</v>
      </c>
      <c r="BP740" s="824">
        <f t="shared" ca="1" si="543"/>
        <v>0</v>
      </c>
      <c r="BQ740" s="824">
        <f t="shared" ca="1" si="543"/>
        <v>0</v>
      </c>
      <c r="BR740" s="824">
        <f t="shared" ca="1" si="543"/>
        <v>0</v>
      </c>
      <c r="BS740" s="824">
        <f t="shared" ca="1" si="543"/>
        <v>0</v>
      </c>
      <c r="BT740" s="824">
        <f t="shared" ca="1" si="543"/>
        <v>0</v>
      </c>
      <c r="BU740" s="824">
        <f t="shared" ca="1" si="543"/>
        <v>0</v>
      </c>
      <c r="BV740" s="824">
        <f t="shared" ca="1" si="543"/>
        <v>0</v>
      </c>
      <c r="BW740" s="824">
        <f t="shared" ca="1" si="543"/>
        <v>0</v>
      </c>
      <c r="BX740" s="824">
        <f t="shared" ca="1" si="543"/>
        <v>0</v>
      </c>
      <c r="BY740" s="824">
        <f t="shared" ca="1" si="543"/>
        <v>0</v>
      </c>
      <c r="BZ740" s="824">
        <f t="shared" ca="1" si="543"/>
        <v>0</v>
      </c>
      <c r="CA740" s="824">
        <f t="shared" ca="1" si="543"/>
        <v>0</v>
      </c>
      <c r="CB740" s="824">
        <f t="shared" ca="1" si="543"/>
        <v>0</v>
      </c>
      <c r="CC740" s="824">
        <f t="shared" ca="1" si="543"/>
        <v>0</v>
      </c>
      <c r="CD740" s="824">
        <f t="shared" ca="1" si="543"/>
        <v>0</v>
      </c>
      <c r="CE740" s="824">
        <f t="shared" ca="1" si="579"/>
        <v>0</v>
      </c>
      <c r="CF740" s="824">
        <f t="shared" ca="1" si="579"/>
        <v>0</v>
      </c>
      <c r="CG740" s="824">
        <f t="shared" ca="1" si="579"/>
        <v>0</v>
      </c>
      <c r="CH740" s="824">
        <f t="shared" ca="1" si="579"/>
        <v>0</v>
      </c>
      <c r="CI740" s="824">
        <f t="shared" ca="1" si="579"/>
        <v>0</v>
      </c>
      <c r="CJ740" s="824">
        <f t="shared" ca="1" si="579"/>
        <v>0</v>
      </c>
      <c r="CK740" s="824">
        <f t="shared" ca="1" si="579"/>
        <v>0</v>
      </c>
      <c r="CL740" s="824">
        <f t="shared" ca="1" si="579"/>
        <v>0</v>
      </c>
      <c r="CM740" s="824">
        <f t="shared" ca="1" si="579"/>
        <v>0</v>
      </c>
      <c r="CN740" s="824">
        <f t="shared" ca="1" si="579"/>
        <v>0</v>
      </c>
      <c r="CO740" s="824">
        <f t="shared" ca="1" si="579"/>
        <v>0</v>
      </c>
      <c r="CP740" s="824">
        <f t="shared" ca="1" si="579"/>
        <v>0</v>
      </c>
      <c r="CQ740" s="824">
        <f t="shared" ca="1" si="579"/>
        <v>0</v>
      </c>
      <c r="CR740" s="824">
        <f t="shared" ca="1" si="579"/>
        <v>0</v>
      </c>
      <c r="CS740" s="824">
        <f t="shared" ca="1" si="579"/>
        <v>0</v>
      </c>
      <c r="CT740" s="824">
        <f t="shared" ca="1" si="579"/>
        <v>0</v>
      </c>
      <c r="CU740" s="824">
        <f t="shared" ca="1" si="564"/>
        <v>0</v>
      </c>
      <c r="CV740" s="824">
        <f t="shared" ca="1" si="564"/>
        <v>0</v>
      </c>
      <c r="CW740" s="824">
        <f t="shared" ca="1" si="564"/>
        <v>0</v>
      </c>
      <c r="CX740" s="824">
        <f t="shared" ca="1" si="564"/>
        <v>0</v>
      </c>
      <c r="CY740" s="824">
        <f t="shared" ca="1" si="564"/>
        <v>0</v>
      </c>
      <c r="CZ740" s="824">
        <f t="shared" ca="1" si="564"/>
        <v>0</v>
      </c>
      <c r="DA740" s="824">
        <f t="shared" ca="1" si="565"/>
        <v>0</v>
      </c>
      <c r="DB740" s="824">
        <f t="shared" ca="1" si="565"/>
        <v>0</v>
      </c>
      <c r="DC740" s="824">
        <f t="shared" ca="1" si="565"/>
        <v>0</v>
      </c>
      <c r="DD740" s="824">
        <f t="shared" ca="1" si="565"/>
        <v>0</v>
      </c>
      <c r="DE740" s="824">
        <f t="shared" ca="1" si="565"/>
        <v>0</v>
      </c>
      <c r="DF740" s="824">
        <f t="shared" ca="1" si="565"/>
        <v>0</v>
      </c>
      <c r="DG740" s="824">
        <f t="shared" ca="1" si="565"/>
        <v>0</v>
      </c>
      <c r="DH740" s="824">
        <f t="shared" ca="1" si="565"/>
        <v>0</v>
      </c>
      <c r="DI740" s="824">
        <f t="shared" ca="1" si="565"/>
        <v>0</v>
      </c>
      <c r="DJ740" s="824">
        <f t="shared" ca="1" si="565"/>
        <v>0</v>
      </c>
      <c r="DK740" s="824">
        <f t="shared" ca="1" si="565"/>
        <v>0</v>
      </c>
      <c r="DL740" s="824">
        <f t="shared" ca="1" si="565"/>
        <v>0</v>
      </c>
    </row>
    <row r="741" spans="2:116" ht="12" thickBot="1" x14ac:dyDescent="0.3">
      <c r="B741" s="1673"/>
      <c r="C741" s="1680"/>
      <c r="D741" s="15" t="s">
        <v>323</v>
      </c>
      <c r="E741" s="116"/>
      <c r="F741" s="116">
        <f ca="1">SUBTOTAL(109,'3.4 I&amp;W'!$X$70)</f>
        <v>0</v>
      </c>
      <c r="G741" s="116">
        <f ca="1">SUBTOTAL(109,'3.4 I&amp;W'!$Y$70)</f>
        <v>0</v>
      </c>
      <c r="H741" s="116">
        <f ca="1">SUBTOTAL(109,'3.4 I&amp;W'!$AD$70)</f>
        <v>0</v>
      </c>
      <c r="I741" s="116">
        <f ca="1">SUBTOTAL(109,'3.4 I&amp;W'!$AE$70)</f>
        <v>0</v>
      </c>
      <c r="J741" s="116"/>
      <c r="K741" s="116"/>
      <c r="L741" s="116"/>
      <c r="M741" s="116">
        <f ca="1">SUBTOTAL(109,'3.4 I&amp;W'!$AI$70)</f>
        <v>100</v>
      </c>
      <c r="N741" s="156">
        <f t="shared" ca="1" si="541"/>
        <v>0</v>
      </c>
      <c r="O741" s="116">
        <f ca="1">SUBTOTAL(109,'3.4 I&amp;W'!$S$70)</f>
        <v>67231.199999999997</v>
      </c>
      <c r="P741" s="30">
        <f ca="1">IF(N741&gt;=1,O741*$G$158^(1*M741)/($G$157^(1*M741)),0)</f>
        <v>0</v>
      </c>
      <c r="Q741" s="31">
        <f ca="1">IF(N741&gt;=2,O741*$G$158^(2*M741)/($G$157^(2*M741)),0)</f>
        <v>0</v>
      </c>
      <c r="R741" s="31">
        <f ca="1">IF(N741&gt;=3,O741*$G$158^(3*M741)/($G$157^(3*M741)),0)</f>
        <v>0</v>
      </c>
      <c r="S741" s="31">
        <f ca="1">IF(N741&gt;=4,O741*$G$158^(4*M741)/($G$157^(4*M741)),0)</f>
        <v>0</v>
      </c>
      <c r="T741" s="32">
        <f ca="1">IF(N741&gt;=5,O741*$G$158^(5*M741)/($G$157^(5*M741)),0)</f>
        <v>0</v>
      </c>
      <c r="U741" s="37">
        <f t="shared" ca="1" si="542"/>
        <v>21851.346711533035</v>
      </c>
      <c r="V741" s="40">
        <f t="shared" ca="1" si="535"/>
        <v>0</v>
      </c>
      <c r="W741" s="41">
        <f t="shared" ca="1" si="536"/>
        <v>0</v>
      </c>
      <c r="X741" s="43"/>
      <c r="Y741" s="46"/>
      <c r="Z741" s="126"/>
      <c r="AA741" s="136"/>
      <c r="AB741" s="131">
        <v>14</v>
      </c>
      <c r="AC741" s="168">
        <f ca="1">IF(AF740&lt;=1,0,'3.4 Fi&amp;Fo'!$I$25)</f>
        <v>47266.884954954228</v>
      </c>
      <c r="AD741" s="169">
        <f ca="1">IF(AF740&lt;=1,0,AF740*'3.4 Fi&amp;Fo'!$H$25)</f>
        <v>16692.818653530998</v>
      </c>
      <c r="AE741" s="169">
        <f t="shared" ca="1" si="545"/>
        <v>30574.06630142323</v>
      </c>
      <c r="AF741" s="170">
        <f t="shared" ca="1" si="546"/>
        <v>804066.86637512664</v>
      </c>
      <c r="AG741" s="168">
        <f>IF(AJ740&lt;=1,0,IF(AB741&lt;='3.4 Fi&amp;Fo'!$F$34,'3.4 Fi&amp;Fo'!$J$34,IF(AB741&lt;='3.4 Fi&amp;Fo'!$F$35,'3.4 Fi&amp;Fo'!$J$35,IF(AB741&lt;='3.4 Fi&amp;Fo'!$F$36,'3.4 Fi&amp;Fo'!$J$36,IF(AB741&lt;='3.4 Fi&amp;Fo'!$F$37,'3.4 Fi&amp;Fo'!$J$37,IF(AB741&lt;='3.4 Fi&amp;Fo'!$F$38,'3.4 Fi&amp;Fo'!$J$38,IF(AB741&lt;='3.4 Fi&amp;Fo'!$F$39,'3.4 Fi&amp;Fo'!$J$39,IF(AB741&lt;='3.4 Fi&amp;Fo'!$F$40,'3.4 Fi&amp;Fo'!$J$40))))))))</f>
        <v>64129.438000000009</v>
      </c>
      <c r="AH741" s="203">
        <f>IF(AJ740&lt;=1,0,AJ740*IF(AB741&lt;='3.4 Fi&amp;Fo'!$F$34,'3.4 Fi&amp;Fo'!$I$34,IF(AB741&lt;='3.4 Fi&amp;Fo'!$F$35,'3.4 Fi&amp;Fo'!$I$35,IF(AB741&lt;='3.4 Fi&amp;Fo'!$F$38,'3.4 Fi&amp;Fo'!$I$38,IF(AB741&lt;='3.4 Fi&amp;Fo'!$F$39,'3.4 Fi&amp;Fo'!$I$39,IF(AB741&lt;='3.4 Fi&amp;Fo'!$F$40,'3.4 Fi&amp;Fo'!$I$40))))))</f>
        <v>107129.24062644034</v>
      </c>
      <c r="AI741" s="203">
        <f t="shared" si="547"/>
        <v>-42999.802626440331</v>
      </c>
      <c r="AJ741" s="204">
        <f t="shared" si="548"/>
        <v>1990804.1776526284</v>
      </c>
      <c r="AK741" s="312">
        <f t="shared" ca="1" si="549"/>
        <v>-140234.27209259442</v>
      </c>
      <c r="AL741" s="169">
        <f>IF(AB741&lt;='3.4 Fi&amp;Fo'!$J$15,'3.4 Fi&amp;Fo'!$I$15,0)</f>
        <v>0</v>
      </c>
      <c r="AM741" s="169">
        <f t="shared" si="561"/>
        <v>28837.949137640186</v>
      </c>
      <c r="AN741" s="838">
        <f t="shared" si="566"/>
        <v>14</v>
      </c>
      <c r="AO741" s="844">
        <f t="shared" ca="1" si="550"/>
        <v>140234.27209259442</v>
      </c>
      <c r="AP741" s="839">
        <f ca="1">CB832</f>
        <v>0</v>
      </c>
      <c r="AQ741" s="844">
        <f t="shared" si="551"/>
        <v>0</v>
      </c>
      <c r="AR741" s="839">
        <f t="shared" ca="1" si="567"/>
        <v>0</v>
      </c>
      <c r="AS741" s="839">
        <f t="shared" ca="1" si="562"/>
        <v>9206.9845769769727</v>
      </c>
      <c r="AT741" s="839">
        <f t="shared" ca="1" si="563"/>
        <v>12048.000215710041</v>
      </c>
      <c r="AU741" s="839">
        <f ca="1">'PV-Einspeisung'!AA222*-1</f>
        <v>0</v>
      </c>
      <c r="AV741" s="839">
        <f ca="1">'PV-Einspeisung'!AE222*-1</f>
        <v>0</v>
      </c>
      <c r="AW741" s="839"/>
      <c r="AX741" s="839">
        <f t="shared" ca="1" si="568"/>
        <v>0</v>
      </c>
      <c r="AY741" s="841">
        <f t="shared" si="552"/>
        <v>14</v>
      </c>
      <c r="AZ741" s="842">
        <f t="shared" ca="1" si="569"/>
        <v>0</v>
      </c>
      <c r="BA741" s="842">
        <f t="shared" ca="1" si="570"/>
        <v>0</v>
      </c>
      <c r="BB741" s="842">
        <f t="shared" ca="1" si="571"/>
        <v>0</v>
      </c>
      <c r="BC741" s="842">
        <f t="shared" ca="1" si="572"/>
        <v>0</v>
      </c>
      <c r="BD741" s="842">
        <f t="shared" ca="1" si="573"/>
        <v>0</v>
      </c>
      <c r="BE741" s="842">
        <f t="shared" ca="1" si="574"/>
        <v>0</v>
      </c>
      <c r="BF741" s="842">
        <f t="shared" ca="1" si="575"/>
        <v>8900.5124841433098</v>
      </c>
      <c r="BG741" s="842">
        <f t="shared" ca="1" si="576"/>
        <v>3147.4877315667304</v>
      </c>
      <c r="BH741" s="858">
        <f t="shared" si="560"/>
        <v>14</v>
      </c>
      <c r="BI741" s="857">
        <f t="shared" ca="1" si="577"/>
        <v>3683.1380033448327</v>
      </c>
      <c r="BJ741" s="857">
        <f t="shared" ca="1" si="578"/>
        <v>5523.8465736321396</v>
      </c>
      <c r="BK741" s="859">
        <f ca="1">'PV-Einspeisung'!AB222*-1</f>
        <v>0</v>
      </c>
      <c r="BL741" s="824">
        <f t="shared" ca="1" si="537"/>
        <v>100</v>
      </c>
      <c r="BM741" s="824">
        <f t="shared" ca="1" si="538"/>
        <v>0</v>
      </c>
      <c r="BN741" s="824">
        <f t="shared" ca="1" si="539"/>
        <v>67231.199999999997</v>
      </c>
      <c r="BO741" s="824">
        <f t="shared" ca="1" si="543"/>
        <v>0</v>
      </c>
      <c r="BP741" s="824">
        <f t="shared" ca="1" si="543"/>
        <v>0</v>
      </c>
      <c r="BQ741" s="824">
        <f t="shared" ca="1" si="543"/>
        <v>0</v>
      </c>
      <c r="BR741" s="824">
        <f t="shared" ca="1" si="543"/>
        <v>0</v>
      </c>
      <c r="BS741" s="824">
        <f t="shared" ca="1" si="543"/>
        <v>0</v>
      </c>
      <c r="BT741" s="824">
        <f t="shared" ca="1" si="543"/>
        <v>0</v>
      </c>
      <c r="BU741" s="824">
        <f t="shared" ca="1" si="543"/>
        <v>0</v>
      </c>
      <c r="BV741" s="824">
        <f t="shared" ca="1" si="543"/>
        <v>0</v>
      </c>
      <c r="BW741" s="824">
        <f t="shared" ca="1" si="543"/>
        <v>0</v>
      </c>
      <c r="BX741" s="824">
        <f t="shared" ca="1" si="543"/>
        <v>0</v>
      </c>
      <c r="BY741" s="824">
        <f t="shared" ca="1" si="543"/>
        <v>0</v>
      </c>
      <c r="BZ741" s="824">
        <f t="shared" ca="1" si="543"/>
        <v>0</v>
      </c>
      <c r="CA741" s="824">
        <f t="shared" ca="1" si="543"/>
        <v>0</v>
      </c>
      <c r="CB741" s="824">
        <f t="shared" ref="CB741:CQ741" ca="1" si="580">IF(OR(IF($BL741*1&lt;$BL$196,$BL741*1=CB$198,FALSE),IF($BL741*2&lt;$BL$196,$BL741*2=CB$198,FALSE),IF($BL741*3&lt;$BL$196,$BL741*3=CB$198,FALSE),IF($BL741*4&lt;$BL$196,$BL741*4=CB$198,FALSE),IF($BL741*5&lt;$BL$196,$BL741*5=CB$198,FALSE)),$BN741*$BM$196^CB$198,0)</f>
        <v>0</v>
      </c>
      <c r="CC741" s="824">
        <f t="shared" ca="1" si="580"/>
        <v>0</v>
      </c>
      <c r="CD741" s="824">
        <f t="shared" ca="1" si="580"/>
        <v>0</v>
      </c>
      <c r="CE741" s="824">
        <f t="shared" ca="1" si="580"/>
        <v>0</v>
      </c>
      <c r="CF741" s="824">
        <f t="shared" ca="1" si="580"/>
        <v>0</v>
      </c>
      <c r="CG741" s="824">
        <f t="shared" ca="1" si="580"/>
        <v>0</v>
      </c>
      <c r="CH741" s="824">
        <f t="shared" ca="1" si="580"/>
        <v>0</v>
      </c>
      <c r="CI741" s="824">
        <f t="shared" ca="1" si="580"/>
        <v>0</v>
      </c>
      <c r="CJ741" s="824">
        <f t="shared" ca="1" si="580"/>
        <v>0</v>
      </c>
      <c r="CK741" s="824">
        <f t="shared" ca="1" si="580"/>
        <v>0</v>
      </c>
      <c r="CL741" s="824">
        <f t="shared" ca="1" si="580"/>
        <v>0</v>
      </c>
      <c r="CM741" s="824">
        <f t="shared" ca="1" si="580"/>
        <v>0</v>
      </c>
      <c r="CN741" s="824">
        <f t="shared" ca="1" si="580"/>
        <v>0</v>
      </c>
      <c r="CO741" s="824">
        <f t="shared" ca="1" si="580"/>
        <v>0</v>
      </c>
      <c r="CP741" s="824">
        <f t="shared" ca="1" si="580"/>
        <v>0</v>
      </c>
      <c r="CQ741" s="824">
        <f t="shared" ca="1" si="580"/>
        <v>0</v>
      </c>
      <c r="CR741" s="824">
        <f t="shared" ca="1" si="579"/>
        <v>0</v>
      </c>
      <c r="CS741" s="824">
        <f t="shared" ca="1" si="579"/>
        <v>0</v>
      </c>
      <c r="CT741" s="824">
        <f t="shared" ca="1" si="579"/>
        <v>0</v>
      </c>
      <c r="CU741" s="824">
        <f t="shared" ca="1" si="564"/>
        <v>0</v>
      </c>
      <c r="CV741" s="824">
        <f t="shared" ca="1" si="564"/>
        <v>0</v>
      </c>
      <c r="CW741" s="824">
        <f t="shared" ca="1" si="564"/>
        <v>0</v>
      </c>
      <c r="CX741" s="824">
        <f t="shared" ca="1" si="564"/>
        <v>0</v>
      </c>
      <c r="CY741" s="824">
        <f t="shared" ca="1" si="564"/>
        <v>0</v>
      </c>
      <c r="CZ741" s="824">
        <f t="shared" ca="1" si="564"/>
        <v>0</v>
      </c>
      <c r="DA741" s="824">
        <f t="shared" ca="1" si="565"/>
        <v>0</v>
      </c>
      <c r="DB741" s="824">
        <f t="shared" ca="1" si="565"/>
        <v>0</v>
      </c>
      <c r="DC741" s="824">
        <f t="shared" ca="1" si="565"/>
        <v>0</v>
      </c>
      <c r="DD741" s="824">
        <f t="shared" ca="1" si="565"/>
        <v>0</v>
      </c>
      <c r="DE741" s="824">
        <f t="shared" ca="1" si="565"/>
        <v>0</v>
      </c>
      <c r="DF741" s="824">
        <f t="shared" ca="1" si="565"/>
        <v>0</v>
      </c>
      <c r="DG741" s="824">
        <f t="shared" ca="1" si="565"/>
        <v>0</v>
      </c>
      <c r="DH741" s="824">
        <f t="shared" ca="1" si="565"/>
        <v>0</v>
      </c>
      <c r="DI741" s="824">
        <f t="shared" ca="1" si="565"/>
        <v>0</v>
      </c>
      <c r="DJ741" s="824">
        <f t="shared" ca="1" si="565"/>
        <v>0</v>
      </c>
      <c r="DK741" s="824">
        <f t="shared" ca="1" si="565"/>
        <v>0</v>
      </c>
      <c r="DL741" s="824">
        <f t="shared" ca="1" si="565"/>
        <v>0</v>
      </c>
    </row>
    <row r="742" spans="2:116" ht="12" thickBot="1" x14ac:dyDescent="0.3">
      <c r="B742" s="1673"/>
      <c r="C742" s="1680"/>
      <c r="D742" s="15"/>
      <c r="E742" s="116"/>
      <c r="F742" s="116">
        <f ca="1">SUBTOTAL(109,'3.4 I&amp;W'!$X$71)</f>
        <v>0</v>
      </c>
      <c r="G742" s="116">
        <f ca="1">SUBTOTAL(109,'3.4 I&amp;W'!$Y$71)</f>
        <v>0</v>
      </c>
      <c r="H742" s="116">
        <f ca="1">SUBTOTAL(109,'3.4 I&amp;W'!$AD$71)</f>
        <v>0</v>
      </c>
      <c r="I742" s="116">
        <f ca="1">SUBTOTAL(109,'3.4 I&amp;W'!$AE$71)</f>
        <v>0</v>
      </c>
      <c r="J742" s="116"/>
      <c r="K742" s="116"/>
      <c r="L742" s="116"/>
      <c r="M742" s="116">
        <f ca="1">SUBTOTAL(109,'3.4 I&amp;W'!$AI$71)</f>
        <v>60</v>
      </c>
      <c r="N742" s="156">
        <f t="shared" ca="1" si="541"/>
        <v>0</v>
      </c>
      <c r="O742" s="116">
        <f ca="1">SUBTOTAL(109,'3.4 I&amp;W'!$S$71)</f>
        <v>13062.12</v>
      </c>
      <c r="P742" s="30">
        <f t="shared" ref="P742:P784" ca="1" si="581">IF(N742&gt;=1,O742*$G$158^(1*M742)/($G$157^(1*M742)),0)</f>
        <v>0</v>
      </c>
      <c r="Q742" s="31">
        <f t="shared" ref="Q742:Q784" ca="1" si="582">IF(N742&gt;=2,O742*$G$158^(2*M742)/($G$157^(2*M742)),0)</f>
        <v>0</v>
      </c>
      <c r="R742" s="31">
        <f t="shared" ref="R742:R784" ca="1" si="583">IF(N742&gt;=3,O742*$G$158^(3*M742)/($G$157^(3*M742)),0)</f>
        <v>0</v>
      </c>
      <c r="S742" s="31">
        <f t="shared" ref="S742:S784" ca="1" si="584">IF(N742&gt;=4,O742*$G$158^(4*M742)/($G$157^(4*M742)),0)</f>
        <v>0</v>
      </c>
      <c r="T742" s="32">
        <f t="shared" ref="T742:T784" ca="1" si="585">IF(N742&gt;=5,O742*$G$158^(5*M742)/($G$157^(5*M742)),0)</f>
        <v>0</v>
      </c>
      <c r="U742" s="37">
        <f t="shared" ca="1" si="542"/>
        <v>2721.4252870886439</v>
      </c>
      <c r="V742" s="40">
        <f t="shared" ca="1" si="535"/>
        <v>0</v>
      </c>
      <c r="W742" s="41">
        <f t="shared" ca="1" si="536"/>
        <v>0</v>
      </c>
      <c r="X742" s="43"/>
      <c r="Y742" s="46"/>
      <c r="Z742" s="126"/>
      <c r="AA742" s="136"/>
      <c r="AB742" s="131">
        <v>15</v>
      </c>
      <c r="AC742" s="168">
        <f ca="1">IF(AF741&lt;=1,0,'3.4 Fi&amp;Fo'!$I$25)</f>
        <v>47266.884954954228</v>
      </c>
      <c r="AD742" s="169">
        <f ca="1">IF(AF741&lt;=1,0,AF741*'3.4 Fi&amp;Fo'!$H$25)</f>
        <v>16081.337327502533</v>
      </c>
      <c r="AE742" s="169">
        <f t="shared" ca="1" si="545"/>
        <v>31185.547627451695</v>
      </c>
      <c r="AF742" s="170">
        <f t="shared" ca="1" si="546"/>
        <v>772881.31874767493</v>
      </c>
      <c r="AG742" s="168">
        <f>IF(AJ741&lt;=1,0,IF(AB742&lt;='3.4 Fi&amp;Fo'!$F$34,'3.4 Fi&amp;Fo'!$J$34,IF(AB742&lt;='3.4 Fi&amp;Fo'!$F$35,'3.4 Fi&amp;Fo'!$J$35,IF(AB742&lt;='3.4 Fi&amp;Fo'!$F$36,'3.4 Fi&amp;Fo'!$J$36,IF(AB742&lt;='3.4 Fi&amp;Fo'!$F$37,'3.4 Fi&amp;Fo'!$J$37,IF(AB742&lt;='3.4 Fi&amp;Fo'!$F$38,'3.4 Fi&amp;Fo'!$J$38,IF(AB742&lt;='3.4 Fi&amp;Fo'!$F$39,'3.4 Fi&amp;Fo'!$J$39,IF(AB742&lt;='3.4 Fi&amp;Fo'!$F$40,'3.4 Fi&amp;Fo'!$J$40))))))))</f>
        <v>64129.438000000009</v>
      </c>
      <c r="AH742" s="203">
        <f>IF(AJ741&lt;=1,0,AJ741*IF(AB742&lt;='3.4 Fi&amp;Fo'!$F$34,'3.4 Fi&amp;Fo'!$I$34,IF(AB742&lt;='3.4 Fi&amp;Fo'!$F$35,'3.4 Fi&amp;Fo'!$I$35,IF(AB742&lt;='3.4 Fi&amp;Fo'!$F$38,'3.4 Fi&amp;Fo'!$I$38,IF(AB742&lt;='3.4 Fi&amp;Fo'!$F$39,'3.4 Fi&amp;Fo'!$I$39,IF(AB742&lt;='3.4 Fi&amp;Fo'!$F$40,'3.4 Fi&amp;Fo'!$I$40))))))</f>
        <v>109494.22977089456</v>
      </c>
      <c r="AI742" s="203">
        <f t="shared" si="547"/>
        <v>-45364.791770894546</v>
      </c>
      <c r="AJ742" s="204">
        <f t="shared" si="548"/>
        <v>2036168.9694235229</v>
      </c>
      <c r="AK742" s="312">
        <f t="shared" ca="1" si="549"/>
        <v>-140811.0310753464</v>
      </c>
      <c r="AL742" s="169">
        <f>IF(AB742&lt;='3.4 Fi&amp;Fo'!$J$15,'3.4 Fi&amp;Fo'!$I$15,0)</f>
        <v>0</v>
      </c>
      <c r="AM742" s="169">
        <f t="shared" si="561"/>
        <v>29414.70812039217</v>
      </c>
      <c r="AN742" s="838">
        <f t="shared" si="566"/>
        <v>15</v>
      </c>
      <c r="AO742" s="844">
        <f t="shared" ca="1" si="550"/>
        <v>140811.0310753464</v>
      </c>
      <c r="AP742" s="839">
        <f ca="1">CC832</f>
        <v>30560.482289296149</v>
      </c>
      <c r="AQ742" s="844">
        <f t="shared" si="551"/>
        <v>0</v>
      </c>
      <c r="AR742" s="839">
        <f t="shared" ca="1" si="567"/>
        <v>0</v>
      </c>
      <c r="AS742" s="839">
        <f t="shared" ca="1" si="562"/>
        <v>9354.2963302086046</v>
      </c>
      <c r="AT742" s="839">
        <f t="shared" ca="1" si="563"/>
        <v>12380.675098418456</v>
      </c>
      <c r="AU742" s="839">
        <f ca="1">'PV-Einspeisung'!AA223*-1</f>
        <v>0</v>
      </c>
      <c r="AV742" s="839">
        <f ca="1">'PV-Einspeisung'!AE223*-1</f>
        <v>0</v>
      </c>
      <c r="AW742" s="839"/>
      <c r="AX742" s="839">
        <f t="shared" ca="1" si="568"/>
        <v>0</v>
      </c>
      <c r="AY742" s="841">
        <f t="shared" si="552"/>
        <v>15</v>
      </c>
      <c r="AZ742" s="842">
        <f t="shared" ca="1" si="569"/>
        <v>0</v>
      </c>
      <c r="BA742" s="842">
        <f t="shared" ca="1" si="570"/>
        <v>0</v>
      </c>
      <c r="BB742" s="842">
        <f t="shared" ca="1" si="571"/>
        <v>0</v>
      </c>
      <c r="BC742" s="842">
        <f t="shared" ca="1" si="572"/>
        <v>0</v>
      </c>
      <c r="BD742" s="842">
        <f t="shared" ca="1" si="573"/>
        <v>0</v>
      </c>
      <c r="BE742" s="842">
        <f t="shared" ca="1" si="574"/>
        <v>0</v>
      </c>
      <c r="BF742" s="842">
        <f t="shared" ca="1" si="575"/>
        <v>9123.0252962468912</v>
      </c>
      <c r="BG742" s="842">
        <f t="shared" ca="1" si="576"/>
        <v>3257.6498021715656</v>
      </c>
      <c r="BH742" s="858">
        <f t="shared" si="560"/>
        <v>15</v>
      </c>
      <c r="BI742" s="857">
        <f t="shared" ca="1" si="577"/>
        <v>3742.0682113983498</v>
      </c>
      <c r="BJ742" s="857">
        <f t="shared" ca="1" si="578"/>
        <v>5612.2281188102543</v>
      </c>
      <c r="BK742" s="859">
        <f ca="1">'PV-Einspeisung'!AB223*-1</f>
        <v>0</v>
      </c>
      <c r="BL742" s="824">
        <f t="shared" ca="1" si="537"/>
        <v>60</v>
      </c>
      <c r="BM742" s="824">
        <f t="shared" ca="1" si="538"/>
        <v>0</v>
      </c>
      <c r="BN742" s="824">
        <f t="shared" ca="1" si="539"/>
        <v>13062.12</v>
      </c>
      <c r="BO742" s="824">
        <f t="shared" ref="BO742:CD757" ca="1" si="586">IF(OR(IF($BL742*1&lt;$BL$196,$BL742*1=BO$198,FALSE),IF($BL742*2&lt;$BL$196,$BL742*2=BO$198,FALSE),IF($BL742*3&lt;$BL$196,$BL742*3=BO$198,FALSE),IF($BL742*4&lt;$BL$196,$BL742*4=BO$198,FALSE),IF($BL742*5&lt;$BL$196,$BL742*5=BO$198,FALSE)),$BN742*$BM$196^BO$198,0)</f>
        <v>0</v>
      </c>
      <c r="BP742" s="824">
        <f t="shared" ca="1" si="586"/>
        <v>0</v>
      </c>
      <c r="BQ742" s="824">
        <f t="shared" ca="1" si="586"/>
        <v>0</v>
      </c>
      <c r="BR742" s="824">
        <f t="shared" ca="1" si="586"/>
        <v>0</v>
      </c>
      <c r="BS742" s="824">
        <f t="shared" ca="1" si="586"/>
        <v>0</v>
      </c>
      <c r="BT742" s="824">
        <f t="shared" ca="1" si="586"/>
        <v>0</v>
      </c>
      <c r="BU742" s="824">
        <f t="shared" ca="1" si="586"/>
        <v>0</v>
      </c>
      <c r="BV742" s="824">
        <f t="shared" ca="1" si="586"/>
        <v>0</v>
      </c>
      <c r="BW742" s="824">
        <f t="shared" ca="1" si="586"/>
        <v>0</v>
      </c>
      <c r="BX742" s="824">
        <f t="shared" ca="1" si="586"/>
        <v>0</v>
      </c>
      <c r="BY742" s="824">
        <f t="shared" ca="1" si="586"/>
        <v>0</v>
      </c>
      <c r="BZ742" s="824">
        <f t="shared" ca="1" si="586"/>
        <v>0</v>
      </c>
      <c r="CA742" s="824">
        <f t="shared" ca="1" si="586"/>
        <v>0</v>
      </c>
      <c r="CB742" s="824">
        <f t="shared" ca="1" si="586"/>
        <v>0</v>
      </c>
      <c r="CC742" s="824">
        <f t="shared" ca="1" si="586"/>
        <v>0</v>
      </c>
      <c r="CD742" s="824">
        <f t="shared" ca="1" si="586"/>
        <v>0</v>
      </c>
      <c r="CE742" s="824">
        <f t="shared" ca="1" si="579"/>
        <v>0</v>
      </c>
      <c r="CF742" s="824">
        <f t="shared" ca="1" si="579"/>
        <v>0</v>
      </c>
      <c r="CG742" s="824">
        <f t="shared" ca="1" si="579"/>
        <v>0</v>
      </c>
      <c r="CH742" s="824">
        <f t="shared" ca="1" si="579"/>
        <v>0</v>
      </c>
      <c r="CI742" s="824">
        <f t="shared" ca="1" si="579"/>
        <v>0</v>
      </c>
      <c r="CJ742" s="824">
        <f t="shared" ca="1" si="579"/>
        <v>0</v>
      </c>
      <c r="CK742" s="824">
        <f t="shared" ca="1" si="579"/>
        <v>0</v>
      </c>
      <c r="CL742" s="824">
        <f t="shared" ca="1" si="579"/>
        <v>0</v>
      </c>
      <c r="CM742" s="824">
        <f t="shared" ca="1" si="579"/>
        <v>0</v>
      </c>
      <c r="CN742" s="824">
        <f t="shared" ca="1" si="579"/>
        <v>0</v>
      </c>
      <c r="CO742" s="824">
        <f t="shared" ca="1" si="579"/>
        <v>0</v>
      </c>
      <c r="CP742" s="824">
        <f t="shared" ca="1" si="579"/>
        <v>0</v>
      </c>
      <c r="CQ742" s="824">
        <f t="shared" ca="1" si="579"/>
        <v>0</v>
      </c>
      <c r="CR742" s="824">
        <f t="shared" ca="1" si="579"/>
        <v>0</v>
      </c>
      <c r="CS742" s="824">
        <f t="shared" ca="1" si="579"/>
        <v>0</v>
      </c>
      <c r="CT742" s="824">
        <f t="shared" ca="1" si="579"/>
        <v>0</v>
      </c>
      <c r="CU742" s="824">
        <f t="shared" ca="1" si="564"/>
        <v>0</v>
      </c>
      <c r="CV742" s="824">
        <f t="shared" ca="1" si="564"/>
        <v>0</v>
      </c>
      <c r="CW742" s="824">
        <f t="shared" ca="1" si="564"/>
        <v>0</v>
      </c>
      <c r="CX742" s="824">
        <f t="shared" ca="1" si="564"/>
        <v>0</v>
      </c>
      <c r="CY742" s="824">
        <f t="shared" ca="1" si="564"/>
        <v>0</v>
      </c>
      <c r="CZ742" s="824">
        <f t="shared" ca="1" si="564"/>
        <v>0</v>
      </c>
      <c r="DA742" s="824">
        <f t="shared" ca="1" si="565"/>
        <v>0</v>
      </c>
      <c r="DB742" s="824">
        <f t="shared" ca="1" si="565"/>
        <v>0</v>
      </c>
      <c r="DC742" s="824">
        <f t="shared" ca="1" si="565"/>
        <v>0</v>
      </c>
      <c r="DD742" s="824">
        <f t="shared" ca="1" si="565"/>
        <v>0</v>
      </c>
      <c r="DE742" s="824">
        <f t="shared" ca="1" si="565"/>
        <v>0</v>
      </c>
      <c r="DF742" s="824">
        <f t="shared" ca="1" si="565"/>
        <v>0</v>
      </c>
      <c r="DG742" s="824">
        <f t="shared" ca="1" si="565"/>
        <v>0</v>
      </c>
      <c r="DH742" s="824">
        <f t="shared" ca="1" si="565"/>
        <v>0</v>
      </c>
      <c r="DI742" s="824">
        <f t="shared" ca="1" si="565"/>
        <v>0</v>
      </c>
      <c r="DJ742" s="824">
        <f t="shared" ca="1" si="565"/>
        <v>0</v>
      </c>
      <c r="DK742" s="824">
        <f t="shared" ca="1" si="565"/>
        <v>0</v>
      </c>
      <c r="DL742" s="824">
        <f t="shared" ca="1" si="565"/>
        <v>0</v>
      </c>
    </row>
    <row r="743" spans="2:116" ht="12" thickBot="1" x14ac:dyDescent="0.3">
      <c r="B743" s="1673"/>
      <c r="C743" s="1680"/>
      <c r="D743" s="15"/>
      <c r="E743" s="116"/>
      <c r="F743" s="116">
        <f ca="1">SUBTOTAL(109,'3.4 I&amp;W'!$X$72)</f>
        <v>0</v>
      </c>
      <c r="G743" s="116">
        <f ca="1">SUBTOTAL(109,'3.4 I&amp;W'!$Y$72)</f>
        <v>0</v>
      </c>
      <c r="H743" s="116">
        <f ca="1">SUBTOTAL(109,'3.4 I&amp;W'!$AD$72)</f>
        <v>0</v>
      </c>
      <c r="I743" s="116">
        <f ca="1">SUBTOTAL(109,'3.4 I&amp;W'!$AE$72)</f>
        <v>0</v>
      </c>
      <c r="J743" s="116"/>
      <c r="K743" s="116"/>
      <c r="L743" s="116"/>
      <c r="M743" s="116">
        <f ca="1">SUBTOTAL(109,'3.4 I&amp;W'!$AI$72)</f>
        <v>0</v>
      </c>
      <c r="N743" s="156">
        <f t="shared" ca="1" si="541"/>
        <v>0</v>
      </c>
      <c r="O743" s="116">
        <f ca="1">SUBTOTAL(109,'3.4 I&amp;W'!$S$72)</f>
        <v>0</v>
      </c>
      <c r="P743" s="30">
        <f t="shared" ca="1" si="581"/>
        <v>0</v>
      </c>
      <c r="Q743" s="31">
        <f t="shared" ca="1" si="582"/>
        <v>0</v>
      </c>
      <c r="R743" s="31">
        <f t="shared" ca="1" si="583"/>
        <v>0</v>
      </c>
      <c r="S743" s="31">
        <f t="shared" ca="1" si="584"/>
        <v>0</v>
      </c>
      <c r="T743" s="32">
        <f t="shared" ca="1" si="585"/>
        <v>0</v>
      </c>
      <c r="U743" s="37">
        <f t="shared" ca="1" si="542"/>
        <v>0</v>
      </c>
      <c r="V743" s="40">
        <f t="shared" ca="1" si="535"/>
        <v>0</v>
      </c>
      <c r="W743" s="41">
        <f t="shared" ca="1" si="536"/>
        <v>0</v>
      </c>
      <c r="X743" s="43"/>
      <c r="Y743" s="46"/>
      <c r="Z743" s="126"/>
      <c r="AA743" s="136"/>
      <c r="AB743" s="131">
        <v>16</v>
      </c>
      <c r="AC743" s="168">
        <f ca="1">IF(AF742&lt;=1,0,'3.4 Fi&amp;Fo'!$I$25)</f>
        <v>47266.884954954228</v>
      </c>
      <c r="AD743" s="169">
        <f ca="1">IF(AF742&lt;=1,0,AF742*'3.4 Fi&amp;Fo'!$H$25)</f>
        <v>15457.626374953499</v>
      </c>
      <c r="AE743" s="169">
        <f t="shared" ca="1" si="545"/>
        <v>31809.258580000729</v>
      </c>
      <c r="AF743" s="170">
        <f t="shared" ca="1" si="546"/>
        <v>741072.06016767421</v>
      </c>
      <c r="AG743" s="168">
        <f>IF(AJ742&lt;=1,0,IF(AB743&lt;='3.4 Fi&amp;Fo'!$F$34,'3.4 Fi&amp;Fo'!$J$34,IF(AB743&lt;='3.4 Fi&amp;Fo'!$F$35,'3.4 Fi&amp;Fo'!$J$35,IF(AB743&lt;='3.4 Fi&amp;Fo'!$F$36,'3.4 Fi&amp;Fo'!$J$36,IF(AB743&lt;='3.4 Fi&amp;Fo'!$F$37,'3.4 Fi&amp;Fo'!$J$37,IF(AB743&lt;='3.4 Fi&amp;Fo'!$F$38,'3.4 Fi&amp;Fo'!$J$38,IF(AB743&lt;='3.4 Fi&amp;Fo'!$F$39,'3.4 Fi&amp;Fo'!$J$39,IF(AB743&lt;='3.4 Fi&amp;Fo'!$F$40,'3.4 Fi&amp;Fo'!$J$40))))))))</f>
        <v>82448.706000000006</v>
      </c>
      <c r="AH743" s="203">
        <f>IF(AJ742&lt;=1,0,AJ742*IF(AB743&lt;='3.4 Fi&amp;Fo'!$F$34,'3.4 Fi&amp;Fo'!$I$34,IF(AB743&lt;='3.4 Fi&amp;Fo'!$F$35,'3.4 Fi&amp;Fo'!$I$35,IF(AB743&lt;='3.4 Fi&amp;Fo'!$F$38,'3.4 Fi&amp;Fo'!$I$38,IF(AB743&lt;='3.4 Fi&amp;Fo'!$F$39,'3.4 Fi&amp;Fo'!$I$39,IF(AB743&lt;='3.4 Fi&amp;Fo'!$F$40,'3.4 Fi&amp;Fo'!$I$40))))))</f>
        <v>111989.29331829376</v>
      </c>
      <c r="AI743" s="203">
        <f t="shared" si="547"/>
        <v>-29540.58731829375</v>
      </c>
      <c r="AJ743" s="204">
        <f t="shared" si="548"/>
        <v>2065709.5567418167</v>
      </c>
      <c r="AK743" s="312">
        <f t="shared" ca="1" si="549"/>
        <v>-159718.59323775509</v>
      </c>
      <c r="AL743" s="169">
        <f>IF(AB743&lt;='3.4 Fi&amp;Fo'!$J$15,'3.4 Fi&amp;Fo'!$I$15,0)</f>
        <v>0</v>
      </c>
      <c r="AM743" s="169">
        <f t="shared" si="561"/>
        <v>30003.002282800851</v>
      </c>
      <c r="AN743" s="838">
        <f t="shared" si="566"/>
        <v>16</v>
      </c>
      <c r="AO743" s="844">
        <f t="shared" ca="1" si="550"/>
        <v>159718.59323775509</v>
      </c>
      <c r="AP743" s="839">
        <f ca="1">CD832</f>
        <v>0</v>
      </c>
      <c r="AQ743" s="844">
        <f t="shared" si="551"/>
        <v>0</v>
      </c>
      <c r="AR743" s="839">
        <f t="shared" ca="1" si="567"/>
        <v>0</v>
      </c>
      <c r="AS743" s="839">
        <f t="shared" ca="1" si="562"/>
        <v>9503.9650714919426</v>
      </c>
      <c r="AT743" s="839">
        <f t="shared" ca="1" si="563"/>
        <v>12722.768473900633</v>
      </c>
      <c r="AU743" s="839">
        <f ca="1">'PV-Einspeisung'!AA224*-1</f>
        <v>0</v>
      </c>
      <c r="AV743" s="839">
        <f ca="1">'PV-Einspeisung'!AE224*-1</f>
        <v>0</v>
      </c>
      <c r="AW743" s="839"/>
      <c r="AX743" s="839">
        <f t="shared" ca="1" si="568"/>
        <v>0</v>
      </c>
      <c r="AY743" s="841">
        <f t="shared" si="552"/>
        <v>16</v>
      </c>
      <c r="AZ743" s="842">
        <f t="shared" ca="1" si="569"/>
        <v>0</v>
      </c>
      <c r="BA743" s="842">
        <f t="shared" ca="1" si="570"/>
        <v>0</v>
      </c>
      <c r="BB743" s="842">
        <f t="shared" ca="1" si="571"/>
        <v>0</v>
      </c>
      <c r="BC743" s="842">
        <f t="shared" ca="1" si="572"/>
        <v>0</v>
      </c>
      <c r="BD743" s="842">
        <f t="shared" ca="1" si="573"/>
        <v>0</v>
      </c>
      <c r="BE743" s="842">
        <f t="shared" ca="1" si="574"/>
        <v>0</v>
      </c>
      <c r="BF743" s="842">
        <f t="shared" ca="1" si="575"/>
        <v>9351.1009286530625</v>
      </c>
      <c r="BG743" s="842">
        <f t="shared" ca="1" si="576"/>
        <v>3371.6675452475702</v>
      </c>
      <c r="BH743" s="858">
        <f t="shared" si="560"/>
        <v>16</v>
      </c>
      <c r="BI743" s="857">
        <f t="shared" ca="1" si="577"/>
        <v>3801.9413027807236</v>
      </c>
      <c r="BJ743" s="857">
        <f t="shared" ca="1" si="578"/>
        <v>5702.0237687112185</v>
      </c>
      <c r="BK743" s="859">
        <f ca="1">'PV-Einspeisung'!AB224*-1</f>
        <v>0</v>
      </c>
      <c r="BL743" s="824">
        <f t="shared" ca="1" si="537"/>
        <v>0</v>
      </c>
      <c r="BM743" s="824">
        <f t="shared" ca="1" si="538"/>
        <v>0</v>
      </c>
      <c r="BN743" s="824">
        <f t="shared" ca="1" si="539"/>
        <v>0</v>
      </c>
      <c r="BO743" s="824">
        <f t="shared" ca="1" si="586"/>
        <v>0</v>
      </c>
      <c r="BP743" s="824">
        <f t="shared" ca="1" si="586"/>
        <v>0</v>
      </c>
      <c r="BQ743" s="824">
        <f t="shared" ca="1" si="586"/>
        <v>0</v>
      </c>
      <c r="BR743" s="824">
        <f t="shared" ca="1" si="586"/>
        <v>0</v>
      </c>
      <c r="BS743" s="824">
        <f t="shared" ca="1" si="586"/>
        <v>0</v>
      </c>
      <c r="BT743" s="824">
        <f t="shared" ca="1" si="586"/>
        <v>0</v>
      </c>
      <c r="BU743" s="824">
        <f t="shared" ca="1" si="586"/>
        <v>0</v>
      </c>
      <c r="BV743" s="824">
        <f t="shared" ca="1" si="586"/>
        <v>0</v>
      </c>
      <c r="BW743" s="824">
        <f t="shared" ca="1" si="586"/>
        <v>0</v>
      </c>
      <c r="BX743" s="824">
        <f t="shared" ca="1" si="586"/>
        <v>0</v>
      </c>
      <c r="BY743" s="824">
        <f t="shared" ca="1" si="586"/>
        <v>0</v>
      </c>
      <c r="BZ743" s="824">
        <f t="shared" ca="1" si="586"/>
        <v>0</v>
      </c>
      <c r="CA743" s="824">
        <f t="shared" ca="1" si="586"/>
        <v>0</v>
      </c>
      <c r="CB743" s="824">
        <f t="shared" ca="1" si="586"/>
        <v>0</v>
      </c>
      <c r="CC743" s="824">
        <f t="shared" ca="1" si="586"/>
        <v>0</v>
      </c>
      <c r="CD743" s="824">
        <f t="shared" ca="1" si="586"/>
        <v>0</v>
      </c>
      <c r="CE743" s="824">
        <f t="shared" ca="1" si="579"/>
        <v>0</v>
      </c>
      <c r="CF743" s="824">
        <f t="shared" ca="1" si="579"/>
        <v>0</v>
      </c>
      <c r="CG743" s="824">
        <f t="shared" ca="1" si="579"/>
        <v>0</v>
      </c>
      <c r="CH743" s="824">
        <f t="shared" ca="1" si="579"/>
        <v>0</v>
      </c>
      <c r="CI743" s="824">
        <f t="shared" ca="1" si="579"/>
        <v>0</v>
      </c>
      <c r="CJ743" s="824">
        <f t="shared" ca="1" si="579"/>
        <v>0</v>
      </c>
      <c r="CK743" s="824">
        <f t="shared" ca="1" si="579"/>
        <v>0</v>
      </c>
      <c r="CL743" s="824">
        <f t="shared" ca="1" si="579"/>
        <v>0</v>
      </c>
      <c r="CM743" s="824">
        <f t="shared" ca="1" si="579"/>
        <v>0</v>
      </c>
      <c r="CN743" s="824">
        <f t="shared" ca="1" si="579"/>
        <v>0</v>
      </c>
      <c r="CO743" s="824">
        <f t="shared" ca="1" si="579"/>
        <v>0</v>
      </c>
      <c r="CP743" s="824">
        <f t="shared" ca="1" si="579"/>
        <v>0</v>
      </c>
      <c r="CQ743" s="824">
        <f t="shared" ca="1" si="579"/>
        <v>0</v>
      </c>
      <c r="CR743" s="824">
        <f t="shared" ca="1" si="579"/>
        <v>0</v>
      </c>
      <c r="CS743" s="824">
        <f t="shared" ca="1" si="579"/>
        <v>0</v>
      </c>
      <c r="CT743" s="824">
        <f t="shared" ca="1" si="579"/>
        <v>0</v>
      </c>
      <c r="CU743" s="824">
        <f t="shared" ca="1" si="564"/>
        <v>0</v>
      </c>
      <c r="CV743" s="824">
        <f t="shared" ca="1" si="564"/>
        <v>0</v>
      </c>
      <c r="CW743" s="824">
        <f t="shared" ca="1" si="564"/>
        <v>0</v>
      </c>
      <c r="CX743" s="824">
        <f t="shared" ca="1" si="564"/>
        <v>0</v>
      </c>
      <c r="CY743" s="824">
        <f t="shared" ca="1" si="564"/>
        <v>0</v>
      </c>
      <c r="CZ743" s="824">
        <f t="shared" ca="1" si="564"/>
        <v>0</v>
      </c>
      <c r="DA743" s="824">
        <f t="shared" ca="1" si="565"/>
        <v>0</v>
      </c>
      <c r="DB743" s="824">
        <f t="shared" ca="1" si="565"/>
        <v>0</v>
      </c>
      <c r="DC743" s="824">
        <f t="shared" ca="1" si="565"/>
        <v>0</v>
      </c>
      <c r="DD743" s="824">
        <f t="shared" ca="1" si="565"/>
        <v>0</v>
      </c>
      <c r="DE743" s="824">
        <f t="shared" ca="1" si="565"/>
        <v>0</v>
      </c>
      <c r="DF743" s="824">
        <f t="shared" ca="1" si="565"/>
        <v>0</v>
      </c>
      <c r="DG743" s="824">
        <f t="shared" ca="1" si="565"/>
        <v>0</v>
      </c>
      <c r="DH743" s="824">
        <f t="shared" ca="1" si="565"/>
        <v>0</v>
      </c>
      <c r="DI743" s="824">
        <f t="shared" ca="1" si="565"/>
        <v>0</v>
      </c>
      <c r="DJ743" s="824">
        <f t="shared" ca="1" si="565"/>
        <v>0</v>
      </c>
      <c r="DK743" s="824">
        <f t="shared" ca="1" si="565"/>
        <v>0</v>
      </c>
      <c r="DL743" s="824">
        <f t="shared" ca="1" si="565"/>
        <v>0</v>
      </c>
    </row>
    <row r="744" spans="2:116" ht="12" thickBot="1" x14ac:dyDescent="0.3">
      <c r="B744" s="1673"/>
      <c r="C744" s="1680"/>
      <c r="D744" s="15" t="s">
        <v>129</v>
      </c>
      <c r="E744" s="165"/>
      <c r="F744" s="116">
        <f ca="1">SUBTOTAL(109,'3.4 I&amp;W'!$X$76)</f>
        <v>0</v>
      </c>
      <c r="G744" s="116">
        <f ca="1">SUBTOTAL(109,'3.4 I&amp;W'!$Y$76)</f>
        <v>0</v>
      </c>
      <c r="H744" s="116">
        <f ca="1">SUBTOTAL(109,'3.4 I&amp;W'!$AD$76)</f>
        <v>0</v>
      </c>
      <c r="I744" s="116">
        <f ca="1">SUBTOTAL(109,'3.4 I&amp;W'!$AE$76)</f>
        <v>0</v>
      </c>
      <c r="J744" s="116"/>
      <c r="K744" s="116"/>
      <c r="L744" s="116"/>
      <c r="M744" s="116">
        <f ca="1">SUBTOTAL(109,'3.4 I&amp;W'!$AI$76)</f>
        <v>50</v>
      </c>
      <c r="N744" s="156">
        <f t="shared" ca="1" si="541"/>
        <v>0</v>
      </c>
      <c r="O744" s="116">
        <f ca="1">SUBTOTAL(109,'3.4 I&amp;W'!$S$76)</f>
        <v>91980</v>
      </c>
      <c r="P744" s="30">
        <f t="shared" ca="1" si="581"/>
        <v>0</v>
      </c>
      <c r="Q744" s="31">
        <f t="shared" ca="1" si="582"/>
        <v>0</v>
      </c>
      <c r="R744" s="31">
        <f t="shared" ca="1" si="583"/>
        <v>0</v>
      </c>
      <c r="S744" s="31">
        <f t="shared" ca="1" si="584"/>
        <v>0</v>
      </c>
      <c r="T744" s="32">
        <f t="shared" ca="1" si="585"/>
        <v>0</v>
      </c>
      <c r="U744" s="37">
        <f t="shared" ca="1" si="542"/>
        <v>13797.761963036452</v>
      </c>
      <c r="V744" s="40">
        <f t="shared" ca="1" si="535"/>
        <v>0</v>
      </c>
      <c r="W744" s="41">
        <f t="shared" ca="1" si="536"/>
        <v>0</v>
      </c>
      <c r="X744" s="43"/>
      <c r="Y744" s="46"/>
      <c r="Z744" s="126"/>
      <c r="AA744" s="136"/>
      <c r="AB744" s="131">
        <v>17</v>
      </c>
      <c r="AC744" s="168">
        <f ca="1">IF(AF743&lt;=1,0,'3.4 Fi&amp;Fo'!$I$25)</f>
        <v>47266.884954954228</v>
      </c>
      <c r="AD744" s="169">
        <f ca="1">IF(AF743&lt;=1,0,AF743*'3.4 Fi&amp;Fo'!$H$25)</f>
        <v>14821.441203353485</v>
      </c>
      <c r="AE744" s="169">
        <f t="shared" ca="1" si="545"/>
        <v>32445.443751600746</v>
      </c>
      <c r="AF744" s="170">
        <f t="shared" ca="1" si="546"/>
        <v>708626.6164160734</v>
      </c>
      <c r="AG744" s="168">
        <f>IF(AJ743&lt;=1,0,IF(AB744&lt;='3.4 Fi&amp;Fo'!$F$34,'3.4 Fi&amp;Fo'!$J$34,IF(AB744&lt;='3.4 Fi&amp;Fo'!$F$35,'3.4 Fi&amp;Fo'!$J$35,IF(AB744&lt;='3.4 Fi&amp;Fo'!$F$36,'3.4 Fi&amp;Fo'!$J$36,IF(AB744&lt;='3.4 Fi&amp;Fo'!$F$37,'3.4 Fi&amp;Fo'!$J$37,IF(AB744&lt;='3.4 Fi&amp;Fo'!$F$38,'3.4 Fi&amp;Fo'!$J$38,IF(AB744&lt;='3.4 Fi&amp;Fo'!$F$39,'3.4 Fi&amp;Fo'!$J$39,IF(AB744&lt;='3.4 Fi&amp;Fo'!$F$40,'3.4 Fi&amp;Fo'!$J$40))))))))</f>
        <v>82448.706000000006</v>
      </c>
      <c r="AH744" s="203">
        <f>IF(AJ743&lt;=1,0,AJ743*IF(AB744&lt;='3.4 Fi&amp;Fo'!$F$34,'3.4 Fi&amp;Fo'!$I$34,IF(AB744&lt;='3.4 Fi&amp;Fo'!$F$35,'3.4 Fi&amp;Fo'!$I$35,IF(AB744&lt;='3.4 Fi&amp;Fo'!$F$38,'3.4 Fi&amp;Fo'!$I$38,IF(AB744&lt;='3.4 Fi&amp;Fo'!$F$39,'3.4 Fi&amp;Fo'!$I$39,IF(AB744&lt;='3.4 Fi&amp;Fo'!$F$40,'3.4 Fi&amp;Fo'!$I$40))))))</f>
        <v>113614.02562079992</v>
      </c>
      <c r="AI744" s="203">
        <f t="shared" si="547"/>
        <v>-31165.319620799914</v>
      </c>
      <c r="AJ744" s="204">
        <f t="shared" si="548"/>
        <v>2096874.8763626167</v>
      </c>
      <c r="AK744" s="312">
        <f t="shared" ca="1" si="549"/>
        <v>-160318.65328341114</v>
      </c>
      <c r="AL744" s="169">
        <f>IF(AB744&lt;='3.4 Fi&amp;Fo'!$J$15,'3.4 Fi&amp;Fo'!$I$15,0)</f>
        <v>0</v>
      </c>
      <c r="AM744" s="169">
        <f t="shared" si="561"/>
        <v>30603.062328456901</v>
      </c>
      <c r="AN744" s="838">
        <f t="shared" si="566"/>
        <v>17</v>
      </c>
      <c r="AO744" s="844">
        <f t="shared" ca="1" si="550"/>
        <v>160318.65328341114</v>
      </c>
      <c r="AP744" s="839">
        <f ca="1">CE832</f>
        <v>0</v>
      </c>
      <c r="AQ744" s="844">
        <f t="shared" si="551"/>
        <v>0</v>
      </c>
      <c r="AR744" s="839">
        <f t="shared" ca="1" si="567"/>
        <v>0</v>
      </c>
      <c r="AS744" s="839">
        <f t="shared" ca="1" si="562"/>
        <v>9656.028512635814</v>
      </c>
      <c r="AT744" s="839">
        <f t="shared" ca="1" si="563"/>
        <v>13074.554361200622</v>
      </c>
      <c r="AU744" s="839">
        <f ca="1">'PV-Einspeisung'!AA225*-1</f>
        <v>0</v>
      </c>
      <c r="AV744" s="839">
        <f ca="1">'PV-Einspeisung'!AE225*-1</f>
        <v>0</v>
      </c>
      <c r="AW744" s="839"/>
      <c r="AX744" s="839">
        <f t="shared" ca="1" si="568"/>
        <v>0</v>
      </c>
      <c r="AY744" s="841">
        <f t="shared" si="552"/>
        <v>17</v>
      </c>
      <c r="AZ744" s="842">
        <f t="shared" ca="1" si="569"/>
        <v>0</v>
      </c>
      <c r="BA744" s="842">
        <f t="shared" ca="1" si="570"/>
        <v>0</v>
      </c>
      <c r="BB744" s="842">
        <f t="shared" ca="1" si="571"/>
        <v>0</v>
      </c>
      <c r="BC744" s="842">
        <f t="shared" ca="1" si="572"/>
        <v>0</v>
      </c>
      <c r="BD744" s="842">
        <f t="shared" ca="1" si="573"/>
        <v>0</v>
      </c>
      <c r="BE744" s="842">
        <f t="shared" ca="1" si="574"/>
        <v>0</v>
      </c>
      <c r="BF744" s="842">
        <f t="shared" ca="1" si="575"/>
        <v>9584.8784518693883</v>
      </c>
      <c r="BG744" s="842">
        <f t="shared" ca="1" si="576"/>
        <v>3489.6759093312348</v>
      </c>
      <c r="BH744" s="858">
        <f t="shared" si="560"/>
        <v>17</v>
      </c>
      <c r="BI744" s="857">
        <f t="shared" ca="1" si="577"/>
        <v>3862.7723636252153</v>
      </c>
      <c r="BJ744" s="857">
        <f t="shared" ca="1" si="578"/>
        <v>5793.2561490105982</v>
      </c>
      <c r="BK744" s="859">
        <f ca="1">'PV-Einspeisung'!AB225*-1</f>
        <v>0</v>
      </c>
      <c r="BL744" s="824">
        <f t="shared" ca="1" si="537"/>
        <v>50</v>
      </c>
      <c r="BM744" s="824">
        <f t="shared" ca="1" si="538"/>
        <v>0</v>
      </c>
      <c r="BN744" s="824">
        <f t="shared" ca="1" si="539"/>
        <v>91980</v>
      </c>
      <c r="BO744" s="824">
        <f t="shared" ca="1" si="586"/>
        <v>0</v>
      </c>
      <c r="BP744" s="824">
        <f t="shared" ca="1" si="586"/>
        <v>0</v>
      </c>
      <c r="BQ744" s="824">
        <f t="shared" ca="1" si="586"/>
        <v>0</v>
      </c>
      <c r="BR744" s="824">
        <f t="shared" ca="1" si="586"/>
        <v>0</v>
      </c>
      <c r="BS744" s="824">
        <f t="shared" ca="1" si="586"/>
        <v>0</v>
      </c>
      <c r="BT744" s="824">
        <f t="shared" ca="1" si="586"/>
        <v>0</v>
      </c>
      <c r="BU744" s="824">
        <f t="shared" ca="1" si="586"/>
        <v>0</v>
      </c>
      <c r="BV744" s="824">
        <f t="shared" ca="1" si="586"/>
        <v>0</v>
      </c>
      <c r="BW744" s="824">
        <f t="shared" ca="1" si="586"/>
        <v>0</v>
      </c>
      <c r="BX744" s="824">
        <f t="shared" ca="1" si="586"/>
        <v>0</v>
      </c>
      <c r="BY744" s="824">
        <f t="shared" ca="1" si="586"/>
        <v>0</v>
      </c>
      <c r="BZ744" s="824">
        <f t="shared" ca="1" si="586"/>
        <v>0</v>
      </c>
      <c r="CA744" s="824">
        <f t="shared" ca="1" si="586"/>
        <v>0</v>
      </c>
      <c r="CB744" s="824">
        <f t="shared" ca="1" si="586"/>
        <v>0</v>
      </c>
      <c r="CC744" s="824">
        <f t="shared" ca="1" si="586"/>
        <v>0</v>
      </c>
      <c r="CD744" s="824">
        <f t="shared" ca="1" si="586"/>
        <v>0</v>
      </c>
      <c r="CE744" s="824">
        <f t="shared" ca="1" si="579"/>
        <v>0</v>
      </c>
      <c r="CF744" s="824">
        <f t="shared" ca="1" si="579"/>
        <v>0</v>
      </c>
      <c r="CG744" s="824">
        <f t="shared" ca="1" si="579"/>
        <v>0</v>
      </c>
      <c r="CH744" s="824">
        <f t="shared" ca="1" si="579"/>
        <v>0</v>
      </c>
      <c r="CI744" s="824">
        <f t="shared" ca="1" si="579"/>
        <v>0</v>
      </c>
      <c r="CJ744" s="824">
        <f t="shared" ca="1" si="579"/>
        <v>0</v>
      </c>
      <c r="CK744" s="824">
        <f t="shared" ca="1" si="579"/>
        <v>0</v>
      </c>
      <c r="CL744" s="824">
        <f t="shared" ca="1" si="579"/>
        <v>0</v>
      </c>
      <c r="CM744" s="824">
        <f t="shared" ca="1" si="579"/>
        <v>0</v>
      </c>
      <c r="CN744" s="824">
        <f t="shared" ca="1" si="579"/>
        <v>0</v>
      </c>
      <c r="CO744" s="824">
        <f t="shared" ca="1" si="579"/>
        <v>0</v>
      </c>
      <c r="CP744" s="824">
        <f t="shared" ca="1" si="579"/>
        <v>0</v>
      </c>
      <c r="CQ744" s="824">
        <f t="shared" ca="1" si="579"/>
        <v>0</v>
      </c>
      <c r="CR744" s="824">
        <f t="shared" ca="1" si="579"/>
        <v>0</v>
      </c>
      <c r="CS744" s="824">
        <f t="shared" ca="1" si="579"/>
        <v>0</v>
      </c>
      <c r="CT744" s="824">
        <f t="shared" ca="1" si="579"/>
        <v>0</v>
      </c>
      <c r="CU744" s="824">
        <f t="shared" ca="1" si="564"/>
        <v>0</v>
      </c>
      <c r="CV744" s="824">
        <f t="shared" ca="1" si="564"/>
        <v>0</v>
      </c>
      <c r="CW744" s="824">
        <f t="shared" ca="1" si="564"/>
        <v>0</v>
      </c>
      <c r="CX744" s="824">
        <f t="shared" ca="1" si="564"/>
        <v>0</v>
      </c>
      <c r="CY744" s="824">
        <f t="shared" ca="1" si="564"/>
        <v>0</v>
      </c>
      <c r="CZ744" s="824">
        <f t="shared" ca="1" si="564"/>
        <v>0</v>
      </c>
      <c r="DA744" s="824">
        <f t="shared" ca="1" si="565"/>
        <v>0</v>
      </c>
      <c r="DB744" s="824">
        <f t="shared" ca="1" si="565"/>
        <v>0</v>
      </c>
      <c r="DC744" s="824">
        <f t="shared" ca="1" si="565"/>
        <v>0</v>
      </c>
      <c r="DD744" s="824">
        <f t="shared" ca="1" si="565"/>
        <v>0</v>
      </c>
      <c r="DE744" s="824">
        <f t="shared" ca="1" si="565"/>
        <v>0</v>
      </c>
      <c r="DF744" s="824">
        <f t="shared" ca="1" si="565"/>
        <v>0</v>
      </c>
      <c r="DG744" s="824">
        <f t="shared" ca="1" si="565"/>
        <v>0</v>
      </c>
      <c r="DH744" s="824">
        <f t="shared" ca="1" si="565"/>
        <v>0</v>
      </c>
      <c r="DI744" s="824">
        <f t="shared" ca="1" si="565"/>
        <v>0</v>
      </c>
      <c r="DJ744" s="824">
        <f t="shared" ca="1" si="565"/>
        <v>0</v>
      </c>
      <c r="DK744" s="824">
        <f t="shared" ca="1" si="565"/>
        <v>0</v>
      </c>
      <c r="DL744" s="824">
        <f t="shared" ca="1" si="565"/>
        <v>0</v>
      </c>
    </row>
    <row r="745" spans="2:116" ht="12" thickBot="1" x14ac:dyDescent="0.3">
      <c r="B745" s="1673"/>
      <c r="C745" s="1680"/>
      <c r="D745" s="15" t="s">
        <v>129</v>
      </c>
      <c r="E745" s="116"/>
      <c r="F745" s="116">
        <f ca="1">SUBTOTAL(109,'3.4 I&amp;W'!$X$77)</f>
        <v>0</v>
      </c>
      <c r="G745" s="116">
        <f ca="1">SUBTOTAL(109,'3.4 I&amp;W'!$Y$77)</f>
        <v>0</v>
      </c>
      <c r="H745" s="116">
        <f ca="1">SUBTOTAL(109,'3.4 I&amp;W'!$AD$77)</f>
        <v>0</v>
      </c>
      <c r="I745" s="116">
        <f ca="1">SUBTOTAL(109,'3.4 I&amp;W'!$AE$77)</f>
        <v>0</v>
      </c>
      <c r="J745" s="116"/>
      <c r="K745" s="116"/>
      <c r="L745" s="116"/>
      <c r="M745" s="116">
        <f ca="1">SUBTOTAL(109,'3.4 I&amp;W'!$AI$77)</f>
        <v>80</v>
      </c>
      <c r="N745" s="156">
        <f t="shared" ca="1" si="541"/>
        <v>0</v>
      </c>
      <c r="O745" s="116">
        <f ca="1">SUBTOTAL(109,'3.4 I&amp;W'!$S$77)</f>
        <v>14448</v>
      </c>
      <c r="P745" s="30">
        <f t="shared" ca="1" si="581"/>
        <v>0</v>
      </c>
      <c r="Q745" s="31">
        <f t="shared" ca="1" si="582"/>
        <v>0</v>
      </c>
      <c r="R745" s="31">
        <f t="shared" ca="1" si="583"/>
        <v>0</v>
      </c>
      <c r="S745" s="31">
        <f t="shared" ca="1" si="584"/>
        <v>0</v>
      </c>
      <c r="T745" s="32">
        <f t="shared" ca="1" si="585"/>
        <v>0</v>
      </c>
      <c r="U745" s="37">
        <f t="shared" ca="1" si="542"/>
        <v>4063.7244137710095</v>
      </c>
      <c r="V745" s="40">
        <f t="shared" ca="1" si="535"/>
        <v>0</v>
      </c>
      <c r="W745" s="41">
        <f t="shared" ca="1" si="536"/>
        <v>0</v>
      </c>
      <c r="X745" s="43"/>
      <c r="Y745" s="46"/>
      <c r="Z745" s="126"/>
      <c r="AA745" s="136"/>
      <c r="AB745" s="131">
        <v>18</v>
      </c>
      <c r="AC745" s="168">
        <f ca="1">IF(AF744&lt;=1,0,'3.4 Fi&amp;Fo'!$I$25)</f>
        <v>47266.884954954228</v>
      </c>
      <c r="AD745" s="169">
        <f ca="1">IF(AF744&lt;=1,0,AF744*'3.4 Fi&amp;Fo'!$H$25)</f>
        <v>14172.532328321468</v>
      </c>
      <c r="AE745" s="169">
        <f t="shared" ca="1" si="545"/>
        <v>33094.352626632761</v>
      </c>
      <c r="AF745" s="170">
        <f t="shared" ca="1" si="546"/>
        <v>675532.26378944062</v>
      </c>
      <c r="AG745" s="168">
        <f>IF(AJ744&lt;=1,0,IF(AB745&lt;='3.4 Fi&amp;Fo'!$F$34,'3.4 Fi&amp;Fo'!$J$34,IF(AB745&lt;='3.4 Fi&amp;Fo'!$F$35,'3.4 Fi&amp;Fo'!$J$35,IF(AB745&lt;='3.4 Fi&amp;Fo'!$F$36,'3.4 Fi&amp;Fo'!$J$36,IF(AB745&lt;='3.4 Fi&amp;Fo'!$F$37,'3.4 Fi&amp;Fo'!$J$37,IF(AB745&lt;='3.4 Fi&amp;Fo'!$F$38,'3.4 Fi&amp;Fo'!$J$38,IF(AB745&lt;='3.4 Fi&amp;Fo'!$F$39,'3.4 Fi&amp;Fo'!$J$39,IF(AB745&lt;='3.4 Fi&amp;Fo'!$F$40,'3.4 Fi&amp;Fo'!$J$40))))))))</f>
        <v>82448.706000000006</v>
      </c>
      <c r="AH745" s="203">
        <f>IF(AJ744&lt;=1,0,AJ744*IF(AB745&lt;='3.4 Fi&amp;Fo'!$F$34,'3.4 Fi&amp;Fo'!$I$34,IF(AB745&lt;='3.4 Fi&amp;Fo'!$F$35,'3.4 Fi&amp;Fo'!$I$35,IF(AB745&lt;='3.4 Fi&amp;Fo'!$F$38,'3.4 Fi&amp;Fo'!$I$38,IF(AB745&lt;='3.4 Fi&amp;Fo'!$F$39,'3.4 Fi&amp;Fo'!$I$39,IF(AB745&lt;='3.4 Fi&amp;Fo'!$F$40,'3.4 Fi&amp;Fo'!$I$40))))))</f>
        <v>115328.11819994391</v>
      </c>
      <c r="AI745" s="203">
        <f t="shared" si="547"/>
        <v>-32879.412199943908</v>
      </c>
      <c r="AJ745" s="204">
        <f t="shared" si="548"/>
        <v>2129754.2885625605</v>
      </c>
      <c r="AK745" s="312">
        <f t="shared" ca="1" si="549"/>
        <v>-160930.71452997971</v>
      </c>
      <c r="AL745" s="169">
        <f>IF(AB745&lt;='3.4 Fi&amp;Fo'!$J$15,'3.4 Fi&amp;Fo'!$I$15,0)</f>
        <v>0</v>
      </c>
      <c r="AM745" s="169">
        <f t="shared" si="561"/>
        <v>31215.123575025471</v>
      </c>
      <c r="AN745" s="838">
        <f t="shared" si="566"/>
        <v>18</v>
      </c>
      <c r="AO745" s="844">
        <f t="shared" ca="1" si="550"/>
        <v>160930.71452997971</v>
      </c>
      <c r="AP745" s="839">
        <f ca="1">CF832</f>
        <v>0</v>
      </c>
      <c r="AQ745" s="844">
        <f t="shared" si="551"/>
        <v>0</v>
      </c>
      <c r="AR745" s="839">
        <f t="shared" ca="1" si="567"/>
        <v>0</v>
      </c>
      <c r="AS745" s="839">
        <f t="shared" ca="1" si="562"/>
        <v>9810.5249688379881</v>
      </c>
      <c r="AT745" s="839">
        <f t="shared" ca="1" si="563"/>
        <v>13436.31497932395</v>
      </c>
      <c r="AU745" s="839">
        <f ca="1">'PV-Einspeisung'!AA226*-1</f>
        <v>0</v>
      </c>
      <c r="AV745" s="839">
        <f ca="1">'PV-Einspeisung'!AE226*-1</f>
        <v>0</v>
      </c>
      <c r="AW745" s="839"/>
      <c r="AX745" s="839">
        <f t="shared" ca="1" si="568"/>
        <v>0</v>
      </c>
      <c r="AY745" s="841">
        <f t="shared" si="552"/>
        <v>18</v>
      </c>
      <c r="AZ745" s="842">
        <f t="shared" ca="1" si="569"/>
        <v>0</v>
      </c>
      <c r="BA745" s="842">
        <f t="shared" ca="1" si="570"/>
        <v>0</v>
      </c>
      <c r="BB745" s="842">
        <f t="shared" ca="1" si="571"/>
        <v>0</v>
      </c>
      <c r="BC745" s="842">
        <f t="shared" ca="1" si="572"/>
        <v>0</v>
      </c>
      <c r="BD745" s="842">
        <f t="shared" ca="1" si="573"/>
        <v>0</v>
      </c>
      <c r="BE745" s="842">
        <f t="shared" ca="1" si="574"/>
        <v>0</v>
      </c>
      <c r="BF745" s="842">
        <f t="shared" ca="1" si="575"/>
        <v>9824.5004131661226</v>
      </c>
      <c r="BG745" s="842">
        <f t="shared" ca="1" si="576"/>
        <v>3611.8145661578278</v>
      </c>
      <c r="BH745" s="858">
        <f t="shared" si="560"/>
        <v>18</v>
      </c>
      <c r="BI745" s="857">
        <f t="shared" ca="1" si="577"/>
        <v>3924.576721443219</v>
      </c>
      <c r="BJ745" s="857">
        <f t="shared" ca="1" si="578"/>
        <v>5885.9482473947683</v>
      </c>
      <c r="BK745" s="859">
        <f ca="1">'PV-Einspeisung'!AB226*-1</f>
        <v>0</v>
      </c>
      <c r="BL745" s="824">
        <f t="shared" ca="1" si="537"/>
        <v>80</v>
      </c>
      <c r="BM745" s="824">
        <f t="shared" ca="1" si="538"/>
        <v>0</v>
      </c>
      <c r="BN745" s="824">
        <f t="shared" ca="1" si="539"/>
        <v>14448</v>
      </c>
      <c r="BO745" s="824">
        <f t="shared" ca="1" si="586"/>
        <v>0</v>
      </c>
      <c r="BP745" s="824">
        <f t="shared" ca="1" si="586"/>
        <v>0</v>
      </c>
      <c r="BQ745" s="824">
        <f t="shared" ca="1" si="586"/>
        <v>0</v>
      </c>
      <c r="BR745" s="824">
        <f t="shared" ca="1" si="586"/>
        <v>0</v>
      </c>
      <c r="BS745" s="824">
        <f t="shared" ca="1" si="586"/>
        <v>0</v>
      </c>
      <c r="BT745" s="824">
        <f t="shared" ca="1" si="586"/>
        <v>0</v>
      </c>
      <c r="BU745" s="824">
        <f t="shared" ca="1" si="586"/>
        <v>0</v>
      </c>
      <c r="BV745" s="824">
        <f t="shared" ca="1" si="586"/>
        <v>0</v>
      </c>
      <c r="BW745" s="824">
        <f t="shared" ca="1" si="586"/>
        <v>0</v>
      </c>
      <c r="BX745" s="824">
        <f t="shared" ca="1" si="586"/>
        <v>0</v>
      </c>
      <c r="BY745" s="824">
        <f t="shared" ca="1" si="586"/>
        <v>0</v>
      </c>
      <c r="BZ745" s="824">
        <f t="shared" ca="1" si="586"/>
        <v>0</v>
      </c>
      <c r="CA745" s="824">
        <f t="shared" ca="1" si="586"/>
        <v>0</v>
      </c>
      <c r="CB745" s="824">
        <f t="shared" ca="1" si="586"/>
        <v>0</v>
      </c>
      <c r="CC745" s="824">
        <f t="shared" ca="1" si="586"/>
        <v>0</v>
      </c>
      <c r="CD745" s="824">
        <f t="shared" ca="1" si="586"/>
        <v>0</v>
      </c>
      <c r="CE745" s="824">
        <f t="shared" ca="1" si="579"/>
        <v>0</v>
      </c>
      <c r="CF745" s="824">
        <f t="shared" ca="1" si="579"/>
        <v>0</v>
      </c>
      <c r="CG745" s="824">
        <f t="shared" ca="1" si="579"/>
        <v>0</v>
      </c>
      <c r="CH745" s="824">
        <f t="shared" ca="1" si="579"/>
        <v>0</v>
      </c>
      <c r="CI745" s="824">
        <f t="shared" ca="1" si="579"/>
        <v>0</v>
      </c>
      <c r="CJ745" s="824">
        <f t="shared" ca="1" si="579"/>
        <v>0</v>
      </c>
      <c r="CK745" s="824">
        <f t="shared" ca="1" si="579"/>
        <v>0</v>
      </c>
      <c r="CL745" s="824">
        <f t="shared" ca="1" si="579"/>
        <v>0</v>
      </c>
      <c r="CM745" s="824">
        <f t="shared" ca="1" si="579"/>
        <v>0</v>
      </c>
      <c r="CN745" s="824">
        <f t="shared" ca="1" si="579"/>
        <v>0</v>
      </c>
      <c r="CO745" s="824">
        <f t="shared" ca="1" si="579"/>
        <v>0</v>
      </c>
      <c r="CP745" s="824">
        <f t="shared" ca="1" si="579"/>
        <v>0</v>
      </c>
      <c r="CQ745" s="824">
        <f t="shared" ca="1" si="579"/>
        <v>0</v>
      </c>
      <c r="CR745" s="824">
        <f t="shared" ca="1" si="579"/>
        <v>0</v>
      </c>
      <c r="CS745" s="824">
        <f t="shared" ca="1" si="579"/>
        <v>0</v>
      </c>
      <c r="CT745" s="824">
        <f t="shared" ca="1" si="579"/>
        <v>0</v>
      </c>
      <c r="CU745" s="824">
        <f t="shared" ca="1" si="564"/>
        <v>0</v>
      </c>
      <c r="CV745" s="824">
        <f t="shared" ca="1" si="564"/>
        <v>0</v>
      </c>
      <c r="CW745" s="824">
        <f t="shared" ca="1" si="564"/>
        <v>0</v>
      </c>
      <c r="CX745" s="824">
        <f t="shared" ca="1" si="564"/>
        <v>0</v>
      </c>
      <c r="CY745" s="824">
        <f t="shared" ca="1" si="564"/>
        <v>0</v>
      </c>
      <c r="CZ745" s="824">
        <f t="shared" ca="1" si="564"/>
        <v>0</v>
      </c>
      <c r="DA745" s="824">
        <f t="shared" ca="1" si="565"/>
        <v>0</v>
      </c>
      <c r="DB745" s="824">
        <f t="shared" ca="1" si="565"/>
        <v>0</v>
      </c>
      <c r="DC745" s="824">
        <f t="shared" ca="1" si="565"/>
        <v>0</v>
      </c>
      <c r="DD745" s="824">
        <f t="shared" ca="1" si="565"/>
        <v>0</v>
      </c>
      <c r="DE745" s="824">
        <f t="shared" ca="1" si="565"/>
        <v>0</v>
      </c>
      <c r="DF745" s="824">
        <f t="shared" ca="1" si="565"/>
        <v>0</v>
      </c>
      <c r="DG745" s="824">
        <f t="shared" ca="1" si="565"/>
        <v>0</v>
      </c>
      <c r="DH745" s="824">
        <f t="shared" ca="1" si="565"/>
        <v>0</v>
      </c>
      <c r="DI745" s="824">
        <f t="shared" ca="1" si="565"/>
        <v>0</v>
      </c>
      <c r="DJ745" s="824">
        <f t="shared" ca="1" si="565"/>
        <v>0</v>
      </c>
      <c r="DK745" s="824">
        <f t="shared" ca="1" si="565"/>
        <v>0</v>
      </c>
      <c r="DL745" s="824">
        <f t="shared" ca="1" si="565"/>
        <v>0</v>
      </c>
    </row>
    <row r="746" spans="2:116" ht="12" thickBot="1" x14ac:dyDescent="0.3">
      <c r="B746" s="1673"/>
      <c r="C746" s="1680"/>
      <c r="D746" s="15" t="s">
        <v>129</v>
      </c>
      <c r="E746" s="165"/>
      <c r="F746" s="116">
        <f ca="1">SUBTOTAL(109,'3.4 I&amp;W'!$X$78)</f>
        <v>0</v>
      </c>
      <c r="G746" s="116">
        <f ca="1">SUBTOTAL(109,'3.4 I&amp;W'!$Y$78)</f>
        <v>0</v>
      </c>
      <c r="H746" s="116">
        <f ca="1">SUBTOTAL(109,'3.4 I&amp;W'!$AD$78)</f>
        <v>0</v>
      </c>
      <c r="I746" s="116">
        <f ca="1">SUBTOTAL(109,'3.4 I&amp;W'!$AE$78)</f>
        <v>0</v>
      </c>
      <c r="J746" s="116"/>
      <c r="K746" s="116"/>
      <c r="L746" s="116"/>
      <c r="M746" s="116">
        <f ca="1">SUBTOTAL(109,'3.4 I&amp;W'!$AI$78)</f>
        <v>100</v>
      </c>
      <c r="N746" s="156">
        <f t="shared" ca="1" si="541"/>
        <v>0</v>
      </c>
      <c r="O746" s="116">
        <f ca="1">SUBTOTAL(109,'3.4 I&amp;W'!$S$78)</f>
        <v>3055.2</v>
      </c>
      <c r="P746" s="30">
        <f t="shared" ca="1" si="581"/>
        <v>0</v>
      </c>
      <c r="Q746" s="31">
        <f t="shared" ca="1" si="582"/>
        <v>0</v>
      </c>
      <c r="R746" s="31">
        <f t="shared" ca="1" si="583"/>
        <v>0</v>
      </c>
      <c r="S746" s="31">
        <f t="shared" ca="1" si="584"/>
        <v>0</v>
      </c>
      <c r="T746" s="32">
        <f t="shared" ca="1" si="585"/>
        <v>0</v>
      </c>
      <c r="U746" s="37">
        <f t="shared" ca="1" si="542"/>
        <v>992.99483681796153</v>
      </c>
      <c r="V746" s="40">
        <f t="shared" ca="1" si="535"/>
        <v>0</v>
      </c>
      <c r="W746" s="41">
        <f t="shared" ca="1" si="536"/>
        <v>0</v>
      </c>
      <c r="X746" s="43"/>
      <c r="Y746" s="46"/>
      <c r="Z746" s="126"/>
      <c r="AA746" s="136"/>
      <c r="AB746" s="131">
        <v>19</v>
      </c>
      <c r="AC746" s="168">
        <f ca="1">IF(AF745&lt;=1,0,'3.4 Fi&amp;Fo'!$I$25)</f>
        <v>47266.884954954228</v>
      </c>
      <c r="AD746" s="169">
        <f ca="1">IF(AF745&lt;=1,0,AF745*'3.4 Fi&amp;Fo'!$H$25)</f>
        <v>13510.645275788813</v>
      </c>
      <c r="AE746" s="169">
        <f t="shared" ca="1" si="545"/>
        <v>33756.239679165417</v>
      </c>
      <c r="AF746" s="170">
        <f t="shared" ca="1" si="546"/>
        <v>641776.0241102752</v>
      </c>
      <c r="AG746" s="168">
        <f>IF(AJ745&lt;=1,0,IF(AB746&lt;='3.4 Fi&amp;Fo'!$F$34,'3.4 Fi&amp;Fo'!$J$34,IF(AB746&lt;='3.4 Fi&amp;Fo'!$F$35,'3.4 Fi&amp;Fo'!$J$35,IF(AB746&lt;='3.4 Fi&amp;Fo'!$F$36,'3.4 Fi&amp;Fo'!$J$36,IF(AB746&lt;='3.4 Fi&amp;Fo'!$F$37,'3.4 Fi&amp;Fo'!$J$37,IF(AB746&lt;='3.4 Fi&amp;Fo'!$F$38,'3.4 Fi&amp;Fo'!$J$38,IF(AB746&lt;='3.4 Fi&amp;Fo'!$F$39,'3.4 Fi&amp;Fo'!$J$39,IF(AB746&lt;='3.4 Fi&amp;Fo'!$F$40,'3.4 Fi&amp;Fo'!$J$40))))))))</f>
        <v>82448.706000000006</v>
      </c>
      <c r="AH746" s="203">
        <f>IF(AJ745&lt;=1,0,AJ745*IF(AB746&lt;='3.4 Fi&amp;Fo'!$F$34,'3.4 Fi&amp;Fo'!$I$34,IF(AB746&lt;='3.4 Fi&amp;Fo'!$F$35,'3.4 Fi&amp;Fo'!$I$35,IF(AB746&lt;='3.4 Fi&amp;Fo'!$F$38,'3.4 Fi&amp;Fo'!$I$38,IF(AB746&lt;='3.4 Fi&amp;Fo'!$F$39,'3.4 Fi&amp;Fo'!$I$39,IF(AB746&lt;='3.4 Fi&amp;Fo'!$F$40,'3.4 Fi&amp;Fo'!$I$40))))))</f>
        <v>117136.48587094083</v>
      </c>
      <c r="AI746" s="203">
        <f t="shared" si="547"/>
        <v>-34687.779870940823</v>
      </c>
      <c r="AJ746" s="204">
        <f t="shared" si="548"/>
        <v>2164442.0684335013</v>
      </c>
      <c r="AK746" s="312">
        <f t="shared" ca="1" si="549"/>
        <v>-161555.0170014803</v>
      </c>
      <c r="AL746" s="169">
        <f>IF(AB746&lt;='3.4 Fi&amp;Fo'!$J$15,'3.4 Fi&amp;Fo'!$I$15,0)</f>
        <v>0</v>
      </c>
      <c r="AM746" s="169">
        <f t="shared" si="561"/>
        <v>31839.42604652606</v>
      </c>
      <c r="AN746" s="838">
        <f t="shared" si="566"/>
        <v>19</v>
      </c>
      <c r="AO746" s="844">
        <f t="shared" ca="1" si="550"/>
        <v>161555.0170014803</v>
      </c>
      <c r="AP746" s="839">
        <f ca="1">CG832</f>
        <v>0</v>
      </c>
      <c r="AQ746" s="844">
        <f t="shared" si="551"/>
        <v>0</v>
      </c>
      <c r="AR746" s="839">
        <f t="shared" ca="1" si="567"/>
        <v>0</v>
      </c>
      <c r="AS746" s="839">
        <f t="shared" ca="1" si="562"/>
        <v>9967.4933683393956</v>
      </c>
      <c r="AT746" s="839">
        <f t="shared" ca="1" si="563"/>
        <v>13808.340999468626</v>
      </c>
      <c r="AU746" s="839">
        <f ca="1">'PV-Einspeisung'!AA227*-1</f>
        <v>0</v>
      </c>
      <c r="AV746" s="839">
        <f ca="1">'PV-Einspeisung'!AE227*-1</f>
        <v>0</v>
      </c>
      <c r="AW746" s="839"/>
      <c r="AX746" s="839">
        <f t="shared" ca="1" si="568"/>
        <v>0</v>
      </c>
      <c r="AY746" s="841">
        <f t="shared" si="552"/>
        <v>19</v>
      </c>
      <c r="AZ746" s="842">
        <f t="shared" ca="1" si="569"/>
        <v>0</v>
      </c>
      <c r="BA746" s="842">
        <f t="shared" ca="1" si="570"/>
        <v>0</v>
      </c>
      <c r="BB746" s="842">
        <f t="shared" ca="1" si="571"/>
        <v>0</v>
      </c>
      <c r="BC746" s="842">
        <f t="shared" ca="1" si="572"/>
        <v>0</v>
      </c>
      <c r="BD746" s="842">
        <f t="shared" ca="1" si="573"/>
        <v>0</v>
      </c>
      <c r="BE746" s="842">
        <f t="shared" ca="1" si="574"/>
        <v>0</v>
      </c>
      <c r="BF746" s="842">
        <f t="shared" ca="1" si="575"/>
        <v>10070.112923495275</v>
      </c>
      <c r="BG746" s="842">
        <f t="shared" ca="1" si="576"/>
        <v>3738.2280759733517</v>
      </c>
      <c r="BH746" s="858">
        <f t="shared" si="560"/>
        <v>19</v>
      </c>
      <c r="BI746" s="857">
        <f t="shared" ca="1" si="577"/>
        <v>3987.3699489863106</v>
      </c>
      <c r="BJ746" s="857">
        <f t="shared" ca="1" si="578"/>
        <v>5980.1234193530845</v>
      </c>
      <c r="BK746" s="859">
        <f ca="1">'PV-Einspeisung'!AB227*-1</f>
        <v>0</v>
      </c>
      <c r="BL746" s="824">
        <f t="shared" ca="1" si="537"/>
        <v>100</v>
      </c>
      <c r="BM746" s="824">
        <f t="shared" ca="1" si="538"/>
        <v>0</v>
      </c>
      <c r="BN746" s="824">
        <f t="shared" ca="1" si="539"/>
        <v>3055.2</v>
      </c>
      <c r="BO746" s="824">
        <f t="shared" ca="1" si="586"/>
        <v>0</v>
      </c>
      <c r="BP746" s="824">
        <f t="shared" ca="1" si="586"/>
        <v>0</v>
      </c>
      <c r="BQ746" s="824">
        <f t="shared" ca="1" si="586"/>
        <v>0</v>
      </c>
      <c r="BR746" s="824">
        <f t="shared" ca="1" si="586"/>
        <v>0</v>
      </c>
      <c r="BS746" s="824">
        <f t="shared" ca="1" si="586"/>
        <v>0</v>
      </c>
      <c r="BT746" s="824">
        <f t="shared" ca="1" si="586"/>
        <v>0</v>
      </c>
      <c r="BU746" s="824">
        <f t="shared" ca="1" si="586"/>
        <v>0</v>
      </c>
      <c r="BV746" s="824">
        <f t="shared" ca="1" si="586"/>
        <v>0</v>
      </c>
      <c r="BW746" s="824">
        <f t="shared" ca="1" si="586"/>
        <v>0</v>
      </c>
      <c r="BX746" s="824">
        <f t="shared" ca="1" si="586"/>
        <v>0</v>
      </c>
      <c r="BY746" s="824">
        <f t="shared" ca="1" si="586"/>
        <v>0</v>
      </c>
      <c r="BZ746" s="824">
        <f t="shared" ca="1" si="586"/>
        <v>0</v>
      </c>
      <c r="CA746" s="824">
        <f t="shared" ca="1" si="586"/>
        <v>0</v>
      </c>
      <c r="CB746" s="824">
        <f t="shared" ca="1" si="586"/>
        <v>0</v>
      </c>
      <c r="CC746" s="824">
        <f t="shared" ca="1" si="586"/>
        <v>0</v>
      </c>
      <c r="CD746" s="824">
        <f t="shared" ca="1" si="586"/>
        <v>0</v>
      </c>
      <c r="CE746" s="824">
        <f t="shared" ca="1" si="579"/>
        <v>0</v>
      </c>
      <c r="CF746" s="824">
        <f t="shared" ca="1" si="579"/>
        <v>0</v>
      </c>
      <c r="CG746" s="824">
        <f t="shared" ca="1" si="579"/>
        <v>0</v>
      </c>
      <c r="CH746" s="824">
        <f t="shared" ca="1" si="579"/>
        <v>0</v>
      </c>
      <c r="CI746" s="824">
        <f t="shared" ca="1" si="579"/>
        <v>0</v>
      </c>
      <c r="CJ746" s="824">
        <f t="shared" ca="1" si="579"/>
        <v>0</v>
      </c>
      <c r="CK746" s="824">
        <f t="shared" ca="1" si="579"/>
        <v>0</v>
      </c>
      <c r="CL746" s="824">
        <f t="shared" ca="1" si="579"/>
        <v>0</v>
      </c>
      <c r="CM746" s="824">
        <f t="shared" ca="1" si="579"/>
        <v>0</v>
      </c>
      <c r="CN746" s="824">
        <f t="shared" ca="1" si="579"/>
        <v>0</v>
      </c>
      <c r="CO746" s="824">
        <f t="shared" ca="1" si="579"/>
        <v>0</v>
      </c>
      <c r="CP746" s="824">
        <f t="shared" ca="1" si="579"/>
        <v>0</v>
      </c>
      <c r="CQ746" s="824">
        <f t="shared" ref="CQ746:DF774" ca="1" si="587">IF(OR(IF($BL746*1&lt;$BL$196,$BL746*1=CQ$198,FALSE),IF($BL746*2&lt;$BL$196,$BL746*2=CQ$198,FALSE),IF($BL746*3&lt;$BL$196,$BL746*3=CQ$198,FALSE),IF($BL746*4&lt;$BL$196,$BL746*4=CQ$198,FALSE),IF($BL746*5&lt;$BL$196,$BL746*5=CQ$198,FALSE)),$BN746*$BM$196^CQ$198,0)</f>
        <v>0</v>
      </c>
      <c r="CR746" s="824">
        <f t="shared" ca="1" si="587"/>
        <v>0</v>
      </c>
      <c r="CS746" s="824">
        <f t="shared" ca="1" si="587"/>
        <v>0</v>
      </c>
      <c r="CT746" s="824">
        <f t="shared" ca="1" si="587"/>
        <v>0</v>
      </c>
      <c r="CU746" s="824">
        <f t="shared" ca="1" si="564"/>
        <v>0</v>
      </c>
      <c r="CV746" s="824">
        <f t="shared" ca="1" si="564"/>
        <v>0</v>
      </c>
      <c r="CW746" s="824">
        <f t="shared" ca="1" si="564"/>
        <v>0</v>
      </c>
      <c r="CX746" s="824">
        <f t="shared" ca="1" si="564"/>
        <v>0</v>
      </c>
      <c r="CY746" s="824">
        <f t="shared" ca="1" si="564"/>
        <v>0</v>
      </c>
      <c r="CZ746" s="824">
        <f t="shared" ca="1" si="564"/>
        <v>0</v>
      </c>
      <c r="DA746" s="824">
        <f t="shared" ca="1" si="565"/>
        <v>0</v>
      </c>
      <c r="DB746" s="824">
        <f t="shared" ca="1" si="565"/>
        <v>0</v>
      </c>
      <c r="DC746" s="824">
        <f t="shared" ca="1" si="565"/>
        <v>0</v>
      </c>
      <c r="DD746" s="824">
        <f t="shared" ca="1" si="565"/>
        <v>0</v>
      </c>
      <c r="DE746" s="824">
        <f t="shared" ca="1" si="565"/>
        <v>0</v>
      </c>
      <c r="DF746" s="824">
        <f t="shared" ca="1" si="565"/>
        <v>0</v>
      </c>
      <c r="DG746" s="824">
        <f t="shared" ca="1" si="565"/>
        <v>0</v>
      </c>
      <c r="DH746" s="824">
        <f t="shared" ca="1" si="565"/>
        <v>0</v>
      </c>
      <c r="DI746" s="824">
        <f t="shared" ca="1" si="565"/>
        <v>0</v>
      </c>
      <c r="DJ746" s="824">
        <f t="shared" ca="1" si="565"/>
        <v>0</v>
      </c>
      <c r="DK746" s="824">
        <f t="shared" ca="1" si="565"/>
        <v>0</v>
      </c>
      <c r="DL746" s="824">
        <f t="shared" ca="1" si="565"/>
        <v>0</v>
      </c>
    </row>
    <row r="747" spans="2:116" ht="12" thickBot="1" x14ac:dyDescent="0.3">
      <c r="B747" s="1673"/>
      <c r="C747" s="1680"/>
      <c r="D747" s="15" t="s">
        <v>129</v>
      </c>
      <c r="E747" s="116"/>
      <c r="F747" s="116">
        <f ca="1">SUBTOTAL(109,'3.4 I&amp;W'!$X$79)</f>
        <v>0</v>
      </c>
      <c r="G747" s="116">
        <f ca="1">SUBTOTAL(109,'3.4 I&amp;W'!$Y$79)</f>
        <v>0</v>
      </c>
      <c r="H747" s="116">
        <f ca="1">SUBTOTAL(109,'3.4 I&amp;W'!$AD$79)</f>
        <v>0</v>
      </c>
      <c r="I747" s="116">
        <f ca="1">SUBTOTAL(109,'3.4 I&amp;W'!$AE$79)</f>
        <v>0</v>
      </c>
      <c r="J747" s="116"/>
      <c r="K747" s="116"/>
      <c r="L747" s="116"/>
      <c r="M747" s="116">
        <f ca="1">SUBTOTAL(109,'3.4 I&amp;W'!$AI$79)</f>
        <v>0</v>
      </c>
      <c r="N747" s="156">
        <f t="shared" ca="1" si="541"/>
        <v>0</v>
      </c>
      <c r="O747" s="116">
        <f ca="1">SUBTOTAL(109,'3.4 I&amp;W'!$S$79)</f>
        <v>0</v>
      </c>
      <c r="P747" s="30">
        <f t="shared" ca="1" si="581"/>
        <v>0</v>
      </c>
      <c r="Q747" s="31">
        <f t="shared" ca="1" si="582"/>
        <v>0</v>
      </c>
      <c r="R747" s="31">
        <f t="shared" ca="1" si="583"/>
        <v>0</v>
      </c>
      <c r="S747" s="31">
        <f t="shared" ca="1" si="584"/>
        <v>0</v>
      </c>
      <c r="T747" s="32">
        <f t="shared" ca="1" si="585"/>
        <v>0</v>
      </c>
      <c r="U747" s="37">
        <f t="shared" ca="1" si="542"/>
        <v>0</v>
      </c>
      <c r="V747" s="40">
        <f t="shared" ca="1" si="535"/>
        <v>0</v>
      </c>
      <c r="W747" s="41">
        <f t="shared" ca="1" si="536"/>
        <v>0</v>
      </c>
      <c r="X747" s="43"/>
      <c r="Y747" s="46"/>
      <c r="Z747" s="126"/>
      <c r="AA747" s="136"/>
      <c r="AB747" s="131">
        <v>20</v>
      </c>
      <c r="AC747" s="168">
        <f ca="1">IF(AF746&lt;=1,0,'3.4 Fi&amp;Fo'!$I$25)</f>
        <v>47266.884954954228</v>
      </c>
      <c r="AD747" s="169">
        <f ca="1">IF(AF746&lt;=1,0,AF746*'3.4 Fi&amp;Fo'!$H$25)</f>
        <v>12835.520482205504</v>
      </c>
      <c r="AE747" s="169">
        <f t="shared" ca="1" si="545"/>
        <v>34431.364472748726</v>
      </c>
      <c r="AF747" s="170">
        <f t="shared" ca="1" si="546"/>
        <v>607344.65963752649</v>
      </c>
      <c r="AG747" s="168">
        <f>IF(AJ746&lt;=1,0,IF(AB747&lt;='3.4 Fi&amp;Fo'!$F$34,'3.4 Fi&amp;Fo'!$J$34,IF(AB747&lt;='3.4 Fi&amp;Fo'!$F$35,'3.4 Fi&amp;Fo'!$J$35,IF(AB747&lt;='3.4 Fi&amp;Fo'!$F$36,'3.4 Fi&amp;Fo'!$J$36,IF(AB747&lt;='3.4 Fi&amp;Fo'!$F$37,'3.4 Fi&amp;Fo'!$J$37,IF(AB747&lt;='3.4 Fi&amp;Fo'!$F$38,'3.4 Fi&amp;Fo'!$J$38,IF(AB747&lt;='3.4 Fi&amp;Fo'!$F$39,'3.4 Fi&amp;Fo'!$J$39,IF(AB747&lt;='3.4 Fi&amp;Fo'!$F$40,'3.4 Fi&amp;Fo'!$J$40))))))))</f>
        <v>82448.706000000006</v>
      </c>
      <c r="AH747" s="203">
        <f>IF(AJ746&lt;=1,0,AJ746*IF(AB747&lt;='3.4 Fi&amp;Fo'!$F$34,'3.4 Fi&amp;Fo'!$I$34,IF(AB747&lt;='3.4 Fi&amp;Fo'!$F$35,'3.4 Fi&amp;Fo'!$I$35,IF(AB747&lt;='3.4 Fi&amp;Fo'!$F$38,'3.4 Fi&amp;Fo'!$I$38,IF(AB747&lt;='3.4 Fi&amp;Fo'!$F$39,'3.4 Fi&amp;Fo'!$I$39,IF(AB747&lt;='3.4 Fi&amp;Fo'!$F$40,'3.4 Fi&amp;Fo'!$I$40))))))</f>
        <v>119044.31376384257</v>
      </c>
      <c r="AI747" s="203">
        <f t="shared" si="547"/>
        <v>-36595.607763842563</v>
      </c>
      <c r="AJ747" s="204">
        <f t="shared" si="548"/>
        <v>2201037.676197344</v>
      </c>
      <c r="AK747" s="312">
        <f t="shared" ca="1" si="549"/>
        <v>-162191.80552241133</v>
      </c>
      <c r="AL747" s="169">
        <f>IF(AB747&lt;='3.4 Fi&amp;Fo'!$J$15,'3.4 Fi&amp;Fo'!$I$15,0)</f>
        <v>0</v>
      </c>
      <c r="AM747" s="169">
        <f t="shared" si="561"/>
        <v>32476.214567457093</v>
      </c>
      <c r="AN747" s="838">
        <f t="shared" si="566"/>
        <v>20</v>
      </c>
      <c r="AO747" s="844">
        <f t="shared" ca="1" si="550"/>
        <v>162191.80552241133</v>
      </c>
      <c r="AP747" s="839">
        <f ca="1">CH832</f>
        <v>32983.937103226628</v>
      </c>
      <c r="AQ747" s="844">
        <f t="shared" si="551"/>
        <v>0</v>
      </c>
      <c r="AR747" s="839">
        <f t="shared" ca="1" si="567"/>
        <v>0</v>
      </c>
      <c r="AS747" s="839">
        <f t="shared" ca="1" si="562"/>
        <v>10126.973262232827</v>
      </c>
      <c r="AT747" s="839">
        <f t="shared" ca="1" si="563"/>
        <v>14190.931805215076</v>
      </c>
      <c r="AU747" s="839">
        <f ca="1">'PV-Einspeisung'!AA228*-1</f>
        <v>0</v>
      </c>
      <c r="AV747" s="839">
        <f ca="1">'PV-Einspeisung'!AE228*-1</f>
        <v>0</v>
      </c>
      <c r="AW747" s="839"/>
      <c r="AX747" s="839">
        <f t="shared" ca="1" si="568"/>
        <v>0</v>
      </c>
      <c r="AY747" s="841">
        <f t="shared" si="552"/>
        <v>20</v>
      </c>
      <c r="AZ747" s="842">
        <f t="shared" ca="1" si="569"/>
        <v>0</v>
      </c>
      <c r="BA747" s="842">
        <f t="shared" ca="1" si="570"/>
        <v>0</v>
      </c>
      <c r="BB747" s="842">
        <f t="shared" ca="1" si="571"/>
        <v>0</v>
      </c>
      <c r="BC747" s="842">
        <f t="shared" ca="1" si="572"/>
        <v>0</v>
      </c>
      <c r="BD747" s="842">
        <f t="shared" ca="1" si="573"/>
        <v>0</v>
      </c>
      <c r="BE747" s="842">
        <f t="shared" ca="1" si="574"/>
        <v>0</v>
      </c>
      <c r="BF747" s="842">
        <f t="shared" ca="1" si="575"/>
        <v>10321.865746582656</v>
      </c>
      <c r="BG747" s="842">
        <f t="shared" ca="1" si="576"/>
        <v>3869.0660586324188</v>
      </c>
      <c r="BH747" s="858">
        <f t="shared" si="560"/>
        <v>20</v>
      </c>
      <c r="BI747" s="857">
        <f t="shared" ca="1" si="577"/>
        <v>4051.1678681700919</v>
      </c>
      <c r="BJ747" s="857">
        <f t="shared" ca="1" si="578"/>
        <v>6075.8053940627342</v>
      </c>
      <c r="BK747" s="859">
        <f ca="1">'PV-Einspeisung'!AB228*-1</f>
        <v>0</v>
      </c>
      <c r="BL747" s="824">
        <f t="shared" ca="1" si="537"/>
        <v>0</v>
      </c>
      <c r="BM747" s="824">
        <f t="shared" ca="1" si="538"/>
        <v>0</v>
      </c>
      <c r="BN747" s="824">
        <f t="shared" ca="1" si="539"/>
        <v>0</v>
      </c>
      <c r="BO747" s="824">
        <f t="shared" ca="1" si="586"/>
        <v>0</v>
      </c>
      <c r="BP747" s="824">
        <f t="shared" ca="1" si="586"/>
        <v>0</v>
      </c>
      <c r="BQ747" s="824">
        <f t="shared" ca="1" si="586"/>
        <v>0</v>
      </c>
      <c r="BR747" s="824">
        <f t="shared" ca="1" si="586"/>
        <v>0</v>
      </c>
      <c r="BS747" s="824">
        <f t="shared" ca="1" si="586"/>
        <v>0</v>
      </c>
      <c r="BT747" s="824">
        <f t="shared" ca="1" si="586"/>
        <v>0</v>
      </c>
      <c r="BU747" s="824">
        <f t="shared" ca="1" si="586"/>
        <v>0</v>
      </c>
      <c r="BV747" s="824">
        <f t="shared" ca="1" si="586"/>
        <v>0</v>
      </c>
      <c r="BW747" s="824">
        <f t="shared" ca="1" si="586"/>
        <v>0</v>
      </c>
      <c r="BX747" s="824">
        <f t="shared" ca="1" si="586"/>
        <v>0</v>
      </c>
      <c r="BY747" s="824">
        <f t="shared" ca="1" si="586"/>
        <v>0</v>
      </c>
      <c r="BZ747" s="824">
        <f t="shared" ca="1" si="586"/>
        <v>0</v>
      </c>
      <c r="CA747" s="824">
        <f t="shared" ca="1" si="586"/>
        <v>0</v>
      </c>
      <c r="CB747" s="824">
        <f t="shared" ca="1" si="586"/>
        <v>0</v>
      </c>
      <c r="CC747" s="824">
        <f t="shared" ca="1" si="586"/>
        <v>0</v>
      </c>
      <c r="CD747" s="824">
        <f t="shared" ca="1" si="586"/>
        <v>0</v>
      </c>
      <c r="CE747" s="824">
        <f t="shared" ref="CE747:CS756" ca="1" si="588">IF(OR(IF($BL747*1&lt;$BL$196,$BL747*1=CE$198,FALSE),IF($BL747*2&lt;$BL$196,$BL747*2=CE$198,FALSE),IF($BL747*3&lt;$BL$196,$BL747*3=CE$198,FALSE),IF($BL747*4&lt;$BL$196,$BL747*4=CE$198,FALSE),IF($BL747*5&lt;$BL$196,$BL747*5=CE$198,FALSE)),$BN747*$BM$196^CE$198,0)</f>
        <v>0</v>
      </c>
      <c r="CF747" s="824">
        <f t="shared" ca="1" si="588"/>
        <v>0</v>
      </c>
      <c r="CG747" s="824">
        <f t="shared" ca="1" si="588"/>
        <v>0</v>
      </c>
      <c r="CH747" s="824">
        <f t="shared" ca="1" si="588"/>
        <v>0</v>
      </c>
      <c r="CI747" s="824">
        <f t="shared" ca="1" si="588"/>
        <v>0</v>
      </c>
      <c r="CJ747" s="824">
        <f t="shared" ca="1" si="588"/>
        <v>0</v>
      </c>
      <c r="CK747" s="824">
        <f t="shared" ca="1" si="588"/>
        <v>0</v>
      </c>
      <c r="CL747" s="824">
        <f t="shared" ca="1" si="588"/>
        <v>0</v>
      </c>
      <c r="CM747" s="824">
        <f t="shared" ca="1" si="588"/>
        <v>0</v>
      </c>
      <c r="CN747" s="824">
        <f t="shared" ca="1" si="588"/>
        <v>0</v>
      </c>
      <c r="CO747" s="824">
        <f t="shared" ca="1" si="588"/>
        <v>0</v>
      </c>
      <c r="CP747" s="824">
        <f t="shared" ca="1" si="588"/>
        <v>0</v>
      </c>
      <c r="CQ747" s="824">
        <f t="shared" ca="1" si="588"/>
        <v>0</v>
      </c>
      <c r="CR747" s="824">
        <f t="shared" ca="1" si="588"/>
        <v>0</v>
      </c>
      <c r="CS747" s="824">
        <f t="shared" ca="1" si="588"/>
        <v>0</v>
      </c>
      <c r="CT747" s="824">
        <f t="shared" ca="1" si="587"/>
        <v>0</v>
      </c>
      <c r="CU747" s="824">
        <f t="shared" ca="1" si="564"/>
        <v>0</v>
      </c>
      <c r="CV747" s="824">
        <f t="shared" ca="1" si="564"/>
        <v>0</v>
      </c>
      <c r="CW747" s="824">
        <f t="shared" ca="1" si="564"/>
        <v>0</v>
      </c>
      <c r="CX747" s="824">
        <f t="shared" ca="1" si="564"/>
        <v>0</v>
      </c>
      <c r="CY747" s="824">
        <f t="shared" ca="1" si="564"/>
        <v>0</v>
      </c>
      <c r="CZ747" s="824">
        <f t="shared" ca="1" si="564"/>
        <v>0</v>
      </c>
      <c r="DA747" s="824">
        <f t="shared" ca="1" si="565"/>
        <v>0</v>
      </c>
      <c r="DB747" s="824">
        <f t="shared" ca="1" si="565"/>
        <v>0</v>
      </c>
      <c r="DC747" s="824">
        <f t="shared" ca="1" si="565"/>
        <v>0</v>
      </c>
      <c r="DD747" s="824">
        <f t="shared" ca="1" si="565"/>
        <v>0</v>
      </c>
      <c r="DE747" s="824">
        <f t="shared" ca="1" si="565"/>
        <v>0</v>
      </c>
      <c r="DF747" s="824">
        <f t="shared" ca="1" si="565"/>
        <v>0</v>
      </c>
      <c r="DG747" s="824">
        <f t="shared" ca="1" si="565"/>
        <v>0</v>
      </c>
      <c r="DH747" s="824">
        <f t="shared" ca="1" si="565"/>
        <v>0</v>
      </c>
      <c r="DI747" s="824">
        <f t="shared" ca="1" si="565"/>
        <v>0</v>
      </c>
      <c r="DJ747" s="824">
        <f t="shared" ca="1" si="565"/>
        <v>0</v>
      </c>
      <c r="DK747" s="824">
        <f t="shared" ca="1" si="565"/>
        <v>0</v>
      </c>
      <c r="DL747" s="824">
        <f t="shared" ca="1" si="565"/>
        <v>0</v>
      </c>
    </row>
    <row r="748" spans="2:116" ht="12" thickBot="1" x14ac:dyDescent="0.3">
      <c r="B748" s="1673"/>
      <c r="C748" s="1680"/>
      <c r="D748" s="15" t="s">
        <v>129</v>
      </c>
      <c r="E748" s="165"/>
      <c r="F748" s="116">
        <f ca="1">SUBTOTAL(109,'3.4 I&amp;W'!$X$80)</f>
        <v>0</v>
      </c>
      <c r="G748" s="116">
        <f ca="1">SUBTOTAL(109,'3.4 I&amp;W'!$Y$80)</f>
        <v>0</v>
      </c>
      <c r="H748" s="116">
        <f ca="1">SUBTOTAL(109,'3.4 I&amp;W'!$AD$80)</f>
        <v>0</v>
      </c>
      <c r="I748" s="116">
        <f ca="1">SUBTOTAL(109,'3.4 I&amp;W'!$AE$80)</f>
        <v>0</v>
      </c>
      <c r="J748" s="116"/>
      <c r="K748" s="116"/>
      <c r="L748" s="116"/>
      <c r="M748" s="116">
        <f ca="1">SUBTOTAL(109,'3.4 I&amp;W'!$AI$80)</f>
        <v>0</v>
      </c>
      <c r="N748" s="156">
        <f t="shared" ca="1" si="541"/>
        <v>0</v>
      </c>
      <c r="O748" s="116">
        <f ca="1">SUBTOTAL(109,'3.4 I&amp;W'!$S$80)</f>
        <v>0</v>
      </c>
      <c r="P748" s="30">
        <f t="shared" ca="1" si="581"/>
        <v>0</v>
      </c>
      <c r="Q748" s="31">
        <f t="shared" ca="1" si="582"/>
        <v>0</v>
      </c>
      <c r="R748" s="31">
        <f t="shared" ca="1" si="583"/>
        <v>0</v>
      </c>
      <c r="S748" s="31">
        <f t="shared" ca="1" si="584"/>
        <v>0</v>
      </c>
      <c r="T748" s="32">
        <f t="shared" ca="1" si="585"/>
        <v>0</v>
      </c>
      <c r="U748" s="37">
        <f t="shared" ca="1" si="542"/>
        <v>0</v>
      </c>
      <c r="V748" s="40">
        <f t="shared" ca="1" si="535"/>
        <v>0</v>
      </c>
      <c r="W748" s="41">
        <f t="shared" ca="1" si="536"/>
        <v>0</v>
      </c>
      <c r="X748" s="43"/>
      <c r="Y748" s="46"/>
      <c r="Z748" s="126"/>
      <c r="AA748" s="136"/>
      <c r="AB748" s="131">
        <v>21</v>
      </c>
      <c r="AC748" s="168">
        <f ca="1">IF(AF747&lt;=1,0,'3.4 Fi&amp;Fo'!$I$25)</f>
        <v>47266.884954954228</v>
      </c>
      <c r="AD748" s="169">
        <f ca="1">IF(AF747&lt;=1,0,AF747*'3.4 Fi&amp;Fo'!$H$25)</f>
        <v>12146.893192750531</v>
      </c>
      <c r="AE748" s="169">
        <f t="shared" ca="1" si="545"/>
        <v>35119.991762203696</v>
      </c>
      <c r="AF748" s="170">
        <f t="shared" ca="1" si="546"/>
        <v>572224.66787532275</v>
      </c>
      <c r="AG748" s="168">
        <f>IF(AJ747&lt;=1,0,IF(AB748&lt;='3.4 Fi&amp;Fo'!$F$34,'3.4 Fi&amp;Fo'!$J$34,IF(AB748&lt;='3.4 Fi&amp;Fo'!$F$35,'3.4 Fi&amp;Fo'!$J$35,IF(AB748&lt;='3.4 Fi&amp;Fo'!$F$36,'3.4 Fi&amp;Fo'!$J$36,IF(AB748&lt;='3.4 Fi&amp;Fo'!$F$37,'3.4 Fi&amp;Fo'!$J$37,IF(AB748&lt;='3.4 Fi&amp;Fo'!$F$38,'3.4 Fi&amp;Fo'!$J$38,IF(AB748&lt;='3.4 Fi&amp;Fo'!$F$39,'3.4 Fi&amp;Fo'!$J$39,IF(AB748&lt;='3.4 Fi&amp;Fo'!$F$40,'3.4 Fi&amp;Fo'!$J$40))))))))</f>
        <v>100767.974</v>
      </c>
      <c r="AH748" s="203">
        <f>IF(AJ747&lt;=1,0,AJ747*IF(AB748&lt;='3.4 Fi&amp;Fo'!$F$34,'3.4 Fi&amp;Fo'!$I$34,IF(AB748&lt;='3.4 Fi&amp;Fo'!$F$35,'3.4 Fi&amp;Fo'!$I$35,IF(AB748&lt;='3.4 Fi&amp;Fo'!$F$38,'3.4 Fi&amp;Fo'!$I$38,IF(AB748&lt;='3.4 Fi&amp;Fo'!$F$39,'3.4 Fi&amp;Fo'!$I$39,IF(AB748&lt;='3.4 Fi&amp;Fo'!$F$40,'3.4 Fi&amp;Fo'!$I$40))))))</f>
        <v>121057.07219085391</v>
      </c>
      <c r="AI748" s="203">
        <f t="shared" si="547"/>
        <v>-20289.098190853911</v>
      </c>
      <c r="AJ748" s="204">
        <f t="shared" si="548"/>
        <v>2221326.7743881978</v>
      </c>
      <c r="AK748" s="312">
        <f t="shared" ca="1" si="549"/>
        <v>-181160.59781375996</v>
      </c>
      <c r="AL748" s="169">
        <f>IF(AB748&lt;='3.4 Fi&amp;Fo'!$J$15,'3.4 Fi&amp;Fo'!$I$15,0)</f>
        <v>0</v>
      </c>
      <c r="AM748" s="169">
        <f t="shared" si="561"/>
        <v>33125.738858805737</v>
      </c>
      <c r="AN748" s="838">
        <f t="shared" si="566"/>
        <v>21</v>
      </c>
      <c r="AO748" s="844">
        <f t="shared" ca="1" si="550"/>
        <v>181160.59781375996</v>
      </c>
      <c r="AP748" s="839">
        <f ca="1">CI832</f>
        <v>0</v>
      </c>
      <c r="AQ748" s="844">
        <f t="shared" si="551"/>
        <v>0</v>
      </c>
      <c r="AR748" s="839">
        <f t="shared" ca="1" si="567"/>
        <v>0</v>
      </c>
      <c r="AS748" s="839">
        <f t="shared" ca="1" si="562"/>
        <v>10289.004834428551</v>
      </c>
      <c r="AT748" s="839">
        <f t="shared" ca="1" si="563"/>
        <v>14584.395760931775</v>
      </c>
      <c r="AU748" s="839">
        <f ca="1">'PV-Einspeisung'!AA229*-1</f>
        <v>0</v>
      </c>
      <c r="AV748" s="839">
        <f ca="1">'PV-Einspeisung'!AE229*-1</f>
        <v>0</v>
      </c>
      <c r="AW748" s="839"/>
      <c r="AX748" s="839">
        <f t="shared" ca="1" si="568"/>
        <v>0</v>
      </c>
      <c r="AY748" s="841">
        <f t="shared" si="552"/>
        <v>21</v>
      </c>
      <c r="AZ748" s="842">
        <f t="shared" ca="1" si="569"/>
        <v>0</v>
      </c>
      <c r="BA748" s="842">
        <f t="shared" ca="1" si="570"/>
        <v>0</v>
      </c>
      <c r="BB748" s="842">
        <f t="shared" ca="1" si="571"/>
        <v>0</v>
      </c>
      <c r="BC748" s="842">
        <f t="shared" ca="1" si="572"/>
        <v>0</v>
      </c>
      <c r="BD748" s="842">
        <f t="shared" ca="1" si="573"/>
        <v>0</v>
      </c>
      <c r="BE748" s="842">
        <f t="shared" ca="1" si="574"/>
        <v>0</v>
      </c>
      <c r="BF748" s="842">
        <f t="shared" ca="1" si="575"/>
        <v>10579.912390247222</v>
      </c>
      <c r="BG748" s="842">
        <f t="shared" ca="1" si="576"/>
        <v>4004.4833706845534</v>
      </c>
      <c r="BH748" s="858">
        <f t="shared" si="560"/>
        <v>21</v>
      </c>
      <c r="BI748" s="857">
        <f t="shared" ca="1" si="577"/>
        <v>4115.9865540608134</v>
      </c>
      <c r="BJ748" s="857">
        <f t="shared" ca="1" si="578"/>
        <v>6173.018280367738</v>
      </c>
      <c r="BK748" s="859">
        <f ca="1">'PV-Einspeisung'!AB229*-1</f>
        <v>0</v>
      </c>
      <c r="BL748" s="824">
        <f t="shared" ca="1" si="537"/>
        <v>0</v>
      </c>
      <c r="BM748" s="824">
        <f t="shared" ca="1" si="538"/>
        <v>0</v>
      </c>
      <c r="BN748" s="824">
        <f t="shared" ca="1" si="539"/>
        <v>0</v>
      </c>
      <c r="BO748" s="824">
        <f t="shared" ca="1" si="586"/>
        <v>0</v>
      </c>
      <c r="BP748" s="824">
        <f t="shared" ca="1" si="586"/>
        <v>0</v>
      </c>
      <c r="BQ748" s="824">
        <f t="shared" ca="1" si="586"/>
        <v>0</v>
      </c>
      <c r="BR748" s="824">
        <f t="shared" ca="1" si="586"/>
        <v>0</v>
      </c>
      <c r="BS748" s="824">
        <f t="shared" ca="1" si="586"/>
        <v>0</v>
      </c>
      <c r="BT748" s="824">
        <f t="shared" ca="1" si="586"/>
        <v>0</v>
      </c>
      <c r="BU748" s="824">
        <f t="shared" ca="1" si="586"/>
        <v>0</v>
      </c>
      <c r="BV748" s="824">
        <f t="shared" ca="1" si="586"/>
        <v>0</v>
      </c>
      <c r="BW748" s="824">
        <f t="shared" ca="1" si="586"/>
        <v>0</v>
      </c>
      <c r="BX748" s="824">
        <f t="shared" ca="1" si="586"/>
        <v>0</v>
      </c>
      <c r="BY748" s="824">
        <f t="shared" ca="1" si="586"/>
        <v>0</v>
      </c>
      <c r="BZ748" s="824">
        <f t="shared" ca="1" si="586"/>
        <v>0</v>
      </c>
      <c r="CA748" s="824">
        <f t="shared" ca="1" si="586"/>
        <v>0</v>
      </c>
      <c r="CB748" s="824">
        <f t="shared" ca="1" si="586"/>
        <v>0</v>
      </c>
      <c r="CC748" s="824">
        <f t="shared" ca="1" si="586"/>
        <v>0</v>
      </c>
      <c r="CD748" s="824">
        <f t="shared" ca="1" si="586"/>
        <v>0</v>
      </c>
      <c r="CE748" s="824">
        <f t="shared" ca="1" si="588"/>
        <v>0</v>
      </c>
      <c r="CF748" s="824">
        <f t="shared" ca="1" si="588"/>
        <v>0</v>
      </c>
      <c r="CG748" s="824">
        <f t="shared" ca="1" si="588"/>
        <v>0</v>
      </c>
      <c r="CH748" s="824">
        <f t="shared" ca="1" si="588"/>
        <v>0</v>
      </c>
      <c r="CI748" s="824">
        <f t="shared" ca="1" si="588"/>
        <v>0</v>
      </c>
      <c r="CJ748" s="824">
        <f t="shared" ca="1" si="588"/>
        <v>0</v>
      </c>
      <c r="CK748" s="824">
        <f t="shared" ca="1" si="588"/>
        <v>0</v>
      </c>
      <c r="CL748" s="824">
        <f t="shared" ca="1" si="588"/>
        <v>0</v>
      </c>
      <c r="CM748" s="824">
        <f t="shared" ca="1" si="588"/>
        <v>0</v>
      </c>
      <c r="CN748" s="824">
        <f t="shared" ca="1" si="588"/>
        <v>0</v>
      </c>
      <c r="CO748" s="824">
        <f t="shared" ca="1" si="588"/>
        <v>0</v>
      </c>
      <c r="CP748" s="824">
        <f t="shared" ca="1" si="588"/>
        <v>0</v>
      </c>
      <c r="CQ748" s="824">
        <f t="shared" ca="1" si="588"/>
        <v>0</v>
      </c>
      <c r="CR748" s="824">
        <f t="shared" ca="1" si="588"/>
        <v>0</v>
      </c>
      <c r="CS748" s="824">
        <f t="shared" ca="1" si="588"/>
        <v>0</v>
      </c>
      <c r="CT748" s="824">
        <f t="shared" ca="1" si="587"/>
        <v>0</v>
      </c>
      <c r="CU748" s="824">
        <f t="shared" ca="1" si="564"/>
        <v>0</v>
      </c>
      <c r="CV748" s="824">
        <f t="shared" ca="1" si="564"/>
        <v>0</v>
      </c>
      <c r="CW748" s="824">
        <f t="shared" ca="1" si="564"/>
        <v>0</v>
      </c>
      <c r="CX748" s="824">
        <f t="shared" ca="1" si="564"/>
        <v>0</v>
      </c>
      <c r="CY748" s="824">
        <f t="shared" ca="1" si="564"/>
        <v>0</v>
      </c>
      <c r="CZ748" s="824">
        <f t="shared" ca="1" si="564"/>
        <v>0</v>
      </c>
      <c r="DA748" s="824">
        <f t="shared" ca="1" si="565"/>
        <v>0</v>
      </c>
      <c r="DB748" s="824">
        <f t="shared" ca="1" si="565"/>
        <v>0</v>
      </c>
      <c r="DC748" s="824">
        <f t="shared" ca="1" si="565"/>
        <v>0</v>
      </c>
      <c r="DD748" s="824">
        <f t="shared" ca="1" si="565"/>
        <v>0</v>
      </c>
      <c r="DE748" s="824">
        <f t="shared" ca="1" si="565"/>
        <v>0</v>
      </c>
      <c r="DF748" s="824">
        <f t="shared" ca="1" si="565"/>
        <v>0</v>
      </c>
      <c r="DG748" s="824">
        <f t="shared" ca="1" si="565"/>
        <v>0</v>
      </c>
      <c r="DH748" s="824">
        <f t="shared" ca="1" si="565"/>
        <v>0</v>
      </c>
      <c r="DI748" s="824">
        <f t="shared" ca="1" si="565"/>
        <v>0</v>
      </c>
      <c r="DJ748" s="824">
        <f t="shared" ca="1" si="565"/>
        <v>0</v>
      </c>
      <c r="DK748" s="824">
        <f t="shared" ca="1" si="565"/>
        <v>0</v>
      </c>
      <c r="DL748" s="824">
        <f t="shared" ca="1" si="565"/>
        <v>0</v>
      </c>
    </row>
    <row r="749" spans="2:116" ht="12" thickBot="1" x14ac:dyDescent="0.3">
      <c r="B749" s="1673"/>
      <c r="C749" s="1680"/>
      <c r="D749" s="15" t="s">
        <v>129</v>
      </c>
      <c r="E749" s="116"/>
      <c r="F749" s="116">
        <f ca="1">SUBTOTAL(109,'3.4 I&amp;W'!$X$81)</f>
        <v>0</v>
      </c>
      <c r="G749" s="116">
        <f ca="1">SUBTOTAL(109,'3.4 I&amp;W'!$Y$81)</f>
        <v>0</v>
      </c>
      <c r="H749" s="116">
        <f ca="1">SUBTOTAL(109,'3.4 I&amp;W'!$AD$81)</f>
        <v>0</v>
      </c>
      <c r="I749" s="116">
        <f ca="1">SUBTOTAL(109,'3.4 I&amp;W'!$AE$81)</f>
        <v>0</v>
      </c>
      <c r="J749" s="116"/>
      <c r="K749" s="116"/>
      <c r="L749" s="116"/>
      <c r="M749" s="116">
        <f ca="1">SUBTOTAL(109,'3.4 I&amp;W'!$AI$81)</f>
        <v>0</v>
      </c>
      <c r="N749" s="156">
        <f t="shared" ca="1" si="541"/>
        <v>0</v>
      </c>
      <c r="O749" s="116">
        <f ca="1">SUBTOTAL(109,'3.4 I&amp;W'!$S$81)</f>
        <v>0</v>
      </c>
      <c r="P749" s="30">
        <f t="shared" ca="1" si="581"/>
        <v>0</v>
      </c>
      <c r="Q749" s="31">
        <f t="shared" ca="1" si="582"/>
        <v>0</v>
      </c>
      <c r="R749" s="31">
        <f t="shared" ca="1" si="583"/>
        <v>0</v>
      </c>
      <c r="S749" s="31">
        <f t="shared" ca="1" si="584"/>
        <v>0</v>
      </c>
      <c r="T749" s="32">
        <f t="shared" ca="1" si="585"/>
        <v>0</v>
      </c>
      <c r="U749" s="37">
        <f t="shared" ca="1" si="542"/>
        <v>0</v>
      </c>
      <c r="V749" s="40">
        <f t="shared" ca="1" si="535"/>
        <v>0</v>
      </c>
      <c r="W749" s="41">
        <f t="shared" ca="1" si="536"/>
        <v>0</v>
      </c>
      <c r="X749" s="43"/>
      <c r="Y749" s="46"/>
      <c r="Z749" s="126"/>
      <c r="AA749" s="136"/>
      <c r="AB749" s="131">
        <v>22</v>
      </c>
      <c r="AC749" s="168">
        <f ca="1">IF(AF748&lt;=1,0,'3.4 Fi&amp;Fo'!$I$25)</f>
        <v>47266.884954954228</v>
      </c>
      <c r="AD749" s="169">
        <f ca="1">IF(AF748&lt;=1,0,AF748*'3.4 Fi&amp;Fo'!$H$25)</f>
        <v>11444.493357506455</v>
      </c>
      <c r="AE749" s="169">
        <f t="shared" ca="1" si="545"/>
        <v>35822.391597447771</v>
      </c>
      <c r="AF749" s="170">
        <f t="shared" ca="1" si="546"/>
        <v>536402.27627787495</v>
      </c>
      <c r="AG749" s="168">
        <f>IF(AJ748&lt;=1,0,IF(AB749&lt;='3.4 Fi&amp;Fo'!$F$34,'3.4 Fi&amp;Fo'!$J$34,IF(AB749&lt;='3.4 Fi&amp;Fo'!$F$35,'3.4 Fi&amp;Fo'!$J$35,IF(AB749&lt;='3.4 Fi&amp;Fo'!$F$36,'3.4 Fi&amp;Fo'!$J$36,IF(AB749&lt;='3.4 Fi&amp;Fo'!$F$37,'3.4 Fi&amp;Fo'!$J$37,IF(AB749&lt;='3.4 Fi&amp;Fo'!$F$38,'3.4 Fi&amp;Fo'!$J$38,IF(AB749&lt;='3.4 Fi&amp;Fo'!$F$39,'3.4 Fi&amp;Fo'!$J$39,IF(AB749&lt;='3.4 Fi&amp;Fo'!$F$40,'3.4 Fi&amp;Fo'!$J$40))))))))</f>
        <v>100767.974</v>
      </c>
      <c r="AH749" s="203">
        <f>IF(AJ748&lt;=1,0,AJ748*IF(AB749&lt;='3.4 Fi&amp;Fo'!$F$34,'3.4 Fi&amp;Fo'!$I$34,IF(AB749&lt;='3.4 Fi&amp;Fo'!$F$35,'3.4 Fi&amp;Fo'!$I$35,IF(AB749&lt;='3.4 Fi&amp;Fo'!$F$38,'3.4 Fi&amp;Fo'!$I$38,IF(AB749&lt;='3.4 Fi&amp;Fo'!$F$39,'3.4 Fi&amp;Fo'!$I$39,IF(AB749&lt;='3.4 Fi&amp;Fo'!$F$40,'3.4 Fi&amp;Fo'!$I$40))))))</f>
        <v>122172.97259135087</v>
      </c>
      <c r="AI749" s="203">
        <f t="shared" si="547"/>
        <v>-21404.998591350872</v>
      </c>
      <c r="AJ749" s="204">
        <f t="shared" si="548"/>
        <v>2242731.7729795487</v>
      </c>
      <c r="AK749" s="312">
        <f t="shared" ca="1" si="549"/>
        <v>-181823.11259093627</v>
      </c>
      <c r="AL749" s="169">
        <f>IF(AB749&lt;='3.4 Fi&amp;Fo'!$J$15,'3.4 Fi&amp;Fo'!$I$15,0)</f>
        <v>0</v>
      </c>
      <c r="AM749" s="169">
        <f t="shared" si="561"/>
        <v>33788.253635982051</v>
      </c>
      <c r="AN749" s="838">
        <f t="shared" si="566"/>
        <v>22</v>
      </c>
      <c r="AO749" s="844">
        <f t="shared" ca="1" si="550"/>
        <v>181823.11259093627</v>
      </c>
      <c r="AP749" s="839">
        <f ca="1">CJ832</f>
        <v>0</v>
      </c>
      <c r="AQ749" s="844">
        <f t="shared" si="551"/>
        <v>0</v>
      </c>
      <c r="AR749" s="839">
        <f t="shared" ca="1" si="567"/>
        <v>0</v>
      </c>
      <c r="AS749" s="839">
        <f t="shared" ca="1" si="562"/>
        <v>10453.628911779408</v>
      </c>
      <c r="AT749" s="839">
        <f t="shared" ca="1" si="563"/>
        <v>14989.050488661915</v>
      </c>
      <c r="AU749" s="839">
        <f ca="1">'PV-Einspeisung'!AA230*-1</f>
        <v>0</v>
      </c>
      <c r="AV749" s="839">
        <f ca="1">'PV-Einspeisung'!AE230*-1</f>
        <v>0</v>
      </c>
      <c r="AW749" s="839"/>
      <c r="AX749" s="839">
        <f t="shared" ca="1" si="568"/>
        <v>0</v>
      </c>
      <c r="AY749" s="841">
        <f t="shared" si="552"/>
        <v>22</v>
      </c>
      <c r="AZ749" s="842">
        <f t="shared" ca="1" si="569"/>
        <v>0</v>
      </c>
      <c r="BA749" s="842">
        <f t="shared" ca="1" si="570"/>
        <v>0</v>
      </c>
      <c r="BB749" s="842">
        <f t="shared" ca="1" si="571"/>
        <v>0</v>
      </c>
      <c r="BC749" s="842">
        <f t="shared" ca="1" si="572"/>
        <v>0</v>
      </c>
      <c r="BD749" s="842">
        <f t="shared" ca="1" si="573"/>
        <v>0</v>
      </c>
      <c r="BE749" s="842">
        <f t="shared" ca="1" si="574"/>
        <v>0</v>
      </c>
      <c r="BF749" s="842">
        <f t="shared" ca="1" si="575"/>
        <v>10844.410200003402</v>
      </c>
      <c r="BG749" s="842">
        <f t="shared" ca="1" si="576"/>
        <v>4144.6402886585129</v>
      </c>
      <c r="BH749" s="858">
        <f t="shared" si="560"/>
        <v>22</v>
      </c>
      <c r="BI749" s="857">
        <f t="shared" ca="1" si="577"/>
        <v>4181.8423389257869</v>
      </c>
      <c r="BJ749" s="857">
        <f t="shared" ca="1" si="578"/>
        <v>6271.7865728536217</v>
      </c>
      <c r="BK749" s="859">
        <f ca="1">'PV-Einspeisung'!AB230*-1</f>
        <v>0</v>
      </c>
      <c r="BL749" s="824">
        <f t="shared" ca="1" si="537"/>
        <v>0</v>
      </c>
      <c r="BM749" s="824">
        <f t="shared" ca="1" si="538"/>
        <v>0</v>
      </c>
      <c r="BN749" s="824">
        <f t="shared" ca="1" si="539"/>
        <v>0</v>
      </c>
      <c r="BO749" s="824">
        <f t="shared" ca="1" si="586"/>
        <v>0</v>
      </c>
      <c r="BP749" s="824">
        <f t="shared" ca="1" si="586"/>
        <v>0</v>
      </c>
      <c r="BQ749" s="824">
        <f t="shared" ca="1" si="586"/>
        <v>0</v>
      </c>
      <c r="BR749" s="824">
        <f t="shared" ca="1" si="586"/>
        <v>0</v>
      </c>
      <c r="BS749" s="824">
        <f t="shared" ca="1" si="586"/>
        <v>0</v>
      </c>
      <c r="BT749" s="824">
        <f t="shared" ca="1" si="586"/>
        <v>0</v>
      </c>
      <c r="BU749" s="824">
        <f t="shared" ca="1" si="586"/>
        <v>0</v>
      </c>
      <c r="BV749" s="824">
        <f t="shared" ca="1" si="586"/>
        <v>0</v>
      </c>
      <c r="BW749" s="824">
        <f t="shared" ca="1" si="586"/>
        <v>0</v>
      </c>
      <c r="BX749" s="824">
        <f t="shared" ca="1" si="586"/>
        <v>0</v>
      </c>
      <c r="BY749" s="824">
        <f t="shared" ca="1" si="586"/>
        <v>0</v>
      </c>
      <c r="BZ749" s="824">
        <f t="shared" ca="1" si="586"/>
        <v>0</v>
      </c>
      <c r="CA749" s="824">
        <f t="shared" ca="1" si="586"/>
        <v>0</v>
      </c>
      <c r="CB749" s="824">
        <f t="shared" ca="1" si="586"/>
        <v>0</v>
      </c>
      <c r="CC749" s="824">
        <f t="shared" ca="1" si="586"/>
        <v>0</v>
      </c>
      <c r="CD749" s="824">
        <f t="shared" ca="1" si="586"/>
        <v>0</v>
      </c>
      <c r="CE749" s="824">
        <f t="shared" ca="1" si="588"/>
        <v>0</v>
      </c>
      <c r="CF749" s="824">
        <f t="shared" ca="1" si="588"/>
        <v>0</v>
      </c>
      <c r="CG749" s="824">
        <f t="shared" ca="1" si="588"/>
        <v>0</v>
      </c>
      <c r="CH749" s="824">
        <f t="shared" ca="1" si="588"/>
        <v>0</v>
      </c>
      <c r="CI749" s="824">
        <f t="shared" ca="1" si="588"/>
        <v>0</v>
      </c>
      <c r="CJ749" s="824">
        <f t="shared" ca="1" si="588"/>
        <v>0</v>
      </c>
      <c r="CK749" s="824">
        <f t="shared" ca="1" si="588"/>
        <v>0</v>
      </c>
      <c r="CL749" s="824">
        <f t="shared" ca="1" si="588"/>
        <v>0</v>
      </c>
      <c r="CM749" s="824">
        <f t="shared" ca="1" si="588"/>
        <v>0</v>
      </c>
      <c r="CN749" s="824">
        <f t="shared" ca="1" si="588"/>
        <v>0</v>
      </c>
      <c r="CO749" s="824">
        <f t="shared" ca="1" si="588"/>
        <v>0</v>
      </c>
      <c r="CP749" s="824">
        <f t="shared" ca="1" si="588"/>
        <v>0</v>
      </c>
      <c r="CQ749" s="824">
        <f t="shared" ca="1" si="588"/>
        <v>0</v>
      </c>
      <c r="CR749" s="824">
        <f t="shared" ca="1" si="588"/>
        <v>0</v>
      </c>
      <c r="CS749" s="824">
        <f t="shared" ca="1" si="588"/>
        <v>0</v>
      </c>
      <c r="CT749" s="824">
        <f t="shared" ca="1" si="587"/>
        <v>0</v>
      </c>
      <c r="CU749" s="824">
        <f t="shared" ca="1" si="564"/>
        <v>0</v>
      </c>
      <c r="CV749" s="824">
        <f t="shared" ca="1" si="564"/>
        <v>0</v>
      </c>
      <c r="CW749" s="824">
        <f t="shared" ca="1" si="564"/>
        <v>0</v>
      </c>
      <c r="CX749" s="824">
        <f t="shared" ca="1" si="564"/>
        <v>0</v>
      </c>
      <c r="CY749" s="824">
        <f t="shared" ca="1" si="564"/>
        <v>0</v>
      </c>
      <c r="CZ749" s="824">
        <f t="shared" ca="1" si="564"/>
        <v>0</v>
      </c>
      <c r="DA749" s="824">
        <f t="shared" ca="1" si="565"/>
        <v>0</v>
      </c>
      <c r="DB749" s="824">
        <f t="shared" ca="1" si="565"/>
        <v>0</v>
      </c>
      <c r="DC749" s="824">
        <f t="shared" ca="1" si="565"/>
        <v>0</v>
      </c>
      <c r="DD749" s="824">
        <f t="shared" ca="1" si="565"/>
        <v>0</v>
      </c>
      <c r="DE749" s="824">
        <f t="shared" ca="1" si="565"/>
        <v>0</v>
      </c>
      <c r="DF749" s="824">
        <f t="shared" ca="1" si="565"/>
        <v>0</v>
      </c>
      <c r="DG749" s="824">
        <f t="shared" ca="1" si="565"/>
        <v>0</v>
      </c>
      <c r="DH749" s="824">
        <f t="shared" ca="1" si="565"/>
        <v>0</v>
      </c>
      <c r="DI749" s="824">
        <f t="shared" ca="1" si="565"/>
        <v>0</v>
      </c>
      <c r="DJ749" s="824">
        <f t="shared" ca="1" si="565"/>
        <v>0</v>
      </c>
      <c r="DK749" s="824">
        <f t="shared" ca="1" si="565"/>
        <v>0</v>
      </c>
      <c r="DL749" s="824">
        <f t="shared" ca="1" si="565"/>
        <v>0</v>
      </c>
    </row>
    <row r="750" spans="2:116" ht="12" thickBot="1" x14ac:dyDescent="0.3">
      <c r="B750" s="1673"/>
      <c r="C750" s="1680"/>
      <c r="D750" s="15" t="s">
        <v>130</v>
      </c>
      <c r="E750" s="165"/>
      <c r="F750" s="116">
        <f ca="1">SUBTOTAL(109,'3.4 I&amp;W'!$X$84)</f>
        <v>0</v>
      </c>
      <c r="G750" s="116">
        <f ca="1">SUBTOTAL(109,'3.4 I&amp;W'!$Y$84)</f>
        <v>0</v>
      </c>
      <c r="H750" s="116">
        <f ca="1">SUBTOTAL(109,'3.4 I&amp;W'!$AD$84)</f>
        <v>0</v>
      </c>
      <c r="I750" s="116">
        <f ca="1">SUBTOTAL(109,'3.4 I&amp;W'!$AE$84)</f>
        <v>0</v>
      </c>
      <c r="J750" s="116"/>
      <c r="K750" s="116"/>
      <c r="L750" s="116"/>
      <c r="M750" s="116">
        <f ca="1">SUBTOTAL(109,'3.4 I&amp;W'!$AI$84)</f>
        <v>15</v>
      </c>
      <c r="N750" s="156">
        <f t="shared" ca="1" si="541"/>
        <v>2</v>
      </c>
      <c r="O750" s="116">
        <f ca="1">SUBTOTAL(109,'3.4 I&amp;W'!$S$84)</f>
        <v>15085.44</v>
      </c>
      <c r="P750" s="30">
        <f t="shared" ca="1" si="581"/>
        <v>14222.011472518068</v>
      </c>
      <c r="Q750" s="31">
        <f t="shared" ca="1" si="582"/>
        <v>13408.00204199781</v>
      </c>
      <c r="R750" s="31">
        <f t="shared" ca="1" si="583"/>
        <v>0</v>
      </c>
      <c r="S750" s="31">
        <f t="shared" ca="1" si="584"/>
        <v>0</v>
      </c>
      <c r="T750" s="32">
        <f t="shared" ca="1" si="585"/>
        <v>0</v>
      </c>
      <c r="U750" s="37">
        <f t="shared" ca="1" si="542"/>
        <v>8096.0270317998957</v>
      </c>
      <c r="V750" s="40">
        <f t="shared" ca="1" si="535"/>
        <v>0</v>
      </c>
      <c r="W750" s="41">
        <f t="shared" ca="1" si="536"/>
        <v>0</v>
      </c>
      <c r="X750" s="43"/>
      <c r="Y750" s="46"/>
      <c r="Z750" s="126"/>
      <c r="AA750" s="136"/>
      <c r="AB750" s="131">
        <v>23</v>
      </c>
      <c r="AC750" s="168">
        <f ca="1">IF(AF749&lt;=1,0,'3.4 Fi&amp;Fo'!$I$25)</f>
        <v>47266.884954954228</v>
      </c>
      <c r="AD750" s="169">
        <f ca="1">IF(AF749&lt;=1,0,AF749*'3.4 Fi&amp;Fo'!$H$25)</f>
        <v>10728.0455255575</v>
      </c>
      <c r="AE750" s="169">
        <f t="shared" ca="1" si="545"/>
        <v>36538.839429396729</v>
      </c>
      <c r="AF750" s="170">
        <f t="shared" ca="1" si="546"/>
        <v>499863.43684847822</v>
      </c>
      <c r="AG750" s="168">
        <f>IF(AJ749&lt;=1,0,IF(AB750&lt;='3.4 Fi&amp;Fo'!$F$34,'3.4 Fi&amp;Fo'!$J$34,IF(AB750&lt;='3.4 Fi&amp;Fo'!$F$35,'3.4 Fi&amp;Fo'!$J$35,IF(AB750&lt;='3.4 Fi&amp;Fo'!$F$36,'3.4 Fi&amp;Fo'!$J$36,IF(AB750&lt;='3.4 Fi&amp;Fo'!$F$37,'3.4 Fi&amp;Fo'!$J$37,IF(AB750&lt;='3.4 Fi&amp;Fo'!$F$38,'3.4 Fi&amp;Fo'!$J$38,IF(AB750&lt;='3.4 Fi&amp;Fo'!$F$39,'3.4 Fi&amp;Fo'!$J$39,IF(AB750&lt;='3.4 Fi&amp;Fo'!$F$40,'3.4 Fi&amp;Fo'!$J$40))))))))</f>
        <v>100767.974</v>
      </c>
      <c r="AH750" s="203">
        <f>IF(AJ749&lt;=1,0,AJ749*IF(AB750&lt;='3.4 Fi&amp;Fo'!$F$34,'3.4 Fi&amp;Fo'!$I$34,IF(AB750&lt;='3.4 Fi&amp;Fo'!$F$35,'3.4 Fi&amp;Fo'!$I$35,IF(AB750&lt;='3.4 Fi&amp;Fo'!$F$38,'3.4 Fi&amp;Fo'!$I$38,IF(AB750&lt;='3.4 Fi&amp;Fo'!$F$39,'3.4 Fi&amp;Fo'!$I$39,IF(AB750&lt;='3.4 Fi&amp;Fo'!$F$40,'3.4 Fi&amp;Fo'!$I$40))))))</f>
        <v>123350.24751387518</v>
      </c>
      <c r="AI750" s="203">
        <f t="shared" si="547"/>
        <v>-22582.273513875174</v>
      </c>
      <c r="AJ750" s="204">
        <f t="shared" si="548"/>
        <v>2265314.0464934236</v>
      </c>
      <c r="AK750" s="312">
        <f t="shared" ca="1" si="549"/>
        <v>-182498.8776636557</v>
      </c>
      <c r="AL750" s="169">
        <f>IF(AB750&lt;='3.4 Fi&amp;Fo'!$J$15,'3.4 Fi&amp;Fo'!$I$15,0)</f>
        <v>0</v>
      </c>
      <c r="AM750" s="169">
        <f t="shared" si="561"/>
        <v>34464.018708701478</v>
      </c>
      <c r="AN750" s="838">
        <f t="shared" si="566"/>
        <v>23</v>
      </c>
      <c r="AO750" s="844">
        <f t="shared" ca="1" si="550"/>
        <v>182498.8776636557</v>
      </c>
      <c r="AP750" s="839">
        <f ca="1">CK832</f>
        <v>0</v>
      </c>
      <c r="AQ750" s="844">
        <f t="shared" si="551"/>
        <v>0</v>
      </c>
      <c r="AR750" s="839">
        <f t="shared" ca="1" si="567"/>
        <v>0</v>
      </c>
      <c r="AS750" s="839">
        <f t="shared" ca="1" si="562"/>
        <v>10620.886974367879</v>
      </c>
      <c r="AT750" s="839">
        <f t="shared" ca="1" si="563"/>
        <v>15405.223153765046</v>
      </c>
      <c r="AU750" s="839">
        <f ca="1">'PV-Einspeisung'!AA231*-1</f>
        <v>0</v>
      </c>
      <c r="AV750" s="839">
        <f ca="1">'PV-Einspeisung'!AE231*-1</f>
        <v>0</v>
      </c>
      <c r="AW750" s="839"/>
      <c r="AX750" s="839">
        <f t="shared" ca="1" si="568"/>
        <v>0</v>
      </c>
      <c r="AY750" s="841">
        <f t="shared" si="552"/>
        <v>23</v>
      </c>
      <c r="AZ750" s="842">
        <f t="shared" ca="1" si="569"/>
        <v>0</v>
      </c>
      <c r="BA750" s="842">
        <f t="shared" ca="1" si="570"/>
        <v>0</v>
      </c>
      <c r="BB750" s="842">
        <f t="shared" ca="1" si="571"/>
        <v>0</v>
      </c>
      <c r="BC750" s="842">
        <f t="shared" ca="1" si="572"/>
        <v>0</v>
      </c>
      <c r="BD750" s="842">
        <f t="shared" ca="1" si="573"/>
        <v>0</v>
      </c>
      <c r="BE750" s="842">
        <f t="shared" ca="1" si="574"/>
        <v>0</v>
      </c>
      <c r="BF750" s="842">
        <f t="shared" ca="1" si="575"/>
        <v>11115.520455003485</v>
      </c>
      <c r="BG750" s="842">
        <f t="shared" ca="1" si="576"/>
        <v>4289.7026987615609</v>
      </c>
      <c r="BH750" s="858">
        <f t="shared" si="560"/>
        <v>23</v>
      </c>
      <c r="BI750" s="857">
        <f t="shared" ca="1" si="577"/>
        <v>4248.7518163485993</v>
      </c>
      <c r="BJ750" s="857">
        <f t="shared" ca="1" si="578"/>
        <v>6372.1351580192795</v>
      </c>
      <c r="BK750" s="859">
        <f ca="1">'PV-Einspeisung'!AB231*-1</f>
        <v>0</v>
      </c>
      <c r="BL750" s="824">
        <f t="shared" ca="1" si="537"/>
        <v>15</v>
      </c>
      <c r="BM750" s="824">
        <f t="shared" ca="1" si="538"/>
        <v>2</v>
      </c>
      <c r="BN750" s="824">
        <f t="shared" ca="1" si="539"/>
        <v>15085.44</v>
      </c>
      <c r="BO750" s="824">
        <f t="shared" ca="1" si="586"/>
        <v>0</v>
      </c>
      <c r="BP750" s="824">
        <f t="shared" ca="1" si="586"/>
        <v>0</v>
      </c>
      <c r="BQ750" s="824">
        <f t="shared" ca="1" si="586"/>
        <v>0</v>
      </c>
      <c r="BR750" s="824">
        <f t="shared" ca="1" si="586"/>
        <v>0</v>
      </c>
      <c r="BS750" s="824">
        <f t="shared" ca="1" si="586"/>
        <v>0</v>
      </c>
      <c r="BT750" s="824">
        <f t="shared" ca="1" si="586"/>
        <v>0</v>
      </c>
      <c r="BU750" s="824">
        <f t="shared" ca="1" si="586"/>
        <v>0</v>
      </c>
      <c r="BV750" s="824">
        <f t="shared" ca="1" si="586"/>
        <v>0</v>
      </c>
      <c r="BW750" s="824">
        <f t="shared" ca="1" si="586"/>
        <v>0</v>
      </c>
      <c r="BX750" s="824">
        <f t="shared" ca="1" si="586"/>
        <v>0</v>
      </c>
      <c r="BY750" s="824">
        <f t="shared" ca="1" si="586"/>
        <v>0</v>
      </c>
      <c r="BZ750" s="824">
        <f t="shared" ca="1" si="586"/>
        <v>0</v>
      </c>
      <c r="CA750" s="824">
        <f t="shared" ca="1" si="586"/>
        <v>0</v>
      </c>
      <c r="CB750" s="824">
        <f t="shared" ca="1" si="586"/>
        <v>0</v>
      </c>
      <c r="CC750" s="824">
        <f t="shared" ca="1" si="586"/>
        <v>19140.954948144594</v>
      </c>
      <c r="CD750" s="824">
        <f t="shared" ca="1" si="586"/>
        <v>0</v>
      </c>
      <c r="CE750" s="824">
        <f t="shared" ca="1" si="588"/>
        <v>0</v>
      </c>
      <c r="CF750" s="824">
        <f t="shared" ca="1" si="588"/>
        <v>0</v>
      </c>
      <c r="CG750" s="824">
        <f t="shared" ca="1" si="588"/>
        <v>0</v>
      </c>
      <c r="CH750" s="824">
        <f t="shared" ca="1" si="588"/>
        <v>0</v>
      </c>
      <c r="CI750" s="824">
        <f t="shared" ca="1" si="588"/>
        <v>0</v>
      </c>
      <c r="CJ750" s="824">
        <f t="shared" ca="1" si="588"/>
        <v>0</v>
      </c>
      <c r="CK750" s="824">
        <f t="shared" ca="1" si="588"/>
        <v>0</v>
      </c>
      <c r="CL750" s="824">
        <f t="shared" ca="1" si="588"/>
        <v>0</v>
      </c>
      <c r="CM750" s="824">
        <f t="shared" ca="1" si="588"/>
        <v>0</v>
      </c>
      <c r="CN750" s="824">
        <f t="shared" ca="1" si="588"/>
        <v>0</v>
      </c>
      <c r="CO750" s="824">
        <f t="shared" ca="1" si="588"/>
        <v>0</v>
      </c>
      <c r="CP750" s="824">
        <f t="shared" ca="1" si="588"/>
        <v>0</v>
      </c>
      <c r="CQ750" s="824">
        <f t="shared" ca="1" si="588"/>
        <v>0</v>
      </c>
      <c r="CR750" s="824">
        <f t="shared" ca="1" si="588"/>
        <v>24286.739818454153</v>
      </c>
      <c r="CS750" s="824">
        <f t="shared" ca="1" si="588"/>
        <v>0</v>
      </c>
      <c r="CT750" s="824">
        <f t="shared" ca="1" si="587"/>
        <v>0</v>
      </c>
      <c r="CU750" s="824">
        <f t="shared" ca="1" si="564"/>
        <v>0</v>
      </c>
      <c r="CV750" s="824">
        <f t="shared" ca="1" si="564"/>
        <v>0</v>
      </c>
      <c r="CW750" s="824">
        <f t="shared" ca="1" si="564"/>
        <v>0</v>
      </c>
      <c r="CX750" s="824">
        <f t="shared" ca="1" si="564"/>
        <v>0</v>
      </c>
      <c r="CY750" s="824">
        <f t="shared" ca="1" si="564"/>
        <v>0</v>
      </c>
      <c r="CZ750" s="824">
        <f t="shared" ca="1" si="564"/>
        <v>0</v>
      </c>
      <c r="DA750" s="824">
        <f t="shared" ca="1" si="565"/>
        <v>0</v>
      </c>
      <c r="DB750" s="824">
        <f t="shared" ca="1" si="565"/>
        <v>0</v>
      </c>
      <c r="DC750" s="824">
        <f t="shared" ca="1" si="565"/>
        <v>0</v>
      </c>
      <c r="DD750" s="824">
        <f t="shared" ref="DD750:DL770" ca="1" si="589">IF(OR(IF($BL750*1&lt;$BL$196,$BL750*1=DD$198,FALSE),IF($BL750*2&lt;$BL$196,$BL750*2=DD$198,FALSE),IF($BL750*3&lt;$BL$196,$BL750*3=DD$198,FALSE),IF($BL750*4&lt;$BL$196,$BL750*4=DD$198,FALSE),IF($BL750*5&lt;$BL$196,$BL750*5=DD$198,FALSE)),$BN750*$BM$196^DD$198,0)</f>
        <v>0</v>
      </c>
      <c r="DE750" s="824">
        <f t="shared" ca="1" si="589"/>
        <v>0</v>
      </c>
      <c r="DF750" s="824">
        <f t="shared" ca="1" si="589"/>
        <v>0</v>
      </c>
      <c r="DG750" s="824">
        <f t="shared" ca="1" si="589"/>
        <v>0</v>
      </c>
      <c r="DH750" s="824">
        <f t="shared" ca="1" si="589"/>
        <v>0</v>
      </c>
      <c r="DI750" s="824">
        <f t="shared" ca="1" si="589"/>
        <v>0</v>
      </c>
      <c r="DJ750" s="824">
        <f t="shared" ca="1" si="589"/>
        <v>0</v>
      </c>
      <c r="DK750" s="824">
        <f t="shared" ca="1" si="589"/>
        <v>0</v>
      </c>
      <c r="DL750" s="824">
        <f t="shared" ca="1" si="589"/>
        <v>0</v>
      </c>
    </row>
    <row r="751" spans="2:116" ht="12" thickBot="1" x14ac:dyDescent="0.3">
      <c r="B751" s="1673"/>
      <c r="C751" s="1680"/>
      <c r="D751" s="15" t="s">
        <v>130</v>
      </c>
      <c r="E751" s="116"/>
      <c r="F751" s="116">
        <f ca="1">SUBTOTAL(109,'3.4 I&amp;W'!$X$85)</f>
        <v>0</v>
      </c>
      <c r="G751" s="116">
        <f ca="1">SUBTOTAL(109,'3.4 I&amp;W'!$Y$85)</f>
        <v>0</v>
      </c>
      <c r="H751" s="116">
        <f ca="1">SUBTOTAL(109,'3.4 I&amp;W'!$AD$85)</f>
        <v>0</v>
      </c>
      <c r="I751" s="116">
        <f ca="1">SUBTOTAL(109,'3.4 I&amp;W'!$AE$85)</f>
        <v>0</v>
      </c>
      <c r="J751" s="116"/>
      <c r="K751" s="116"/>
      <c r="L751" s="116"/>
      <c r="M751" s="116">
        <f ca="1">SUBTOTAL(109,'3.4 I&amp;W'!$AI$85)</f>
        <v>25</v>
      </c>
      <c r="N751" s="156">
        <f t="shared" ca="1" si="541"/>
        <v>1</v>
      </c>
      <c r="O751" s="116">
        <f ca="1">SUBTOTAL(109,'3.4 I&amp;W'!$S$85)</f>
        <v>2734.2</v>
      </c>
      <c r="P751" s="30">
        <f t="shared" ca="1" si="581"/>
        <v>2478.3844960159149</v>
      </c>
      <c r="Q751" s="31">
        <f t="shared" ca="1" si="582"/>
        <v>0</v>
      </c>
      <c r="R751" s="31">
        <f t="shared" ca="1" si="583"/>
        <v>0</v>
      </c>
      <c r="S751" s="31">
        <f t="shared" ca="1" si="584"/>
        <v>0</v>
      </c>
      <c r="T751" s="32">
        <f t="shared" ca="1" si="585"/>
        <v>0</v>
      </c>
      <c r="U751" s="37">
        <f t="shared" ca="1" si="542"/>
        <v>1219.8831046461596</v>
      </c>
      <c r="V751" s="40">
        <f t="shared" ca="1" si="535"/>
        <v>0</v>
      </c>
      <c r="W751" s="41">
        <f t="shared" ca="1" si="536"/>
        <v>0</v>
      </c>
      <c r="X751" s="43"/>
      <c r="Y751" s="46"/>
      <c r="Z751" s="126"/>
      <c r="AA751" s="136"/>
      <c r="AB751" s="131">
        <v>24</v>
      </c>
      <c r="AC751" s="168">
        <f ca="1">IF(AF750&lt;=1,0,'3.4 Fi&amp;Fo'!$I$25)</f>
        <v>47266.884954954228</v>
      </c>
      <c r="AD751" s="169">
        <f ca="1">IF(AF750&lt;=1,0,AF750*'3.4 Fi&amp;Fo'!$H$25)</f>
        <v>9997.268736969565</v>
      </c>
      <c r="AE751" s="169">
        <f t="shared" ca="1" si="545"/>
        <v>37269.616217984665</v>
      </c>
      <c r="AF751" s="170">
        <f t="shared" ca="1" si="546"/>
        <v>462593.82063049357</v>
      </c>
      <c r="AG751" s="168">
        <f>IF(AJ750&lt;=1,0,IF(AB751&lt;='3.4 Fi&amp;Fo'!$F$34,'3.4 Fi&amp;Fo'!$J$34,IF(AB751&lt;='3.4 Fi&amp;Fo'!$F$35,'3.4 Fi&amp;Fo'!$J$35,IF(AB751&lt;='3.4 Fi&amp;Fo'!$F$36,'3.4 Fi&amp;Fo'!$J$36,IF(AB751&lt;='3.4 Fi&amp;Fo'!$F$37,'3.4 Fi&amp;Fo'!$J$37,IF(AB751&lt;='3.4 Fi&amp;Fo'!$F$38,'3.4 Fi&amp;Fo'!$J$38,IF(AB751&lt;='3.4 Fi&amp;Fo'!$F$39,'3.4 Fi&amp;Fo'!$J$39,IF(AB751&lt;='3.4 Fi&amp;Fo'!$F$40,'3.4 Fi&amp;Fo'!$J$40))))))))</f>
        <v>100767.974</v>
      </c>
      <c r="AH751" s="203">
        <f>IF(AJ750&lt;=1,0,AJ750*IF(AB751&lt;='3.4 Fi&amp;Fo'!$F$34,'3.4 Fi&amp;Fo'!$I$34,IF(AB751&lt;='3.4 Fi&amp;Fo'!$F$35,'3.4 Fi&amp;Fo'!$I$35,IF(AB751&lt;='3.4 Fi&amp;Fo'!$F$38,'3.4 Fi&amp;Fo'!$I$38,IF(AB751&lt;='3.4 Fi&amp;Fo'!$F$39,'3.4 Fi&amp;Fo'!$I$39,IF(AB751&lt;='3.4 Fi&amp;Fo'!$F$40,'3.4 Fi&amp;Fo'!$I$40))))))</f>
        <v>124592.27255713831</v>
      </c>
      <c r="AI751" s="203">
        <f t="shared" si="547"/>
        <v>-23824.298557138303</v>
      </c>
      <c r="AJ751" s="204">
        <f t="shared" si="548"/>
        <v>2289138.3450505622</v>
      </c>
      <c r="AK751" s="312">
        <f t="shared" ca="1" si="549"/>
        <v>-183188.15803782994</v>
      </c>
      <c r="AL751" s="169">
        <f>IF(AB751&lt;='3.4 Fi&amp;Fo'!$J$15,'3.4 Fi&amp;Fo'!$I$15,0)</f>
        <v>0</v>
      </c>
      <c r="AM751" s="169">
        <f t="shared" si="561"/>
        <v>35153.299082875717</v>
      </c>
      <c r="AN751" s="838">
        <f t="shared" si="566"/>
        <v>24</v>
      </c>
      <c r="AO751" s="844">
        <f t="shared" ca="1" si="550"/>
        <v>183188.15803782994</v>
      </c>
      <c r="AP751" s="839">
        <f ca="1">CL832</f>
        <v>0</v>
      </c>
      <c r="AQ751" s="844">
        <f t="shared" si="551"/>
        <v>0</v>
      </c>
      <c r="AR751" s="839">
        <f t="shared" ca="1" si="567"/>
        <v>0</v>
      </c>
      <c r="AS751" s="839">
        <f t="shared" ca="1" si="562"/>
        <v>10790.821165957765</v>
      </c>
      <c r="AT751" s="839">
        <f t="shared" ca="1" si="563"/>
        <v>15833.250759596785</v>
      </c>
      <c r="AU751" s="839">
        <f ca="1">'PV-Einspeisung'!AA232*-1</f>
        <v>0</v>
      </c>
      <c r="AV751" s="839">
        <f ca="1">'PV-Einspeisung'!AE232*-1</f>
        <v>0</v>
      </c>
      <c r="AW751" s="839"/>
      <c r="AX751" s="839">
        <f t="shared" ca="1" si="568"/>
        <v>0</v>
      </c>
      <c r="AY751" s="841">
        <f t="shared" si="552"/>
        <v>24</v>
      </c>
      <c r="AZ751" s="842">
        <f t="shared" ca="1" si="569"/>
        <v>0</v>
      </c>
      <c r="BA751" s="842">
        <f t="shared" ca="1" si="570"/>
        <v>0</v>
      </c>
      <c r="BB751" s="842">
        <f t="shared" ca="1" si="571"/>
        <v>0</v>
      </c>
      <c r="BC751" s="842">
        <f t="shared" ca="1" si="572"/>
        <v>0</v>
      </c>
      <c r="BD751" s="842">
        <f t="shared" ca="1" si="573"/>
        <v>0</v>
      </c>
      <c r="BE751" s="842">
        <f t="shared" ca="1" si="574"/>
        <v>0</v>
      </c>
      <c r="BF751" s="842">
        <f t="shared" ca="1" si="575"/>
        <v>11393.408466378571</v>
      </c>
      <c r="BG751" s="842">
        <f t="shared" ca="1" si="576"/>
        <v>4439.8422932182148</v>
      </c>
      <c r="BH751" s="858">
        <f t="shared" si="560"/>
        <v>24</v>
      </c>
      <c r="BI751" s="857">
        <f t="shared" ca="1" si="577"/>
        <v>4316.7318454101769</v>
      </c>
      <c r="BJ751" s="857">
        <f t="shared" ca="1" si="578"/>
        <v>6474.0893205475877</v>
      </c>
      <c r="BK751" s="859">
        <f ca="1">'PV-Einspeisung'!AB232*-1</f>
        <v>0</v>
      </c>
      <c r="BL751" s="824">
        <f t="shared" ca="1" si="537"/>
        <v>25</v>
      </c>
      <c r="BM751" s="824">
        <f t="shared" ca="1" si="538"/>
        <v>1</v>
      </c>
      <c r="BN751" s="824">
        <f t="shared" ca="1" si="539"/>
        <v>2734.2</v>
      </c>
      <c r="BO751" s="824">
        <f t="shared" ca="1" si="586"/>
        <v>0</v>
      </c>
      <c r="BP751" s="824">
        <f t="shared" ca="1" si="586"/>
        <v>0</v>
      </c>
      <c r="BQ751" s="824">
        <f t="shared" ca="1" si="586"/>
        <v>0</v>
      </c>
      <c r="BR751" s="824">
        <f t="shared" ca="1" si="586"/>
        <v>0</v>
      </c>
      <c r="BS751" s="824">
        <f t="shared" ca="1" si="586"/>
        <v>0</v>
      </c>
      <c r="BT751" s="824">
        <f t="shared" ca="1" si="586"/>
        <v>0</v>
      </c>
      <c r="BU751" s="824">
        <f t="shared" ca="1" si="586"/>
        <v>0</v>
      </c>
      <c r="BV751" s="824">
        <f t="shared" ca="1" si="586"/>
        <v>0</v>
      </c>
      <c r="BW751" s="824">
        <f t="shared" ca="1" si="586"/>
        <v>0</v>
      </c>
      <c r="BX751" s="824">
        <f t="shared" ca="1" si="586"/>
        <v>0</v>
      </c>
      <c r="BY751" s="824">
        <f t="shared" ca="1" si="586"/>
        <v>0</v>
      </c>
      <c r="BZ751" s="824">
        <f t="shared" ca="1" si="586"/>
        <v>0</v>
      </c>
      <c r="CA751" s="824">
        <f t="shared" ca="1" si="586"/>
        <v>0</v>
      </c>
      <c r="CB751" s="824">
        <f t="shared" ca="1" si="586"/>
        <v>0</v>
      </c>
      <c r="CC751" s="824">
        <f t="shared" ca="1" si="586"/>
        <v>0</v>
      </c>
      <c r="CD751" s="824">
        <f t="shared" ca="1" si="586"/>
        <v>0</v>
      </c>
      <c r="CE751" s="824">
        <f t="shared" ca="1" si="588"/>
        <v>0</v>
      </c>
      <c r="CF751" s="824">
        <f t="shared" ca="1" si="588"/>
        <v>0</v>
      </c>
      <c r="CG751" s="824">
        <f t="shared" ca="1" si="588"/>
        <v>0</v>
      </c>
      <c r="CH751" s="824">
        <f t="shared" ca="1" si="588"/>
        <v>0</v>
      </c>
      <c r="CI751" s="824">
        <f t="shared" ca="1" si="588"/>
        <v>0</v>
      </c>
      <c r="CJ751" s="824">
        <f t="shared" ca="1" si="588"/>
        <v>0</v>
      </c>
      <c r="CK751" s="824">
        <f t="shared" ca="1" si="588"/>
        <v>0</v>
      </c>
      <c r="CL751" s="824">
        <f t="shared" ca="1" si="588"/>
        <v>0</v>
      </c>
      <c r="CM751" s="824">
        <f t="shared" ca="1" si="588"/>
        <v>4066.0524607521575</v>
      </c>
      <c r="CN751" s="824">
        <f t="shared" ca="1" si="588"/>
        <v>0</v>
      </c>
      <c r="CO751" s="824">
        <f t="shared" ca="1" si="588"/>
        <v>0</v>
      </c>
      <c r="CP751" s="824">
        <f t="shared" ca="1" si="588"/>
        <v>0</v>
      </c>
      <c r="CQ751" s="824">
        <f t="shared" ca="1" si="588"/>
        <v>0</v>
      </c>
      <c r="CR751" s="824">
        <f t="shared" ca="1" si="588"/>
        <v>0</v>
      </c>
      <c r="CS751" s="824">
        <f t="shared" ca="1" si="588"/>
        <v>0</v>
      </c>
      <c r="CT751" s="824">
        <f t="shared" ca="1" si="587"/>
        <v>0</v>
      </c>
      <c r="CU751" s="824">
        <f t="shared" ca="1" si="564"/>
        <v>0</v>
      </c>
      <c r="CV751" s="824">
        <f t="shared" ca="1" si="564"/>
        <v>0</v>
      </c>
      <c r="CW751" s="824">
        <f t="shared" ca="1" si="564"/>
        <v>0</v>
      </c>
      <c r="CX751" s="824">
        <f t="shared" ca="1" si="564"/>
        <v>0</v>
      </c>
      <c r="CY751" s="824">
        <f t="shared" ca="1" si="564"/>
        <v>0</v>
      </c>
      <c r="CZ751" s="824">
        <f t="shared" ca="1" si="564"/>
        <v>0</v>
      </c>
      <c r="DA751" s="824">
        <f t="shared" ref="DA751:DL814" ca="1" si="590">IF(OR(IF($BL751*1&lt;$BL$196,$BL751*1=DA$198,FALSE),IF($BL751*2&lt;$BL$196,$BL751*2=DA$198,FALSE),IF($BL751*3&lt;$BL$196,$BL751*3=DA$198,FALSE),IF($BL751*4&lt;$BL$196,$BL751*4=DA$198,FALSE),IF($BL751*5&lt;$BL$196,$BL751*5=DA$198,FALSE)),$BN751*$BM$196^DA$198,0)</f>
        <v>0</v>
      </c>
      <c r="DB751" s="824">
        <f t="shared" ca="1" si="590"/>
        <v>0</v>
      </c>
      <c r="DC751" s="824">
        <f t="shared" ca="1" si="590"/>
        <v>0</v>
      </c>
      <c r="DD751" s="824">
        <f t="shared" ca="1" si="590"/>
        <v>0</v>
      </c>
      <c r="DE751" s="824">
        <f t="shared" ca="1" si="590"/>
        <v>0</v>
      </c>
      <c r="DF751" s="824">
        <f t="shared" ca="1" si="590"/>
        <v>0</v>
      </c>
      <c r="DG751" s="824">
        <f t="shared" ca="1" si="590"/>
        <v>0</v>
      </c>
      <c r="DH751" s="824">
        <f t="shared" ca="1" si="590"/>
        <v>0</v>
      </c>
      <c r="DI751" s="824">
        <f t="shared" ca="1" si="590"/>
        <v>0</v>
      </c>
      <c r="DJ751" s="824">
        <f t="shared" ca="1" si="590"/>
        <v>0</v>
      </c>
      <c r="DK751" s="824">
        <f t="shared" ca="1" si="589"/>
        <v>0</v>
      </c>
      <c r="DL751" s="824">
        <f t="shared" ca="1" si="589"/>
        <v>0</v>
      </c>
    </row>
    <row r="752" spans="2:116" ht="12" thickBot="1" x14ac:dyDescent="0.3">
      <c r="B752" s="1673"/>
      <c r="C752" s="1680"/>
      <c r="D752" s="15" t="s">
        <v>130</v>
      </c>
      <c r="E752" s="165"/>
      <c r="F752" s="116">
        <f ca="1">SUBTOTAL(109,'3.4 I&amp;W'!$X$86)</f>
        <v>0</v>
      </c>
      <c r="G752" s="116">
        <f ca="1">SUBTOTAL(109,'3.4 I&amp;W'!$Y$86)</f>
        <v>0</v>
      </c>
      <c r="H752" s="116">
        <f ca="1">SUBTOTAL(109,'3.4 I&amp;W'!$AD$86)</f>
        <v>0</v>
      </c>
      <c r="I752" s="116">
        <f ca="1">SUBTOTAL(109,'3.4 I&amp;W'!$AE$86)</f>
        <v>0</v>
      </c>
      <c r="J752" s="116"/>
      <c r="K752" s="116"/>
      <c r="L752" s="116"/>
      <c r="M752" s="116">
        <f ca="1">SUBTOTAL(109,'3.4 I&amp;W'!$AI$86)</f>
        <v>65</v>
      </c>
      <c r="N752" s="156">
        <f t="shared" ca="1" si="541"/>
        <v>0</v>
      </c>
      <c r="O752" s="116">
        <f ca="1">SUBTOTAL(109,'3.4 I&amp;W'!$S$86)</f>
        <v>50279.015999999996</v>
      </c>
      <c r="P752" s="30">
        <f t="shared" ca="1" si="581"/>
        <v>0</v>
      </c>
      <c r="Q752" s="31">
        <f t="shared" ca="1" si="582"/>
        <v>0</v>
      </c>
      <c r="R752" s="31">
        <f t="shared" ca="1" si="583"/>
        <v>0</v>
      </c>
      <c r="S752" s="31">
        <f t="shared" ca="1" si="584"/>
        <v>0</v>
      </c>
      <c r="T752" s="32">
        <f t="shared" ca="1" si="585"/>
        <v>0</v>
      </c>
      <c r="U752" s="37">
        <f t="shared" ca="1" si="542"/>
        <v>11603.490633477195</v>
      </c>
      <c r="V752" s="40">
        <f t="shared" ca="1" si="535"/>
        <v>0</v>
      </c>
      <c r="W752" s="41">
        <f t="shared" ca="1" si="536"/>
        <v>0</v>
      </c>
      <c r="X752" s="43"/>
      <c r="Y752" s="46"/>
      <c r="Z752" s="126"/>
      <c r="AA752" s="136"/>
      <c r="AB752" s="131">
        <v>25</v>
      </c>
      <c r="AC752" s="168">
        <f ca="1">IF(AF751&lt;=1,0,'3.4 Fi&amp;Fo'!$I$25)</f>
        <v>47266.884954954228</v>
      </c>
      <c r="AD752" s="169">
        <f ca="1">IF(AF751&lt;=1,0,AF751*'3.4 Fi&amp;Fo'!$H$25)</f>
        <v>9251.8764126098722</v>
      </c>
      <c r="AE752" s="169">
        <f t="shared" ca="1" si="545"/>
        <v>38015.008542344352</v>
      </c>
      <c r="AF752" s="170">
        <f t="shared" ca="1" si="546"/>
        <v>424578.81208814925</v>
      </c>
      <c r="AG752" s="168">
        <f>IF(AJ751&lt;=1,0,IF(AB752&lt;='3.4 Fi&amp;Fo'!$F$34,'3.4 Fi&amp;Fo'!$J$34,IF(AB752&lt;='3.4 Fi&amp;Fo'!$F$35,'3.4 Fi&amp;Fo'!$J$35,IF(AB752&lt;='3.4 Fi&amp;Fo'!$F$36,'3.4 Fi&amp;Fo'!$J$36,IF(AB752&lt;='3.4 Fi&amp;Fo'!$F$37,'3.4 Fi&amp;Fo'!$J$37,IF(AB752&lt;='3.4 Fi&amp;Fo'!$F$38,'3.4 Fi&amp;Fo'!$J$38,IF(AB752&lt;='3.4 Fi&amp;Fo'!$F$39,'3.4 Fi&amp;Fo'!$J$39,IF(AB752&lt;='3.4 Fi&amp;Fo'!$F$40,'3.4 Fi&amp;Fo'!$J$40))))))))</f>
        <v>100767.974</v>
      </c>
      <c r="AH752" s="203">
        <f>IF(AJ751&lt;=1,0,AJ751*IF(AB752&lt;='3.4 Fi&amp;Fo'!$F$34,'3.4 Fi&amp;Fo'!$I$34,IF(AB752&lt;='3.4 Fi&amp;Fo'!$F$35,'3.4 Fi&amp;Fo'!$I$35,IF(AB752&lt;='3.4 Fi&amp;Fo'!$F$38,'3.4 Fi&amp;Fo'!$I$38,IF(AB752&lt;='3.4 Fi&amp;Fo'!$F$39,'3.4 Fi&amp;Fo'!$I$39,IF(AB752&lt;='3.4 Fi&amp;Fo'!$F$40,'3.4 Fi&amp;Fo'!$I$40))))))</f>
        <v>125902.60897778092</v>
      </c>
      <c r="AI752" s="203">
        <f t="shared" si="547"/>
        <v>-25134.634977780923</v>
      </c>
      <c r="AJ752" s="204">
        <f t="shared" si="548"/>
        <v>2314272.9800283429</v>
      </c>
      <c r="AK752" s="312">
        <f t="shared" ca="1" si="549"/>
        <v>-183891.22401948742</v>
      </c>
      <c r="AL752" s="169">
        <f>IF(AB752&lt;='3.4 Fi&amp;Fo'!$J$15,'3.4 Fi&amp;Fo'!$I$15,0)</f>
        <v>0</v>
      </c>
      <c r="AM752" s="169">
        <f t="shared" si="561"/>
        <v>35856.365064533195</v>
      </c>
      <c r="AN752" s="838">
        <f t="shared" si="566"/>
        <v>25</v>
      </c>
      <c r="AO752" s="844">
        <f t="shared" ca="1" si="550"/>
        <v>183891.22401948742</v>
      </c>
      <c r="AP752" s="839">
        <f ca="1">CM832</f>
        <v>105231.07945221136</v>
      </c>
      <c r="AQ752" s="844">
        <f t="shared" si="551"/>
        <v>0</v>
      </c>
      <c r="AR752" s="839">
        <f t="shared" ca="1" si="567"/>
        <v>0</v>
      </c>
      <c r="AS752" s="839">
        <f t="shared" ca="1" si="562"/>
        <v>10963.47430461309</v>
      </c>
      <c r="AT752" s="839">
        <f t="shared" ca="1" si="563"/>
        <v>16273.480451518886</v>
      </c>
      <c r="AU752" s="839">
        <f ca="1">'PV-Einspeisung'!AA233*-1</f>
        <v>0</v>
      </c>
      <c r="AV752" s="839">
        <f ca="1">'PV-Einspeisung'!AE233*-1</f>
        <v>0</v>
      </c>
      <c r="AW752" s="839"/>
      <c r="AX752" s="839">
        <f t="shared" ca="1" si="568"/>
        <v>0</v>
      </c>
      <c r="AY752" s="841">
        <f t="shared" si="552"/>
        <v>25</v>
      </c>
      <c r="AZ752" s="842">
        <f t="shared" ca="1" si="569"/>
        <v>0</v>
      </c>
      <c r="BA752" s="842">
        <f t="shared" ca="1" si="570"/>
        <v>0</v>
      </c>
      <c r="BB752" s="842">
        <f t="shared" ca="1" si="571"/>
        <v>0</v>
      </c>
      <c r="BC752" s="842">
        <f t="shared" ca="1" si="572"/>
        <v>0</v>
      </c>
      <c r="BD752" s="842">
        <f t="shared" ca="1" si="573"/>
        <v>0</v>
      </c>
      <c r="BE752" s="842">
        <f t="shared" ca="1" si="574"/>
        <v>0</v>
      </c>
      <c r="BF752" s="842">
        <f t="shared" ca="1" si="575"/>
        <v>11678.243678038034</v>
      </c>
      <c r="BG752" s="842">
        <f t="shared" ca="1" si="576"/>
        <v>4595.2367734808522</v>
      </c>
      <c r="BH752" s="858">
        <f t="shared" si="560"/>
        <v>25</v>
      </c>
      <c r="BI752" s="857">
        <f t="shared" ca="1" si="577"/>
        <v>4385.7995549367397</v>
      </c>
      <c r="BJ752" s="857">
        <f t="shared" ca="1" si="578"/>
        <v>6577.6747496763492</v>
      </c>
      <c r="BK752" s="859">
        <f ca="1">'PV-Einspeisung'!AB233*-1</f>
        <v>0</v>
      </c>
      <c r="BL752" s="824">
        <f t="shared" ca="1" si="537"/>
        <v>65</v>
      </c>
      <c r="BM752" s="824">
        <f t="shared" ca="1" si="538"/>
        <v>0</v>
      </c>
      <c r="BN752" s="824">
        <f t="shared" ca="1" si="539"/>
        <v>50279.015999999996</v>
      </c>
      <c r="BO752" s="824">
        <f t="shared" ca="1" si="586"/>
        <v>0</v>
      </c>
      <c r="BP752" s="824">
        <f t="shared" ca="1" si="586"/>
        <v>0</v>
      </c>
      <c r="BQ752" s="824">
        <f t="shared" ca="1" si="586"/>
        <v>0</v>
      </c>
      <c r="BR752" s="824">
        <f t="shared" ca="1" si="586"/>
        <v>0</v>
      </c>
      <c r="BS752" s="824">
        <f t="shared" ca="1" si="586"/>
        <v>0</v>
      </c>
      <c r="BT752" s="824">
        <f t="shared" ca="1" si="586"/>
        <v>0</v>
      </c>
      <c r="BU752" s="824">
        <f t="shared" ca="1" si="586"/>
        <v>0</v>
      </c>
      <c r="BV752" s="824">
        <f t="shared" ca="1" si="586"/>
        <v>0</v>
      </c>
      <c r="BW752" s="824">
        <f t="shared" ca="1" si="586"/>
        <v>0</v>
      </c>
      <c r="BX752" s="824">
        <f t="shared" ca="1" si="586"/>
        <v>0</v>
      </c>
      <c r="BY752" s="824">
        <f t="shared" ca="1" si="586"/>
        <v>0</v>
      </c>
      <c r="BZ752" s="824">
        <f t="shared" ca="1" si="586"/>
        <v>0</v>
      </c>
      <c r="CA752" s="824">
        <f t="shared" ca="1" si="586"/>
        <v>0</v>
      </c>
      <c r="CB752" s="824">
        <f t="shared" ca="1" si="586"/>
        <v>0</v>
      </c>
      <c r="CC752" s="824">
        <f t="shared" ca="1" si="586"/>
        <v>0</v>
      </c>
      <c r="CD752" s="824">
        <f t="shared" ca="1" si="586"/>
        <v>0</v>
      </c>
      <c r="CE752" s="824">
        <f t="shared" ca="1" si="588"/>
        <v>0</v>
      </c>
      <c r="CF752" s="824">
        <f t="shared" ca="1" si="588"/>
        <v>0</v>
      </c>
      <c r="CG752" s="824">
        <f t="shared" ca="1" si="588"/>
        <v>0</v>
      </c>
      <c r="CH752" s="824">
        <f t="shared" ca="1" si="588"/>
        <v>0</v>
      </c>
      <c r="CI752" s="824">
        <f t="shared" ca="1" si="588"/>
        <v>0</v>
      </c>
      <c r="CJ752" s="824">
        <f t="shared" ca="1" si="588"/>
        <v>0</v>
      </c>
      <c r="CK752" s="824">
        <f t="shared" ca="1" si="588"/>
        <v>0</v>
      </c>
      <c r="CL752" s="824">
        <f t="shared" ca="1" si="588"/>
        <v>0</v>
      </c>
      <c r="CM752" s="824">
        <f t="shared" ca="1" si="588"/>
        <v>0</v>
      </c>
      <c r="CN752" s="824">
        <f t="shared" ca="1" si="588"/>
        <v>0</v>
      </c>
      <c r="CO752" s="824">
        <f t="shared" ca="1" si="588"/>
        <v>0</v>
      </c>
      <c r="CP752" s="824">
        <f t="shared" ca="1" si="588"/>
        <v>0</v>
      </c>
      <c r="CQ752" s="824">
        <f t="shared" ca="1" si="588"/>
        <v>0</v>
      </c>
      <c r="CR752" s="824">
        <f t="shared" ca="1" si="588"/>
        <v>0</v>
      </c>
      <c r="CS752" s="824">
        <f t="shared" ca="1" si="588"/>
        <v>0</v>
      </c>
      <c r="CT752" s="824">
        <f t="shared" ca="1" si="587"/>
        <v>0</v>
      </c>
      <c r="CU752" s="824">
        <f t="shared" ca="1" si="564"/>
        <v>0</v>
      </c>
      <c r="CV752" s="824">
        <f t="shared" ca="1" si="564"/>
        <v>0</v>
      </c>
      <c r="CW752" s="824">
        <f t="shared" ca="1" si="564"/>
        <v>0</v>
      </c>
      <c r="CX752" s="824">
        <f t="shared" ca="1" si="564"/>
        <v>0</v>
      </c>
      <c r="CY752" s="824">
        <f t="shared" ca="1" si="564"/>
        <v>0</v>
      </c>
      <c r="CZ752" s="824">
        <f t="shared" ca="1" si="564"/>
        <v>0</v>
      </c>
      <c r="DA752" s="824">
        <f t="shared" ca="1" si="590"/>
        <v>0</v>
      </c>
      <c r="DB752" s="824">
        <f t="shared" ca="1" si="590"/>
        <v>0</v>
      </c>
      <c r="DC752" s="824">
        <f t="shared" ca="1" si="590"/>
        <v>0</v>
      </c>
      <c r="DD752" s="824">
        <f t="shared" ca="1" si="590"/>
        <v>0</v>
      </c>
      <c r="DE752" s="824">
        <f t="shared" ca="1" si="590"/>
        <v>0</v>
      </c>
      <c r="DF752" s="824">
        <f t="shared" ca="1" si="590"/>
        <v>0</v>
      </c>
      <c r="DG752" s="824">
        <f t="shared" ca="1" si="590"/>
        <v>0</v>
      </c>
      <c r="DH752" s="824">
        <f t="shared" ca="1" si="590"/>
        <v>0</v>
      </c>
      <c r="DI752" s="824">
        <f t="shared" ca="1" si="590"/>
        <v>0</v>
      </c>
      <c r="DJ752" s="824">
        <f t="shared" ca="1" si="590"/>
        <v>0</v>
      </c>
      <c r="DK752" s="824">
        <f t="shared" ca="1" si="589"/>
        <v>0</v>
      </c>
      <c r="DL752" s="824">
        <f t="shared" ca="1" si="589"/>
        <v>0</v>
      </c>
    </row>
    <row r="753" spans="2:116" ht="12" thickBot="1" x14ac:dyDescent="0.3">
      <c r="B753" s="1673"/>
      <c r="C753" s="1680"/>
      <c r="D753" s="15" t="s">
        <v>131</v>
      </c>
      <c r="E753" s="116"/>
      <c r="F753" s="116">
        <f ca="1">SUBTOTAL(109,'3.4 I&amp;W'!$X$89)</f>
        <v>0</v>
      </c>
      <c r="G753" s="116">
        <f ca="1">SUBTOTAL(109,'3.4 I&amp;W'!$Y$89)</f>
        <v>0</v>
      </c>
      <c r="H753" s="116">
        <f ca="1">SUBTOTAL(109,'3.4 I&amp;W'!$AD$89)</f>
        <v>0</v>
      </c>
      <c r="I753" s="116">
        <f ca="1">SUBTOTAL(109,'3.4 I&amp;W'!$AE$89)</f>
        <v>0</v>
      </c>
      <c r="J753" s="116"/>
      <c r="K753" s="116"/>
      <c r="L753" s="116"/>
      <c r="M753" s="116">
        <f ca="1">SUBTOTAL(109,'3.4 I&amp;W'!$AI$89)</f>
        <v>0</v>
      </c>
      <c r="N753" s="156">
        <f t="shared" ca="1" si="541"/>
        <v>0</v>
      </c>
      <c r="O753" s="116">
        <f ca="1">SUBTOTAL(109,'3.4 I&amp;W'!$S$89)</f>
        <v>0</v>
      </c>
      <c r="P753" s="30">
        <f t="shared" ca="1" si="581"/>
        <v>0</v>
      </c>
      <c r="Q753" s="31">
        <f t="shared" ca="1" si="582"/>
        <v>0</v>
      </c>
      <c r="R753" s="31">
        <f t="shared" ca="1" si="583"/>
        <v>0</v>
      </c>
      <c r="S753" s="31">
        <f t="shared" ca="1" si="584"/>
        <v>0</v>
      </c>
      <c r="T753" s="32">
        <f t="shared" ca="1" si="585"/>
        <v>0</v>
      </c>
      <c r="U753" s="37">
        <f t="shared" ca="1" si="542"/>
        <v>0</v>
      </c>
      <c r="V753" s="40">
        <f t="shared" ca="1" si="535"/>
        <v>0</v>
      </c>
      <c r="W753" s="41">
        <f t="shared" ca="1" si="536"/>
        <v>0</v>
      </c>
      <c r="X753" s="43"/>
      <c r="Y753" s="46"/>
      <c r="Z753" s="126"/>
      <c r="AA753" s="136"/>
      <c r="AB753" s="131">
        <v>26</v>
      </c>
      <c r="AC753" s="168">
        <f ca="1">IF(AF752&lt;=1,0,'3.4 Fi&amp;Fo'!$I$25)</f>
        <v>47266.884954954228</v>
      </c>
      <c r="AD753" s="169">
        <f ca="1">IF(AF752&lt;=1,0,AF752*'3.4 Fi&amp;Fo'!$H$25)</f>
        <v>8491.5762417629849</v>
      </c>
      <c r="AE753" s="169">
        <f t="shared" ca="1" si="545"/>
        <v>38775.308713191247</v>
      </c>
      <c r="AF753" s="170">
        <f t="shared" ca="1" si="546"/>
        <v>385803.503374958</v>
      </c>
      <c r="AG753" s="168">
        <f>IF(AJ752&lt;=1,0,IF(AB753&lt;='3.4 Fi&amp;Fo'!$F$34,'3.4 Fi&amp;Fo'!$J$34,IF(AB753&lt;='3.4 Fi&amp;Fo'!$F$35,'3.4 Fi&amp;Fo'!$J$35,IF(AB753&lt;='3.4 Fi&amp;Fo'!$F$36,'3.4 Fi&amp;Fo'!$J$36,IF(AB753&lt;='3.4 Fi&amp;Fo'!$F$37,'3.4 Fi&amp;Fo'!$J$37,IF(AB753&lt;='3.4 Fi&amp;Fo'!$F$38,'3.4 Fi&amp;Fo'!$J$38,IF(AB753&lt;='3.4 Fi&amp;Fo'!$F$39,'3.4 Fi&amp;Fo'!$J$39,IF(AB753&lt;='3.4 Fi&amp;Fo'!$F$40,'3.4 Fi&amp;Fo'!$J$40))))))))</f>
        <v>109927.60799999999</v>
      </c>
      <c r="AH753" s="203">
        <f>IF(AJ752&lt;=1,0,AJ752*IF(AB753&lt;='3.4 Fi&amp;Fo'!$F$34,'3.4 Fi&amp;Fo'!$I$34,IF(AB753&lt;='3.4 Fi&amp;Fo'!$F$35,'3.4 Fi&amp;Fo'!$I$35,IF(AB753&lt;='3.4 Fi&amp;Fo'!$F$38,'3.4 Fi&amp;Fo'!$I$38,IF(AB753&lt;='3.4 Fi&amp;Fo'!$F$39,'3.4 Fi&amp;Fo'!$I$39,IF(AB753&lt;='3.4 Fi&amp;Fo'!$F$40,'3.4 Fi&amp;Fo'!$I$40))))))</f>
        <v>138856.37880170057</v>
      </c>
      <c r="AI753" s="203">
        <f t="shared" si="547"/>
        <v>-28928.770801700579</v>
      </c>
      <c r="AJ753" s="204">
        <f t="shared" si="548"/>
        <v>2343201.7508300436</v>
      </c>
      <c r="AK753" s="312">
        <f t="shared" ca="1" si="549"/>
        <v>-193767.98532077827</v>
      </c>
      <c r="AL753" s="169">
        <f>IF(AB753&lt;='3.4 Fi&amp;Fo'!$J$15,'3.4 Fi&amp;Fo'!$I$15,0)</f>
        <v>0</v>
      </c>
      <c r="AM753" s="169">
        <f t="shared" si="561"/>
        <v>36573.492365824059</v>
      </c>
      <c r="AN753" s="838">
        <f t="shared" si="566"/>
        <v>26</v>
      </c>
      <c r="AO753" s="844">
        <f t="shared" ca="1" si="550"/>
        <v>193767.98532077827</v>
      </c>
      <c r="AP753" s="839">
        <f ca="1">CN832</f>
        <v>0</v>
      </c>
      <c r="AQ753" s="844">
        <f t="shared" si="551"/>
        <v>0</v>
      </c>
      <c r="AR753" s="839">
        <f t="shared" ca="1" si="567"/>
        <v>0</v>
      </c>
      <c r="AS753" s="839">
        <f t="shared" ca="1" si="562"/>
        <v>11138.889893486899</v>
      </c>
      <c r="AT753" s="839">
        <f t="shared" ca="1" si="563"/>
        <v>16726.269830541663</v>
      </c>
      <c r="AU753" s="839">
        <f ca="1">'PV-Einspeisung'!AA234*-1</f>
        <v>0</v>
      </c>
      <c r="AV753" s="839">
        <f ca="1">'PV-Einspeisung'!AE234*-1</f>
        <v>0</v>
      </c>
      <c r="AW753" s="839"/>
      <c r="AX753" s="839">
        <f t="shared" ca="1" si="568"/>
        <v>0</v>
      </c>
      <c r="AY753" s="841">
        <f t="shared" si="552"/>
        <v>26</v>
      </c>
      <c r="AZ753" s="842">
        <f t="shared" ca="1" si="569"/>
        <v>0</v>
      </c>
      <c r="BA753" s="842">
        <f t="shared" ca="1" si="570"/>
        <v>0</v>
      </c>
      <c r="BB753" s="842">
        <f t="shared" ca="1" si="571"/>
        <v>0</v>
      </c>
      <c r="BC753" s="842">
        <f t="shared" ca="1" si="572"/>
        <v>0</v>
      </c>
      <c r="BD753" s="842">
        <f t="shared" ca="1" si="573"/>
        <v>0</v>
      </c>
      <c r="BE753" s="842">
        <f t="shared" ca="1" si="574"/>
        <v>0</v>
      </c>
      <c r="BF753" s="842">
        <f t="shared" ca="1" si="575"/>
        <v>11970.199769988983</v>
      </c>
      <c r="BG753" s="842">
        <f t="shared" ca="1" si="576"/>
        <v>4756.0700605526818</v>
      </c>
      <c r="BH753" s="858">
        <f t="shared" si="560"/>
        <v>26</v>
      </c>
      <c r="BI753" s="857">
        <f t="shared" ca="1" si="577"/>
        <v>4455.9723478157275</v>
      </c>
      <c r="BJ753" s="857">
        <f t="shared" ca="1" si="578"/>
        <v>6682.917545671171</v>
      </c>
      <c r="BK753" s="859">
        <f ca="1">'PV-Einspeisung'!AB234*-1</f>
        <v>0</v>
      </c>
      <c r="BL753" s="824">
        <f t="shared" ca="1" si="537"/>
        <v>0</v>
      </c>
      <c r="BM753" s="824">
        <f t="shared" ca="1" si="538"/>
        <v>0</v>
      </c>
      <c r="BN753" s="824">
        <f t="shared" ca="1" si="539"/>
        <v>0</v>
      </c>
      <c r="BO753" s="824">
        <f t="shared" ca="1" si="586"/>
        <v>0</v>
      </c>
      <c r="BP753" s="824">
        <f t="shared" ca="1" si="586"/>
        <v>0</v>
      </c>
      <c r="BQ753" s="824">
        <f t="shared" ca="1" si="586"/>
        <v>0</v>
      </c>
      <c r="BR753" s="824">
        <f t="shared" ca="1" si="586"/>
        <v>0</v>
      </c>
      <c r="BS753" s="824">
        <f t="shared" ca="1" si="586"/>
        <v>0</v>
      </c>
      <c r="BT753" s="824">
        <f t="shared" ca="1" si="586"/>
        <v>0</v>
      </c>
      <c r="BU753" s="824">
        <f t="shared" ca="1" si="586"/>
        <v>0</v>
      </c>
      <c r="BV753" s="824">
        <f t="shared" ca="1" si="586"/>
        <v>0</v>
      </c>
      <c r="BW753" s="824">
        <f t="shared" ca="1" si="586"/>
        <v>0</v>
      </c>
      <c r="BX753" s="824">
        <f t="shared" ca="1" si="586"/>
        <v>0</v>
      </c>
      <c r="BY753" s="824">
        <f t="shared" ca="1" si="586"/>
        <v>0</v>
      </c>
      <c r="BZ753" s="824">
        <f t="shared" ca="1" si="586"/>
        <v>0</v>
      </c>
      <c r="CA753" s="824">
        <f t="shared" ca="1" si="586"/>
        <v>0</v>
      </c>
      <c r="CB753" s="824">
        <f t="shared" ca="1" si="586"/>
        <v>0</v>
      </c>
      <c r="CC753" s="824">
        <f t="shared" ca="1" si="586"/>
        <v>0</v>
      </c>
      <c r="CD753" s="824">
        <f t="shared" ca="1" si="586"/>
        <v>0</v>
      </c>
      <c r="CE753" s="824">
        <f t="shared" ca="1" si="588"/>
        <v>0</v>
      </c>
      <c r="CF753" s="824">
        <f t="shared" ca="1" si="588"/>
        <v>0</v>
      </c>
      <c r="CG753" s="824">
        <f t="shared" ca="1" si="588"/>
        <v>0</v>
      </c>
      <c r="CH753" s="824">
        <f t="shared" ca="1" si="588"/>
        <v>0</v>
      </c>
      <c r="CI753" s="824">
        <f t="shared" ca="1" si="588"/>
        <v>0</v>
      </c>
      <c r="CJ753" s="824">
        <f t="shared" ca="1" si="588"/>
        <v>0</v>
      </c>
      <c r="CK753" s="824">
        <f t="shared" ca="1" si="588"/>
        <v>0</v>
      </c>
      <c r="CL753" s="824">
        <f t="shared" ca="1" si="588"/>
        <v>0</v>
      </c>
      <c r="CM753" s="824">
        <f t="shared" ca="1" si="588"/>
        <v>0</v>
      </c>
      <c r="CN753" s="824">
        <f t="shared" ca="1" si="588"/>
        <v>0</v>
      </c>
      <c r="CO753" s="824">
        <f t="shared" ca="1" si="588"/>
        <v>0</v>
      </c>
      <c r="CP753" s="824">
        <f t="shared" ca="1" si="588"/>
        <v>0</v>
      </c>
      <c r="CQ753" s="824">
        <f t="shared" ca="1" si="588"/>
        <v>0</v>
      </c>
      <c r="CR753" s="824">
        <f t="shared" ca="1" si="588"/>
        <v>0</v>
      </c>
      <c r="CS753" s="824">
        <f t="shared" ca="1" si="588"/>
        <v>0</v>
      </c>
      <c r="CT753" s="824">
        <f t="shared" ca="1" si="587"/>
        <v>0</v>
      </c>
      <c r="CU753" s="824">
        <f t="shared" ca="1" si="564"/>
        <v>0</v>
      </c>
      <c r="CV753" s="824">
        <f t="shared" ca="1" si="564"/>
        <v>0</v>
      </c>
      <c r="CW753" s="824">
        <f t="shared" ca="1" si="564"/>
        <v>0</v>
      </c>
      <c r="CX753" s="824">
        <f t="shared" ca="1" si="564"/>
        <v>0</v>
      </c>
      <c r="CY753" s="824">
        <f t="shared" ca="1" si="564"/>
        <v>0</v>
      </c>
      <c r="CZ753" s="824">
        <f t="shared" ca="1" si="564"/>
        <v>0</v>
      </c>
      <c r="DA753" s="824">
        <f t="shared" ca="1" si="590"/>
        <v>0</v>
      </c>
      <c r="DB753" s="824">
        <f t="shared" ca="1" si="590"/>
        <v>0</v>
      </c>
      <c r="DC753" s="824">
        <f t="shared" ca="1" si="590"/>
        <v>0</v>
      </c>
      <c r="DD753" s="824">
        <f t="shared" ca="1" si="590"/>
        <v>0</v>
      </c>
      <c r="DE753" s="824">
        <f t="shared" ca="1" si="590"/>
        <v>0</v>
      </c>
      <c r="DF753" s="824">
        <f t="shared" ca="1" si="590"/>
        <v>0</v>
      </c>
      <c r="DG753" s="824">
        <f t="shared" ca="1" si="590"/>
        <v>0</v>
      </c>
      <c r="DH753" s="824">
        <f t="shared" ca="1" si="590"/>
        <v>0</v>
      </c>
      <c r="DI753" s="824">
        <f t="shared" ca="1" si="590"/>
        <v>0</v>
      </c>
      <c r="DJ753" s="824">
        <f t="shared" ca="1" si="590"/>
        <v>0</v>
      </c>
      <c r="DK753" s="824">
        <f t="shared" ca="1" si="589"/>
        <v>0</v>
      </c>
      <c r="DL753" s="824">
        <f t="shared" ca="1" si="589"/>
        <v>0</v>
      </c>
    </row>
    <row r="754" spans="2:116" ht="12" thickBot="1" x14ac:dyDescent="0.3">
      <c r="B754" s="1673"/>
      <c r="C754" s="1680"/>
      <c r="D754" s="15" t="s">
        <v>131</v>
      </c>
      <c r="E754" s="165"/>
      <c r="F754" s="116">
        <f ca="1">SUBTOTAL(109,'3.4 I&amp;W'!$X$90)</f>
        <v>0</v>
      </c>
      <c r="G754" s="116">
        <f ca="1">SUBTOTAL(109,'3.4 I&amp;W'!$Y$90)</f>
        <v>0</v>
      </c>
      <c r="H754" s="116">
        <f ca="1">SUBTOTAL(109,'3.4 I&amp;W'!$AD$90)</f>
        <v>0</v>
      </c>
      <c r="I754" s="116">
        <f ca="1">SUBTOTAL(109,'3.4 I&amp;W'!$AE$90)</f>
        <v>0</v>
      </c>
      <c r="J754" s="116"/>
      <c r="K754" s="116"/>
      <c r="L754" s="116"/>
      <c r="M754" s="116">
        <f ca="1">SUBTOTAL(109,'3.4 I&amp;W'!$AI$90)</f>
        <v>0</v>
      </c>
      <c r="N754" s="156">
        <f t="shared" ca="1" si="541"/>
        <v>0</v>
      </c>
      <c r="O754" s="116">
        <f ca="1">SUBTOTAL(109,'3.4 I&amp;W'!$S$90)</f>
        <v>0</v>
      </c>
      <c r="P754" s="30">
        <f t="shared" ca="1" si="581"/>
        <v>0</v>
      </c>
      <c r="Q754" s="31">
        <f t="shared" ca="1" si="582"/>
        <v>0</v>
      </c>
      <c r="R754" s="31">
        <f t="shared" ca="1" si="583"/>
        <v>0</v>
      </c>
      <c r="S754" s="31">
        <f t="shared" ca="1" si="584"/>
        <v>0</v>
      </c>
      <c r="T754" s="32">
        <f t="shared" ca="1" si="585"/>
        <v>0</v>
      </c>
      <c r="U754" s="37">
        <f t="shared" ca="1" si="542"/>
        <v>0</v>
      </c>
      <c r="V754" s="40">
        <f t="shared" ca="1" si="535"/>
        <v>0</v>
      </c>
      <c r="W754" s="41">
        <f t="shared" ca="1" si="536"/>
        <v>0</v>
      </c>
      <c r="X754" s="43"/>
      <c r="Y754" s="46"/>
      <c r="Z754" s="126"/>
      <c r="AA754" s="136"/>
      <c r="AB754" s="131">
        <v>27</v>
      </c>
      <c r="AC754" s="168">
        <f ca="1">IF(AF753&lt;=1,0,'3.4 Fi&amp;Fo'!$I$25)</f>
        <v>47266.884954954228</v>
      </c>
      <c r="AD754" s="169">
        <f ca="1">IF(AF753&lt;=1,0,AF753*'3.4 Fi&amp;Fo'!$H$25)</f>
        <v>7716.0700674991604</v>
      </c>
      <c r="AE754" s="169">
        <f t="shared" ca="1" si="545"/>
        <v>39550.814887455068</v>
      </c>
      <c r="AF754" s="170">
        <f t="shared" ca="1" si="546"/>
        <v>346252.68848750292</v>
      </c>
      <c r="AG754" s="168">
        <f>IF(AJ753&lt;=1,0,IF(AB754&lt;='3.4 Fi&amp;Fo'!$F$34,'3.4 Fi&amp;Fo'!$J$34,IF(AB754&lt;='3.4 Fi&amp;Fo'!$F$35,'3.4 Fi&amp;Fo'!$J$35,IF(AB754&lt;='3.4 Fi&amp;Fo'!$F$36,'3.4 Fi&amp;Fo'!$J$36,IF(AB754&lt;='3.4 Fi&amp;Fo'!$F$37,'3.4 Fi&amp;Fo'!$J$37,IF(AB754&lt;='3.4 Fi&amp;Fo'!$F$38,'3.4 Fi&amp;Fo'!$J$38,IF(AB754&lt;='3.4 Fi&amp;Fo'!$F$39,'3.4 Fi&amp;Fo'!$J$39,IF(AB754&lt;='3.4 Fi&amp;Fo'!$F$40,'3.4 Fi&amp;Fo'!$J$40))))))))</f>
        <v>109927.60799999999</v>
      </c>
      <c r="AH754" s="203">
        <f>IF(AJ753&lt;=1,0,AJ753*IF(AB754&lt;='3.4 Fi&amp;Fo'!$F$34,'3.4 Fi&amp;Fo'!$I$34,IF(AB754&lt;='3.4 Fi&amp;Fo'!$F$35,'3.4 Fi&amp;Fo'!$I$35,IF(AB754&lt;='3.4 Fi&amp;Fo'!$F$38,'3.4 Fi&amp;Fo'!$I$38,IF(AB754&lt;='3.4 Fi&amp;Fo'!$F$39,'3.4 Fi&amp;Fo'!$I$39,IF(AB754&lt;='3.4 Fi&amp;Fo'!$F$40,'3.4 Fi&amp;Fo'!$I$40))))))</f>
        <v>140592.1050498026</v>
      </c>
      <c r="AI754" s="203">
        <f t="shared" si="547"/>
        <v>-30664.497049802609</v>
      </c>
      <c r="AJ754" s="204">
        <f t="shared" si="548"/>
        <v>2373866.247879846</v>
      </c>
      <c r="AK754" s="312">
        <f t="shared" ca="1" si="549"/>
        <v>-194499.45516809419</v>
      </c>
      <c r="AL754" s="169">
        <f>IF(AB754&lt;='3.4 Fi&amp;Fo'!$J$15,'3.4 Fi&amp;Fo'!$I$15,0)</f>
        <v>0</v>
      </c>
      <c r="AM754" s="169">
        <f t="shared" si="561"/>
        <v>37304.962213139981</v>
      </c>
      <c r="AN754" s="838">
        <f t="shared" si="566"/>
        <v>27</v>
      </c>
      <c r="AO754" s="844">
        <f t="shared" ca="1" si="550"/>
        <v>194499.45516809419</v>
      </c>
      <c r="AP754" s="839">
        <f ca="1">CO832</f>
        <v>0</v>
      </c>
      <c r="AQ754" s="844">
        <f t="shared" si="551"/>
        <v>0</v>
      </c>
      <c r="AR754" s="839">
        <f t="shared" ca="1" si="567"/>
        <v>0</v>
      </c>
      <c r="AS754" s="839">
        <f t="shared" ca="1" si="562"/>
        <v>11317.112131782689</v>
      </c>
      <c r="AT754" s="839">
        <f t="shared" ca="1" si="563"/>
        <v>17191.987276910731</v>
      </c>
      <c r="AU754" s="839">
        <f ca="1">'PV-Einspeisung'!AA235*-1</f>
        <v>0</v>
      </c>
      <c r="AV754" s="839">
        <f ca="1">'PV-Einspeisung'!AE235*-1</f>
        <v>0</v>
      </c>
      <c r="AW754" s="839"/>
      <c r="AX754" s="839">
        <f t="shared" ca="1" si="568"/>
        <v>0</v>
      </c>
      <c r="AY754" s="841">
        <f t="shared" si="552"/>
        <v>27</v>
      </c>
      <c r="AZ754" s="842">
        <f t="shared" ca="1" si="569"/>
        <v>0</v>
      </c>
      <c r="BA754" s="842">
        <f t="shared" ca="1" si="570"/>
        <v>0</v>
      </c>
      <c r="BB754" s="842">
        <f t="shared" ca="1" si="571"/>
        <v>0</v>
      </c>
      <c r="BC754" s="842">
        <f t="shared" ca="1" si="572"/>
        <v>0</v>
      </c>
      <c r="BD754" s="842">
        <f t="shared" ca="1" si="573"/>
        <v>0</v>
      </c>
      <c r="BE754" s="842">
        <f t="shared" ca="1" si="574"/>
        <v>0</v>
      </c>
      <c r="BF754" s="842">
        <f t="shared" ca="1" si="575"/>
        <v>12269.454764238708</v>
      </c>
      <c r="BG754" s="842">
        <f t="shared" ca="1" si="576"/>
        <v>4922.5325126720254</v>
      </c>
      <c r="BH754" s="858">
        <f t="shared" si="560"/>
        <v>27</v>
      </c>
      <c r="BI754" s="857">
        <f t="shared" ca="1" si="577"/>
        <v>4527.2679053807797</v>
      </c>
      <c r="BJ754" s="857">
        <f t="shared" ca="1" si="578"/>
        <v>6789.8442264019095</v>
      </c>
      <c r="BK754" s="859">
        <f ca="1">'PV-Einspeisung'!AB235*-1</f>
        <v>0</v>
      </c>
      <c r="BL754" s="824">
        <f t="shared" ca="1" si="537"/>
        <v>0</v>
      </c>
      <c r="BM754" s="824">
        <f t="shared" ca="1" si="538"/>
        <v>0</v>
      </c>
      <c r="BN754" s="824">
        <f t="shared" ca="1" si="539"/>
        <v>0</v>
      </c>
      <c r="BO754" s="824">
        <f t="shared" ca="1" si="586"/>
        <v>0</v>
      </c>
      <c r="BP754" s="824">
        <f t="shared" ca="1" si="586"/>
        <v>0</v>
      </c>
      <c r="BQ754" s="824">
        <f t="shared" ca="1" si="586"/>
        <v>0</v>
      </c>
      <c r="BR754" s="824">
        <f t="shared" ca="1" si="586"/>
        <v>0</v>
      </c>
      <c r="BS754" s="824">
        <f t="shared" ca="1" si="586"/>
        <v>0</v>
      </c>
      <c r="BT754" s="824">
        <f t="shared" ca="1" si="586"/>
        <v>0</v>
      </c>
      <c r="BU754" s="824">
        <f t="shared" ca="1" si="586"/>
        <v>0</v>
      </c>
      <c r="BV754" s="824">
        <f t="shared" ca="1" si="586"/>
        <v>0</v>
      </c>
      <c r="BW754" s="824">
        <f t="shared" ca="1" si="586"/>
        <v>0</v>
      </c>
      <c r="BX754" s="824">
        <f t="shared" ca="1" si="586"/>
        <v>0</v>
      </c>
      <c r="BY754" s="824">
        <f t="shared" ca="1" si="586"/>
        <v>0</v>
      </c>
      <c r="BZ754" s="824">
        <f t="shared" ca="1" si="586"/>
        <v>0</v>
      </c>
      <c r="CA754" s="824">
        <f t="shared" ca="1" si="586"/>
        <v>0</v>
      </c>
      <c r="CB754" s="824">
        <f t="shared" ca="1" si="586"/>
        <v>0</v>
      </c>
      <c r="CC754" s="824">
        <f t="shared" ca="1" si="586"/>
        <v>0</v>
      </c>
      <c r="CD754" s="824">
        <f t="shared" ca="1" si="586"/>
        <v>0</v>
      </c>
      <c r="CE754" s="824">
        <f t="shared" ca="1" si="588"/>
        <v>0</v>
      </c>
      <c r="CF754" s="824">
        <f t="shared" ca="1" si="588"/>
        <v>0</v>
      </c>
      <c r="CG754" s="824">
        <f t="shared" ca="1" si="588"/>
        <v>0</v>
      </c>
      <c r="CH754" s="824">
        <f t="shared" ca="1" si="588"/>
        <v>0</v>
      </c>
      <c r="CI754" s="824">
        <f t="shared" ca="1" si="588"/>
        <v>0</v>
      </c>
      <c r="CJ754" s="824">
        <f t="shared" ca="1" si="588"/>
        <v>0</v>
      </c>
      <c r="CK754" s="824">
        <f t="shared" ca="1" si="588"/>
        <v>0</v>
      </c>
      <c r="CL754" s="824">
        <f t="shared" ca="1" si="588"/>
        <v>0</v>
      </c>
      <c r="CM754" s="824">
        <f t="shared" ca="1" si="588"/>
        <v>0</v>
      </c>
      <c r="CN754" s="824">
        <f t="shared" ca="1" si="588"/>
        <v>0</v>
      </c>
      <c r="CO754" s="824">
        <f t="shared" ca="1" si="588"/>
        <v>0</v>
      </c>
      <c r="CP754" s="824">
        <f t="shared" ca="1" si="588"/>
        <v>0</v>
      </c>
      <c r="CQ754" s="824">
        <f t="shared" ca="1" si="588"/>
        <v>0</v>
      </c>
      <c r="CR754" s="824">
        <f t="shared" ca="1" si="588"/>
        <v>0</v>
      </c>
      <c r="CS754" s="824">
        <f t="shared" ca="1" si="588"/>
        <v>0</v>
      </c>
      <c r="CT754" s="824">
        <f t="shared" ca="1" si="587"/>
        <v>0</v>
      </c>
      <c r="CU754" s="824">
        <f t="shared" ca="1" si="564"/>
        <v>0</v>
      </c>
      <c r="CV754" s="824">
        <f t="shared" ca="1" si="564"/>
        <v>0</v>
      </c>
      <c r="CW754" s="824">
        <f t="shared" ca="1" si="564"/>
        <v>0</v>
      </c>
      <c r="CX754" s="824">
        <f t="shared" ca="1" si="564"/>
        <v>0</v>
      </c>
      <c r="CY754" s="824">
        <f t="shared" ca="1" si="564"/>
        <v>0</v>
      </c>
      <c r="CZ754" s="824">
        <f t="shared" ca="1" si="564"/>
        <v>0</v>
      </c>
      <c r="DA754" s="824">
        <f t="shared" ca="1" si="590"/>
        <v>0</v>
      </c>
      <c r="DB754" s="824">
        <f t="shared" ca="1" si="590"/>
        <v>0</v>
      </c>
      <c r="DC754" s="824">
        <f t="shared" ca="1" si="590"/>
        <v>0</v>
      </c>
      <c r="DD754" s="824">
        <f t="shared" ca="1" si="590"/>
        <v>0</v>
      </c>
      <c r="DE754" s="824">
        <f t="shared" ca="1" si="590"/>
        <v>0</v>
      </c>
      <c r="DF754" s="824">
        <f t="shared" ca="1" si="590"/>
        <v>0</v>
      </c>
      <c r="DG754" s="824">
        <f t="shared" ca="1" si="590"/>
        <v>0</v>
      </c>
      <c r="DH754" s="824">
        <f t="shared" ca="1" si="590"/>
        <v>0</v>
      </c>
      <c r="DI754" s="824">
        <f t="shared" ca="1" si="590"/>
        <v>0</v>
      </c>
      <c r="DJ754" s="824">
        <f t="shared" ca="1" si="590"/>
        <v>0</v>
      </c>
      <c r="DK754" s="824">
        <f t="shared" ca="1" si="589"/>
        <v>0</v>
      </c>
      <c r="DL754" s="824">
        <f t="shared" ca="1" si="589"/>
        <v>0</v>
      </c>
    </row>
    <row r="755" spans="2:116" ht="12" thickBot="1" x14ac:dyDescent="0.3">
      <c r="B755" s="1673"/>
      <c r="C755" s="1680"/>
      <c r="D755" s="15" t="s">
        <v>131</v>
      </c>
      <c r="E755" s="116"/>
      <c r="F755" s="116">
        <f ca="1">SUBTOTAL(109,'3.4 I&amp;W'!$X$91)</f>
        <v>0</v>
      </c>
      <c r="G755" s="116">
        <f ca="1">SUBTOTAL(109,'3.4 I&amp;W'!$Y$91)</f>
        <v>0</v>
      </c>
      <c r="H755" s="116">
        <f ca="1">SUBTOTAL(109,'3.4 I&amp;W'!$AD$91)</f>
        <v>0</v>
      </c>
      <c r="I755" s="116">
        <f ca="1">SUBTOTAL(109,'3.4 I&amp;W'!$AE$91)</f>
        <v>0</v>
      </c>
      <c r="J755" s="116"/>
      <c r="K755" s="116"/>
      <c r="L755" s="116"/>
      <c r="M755" s="116">
        <f ca="1">SUBTOTAL(109,'3.4 I&amp;W'!$AI$91)</f>
        <v>0</v>
      </c>
      <c r="N755" s="156">
        <f t="shared" ca="1" si="541"/>
        <v>0</v>
      </c>
      <c r="O755" s="116">
        <f ca="1">SUBTOTAL(109,'3.4 I&amp;W'!$S$91)</f>
        <v>0</v>
      </c>
      <c r="P755" s="30">
        <f t="shared" ca="1" si="581"/>
        <v>0</v>
      </c>
      <c r="Q755" s="31">
        <f t="shared" ca="1" si="582"/>
        <v>0</v>
      </c>
      <c r="R755" s="31">
        <f t="shared" ca="1" si="583"/>
        <v>0</v>
      </c>
      <c r="S755" s="31">
        <f t="shared" ca="1" si="584"/>
        <v>0</v>
      </c>
      <c r="T755" s="32">
        <f t="shared" ca="1" si="585"/>
        <v>0</v>
      </c>
      <c r="U755" s="37">
        <f t="shared" ca="1" si="542"/>
        <v>0</v>
      </c>
      <c r="V755" s="40">
        <f t="shared" ref="V755:V786" ca="1" si="591">G755*$I$169</f>
        <v>0</v>
      </c>
      <c r="W755" s="41">
        <f t="shared" ref="W755:W786" ca="1" si="592">(I755+J755)*$I$167</f>
        <v>0</v>
      </c>
      <c r="X755" s="43"/>
      <c r="Y755" s="46"/>
      <c r="Z755" s="126"/>
      <c r="AA755" s="136"/>
      <c r="AB755" s="131">
        <v>28</v>
      </c>
      <c r="AC755" s="168">
        <f ca="1">IF(AF754&lt;=1,0,'3.4 Fi&amp;Fo'!$I$25)</f>
        <v>47266.884954954228</v>
      </c>
      <c r="AD755" s="169">
        <f ca="1">IF(AF754&lt;=1,0,AF754*'3.4 Fi&amp;Fo'!$H$25)</f>
        <v>6925.0537697500586</v>
      </c>
      <c r="AE755" s="169">
        <f t="shared" ca="1" si="545"/>
        <v>40341.831185204166</v>
      </c>
      <c r="AF755" s="170">
        <f t="shared" ca="1" si="546"/>
        <v>305910.85730229877</v>
      </c>
      <c r="AG755" s="168">
        <f>IF(AJ754&lt;=1,0,IF(AB755&lt;='3.4 Fi&amp;Fo'!$F$34,'3.4 Fi&amp;Fo'!$J$34,IF(AB755&lt;='3.4 Fi&amp;Fo'!$F$35,'3.4 Fi&amp;Fo'!$J$35,IF(AB755&lt;='3.4 Fi&amp;Fo'!$F$36,'3.4 Fi&amp;Fo'!$J$36,IF(AB755&lt;='3.4 Fi&amp;Fo'!$F$37,'3.4 Fi&amp;Fo'!$J$37,IF(AB755&lt;='3.4 Fi&amp;Fo'!$F$38,'3.4 Fi&amp;Fo'!$J$38,IF(AB755&lt;='3.4 Fi&amp;Fo'!$F$39,'3.4 Fi&amp;Fo'!$J$39,IF(AB755&lt;='3.4 Fi&amp;Fo'!$F$40,'3.4 Fi&amp;Fo'!$J$40))))))))</f>
        <v>109927.60799999999</v>
      </c>
      <c r="AH755" s="203">
        <f>IF(AJ754&lt;=1,0,AJ754*IF(AB755&lt;='3.4 Fi&amp;Fo'!$F$34,'3.4 Fi&amp;Fo'!$I$34,IF(AB755&lt;='3.4 Fi&amp;Fo'!$F$35,'3.4 Fi&amp;Fo'!$I$35,IF(AB755&lt;='3.4 Fi&amp;Fo'!$F$38,'3.4 Fi&amp;Fo'!$I$38,IF(AB755&lt;='3.4 Fi&amp;Fo'!$F$39,'3.4 Fi&amp;Fo'!$I$39,IF(AB755&lt;='3.4 Fi&amp;Fo'!$F$40,'3.4 Fi&amp;Fo'!$I$40))))))</f>
        <v>142431.97487279074</v>
      </c>
      <c r="AI755" s="203">
        <f t="shared" si="547"/>
        <v>-32504.36687279075</v>
      </c>
      <c r="AJ755" s="204">
        <f t="shared" si="548"/>
        <v>2406370.6147526368</v>
      </c>
      <c r="AK755" s="312">
        <f t="shared" ca="1" si="549"/>
        <v>-195245.55441235768</v>
      </c>
      <c r="AL755" s="169">
        <f>IF(AB755&lt;='3.4 Fi&amp;Fo'!$J$15,'3.4 Fi&amp;Fo'!$I$15,0)</f>
        <v>0</v>
      </c>
      <c r="AM755" s="169">
        <f t="shared" si="561"/>
        <v>38051.06145740347</v>
      </c>
      <c r="AN755" s="838">
        <f t="shared" si="566"/>
        <v>28</v>
      </c>
      <c r="AO755" s="844">
        <f t="shared" ca="1" si="550"/>
        <v>195245.55441235768</v>
      </c>
      <c r="AP755" s="839">
        <f ca="1">CP832</f>
        <v>0</v>
      </c>
      <c r="AQ755" s="844">
        <f t="shared" si="551"/>
        <v>0</v>
      </c>
      <c r="AR755" s="839">
        <f t="shared" ca="1" si="567"/>
        <v>0</v>
      </c>
      <c r="AS755" s="839">
        <f t="shared" ca="1" si="562"/>
        <v>11498.185925891212</v>
      </c>
      <c r="AT755" s="839">
        <f t="shared" ca="1" si="563"/>
        <v>17671.012283960219</v>
      </c>
      <c r="AU755" s="839">
        <f ca="1">'PV-Einspeisung'!AA236*-1</f>
        <v>0</v>
      </c>
      <c r="AV755" s="839">
        <f ca="1">'PV-Einspeisung'!AE236*-1</f>
        <v>0</v>
      </c>
      <c r="AW755" s="839"/>
      <c r="AX755" s="839">
        <f t="shared" ca="1" si="568"/>
        <v>0</v>
      </c>
      <c r="AY755" s="841">
        <f t="shared" si="552"/>
        <v>28</v>
      </c>
      <c r="AZ755" s="842">
        <f t="shared" ca="1" si="569"/>
        <v>0</v>
      </c>
      <c r="BA755" s="842">
        <f t="shared" ca="1" si="570"/>
        <v>0</v>
      </c>
      <c r="BB755" s="842">
        <f t="shared" ca="1" si="571"/>
        <v>0</v>
      </c>
      <c r="BC755" s="842">
        <f t="shared" ca="1" si="572"/>
        <v>0</v>
      </c>
      <c r="BD755" s="842">
        <f t="shared" ca="1" si="573"/>
        <v>0</v>
      </c>
      <c r="BE755" s="842">
        <f t="shared" ca="1" si="574"/>
        <v>0</v>
      </c>
      <c r="BF755" s="842">
        <f t="shared" ca="1" si="575"/>
        <v>12576.191133344675</v>
      </c>
      <c r="BG755" s="842">
        <f t="shared" ca="1" si="576"/>
        <v>5094.8211506155458</v>
      </c>
      <c r="BH755" s="858">
        <f t="shared" si="560"/>
        <v>28</v>
      </c>
      <c r="BI755" s="857">
        <f t="shared" ca="1" si="577"/>
        <v>4599.704191866872</v>
      </c>
      <c r="BJ755" s="857">
        <f t="shared" ca="1" si="578"/>
        <v>6898.4817340243399</v>
      </c>
      <c r="BK755" s="859">
        <f ca="1">'PV-Einspeisung'!AB236*-1</f>
        <v>0</v>
      </c>
      <c r="BL755" s="824">
        <f t="shared" ref="BL755:BL786" ca="1" si="593">M755</f>
        <v>0</v>
      </c>
      <c r="BM755" s="824">
        <f t="shared" ref="BM755:BM786" ca="1" si="594">N755</f>
        <v>0</v>
      </c>
      <c r="BN755" s="824">
        <f t="shared" ref="BN755:BN786" ca="1" si="595">O755</f>
        <v>0</v>
      </c>
      <c r="BO755" s="824">
        <f t="shared" ca="1" si="586"/>
        <v>0</v>
      </c>
      <c r="BP755" s="824">
        <f t="shared" ca="1" si="586"/>
        <v>0</v>
      </c>
      <c r="BQ755" s="824">
        <f t="shared" ca="1" si="586"/>
        <v>0</v>
      </c>
      <c r="BR755" s="824">
        <f t="shared" ca="1" si="586"/>
        <v>0</v>
      </c>
      <c r="BS755" s="824">
        <f t="shared" ca="1" si="586"/>
        <v>0</v>
      </c>
      <c r="BT755" s="824">
        <f t="shared" ca="1" si="586"/>
        <v>0</v>
      </c>
      <c r="BU755" s="824">
        <f t="shared" ca="1" si="586"/>
        <v>0</v>
      </c>
      <c r="BV755" s="824">
        <f t="shared" ca="1" si="586"/>
        <v>0</v>
      </c>
      <c r="BW755" s="824">
        <f t="shared" ca="1" si="586"/>
        <v>0</v>
      </c>
      <c r="BX755" s="824">
        <f t="shared" ca="1" si="586"/>
        <v>0</v>
      </c>
      <c r="BY755" s="824">
        <f t="shared" ca="1" si="586"/>
        <v>0</v>
      </c>
      <c r="BZ755" s="824">
        <f t="shared" ca="1" si="586"/>
        <v>0</v>
      </c>
      <c r="CA755" s="824">
        <f t="shared" ca="1" si="586"/>
        <v>0</v>
      </c>
      <c r="CB755" s="824">
        <f t="shared" ca="1" si="586"/>
        <v>0</v>
      </c>
      <c r="CC755" s="824">
        <f t="shared" ca="1" si="586"/>
        <v>0</v>
      </c>
      <c r="CD755" s="824">
        <f t="shared" ca="1" si="586"/>
        <v>0</v>
      </c>
      <c r="CE755" s="824">
        <f t="shared" ca="1" si="588"/>
        <v>0</v>
      </c>
      <c r="CF755" s="824">
        <f t="shared" ca="1" si="588"/>
        <v>0</v>
      </c>
      <c r="CG755" s="824">
        <f t="shared" ca="1" si="588"/>
        <v>0</v>
      </c>
      <c r="CH755" s="824">
        <f t="shared" ca="1" si="588"/>
        <v>0</v>
      </c>
      <c r="CI755" s="824">
        <f t="shared" ca="1" si="588"/>
        <v>0</v>
      </c>
      <c r="CJ755" s="824">
        <f t="shared" ca="1" si="588"/>
        <v>0</v>
      </c>
      <c r="CK755" s="824">
        <f t="shared" ca="1" si="588"/>
        <v>0</v>
      </c>
      <c r="CL755" s="824">
        <f t="shared" ca="1" si="588"/>
        <v>0</v>
      </c>
      <c r="CM755" s="824">
        <f t="shared" ca="1" si="588"/>
        <v>0</v>
      </c>
      <c r="CN755" s="824">
        <f t="shared" ca="1" si="588"/>
        <v>0</v>
      </c>
      <c r="CO755" s="824">
        <f t="shared" ca="1" si="588"/>
        <v>0</v>
      </c>
      <c r="CP755" s="824">
        <f t="shared" ca="1" si="588"/>
        <v>0</v>
      </c>
      <c r="CQ755" s="824">
        <f t="shared" ca="1" si="588"/>
        <v>0</v>
      </c>
      <c r="CR755" s="824">
        <f t="shared" ca="1" si="588"/>
        <v>0</v>
      </c>
      <c r="CS755" s="824">
        <f t="shared" ca="1" si="588"/>
        <v>0</v>
      </c>
      <c r="CT755" s="824">
        <f t="shared" ca="1" si="587"/>
        <v>0</v>
      </c>
      <c r="CU755" s="824">
        <f t="shared" ca="1" si="564"/>
        <v>0</v>
      </c>
      <c r="CV755" s="824">
        <f t="shared" ca="1" si="564"/>
        <v>0</v>
      </c>
      <c r="CW755" s="824">
        <f t="shared" ca="1" si="564"/>
        <v>0</v>
      </c>
      <c r="CX755" s="824">
        <f t="shared" ca="1" si="564"/>
        <v>0</v>
      </c>
      <c r="CY755" s="824">
        <f t="shared" ca="1" si="564"/>
        <v>0</v>
      </c>
      <c r="CZ755" s="824">
        <f t="shared" ca="1" si="564"/>
        <v>0</v>
      </c>
      <c r="DA755" s="824">
        <f t="shared" ca="1" si="590"/>
        <v>0</v>
      </c>
      <c r="DB755" s="824">
        <f t="shared" ca="1" si="590"/>
        <v>0</v>
      </c>
      <c r="DC755" s="824">
        <f t="shared" ca="1" si="590"/>
        <v>0</v>
      </c>
      <c r="DD755" s="824">
        <f t="shared" ca="1" si="590"/>
        <v>0</v>
      </c>
      <c r="DE755" s="824">
        <f t="shared" ca="1" si="590"/>
        <v>0</v>
      </c>
      <c r="DF755" s="824">
        <f t="shared" ca="1" si="590"/>
        <v>0</v>
      </c>
      <c r="DG755" s="824">
        <f t="shared" ca="1" si="590"/>
        <v>0</v>
      </c>
      <c r="DH755" s="824">
        <f t="shared" ca="1" si="590"/>
        <v>0</v>
      </c>
      <c r="DI755" s="824">
        <f t="shared" ca="1" si="590"/>
        <v>0</v>
      </c>
      <c r="DJ755" s="824">
        <f t="shared" ca="1" si="590"/>
        <v>0</v>
      </c>
      <c r="DK755" s="824">
        <f t="shared" ca="1" si="589"/>
        <v>0</v>
      </c>
      <c r="DL755" s="824">
        <f t="shared" ca="1" si="589"/>
        <v>0</v>
      </c>
    </row>
    <row r="756" spans="2:116" ht="12" thickBot="1" x14ac:dyDescent="0.3">
      <c r="B756" s="1673"/>
      <c r="C756" s="1680"/>
      <c r="D756" s="15" t="s">
        <v>263</v>
      </c>
      <c r="E756" s="165"/>
      <c r="F756" s="116">
        <f ca="1">SUBTOTAL(109,'3.4 I&amp;W'!$X$95)</f>
        <v>0</v>
      </c>
      <c r="G756" s="116">
        <f ca="1">SUBTOTAL(109,'3.4 I&amp;W'!$Y$95)</f>
        <v>0</v>
      </c>
      <c r="H756" s="116">
        <f ca="1">SUBTOTAL(109,'3.4 I&amp;W'!$AD$95)</f>
        <v>0</v>
      </c>
      <c r="I756" s="116">
        <f ca="1">SUBTOTAL(109,'3.4 I&amp;W'!$AE$95)</f>
        <v>0</v>
      </c>
      <c r="J756" s="116"/>
      <c r="K756" s="116"/>
      <c r="L756" s="116"/>
      <c r="M756" s="116">
        <f ca="1">SUBTOTAL(109,'3.4 I&amp;W'!$AI$95)</f>
        <v>0</v>
      </c>
      <c r="N756" s="156">
        <f t="shared" ca="1" si="541"/>
        <v>0</v>
      </c>
      <c r="O756" s="116">
        <f ca="1">SUBTOTAL(109,'3.4 I&amp;W'!$S$95)</f>
        <v>0</v>
      </c>
      <c r="P756" s="30">
        <f t="shared" ca="1" si="581"/>
        <v>0</v>
      </c>
      <c r="Q756" s="31">
        <f t="shared" ca="1" si="582"/>
        <v>0</v>
      </c>
      <c r="R756" s="31">
        <f t="shared" ca="1" si="583"/>
        <v>0</v>
      </c>
      <c r="S756" s="31">
        <f t="shared" ca="1" si="584"/>
        <v>0</v>
      </c>
      <c r="T756" s="32">
        <f t="shared" ca="1" si="585"/>
        <v>0</v>
      </c>
      <c r="U756" s="37">
        <f t="shared" ca="1" si="542"/>
        <v>0</v>
      </c>
      <c r="V756" s="40">
        <f t="shared" ca="1" si="591"/>
        <v>0</v>
      </c>
      <c r="W756" s="41">
        <f t="shared" ca="1" si="592"/>
        <v>0</v>
      </c>
      <c r="X756" s="43"/>
      <c r="Y756" s="46"/>
      <c r="Z756" s="126"/>
      <c r="AA756" s="136"/>
      <c r="AB756" s="131">
        <v>29</v>
      </c>
      <c r="AC756" s="168">
        <f ca="1">IF(AF755&lt;=1,0,'3.4 Fi&amp;Fo'!$I$25)</f>
        <v>47266.884954954228</v>
      </c>
      <c r="AD756" s="169">
        <f ca="1">IF(AF755&lt;=1,0,AF755*'3.4 Fi&amp;Fo'!$H$25)</f>
        <v>6118.2171460459758</v>
      </c>
      <c r="AE756" s="169">
        <f t="shared" ca="1" si="545"/>
        <v>41148.667808908256</v>
      </c>
      <c r="AF756" s="170">
        <f t="shared" ca="1" si="546"/>
        <v>264762.1894933905</v>
      </c>
      <c r="AG756" s="168">
        <f>IF(AJ755&lt;=1,0,IF(AB756&lt;='3.4 Fi&amp;Fo'!$F$34,'3.4 Fi&amp;Fo'!$J$34,IF(AB756&lt;='3.4 Fi&amp;Fo'!$F$35,'3.4 Fi&amp;Fo'!$J$35,IF(AB756&lt;='3.4 Fi&amp;Fo'!$F$36,'3.4 Fi&amp;Fo'!$J$36,IF(AB756&lt;='3.4 Fi&amp;Fo'!$F$37,'3.4 Fi&amp;Fo'!$J$37,IF(AB756&lt;='3.4 Fi&amp;Fo'!$F$38,'3.4 Fi&amp;Fo'!$J$38,IF(AB756&lt;='3.4 Fi&amp;Fo'!$F$39,'3.4 Fi&amp;Fo'!$J$39,IF(AB756&lt;='3.4 Fi&amp;Fo'!$F$40,'3.4 Fi&amp;Fo'!$J$40))))))))</f>
        <v>109927.60799999999</v>
      </c>
      <c r="AH756" s="203">
        <f>IF(AJ755&lt;=1,0,AJ755*IF(AB756&lt;='3.4 Fi&amp;Fo'!$F$34,'3.4 Fi&amp;Fo'!$I$34,IF(AB756&lt;='3.4 Fi&amp;Fo'!$F$35,'3.4 Fi&amp;Fo'!$I$35,IF(AB756&lt;='3.4 Fi&amp;Fo'!$F$38,'3.4 Fi&amp;Fo'!$I$38,IF(AB756&lt;='3.4 Fi&amp;Fo'!$F$39,'3.4 Fi&amp;Fo'!$I$39,IF(AB756&lt;='3.4 Fi&amp;Fo'!$F$40,'3.4 Fi&amp;Fo'!$I$40))))))</f>
        <v>144382.2368851582</v>
      </c>
      <c r="AI756" s="203">
        <f t="shared" si="547"/>
        <v>-34454.628885158207</v>
      </c>
      <c r="AJ756" s="204">
        <f t="shared" si="548"/>
        <v>2440825.2436377951</v>
      </c>
      <c r="AK756" s="312">
        <f t="shared" ca="1" si="549"/>
        <v>-196006.57564150513</v>
      </c>
      <c r="AL756" s="169">
        <f>IF(AB756&lt;='3.4 Fi&amp;Fo'!$J$15,'3.4 Fi&amp;Fo'!$I$15,0)</f>
        <v>0</v>
      </c>
      <c r="AM756" s="169">
        <f t="shared" si="561"/>
        <v>38812.082686550915</v>
      </c>
      <c r="AN756" s="838">
        <f t="shared" si="566"/>
        <v>29</v>
      </c>
      <c r="AO756" s="844">
        <f t="shared" ca="1" si="550"/>
        <v>196006.57564150513</v>
      </c>
      <c r="AP756" s="839">
        <f ca="1">CQ832</f>
        <v>0</v>
      </c>
      <c r="AQ756" s="844">
        <f t="shared" si="551"/>
        <v>0</v>
      </c>
      <c r="AR756" s="839">
        <f t="shared" ca="1" si="567"/>
        <v>0</v>
      </c>
      <c r="AS756" s="839">
        <f t="shared" ca="1" si="562"/>
        <v>11682.156900705471</v>
      </c>
      <c r="AT756" s="839">
        <f t="shared" ca="1" si="563"/>
        <v>18163.735802565381</v>
      </c>
      <c r="AU756" s="839">
        <f ca="1">'PV-Einspeisung'!AA237*-1</f>
        <v>0</v>
      </c>
      <c r="AV756" s="839">
        <f ca="1">'PV-Einspeisung'!AE237*-1</f>
        <v>0</v>
      </c>
      <c r="AW756" s="839"/>
      <c r="AX756" s="839">
        <f t="shared" ca="1" si="568"/>
        <v>0</v>
      </c>
      <c r="AY756" s="841">
        <f t="shared" si="552"/>
        <v>29</v>
      </c>
      <c r="AZ756" s="842">
        <f t="shared" ca="1" si="569"/>
        <v>0</v>
      </c>
      <c r="BA756" s="842">
        <f t="shared" ca="1" si="570"/>
        <v>0</v>
      </c>
      <c r="BB756" s="842">
        <f t="shared" ca="1" si="571"/>
        <v>0</v>
      </c>
      <c r="BC756" s="842">
        <f t="shared" ca="1" si="572"/>
        <v>0</v>
      </c>
      <c r="BD756" s="842">
        <f t="shared" ca="1" si="573"/>
        <v>0</v>
      </c>
      <c r="BE756" s="842">
        <f t="shared" ca="1" si="574"/>
        <v>0</v>
      </c>
      <c r="BF756" s="842">
        <f t="shared" ca="1" si="575"/>
        <v>12890.595911678291</v>
      </c>
      <c r="BG756" s="842">
        <f t="shared" ca="1" si="576"/>
        <v>5273.1398908870897</v>
      </c>
      <c r="BH756" s="858">
        <f t="shared" si="560"/>
        <v>29</v>
      </c>
      <c r="BI756" s="857">
        <f t="shared" ca="1" si="577"/>
        <v>4673.2994589367418</v>
      </c>
      <c r="BJ756" s="857">
        <f t="shared" ca="1" si="578"/>
        <v>7008.8574417687296</v>
      </c>
      <c r="BK756" s="859">
        <f ca="1">'PV-Einspeisung'!AB237*-1</f>
        <v>0</v>
      </c>
      <c r="BL756" s="824">
        <f t="shared" ca="1" si="593"/>
        <v>0</v>
      </c>
      <c r="BM756" s="824">
        <f t="shared" ca="1" si="594"/>
        <v>0</v>
      </c>
      <c r="BN756" s="824">
        <f t="shared" ca="1" si="595"/>
        <v>0</v>
      </c>
      <c r="BO756" s="824">
        <f t="shared" ca="1" si="586"/>
        <v>0</v>
      </c>
      <c r="BP756" s="824">
        <f t="shared" ca="1" si="586"/>
        <v>0</v>
      </c>
      <c r="BQ756" s="824">
        <f t="shared" ca="1" si="586"/>
        <v>0</v>
      </c>
      <c r="BR756" s="824">
        <f t="shared" ca="1" si="586"/>
        <v>0</v>
      </c>
      <c r="BS756" s="824">
        <f t="shared" ca="1" si="586"/>
        <v>0</v>
      </c>
      <c r="BT756" s="824">
        <f t="shared" ca="1" si="586"/>
        <v>0</v>
      </c>
      <c r="BU756" s="824">
        <f t="shared" ca="1" si="586"/>
        <v>0</v>
      </c>
      <c r="BV756" s="824">
        <f t="shared" ca="1" si="586"/>
        <v>0</v>
      </c>
      <c r="BW756" s="824">
        <f t="shared" ca="1" si="586"/>
        <v>0</v>
      </c>
      <c r="BX756" s="824">
        <f t="shared" ca="1" si="586"/>
        <v>0</v>
      </c>
      <c r="BY756" s="824">
        <f t="shared" ca="1" si="586"/>
        <v>0</v>
      </c>
      <c r="BZ756" s="824">
        <f t="shared" ca="1" si="586"/>
        <v>0</v>
      </c>
      <c r="CA756" s="824">
        <f t="shared" ca="1" si="586"/>
        <v>0</v>
      </c>
      <c r="CB756" s="824">
        <f t="shared" ca="1" si="586"/>
        <v>0</v>
      </c>
      <c r="CC756" s="824">
        <f t="shared" ca="1" si="586"/>
        <v>0</v>
      </c>
      <c r="CD756" s="824">
        <f t="shared" ca="1" si="586"/>
        <v>0</v>
      </c>
      <c r="CE756" s="824">
        <f t="shared" ca="1" si="588"/>
        <v>0</v>
      </c>
      <c r="CF756" s="824">
        <f t="shared" ca="1" si="588"/>
        <v>0</v>
      </c>
      <c r="CG756" s="824">
        <f t="shared" ca="1" si="588"/>
        <v>0</v>
      </c>
      <c r="CH756" s="824">
        <f t="shared" ca="1" si="588"/>
        <v>0</v>
      </c>
      <c r="CI756" s="824">
        <f t="shared" ca="1" si="588"/>
        <v>0</v>
      </c>
      <c r="CJ756" s="824">
        <f t="shared" ca="1" si="588"/>
        <v>0</v>
      </c>
      <c r="CK756" s="824">
        <f t="shared" ca="1" si="588"/>
        <v>0</v>
      </c>
      <c r="CL756" s="824">
        <f t="shared" ca="1" si="588"/>
        <v>0</v>
      </c>
      <c r="CM756" s="824">
        <f t="shared" ca="1" si="588"/>
        <v>0</v>
      </c>
      <c r="CN756" s="824">
        <f t="shared" ca="1" si="588"/>
        <v>0</v>
      </c>
      <c r="CO756" s="824">
        <f t="shared" ca="1" si="588"/>
        <v>0</v>
      </c>
      <c r="CP756" s="824">
        <f t="shared" ca="1" si="588"/>
        <v>0</v>
      </c>
      <c r="CQ756" s="824">
        <f t="shared" ca="1" si="588"/>
        <v>0</v>
      </c>
      <c r="CR756" s="824">
        <f t="shared" ca="1" si="588"/>
        <v>0</v>
      </c>
      <c r="CS756" s="824">
        <f t="shared" ca="1" si="588"/>
        <v>0</v>
      </c>
      <c r="CT756" s="824">
        <f t="shared" ca="1" si="587"/>
        <v>0</v>
      </c>
      <c r="CU756" s="824">
        <f t="shared" ca="1" si="587"/>
        <v>0</v>
      </c>
      <c r="CV756" s="824">
        <f t="shared" ca="1" si="587"/>
        <v>0</v>
      </c>
      <c r="CW756" s="824">
        <f t="shared" ca="1" si="587"/>
        <v>0</v>
      </c>
      <c r="CX756" s="824">
        <f t="shared" ca="1" si="587"/>
        <v>0</v>
      </c>
      <c r="CY756" s="824">
        <f t="shared" ca="1" si="587"/>
        <v>0</v>
      </c>
      <c r="CZ756" s="824">
        <f t="shared" ca="1" si="587"/>
        <v>0</v>
      </c>
      <c r="DA756" s="824">
        <f t="shared" ca="1" si="587"/>
        <v>0</v>
      </c>
      <c r="DB756" s="824">
        <f t="shared" ca="1" si="587"/>
        <v>0</v>
      </c>
      <c r="DC756" s="824">
        <f t="shared" ca="1" si="587"/>
        <v>0</v>
      </c>
      <c r="DD756" s="824">
        <f t="shared" ca="1" si="587"/>
        <v>0</v>
      </c>
      <c r="DE756" s="824">
        <f t="shared" ca="1" si="587"/>
        <v>0</v>
      </c>
      <c r="DF756" s="824">
        <f t="shared" ca="1" si="587"/>
        <v>0</v>
      </c>
      <c r="DG756" s="824">
        <f t="shared" ca="1" si="590"/>
        <v>0</v>
      </c>
      <c r="DH756" s="824">
        <f t="shared" ca="1" si="590"/>
        <v>0</v>
      </c>
      <c r="DI756" s="824">
        <f t="shared" ca="1" si="590"/>
        <v>0</v>
      </c>
      <c r="DJ756" s="824">
        <f t="shared" ca="1" si="590"/>
        <v>0</v>
      </c>
      <c r="DK756" s="824">
        <f t="shared" ca="1" si="589"/>
        <v>0</v>
      </c>
      <c r="DL756" s="824">
        <f t="shared" ca="1" si="589"/>
        <v>0</v>
      </c>
    </row>
    <row r="757" spans="2:116" ht="12" thickBot="1" x14ac:dyDescent="0.3">
      <c r="B757" s="1673"/>
      <c r="C757" s="1680"/>
      <c r="D757" s="15" t="s">
        <v>263</v>
      </c>
      <c r="E757" s="116"/>
      <c r="F757" s="116">
        <f ca="1">SUBTOTAL(109,'3.4 I&amp;W'!$X$96)</f>
        <v>0</v>
      </c>
      <c r="G757" s="116">
        <f ca="1">SUBTOTAL(109,'3.4 I&amp;W'!$Y$96)</f>
        <v>0</v>
      </c>
      <c r="H757" s="116">
        <f ca="1">SUBTOTAL(109,'3.4 I&amp;W'!$AD$96)</f>
        <v>0</v>
      </c>
      <c r="I757" s="116">
        <f ca="1">SUBTOTAL(109,'3.4 I&amp;W'!$AE$96)</f>
        <v>0</v>
      </c>
      <c r="J757" s="116"/>
      <c r="K757" s="116"/>
      <c r="L757" s="116"/>
      <c r="M757" s="116">
        <f ca="1">SUBTOTAL(109,'3.4 I&amp;W'!$AI$96)</f>
        <v>0</v>
      </c>
      <c r="N757" s="156">
        <f t="shared" ca="1" si="541"/>
        <v>0</v>
      </c>
      <c r="O757" s="116">
        <f ca="1">SUBTOTAL(109,'3.4 I&amp;W'!$S$96)</f>
        <v>0</v>
      </c>
      <c r="P757" s="30">
        <f t="shared" ca="1" si="581"/>
        <v>0</v>
      </c>
      <c r="Q757" s="31">
        <f t="shared" ca="1" si="582"/>
        <v>0</v>
      </c>
      <c r="R757" s="31">
        <f t="shared" ca="1" si="583"/>
        <v>0</v>
      </c>
      <c r="S757" s="31">
        <f t="shared" ca="1" si="584"/>
        <v>0</v>
      </c>
      <c r="T757" s="32">
        <f t="shared" ca="1" si="585"/>
        <v>0</v>
      </c>
      <c r="U757" s="37">
        <f t="shared" ca="1" si="542"/>
        <v>0</v>
      </c>
      <c r="V757" s="40">
        <f t="shared" ca="1" si="591"/>
        <v>0</v>
      </c>
      <c r="W757" s="41">
        <f t="shared" ca="1" si="592"/>
        <v>0</v>
      </c>
      <c r="X757" s="43"/>
      <c r="Y757" s="46"/>
      <c r="Z757" s="126"/>
      <c r="AA757" s="136"/>
      <c r="AB757" s="131">
        <v>30</v>
      </c>
      <c r="AC757" s="168">
        <f ca="1">IF(AF756&lt;=1,0,'3.4 Fi&amp;Fo'!$I$25)</f>
        <v>47266.884954954228</v>
      </c>
      <c r="AD757" s="169">
        <f ca="1">IF(AF756&lt;=1,0,AF756*'3.4 Fi&amp;Fo'!$H$25)</f>
        <v>5295.2437898678099</v>
      </c>
      <c r="AE757" s="169">
        <f t="shared" ca="1" si="545"/>
        <v>41971.641165086417</v>
      </c>
      <c r="AF757" s="170">
        <f t="shared" ca="1" si="546"/>
        <v>222790.54832830408</v>
      </c>
      <c r="AG757" s="168">
        <f>IF(AJ756&lt;=1,0,IF(AB757&lt;='3.4 Fi&amp;Fo'!$F$34,'3.4 Fi&amp;Fo'!$J$34,IF(AB757&lt;='3.4 Fi&amp;Fo'!$F$35,'3.4 Fi&amp;Fo'!$J$35,IF(AB757&lt;='3.4 Fi&amp;Fo'!$F$36,'3.4 Fi&amp;Fo'!$J$36,IF(AB757&lt;='3.4 Fi&amp;Fo'!$F$37,'3.4 Fi&amp;Fo'!$J$37,IF(AB757&lt;='3.4 Fi&amp;Fo'!$F$38,'3.4 Fi&amp;Fo'!$J$38,IF(AB757&lt;='3.4 Fi&amp;Fo'!$F$39,'3.4 Fi&amp;Fo'!$J$39,IF(AB757&lt;='3.4 Fi&amp;Fo'!$F$40,'3.4 Fi&amp;Fo'!$J$40))))))))</f>
        <v>109927.60799999999</v>
      </c>
      <c r="AH757" s="203">
        <f>IF(AJ756&lt;=1,0,AJ756*IF(AB757&lt;='3.4 Fi&amp;Fo'!$F$34,'3.4 Fi&amp;Fo'!$I$34,IF(AB757&lt;='3.4 Fi&amp;Fo'!$F$35,'3.4 Fi&amp;Fo'!$I$35,IF(AB757&lt;='3.4 Fi&amp;Fo'!$F$38,'3.4 Fi&amp;Fo'!$I$38,IF(AB757&lt;='3.4 Fi&amp;Fo'!$F$39,'3.4 Fi&amp;Fo'!$I$39,IF(AB757&lt;='3.4 Fi&amp;Fo'!$F$40,'3.4 Fi&amp;Fo'!$I$40))))))</f>
        <v>146449.51461826771</v>
      </c>
      <c r="AI757" s="203">
        <f t="shared" si="547"/>
        <v>-36521.90661826772</v>
      </c>
      <c r="AJ757" s="204">
        <f t="shared" si="548"/>
        <v>2477347.1502560629</v>
      </c>
      <c r="AK757" s="312">
        <f t="shared" ca="1" si="549"/>
        <v>-196782.81729523669</v>
      </c>
      <c r="AL757" s="169">
        <f>IF(AB757&lt;='3.4 Fi&amp;Fo'!$J$15,'3.4 Fi&amp;Fo'!$I$15,0)</f>
        <v>0</v>
      </c>
      <c r="AM757" s="169">
        <f t="shared" si="561"/>
        <v>39588.324340282474</v>
      </c>
      <c r="AN757" s="838">
        <f t="shared" si="566"/>
        <v>30</v>
      </c>
      <c r="AO757" s="844">
        <f t="shared" ca="1" si="550"/>
        <v>196782.81729523669</v>
      </c>
      <c r="AP757" s="839">
        <f ca="1">CR832</f>
        <v>153992.21131166464</v>
      </c>
      <c r="AQ757" s="844">
        <f t="shared" si="551"/>
        <v>0</v>
      </c>
      <c r="AR757" s="839">
        <f t="shared" ca="1" si="567"/>
        <v>0</v>
      </c>
      <c r="AS757" s="839">
        <f t="shared" ca="1" si="562"/>
        <v>11869.071411116758</v>
      </c>
      <c r="AT757" s="839">
        <f t="shared" ca="1" si="563"/>
        <v>18670.560596538384</v>
      </c>
      <c r="AU757" s="839">
        <f ca="1">'PV-Einspeisung'!AA238*-1</f>
        <v>0</v>
      </c>
      <c r="AV757" s="839">
        <f ca="1">'PV-Einspeisung'!AE238*-1</f>
        <v>0</v>
      </c>
      <c r="AW757" s="839"/>
      <c r="AX757" s="839">
        <f t="shared" ca="1" si="568"/>
        <v>0</v>
      </c>
      <c r="AY757" s="841">
        <f t="shared" si="552"/>
        <v>30</v>
      </c>
      <c r="AZ757" s="842">
        <f t="shared" ca="1" si="569"/>
        <v>0</v>
      </c>
      <c r="BA757" s="842">
        <f t="shared" ca="1" si="570"/>
        <v>0</v>
      </c>
      <c r="BB757" s="842">
        <f t="shared" ca="1" si="571"/>
        <v>0</v>
      </c>
      <c r="BC757" s="842">
        <f t="shared" ca="1" si="572"/>
        <v>0</v>
      </c>
      <c r="BD757" s="842">
        <f t="shared" ca="1" si="573"/>
        <v>0</v>
      </c>
      <c r="BE757" s="842">
        <f t="shared" ca="1" si="574"/>
        <v>0</v>
      </c>
      <c r="BF757" s="842">
        <f t="shared" ca="1" si="575"/>
        <v>13212.860809470247</v>
      </c>
      <c r="BG757" s="842">
        <f t="shared" ca="1" si="576"/>
        <v>5457.6997870681371</v>
      </c>
      <c r="BH757" s="858">
        <f t="shared" si="560"/>
        <v>30</v>
      </c>
      <c r="BI757" s="857">
        <f t="shared" ca="1" si="577"/>
        <v>4748.0722502797298</v>
      </c>
      <c r="BJ757" s="857">
        <f t="shared" ca="1" si="578"/>
        <v>7120.9991608370292</v>
      </c>
      <c r="BK757" s="859">
        <f ca="1">'PV-Einspeisung'!AB238*-1</f>
        <v>0</v>
      </c>
      <c r="BL757" s="824">
        <f t="shared" ca="1" si="593"/>
        <v>0</v>
      </c>
      <c r="BM757" s="824">
        <f t="shared" ca="1" si="594"/>
        <v>0</v>
      </c>
      <c r="BN757" s="824">
        <f t="shared" ca="1" si="595"/>
        <v>0</v>
      </c>
      <c r="BO757" s="824">
        <f t="shared" ca="1" si="586"/>
        <v>0</v>
      </c>
      <c r="BP757" s="824">
        <f t="shared" ca="1" si="586"/>
        <v>0</v>
      </c>
      <c r="BQ757" s="824">
        <f t="shared" ca="1" si="586"/>
        <v>0</v>
      </c>
      <c r="BR757" s="824">
        <f t="shared" ca="1" si="586"/>
        <v>0</v>
      </c>
      <c r="BS757" s="824">
        <f t="shared" ca="1" si="586"/>
        <v>0</v>
      </c>
      <c r="BT757" s="824">
        <f t="shared" ca="1" si="586"/>
        <v>0</v>
      </c>
      <c r="BU757" s="824">
        <f t="shared" ca="1" si="586"/>
        <v>0</v>
      </c>
      <c r="BV757" s="824">
        <f t="shared" ca="1" si="586"/>
        <v>0</v>
      </c>
      <c r="BW757" s="824">
        <f t="shared" ca="1" si="586"/>
        <v>0</v>
      </c>
      <c r="BX757" s="824">
        <f t="shared" ca="1" si="586"/>
        <v>0</v>
      </c>
      <c r="BY757" s="824">
        <f t="shared" ca="1" si="586"/>
        <v>0</v>
      </c>
      <c r="BZ757" s="824">
        <f t="shared" ca="1" si="586"/>
        <v>0</v>
      </c>
      <c r="CA757" s="824">
        <f t="shared" ca="1" si="586"/>
        <v>0</v>
      </c>
      <c r="CB757" s="824">
        <f t="shared" ca="1" si="586"/>
        <v>0</v>
      </c>
      <c r="CC757" s="824">
        <f t="shared" ca="1" si="586"/>
        <v>0</v>
      </c>
      <c r="CD757" s="824">
        <f t="shared" ref="CD757:CS772" ca="1" si="596">IF(OR(IF($BL757*1&lt;$BL$196,$BL757*1=CD$198,FALSE),IF($BL757*2&lt;$BL$196,$BL757*2=CD$198,FALSE),IF($BL757*3&lt;$BL$196,$BL757*3=CD$198,FALSE),IF($BL757*4&lt;$BL$196,$BL757*4=CD$198,FALSE),IF($BL757*5&lt;$BL$196,$BL757*5=CD$198,FALSE)),$BN757*$BM$196^CD$198,0)</f>
        <v>0</v>
      </c>
      <c r="CE757" s="824">
        <f t="shared" ca="1" si="596"/>
        <v>0</v>
      </c>
      <c r="CF757" s="824">
        <f t="shared" ca="1" si="596"/>
        <v>0</v>
      </c>
      <c r="CG757" s="824">
        <f t="shared" ca="1" si="596"/>
        <v>0</v>
      </c>
      <c r="CH757" s="824">
        <f t="shared" ca="1" si="596"/>
        <v>0</v>
      </c>
      <c r="CI757" s="824">
        <f t="shared" ca="1" si="596"/>
        <v>0</v>
      </c>
      <c r="CJ757" s="824">
        <f t="shared" ca="1" si="596"/>
        <v>0</v>
      </c>
      <c r="CK757" s="824">
        <f t="shared" ca="1" si="596"/>
        <v>0</v>
      </c>
      <c r="CL757" s="824">
        <f t="shared" ca="1" si="596"/>
        <v>0</v>
      </c>
      <c r="CM757" s="824">
        <f t="shared" ca="1" si="596"/>
        <v>0</v>
      </c>
      <c r="CN757" s="824">
        <f t="shared" ca="1" si="596"/>
        <v>0</v>
      </c>
      <c r="CO757" s="824">
        <f t="shared" ca="1" si="596"/>
        <v>0</v>
      </c>
      <c r="CP757" s="824">
        <f t="shared" ca="1" si="596"/>
        <v>0</v>
      </c>
      <c r="CQ757" s="824">
        <f t="shared" ca="1" si="596"/>
        <v>0</v>
      </c>
      <c r="CR757" s="824">
        <f t="shared" ca="1" si="596"/>
        <v>0</v>
      </c>
      <c r="CS757" s="824">
        <f t="shared" ca="1" si="596"/>
        <v>0</v>
      </c>
      <c r="CT757" s="824">
        <f t="shared" ca="1" si="587"/>
        <v>0</v>
      </c>
      <c r="CU757" s="824">
        <f t="shared" ca="1" si="587"/>
        <v>0</v>
      </c>
      <c r="CV757" s="824">
        <f t="shared" ca="1" si="587"/>
        <v>0</v>
      </c>
      <c r="CW757" s="824">
        <f t="shared" ca="1" si="587"/>
        <v>0</v>
      </c>
      <c r="CX757" s="824">
        <f t="shared" ca="1" si="587"/>
        <v>0</v>
      </c>
      <c r="CY757" s="824">
        <f t="shared" ca="1" si="587"/>
        <v>0</v>
      </c>
      <c r="CZ757" s="824">
        <f t="shared" ca="1" si="587"/>
        <v>0</v>
      </c>
      <c r="DA757" s="824">
        <f t="shared" ca="1" si="587"/>
        <v>0</v>
      </c>
      <c r="DB757" s="824">
        <f t="shared" ca="1" si="587"/>
        <v>0</v>
      </c>
      <c r="DC757" s="824">
        <f t="shared" ca="1" si="587"/>
        <v>0</v>
      </c>
      <c r="DD757" s="824">
        <f t="shared" ca="1" si="587"/>
        <v>0</v>
      </c>
      <c r="DE757" s="824">
        <f t="shared" ca="1" si="587"/>
        <v>0</v>
      </c>
      <c r="DF757" s="824">
        <f t="shared" ca="1" si="587"/>
        <v>0</v>
      </c>
      <c r="DG757" s="824">
        <f t="shared" ca="1" si="590"/>
        <v>0</v>
      </c>
      <c r="DH757" s="824">
        <f t="shared" ca="1" si="590"/>
        <v>0</v>
      </c>
      <c r="DI757" s="824">
        <f t="shared" ca="1" si="590"/>
        <v>0</v>
      </c>
      <c r="DJ757" s="824">
        <f t="shared" ca="1" si="590"/>
        <v>0</v>
      </c>
      <c r="DK757" s="824">
        <f t="shared" ca="1" si="589"/>
        <v>0</v>
      </c>
      <c r="DL757" s="824">
        <f t="shared" ca="1" si="589"/>
        <v>0</v>
      </c>
    </row>
    <row r="758" spans="2:116" ht="12" thickBot="1" x14ac:dyDescent="0.3">
      <c r="B758" s="1673"/>
      <c r="C758" s="1680"/>
      <c r="D758" s="15" t="s">
        <v>263</v>
      </c>
      <c r="E758" s="165"/>
      <c r="F758" s="116">
        <f ca="1">SUBTOTAL(109,'3.4 I&amp;W'!$X$97)</f>
        <v>0</v>
      </c>
      <c r="G758" s="116">
        <f ca="1">SUBTOTAL(109,'3.4 I&amp;W'!$Y$97)</f>
        <v>0</v>
      </c>
      <c r="H758" s="116">
        <f ca="1">SUBTOTAL(109,'3.4 I&amp;W'!$AD$97)</f>
        <v>0</v>
      </c>
      <c r="I758" s="116">
        <f ca="1">SUBTOTAL(109,'3.4 I&amp;W'!$AE$97)</f>
        <v>0</v>
      </c>
      <c r="J758" s="116"/>
      <c r="K758" s="116"/>
      <c r="L758" s="116"/>
      <c r="M758" s="116">
        <f ca="1">SUBTOTAL(109,'3.4 I&amp;W'!$AI$97)</f>
        <v>0</v>
      </c>
      <c r="N758" s="156">
        <f t="shared" ca="1" si="541"/>
        <v>0</v>
      </c>
      <c r="O758" s="116">
        <f ca="1">SUBTOTAL(109,'3.4 I&amp;W'!$S$97)</f>
        <v>0</v>
      </c>
      <c r="P758" s="30">
        <f t="shared" ca="1" si="581"/>
        <v>0</v>
      </c>
      <c r="Q758" s="31">
        <f t="shared" ca="1" si="582"/>
        <v>0</v>
      </c>
      <c r="R758" s="31">
        <f t="shared" ca="1" si="583"/>
        <v>0</v>
      </c>
      <c r="S758" s="31">
        <f t="shared" ca="1" si="584"/>
        <v>0</v>
      </c>
      <c r="T758" s="32">
        <f t="shared" ca="1" si="585"/>
        <v>0</v>
      </c>
      <c r="U758" s="37">
        <f t="shared" ca="1" si="542"/>
        <v>0</v>
      </c>
      <c r="V758" s="40">
        <f t="shared" ca="1" si="591"/>
        <v>0</v>
      </c>
      <c r="W758" s="41">
        <f t="shared" ca="1" si="592"/>
        <v>0</v>
      </c>
      <c r="X758" s="43"/>
      <c r="Y758" s="46"/>
      <c r="Z758" s="126"/>
      <c r="AA758" s="136"/>
      <c r="AB758" s="131">
        <v>31</v>
      </c>
      <c r="AC758" s="168">
        <f ca="1">IF(AF757&lt;=1,0,'3.4 Fi&amp;Fo'!$I$25)</f>
        <v>47266.884954954228</v>
      </c>
      <c r="AD758" s="169">
        <f ca="1">IF(AF757&lt;=1,0,AF757*'3.4 Fi&amp;Fo'!$H$25)</f>
        <v>4455.8109665660813</v>
      </c>
      <c r="AE758" s="169">
        <f t="shared" ca="1" si="545"/>
        <v>42811.073988388147</v>
      </c>
      <c r="AF758" s="170">
        <f t="shared" ca="1" si="546"/>
        <v>179979.47433991593</v>
      </c>
      <c r="AG758" s="168">
        <f>IF(AJ757&lt;=1,0,IF(AB758&lt;='3.4 Fi&amp;Fo'!$F$34,'3.4 Fi&amp;Fo'!$J$34,IF(AB758&lt;='3.4 Fi&amp;Fo'!$F$35,'3.4 Fi&amp;Fo'!$J$35,IF(AB758&lt;='3.4 Fi&amp;Fo'!$F$36,'3.4 Fi&amp;Fo'!$J$36,IF(AB758&lt;='3.4 Fi&amp;Fo'!$F$37,'3.4 Fi&amp;Fo'!$J$37,IF(AB758&lt;='3.4 Fi&amp;Fo'!$F$38,'3.4 Fi&amp;Fo'!$J$38,IF(AB758&lt;='3.4 Fi&amp;Fo'!$F$39,'3.4 Fi&amp;Fo'!$J$39,IF(AB758&lt;='3.4 Fi&amp;Fo'!$F$40,'3.4 Fi&amp;Fo'!$J$40))))))))</f>
        <v>119087.24200000001</v>
      </c>
      <c r="AH758" s="203">
        <f>IF(AJ757&lt;=1,0,AJ757*IF(AB758&lt;='3.4 Fi&amp;Fo'!$F$34,'3.4 Fi&amp;Fo'!$I$34,IF(AB758&lt;='3.4 Fi&amp;Fo'!$F$35,'3.4 Fi&amp;Fo'!$I$35,IF(AB758&lt;='3.4 Fi&amp;Fo'!$F$38,'3.4 Fi&amp;Fo'!$I$38,IF(AB758&lt;='3.4 Fi&amp;Fo'!$F$39,'3.4 Fi&amp;Fo'!$I$39,IF(AB758&lt;='3.4 Fi&amp;Fo'!$F$40,'3.4 Fi&amp;Fo'!$I$40))))))</f>
        <v>161027.56476664409</v>
      </c>
      <c r="AI758" s="203">
        <f t="shared" si="547"/>
        <v>-41940.32276664408</v>
      </c>
      <c r="AJ758" s="204">
        <f t="shared" si="548"/>
        <v>2519287.4730227068</v>
      </c>
      <c r="AK758" s="312">
        <f t="shared" ca="1" si="549"/>
        <v>-206734.21778204164</v>
      </c>
      <c r="AL758" s="169">
        <f>IF(AB758&lt;='3.4 Fi&amp;Fo'!$J$15,'3.4 Fi&amp;Fo'!$I$15,0)</f>
        <v>0</v>
      </c>
      <c r="AM758" s="169">
        <f t="shared" si="561"/>
        <v>40380.090827087406</v>
      </c>
      <c r="AN758" s="838">
        <f t="shared" si="566"/>
        <v>31</v>
      </c>
      <c r="AO758" s="844">
        <f t="shared" ca="1" si="550"/>
        <v>206734.21778204164</v>
      </c>
      <c r="AP758" s="839">
        <f ca="1">CS832</f>
        <v>0</v>
      </c>
      <c r="AQ758" s="844">
        <f t="shared" si="551"/>
        <v>0</v>
      </c>
      <c r="AR758" s="839">
        <f t="shared" ca="1" si="567"/>
        <v>0</v>
      </c>
      <c r="AS758" s="839">
        <f t="shared" ca="1" si="562"/>
        <v>12058.976553694627</v>
      </c>
      <c r="AT758" s="839">
        <f t="shared" ca="1" si="563"/>
        <v>19191.901609322522</v>
      </c>
      <c r="AU758" s="839">
        <f ca="1">'PV-Einspeisung'!AA239*-1</f>
        <v>0</v>
      </c>
      <c r="AV758" s="839">
        <f ca="1">'PV-Einspeisung'!AE239*-1</f>
        <v>0</v>
      </c>
      <c r="AW758" s="839"/>
      <c r="AX758" s="839">
        <f t="shared" ca="1" si="568"/>
        <v>0</v>
      </c>
      <c r="AY758" s="841">
        <f t="shared" si="552"/>
        <v>31</v>
      </c>
      <c r="AZ758" s="842">
        <f t="shared" ca="1" si="569"/>
        <v>0</v>
      </c>
      <c r="BA758" s="842">
        <f t="shared" ca="1" si="570"/>
        <v>0</v>
      </c>
      <c r="BB758" s="842">
        <f t="shared" ca="1" si="571"/>
        <v>0</v>
      </c>
      <c r="BC758" s="842">
        <f t="shared" ca="1" si="572"/>
        <v>0</v>
      </c>
      <c r="BD758" s="842">
        <f t="shared" ca="1" si="573"/>
        <v>0</v>
      </c>
      <c r="BE758" s="842">
        <f t="shared" ca="1" si="574"/>
        <v>0</v>
      </c>
      <c r="BF758" s="842">
        <f t="shared" ca="1" si="575"/>
        <v>13543.182329707002</v>
      </c>
      <c r="BG758" s="842">
        <f t="shared" ca="1" si="576"/>
        <v>5648.7192796155214</v>
      </c>
      <c r="BH758" s="858">
        <f t="shared" si="560"/>
        <v>31</v>
      </c>
      <c r="BI758" s="857">
        <f t="shared" ca="1" si="577"/>
        <v>4824.0414062842056</v>
      </c>
      <c r="BJ758" s="857">
        <f t="shared" ca="1" si="578"/>
        <v>7234.9351474104215</v>
      </c>
      <c r="BK758" s="859">
        <f ca="1">'PV-Einspeisung'!AB239*-1</f>
        <v>0</v>
      </c>
      <c r="BL758" s="824">
        <f t="shared" ca="1" si="593"/>
        <v>0</v>
      </c>
      <c r="BM758" s="824">
        <f t="shared" ca="1" si="594"/>
        <v>0</v>
      </c>
      <c r="BN758" s="824">
        <f t="shared" ca="1" si="595"/>
        <v>0</v>
      </c>
      <c r="BO758" s="824">
        <f t="shared" ref="BO758:CD773" ca="1" si="597">IF(OR(IF($BL758*1&lt;$BL$196,$BL758*1=BO$198,FALSE),IF($BL758*2&lt;$BL$196,$BL758*2=BO$198,FALSE),IF($BL758*3&lt;$BL$196,$BL758*3=BO$198,FALSE),IF($BL758*4&lt;$BL$196,$BL758*4=BO$198,FALSE),IF($BL758*5&lt;$BL$196,$BL758*5=BO$198,FALSE)),$BN758*$BM$196^BO$198,0)</f>
        <v>0</v>
      </c>
      <c r="BP758" s="824">
        <f t="shared" ca="1" si="597"/>
        <v>0</v>
      </c>
      <c r="BQ758" s="824">
        <f t="shared" ca="1" si="597"/>
        <v>0</v>
      </c>
      <c r="BR758" s="824">
        <f t="shared" ca="1" si="597"/>
        <v>0</v>
      </c>
      <c r="BS758" s="824">
        <f t="shared" ca="1" si="597"/>
        <v>0</v>
      </c>
      <c r="BT758" s="824">
        <f t="shared" ca="1" si="597"/>
        <v>0</v>
      </c>
      <c r="BU758" s="824">
        <f t="shared" ca="1" si="597"/>
        <v>0</v>
      </c>
      <c r="BV758" s="824">
        <f t="shared" ca="1" si="597"/>
        <v>0</v>
      </c>
      <c r="BW758" s="824">
        <f t="shared" ca="1" si="597"/>
        <v>0</v>
      </c>
      <c r="BX758" s="824">
        <f t="shared" ca="1" si="597"/>
        <v>0</v>
      </c>
      <c r="BY758" s="824">
        <f t="shared" ca="1" si="597"/>
        <v>0</v>
      </c>
      <c r="BZ758" s="824">
        <f t="shared" ca="1" si="597"/>
        <v>0</v>
      </c>
      <c r="CA758" s="824">
        <f t="shared" ca="1" si="597"/>
        <v>0</v>
      </c>
      <c r="CB758" s="824">
        <f t="shared" ca="1" si="597"/>
        <v>0</v>
      </c>
      <c r="CC758" s="824">
        <f t="shared" ca="1" si="597"/>
        <v>0</v>
      </c>
      <c r="CD758" s="824">
        <f t="shared" ca="1" si="597"/>
        <v>0</v>
      </c>
      <c r="CE758" s="824">
        <f t="shared" ca="1" si="596"/>
        <v>0</v>
      </c>
      <c r="CF758" s="824">
        <f t="shared" ca="1" si="596"/>
        <v>0</v>
      </c>
      <c r="CG758" s="824">
        <f t="shared" ca="1" si="596"/>
        <v>0</v>
      </c>
      <c r="CH758" s="824">
        <f t="shared" ca="1" si="596"/>
        <v>0</v>
      </c>
      <c r="CI758" s="824">
        <f t="shared" ca="1" si="596"/>
        <v>0</v>
      </c>
      <c r="CJ758" s="824">
        <f t="shared" ca="1" si="596"/>
        <v>0</v>
      </c>
      <c r="CK758" s="824">
        <f t="shared" ca="1" si="596"/>
        <v>0</v>
      </c>
      <c r="CL758" s="824">
        <f t="shared" ca="1" si="596"/>
        <v>0</v>
      </c>
      <c r="CM758" s="824">
        <f t="shared" ca="1" si="596"/>
        <v>0</v>
      </c>
      <c r="CN758" s="824">
        <f t="shared" ca="1" si="596"/>
        <v>0</v>
      </c>
      <c r="CO758" s="824">
        <f t="shared" ca="1" si="596"/>
        <v>0</v>
      </c>
      <c r="CP758" s="824">
        <f t="shared" ca="1" si="596"/>
        <v>0</v>
      </c>
      <c r="CQ758" s="824">
        <f t="shared" ca="1" si="596"/>
        <v>0</v>
      </c>
      <c r="CR758" s="824">
        <f t="shared" ca="1" si="596"/>
        <v>0</v>
      </c>
      <c r="CS758" s="824">
        <f t="shared" ca="1" si="596"/>
        <v>0</v>
      </c>
      <c r="CT758" s="824">
        <f t="shared" ca="1" si="587"/>
        <v>0</v>
      </c>
      <c r="CU758" s="824">
        <f t="shared" ca="1" si="587"/>
        <v>0</v>
      </c>
      <c r="CV758" s="824">
        <f t="shared" ca="1" si="587"/>
        <v>0</v>
      </c>
      <c r="CW758" s="824">
        <f t="shared" ca="1" si="587"/>
        <v>0</v>
      </c>
      <c r="CX758" s="824">
        <f t="shared" ca="1" si="587"/>
        <v>0</v>
      </c>
      <c r="CY758" s="824">
        <f t="shared" ca="1" si="587"/>
        <v>0</v>
      </c>
      <c r="CZ758" s="824">
        <f t="shared" ca="1" si="587"/>
        <v>0</v>
      </c>
      <c r="DA758" s="824">
        <f t="shared" ca="1" si="587"/>
        <v>0</v>
      </c>
      <c r="DB758" s="824">
        <f t="shared" ca="1" si="587"/>
        <v>0</v>
      </c>
      <c r="DC758" s="824">
        <f t="shared" ca="1" si="587"/>
        <v>0</v>
      </c>
      <c r="DD758" s="824">
        <f t="shared" ca="1" si="587"/>
        <v>0</v>
      </c>
      <c r="DE758" s="824">
        <f t="shared" ca="1" si="587"/>
        <v>0</v>
      </c>
      <c r="DF758" s="824">
        <f t="shared" ca="1" si="587"/>
        <v>0</v>
      </c>
      <c r="DG758" s="824">
        <f t="shared" ca="1" si="590"/>
        <v>0</v>
      </c>
      <c r="DH758" s="824">
        <f t="shared" ca="1" si="590"/>
        <v>0</v>
      </c>
      <c r="DI758" s="824">
        <f t="shared" ca="1" si="590"/>
        <v>0</v>
      </c>
      <c r="DJ758" s="824">
        <f t="shared" ca="1" si="590"/>
        <v>0</v>
      </c>
      <c r="DK758" s="824">
        <f t="shared" ca="1" si="589"/>
        <v>0</v>
      </c>
      <c r="DL758" s="824">
        <f t="shared" ca="1" si="589"/>
        <v>0</v>
      </c>
    </row>
    <row r="759" spans="2:116" ht="12" thickBot="1" x14ac:dyDescent="0.3">
      <c r="B759" s="1673"/>
      <c r="C759" s="1680"/>
      <c r="D759" s="15" t="s">
        <v>174</v>
      </c>
      <c r="E759" s="116"/>
      <c r="F759" s="116">
        <f ca="1">SUBTOTAL(109,'3.4 I&amp;W'!$X$100)</f>
        <v>0</v>
      </c>
      <c r="G759" s="116">
        <f ca="1">SUBTOTAL(109,'3.4 I&amp;W'!$Y$100)</f>
        <v>0</v>
      </c>
      <c r="H759" s="116">
        <f ca="1">SUBTOTAL(109,'3.4 I&amp;W'!$AD$100)</f>
        <v>0</v>
      </c>
      <c r="I759" s="116">
        <f ca="1">SUBTOTAL(109,'3.4 I&amp;W'!$AE$100)</f>
        <v>0</v>
      </c>
      <c r="J759" s="116"/>
      <c r="K759" s="116"/>
      <c r="L759" s="116"/>
      <c r="M759" s="116">
        <f ca="1">SUBTOTAL(109,'3.4 I&amp;W'!$AI$100)</f>
        <v>0</v>
      </c>
      <c r="N759" s="156">
        <f t="shared" ca="1" si="541"/>
        <v>0</v>
      </c>
      <c r="O759" s="116">
        <f ca="1">SUBTOTAL(109,'3.4 I&amp;W'!$S$100)</f>
        <v>0</v>
      </c>
      <c r="P759" s="30">
        <f t="shared" ca="1" si="581"/>
        <v>0</v>
      </c>
      <c r="Q759" s="31">
        <f t="shared" ca="1" si="582"/>
        <v>0</v>
      </c>
      <c r="R759" s="31">
        <f t="shared" ca="1" si="583"/>
        <v>0</v>
      </c>
      <c r="S759" s="31">
        <f t="shared" ca="1" si="584"/>
        <v>0</v>
      </c>
      <c r="T759" s="32">
        <f t="shared" ca="1" si="585"/>
        <v>0</v>
      </c>
      <c r="U759" s="37">
        <f t="shared" ca="1" si="542"/>
        <v>0</v>
      </c>
      <c r="V759" s="40">
        <f t="shared" ca="1" si="591"/>
        <v>0</v>
      </c>
      <c r="W759" s="41">
        <f t="shared" ca="1" si="592"/>
        <v>0</v>
      </c>
      <c r="X759" s="43"/>
      <c r="Y759" s="46"/>
      <c r="Z759" s="126"/>
      <c r="AA759" s="136"/>
      <c r="AB759" s="131">
        <v>32</v>
      </c>
      <c r="AC759" s="168">
        <f ca="1">IF(AF758&lt;=1,0,'3.4 Fi&amp;Fo'!$I$25)</f>
        <v>47266.884954954228</v>
      </c>
      <c r="AD759" s="169">
        <f ca="1">IF(AF758&lt;=1,0,AF758*'3.4 Fi&amp;Fo'!$H$25)</f>
        <v>3599.5894867983188</v>
      </c>
      <c r="AE759" s="169">
        <f t="shared" ca="1" si="545"/>
        <v>43667.295468155906</v>
      </c>
      <c r="AF759" s="170">
        <f t="shared" ca="1" si="546"/>
        <v>136312.17887176003</v>
      </c>
      <c r="AG759" s="168">
        <f>IF(AJ758&lt;=1,0,IF(AB759&lt;='3.4 Fi&amp;Fo'!$F$34,'3.4 Fi&amp;Fo'!$J$34,IF(AB759&lt;='3.4 Fi&amp;Fo'!$F$35,'3.4 Fi&amp;Fo'!$J$35,IF(AB759&lt;='3.4 Fi&amp;Fo'!$F$36,'3.4 Fi&amp;Fo'!$J$36,IF(AB759&lt;='3.4 Fi&amp;Fo'!$F$37,'3.4 Fi&amp;Fo'!$J$37,IF(AB759&lt;='3.4 Fi&amp;Fo'!$F$38,'3.4 Fi&amp;Fo'!$J$38,IF(AB759&lt;='3.4 Fi&amp;Fo'!$F$39,'3.4 Fi&amp;Fo'!$J$39,IF(AB759&lt;='3.4 Fi&amp;Fo'!$F$40,'3.4 Fi&amp;Fo'!$J$40))))))))</f>
        <v>119087.24200000001</v>
      </c>
      <c r="AH759" s="203">
        <f>IF(AJ758&lt;=1,0,AJ758*IF(AB759&lt;='3.4 Fi&amp;Fo'!$F$34,'3.4 Fi&amp;Fo'!$I$34,IF(AB759&lt;='3.4 Fi&amp;Fo'!$F$35,'3.4 Fi&amp;Fo'!$I$35,IF(AB759&lt;='3.4 Fi&amp;Fo'!$F$38,'3.4 Fi&amp;Fo'!$I$38,IF(AB759&lt;='3.4 Fi&amp;Fo'!$F$39,'3.4 Fi&amp;Fo'!$I$39,IF(AB759&lt;='3.4 Fi&amp;Fo'!$F$40,'3.4 Fi&amp;Fo'!$I$40))))))</f>
        <v>163753.68574647594</v>
      </c>
      <c r="AI759" s="203">
        <f t="shared" si="547"/>
        <v>-44666.443746475925</v>
      </c>
      <c r="AJ759" s="204">
        <f t="shared" si="548"/>
        <v>2563953.9167691828</v>
      </c>
      <c r="AK759" s="312">
        <f t="shared" ca="1" si="549"/>
        <v>-207541.81959858432</v>
      </c>
      <c r="AL759" s="169">
        <f>IF(AB759&lt;='3.4 Fi&amp;Fo'!$J$15,'3.4 Fi&amp;Fo'!$I$15,0)</f>
        <v>0</v>
      </c>
      <c r="AM759" s="169">
        <f t="shared" si="561"/>
        <v>41187.692643630086</v>
      </c>
      <c r="AN759" s="838">
        <f t="shared" si="566"/>
        <v>32</v>
      </c>
      <c r="AO759" s="844">
        <f t="shared" ca="1" si="550"/>
        <v>207541.81959858432</v>
      </c>
      <c r="AP759" s="839">
        <f ca="1">CT832</f>
        <v>0</v>
      </c>
      <c r="AQ759" s="844">
        <f t="shared" si="551"/>
        <v>0</v>
      </c>
      <c r="AR759" s="839">
        <f t="shared" ca="1" si="567"/>
        <v>0</v>
      </c>
      <c r="AS759" s="839">
        <f t="shared" ca="1" si="562"/>
        <v>12251.920178553741</v>
      </c>
      <c r="AT759" s="839">
        <f t="shared" ca="1" si="563"/>
        <v>19728.186342351742</v>
      </c>
      <c r="AU759" s="839">
        <f ca="1">'PV-Einspeisung'!AA240*-1</f>
        <v>0</v>
      </c>
      <c r="AV759" s="839">
        <f ca="1">'PV-Einspeisung'!AE240*-1</f>
        <v>0</v>
      </c>
      <c r="AW759" s="839"/>
      <c r="AX759" s="839">
        <f t="shared" ca="1" si="568"/>
        <v>0</v>
      </c>
      <c r="AY759" s="841">
        <f t="shared" si="552"/>
        <v>32</v>
      </c>
      <c r="AZ759" s="842">
        <f t="shared" ca="1" si="569"/>
        <v>0</v>
      </c>
      <c r="BA759" s="842">
        <f t="shared" ca="1" si="570"/>
        <v>0</v>
      </c>
      <c r="BB759" s="842">
        <f t="shared" ca="1" si="571"/>
        <v>0</v>
      </c>
      <c r="BC759" s="842">
        <f t="shared" ca="1" si="572"/>
        <v>0</v>
      </c>
      <c r="BD759" s="842">
        <f t="shared" ca="1" si="573"/>
        <v>0</v>
      </c>
      <c r="BE759" s="842">
        <f t="shared" ca="1" si="574"/>
        <v>0</v>
      </c>
      <c r="BF759" s="842">
        <f t="shared" ca="1" si="575"/>
        <v>13881.761887949677</v>
      </c>
      <c r="BG759" s="842">
        <f t="shared" ca="1" si="576"/>
        <v>5846.4244544020639</v>
      </c>
      <c r="BH759" s="858">
        <f t="shared" si="560"/>
        <v>32</v>
      </c>
      <c r="BI759" s="857">
        <f t="shared" ca="1" si="577"/>
        <v>4901.2260687847529</v>
      </c>
      <c r="BJ759" s="857">
        <f t="shared" ca="1" si="578"/>
        <v>7350.6941097689887</v>
      </c>
      <c r="BK759" s="859">
        <f ca="1">'PV-Einspeisung'!AB240*-1</f>
        <v>0</v>
      </c>
      <c r="BL759" s="824">
        <f t="shared" ca="1" si="593"/>
        <v>0</v>
      </c>
      <c r="BM759" s="824">
        <f t="shared" ca="1" si="594"/>
        <v>0</v>
      </c>
      <c r="BN759" s="824">
        <f t="shared" ca="1" si="595"/>
        <v>0</v>
      </c>
      <c r="BO759" s="824">
        <f t="shared" ca="1" si="597"/>
        <v>0</v>
      </c>
      <c r="BP759" s="824">
        <f t="shared" ca="1" si="597"/>
        <v>0</v>
      </c>
      <c r="BQ759" s="824">
        <f t="shared" ca="1" si="597"/>
        <v>0</v>
      </c>
      <c r="BR759" s="824">
        <f t="shared" ca="1" si="597"/>
        <v>0</v>
      </c>
      <c r="BS759" s="824">
        <f t="shared" ca="1" si="597"/>
        <v>0</v>
      </c>
      <c r="BT759" s="824">
        <f t="shared" ca="1" si="597"/>
        <v>0</v>
      </c>
      <c r="BU759" s="824">
        <f t="shared" ca="1" si="597"/>
        <v>0</v>
      </c>
      <c r="BV759" s="824">
        <f t="shared" ca="1" si="597"/>
        <v>0</v>
      </c>
      <c r="BW759" s="824">
        <f t="shared" ca="1" si="597"/>
        <v>0</v>
      </c>
      <c r="BX759" s="824">
        <f t="shared" ca="1" si="597"/>
        <v>0</v>
      </c>
      <c r="BY759" s="824">
        <f t="shared" ca="1" si="597"/>
        <v>0</v>
      </c>
      <c r="BZ759" s="824">
        <f t="shared" ca="1" si="597"/>
        <v>0</v>
      </c>
      <c r="CA759" s="824">
        <f t="shared" ca="1" si="597"/>
        <v>0</v>
      </c>
      <c r="CB759" s="824">
        <f t="shared" ca="1" si="597"/>
        <v>0</v>
      </c>
      <c r="CC759" s="824">
        <f t="shared" ca="1" si="597"/>
        <v>0</v>
      </c>
      <c r="CD759" s="824">
        <f t="shared" ca="1" si="597"/>
        <v>0</v>
      </c>
      <c r="CE759" s="824">
        <f t="shared" ca="1" si="596"/>
        <v>0</v>
      </c>
      <c r="CF759" s="824">
        <f t="shared" ca="1" si="596"/>
        <v>0</v>
      </c>
      <c r="CG759" s="824">
        <f t="shared" ca="1" si="596"/>
        <v>0</v>
      </c>
      <c r="CH759" s="824">
        <f t="shared" ca="1" si="596"/>
        <v>0</v>
      </c>
      <c r="CI759" s="824">
        <f t="shared" ca="1" si="596"/>
        <v>0</v>
      </c>
      <c r="CJ759" s="824">
        <f t="shared" ca="1" si="596"/>
        <v>0</v>
      </c>
      <c r="CK759" s="824">
        <f t="shared" ca="1" si="596"/>
        <v>0</v>
      </c>
      <c r="CL759" s="824">
        <f t="shared" ca="1" si="596"/>
        <v>0</v>
      </c>
      <c r="CM759" s="824">
        <f t="shared" ca="1" si="596"/>
        <v>0</v>
      </c>
      <c r="CN759" s="824">
        <f t="shared" ca="1" si="596"/>
        <v>0</v>
      </c>
      <c r="CO759" s="824">
        <f t="shared" ca="1" si="596"/>
        <v>0</v>
      </c>
      <c r="CP759" s="824">
        <f t="shared" ca="1" si="596"/>
        <v>0</v>
      </c>
      <c r="CQ759" s="824">
        <f t="shared" ca="1" si="596"/>
        <v>0</v>
      </c>
      <c r="CR759" s="824">
        <f t="shared" ca="1" si="596"/>
        <v>0</v>
      </c>
      <c r="CS759" s="824">
        <f t="shared" ca="1" si="596"/>
        <v>0</v>
      </c>
      <c r="CT759" s="824">
        <f t="shared" ca="1" si="587"/>
        <v>0</v>
      </c>
      <c r="CU759" s="824">
        <f t="shared" ca="1" si="587"/>
        <v>0</v>
      </c>
      <c r="CV759" s="824">
        <f t="shared" ca="1" si="587"/>
        <v>0</v>
      </c>
      <c r="CW759" s="824">
        <f t="shared" ca="1" si="587"/>
        <v>0</v>
      </c>
      <c r="CX759" s="824">
        <f t="shared" ca="1" si="587"/>
        <v>0</v>
      </c>
      <c r="CY759" s="824">
        <f t="shared" ca="1" si="587"/>
        <v>0</v>
      </c>
      <c r="CZ759" s="824">
        <f t="shared" ca="1" si="587"/>
        <v>0</v>
      </c>
      <c r="DA759" s="824">
        <f t="shared" ca="1" si="587"/>
        <v>0</v>
      </c>
      <c r="DB759" s="824">
        <f t="shared" ca="1" si="587"/>
        <v>0</v>
      </c>
      <c r="DC759" s="824">
        <f t="shared" ca="1" si="587"/>
        <v>0</v>
      </c>
      <c r="DD759" s="824">
        <f t="shared" ca="1" si="587"/>
        <v>0</v>
      </c>
      <c r="DE759" s="824">
        <f t="shared" ca="1" si="587"/>
        <v>0</v>
      </c>
      <c r="DF759" s="824">
        <f t="shared" ca="1" si="587"/>
        <v>0</v>
      </c>
      <c r="DG759" s="824">
        <f t="shared" ca="1" si="590"/>
        <v>0</v>
      </c>
      <c r="DH759" s="824">
        <f t="shared" ca="1" si="590"/>
        <v>0</v>
      </c>
      <c r="DI759" s="824">
        <f t="shared" ca="1" si="590"/>
        <v>0</v>
      </c>
      <c r="DJ759" s="824">
        <f t="shared" ca="1" si="590"/>
        <v>0</v>
      </c>
      <c r="DK759" s="824">
        <f t="shared" ca="1" si="589"/>
        <v>0</v>
      </c>
      <c r="DL759" s="824">
        <f t="shared" ca="1" si="589"/>
        <v>0</v>
      </c>
    </row>
    <row r="760" spans="2:116" ht="12" thickBot="1" x14ac:dyDescent="0.3">
      <c r="B760" s="1673"/>
      <c r="C760" s="1680"/>
      <c r="D760" s="15" t="s">
        <v>174</v>
      </c>
      <c r="E760" s="165"/>
      <c r="F760" s="116">
        <f ca="1">SUBTOTAL(109,'3.4 I&amp;W'!$X$101)</f>
        <v>0</v>
      </c>
      <c r="G760" s="116">
        <f ca="1">SUBTOTAL(109,'3.4 I&amp;W'!$Y$101)</f>
        <v>0</v>
      </c>
      <c r="H760" s="116">
        <f ca="1">SUBTOTAL(109,'3.4 I&amp;W'!$AD$101)</f>
        <v>0</v>
      </c>
      <c r="I760" s="116">
        <f ca="1">SUBTOTAL(109,'3.4 I&amp;W'!$AE$101)</f>
        <v>0</v>
      </c>
      <c r="J760" s="116"/>
      <c r="K760" s="116"/>
      <c r="L760" s="116"/>
      <c r="M760" s="116">
        <f ca="1">SUBTOTAL(109,'3.4 I&amp;W'!$AI$101)</f>
        <v>0</v>
      </c>
      <c r="N760" s="156">
        <f t="shared" ca="1" si="541"/>
        <v>0</v>
      </c>
      <c r="O760" s="116">
        <f ca="1">SUBTOTAL(109,'3.4 I&amp;W'!$S$101)</f>
        <v>0</v>
      </c>
      <c r="P760" s="30">
        <f t="shared" ca="1" si="581"/>
        <v>0</v>
      </c>
      <c r="Q760" s="31">
        <f t="shared" ca="1" si="582"/>
        <v>0</v>
      </c>
      <c r="R760" s="31">
        <f t="shared" ca="1" si="583"/>
        <v>0</v>
      </c>
      <c r="S760" s="31">
        <f t="shared" ca="1" si="584"/>
        <v>0</v>
      </c>
      <c r="T760" s="32">
        <f t="shared" ca="1" si="585"/>
        <v>0</v>
      </c>
      <c r="U760" s="37">
        <f t="shared" ca="1" si="542"/>
        <v>0</v>
      </c>
      <c r="V760" s="40">
        <f t="shared" ca="1" si="591"/>
        <v>0</v>
      </c>
      <c r="W760" s="41">
        <f t="shared" ca="1" si="592"/>
        <v>0</v>
      </c>
      <c r="X760" s="43"/>
      <c r="Y760" s="46"/>
      <c r="Z760" s="126"/>
      <c r="AA760" s="136"/>
      <c r="AB760" s="131">
        <v>33</v>
      </c>
      <c r="AC760" s="168">
        <f ca="1">IF(AF759&lt;=1,0,'3.4 Fi&amp;Fo'!$I$25)</f>
        <v>47266.884954954228</v>
      </c>
      <c r="AD760" s="169">
        <f ca="1">IF(AF759&lt;=1,0,AF759*'3.4 Fi&amp;Fo'!$H$25)</f>
        <v>2726.2435774352007</v>
      </c>
      <c r="AE760" s="169">
        <f t="shared" ca="1" si="545"/>
        <v>44540.64137751903</v>
      </c>
      <c r="AF760" s="170">
        <f t="shared" ca="1" si="546"/>
        <v>91771.537494240998</v>
      </c>
      <c r="AG760" s="168">
        <f>IF(AJ759&lt;=1,0,IF(AB760&lt;='3.4 Fi&amp;Fo'!$F$34,'3.4 Fi&amp;Fo'!$J$34,IF(AB760&lt;='3.4 Fi&amp;Fo'!$F$35,'3.4 Fi&amp;Fo'!$J$35,IF(AB760&lt;='3.4 Fi&amp;Fo'!$F$36,'3.4 Fi&amp;Fo'!$J$36,IF(AB760&lt;='3.4 Fi&amp;Fo'!$F$37,'3.4 Fi&amp;Fo'!$J$37,IF(AB760&lt;='3.4 Fi&amp;Fo'!$F$38,'3.4 Fi&amp;Fo'!$J$38,IF(AB760&lt;='3.4 Fi&amp;Fo'!$F$39,'3.4 Fi&amp;Fo'!$J$39,IF(AB760&lt;='3.4 Fi&amp;Fo'!$F$40,'3.4 Fi&amp;Fo'!$J$40))))))))</f>
        <v>119087.24200000001</v>
      </c>
      <c r="AH760" s="203">
        <f>IF(AJ759&lt;=1,0,AJ759*IF(AB760&lt;='3.4 Fi&amp;Fo'!$F$34,'3.4 Fi&amp;Fo'!$I$34,IF(AB760&lt;='3.4 Fi&amp;Fo'!$F$35,'3.4 Fi&amp;Fo'!$I$35,IF(AB760&lt;='3.4 Fi&amp;Fo'!$F$38,'3.4 Fi&amp;Fo'!$I$38,IF(AB760&lt;='3.4 Fi&amp;Fo'!$F$39,'3.4 Fi&amp;Fo'!$I$39,IF(AB760&lt;='3.4 Fi&amp;Fo'!$F$40,'3.4 Fi&amp;Fo'!$I$40))))))</f>
        <v>166657.00458999688</v>
      </c>
      <c r="AI760" s="203">
        <f t="shared" ref="AI760:AI777" si="598">AG760-AH760</f>
        <v>-47569.76258999687</v>
      </c>
      <c r="AJ760" s="204">
        <f t="shared" si="548"/>
        <v>2611523.6793591795</v>
      </c>
      <c r="AK760" s="312">
        <f t="shared" ref="AK760:AK777" ca="1" si="599">-AC760-AG760+AL760-AM760</f>
        <v>-208365.57345145673</v>
      </c>
      <c r="AL760" s="169">
        <f>IF(AB760&lt;='3.4 Fi&amp;Fo'!$J$15,'3.4 Fi&amp;Fo'!$I$15,0)</f>
        <v>0</v>
      </c>
      <c r="AM760" s="169">
        <f t="shared" si="561"/>
        <v>42011.446496502496</v>
      </c>
      <c r="AN760" s="838">
        <f t="shared" si="566"/>
        <v>33</v>
      </c>
      <c r="AO760" s="844">
        <f t="shared" ca="1" si="550"/>
        <v>208365.57345145673</v>
      </c>
      <c r="AP760" s="839">
        <f ca="1">CU832</f>
        <v>0</v>
      </c>
      <c r="AQ760" s="844">
        <f t="shared" si="551"/>
        <v>0</v>
      </c>
      <c r="AR760" s="839">
        <f t="shared" ca="1" si="567"/>
        <v>0</v>
      </c>
      <c r="AS760" s="839">
        <f t="shared" ca="1" si="562"/>
        <v>12447.950901410601</v>
      </c>
      <c r="AT760" s="839">
        <f t="shared" ca="1" si="563"/>
        <v>20279.855245454553</v>
      </c>
      <c r="AU760" s="839">
        <f ca="1">'PV-Einspeisung'!AA241*-1</f>
        <v>0</v>
      </c>
      <c r="AV760" s="839">
        <f ca="1">'PV-Einspeisung'!AE241*-1</f>
        <v>0</v>
      </c>
      <c r="AW760" s="839"/>
      <c r="AX760" s="839">
        <f t="shared" ca="1" si="568"/>
        <v>0</v>
      </c>
      <c r="AY760" s="841">
        <f t="shared" si="552"/>
        <v>33</v>
      </c>
      <c r="AZ760" s="842">
        <f t="shared" ca="1" si="569"/>
        <v>0</v>
      </c>
      <c r="BA760" s="842">
        <f t="shared" ca="1" si="570"/>
        <v>0</v>
      </c>
      <c r="BB760" s="842">
        <f t="shared" ca="1" si="571"/>
        <v>0</v>
      </c>
      <c r="BC760" s="842">
        <f t="shared" ca="1" si="572"/>
        <v>0</v>
      </c>
      <c r="BD760" s="842">
        <f t="shared" ca="1" si="573"/>
        <v>0</v>
      </c>
      <c r="BE760" s="842">
        <f t="shared" ca="1" si="574"/>
        <v>0</v>
      </c>
      <c r="BF760" s="842">
        <f t="shared" ca="1" si="575"/>
        <v>14228.805935148417</v>
      </c>
      <c r="BG760" s="842">
        <f t="shared" ca="1" si="576"/>
        <v>6051.0493103061353</v>
      </c>
      <c r="BH760" s="858">
        <f t="shared" si="560"/>
        <v>33</v>
      </c>
      <c r="BI760" s="857">
        <f t="shared" ca="1" si="577"/>
        <v>4979.6456858853089</v>
      </c>
      <c r="BJ760" s="857">
        <f t="shared" ca="1" si="578"/>
        <v>7468.3052155252926</v>
      </c>
      <c r="BK760" s="859">
        <f ca="1">'PV-Einspeisung'!AB241*-1</f>
        <v>0</v>
      </c>
      <c r="BL760" s="824">
        <f t="shared" ca="1" si="593"/>
        <v>0</v>
      </c>
      <c r="BM760" s="824">
        <f t="shared" ca="1" si="594"/>
        <v>0</v>
      </c>
      <c r="BN760" s="824">
        <f t="shared" ca="1" si="595"/>
        <v>0</v>
      </c>
      <c r="BO760" s="824">
        <f t="shared" ca="1" si="597"/>
        <v>0</v>
      </c>
      <c r="BP760" s="824">
        <f t="shared" ca="1" si="597"/>
        <v>0</v>
      </c>
      <c r="BQ760" s="824">
        <f t="shared" ca="1" si="597"/>
        <v>0</v>
      </c>
      <c r="BR760" s="824">
        <f t="shared" ca="1" si="597"/>
        <v>0</v>
      </c>
      <c r="BS760" s="824">
        <f t="shared" ca="1" si="597"/>
        <v>0</v>
      </c>
      <c r="BT760" s="824">
        <f t="shared" ca="1" si="597"/>
        <v>0</v>
      </c>
      <c r="BU760" s="824">
        <f t="shared" ca="1" si="597"/>
        <v>0</v>
      </c>
      <c r="BV760" s="824">
        <f t="shared" ca="1" si="597"/>
        <v>0</v>
      </c>
      <c r="BW760" s="824">
        <f t="shared" ca="1" si="597"/>
        <v>0</v>
      </c>
      <c r="BX760" s="824">
        <f t="shared" ca="1" si="597"/>
        <v>0</v>
      </c>
      <c r="BY760" s="824">
        <f t="shared" ca="1" si="597"/>
        <v>0</v>
      </c>
      <c r="BZ760" s="824">
        <f t="shared" ca="1" si="597"/>
        <v>0</v>
      </c>
      <c r="CA760" s="824">
        <f t="shared" ca="1" si="597"/>
        <v>0</v>
      </c>
      <c r="CB760" s="824">
        <f t="shared" ca="1" si="597"/>
        <v>0</v>
      </c>
      <c r="CC760" s="824">
        <f t="shared" ca="1" si="597"/>
        <v>0</v>
      </c>
      <c r="CD760" s="824">
        <f t="shared" ca="1" si="597"/>
        <v>0</v>
      </c>
      <c r="CE760" s="824">
        <f t="shared" ca="1" si="596"/>
        <v>0</v>
      </c>
      <c r="CF760" s="824">
        <f t="shared" ca="1" si="596"/>
        <v>0</v>
      </c>
      <c r="CG760" s="824">
        <f t="shared" ca="1" si="596"/>
        <v>0</v>
      </c>
      <c r="CH760" s="824">
        <f t="shared" ca="1" si="596"/>
        <v>0</v>
      </c>
      <c r="CI760" s="824">
        <f t="shared" ca="1" si="596"/>
        <v>0</v>
      </c>
      <c r="CJ760" s="824">
        <f t="shared" ca="1" si="596"/>
        <v>0</v>
      </c>
      <c r="CK760" s="824">
        <f t="shared" ca="1" si="596"/>
        <v>0</v>
      </c>
      <c r="CL760" s="824">
        <f t="shared" ca="1" si="596"/>
        <v>0</v>
      </c>
      <c r="CM760" s="824">
        <f t="shared" ca="1" si="596"/>
        <v>0</v>
      </c>
      <c r="CN760" s="824">
        <f t="shared" ca="1" si="596"/>
        <v>0</v>
      </c>
      <c r="CO760" s="824">
        <f t="shared" ca="1" si="596"/>
        <v>0</v>
      </c>
      <c r="CP760" s="824">
        <f t="shared" ca="1" si="596"/>
        <v>0</v>
      </c>
      <c r="CQ760" s="824">
        <f t="shared" ca="1" si="596"/>
        <v>0</v>
      </c>
      <c r="CR760" s="824">
        <f t="shared" ca="1" si="596"/>
        <v>0</v>
      </c>
      <c r="CS760" s="824">
        <f t="shared" ca="1" si="596"/>
        <v>0</v>
      </c>
      <c r="CT760" s="824">
        <f t="shared" ca="1" si="587"/>
        <v>0</v>
      </c>
      <c r="CU760" s="824">
        <f t="shared" ca="1" si="587"/>
        <v>0</v>
      </c>
      <c r="CV760" s="824">
        <f t="shared" ca="1" si="587"/>
        <v>0</v>
      </c>
      <c r="CW760" s="824">
        <f t="shared" ca="1" si="587"/>
        <v>0</v>
      </c>
      <c r="CX760" s="824">
        <f t="shared" ca="1" si="587"/>
        <v>0</v>
      </c>
      <c r="CY760" s="824">
        <f t="shared" ca="1" si="587"/>
        <v>0</v>
      </c>
      <c r="CZ760" s="824">
        <f t="shared" ca="1" si="587"/>
        <v>0</v>
      </c>
      <c r="DA760" s="824">
        <f t="shared" ca="1" si="587"/>
        <v>0</v>
      </c>
      <c r="DB760" s="824">
        <f t="shared" ca="1" si="587"/>
        <v>0</v>
      </c>
      <c r="DC760" s="824">
        <f t="shared" ca="1" si="587"/>
        <v>0</v>
      </c>
      <c r="DD760" s="824">
        <f t="shared" ca="1" si="587"/>
        <v>0</v>
      </c>
      <c r="DE760" s="824">
        <f t="shared" ca="1" si="587"/>
        <v>0</v>
      </c>
      <c r="DF760" s="824">
        <f t="shared" ca="1" si="587"/>
        <v>0</v>
      </c>
      <c r="DG760" s="824">
        <f t="shared" ca="1" si="590"/>
        <v>0</v>
      </c>
      <c r="DH760" s="824">
        <f t="shared" ca="1" si="590"/>
        <v>0</v>
      </c>
      <c r="DI760" s="824">
        <f t="shared" ca="1" si="590"/>
        <v>0</v>
      </c>
      <c r="DJ760" s="824">
        <f t="shared" ca="1" si="590"/>
        <v>0</v>
      </c>
      <c r="DK760" s="824">
        <f t="shared" ca="1" si="589"/>
        <v>0</v>
      </c>
      <c r="DL760" s="824">
        <f t="shared" ca="1" si="589"/>
        <v>0</v>
      </c>
    </row>
    <row r="761" spans="2:116" ht="12" thickBot="1" x14ac:dyDescent="0.3">
      <c r="B761" s="1673"/>
      <c r="C761" s="1680"/>
      <c r="D761" s="15" t="s">
        <v>264</v>
      </c>
      <c r="E761" s="116"/>
      <c r="F761" s="116">
        <f ca="1">SUBTOTAL(109,'3.4 I&amp;W'!$X$104)</f>
        <v>0</v>
      </c>
      <c r="G761" s="116">
        <f ca="1">SUBTOTAL(109,'3.4 I&amp;W'!$Y$104)</f>
        <v>0</v>
      </c>
      <c r="H761" s="116">
        <f ca="1">SUBTOTAL(109,'3.4 I&amp;W'!$AD$104)</f>
        <v>0</v>
      </c>
      <c r="I761" s="116">
        <f ca="1">SUBTOTAL(109,'3.4 I&amp;W'!$AE$104)</f>
        <v>0</v>
      </c>
      <c r="J761" s="116"/>
      <c r="K761" s="116"/>
      <c r="L761" s="116"/>
      <c r="M761" s="116">
        <f ca="1">SUBTOTAL(109,'3.4 I&amp;W'!$AI$104)</f>
        <v>50</v>
      </c>
      <c r="N761" s="156">
        <f t="shared" ca="1" si="541"/>
        <v>0</v>
      </c>
      <c r="O761" s="116">
        <f ca="1">SUBTOTAL(109,'3.4 I&amp;W'!$S$104)</f>
        <v>141152.4</v>
      </c>
      <c r="P761" s="30">
        <f t="shared" ca="1" si="581"/>
        <v>0</v>
      </c>
      <c r="Q761" s="31">
        <f t="shared" ca="1" si="582"/>
        <v>0</v>
      </c>
      <c r="R761" s="31">
        <f t="shared" ca="1" si="583"/>
        <v>0</v>
      </c>
      <c r="S761" s="31">
        <f t="shared" ca="1" si="584"/>
        <v>0</v>
      </c>
      <c r="T761" s="32">
        <f t="shared" ca="1" si="585"/>
        <v>0</v>
      </c>
      <c r="U761" s="37">
        <f t="shared" ca="1" si="542"/>
        <v>21174.029307581066</v>
      </c>
      <c r="V761" s="40">
        <f t="shared" ca="1" si="591"/>
        <v>0</v>
      </c>
      <c r="W761" s="41">
        <f t="shared" ca="1" si="592"/>
        <v>0</v>
      </c>
      <c r="X761" s="43"/>
      <c r="Y761" s="46"/>
      <c r="Z761" s="126"/>
      <c r="AA761" s="136"/>
      <c r="AB761" s="131">
        <v>34</v>
      </c>
      <c r="AC761" s="168">
        <f ca="1">IF(AF760&lt;=1,0,'3.4 Fi&amp;Fo'!$I$25)</f>
        <v>47266.884954954228</v>
      </c>
      <c r="AD761" s="169">
        <f ca="1">IF(AF760&lt;=1,0,AF760*'3.4 Fi&amp;Fo'!$H$25)</f>
        <v>1835.43074988482</v>
      </c>
      <c r="AE761" s="169">
        <f t="shared" ca="1" si="545"/>
        <v>45431.454205069407</v>
      </c>
      <c r="AF761" s="170">
        <f t="shared" ca="1" si="546"/>
        <v>46340.083289171591</v>
      </c>
      <c r="AG761" s="168">
        <f>IF(AJ760&lt;=1,0,IF(AB761&lt;='3.4 Fi&amp;Fo'!$F$34,'3.4 Fi&amp;Fo'!$J$34,IF(AB761&lt;='3.4 Fi&amp;Fo'!$F$35,'3.4 Fi&amp;Fo'!$J$35,IF(AB761&lt;='3.4 Fi&amp;Fo'!$F$36,'3.4 Fi&amp;Fo'!$J$36,IF(AB761&lt;='3.4 Fi&amp;Fo'!$F$37,'3.4 Fi&amp;Fo'!$J$37,IF(AB761&lt;='3.4 Fi&amp;Fo'!$F$38,'3.4 Fi&amp;Fo'!$J$38,IF(AB761&lt;='3.4 Fi&amp;Fo'!$F$39,'3.4 Fi&amp;Fo'!$J$39,IF(AB761&lt;='3.4 Fi&amp;Fo'!$F$40,'3.4 Fi&amp;Fo'!$J$40))))))))</f>
        <v>119087.24200000001</v>
      </c>
      <c r="AH761" s="203">
        <f>IF(AJ760&lt;=1,0,AJ760*IF(AB761&lt;='3.4 Fi&amp;Fo'!$F$34,'3.4 Fi&amp;Fo'!$I$34,IF(AB761&lt;='3.4 Fi&amp;Fo'!$F$35,'3.4 Fi&amp;Fo'!$I$35,IF(AB761&lt;='3.4 Fi&amp;Fo'!$F$38,'3.4 Fi&amp;Fo'!$I$38,IF(AB761&lt;='3.4 Fi&amp;Fo'!$F$39,'3.4 Fi&amp;Fo'!$I$39,IF(AB761&lt;='3.4 Fi&amp;Fo'!$F$40,'3.4 Fi&amp;Fo'!$I$40))))))</f>
        <v>169749.03915834668</v>
      </c>
      <c r="AI761" s="203">
        <f t="shared" si="598"/>
        <v>-50661.797158346671</v>
      </c>
      <c r="AJ761" s="204">
        <f t="shared" si="548"/>
        <v>2662185.476517526</v>
      </c>
      <c r="AK761" s="312">
        <f t="shared" ca="1" si="599"/>
        <v>-209205.80238138617</v>
      </c>
      <c r="AL761" s="169">
        <f>IF(AB761&lt;='3.4 Fi&amp;Fo'!$J$15,'3.4 Fi&amp;Fo'!$I$15,0)</f>
        <v>0</v>
      </c>
      <c r="AM761" s="169">
        <f t="shared" si="561"/>
        <v>42851.675426431932</v>
      </c>
      <c r="AN761" s="838">
        <f t="shared" si="566"/>
        <v>34</v>
      </c>
      <c r="AO761" s="844">
        <f t="shared" ca="1" si="550"/>
        <v>209205.80238138617</v>
      </c>
      <c r="AP761" s="839">
        <f ca="1">CV832</f>
        <v>0</v>
      </c>
      <c r="AQ761" s="844">
        <f t="shared" si="551"/>
        <v>0</v>
      </c>
      <c r="AR761" s="839">
        <f t="shared" ca="1" si="567"/>
        <v>0</v>
      </c>
      <c r="AS761" s="839">
        <f t="shared" ca="1" si="562"/>
        <v>12647.118115833171</v>
      </c>
      <c r="AT761" s="839">
        <f t="shared" ca="1" si="563"/>
        <v>20847.362119693975</v>
      </c>
      <c r="AU761" s="839">
        <f ca="1">'PV-Einspeisung'!AA242*-1</f>
        <v>0</v>
      </c>
      <c r="AV761" s="839">
        <f ca="1">'PV-Einspeisung'!AE242*-1</f>
        <v>0</v>
      </c>
      <c r="AW761" s="839"/>
      <c r="AX761" s="839">
        <f t="shared" ca="1" si="568"/>
        <v>0</v>
      </c>
      <c r="AY761" s="841">
        <f t="shared" si="552"/>
        <v>34</v>
      </c>
      <c r="AZ761" s="842">
        <f t="shared" ca="1" si="569"/>
        <v>0</v>
      </c>
      <c r="BA761" s="842">
        <f t="shared" ca="1" si="570"/>
        <v>0</v>
      </c>
      <c r="BB761" s="842">
        <f t="shared" ca="1" si="571"/>
        <v>0</v>
      </c>
      <c r="BC761" s="842">
        <f t="shared" ca="1" si="572"/>
        <v>0</v>
      </c>
      <c r="BD761" s="842">
        <f t="shared" ca="1" si="573"/>
        <v>0</v>
      </c>
      <c r="BE761" s="842">
        <f t="shared" ca="1" si="574"/>
        <v>0</v>
      </c>
      <c r="BF761" s="842">
        <f t="shared" ca="1" si="575"/>
        <v>14584.526083527126</v>
      </c>
      <c r="BG761" s="842">
        <f t="shared" ca="1" si="576"/>
        <v>6262.8360361668492</v>
      </c>
      <c r="BH761" s="858">
        <f t="shared" si="560"/>
        <v>34</v>
      </c>
      <c r="BI761" s="857">
        <f t="shared" ca="1" si="577"/>
        <v>5059.320016859474</v>
      </c>
      <c r="BJ761" s="857">
        <f t="shared" ca="1" si="578"/>
        <v>7587.7980989736971</v>
      </c>
      <c r="BK761" s="859">
        <f ca="1">'PV-Einspeisung'!AB242*-1</f>
        <v>0</v>
      </c>
      <c r="BL761" s="824">
        <f t="shared" ca="1" si="593"/>
        <v>50</v>
      </c>
      <c r="BM761" s="824">
        <f t="shared" ca="1" si="594"/>
        <v>0</v>
      </c>
      <c r="BN761" s="824">
        <f t="shared" ca="1" si="595"/>
        <v>141152.4</v>
      </c>
      <c r="BO761" s="824">
        <f t="shared" ca="1" si="597"/>
        <v>0</v>
      </c>
      <c r="BP761" s="824">
        <f t="shared" ca="1" si="597"/>
        <v>0</v>
      </c>
      <c r="BQ761" s="824">
        <f t="shared" ca="1" si="597"/>
        <v>0</v>
      </c>
      <c r="BR761" s="824">
        <f t="shared" ca="1" si="597"/>
        <v>0</v>
      </c>
      <c r="BS761" s="824">
        <f t="shared" ca="1" si="597"/>
        <v>0</v>
      </c>
      <c r="BT761" s="824">
        <f t="shared" ca="1" si="597"/>
        <v>0</v>
      </c>
      <c r="BU761" s="824">
        <f t="shared" ca="1" si="597"/>
        <v>0</v>
      </c>
      <c r="BV761" s="824">
        <f t="shared" ca="1" si="597"/>
        <v>0</v>
      </c>
      <c r="BW761" s="824">
        <f t="shared" ca="1" si="597"/>
        <v>0</v>
      </c>
      <c r="BX761" s="824">
        <f t="shared" ca="1" si="597"/>
        <v>0</v>
      </c>
      <c r="BY761" s="824">
        <f t="shared" ca="1" si="597"/>
        <v>0</v>
      </c>
      <c r="BZ761" s="824">
        <f t="shared" ca="1" si="597"/>
        <v>0</v>
      </c>
      <c r="CA761" s="824">
        <f t="shared" ca="1" si="597"/>
        <v>0</v>
      </c>
      <c r="CB761" s="824">
        <f t="shared" ca="1" si="597"/>
        <v>0</v>
      </c>
      <c r="CC761" s="824">
        <f t="shared" ca="1" si="597"/>
        <v>0</v>
      </c>
      <c r="CD761" s="824">
        <f t="shared" ca="1" si="597"/>
        <v>0</v>
      </c>
      <c r="CE761" s="824">
        <f t="shared" ca="1" si="596"/>
        <v>0</v>
      </c>
      <c r="CF761" s="824">
        <f t="shared" ca="1" si="596"/>
        <v>0</v>
      </c>
      <c r="CG761" s="824">
        <f t="shared" ca="1" si="596"/>
        <v>0</v>
      </c>
      <c r="CH761" s="824">
        <f t="shared" ca="1" si="596"/>
        <v>0</v>
      </c>
      <c r="CI761" s="824">
        <f t="shared" ca="1" si="596"/>
        <v>0</v>
      </c>
      <c r="CJ761" s="824">
        <f t="shared" ca="1" si="596"/>
        <v>0</v>
      </c>
      <c r="CK761" s="824">
        <f t="shared" ca="1" si="596"/>
        <v>0</v>
      </c>
      <c r="CL761" s="824">
        <f t="shared" ca="1" si="596"/>
        <v>0</v>
      </c>
      <c r="CM761" s="824">
        <f t="shared" ca="1" si="596"/>
        <v>0</v>
      </c>
      <c r="CN761" s="824">
        <f t="shared" ca="1" si="596"/>
        <v>0</v>
      </c>
      <c r="CO761" s="824">
        <f t="shared" ca="1" si="596"/>
        <v>0</v>
      </c>
      <c r="CP761" s="824">
        <f t="shared" ca="1" si="596"/>
        <v>0</v>
      </c>
      <c r="CQ761" s="824">
        <f t="shared" ca="1" si="596"/>
        <v>0</v>
      </c>
      <c r="CR761" s="824">
        <f t="shared" ca="1" si="596"/>
        <v>0</v>
      </c>
      <c r="CS761" s="824">
        <f t="shared" ca="1" si="596"/>
        <v>0</v>
      </c>
      <c r="CT761" s="824">
        <f t="shared" ca="1" si="587"/>
        <v>0</v>
      </c>
      <c r="CU761" s="824">
        <f t="shared" ca="1" si="587"/>
        <v>0</v>
      </c>
      <c r="CV761" s="824">
        <f t="shared" ca="1" si="587"/>
        <v>0</v>
      </c>
      <c r="CW761" s="824">
        <f t="shared" ca="1" si="587"/>
        <v>0</v>
      </c>
      <c r="CX761" s="824">
        <f t="shared" ca="1" si="587"/>
        <v>0</v>
      </c>
      <c r="CY761" s="824">
        <f t="shared" ca="1" si="587"/>
        <v>0</v>
      </c>
      <c r="CZ761" s="824">
        <f t="shared" ca="1" si="587"/>
        <v>0</v>
      </c>
      <c r="DA761" s="824">
        <f t="shared" ca="1" si="587"/>
        <v>0</v>
      </c>
      <c r="DB761" s="824">
        <f t="shared" ca="1" si="587"/>
        <v>0</v>
      </c>
      <c r="DC761" s="824">
        <f t="shared" ca="1" si="587"/>
        <v>0</v>
      </c>
      <c r="DD761" s="824">
        <f t="shared" ca="1" si="587"/>
        <v>0</v>
      </c>
      <c r="DE761" s="824">
        <f t="shared" ca="1" si="587"/>
        <v>0</v>
      </c>
      <c r="DF761" s="824">
        <f t="shared" ca="1" si="587"/>
        <v>0</v>
      </c>
      <c r="DG761" s="824">
        <f t="shared" ca="1" si="590"/>
        <v>0</v>
      </c>
      <c r="DH761" s="824">
        <f t="shared" ca="1" si="590"/>
        <v>0</v>
      </c>
      <c r="DI761" s="824">
        <f t="shared" ca="1" si="590"/>
        <v>0</v>
      </c>
      <c r="DJ761" s="824">
        <f t="shared" ca="1" si="590"/>
        <v>0</v>
      </c>
      <c r="DK761" s="824">
        <f t="shared" ca="1" si="589"/>
        <v>0</v>
      </c>
      <c r="DL761" s="824">
        <f t="shared" ca="1" si="589"/>
        <v>0</v>
      </c>
    </row>
    <row r="762" spans="2:116" ht="12" thickBot="1" x14ac:dyDescent="0.3">
      <c r="B762" s="1673"/>
      <c r="C762" s="1680"/>
      <c r="D762" s="15" t="s">
        <v>264</v>
      </c>
      <c r="E762" s="165"/>
      <c r="F762" s="116">
        <f ca="1">SUBTOTAL(109,'3.4 I&amp;W'!$X$105)</f>
        <v>0</v>
      </c>
      <c r="G762" s="116">
        <f ca="1">SUBTOTAL(109,'3.4 I&amp;W'!$Y$105)</f>
        <v>0</v>
      </c>
      <c r="H762" s="116">
        <f ca="1">SUBTOTAL(109,'3.4 I&amp;W'!$AD$105)</f>
        <v>0</v>
      </c>
      <c r="I762" s="116">
        <f ca="1">SUBTOTAL(109,'3.4 I&amp;W'!$AE$105)</f>
        <v>0</v>
      </c>
      <c r="J762" s="116"/>
      <c r="K762" s="116"/>
      <c r="L762" s="116"/>
      <c r="M762" s="116">
        <f ca="1">SUBTOTAL(109,'3.4 I&amp;W'!$AI$105)</f>
        <v>0</v>
      </c>
      <c r="N762" s="156">
        <f t="shared" ca="1" si="541"/>
        <v>0</v>
      </c>
      <c r="O762" s="116">
        <f ca="1">SUBTOTAL(109,'3.4 I&amp;W'!$S$105)</f>
        <v>0</v>
      </c>
      <c r="P762" s="30">
        <f t="shared" ca="1" si="581"/>
        <v>0</v>
      </c>
      <c r="Q762" s="31">
        <f t="shared" ca="1" si="582"/>
        <v>0</v>
      </c>
      <c r="R762" s="31">
        <f t="shared" ca="1" si="583"/>
        <v>0</v>
      </c>
      <c r="S762" s="31">
        <f t="shared" ca="1" si="584"/>
        <v>0</v>
      </c>
      <c r="T762" s="32">
        <f t="shared" ca="1" si="585"/>
        <v>0</v>
      </c>
      <c r="U762" s="37">
        <f t="shared" ca="1" si="542"/>
        <v>0</v>
      </c>
      <c r="V762" s="40">
        <f t="shared" ca="1" si="591"/>
        <v>0</v>
      </c>
      <c r="W762" s="41">
        <f t="shared" ca="1" si="592"/>
        <v>0</v>
      </c>
      <c r="X762" s="43"/>
      <c r="Y762" s="46"/>
      <c r="Z762" s="126"/>
      <c r="AA762" s="136"/>
      <c r="AB762" s="131">
        <v>35</v>
      </c>
      <c r="AC762" s="168">
        <f ca="1">IF(AF761&lt;=1,0,'3.4 Fi&amp;Fo'!$I$25)</f>
        <v>47266.884954954228</v>
      </c>
      <c r="AD762" s="169">
        <f ca="1">IF(AF761&lt;=1,0,AF761*'3.4 Fi&amp;Fo'!$H$25)</f>
        <v>926.80166578343187</v>
      </c>
      <c r="AE762" s="169">
        <f t="shared" ca="1" si="545"/>
        <v>46340.083289170798</v>
      </c>
      <c r="AF762" s="170">
        <f t="shared" ca="1" si="546"/>
        <v>7.9307937994599342E-10</v>
      </c>
      <c r="AG762" s="168">
        <f>IF(AJ761&lt;=1,0,IF(AB762&lt;='3.4 Fi&amp;Fo'!$F$34,'3.4 Fi&amp;Fo'!$J$34,IF(AB762&lt;='3.4 Fi&amp;Fo'!$F$35,'3.4 Fi&amp;Fo'!$J$35,IF(AB762&lt;='3.4 Fi&amp;Fo'!$F$36,'3.4 Fi&amp;Fo'!$J$36,IF(AB762&lt;='3.4 Fi&amp;Fo'!$F$37,'3.4 Fi&amp;Fo'!$J$37,IF(AB762&lt;='3.4 Fi&amp;Fo'!$F$38,'3.4 Fi&amp;Fo'!$J$38,IF(AB762&lt;='3.4 Fi&amp;Fo'!$F$39,'3.4 Fi&amp;Fo'!$J$39,IF(AB762&lt;='3.4 Fi&amp;Fo'!$F$40,'3.4 Fi&amp;Fo'!$J$40))))))))</f>
        <v>119087.24200000001</v>
      </c>
      <c r="AH762" s="203">
        <f>IF(AJ761&lt;=1,0,AJ761*IF(AB762&lt;='3.4 Fi&amp;Fo'!$F$34,'3.4 Fi&amp;Fo'!$I$34,IF(AB762&lt;='3.4 Fi&amp;Fo'!$F$35,'3.4 Fi&amp;Fo'!$I$35,IF(AB762&lt;='3.4 Fi&amp;Fo'!$F$38,'3.4 Fi&amp;Fo'!$I$38,IF(AB762&lt;='3.4 Fi&amp;Fo'!$F$39,'3.4 Fi&amp;Fo'!$I$39,IF(AB762&lt;='3.4 Fi&amp;Fo'!$F$40,'3.4 Fi&amp;Fo'!$I$40))))))</f>
        <v>173042.05597363919</v>
      </c>
      <c r="AI762" s="203">
        <f t="shared" si="598"/>
        <v>-53954.813973639175</v>
      </c>
      <c r="AJ762" s="204">
        <f t="shared" si="548"/>
        <v>2716140.2904911651</v>
      </c>
      <c r="AK762" s="312">
        <f t="shared" ca="1" si="599"/>
        <v>-210062.83588991512</v>
      </c>
      <c r="AL762" s="169">
        <f>IF(AB762&lt;='3.4 Fi&amp;Fo'!$J$15,'3.4 Fi&amp;Fo'!$I$15,0)</f>
        <v>0</v>
      </c>
      <c r="AM762" s="169">
        <f t="shared" si="561"/>
        <v>43708.708934960887</v>
      </c>
      <c r="AN762" s="838">
        <f t="shared" si="566"/>
        <v>35</v>
      </c>
      <c r="AO762" s="844">
        <f t="shared" ca="1" si="550"/>
        <v>210062.83588991512</v>
      </c>
      <c r="AP762" s="839">
        <f ca="1">CW832</f>
        <v>0</v>
      </c>
      <c r="AQ762" s="844">
        <f t="shared" ca="1" si="551"/>
        <v>-1758712.1392239507</v>
      </c>
      <c r="AR762" s="839">
        <f t="shared" ca="1" si="567"/>
        <v>0</v>
      </c>
      <c r="AS762" s="839">
        <f t="shared" ca="1" si="562"/>
        <v>12849.472005686501</v>
      </c>
      <c r="AT762" s="839">
        <f t="shared" ca="1" si="563"/>
        <v>21431.17453304799</v>
      </c>
      <c r="AU762" s="839">
        <f ca="1">'PV-Einspeisung'!AA243*-1</f>
        <v>0</v>
      </c>
      <c r="AV762" s="839">
        <f ca="1">'PV-Einspeisung'!AE243*-1</f>
        <v>0</v>
      </c>
      <c r="AW762" s="839"/>
      <c r="AX762" s="839">
        <f t="shared" ca="1" si="568"/>
        <v>0</v>
      </c>
      <c r="AY762" s="841">
        <f t="shared" si="552"/>
        <v>35</v>
      </c>
      <c r="AZ762" s="842">
        <f t="shared" ca="1" si="569"/>
        <v>0</v>
      </c>
      <c r="BA762" s="842">
        <f t="shared" ca="1" si="570"/>
        <v>0</v>
      </c>
      <c r="BB762" s="842">
        <f t="shared" ca="1" si="571"/>
        <v>0</v>
      </c>
      <c r="BC762" s="842">
        <f t="shared" ca="1" si="572"/>
        <v>0</v>
      </c>
      <c r="BD762" s="842">
        <f t="shared" ca="1" si="573"/>
        <v>0</v>
      </c>
      <c r="BE762" s="842">
        <f t="shared" ca="1" si="574"/>
        <v>0</v>
      </c>
      <c r="BF762" s="842">
        <f t="shared" ca="1" si="575"/>
        <v>14949.139235615303</v>
      </c>
      <c r="BG762" s="842">
        <f t="shared" ca="1" si="576"/>
        <v>6482.0352974326888</v>
      </c>
      <c r="BH762" s="858">
        <f t="shared" si="560"/>
        <v>35</v>
      </c>
      <c r="BI762" s="857">
        <f t="shared" ca="1" si="577"/>
        <v>5140.2691371292258</v>
      </c>
      <c r="BJ762" s="857">
        <f t="shared" ca="1" si="578"/>
        <v>7709.2028685572759</v>
      </c>
      <c r="BK762" s="859">
        <f ca="1">'PV-Einspeisung'!AB243*-1</f>
        <v>0</v>
      </c>
      <c r="BL762" s="824">
        <f t="shared" ca="1" si="593"/>
        <v>0</v>
      </c>
      <c r="BM762" s="824">
        <f t="shared" ca="1" si="594"/>
        <v>0</v>
      </c>
      <c r="BN762" s="824">
        <f t="shared" ca="1" si="595"/>
        <v>0</v>
      </c>
      <c r="BO762" s="824">
        <f t="shared" ca="1" si="597"/>
        <v>0</v>
      </c>
      <c r="BP762" s="824">
        <f t="shared" ca="1" si="597"/>
        <v>0</v>
      </c>
      <c r="BQ762" s="824">
        <f t="shared" ca="1" si="597"/>
        <v>0</v>
      </c>
      <c r="BR762" s="824">
        <f t="shared" ca="1" si="597"/>
        <v>0</v>
      </c>
      <c r="BS762" s="824">
        <f t="shared" ca="1" si="597"/>
        <v>0</v>
      </c>
      <c r="BT762" s="824">
        <f t="shared" ca="1" si="597"/>
        <v>0</v>
      </c>
      <c r="BU762" s="824">
        <f t="shared" ca="1" si="597"/>
        <v>0</v>
      </c>
      <c r="BV762" s="824">
        <f t="shared" ca="1" si="597"/>
        <v>0</v>
      </c>
      <c r="BW762" s="824">
        <f t="shared" ca="1" si="597"/>
        <v>0</v>
      </c>
      <c r="BX762" s="824">
        <f t="shared" ca="1" si="597"/>
        <v>0</v>
      </c>
      <c r="BY762" s="824">
        <f t="shared" ca="1" si="597"/>
        <v>0</v>
      </c>
      <c r="BZ762" s="824">
        <f t="shared" ca="1" si="597"/>
        <v>0</v>
      </c>
      <c r="CA762" s="824">
        <f t="shared" ca="1" si="597"/>
        <v>0</v>
      </c>
      <c r="CB762" s="824">
        <f t="shared" ca="1" si="597"/>
        <v>0</v>
      </c>
      <c r="CC762" s="824">
        <f t="shared" ca="1" si="597"/>
        <v>0</v>
      </c>
      <c r="CD762" s="824">
        <f t="shared" ca="1" si="597"/>
        <v>0</v>
      </c>
      <c r="CE762" s="824">
        <f t="shared" ca="1" si="596"/>
        <v>0</v>
      </c>
      <c r="CF762" s="824">
        <f t="shared" ca="1" si="596"/>
        <v>0</v>
      </c>
      <c r="CG762" s="824">
        <f t="shared" ca="1" si="596"/>
        <v>0</v>
      </c>
      <c r="CH762" s="824">
        <f t="shared" ca="1" si="596"/>
        <v>0</v>
      </c>
      <c r="CI762" s="824">
        <f t="shared" ca="1" si="596"/>
        <v>0</v>
      </c>
      <c r="CJ762" s="824">
        <f t="shared" ca="1" si="596"/>
        <v>0</v>
      </c>
      <c r="CK762" s="824">
        <f t="shared" ca="1" si="596"/>
        <v>0</v>
      </c>
      <c r="CL762" s="824">
        <f t="shared" ca="1" si="596"/>
        <v>0</v>
      </c>
      <c r="CM762" s="824">
        <f t="shared" ca="1" si="596"/>
        <v>0</v>
      </c>
      <c r="CN762" s="824">
        <f t="shared" ca="1" si="596"/>
        <v>0</v>
      </c>
      <c r="CO762" s="824">
        <f t="shared" ca="1" si="596"/>
        <v>0</v>
      </c>
      <c r="CP762" s="824">
        <f t="shared" ca="1" si="596"/>
        <v>0</v>
      </c>
      <c r="CQ762" s="824">
        <f t="shared" ca="1" si="596"/>
        <v>0</v>
      </c>
      <c r="CR762" s="824">
        <f t="shared" ca="1" si="596"/>
        <v>0</v>
      </c>
      <c r="CS762" s="824">
        <f t="shared" ca="1" si="596"/>
        <v>0</v>
      </c>
      <c r="CT762" s="824">
        <f t="shared" ca="1" si="587"/>
        <v>0</v>
      </c>
      <c r="CU762" s="824">
        <f t="shared" ca="1" si="587"/>
        <v>0</v>
      </c>
      <c r="CV762" s="824">
        <f t="shared" ca="1" si="587"/>
        <v>0</v>
      </c>
      <c r="CW762" s="824">
        <f t="shared" ca="1" si="587"/>
        <v>0</v>
      </c>
      <c r="CX762" s="824">
        <f t="shared" ca="1" si="587"/>
        <v>0</v>
      </c>
      <c r="CY762" s="824">
        <f t="shared" ca="1" si="587"/>
        <v>0</v>
      </c>
      <c r="CZ762" s="824">
        <f t="shared" ca="1" si="587"/>
        <v>0</v>
      </c>
      <c r="DA762" s="824">
        <f t="shared" ca="1" si="587"/>
        <v>0</v>
      </c>
      <c r="DB762" s="824">
        <f t="shared" ca="1" si="587"/>
        <v>0</v>
      </c>
      <c r="DC762" s="824">
        <f t="shared" ca="1" si="587"/>
        <v>0</v>
      </c>
      <c r="DD762" s="824">
        <f t="shared" ca="1" si="587"/>
        <v>0</v>
      </c>
      <c r="DE762" s="824">
        <f t="shared" ca="1" si="587"/>
        <v>0</v>
      </c>
      <c r="DF762" s="824">
        <f t="shared" ca="1" si="587"/>
        <v>0</v>
      </c>
      <c r="DG762" s="824">
        <f t="shared" ca="1" si="590"/>
        <v>0</v>
      </c>
      <c r="DH762" s="824">
        <f t="shared" ca="1" si="590"/>
        <v>0</v>
      </c>
      <c r="DI762" s="824">
        <f t="shared" ca="1" si="590"/>
        <v>0</v>
      </c>
      <c r="DJ762" s="824">
        <f t="shared" ca="1" si="590"/>
        <v>0</v>
      </c>
      <c r="DK762" s="824">
        <f t="shared" ca="1" si="589"/>
        <v>0</v>
      </c>
      <c r="DL762" s="824">
        <f t="shared" ca="1" si="589"/>
        <v>0</v>
      </c>
    </row>
    <row r="763" spans="2:116" ht="12" thickBot="1" x14ac:dyDescent="0.3">
      <c r="B763" s="1673"/>
      <c r="C763" s="1680"/>
      <c r="D763" s="15" t="s">
        <v>264</v>
      </c>
      <c r="E763" s="116"/>
      <c r="F763" s="116">
        <f ca="1">SUBTOTAL(109,'3.4 I&amp;W'!$X$106)</f>
        <v>0</v>
      </c>
      <c r="G763" s="116">
        <f ca="1">SUBTOTAL(109,'3.4 I&amp;W'!$Y$106)</f>
        <v>0</v>
      </c>
      <c r="H763" s="116">
        <f ca="1">SUBTOTAL(109,'3.4 I&amp;W'!$AD$106)</f>
        <v>0</v>
      </c>
      <c r="I763" s="116">
        <f ca="1">SUBTOTAL(109,'3.4 I&amp;W'!$AE$106)</f>
        <v>0</v>
      </c>
      <c r="J763" s="116"/>
      <c r="K763" s="116"/>
      <c r="L763" s="116"/>
      <c r="M763" s="116">
        <f ca="1">SUBTOTAL(109,'3.4 I&amp;W'!$AI$106)</f>
        <v>0</v>
      </c>
      <c r="N763" s="156">
        <f t="shared" ca="1" si="541"/>
        <v>0</v>
      </c>
      <c r="O763" s="116">
        <f ca="1">SUBTOTAL(109,'3.4 I&amp;W'!$S$106)</f>
        <v>0</v>
      </c>
      <c r="P763" s="30">
        <f t="shared" ca="1" si="581"/>
        <v>0</v>
      </c>
      <c r="Q763" s="31">
        <f t="shared" ca="1" si="582"/>
        <v>0</v>
      </c>
      <c r="R763" s="31">
        <f t="shared" ca="1" si="583"/>
        <v>0</v>
      </c>
      <c r="S763" s="31">
        <f t="shared" ca="1" si="584"/>
        <v>0</v>
      </c>
      <c r="T763" s="32">
        <f t="shared" ca="1" si="585"/>
        <v>0</v>
      </c>
      <c r="U763" s="37">
        <f t="shared" ca="1" si="542"/>
        <v>0</v>
      </c>
      <c r="V763" s="40">
        <f t="shared" ca="1" si="591"/>
        <v>0</v>
      </c>
      <c r="W763" s="41">
        <f t="shared" ca="1" si="592"/>
        <v>0</v>
      </c>
      <c r="X763" s="43"/>
      <c r="Y763" s="46"/>
      <c r="Z763" s="126"/>
      <c r="AA763" s="136"/>
      <c r="AB763" s="131">
        <v>36</v>
      </c>
      <c r="AC763" s="168">
        <f ca="1">IF(AF762&lt;=1,0,'3.4 Fi&amp;Fo'!$I$25)</f>
        <v>0</v>
      </c>
      <c r="AD763" s="169">
        <f ca="1">IF(AF762&lt;=1,0,AF762*'3.4 Fi&amp;Fo'!$H$25)</f>
        <v>0</v>
      </c>
      <c r="AE763" s="169">
        <f t="shared" ca="1" si="545"/>
        <v>0</v>
      </c>
      <c r="AF763" s="170">
        <f t="shared" ca="1" si="546"/>
        <v>7.9307937994599342E-10</v>
      </c>
      <c r="AG763" s="168" t="b">
        <f>IF(AJ762&lt;=1,0,IF(AB763&lt;='3.4 Fi&amp;Fo'!$F$34,'3.4 Fi&amp;Fo'!$J$34,IF(AB763&lt;='3.4 Fi&amp;Fo'!$F$35,'3.4 Fi&amp;Fo'!$J$35,IF(AB763&lt;='3.4 Fi&amp;Fo'!$F$36,'3.4 Fi&amp;Fo'!$J$36,IF(AB763&lt;='3.4 Fi&amp;Fo'!$F$37,'3.4 Fi&amp;Fo'!$J$37,IF(AB763&lt;='3.4 Fi&amp;Fo'!$F$38,'3.4 Fi&amp;Fo'!$J$38,IF(AB763&lt;='3.4 Fi&amp;Fo'!$F$39,'3.4 Fi&amp;Fo'!$J$39,IF(AB763&lt;='3.4 Fi&amp;Fo'!$F$40,'3.4 Fi&amp;Fo'!$J$40))))))))</f>
        <v>0</v>
      </c>
      <c r="AH763" s="203">
        <f>IF(AJ762&lt;=1,0,AJ762*IF(AB763&lt;='3.4 Fi&amp;Fo'!$F$34,'3.4 Fi&amp;Fo'!$I$34,IF(AB763&lt;='3.4 Fi&amp;Fo'!$F$35,'3.4 Fi&amp;Fo'!$I$35,IF(AB763&lt;='3.4 Fi&amp;Fo'!$F$38,'3.4 Fi&amp;Fo'!$I$38,IF(AB763&lt;='3.4 Fi&amp;Fo'!$F$39,'3.4 Fi&amp;Fo'!$I$39,IF(AB763&lt;='3.4 Fi&amp;Fo'!$F$40,'3.4 Fi&amp;Fo'!$I$40))))))</f>
        <v>0</v>
      </c>
      <c r="AI763" s="203">
        <f t="shared" si="598"/>
        <v>0</v>
      </c>
      <c r="AJ763" s="204">
        <f t="shared" si="548"/>
        <v>2716140.2904911651</v>
      </c>
      <c r="AK763" s="312">
        <f t="shared" ca="1" si="599"/>
        <v>0</v>
      </c>
      <c r="AL763" s="169">
        <f>IF(AB763&lt;='3.4 Fi&amp;Fo'!$J$15,'3.4 Fi&amp;Fo'!$I$15,0)</f>
        <v>0</v>
      </c>
      <c r="AM763" s="169">
        <f t="shared" si="561"/>
        <v>0</v>
      </c>
      <c r="AN763" s="838" t="str">
        <f t="shared" si="566"/>
        <v/>
      </c>
      <c r="AO763" s="844">
        <f t="shared" ca="1" si="550"/>
        <v>0</v>
      </c>
      <c r="AP763" s="839">
        <f ca="1">CX832</f>
        <v>0</v>
      </c>
      <c r="AQ763" s="844">
        <f t="shared" si="551"/>
        <v>0</v>
      </c>
      <c r="AR763" s="839" t="str">
        <f t="shared" si="567"/>
        <v/>
      </c>
      <c r="AS763" s="839">
        <f t="shared" si="562"/>
        <v>0</v>
      </c>
      <c r="AT763" s="839">
        <f t="shared" si="563"/>
        <v>0</v>
      </c>
      <c r="AU763" s="839">
        <f>'PV-Einspeisung'!AA244*-1</f>
        <v>0</v>
      </c>
      <c r="AV763" s="839">
        <f>'PV-Einspeisung'!AE244*-1</f>
        <v>0</v>
      </c>
      <c r="AW763" s="839"/>
      <c r="AX763" s="839" t="str">
        <f t="shared" si="568"/>
        <v/>
      </c>
      <c r="AY763" s="841" t="str">
        <f t="shared" si="552"/>
        <v/>
      </c>
      <c r="AZ763" s="842" t="str">
        <f t="shared" si="569"/>
        <v/>
      </c>
      <c r="BA763" s="842" t="str">
        <f t="shared" si="570"/>
        <v/>
      </c>
      <c r="BB763" s="842" t="str">
        <f t="shared" si="571"/>
        <v/>
      </c>
      <c r="BC763" s="842" t="str">
        <f t="shared" si="572"/>
        <v/>
      </c>
      <c r="BD763" s="842" t="str">
        <f t="shared" si="573"/>
        <v/>
      </c>
      <c r="BE763" s="842" t="str">
        <f t="shared" si="574"/>
        <v/>
      </c>
      <c r="BF763" s="842" t="str">
        <f t="shared" si="575"/>
        <v/>
      </c>
      <c r="BG763" s="842" t="str">
        <f t="shared" si="576"/>
        <v/>
      </c>
      <c r="BH763" s="858" t="str">
        <f t="shared" si="560"/>
        <v/>
      </c>
      <c r="BI763" s="857" t="str">
        <f t="shared" si="577"/>
        <v/>
      </c>
      <c r="BJ763" s="857" t="str">
        <f t="shared" si="578"/>
        <v/>
      </c>
      <c r="BK763" s="859">
        <f>'PV-Einspeisung'!AB244*-1</f>
        <v>0</v>
      </c>
      <c r="BL763" s="824">
        <f t="shared" ca="1" si="593"/>
        <v>0</v>
      </c>
      <c r="BM763" s="824">
        <f t="shared" ca="1" si="594"/>
        <v>0</v>
      </c>
      <c r="BN763" s="824">
        <f t="shared" ca="1" si="595"/>
        <v>0</v>
      </c>
      <c r="BO763" s="824">
        <f t="shared" ca="1" si="597"/>
        <v>0</v>
      </c>
      <c r="BP763" s="824">
        <f t="shared" ca="1" si="597"/>
        <v>0</v>
      </c>
      <c r="BQ763" s="824">
        <f t="shared" ca="1" si="597"/>
        <v>0</v>
      </c>
      <c r="BR763" s="824">
        <f t="shared" ca="1" si="597"/>
        <v>0</v>
      </c>
      <c r="BS763" s="824">
        <f t="shared" ca="1" si="597"/>
        <v>0</v>
      </c>
      <c r="BT763" s="824">
        <f t="shared" ca="1" si="597"/>
        <v>0</v>
      </c>
      <c r="BU763" s="824">
        <f t="shared" ca="1" si="597"/>
        <v>0</v>
      </c>
      <c r="BV763" s="824">
        <f t="shared" ca="1" si="597"/>
        <v>0</v>
      </c>
      <c r="BW763" s="824">
        <f t="shared" ca="1" si="597"/>
        <v>0</v>
      </c>
      <c r="BX763" s="824">
        <f t="shared" ca="1" si="597"/>
        <v>0</v>
      </c>
      <c r="BY763" s="824">
        <f t="shared" ca="1" si="597"/>
        <v>0</v>
      </c>
      <c r="BZ763" s="824">
        <f t="shared" ca="1" si="597"/>
        <v>0</v>
      </c>
      <c r="CA763" s="824">
        <f t="shared" ca="1" si="597"/>
        <v>0</v>
      </c>
      <c r="CB763" s="824">
        <f t="shared" ca="1" si="597"/>
        <v>0</v>
      </c>
      <c r="CC763" s="824">
        <f t="shared" ca="1" si="597"/>
        <v>0</v>
      </c>
      <c r="CD763" s="824">
        <f t="shared" ca="1" si="597"/>
        <v>0</v>
      </c>
      <c r="CE763" s="824">
        <f t="shared" ca="1" si="596"/>
        <v>0</v>
      </c>
      <c r="CF763" s="824">
        <f t="shared" ca="1" si="596"/>
        <v>0</v>
      </c>
      <c r="CG763" s="824">
        <f t="shared" ca="1" si="596"/>
        <v>0</v>
      </c>
      <c r="CH763" s="824">
        <f t="shared" ca="1" si="596"/>
        <v>0</v>
      </c>
      <c r="CI763" s="824">
        <f t="shared" ca="1" si="596"/>
        <v>0</v>
      </c>
      <c r="CJ763" s="824">
        <f t="shared" ca="1" si="596"/>
        <v>0</v>
      </c>
      <c r="CK763" s="824">
        <f t="shared" ca="1" si="596"/>
        <v>0</v>
      </c>
      <c r="CL763" s="824">
        <f t="shared" ca="1" si="596"/>
        <v>0</v>
      </c>
      <c r="CM763" s="824">
        <f t="shared" ca="1" si="596"/>
        <v>0</v>
      </c>
      <c r="CN763" s="824">
        <f t="shared" ca="1" si="596"/>
        <v>0</v>
      </c>
      <c r="CO763" s="824">
        <f t="shared" ca="1" si="596"/>
        <v>0</v>
      </c>
      <c r="CP763" s="824">
        <f t="shared" ca="1" si="596"/>
        <v>0</v>
      </c>
      <c r="CQ763" s="824">
        <f t="shared" ca="1" si="596"/>
        <v>0</v>
      </c>
      <c r="CR763" s="824">
        <f t="shared" ca="1" si="596"/>
        <v>0</v>
      </c>
      <c r="CS763" s="824">
        <f t="shared" ca="1" si="596"/>
        <v>0</v>
      </c>
      <c r="CT763" s="824">
        <f t="shared" ca="1" si="587"/>
        <v>0</v>
      </c>
      <c r="CU763" s="824">
        <f t="shared" ca="1" si="587"/>
        <v>0</v>
      </c>
      <c r="CV763" s="824">
        <f t="shared" ca="1" si="587"/>
        <v>0</v>
      </c>
      <c r="CW763" s="824">
        <f t="shared" ca="1" si="587"/>
        <v>0</v>
      </c>
      <c r="CX763" s="824">
        <f t="shared" ca="1" si="587"/>
        <v>0</v>
      </c>
      <c r="CY763" s="824">
        <f t="shared" ca="1" si="587"/>
        <v>0</v>
      </c>
      <c r="CZ763" s="824">
        <f t="shared" ca="1" si="587"/>
        <v>0</v>
      </c>
      <c r="DA763" s="824">
        <f t="shared" ca="1" si="587"/>
        <v>0</v>
      </c>
      <c r="DB763" s="824">
        <f t="shared" ca="1" si="587"/>
        <v>0</v>
      </c>
      <c r="DC763" s="824">
        <f t="shared" ca="1" si="587"/>
        <v>0</v>
      </c>
      <c r="DD763" s="824">
        <f t="shared" ca="1" si="587"/>
        <v>0</v>
      </c>
      <c r="DE763" s="824">
        <f t="shared" ca="1" si="587"/>
        <v>0</v>
      </c>
      <c r="DF763" s="824">
        <f t="shared" ca="1" si="587"/>
        <v>0</v>
      </c>
      <c r="DG763" s="824">
        <f t="shared" ca="1" si="590"/>
        <v>0</v>
      </c>
      <c r="DH763" s="824">
        <f t="shared" ca="1" si="590"/>
        <v>0</v>
      </c>
      <c r="DI763" s="824">
        <f t="shared" ca="1" si="590"/>
        <v>0</v>
      </c>
      <c r="DJ763" s="824">
        <f t="shared" ca="1" si="590"/>
        <v>0</v>
      </c>
      <c r="DK763" s="824">
        <f t="shared" ca="1" si="589"/>
        <v>0</v>
      </c>
      <c r="DL763" s="824">
        <f t="shared" ca="1" si="589"/>
        <v>0</v>
      </c>
    </row>
    <row r="764" spans="2:116" ht="12" thickBot="1" x14ac:dyDescent="0.3">
      <c r="B764" s="1673"/>
      <c r="C764" s="1680"/>
      <c r="D764" s="15" t="s">
        <v>264</v>
      </c>
      <c r="E764" s="165"/>
      <c r="F764" s="116">
        <f ca="1">SUBTOTAL(109,'3.4 I&amp;W'!$X$107)</f>
        <v>0</v>
      </c>
      <c r="G764" s="116">
        <f ca="1">SUBTOTAL(109,'3.4 I&amp;W'!$Y$107)</f>
        <v>0</v>
      </c>
      <c r="H764" s="116">
        <f ca="1">SUBTOTAL(109,'3.4 I&amp;W'!$AD$107)</f>
        <v>0</v>
      </c>
      <c r="I764" s="116">
        <f ca="1">SUBTOTAL(109,'3.4 I&amp;W'!$AE$107)</f>
        <v>0</v>
      </c>
      <c r="J764" s="116"/>
      <c r="K764" s="116"/>
      <c r="L764" s="116"/>
      <c r="M764" s="116">
        <f ca="1">SUBTOTAL(109,'3.4 I&amp;W'!$AI$107)</f>
        <v>0</v>
      </c>
      <c r="N764" s="156">
        <f t="shared" ca="1" si="541"/>
        <v>0</v>
      </c>
      <c r="O764" s="116">
        <f ca="1">SUBTOTAL(109,'3.4 I&amp;W'!$S$107)</f>
        <v>0</v>
      </c>
      <c r="P764" s="30">
        <f t="shared" ca="1" si="581"/>
        <v>0</v>
      </c>
      <c r="Q764" s="31">
        <f t="shared" ca="1" si="582"/>
        <v>0</v>
      </c>
      <c r="R764" s="31">
        <f t="shared" ca="1" si="583"/>
        <v>0</v>
      </c>
      <c r="S764" s="31">
        <f t="shared" ca="1" si="584"/>
        <v>0</v>
      </c>
      <c r="T764" s="32">
        <f t="shared" ca="1" si="585"/>
        <v>0</v>
      </c>
      <c r="U764" s="37">
        <f t="shared" ca="1" si="542"/>
        <v>0</v>
      </c>
      <c r="V764" s="40">
        <f t="shared" ca="1" si="591"/>
        <v>0</v>
      </c>
      <c r="W764" s="41">
        <f t="shared" ca="1" si="592"/>
        <v>0</v>
      </c>
      <c r="X764" s="43"/>
      <c r="Y764" s="46"/>
      <c r="Z764" s="126"/>
      <c r="AA764" s="136"/>
      <c r="AB764" s="131">
        <v>37</v>
      </c>
      <c r="AC764" s="168">
        <f ca="1">IF(AF763&lt;=1,0,'3.4 Fi&amp;Fo'!$I$25)</f>
        <v>0</v>
      </c>
      <c r="AD764" s="169">
        <f ca="1">IF(AF763&lt;=1,0,AF763*'3.4 Fi&amp;Fo'!$H$25)</f>
        <v>0</v>
      </c>
      <c r="AE764" s="169">
        <f t="shared" ca="1" si="545"/>
        <v>0</v>
      </c>
      <c r="AF764" s="170">
        <f t="shared" ca="1" si="546"/>
        <v>7.9307937994599342E-10</v>
      </c>
      <c r="AG764" s="168" t="b">
        <f>IF(AJ763&lt;=1,0,IF(AB764&lt;='3.4 Fi&amp;Fo'!$F$34,'3.4 Fi&amp;Fo'!$J$34,IF(AB764&lt;='3.4 Fi&amp;Fo'!$F$35,'3.4 Fi&amp;Fo'!$J$35,IF(AB764&lt;='3.4 Fi&amp;Fo'!$F$36,'3.4 Fi&amp;Fo'!$J$36,IF(AB764&lt;='3.4 Fi&amp;Fo'!$F$37,'3.4 Fi&amp;Fo'!$J$37,IF(AB764&lt;='3.4 Fi&amp;Fo'!$F$38,'3.4 Fi&amp;Fo'!$J$38,IF(AB764&lt;='3.4 Fi&amp;Fo'!$F$39,'3.4 Fi&amp;Fo'!$J$39,IF(AB764&lt;='3.4 Fi&amp;Fo'!$F$40,'3.4 Fi&amp;Fo'!$J$40))))))))</f>
        <v>0</v>
      </c>
      <c r="AH764" s="203">
        <f>IF(AJ763&lt;=1,0,AJ763*IF(AB764&lt;='3.4 Fi&amp;Fo'!$F$34,'3.4 Fi&amp;Fo'!$I$34,IF(AB764&lt;='3.4 Fi&amp;Fo'!$F$35,'3.4 Fi&amp;Fo'!$I$35,IF(AB764&lt;='3.4 Fi&amp;Fo'!$F$38,'3.4 Fi&amp;Fo'!$I$38,IF(AB764&lt;='3.4 Fi&amp;Fo'!$F$39,'3.4 Fi&amp;Fo'!$I$39,IF(AB764&lt;='3.4 Fi&amp;Fo'!$F$40,'3.4 Fi&amp;Fo'!$I$40))))))</f>
        <v>0</v>
      </c>
      <c r="AI764" s="203">
        <f t="shared" si="598"/>
        <v>0</v>
      </c>
      <c r="AJ764" s="204">
        <f t="shared" si="548"/>
        <v>2716140.2904911651</v>
      </c>
      <c r="AK764" s="312">
        <f t="shared" ca="1" si="599"/>
        <v>0</v>
      </c>
      <c r="AL764" s="169">
        <f>IF(AB764&lt;='3.4 Fi&amp;Fo'!$J$15,'3.4 Fi&amp;Fo'!$I$15,0)</f>
        <v>0</v>
      </c>
      <c r="AM764" s="169">
        <f t="shared" si="561"/>
        <v>0</v>
      </c>
      <c r="AN764" s="838" t="str">
        <f t="shared" si="566"/>
        <v/>
      </c>
      <c r="AO764" s="844">
        <f t="shared" ca="1" si="550"/>
        <v>0</v>
      </c>
      <c r="AP764" s="839">
        <f ca="1">CY832</f>
        <v>0</v>
      </c>
      <c r="AQ764" s="844">
        <f t="shared" si="551"/>
        <v>0</v>
      </c>
      <c r="AR764" s="839" t="str">
        <f t="shared" si="567"/>
        <v/>
      </c>
      <c r="AS764" s="839">
        <f t="shared" si="562"/>
        <v>0</v>
      </c>
      <c r="AT764" s="839">
        <f t="shared" si="563"/>
        <v>0</v>
      </c>
      <c r="AU764" s="839">
        <f>'PV-Einspeisung'!AA245*-1</f>
        <v>0</v>
      </c>
      <c r="AV764" s="839">
        <f>'PV-Einspeisung'!AE245*-1</f>
        <v>0</v>
      </c>
      <c r="AW764" s="839"/>
      <c r="AX764" s="839" t="str">
        <f t="shared" si="568"/>
        <v/>
      </c>
      <c r="AY764" s="841" t="str">
        <f t="shared" si="552"/>
        <v/>
      </c>
      <c r="AZ764" s="842" t="str">
        <f t="shared" si="569"/>
        <v/>
      </c>
      <c r="BA764" s="842" t="str">
        <f t="shared" si="570"/>
        <v/>
      </c>
      <c r="BB764" s="842" t="str">
        <f t="shared" si="571"/>
        <v/>
      </c>
      <c r="BC764" s="842" t="str">
        <f t="shared" si="572"/>
        <v/>
      </c>
      <c r="BD764" s="842" t="str">
        <f t="shared" si="573"/>
        <v/>
      </c>
      <c r="BE764" s="842" t="str">
        <f t="shared" si="574"/>
        <v/>
      </c>
      <c r="BF764" s="842" t="str">
        <f t="shared" si="575"/>
        <v/>
      </c>
      <c r="BG764" s="842" t="str">
        <f t="shared" si="576"/>
        <v/>
      </c>
      <c r="BH764" s="858" t="str">
        <f t="shared" si="560"/>
        <v/>
      </c>
      <c r="BI764" s="857" t="str">
        <f t="shared" si="577"/>
        <v/>
      </c>
      <c r="BJ764" s="857" t="str">
        <f t="shared" si="578"/>
        <v/>
      </c>
      <c r="BK764" s="859">
        <f>'PV-Einspeisung'!AB245*-1</f>
        <v>0</v>
      </c>
      <c r="BL764" s="824">
        <f t="shared" ca="1" si="593"/>
        <v>0</v>
      </c>
      <c r="BM764" s="824">
        <f t="shared" ca="1" si="594"/>
        <v>0</v>
      </c>
      <c r="BN764" s="824">
        <f t="shared" ca="1" si="595"/>
        <v>0</v>
      </c>
      <c r="BO764" s="824">
        <f t="shared" ca="1" si="597"/>
        <v>0</v>
      </c>
      <c r="BP764" s="824">
        <f t="shared" ca="1" si="597"/>
        <v>0</v>
      </c>
      <c r="BQ764" s="824">
        <f t="shared" ca="1" si="597"/>
        <v>0</v>
      </c>
      <c r="BR764" s="824">
        <f t="shared" ca="1" si="597"/>
        <v>0</v>
      </c>
      <c r="BS764" s="824">
        <f t="shared" ca="1" si="597"/>
        <v>0</v>
      </c>
      <c r="BT764" s="824">
        <f t="shared" ca="1" si="597"/>
        <v>0</v>
      </c>
      <c r="BU764" s="824">
        <f t="shared" ca="1" si="597"/>
        <v>0</v>
      </c>
      <c r="BV764" s="824">
        <f t="shared" ca="1" si="597"/>
        <v>0</v>
      </c>
      <c r="BW764" s="824">
        <f t="shared" ca="1" si="597"/>
        <v>0</v>
      </c>
      <c r="BX764" s="824">
        <f t="shared" ca="1" si="597"/>
        <v>0</v>
      </c>
      <c r="BY764" s="824">
        <f t="shared" ca="1" si="597"/>
        <v>0</v>
      </c>
      <c r="BZ764" s="824">
        <f t="shared" ca="1" si="597"/>
        <v>0</v>
      </c>
      <c r="CA764" s="824">
        <f t="shared" ca="1" si="597"/>
        <v>0</v>
      </c>
      <c r="CB764" s="824">
        <f t="shared" ca="1" si="597"/>
        <v>0</v>
      </c>
      <c r="CC764" s="824">
        <f t="shared" ca="1" si="597"/>
        <v>0</v>
      </c>
      <c r="CD764" s="824">
        <f t="shared" ca="1" si="597"/>
        <v>0</v>
      </c>
      <c r="CE764" s="824">
        <f t="shared" ca="1" si="596"/>
        <v>0</v>
      </c>
      <c r="CF764" s="824">
        <f t="shared" ca="1" si="596"/>
        <v>0</v>
      </c>
      <c r="CG764" s="824">
        <f t="shared" ca="1" si="596"/>
        <v>0</v>
      </c>
      <c r="CH764" s="824">
        <f t="shared" ca="1" si="596"/>
        <v>0</v>
      </c>
      <c r="CI764" s="824">
        <f t="shared" ca="1" si="596"/>
        <v>0</v>
      </c>
      <c r="CJ764" s="824">
        <f t="shared" ca="1" si="596"/>
        <v>0</v>
      </c>
      <c r="CK764" s="824">
        <f t="shared" ca="1" si="596"/>
        <v>0</v>
      </c>
      <c r="CL764" s="824">
        <f t="shared" ca="1" si="596"/>
        <v>0</v>
      </c>
      <c r="CM764" s="824">
        <f t="shared" ca="1" si="596"/>
        <v>0</v>
      </c>
      <c r="CN764" s="824">
        <f t="shared" ca="1" si="596"/>
        <v>0</v>
      </c>
      <c r="CO764" s="824">
        <f t="shared" ca="1" si="596"/>
        <v>0</v>
      </c>
      <c r="CP764" s="824">
        <f t="shared" ca="1" si="596"/>
        <v>0</v>
      </c>
      <c r="CQ764" s="824">
        <f t="shared" ca="1" si="596"/>
        <v>0</v>
      </c>
      <c r="CR764" s="824">
        <f t="shared" ca="1" si="596"/>
        <v>0</v>
      </c>
      <c r="CS764" s="824">
        <f t="shared" ca="1" si="596"/>
        <v>0</v>
      </c>
      <c r="CT764" s="824">
        <f t="shared" ca="1" si="587"/>
        <v>0</v>
      </c>
      <c r="CU764" s="824">
        <f t="shared" ca="1" si="587"/>
        <v>0</v>
      </c>
      <c r="CV764" s="824">
        <f t="shared" ca="1" si="587"/>
        <v>0</v>
      </c>
      <c r="CW764" s="824">
        <f t="shared" ca="1" si="587"/>
        <v>0</v>
      </c>
      <c r="CX764" s="824">
        <f t="shared" ca="1" si="587"/>
        <v>0</v>
      </c>
      <c r="CY764" s="824">
        <f t="shared" ca="1" si="587"/>
        <v>0</v>
      </c>
      <c r="CZ764" s="824">
        <f t="shared" ca="1" si="587"/>
        <v>0</v>
      </c>
      <c r="DA764" s="824">
        <f t="shared" ca="1" si="587"/>
        <v>0</v>
      </c>
      <c r="DB764" s="824">
        <f t="shared" ca="1" si="587"/>
        <v>0</v>
      </c>
      <c r="DC764" s="824">
        <f t="shared" ca="1" si="587"/>
        <v>0</v>
      </c>
      <c r="DD764" s="824">
        <f t="shared" ca="1" si="587"/>
        <v>0</v>
      </c>
      <c r="DE764" s="824">
        <f t="shared" ca="1" si="587"/>
        <v>0</v>
      </c>
      <c r="DF764" s="824">
        <f t="shared" ca="1" si="587"/>
        <v>0</v>
      </c>
      <c r="DG764" s="824">
        <f t="shared" ca="1" si="590"/>
        <v>0</v>
      </c>
      <c r="DH764" s="824">
        <f t="shared" ca="1" si="590"/>
        <v>0</v>
      </c>
      <c r="DI764" s="824">
        <f t="shared" ca="1" si="590"/>
        <v>0</v>
      </c>
      <c r="DJ764" s="824">
        <f t="shared" ca="1" si="590"/>
        <v>0</v>
      </c>
      <c r="DK764" s="824">
        <f t="shared" ca="1" si="589"/>
        <v>0</v>
      </c>
      <c r="DL764" s="824">
        <f t="shared" ca="1" si="589"/>
        <v>0</v>
      </c>
    </row>
    <row r="765" spans="2:116" ht="12" thickBot="1" x14ac:dyDescent="0.3">
      <c r="B765" s="1673"/>
      <c r="C765" s="1680"/>
      <c r="D765" s="15" t="s">
        <v>264</v>
      </c>
      <c r="E765" s="116"/>
      <c r="F765" s="116">
        <f ca="1">SUBTOTAL(109,'3.4 I&amp;W'!$X$108)</f>
        <v>0</v>
      </c>
      <c r="G765" s="116">
        <f ca="1">SUBTOTAL(109,'3.4 I&amp;W'!$Y$108)</f>
        <v>0</v>
      </c>
      <c r="H765" s="116">
        <f ca="1">SUBTOTAL(109,'3.4 I&amp;W'!$AD$108)</f>
        <v>0</v>
      </c>
      <c r="I765" s="116">
        <f ca="1">SUBTOTAL(109,'3.4 I&amp;W'!$AE$108)</f>
        <v>0</v>
      </c>
      <c r="J765" s="116"/>
      <c r="K765" s="116"/>
      <c r="L765" s="116"/>
      <c r="M765" s="116">
        <f ca="1">SUBTOTAL(109,'3.4 I&amp;W'!$AI$108)</f>
        <v>0</v>
      </c>
      <c r="N765" s="156">
        <f t="shared" ca="1" si="541"/>
        <v>0</v>
      </c>
      <c r="O765" s="116">
        <f ca="1">SUBTOTAL(109,'3.4 I&amp;W'!$S$108)</f>
        <v>0</v>
      </c>
      <c r="P765" s="30">
        <f t="shared" ca="1" si="581"/>
        <v>0</v>
      </c>
      <c r="Q765" s="31">
        <f t="shared" ca="1" si="582"/>
        <v>0</v>
      </c>
      <c r="R765" s="31">
        <f t="shared" ca="1" si="583"/>
        <v>0</v>
      </c>
      <c r="S765" s="31">
        <f t="shared" ca="1" si="584"/>
        <v>0</v>
      </c>
      <c r="T765" s="32">
        <f t="shared" ca="1" si="585"/>
        <v>0</v>
      </c>
      <c r="U765" s="37">
        <f t="shared" ca="1" si="542"/>
        <v>0</v>
      </c>
      <c r="V765" s="40">
        <f t="shared" ca="1" si="591"/>
        <v>0</v>
      </c>
      <c r="W765" s="41">
        <f t="shared" ca="1" si="592"/>
        <v>0</v>
      </c>
      <c r="X765" s="43"/>
      <c r="Y765" s="46"/>
      <c r="Z765" s="126"/>
      <c r="AA765" s="136"/>
      <c r="AB765" s="131">
        <v>38</v>
      </c>
      <c r="AC765" s="168">
        <f ca="1">IF(AF764&lt;=1,0,'3.4 Fi&amp;Fo'!$I$25)</f>
        <v>0</v>
      </c>
      <c r="AD765" s="169">
        <f ca="1">IF(AF764&lt;=1,0,AF764*'3.4 Fi&amp;Fo'!$H$25)</f>
        <v>0</v>
      </c>
      <c r="AE765" s="169">
        <f t="shared" ca="1" si="545"/>
        <v>0</v>
      </c>
      <c r="AF765" s="170">
        <f t="shared" ca="1" si="546"/>
        <v>7.9307937994599342E-10</v>
      </c>
      <c r="AG765" s="168" t="b">
        <f>IF(AJ764&lt;=1,0,IF(AB765&lt;='3.4 Fi&amp;Fo'!$F$34,'3.4 Fi&amp;Fo'!$J$34,IF(AB765&lt;='3.4 Fi&amp;Fo'!$F$35,'3.4 Fi&amp;Fo'!$J$35,IF(AB765&lt;='3.4 Fi&amp;Fo'!$F$36,'3.4 Fi&amp;Fo'!$J$36,IF(AB765&lt;='3.4 Fi&amp;Fo'!$F$37,'3.4 Fi&amp;Fo'!$J$37,IF(AB765&lt;='3.4 Fi&amp;Fo'!$F$38,'3.4 Fi&amp;Fo'!$J$38,IF(AB765&lt;='3.4 Fi&amp;Fo'!$F$39,'3.4 Fi&amp;Fo'!$J$39,IF(AB765&lt;='3.4 Fi&amp;Fo'!$F$40,'3.4 Fi&amp;Fo'!$J$40))))))))</f>
        <v>0</v>
      </c>
      <c r="AH765" s="203">
        <f>IF(AJ764&lt;=1,0,AJ764*IF(AB765&lt;='3.4 Fi&amp;Fo'!$F$34,'3.4 Fi&amp;Fo'!$I$34,IF(AB765&lt;='3.4 Fi&amp;Fo'!$F$35,'3.4 Fi&amp;Fo'!$I$35,IF(AB765&lt;='3.4 Fi&amp;Fo'!$F$38,'3.4 Fi&amp;Fo'!$I$38,IF(AB765&lt;='3.4 Fi&amp;Fo'!$F$39,'3.4 Fi&amp;Fo'!$I$39,IF(AB765&lt;='3.4 Fi&amp;Fo'!$F$40,'3.4 Fi&amp;Fo'!$I$40))))))</f>
        <v>0</v>
      </c>
      <c r="AI765" s="203">
        <f t="shared" si="598"/>
        <v>0</v>
      </c>
      <c r="AJ765" s="204">
        <f t="shared" si="548"/>
        <v>2716140.2904911651</v>
      </c>
      <c r="AK765" s="312">
        <f t="shared" ca="1" si="599"/>
        <v>0</v>
      </c>
      <c r="AL765" s="169">
        <f>IF(AB765&lt;='3.4 Fi&amp;Fo'!$J$15,'3.4 Fi&amp;Fo'!$I$15,0)</f>
        <v>0</v>
      </c>
      <c r="AM765" s="169">
        <f t="shared" si="561"/>
        <v>0</v>
      </c>
      <c r="AN765" s="838" t="str">
        <f t="shared" si="566"/>
        <v/>
      </c>
      <c r="AO765" s="844">
        <f t="shared" ca="1" si="550"/>
        <v>0</v>
      </c>
      <c r="AP765" s="839">
        <f ca="1">CZ832</f>
        <v>0</v>
      </c>
      <c r="AQ765" s="844">
        <f t="shared" si="551"/>
        <v>0</v>
      </c>
      <c r="AR765" s="839" t="str">
        <f t="shared" si="567"/>
        <v/>
      </c>
      <c r="AS765" s="839">
        <f t="shared" si="562"/>
        <v>0</v>
      </c>
      <c r="AT765" s="839">
        <f t="shared" si="563"/>
        <v>0</v>
      </c>
      <c r="AU765" s="839">
        <f>'PV-Einspeisung'!AA246*-1</f>
        <v>0</v>
      </c>
      <c r="AV765" s="839">
        <f>'PV-Einspeisung'!AE246*-1</f>
        <v>0</v>
      </c>
      <c r="AW765" s="839"/>
      <c r="AX765" s="839" t="str">
        <f t="shared" si="568"/>
        <v/>
      </c>
      <c r="AY765" s="841" t="str">
        <f t="shared" si="552"/>
        <v/>
      </c>
      <c r="AZ765" s="842" t="str">
        <f t="shared" si="569"/>
        <v/>
      </c>
      <c r="BA765" s="842" t="str">
        <f t="shared" si="570"/>
        <v/>
      </c>
      <c r="BB765" s="842" t="str">
        <f t="shared" si="571"/>
        <v/>
      </c>
      <c r="BC765" s="842" t="str">
        <f t="shared" si="572"/>
        <v/>
      </c>
      <c r="BD765" s="842" t="str">
        <f t="shared" si="573"/>
        <v/>
      </c>
      <c r="BE765" s="842" t="str">
        <f t="shared" si="574"/>
        <v/>
      </c>
      <c r="BF765" s="842" t="str">
        <f t="shared" si="575"/>
        <v/>
      </c>
      <c r="BG765" s="842" t="str">
        <f t="shared" si="576"/>
        <v/>
      </c>
      <c r="BH765" s="858" t="str">
        <f t="shared" si="560"/>
        <v/>
      </c>
      <c r="BI765" s="857" t="str">
        <f t="shared" si="577"/>
        <v/>
      </c>
      <c r="BJ765" s="857" t="str">
        <f t="shared" si="578"/>
        <v/>
      </c>
      <c r="BK765" s="859">
        <f>'PV-Einspeisung'!AB246*-1</f>
        <v>0</v>
      </c>
      <c r="BL765" s="824">
        <f t="shared" ca="1" si="593"/>
        <v>0</v>
      </c>
      <c r="BM765" s="824">
        <f t="shared" ca="1" si="594"/>
        <v>0</v>
      </c>
      <c r="BN765" s="824">
        <f t="shared" ca="1" si="595"/>
        <v>0</v>
      </c>
      <c r="BO765" s="824">
        <f t="shared" ca="1" si="597"/>
        <v>0</v>
      </c>
      <c r="BP765" s="824">
        <f t="shared" ca="1" si="597"/>
        <v>0</v>
      </c>
      <c r="BQ765" s="824">
        <f t="shared" ca="1" si="597"/>
        <v>0</v>
      </c>
      <c r="BR765" s="824">
        <f t="shared" ca="1" si="597"/>
        <v>0</v>
      </c>
      <c r="BS765" s="824">
        <f t="shared" ca="1" si="597"/>
        <v>0</v>
      </c>
      <c r="BT765" s="824">
        <f t="shared" ca="1" si="597"/>
        <v>0</v>
      </c>
      <c r="BU765" s="824">
        <f t="shared" ca="1" si="597"/>
        <v>0</v>
      </c>
      <c r="BV765" s="824">
        <f t="shared" ca="1" si="597"/>
        <v>0</v>
      </c>
      <c r="BW765" s="824">
        <f t="shared" ca="1" si="597"/>
        <v>0</v>
      </c>
      <c r="BX765" s="824">
        <f t="shared" ca="1" si="597"/>
        <v>0</v>
      </c>
      <c r="BY765" s="824">
        <f t="shared" ca="1" si="597"/>
        <v>0</v>
      </c>
      <c r="BZ765" s="824">
        <f t="shared" ca="1" si="597"/>
        <v>0</v>
      </c>
      <c r="CA765" s="824">
        <f t="shared" ca="1" si="597"/>
        <v>0</v>
      </c>
      <c r="CB765" s="824">
        <f t="shared" ca="1" si="597"/>
        <v>0</v>
      </c>
      <c r="CC765" s="824">
        <f t="shared" ca="1" si="597"/>
        <v>0</v>
      </c>
      <c r="CD765" s="824">
        <f t="shared" ca="1" si="597"/>
        <v>0</v>
      </c>
      <c r="CE765" s="824">
        <f t="shared" ca="1" si="596"/>
        <v>0</v>
      </c>
      <c r="CF765" s="824">
        <f t="shared" ca="1" si="596"/>
        <v>0</v>
      </c>
      <c r="CG765" s="824">
        <f t="shared" ca="1" si="596"/>
        <v>0</v>
      </c>
      <c r="CH765" s="824">
        <f t="shared" ca="1" si="596"/>
        <v>0</v>
      </c>
      <c r="CI765" s="824">
        <f t="shared" ca="1" si="596"/>
        <v>0</v>
      </c>
      <c r="CJ765" s="824">
        <f t="shared" ca="1" si="596"/>
        <v>0</v>
      </c>
      <c r="CK765" s="824">
        <f t="shared" ca="1" si="596"/>
        <v>0</v>
      </c>
      <c r="CL765" s="824">
        <f t="shared" ca="1" si="596"/>
        <v>0</v>
      </c>
      <c r="CM765" s="824">
        <f t="shared" ca="1" si="596"/>
        <v>0</v>
      </c>
      <c r="CN765" s="824">
        <f t="shared" ca="1" si="596"/>
        <v>0</v>
      </c>
      <c r="CO765" s="824">
        <f t="shared" ca="1" si="596"/>
        <v>0</v>
      </c>
      <c r="CP765" s="824">
        <f t="shared" ca="1" si="596"/>
        <v>0</v>
      </c>
      <c r="CQ765" s="824">
        <f t="shared" ca="1" si="596"/>
        <v>0</v>
      </c>
      <c r="CR765" s="824">
        <f t="shared" ca="1" si="596"/>
        <v>0</v>
      </c>
      <c r="CS765" s="824">
        <f t="shared" ca="1" si="596"/>
        <v>0</v>
      </c>
      <c r="CT765" s="824">
        <f t="shared" ca="1" si="587"/>
        <v>0</v>
      </c>
      <c r="CU765" s="824">
        <f t="shared" ca="1" si="587"/>
        <v>0</v>
      </c>
      <c r="CV765" s="824">
        <f t="shared" ca="1" si="587"/>
        <v>0</v>
      </c>
      <c r="CW765" s="824">
        <f t="shared" ca="1" si="587"/>
        <v>0</v>
      </c>
      <c r="CX765" s="824">
        <f t="shared" ca="1" si="587"/>
        <v>0</v>
      </c>
      <c r="CY765" s="824">
        <f t="shared" ca="1" si="587"/>
        <v>0</v>
      </c>
      <c r="CZ765" s="824">
        <f t="shared" ca="1" si="587"/>
        <v>0</v>
      </c>
      <c r="DA765" s="824">
        <f t="shared" ca="1" si="587"/>
        <v>0</v>
      </c>
      <c r="DB765" s="824">
        <f t="shared" ca="1" si="587"/>
        <v>0</v>
      </c>
      <c r="DC765" s="824">
        <f t="shared" ca="1" si="587"/>
        <v>0</v>
      </c>
      <c r="DD765" s="824">
        <f t="shared" ca="1" si="587"/>
        <v>0</v>
      </c>
      <c r="DE765" s="824">
        <f t="shared" ca="1" si="587"/>
        <v>0</v>
      </c>
      <c r="DF765" s="824">
        <f t="shared" ca="1" si="587"/>
        <v>0</v>
      </c>
      <c r="DG765" s="824">
        <f t="shared" ca="1" si="590"/>
        <v>0</v>
      </c>
      <c r="DH765" s="824">
        <f t="shared" ca="1" si="590"/>
        <v>0</v>
      </c>
      <c r="DI765" s="824">
        <f t="shared" ca="1" si="590"/>
        <v>0</v>
      </c>
      <c r="DJ765" s="824">
        <f t="shared" ca="1" si="590"/>
        <v>0</v>
      </c>
      <c r="DK765" s="824">
        <f t="shared" ca="1" si="589"/>
        <v>0</v>
      </c>
      <c r="DL765" s="824">
        <f t="shared" ca="1" si="589"/>
        <v>0</v>
      </c>
    </row>
    <row r="766" spans="2:116" ht="12" thickBot="1" x14ac:dyDescent="0.3">
      <c r="B766" s="1673"/>
      <c r="C766" s="1680"/>
      <c r="D766" s="15" t="s">
        <v>264</v>
      </c>
      <c r="E766" s="165"/>
      <c r="F766" s="116">
        <f ca="1">SUBTOTAL(109,'3.4 I&amp;W'!$X$109)</f>
        <v>0</v>
      </c>
      <c r="G766" s="116">
        <f ca="1">SUBTOTAL(109,'3.4 I&amp;W'!$Y$109)</f>
        <v>0</v>
      </c>
      <c r="H766" s="116">
        <f ca="1">SUBTOTAL(109,'3.4 I&amp;W'!$AD$109)</f>
        <v>0</v>
      </c>
      <c r="I766" s="116">
        <f ca="1">SUBTOTAL(109,'3.4 I&amp;W'!$AE$109)</f>
        <v>0</v>
      </c>
      <c r="J766" s="116"/>
      <c r="K766" s="116"/>
      <c r="L766" s="116"/>
      <c r="M766" s="116">
        <f ca="1">SUBTOTAL(109,'3.4 I&amp;W'!$AI$109)</f>
        <v>0</v>
      </c>
      <c r="N766" s="156">
        <f t="shared" ca="1" si="541"/>
        <v>0</v>
      </c>
      <c r="O766" s="116">
        <f ca="1">SUBTOTAL(109,'3.4 I&amp;W'!$S$109)</f>
        <v>0</v>
      </c>
      <c r="P766" s="30">
        <f t="shared" ca="1" si="581"/>
        <v>0</v>
      </c>
      <c r="Q766" s="31">
        <f t="shared" ca="1" si="582"/>
        <v>0</v>
      </c>
      <c r="R766" s="31">
        <f t="shared" ca="1" si="583"/>
        <v>0</v>
      </c>
      <c r="S766" s="31">
        <f t="shared" ca="1" si="584"/>
        <v>0</v>
      </c>
      <c r="T766" s="32">
        <f t="shared" ca="1" si="585"/>
        <v>0</v>
      </c>
      <c r="U766" s="37">
        <f t="shared" ca="1" si="542"/>
        <v>0</v>
      </c>
      <c r="V766" s="40">
        <f t="shared" ca="1" si="591"/>
        <v>0</v>
      </c>
      <c r="W766" s="41">
        <f t="shared" ca="1" si="592"/>
        <v>0</v>
      </c>
      <c r="X766" s="43"/>
      <c r="Y766" s="46"/>
      <c r="Z766" s="126"/>
      <c r="AA766" s="136"/>
      <c r="AB766" s="131">
        <v>39</v>
      </c>
      <c r="AC766" s="168">
        <f ca="1">IF(AF765&lt;=1,0,'3.4 Fi&amp;Fo'!$I$25)</f>
        <v>0</v>
      </c>
      <c r="AD766" s="169">
        <f ca="1">IF(AF765&lt;=1,0,AF765*'3.4 Fi&amp;Fo'!$H$25)</f>
        <v>0</v>
      </c>
      <c r="AE766" s="169">
        <f t="shared" ca="1" si="545"/>
        <v>0</v>
      </c>
      <c r="AF766" s="170">
        <f t="shared" ca="1" si="546"/>
        <v>7.9307937994599342E-10</v>
      </c>
      <c r="AG766" s="168" t="b">
        <f>IF(AJ765&lt;=1,0,IF(AB766&lt;='3.4 Fi&amp;Fo'!$F$34,'3.4 Fi&amp;Fo'!$J$34,IF(AB766&lt;='3.4 Fi&amp;Fo'!$F$35,'3.4 Fi&amp;Fo'!$J$35,IF(AB766&lt;='3.4 Fi&amp;Fo'!$F$36,'3.4 Fi&amp;Fo'!$J$36,IF(AB766&lt;='3.4 Fi&amp;Fo'!$F$37,'3.4 Fi&amp;Fo'!$J$37,IF(AB766&lt;='3.4 Fi&amp;Fo'!$F$38,'3.4 Fi&amp;Fo'!$J$38,IF(AB766&lt;='3.4 Fi&amp;Fo'!$F$39,'3.4 Fi&amp;Fo'!$J$39,IF(AB766&lt;='3.4 Fi&amp;Fo'!$F$40,'3.4 Fi&amp;Fo'!$J$40))))))))</f>
        <v>0</v>
      </c>
      <c r="AH766" s="203">
        <f>IF(AJ765&lt;=1,0,AJ765*IF(AB766&lt;='3.4 Fi&amp;Fo'!$F$34,'3.4 Fi&amp;Fo'!$I$34,IF(AB766&lt;='3.4 Fi&amp;Fo'!$F$35,'3.4 Fi&amp;Fo'!$I$35,IF(AB766&lt;='3.4 Fi&amp;Fo'!$F$38,'3.4 Fi&amp;Fo'!$I$38,IF(AB766&lt;='3.4 Fi&amp;Fo'!$F$39,'3.4 Fi&amp;Fo'!$I$39,IF(AB766&lt;='3.4 Fi&amp;Fo'!$F$40,'3.4 Fi&amp;Fo'!$I$40))))))</f>
        <v>0</v>
      </c>
      <c r="AI766" s="203">
        <f t="shared" si="598"/>
        <v>0</v>
      </c>
      <c r="AJ766" s="204">
        <f t="shared" si="548"/>
        <v>2716140.2904911651</v>
      </c>
      <c r="AK766" s="312">
        <f t="shared" ca="1" si="599"/>
        <v>0</v>
      </c>
      <c r="AL766" s="169">
        <f>IF(AB766&lt;='3.4 Fi&amp;Fo'!$J$15,'3.4 Fi&amp;Fo'!$I$15,0)</f>
        <v>0</v>
      </c>
      <c r="AM766" s="169">
        <f t="shared" si="561"/>
        <v>0</v>
      </c>
      <c r="AN766" s="838" t="str">
        <f t="shared" si="566"/>
        <v/>
      </c>
      <c r="AO766" s="844">
        <f t="shared" ca="1" si="550"/>
        <v>0</v>
      </c>
      <c r="AP766" s="839">
        <f ca="1">DA832</f>
        <v>0</v>
      </c>
      <c r="AQ766" s="844">
        <f t="shared" si="551"/>
        <v>0</v>
      </c>
      <c r="AR766" s="839" t="str">
        <f t="shared" si="567"/>
        <v/>
      </c>
      <c r="AS766" s="839">
        <f t="shared" si="562"/>
        <v>0</v>
      </c>
      <c r="AT766" s="839">
        <f t="shared" si="563"/>
        <v>0</v>
      </c>
      <c r="AU766" s="839">
        <f>'PV-Einspeisung'!AA247*-1</f>
        <v>0</v>
      </c>
      <c r="AV766" s="839">
        <f>'PV-Einspeisung'!AE247*-1</f>
        <v>0</v>
      </c>
      <c r="AW766" s="839"/>
      <c r="AX766" s="839" t="str">
        <f t="shared" si="568"/>
        <v/>
      </c>
      <c r="AY766" s="841" t="str">
        <f t="shared" si="552"/>
        <v/>
      </c>
      <c r="AZ766" s="842" t="str">
        <f t="shared" si="569"/>
        <v/>
      </c>
      <c r="BA766" s="842" t="str">
        <f t="shared" si="570"/>
        <v/>
      </c>
      <c r="BB766" s="842" t="str">
        <f t="shared" si="571"/>
        <v/>
      </c>
      <c r="BC766" s="842" t="str">
        <f t="shared" si="572"/>
        <v/>
      </c>
      <c r="BD766" s="842" t="str">
        <f t="shared" si="573"/>
        <v/>
      </c>
      <c r="BE766" s="842" t="str">
        <f t="shared" si="574"/>
        <v/>
      </c>
      <c r="BF766" s="842" t="str">
        <f t="shared" si="575"/>
        <v/>
      </c>
      <c r="BG766" s="842" t="str">
        <f t="shared" si="576"/>
        <v/>
      </c>
      <c r="BH766" s="858" t="str">
        <f t="shared" si="560"/>
        <v/>
      </c>
      <c r="BI766" s="857" t="str">
        <f t="shared" si="577"/>
        <v/>
      </c>
      <c r="BJ766" s="857" t="str">
        <f t="shared" si="578"/>
        <v/>
      </c>
      <c r="BK766" s="859">
        <f>'PV-Einspeisung'!AB247*-1</f>
        <v>0</v>
      </c>
      <c r="BL766" s="824">
        <f t="shared" ca="1" si="593"/>
        <v>0</v>
      </c>
      <c r="BM766" s="824">
        <f t="shared" ca="1" si="594"/>
        <v>0</v>
      </c>
      <c r="BN766" s="824">
        <f t="shared" ca="1" si="595"/>
        <v>0</v>
      </c>
      <c r="BO766" s="824">
        <f t="shared" ca="1" si="597"/>
        <v>0</v>
      </c>
      <c r="BP766" s="824">
        <f t="shared" ca="1" si="597"/>
        <v>0</v>
      </c>
      <c r="BQ766" s="824">
        <f t="shared" ca="1" si="597"/>
        <v>0</v>
      </c>
      <c r="BR766" s="824">
        <f t="shared" ca="1" si="597"/>
        <v>0</v>
      </c>
      <c r="BS766" s="824">
        <f t="shared" ca="1" si="597"/>
        <v>0</v>
      </c>
      <c r="BT766" s="824">
        <f t="shared" ca="1" si="597"/>
        <v>0</v>
      </c>
      <c r="BU766" s="824">
        <f t="shared" ca="1" si="597"/>
        <v>0</v>
      </c>
      <c r="BV766" s="824">
        <f t="shared" ca="1" si="597"/>
        <v>0</v>
      </c>
      <c r="BW766" s="824">
        <f t="shared" ca="1" si="597"/>
        <v>0</v>
      </c>
      <c r="BX766" s="824">
        <f t="shared" ca="1" si="597"/>
        <v>0</v>
      </c>
      <c r="BY766" s="824">
        <f t="shared" ca="1" si="597"/>
        <v>0</v>
      </c>
      <c r="BZ766" s="824">
        <f t="shared" ca="1" si="597"/>
        <v>0</v>
      </c>
      <c r="CA766" s="824">
        <f t="shared" ca="1" si="597"/>
        <v>0</v>
      </c>
      <c r="CB766" s="824">
        <f t="shared" ca="1" si="597"/>
        <v>0</v>
      </c>
      <c r="CC766" s="824">
        <f t="shared" ca="1" si="597"/>
        <v>0</v>
      </c>
      <c r="CD766" s="824">
        <f t="shared" ca="1" si="597"/>
        <v>0</v>
      </c>
      <c r="CE766" s="824">
        <f t="shared" ca="1" si="596"/>
        <v>0</v>
      </c>
      <c r="CF766" s="824">
        <f t="shared" ca="1" si="596"/>
        <v>0</v>
      </c>
      <c r="CG766" s="824">
        <f t="shared" ca="1" si="596"/>
        <v>0</v>
      </c>
      <c r="CH766" s="824">
        <f t="shared" ca="1" si="596"/>
        <v>0</v>
      </c>
      <c r="CI766" s="824">
        <f t="shared" ca="1" si="596"/>
        <v>0</v>
      </c>
      <c r="CJ766" s="824">
        <f t="shared" ca="1" si="596"/>
        <v>0</v>
      </c>
      <c r="CK766" s="824">
        <f t="shared" ca="1" si="596"/>
        <v>0</v>
      </c>
      <c r="CL766" s="824">
        <f t="shared" ca="1" si="596"/>
        <v>0</v>
      </c>
      <c r="CM766" s="824">
        <f t="shared" ca="1" si="596"/>
        <v>0</v>
      </c>
      <c r="CN766" s="824">
        <f t="shared" ca="1" si="596"/>
        <v>0</v>
      </c>
      <c r="CO766" s="824">
        <f t="shared" ca="1" si="596"/>
        <v>0</v>
      </c>
      <c r="CP766" s="824">
        <f t="shared" ca="1" si="596"/>
        <v>0</v>
      </c>
      <c r="CQ766" s="824">
        <f t="shared" ca="1" si="596"/>
        <v>0</v>
      </c>
      <c r="CR766" s="824">
        <f t="shared" ca="1" si="596"/>
        <v>0</v>
      </c>
      <c r="CS766" s="824">
        <f t="shared" ca="1" si="596"/>
        <v>0</v>
      </c>
      <c r="CT766" s="824">
        <f t="shared" ca="1" si="587"/>
        <v>0</v>
      </c>
      <c r="CU766" s="824">
        <f t="shared" ca="1" si="587"/>
        <v>0</v>
      </c>
      <c r="CV766" s="824">
        <f t="shared" ca="1" si="587"/>
        <v>0</v>
      </c>
      <c r="CW766" s="824">
        <f t="shared" ca="1" si="587"/>
        <v>0</v>
      </c>
      <c r="CX766" s="824">
        <f t="shared" ca="1" si="587"/>
        <v>0</v>
      </c>
      <c r="CY766" s="824">
        <f t="shared" ca="1" si="587"/>
        <v>0</v>
      </c>
      <c r="CZ766" s="824">
        <f t="shared" ca="1" si="587"/>
        <v>0</v>
      </c>
      <c r="DA766" s="824">
        <f t="shared" ca="1" si="587"/>
        <v>0</v>
      </c>
      <c r="DB766" s="824">
        <f t="shared" ca="1" si="587"/>
        <v>0</v>
      </c>
      <c r="DC766" s="824">
        <f t="shared" ca="1" si="587"/>
        <v>0</v>
      </c>
      <c r="DD766" s="824">
        <f t="shared" ca="1" si="587"/>
        <v>0</v>
      </c>
      <c r="DE766" s="824">
        <f t="shared" ca="1" si="587"/>
        <v>0</v>
      </c>
      <c r="DF766" s="824">
        <f t="shared" ca="1" si="587"/>
        <v>0</v>
      </c>
      <c r="DG766" s="824">
        <f t="shared" ca="1" si="590"/>
        <v>0</v>
      </c>
      <c r="DH766" s="824">
        <f t="shared" ca="1" si="590"/>
        <v>0</v>
      </c>
      <c r="DI766" s="824">
        <f t="shared" ca="1" si="590"/>
        <v>0</v>
      </c>
      <c r="DJ766" s="824">
        <f t="shared" ca="1" si="590"/>
        <v>0</v>
      </c>
      <c r="DK766" s="824">
        <f t="shared" ca="1" si="589"/>
        <v>0</v>
      </c>
      <c r="DL766" s="824">
        <f t="shared" ca="1" si="589"/>
        <v>0</v>
      </c>
    </row>
    <row r="767" spans="2:116" ht="12" thickBot="1" x14ac:dyDescent="0.3">
      <c r="B767" s="1673"/>
      <c r="C767" s="1680"/>
      <c r="D767" s="15" t="s">
        <v>264</v>
      </c>
      <c r="E767" s="116"/>
      <c r="F767" s="116">
        <f ca="1">SUBTOTAL(109,'3.4 I&amp;W'!$X$110)</f>
        <v>0</v>
      </c>
      <c r="G767" s="116">
        <f ca="1">SUBTOTAL(109,'3.4 I&amp;W'!$Y$110)</f>
        <v>0</v>
      </c>
      <c r="H767" s="116">
        <f ca="1">SUBTOTAL(109,'3.4 I&amp;W'!$AD$110)</f>
        <v>0</v>
      </c>
      <c r="I767" s="116">
        <f ca="1">SUBTOTAL(109,'3.4 I&amp;W'!$AE$110)</f>
        <v>0</v>
      </c>
      <c r="J767" s="116"/>
      <c r="K767" s="116"/>
      <c r="L767" s="116"/>
      <c r="M767" s="116">
        <f ca="1">SUBTOTAL(109,'3.4 I&amp;W'!$AI$110)</f>
        <v>0</v>
      </c>
      <c r="N767" s="156">
        <f t="shared" ca="1" si="541"/>
        <v>0</v>
      </c>
      <c r="O767" s="116">
        <f ca="1">SUBTOTAL(109,'3.4 I&amp;W'!$S$110)</f>
        <v>0</v>
      </c>
      <c r="P767" s="30">
        <f t="shared" ca="1" si="581"/>
        <v>0</v>
      </c>
      <c r="Q767" s="31">
        <f t="shared" ca="1" si="582"/>
        <v>0</v>
      </c>
      <c r="R767" s="31">
        <f t="shared" ca="1" si="583"/>
        <v>0</v>
      </c>
      <c r="S767" s="31">
        <f t="shared" ca="1" si="584"/>
        <v>0</v>
      </c>
      <c r="T767" s="32">
        <f t="shared" ca="1" si="585"/>
        <v>0</v>
      </c>
      <c r="U767" s="37">
        <f t="shared" ca="1" si="542"/>
        <v>0</v>
      </c>
      <c r="V767" s="40">
        <f t="shared" ca="1" si="591"/>
        <v>0</v>
      </c>
      <c r="W767" s="41">
        <f t="shared" ca="1" si="592"/>
        <v>0</v>
      </c>
      <c r="X767" s="43"/>
      <c r="Y767" s="46"/>
      <c r="Z767" s="126"/>
      <c r="AA767" s="136"/>
      <c r="AB767" s="131">
        <v>40</v>
      </c>
      <c r="AC767" s="168">
        <f ca="1">IF(AF766&lt;=1,0,'3.4 Fi&amp;Fo'!$I$25)</f>
        <v>0</v>
      </c>
      <c r="AD767" s="169">
        <f ca="1">IF(AF766&lt;=1,0,AF766*'3.4 Fi&amp;Fo'!$H$25)</f>
        <v>0</v>
      </c>
      <c r="AE767" s="169">
        <f t="shared" ca="1" si="545"/>
        <v>0</v>
      </c>
      <c r="AF767" s="170">
        <f t="shared" ca="1" si="546"/>
        <v>7.9307937994599342E-10</v>
      </c>
      <c r="AG767" s="168" t="b">
        <f>IF(AJ766&lt;=1,0,IF(AB767&lt;='3.4 Fi&amp;Fo'!$F$34,'3.4 Fi&amp;Fo'!$J$34,IF(AB767&lt;='3.4 Fi&amp;Fo'!$F$35,'3.4 Fi&amp;Fo'!$J$35,IF(AB767&lt;='3.4 Fi&amp;Fo'!$F$36,'3.4 Fi&amp;Fo'!$J$36,IF(AB767&lt;='3.4 Fi&amp;Fo'!$F$37,'3.4 Fi&amp;Fo'!$J$37,IF(AB767&lt;='3.4 Fi&amp;Fo'!$F$38,'3.4 Fi&amp;Fo'!$J$38,IF(AB767&lt;='3.4 Fi&amp;Fo'!$F$39,'3.4 Fi&amp;Fo'!$J$39,IF(AB767&lt;='3.4 Fi&amp;Fo'!$F$40,'3.4 Fi&amp;Fo'!$J$40))))))))</f>
        <v>0</v>
      </c>
      <c r="AH767" s="203">
        <f>IF(AJ766&lt;=1,0,AJ766*IF(AB767&lt;='3.4 Fi&amp;Fo'!$F$34,'3.4 Fi&amp;Fo'!$I$34,IF(AB767&lt;='3.4 Fi&amp;Fo'!$F$35,'3.4 Fi&amp;Fo'!$I$35,IF(AB767&lt;='3.4 Fi&amp;Fo'!$F$38,'3.4 Fi&amp;Fo'!$I$38,IF(AB767&lt;='3.4 Fi&amp;Fo'!$F$39,'3.4 Fi&amp;Fo'!$I$39,IF(AB767&lt;='3.4 Fi&amp;Fo'!$F$40,'3.4 Fi&amp;Fo'!$I$40))))))</f>
        <v>0</v>
      </c>
      <c r="AI767" s="203">
        <f t="shared" si="598"/>
        <v>0</v>
      </c>
      <c r="AJ767" s="204">
        <f t="shared" si="548"/>
        <v>2716140.2904911651</v>
      </c>
      <c r="AK767" s="312">
        <f t="shared" ca="1" si="599"/>
        <v>0</v>
      </c>
      <c r="AL767" s="169">
        <f>IF(AB767&lt;='3.4 Fi&amp;Fo'!$J$15,'3.4 Fi&amp;Fo'!$I$15,0)</f>
        <v>0</v>
      </c>
      <c r="AM767" s="169">
        <f t="shared" si="561"/>
        <v>0</v>
      </c>
      <c r="AN767" s="838" t="str">
        <f t="shared" si="566"/>
        <v/>
      </c>
      <c r="AO767" s="844">
        <f t="shared" ca="1" si="550"/>
        <v>0</v>
      </c>
      <c r="AP767" s="839">
        <f ca="1">DB832</f>
        <v>0</v>
      </c>
      <c r="AQ767" s="844">
        <f t="shared" si="551"/>
        <v>0</v>
      </c>
      <c r="AR767" s="839" t="str">
        <f t="shared" si="567"/>
        <v/>
      </c>
      <c r="AS767" s="839">
        <f t="shared" si="562"/>
        <v>0</v>
      </c>
      <c r="AT767" s="839">
        <f t="shared" si="563"/>
        <v>0</v>
      </c>
      <c r="AU767" s="839">
        <f>'PV-Einspeisung'!AA248*-1</f>
        <v>0</v>
      </c>
      <c r="AV767" s="839">
        <f>'PV-Einspeisung'!AE248*-1</f>
        <v>0</v>
      </c>
      <c r="AW767" s="839"/>
      <c r="AX767" s="839" t="str">
        <f t="shared" si="568"/>
        <v/>
      </c>
      <c r="AY767" s="841" t="str">
        <f t="shared" si="552"/>
        <v/>
      </c>
      <c r="AZ767" s="842" t="str">
        <f t="shared" si="569"/>
        <v/>
      </c>
      <c r="BA767" s="842" t="str">
        <f t="shared" si="570"/>
        <v/>
      </c>
      <c r="BB767" s="842" t="str">
        <f t="shared" si="571"/>
        <v/>
      </c>
      <c r="BC767" s="842" t="str">
        <f t="shared" si="572"/>
        <v/>
      </c>
      <c r="BD767" s="842" t="str">
        <f t="shared" si="573"/>
        <v/>
      </c>
      <c r="BE767" s="842" t="str">
        <f t="shared" si="574"/>
        <v/>
      </c>
      <c r="BF767" s="842" t="str">
        <f t="shared" si="575"/>
        <v/>
      </c>
      <c r="BG767" s="842" t="str">
        <f t="shared" si="576"/>
        <v/>
      </c>
      <c r="BH767" s="858" t="str">
        <f t="shared" si="560"/>
        <v/>
      </c>
      <c r="BI767" s="857" t="str">
        <f t="shared" si="577"/>
        <v/>
      </c>
      <c r="BJ767" s="857" t="str">
        <f t="shared" si="578"/>
        <v/>
      </c>
      <c r="BK767" s="859">
        <f>'PV-Einspeisung'!AB248*-1</f>
        <v>0</v>
      </c>
      <c r="BL767" s="824">
        <f t="shared" ca="1" si="593"/>
        <v>0</v>
      </c>
      <c r="BM767" s="824">
        <f t="shared" ca="1" si="594"/>
        <v>0</v>
      </c>
      <c r="BN767" s="824">
        <f t="shared" ca="1" si="595"/>
        <v>0</v>
      </c>
      <c r="BO767" s="824">
        <f t="shared" ca="1" si="597"/>
        <v>0</v>
      </c>
      <c r="BP767" s="824">
        <f t="shared" ca="1" si="597"/>
        <v>0</v>
      </c>
      <c r="BQ767" s="824">
        <f t="shared" ca="1" si="597"/>
        <v>0</v>
      </c>
      <c r="BR767" s="824">
        <f t="shared" ca="1" si="597"/>
        <v>0</v>
      </c>
      <c r="BS767" s="824">
        <f t="shared" ca="1" si="597"/>
        <v>0</v>
      </c>
      <c r="BT767" s="824">
        <f t="shared" ca="1" si="597"/>
        <v>0</v>
      </c>
      <c r="BU767" s="824">
        <f t="shared" ca="1" si="597"/>
        <v>0</v>
      </c>
      <c r="BV767" s="824">
        <f t="shared" ca="1" si="597"/>
        <v>0</v>
      </c>
      <c r="BW767" s="824">
        <f t="shared" ca="1" si="597"/>
        <v>0</v>
      </c>
      <c r="BX767" s="824">
        <f t="shared" ca="1" si="597"/>
        <v>0</v>
      </c>
      <c r="BY767" s="824">
        <f t="shared" ca="1" si="597"/>
        <v>0</v>
      </c>
      <c r="BZ767" s="824">
        <f t="shared" ca="1" si="597"/>
        <v>0</v>
      </c>
      <c r="CA767" s="824">
        <f t="shared" ca="1" si="597"/>
        <v>0</v>
      </c>
      <c r="CB767" s="824">
        <f t="shared" ca="1" si="597"/>
        <v>0</v>
      </c>
      <c r="CC767" s="824">
        <f t="shared" ca="1" si="597"/>
        <v>0</v>
      </c>
      <c r="CD767" s="824">
        <f t="shared" ca="1" si="597"/>
        <v>0</v>
      </c>
      <c r="CE767" s="824">
        <f t="shared" ca="1" si="596"/>
        <v>0</v>
      </c>
      <c r="CF767" s="824">
        <f t="shared" ca="1" si="596"/>
        <v>0</v>
      </c>
      <c r="CG767" s="824">
        <f t="shared" ca="1" si="596"/>
        <v>0</v>
      </c>
      <c r="CH767" s="824">
        <f t="shared" ca="1" si="596"/>
        <v>0</v>
      </c>
      <c r="CI767" s="824">
        <f t="shared" ca="1" si="596"/>
        <v>0</v>
      </c>
      <c r="CJ767" s="824">
        <f t="shared" ca="1" si="596"/>
        <v>0</v>
      </c>
      <c r="CK767" s="824">
        <f t="shared" ca="1" si="596"/>
        <v>0</v>
      </c>
      <c r="CL767" s="824">
        <f t="shared" ca="1" si="596"/>
        <v>0</v>
      </c>
      <c r="CM767" s="824">
        <f t="shared" ca="1" si="596"/>
        <v>0</v>
      </c>
      <c r="CN767" s="824">
        <f t="shared" ca="1" si="596"/>
        <v>0</v>
      </c>
      <c r="CO767" s="824">
        <f t="shared" ca="1" si="596"/>
        <v>0</v>
      </c>
      <c r="CP767" s="824">
        <f t="shared" ca="1" si="596"/>
        <v>0</v>
      </c>
      <c r="CQ767" s="824">
        <f t="shared" ca="1" si="596"/>
        <v>0</v>
      </c>
      <c r="CR767" s="824">
        <f t="shared" ca="1" si="596"/>
        <v>0</v>
      </c>
      <c r="CS767" s="824">
        <f t="shared" ca="1" si="596"/>
        <v>0</v>
      </c>
      <c r="CT767" s="824">
        <f t="shared" ca="1" si="587"/>
        <v>0</v>
      </c>
      <c r="CU767" s="824">
        <f t="shared" ca="1" si="587"/>
        <v>0</v>
      </c>
      <c r="CV767" s="824">
        <f t="shared" ca="1" si="587"/>
        <v>0</v>
      </c>
      <c r="CW767" s="824">
        <f t="shared" ca="1" si="587"/>
        <v>0</v>
      </c>
      <c r="CX767" s="824">
        <f t="shared" ca="1" si="587"/>
        <v>0</v>
      </c>
      <c r="CY767" s="824">
        <f t="shared" ca="1" si="587"/>
        <v>0</v>
      </c>
      <c r="CZ767" s="824">
        <f t="shared" ca="1" si="587"/>
        <v>0</v>
      </c>
      <c r="DA767" s="824">
        <f t="shared" ca="1" si="587"/>
        <v>0</v>
      </c>
      <c r="DB767" s="824">
        <f t="shared" ca="1" si="587"/>
        <v>0</v>
      </c>
      <c r="DC767" s="824">
        <f t="shared" ca="1" si="587"/>
        <v>0</v>
      </c>
      <c r="DD767" s="824">
        <f t="shared" ca="1" si="587"/>
        <v>0</v>
      </c>
      <c r="DE767" s="824">
        <f t="shared" ca="1" si="587"/>
        <v>0</v>
      </c>
      <c r="DF767" s="824">
        <f t="shared" ca="1" si="587"/>
        <v>0</v>
      </c>
      <c r="DG767" s="824">
        <f t="shared" ca="1" si="590"/>
        <v>0</v>
      </c>
      <c r="DH767" s="824">
        <f t="shared" ca="1" si="590"/>
        <v>0</v>
      </c>
      <c r="DI767" s="824">
        <f t="shared" ca="1" si="590"/>
        <v>0</v>
      </c>
      <c r="DJ767" s="824">
        <f t="shared" ca="1" si="590"/>
        <v>0</v>
      </c>
      <c r="DK767" s="824">
        <f t="shared" ca="1" si="589"/>
        <v>0</v>
      </c>
      <c r="DL767" s="824">
        <f t="shared" ca="1" si="589"/>
        <v>0</v>
      </c>
    </row>
    <row r="768" spans="2:116" ht="12" thickBot="1" x14ac:dyDescent="0.3">
      <c r="B768" s="1673"/>
      <c r="C768" s="1680"/>
      <c r="D768" s="15" t="s">
        <v>51</v>
      </c>
      <c r="E768" s="165"/>
      <c r="F768" s="116">
        <f ca="1">SUBTOTAL(109,'3.4 I&amp;W'!$X$119)</f>
        <v>0</v>
      </c>
      <c r="G768" s="116">
        <f ca="1">SUBTOTAL(109,'3.4 I&amp;W'!$Y$119)</f>
        <v>0</v>
      </c>
      <c r="H768" s="116">
        <f ca="1">SUBTOTAL(109,'3.4 I&amp;W'!$AD$119)</f>
        <v>0</v>
      </c>
      <c r="I768" s="116">
        <f ca="1">SUBTOTAL(109,'3.4 I&amp;W'!$AE$119)</f>
        <v>0</v>
      </c>
      <c r="J768" s="116"/>
      <c r="K768" s="116"/>
      <c r="L768" s="116"/>
      <c r="M768" s="116">
        <f ca="1">SUBTOTAL(109,'3.4 I&amp;W'!$AI$119)</f>
        <v>0</v>
      </c>
      <c r="N768" s="156">
        <f t="shared" ca="1" si="541"/>
        <v>0</v>
      </c>
      <c r="O768" s="116">
        <f ca="1">SUBTOTAL(109,'3.4 I&amp;W'!$S$119)</f>
        <v>0</v>
      </c>
      <c r="P768" s="30">
        <f t="shared" ca="1" si="581"/>
        <v>0</v>
      </c>
      <c r="Q768" s="31">
        <f t="shared" ca="1" si="582"/>
        <v>0</v>
      </c>
      <c r="R768" s="31">
        <f t="shared" ca="1" si="583"/>
        <v>0</v>
      </c>
      <c r="S768" s="31">
        <f t="shared" ca="1" si="584"/>
        <v>0</v>
      </c>
      <c r="T768" s="32">
        <f t="shared" ca="1" si="585"/>
        <v>0</v>
      </c>
      <c r="U768" s="37">
        <f t="shared" ca="1" si="542"/>
        <v>0</v>
      </c>
      <c r="V768" s="40">
        <f t="shared" ca="1" si="591"/>
        <v>0</v>
      </c>
      <c r="W768" s="41">
        <f t="shared" ca="1" si="592"/>
        <v>0</v>
      </c>
      <c r="X768" s="43"/>
      <c r="Y768" s="46"/>
      <c r="Z768" s="126"/>
      <c r="AA768" s="136"/>
      <c r="AB768" s="131">
        <v>41</v>
      </c>
      <c r="AC768" s="168">
        <f ca="1">IF(AF767&lt;=1,0,'3.4 Fi&amp;Fo'!$I$25)</f>
        <v>0</v>
      </c>
      <c r="AD768" s="169">
        <f ca="1">IF(AF767&lt;=1,0,AF767*'3.4 Fi&amp;Fo'!$H$25)</f>
        <v>0</v>
      </c>
      <c r="AE768" s="169">
        <f t="shared" ca="1" si="545"/>
        <v>0</v>
      </c>
      <c r="AF768" s="170">
        <f t="shared" ca="1" si="546"/>
        <v>7.9307937994599342E-10</v>
      </c>
      <c r="AG768" s="168" t="b">
        <f>IF(AJ767&lt;=1,0,IF(AB768&lt;='3.4 Fi&amp;Fo'!$F$34,'3.4 Fi&amp;Fo'!$J$34,IF(AB768&lt;='3.4 Fi&amp;Fo'!$F$35,'3.4 Fi&amp;Fo'!$J$35,IF(AB768&lt;='3.4 Fi&amp;Fo'!$F$36,'3.4 Fi&amp;Fo'!$J$36,IF(AB768&lt;='3.4 Fi&amp;Fo'!$F$37,'3.4 Fi&amp;Fo'!$J$37,IF(AB768&lt;='3.4 Fi&amp;Fo'!$F$38,'3.4 Fi&amp;Fo'!$J$38,IF(AB768&lt;='3.4 Fi&amp;Fo'!$F$39,'3.4 Fi&amp;Fo'!$J$39,IF(AB768&lt;='3.4 Fi&amp;Fo'!$F$40,'3.4 Fi&amp;Fo'!$J$40))))))))</f>
        <v>0</v>
      </c>
      <c r="AH768" s="203">
        <f>IF(AJ767&lt;=1,0,AJ767*IF(AB768&lt;='3.4 Fi&amp;Fo'!$F$34,'3.4 Fi&amp;Fo'!$I$34,IF(AB768&lt;='3.4 Fi&amp;Fo'!$F$35,'3.4 Fi&amp;Fo'!$I$35,IF(AB768&lt;='3.4 Fi&amp;Fo'!$F$38,'3.4 Fi&amp;Fo'!$I$38,IF(AB768&lt;='3.4 Fi&amp;Fo'!$F$39,'3.4 Fi&amp;Fo'!$I$39,IF(AB768&lt;='3.4 Fi&amp;Fo'!$F$40,'3.4 Fi&amp;Fo'!$I$40))))))</f>
        <v>0</v>
      </c>
      <c r="AI768" s="203">
        <f t="shared" si="598"/>
        <v>0</v>
      </c>
      <c r="AJ768" s="204">
        <f t="shared" si="548"/>
        <v>2716140.2904911651</v>
      </c>
      <c r="AK768" s="312">
        <f t="shared" ca="1" si="599"/>
        <v>0</v>
      </c>
      <c r="AL768" s="169">
        <f>IF(AB768&lt;='3.4 Fi&amp;Fo'!$J$15,'3.4 Fi&amp;Fo'!$I$15,0)</f>
        <v>0</v>
      </c>
      <c r="AM768" s="169">
        <f t="shared" si="561"/>
        <v>0</v>
      </c>
      <c r="AN768" s="838" t="str">
        <f t="shared" si="566"/>
        <v/>
      </c>
      <c r="AO768" s="844">
        <f t="shared" ca="1" si="550"/>
        <v>0</v>
      </c>
      <c r="AP768" s="839">
        <f ca="1">DC832</f>
        <v>0</v>
      </c>
      <c r="AQ768" s="844">
        <f t="shared" si="551"/>
        <v>0</v>
      </c>
      <c r="AR768" s="839" t="str">
        <f t="shared" si="567"/>
        <v/>
      </c>
      <c r="AS768" s="839">
        <f t="shared" si="562"/>
        <v>0</v>
      </c>
      <c r="AT768" s="839">
        <f t="shared" si="563"/>
        <v>0</v>
      </c>
      <c r="AU768" s="839">
        <f>'PV-Einspeisung'!AA249*-1</f>
        <v>0</v>
      </c>
      <c r="AV768" s="839">
        <f>'PV-Einspeisung'!AE249*-1</f>
        <v>0</v>
      </c>
      <c r="AW768" s="839"/>
      <c r="AX768" s="839" t="str">
        <f t="shared" si="568"/>
        <v/>
      </c>
      <c r="AY768" s="841" t="str">
        <f t="shared" si="552"/>
        <v/>
      </c>
      <c r="AZ768" s="842" t="str">
        <f>IF($AN768="","",AZ767*$AZ$201)</f>
        <v/>
      </c>
      <c r="BA768" s="842" t="str">
        <f t="shared" si="570"/>
        <v/>
      </c>
      <c r="BB768" s="842" t="str">
        <f t="shared" si="571"/>
        <v/>
      </c>
      <c r="BC768" s="842" t="str">
        <f t="shared" si="572"/>
        <v/>
      </c>
      <c r="BD768" s="842" t="str">
        <f t="shared" si="573"/>
        <v/>
      </c>
      <c r="BE768" s="842" t="str">
        <f t="shared" si="574"/>
        <v/>
      </c>
      <c r="BF768" s="842" t="str">
        <f t="shared" si="575"/>
        <v/>
      </c>
      <c r="BG768" s="842" t="str">
        <f t="shared" si="576"/>
        <v/>
      </c>
      <c r="BH768" s="858" t="str">
        <f t="shared" si="560"/>
        <v/>
      </c>
      <c r="BI768" s="857" t="str">
        <f t="shared" si="577"/>
        <v/>
      </c>
      <c r="BJ768" s="857" t="str">
        <f t="shared" si="578"/>
        <v/>
      </c>
      <c r="BK768" s="859">
        <f>'PV-Einspeisung'!AB249*-1</f>
        <v>0</v>
      </c>
      <c r="BL768" s="824">
        <f t="shared" ca="1" si="593"/>
        <v>0</v>
      </c>
      <c r="BM768" s="824">
        <f t="shared" ca="1" si="594"/>
        <v>0</v>
      </c>
      <c r="BN768" s="824">
        <f t="shared" ca="1" si="595"/>
        <v>0</v>
      </c>
      <c r="BO768" s="824">
        <f t="shared" ca="1" si="597"/>
        <v>0</v>
      </c>
      <c r="BP768" s="824">
        <f t="shared" ca="1" si="597"/>
        <v>0</v>
      </c>
      <c r="BQ768" s="824">
        <f t="shared" ca="1" si="597"/>
        <v>0</v>
      </c>
      <c r="BR768" s="824">
        <f t="shared" ca="1" si="597"/>
        <v>0</v>
      </c>
      <c r="BS768" s="824">
        <f t="shared" ca="1" si="597"/>
        <v>0</v>
      </c>
      <c r="BT768" s="824">
        <f t="shared" ca="1" si="597"/>
        <v>0</v>
      </c>
      <c r="BU768" s="824">
        <f t="shared" ca="1" si="597"/>
        <v>0</v>
      </c>
      <c r="BV768" s="824">
        <f t="shared" ca="1" si="597"/>
        <v>0</v>
      </c>
      <c r="BW768" s="824">
        <f t="shared" ca="1" si="597"/>
        <v>0</v>
      </c>
      <c r="BX768" s="824">
        <f t="shared" ca="1" si="597"/>
        <v>0</v>
      </c>
      <c r="BY768" s="824">
        <f t="shared" ca="1" si="597"/>
        <v>0</v>
      </c>
      <c r="BZ768" s="824">
        <f t="shared" ca="1" si="597"/>
        <v>0</v>
      </c>
      <c r="CA768" s="824">
        <f t="shared" ca="1" si="597"/>
        <v>0</v>
      </c>
      <c r="CB768" s="824">
        <f t="shared" ca="1" si="597"/>
        <v>0</v>
      </c>
      <c r="CC768" s="824">
        <f t="shared" ca="1" si="597"/>
        <v>0</v>
      </c>
      <c r="CD768" s="824">
        <f t="shared" ca="1" si="597"/>
        <v>0</v>
      </c>
      <c r="CE768" s="824">
        <f t="shared" ca="1" si="596"/>
        <v>0</v>
      </c>
      <c r="CF768" s="824">
        <f t="shared" ca="1" si="596"/>
        <v>0</v>
      </c>
      <c r="CG768" s="824">
        <f t="shared" ca="1" si="596"/>
        <v>0</v>
      </c>
      <c r="CH768" s="824">
        <f t="shared" ca="1" si="596"/>
        <v>0</v>
      </c>
      <c r="CI768" s="824">
        <f t="shared" ca="1" si="596"/>
        <v>0</v>
      </c>
      <c r="CJ768" s="824">
        <f t="shared" ca="1" si="596"/>
        <v>0</v>
      </c>
      <c r="CK768" s="824">
        <f t="shared" ca="1" si="596"/>
        <v>0</v>
      </c>
      <c r="CL768" s="824">
        <f t="shared" ca="1" si="596"/>
        <v>0</v>
      </c>
      <c r="CM768" s="824">
        <f t="shared" ca="1" si="596"/>
        <v>0</v>
      </c>
      <c r="CN768" s="824">
        <f t="shared" ca="1" si="596"/>
        <v>0</v>
      </c>
      <c r="CO768" s="824">
        <f t="shared" ca="1" si="596"/>
        <v>0</v>
      </c>
      <c r="CP768" s="824">
        <f t="shared" ca="1" si="596"/>
        <v>0</v>
      </c>
      <c r="CQ768" s="824">
        <f t="shared" ca="1" si="596"/>
        <v>0</v>
      </c>
      <c r="CR768" s="824">
        <f t="shared" ca="1" si="596"/>
        <v>0</v>
      </c>
      <c r="CS768" s="824">
        <f t="shared" ca="1" si="596"/>
        <v>0</v>
      </c>
      <c r="CT768" s="824">
        <f t="shared" ca="1" si="587"/>
        <v>0</v>
      </c>
      <c r="CU768" s="824">
        <f t="shared" ca="1" si="587"/>
        <v>0</v>
      </c>
      <c r="CV768" s="824">
        <f t="shared" ca="1" si="587"/>
        <v>0</v>
      </c>
      <c r="CW768" s="824">
        <f t="shared" ca="1" si="587"/>
        <v>0</v>
      </c>
      <c r="CX768" s="824">
        <f t="shared" ca="1" si="587"/>
        <v>0</v>
      </c>
      <c r="CY768" s="824">
        <f t="shared" ca="1" si="587"/>
        <v>0</v>
      </c>
      <c r="CZ768" s="824">
        <f t="shared" ca="1" si="587"/>
        <v>0</v>
      </c>
      <c r="DA768" s="824">
        <f t="shared" ca="1" si="587"/>
        <v>0</v>
      </c>
      <c r="DB768" s="824">
        <f t="shared" ca="1" si="587"/>
        <v>0</v>
      </c>
      <c r="DC768" s="824">
        <f t="shared" ca="1" si="587"/>
        <v>0</v>
      </c>
      <c r="DD768" s="824">
        <f t="shared" ca="1" si="587"/>
        <v>0</v>
      </c>
      <c r="DE768" s="824">
        <f t="shared" ca="1" si="587"/>
        <v>0</v>
      </c>
      <c r="DF768" s="824">
        <f t="shared" ca="1" si="587"/>
        <v>0</v>
      </c>
      <c r="DG768" s="824">
        <f t="shared" ca="1" si="590"/>
        <v>0</v>
      </c>
      <c r="DH768" s="824">
        <f t="shared" ca="1" si="590"/>
        <v>0</v>
      </c>
      <c r="DI768" s="824">
        <f t="shared" ca="1" si="590"/>
        <v>0</v>
      </c>
      <c r="DJ768" s="824">
        <f t="shared" ca="1" si="590"/>
        <v>0</v>
      </c>
      <c r="DK768" s="824">
        <f t="shared" ca="1" si="589"/>
        <v>0</v>
      </c>
      <c r="DL768" s="824">
        <f t="shared" ca="1" si="589"/>
        <v>0</v>
      </c>
    </row>
    <row r="769" spans="2:116" ht="12" thickBot="1" x14ac:dyDescent="0.3">
      <c r="B769" s="1673"/>
      <c r="C769" s="1680"/>
      <c r="D769" s="15" t="s">
        <v>51</v>
      </c>
      <c r="E769" s="116"/>
      <c r="F769" s="116">
        <f ca="1">SUBTOTAL(109,'3.4 I&amp;W'!$X$120)</f>
        <v>0</v>
      </c>
      <c r="G769" s="116">
        <f ca="1">SUBTOTAL(109,'3.4 I&amp;W'!$Y$120)</f>
        <v>0</v>
      </c>
      <c r="H769" s="116">
        <f ca="1">SUBTOTAL(109,'3.4 I&amp;W'!$AD$120)</f>
        <v>0</v>
      </c>
      <c r="I769" s="116">
        <f ca="1">SUBTOTAL(109,'3.4 I&amp;W'!$AE$120)</f>
        <v>0</v>
      </c>
      <c r="J769" s="116"/>
      <c r="K769" s="116"/>
      <c r="L769" s="116"/>
      <c r="M769" s="116">
        <f ca="1">SUBTOTAL(109,'3.4 I&amp;W'!$AI$120)</f>
        <v>0</v>
      </c>
      <c r="N769" s="156">
        <f t="shared" ca="1" si="541"/>
        <v>0</v>
      </c>
      <c r="O769" s="116">
        <f ca="1">SUBTOTAL(109,'3.4 I&amp;W'!$S$120)</f>
        <v>0</v>
      </c>
      <c r="P769" s="30">
        <f t="shared" ca="1" si="581"/>
        <v>0</v>
      </c>
      <c r="Q769" s="31">
        <f t="shared" ca="1" si="582"/>
        <v>0</v>
      </c>
      <c r="R769" s="31">
        <f t="shared" ca="1" si="583"/>
        <v>0</v>
      </c>
      <c r="S769" s="31">
        <f t="shared" ca="1" si="584"/>
        <v>0</v>
      </c>
      <c r="T769" s="32">
        <f t="shared" ca="1" si="585"/>
        <v>0</v>
      </c>
      <c r="U769" s="37">
        <f t="shared" ca="1" si="542"/>
        <v>0</v>
      </c>
      <c r="V769" s="40">
        <f t="shared" ca="1" si="591"/>
        <v>0</v>
      </c>
      <c r="W769" s="41">
        <f t="shared" ca="1" si="592"/>
        <v>0</v>
      </c>
      <c r="X769" s="43"/>
      <c r="Y769" s="46"/>
      <c r="Z769" s="126"/>
      <c r="AA769" s="136"/>
      <c r="AB769" s="131">
        <v>42</v>
      </c>
      <c r="AC769" s="168">
        <f ca="1">IF(AF768&lt;=1,0,'3.4 Fi&amp;Fo'!$I$25)</f>
        <v>0</v>
      </c>
      <c r="AD769" s="169">
        <f ca="1">IF(AF768&lt;=1,0,AF768*'3.4 Fi&amp;Fo'!$H$25)</f>
        <v>0</v>
      </c>
      <c r="AE769" s="169">
        <f t="shared" ca="1" si="545"/>
        <v>0</v>
      </c>
      <c r="AF769" s="170">
        <f t="shared" ca="1" si="546"/>
        <v>7.9307937994599342E-10</v>
      </c>
      <c r="AG769" s="168" t="b">
        <f>IF(AJ768&lt;=1,0,IF(AB769&lt;='3.4 Fi&amp;Fo'!$F$34,'3.4 Fi&amp;Fo'!$J$34,IF(AB769&lt;='3.4 Fi&amp;Fo'!$F$35,'3.4 Fi&amp;Fo'!$J$35,IF(AB769&lt;='3.4 Fi&amp;Fo'!$F$36,'3.4 Fi&amp;Fo'!$J$36,IF(AB769&lt;='3.4 Fi&amp;Fo'!$F$37,'3.4 Fi&amp;Fo'!$J$37,IF(AB769&lt;='3.4 Fi&amp;Fo'!$F$38,'3.4 Fi&amp;Fo'!$J$38,IF(AB769&lt;='3.4 Fi&amp;Fo'!$F$39,'3.4 Fi&amp;Fo'!$J$39,IF(AB769&lt;='3.4 Fi&amp;Fo'!$F$40,'3.4 Fi&amp;Fo'!$J$40))))))))</f>
        <v>0</v>
      </c>
      <c r="AH769" s="203">
        <f>IF(AJ768&lt;=1,0,AJ768*IF(AB769&lt;='3.4 Fi&amp;Fo'!$F$34,'3.4 Fi&amp;Fo'!$I$34,IF(AB769&lt;='3.4 Fi&amp;Fo'!$F$35,'3.4 Fi&amp;Fo'!$I$35,IF(AB769&lt;='3.4 Fi&amp;Fo'!$F$38,'3.4 Fi&amp;Fo'!$I$38,IF(AB769&lt;='3.4 Fi&amp;Fo'!$F$39,'3.4 Fi&amp;Fo'!$I$39,IF(AB769&lt;='3.4 Fi&amp;Fo'!$F$40,'3.4 Fi&amp;Fo'!$I$40))))))</f>
        <v>0</v>
      </c>
      <c r="AI769" s="203">
        <f t="shared" si="598"/>
        <v>0</v>
      </c>
      <c r="AJ769" s="204">
        <f t="shared" si="548"/>
        <v>2716140.2904911651</v>
      </c>
      <c r="AK769" s="312">
        <f t="shared" ca="1" si="599"/>
        <v>0</v>
      </c>
      <c r="AL769" s="169">
        <f>IF(AB769&lt;='3.4 Fi&amp;Fo'!$J$15,'3.4 Fi&amp;Fo'!$I$15,0)</f>
        <v>0</v>
      </c>
      <c r="AM769" s="169">
        <f t="shared" si="561"/>
        <v>0</v>
      </c>
      <c r="AN769" s="838" t="str">
        <f t="shared" si="566"/>
        <v/>
      </c>
      <c r="AO769" s="844">
        <f t="shared" ca="1" si="550"/>
        <v>0</v>
      </c>
      <c r="AP769" s="839">
        <f ca="1">DD832</f>
        <v>0</v>
      </c>
      <c r="AQ769" s="844">
        <f t="shared" si="551"/>
        <v>0</v>
      </c>
      <c r="AR769" s="839" t="str">
        <f t="shared" si="567"/>
        <v/>
      </c>
      <c r="AS769" s="839">
        <f t="shared" si="562"/>
        <v>0</v>
      </c>
      <c r="AT769" s="839">
        <f t="shared" si="563"/>
        <v>0</v>
      </c>
      <c r="AU769" s="839">
        <f>'PV-Einspeisung'!AA250*-1</f>
        <v>0</v>
      </c>
      <c r="AV769" s="839">
        <f>'PV-Einspeisung'!AE250*-1</f>
        <v>0</v>
      </c>
      <c r="AW769" s="839"/>
      <c r="AX769" s="839" t="str">
        <f t="shared" si="568"/>
        <v/>
      </c>
      <c r="AY769" s="841" t="str">
        <f t="shared" si="552"/>
        <v/>
      </c>
      <c r="AZ769" s="842" t="str">
        <f t="shared" ref="AZ769:AZ777" si="600">IF($AN769="","",AZ768*$AZ$201)</f>
        <v/>
      </c>
      <c r="BA769" s="842" t="str">
        <f t="shared" si="570"/>
        <v/>
      </c>
      <c r="BB769" s="842" t="str">
        <f t="shared" si="571"/>
        <v/>
      </c>
      <c r="BC769" s="842" t="str">
        <f t="shared" si="572"/>
        <v/>
      </c>
      <c r="BD769" s="842" t="str">
        <f t="shared" si="573"/>
        <v/>
      </c>
      <c r="BE769" s="842" t="str">
        <f t="shared" si="574"/>
        <v/>
      </c>
      <c r="BF769" s="842" t="str">
        <f t="shared" si="575"/>
        <v/>
      </c>
      <c r="BG769" s="842" t="str">
        <f t="shared" si="576"/>
        <v/>
      </c>
      <c r="BH769" s="858" t="str">
        <f t="shared" si="560"/>
        <v/>
      </c>
      <c r="BI769" s="857" t="str">
        <f t="shared" si="577"/>
        <v/>
      </c>
      <c r="BJ769" s="857" t="str">
        <f t="shared" si="578"/>
        <v/>
      </c>
      <c r="BK769" s="859">
        <f>'PV-Einspeisung'!AB250*-1</f>
        <v>0</v>
      </c>
      <c r="BL769" s="824">
        <f t="shared" ca="1" si="593"/>
        <v>0</v>
      </c>
      <c r="BM769" s="824">
        <f t="shared" ca="1" si="594"/>
        <v>0</v>
      </c>
      <c r="BN769" s="824">
        <f t="shared" ca="1" si="595"/>
        <v>0</v>
      </c>
      <c r="BO769" s="824">
        <f t="shared" ca="1" si="597"/>
        <v>0</v>
      </c>
      <c r="BP769" s="824">
        <f t="shared" ca="1" si="597"/>
        <v>0</v>
      </c>
      <c r="BQ769" s="824">
        <f t="shared" ca="1" si="597"/>
        <v>0</v>
      </c>
      <c r="BR769" s="824">
        <f t="shared" ca="1" si="597"/>
        <v>0</v>
      </c>
      <c r="BS769" s="824">
        <f t="shared" ca="1" si="597"/>
        <v>0</v>
      </c>
      <c r="BT769" s="824">
        <f t="shared" ca="1" si="597"/>
        <v>0</v>
      </c>
      <c r="BU769" s="824">
        <f t="shared" ca="1" si="597"/>
        <v>0</v>
      </c>
      <c r="BV769" s="824">
        <f t="shared" ca="1" si="597"/>
        <v>0</v>
      </c>
      <c r="BW769" s="824">
        <f t="shared" ca="1" si="597"/>
        <v>0</v>
      </c>
      <c r="BX769" s="824">
        <f t="shared" ca="1" si="597"/>
        <v>0</v>
      </c>
      <c r="BY769" s="824">
        <f t="shared" ca="1" si="597"/>
        <v>0</v>
      </c>
      <c r="BZ769" s="824">
        <f t="shared" ca="1" si="597"/>
        <v>0</v>
      </c>
      <c r="CA769" s="824">
        <f t="shared" ca="1" si="597"/>
        <v>0</v>
      </c>
      <c r="CB769" s="824">
        <f t="shared" ca="1" si="597"/>
        <v>0</v>
      </c>
      <c r="CC769" s="824">
        <f t="shared" ca="1" si="597"/>
        <v>0</v>
      </c>
      <c r="CD769" s="824">
        <f t="shared" ca="1" si="597"/>
        <v>0</v>
      </c>
      <c r="CE769" s="824">
        <f t="shared" ca="1" si="596"/>
        <v>0</v>
      </c>
      <c r="CF769" s="824">
        <f t="shared" ca="1" si="596"/>
        <v>0</v>
      </c>
      <c r="CG769" s="824">
        <f t="shared" ca="1" si="596"/>
        <v>0</v>
      </c>
      <c r="CH769" s="824">
        <f t="shared" ca="1" si="596"/>
        <v>0</v>
      </c>
      <c r="CI769" s="824">
        <f t="shared" ca="1" si="596"/>
        <v>0</v>
      </c>
      <c r="CJ769" s="824">
        <f t="shared" ca="1" si="596"/>
        <v>0</v>
      </c>
      <c r="CK769" s="824">
        <f t="shared" ca="1" si="596"/>
        <v>0</v>
      </c>
      <c r="CL769" s="824">
        <f t="shared" ca="1" si="596"/>
        <v>0</v>
      </c>
      <c r="CM769" s="824">
        <f t="shared" ca="1" si="596"/>
        <v>0</v>
      </c>
      <c r="CN769" s="824">
        <f t="shared" ca="1" si="596"/>
        <v>0</v>
      </c>
      <c r="CO769" s="824">
        <f t="shared" ca="1" si="596"/>
        <v>0</v>
      </c>
      <c r="CP769" s="824">
        <f t="shared" ca="1" si="596"/>
        <v>0</v>
      </c>
      <c r="CQ769" s="824">
        <f t="shared" ca="1" si="596"/>
        <v>0</v>
      </c>
      <c r="CR769" s="824">
        <f t="shared" ca="1" si="596"/>
        <v>0</v>
      </c>
      <c r="CS769" s="824">
        <f t="shared" ca="1" si="596"/>
        <v>0</v>
      </c>
      <c r="CT769" s="824">
        <f t="shared" ca="1" si="587"/>
        <v>0</v>
      </c>
      <c r="CU769" s="824">
        <f t="shared" ca="1" si="587"/>
        <v>0</v>
      </c>
      <c r="CV769" s="824">
        <f t="shared" ca="1" si="587"/>
        <v>0</v>
      </c>
      <c r="CW769" s="824">
        <f t="shared" ca="1" si="587"/>
        <v>0</v>
      </c>
      <c r="CX769" s="824">
        <f t="shared" ca="1" si="587"/>
        <v>0</v>
      </c>
      <c r="CY769" s="824">
        <f t="shared" ca="1" si="587"/>
        <v>0</v>
      </c>
      <c r="CZ769" s="824">
        <f t="shared" ca="1" si="587"/>
        <v>0</v>
      </c>
      <c r="DA769" s="824">
        <f t="shared" ca="1" si="587"/>
        <v>0</v>
      </c>
      <c r="DB769" s="824">
        <f t="shared" ca="1" si="587"/>
        <v>0</v>
      </c>
      <c r="DC769" s="824">
        <f t="shared" ca="1" si="587"/>
        <v>0</v>
      </c>
      <c r="DD769" s="824">
        <f t="shared" ca="1" si="587"/>
        <v>0</v>
      </c>
      <c r="DE769" s="824">
        <f t="shared" ca="1" si="587"/>
        <v>0</v>
      </c>
      <c r="DF769" s="824">
        <f t="shared" ca="1" si="587"/>
        <v>0</v>
      </c>
      <c r="DG769" s="824">
        <f t="shared" ca="1" si="590"/>
        <v>0</v>
      </c>
      <c r="DH769" s="824">
        <f t="shared" ca="1" si="590"/>
        <v>0</v>
      </c>
      <c r="DI769" s="824">
        <f t="shared" ca="1" si="590"/>
        <v>0</v>
      </c>
      <c r="DJ769" s="824">
        <f t="shared" ca="1" si="590"/>
        <v>0</v>
      </c>
      <c r="DK769" s="824">
        <f t="shared" ca="1" si="589"/>
        <v>0</v>
      </c>
      <c r="DL769" s="824">
        <f t="shared" ca="1" si="589"/>
        <v>0</v>
      </c>
    </row>
    <row r="770" spans="2:116" ht="12" thickBot="1" x14ac:dyDescent="0.3">
      <c r="B770" s="1673"/>
      <c r="C770" s="1680"/>
      <c r="D770" s="15" t="s">
        <v>44</v>
      </c>
      <c r="E770" s="165"/>
      <c r="F770" s="116">
        <f ca="1">SUBTOTAL(109,'3.4 I&amp;W'!$X$128)</f>
        <v>0</v>
      </c>
      <c r="G770" s="116">
        <f ca="1">SUBTOTAL(109,'3.4 I&amp;W'!$Y$128)</f>
        <v>0</v>
      </c>
      <c r="H770" s="116">
        <f ca="1">SUBTOTAL(109,'3.4 I&amp;W'!$AD$128)</f>
        <v>5.0183241712477095E-2</v>
      </c>
      <c r="I770" s="116">
        <f ca="1">SUBTOTAL(109,'3.4 I&amp;W'!$AE$128)</f>
        <v>1205</v>
      </c>
      <c r="J770" s="116"/>
      <c r="K770" s="116"/>
      <c r="L770" s="116"/>
      <c r="M770" s="116">
        <f ca="1">SUBTOTAL(109,'3.4 I&amp;W'!$AI$128)</f>
        <v>20</v>
      </c>
      <c r="N770" s="156">
        <f t="shared" ca="1" si="541"/>
        <v>1</v>
      </c>
      <c r="O770" s="116">
        <f ca="1">SUBTOTAL(109,'3.4 I&amp;W'!$S$128)</f>
        <v>24012</v>
      </c>
      <c r="P770" s="30">
        <f t="shared" ca="1" si="581"/>
        <v>22197.244123510751</v>
      </c>
      <c r="Q770" s="31">
        <f t="shared" ca="1" si="582"/>
        <v>0</v>
      </c>
      <c r="R770" s="31">
        <f t="shared" ca="1" si="583"/>
        <v>0</v>
      </c>
      <c r="S770" s="31">
        <f t="shared" ca="1" si="584"/>
        <v>0</v>
      </c>
      <c r="T770" s="32">
        <f t="shared" ca="1" si="585"/>
        <v>0</v>
      </c>
      <c r="U770" s="37">
        <f t="shared" ca="1" si="542"/>
        <v>4123.2198372298963</v>
      </c>
      <c r="V770" s="40">
        <f t="shared" ca="1" si="591"/>
        <v>0</v>
      </c>
      <c r="W770" s="41">
        <f t="shared" ca="1" si="592"/>
        <v>38706.771123167651</v>
      </c>
      <c r="X770" s="43"/>
      <c r="Y770" s="46"/>
      <c r="Z770" s="126"/>
      <c r="AA770" s="136"/>
      <c r="AB770" s="131">
        <v>43</v>
      </c>
      <c r="AC770" s="168">
        <f ca="1">IF(AF769&lt;=1,0,'3.4 Fi&amp;Fo'!$I$25)</f>
        <v>0</v>
      </c>
      <c r="AD770" s="169">
        <f ca="1">IF(AF769&lt;=1,0,AF769*'3.4 Fi&amp;Fo'!$H$25)</f>
        <v>0</v>
      </c>
      <c r="AE770" s="169">
        <f t="shared" ca="1" si="545"/>
        <v>0</v>
      </c>
      <c r="AF770" s="170">
        <f t="shared" ca="1" si="546"/>
        <v>7.9307937994599342E-10</v>
      </c>
      <c r="AG770" s="168" t="b">
        <f>IF(AJ769&lt;=1,0,IF(AB770&lt;='3.4 Fi&amp;Fo'!$F$34,'3.4 Fi&amp;Fo'!$J$34,IF(AB770&lt;='3.4 Fi&amp;Fo'!$F$35,'3.4 Fi&amp;Fo'!$J$35,IF(AB770&lt;='3.4 Fi&amp;Fo'!$F$36,'3.4 Fi&amp;Fo'!$J$36,IF(AB770&lt;='3.4 Fi&amp;Fo'!$F$37,'3.4 Fi&amp;Fo'!$J$37,IF(AB770&lt;='3.4 Fi&amp;Fo'!$F$38,'3.4 Fi&amp;Fo'!$J$38,IF(AB770&lt;='3.4 Fi&amp;Fo'!$F$39,'3.4 Fi&amp;Fo'!$J$39,IF(AB770&lt;='3.4 Fi&amp;Fo'!$F$40,'3.4 Fi&amp;Fo'!$J$40))))))))</f>
        <v>0</v>
      </c>
      <c r="AH770" s="203">
        <f>IF(AJ769&lt;=1,0,AJ769*IF(AB770&lt;='3.4 Fi&amp;Fo'!$F$34,'3.4 Fi&amp;Fo'!$I$34,IF(AB770&lt;='3.4 Fi&amp;Fo'!$F$35,'3.4 Fi&amp;Fo'!$I$35,IF(AB770&lt;='3.4 Fi&amp;Fo'!$F$38,'3.4 Fi&amp;Fo'!$I$38,IF(AB770&lt;='3.4 Fi&amp;Fo'!$F$39,'3.4 Fi&amp;Fo'!$I$39,IF(AB770&lt;='3.4 Fi&amp;Fo'!$F$40,'3.4 Fi&amp;Fo'!$I$40))))))</f>
        <v>0</v>
      </c>
      <c r="AI770" s="203">
        <f t="shared" si="598"/>
        <v>0</v>
      </c>
      <c r="AJ770" s="204">
        <f t="shared" si="548"/>
        <v>2716140.2904911651</v>
      </c>
      <c r="AK770" s="312">
        <f t="shared" ca="1" si="599"/>
        <v>0</v>
      </c>
      <c r="AL770" s="169">
        <f>IF(AB770&lt;='3.4 Fi&amp;Fo'!$J$15,'3.4 Fi&amp;Fo'!$I$15,0)</f>
        <v>0</v>
      </c>
      <c r="AM770" s="169">
        <f t="shared" si="561"/>
        <v>0</v>
      </c>
      <c r="AN770" s="838" t="str">
        <f t="shared" si="566"/>
        <v/>
      </c>
      <c r="AO770" s="844">
        <f t="shared" ca="1" si="550"/>
        <v>0</v>
      </c>
      <c r="AP770" s="839">
        <f ca="1">DE832</f>
        <v>0</v>
      </c>
      <c r="AQ770" s="844">
        <f t="shared" si="551"/>
        <v>0</v>
      </c>
      <c r="AR770" s="839" t="str">
        <f t="shared" si="567"/>
        <v/>
      </c>
      <c r="AS770" s="839">
        <f t="shared" si="562"/>
        <v>0</v>
      </c>
      <c r="AT770" s="839">
        <f t="shared" si="563"/>
        <v>0</v>
      </c>
      <c r="AU770" s="839">
        <f>'PV-Einspeisung'!AA251*-1</f>
        <v>0</v>
      </c>
      <c r="AV770" s="839">
        <f>'PV-Einspeisung'!AE251*-1</f>
        <v>0</v>
      </c>
      <c r="AW770" s="839"/>
      <c r="AX770" s="839" t="str">
        <f t="shared" si="568"/>
        <v/>
      </c>
      <c r="AY770" s="841" t="str">
        <f t="shared" si="552"/>
        <v/>
      </c>
      <c r="AZ770" s="842" t="str">
        <f t="shared" si="600"/>
        <v/>
      </c>
      <c r="BA770" s="842" t="str">
        <f t="shared" si="570"/>
        <v/>
      </c>
      <c r="BB770" s="842" t="str">
        <f t="shared" si="571"/>
        <v/>
      </c>
      <c r="BC770" s="842" t="str">
        <f t="shared" si="572"/>
        <v/>
      </c>
      <c r="BD770" s="842" t="str">
        <f t="shared" si="573"/>
        <v/>
      </c>
      <c r="BE770" s="842" t="str">
        <f t="shared" si="574"/>
        <v/>
      </c>
      <c r="BF770" s="842" t="str">
        <f t="shared" si="575"/>
        <v/>
      </c>
      <c r="BG770" s="842" t="str">
        <f t="shared" si="576"/>
        <v/>
      </c>
      <c r="BH770" s="858" t="str">
        <f t="shared" si="560"/>
        <v/>
      </c>
      <c r="BI770" s="857" t="str">
        <f t="shared" si="577"/>
        <v/>
      </c>
      <c r="BJ770" s="857" t="str">
        <f t="shared" si="578"/>
        <v/>
      </c>
      <c r="BK770" s="859">
        <f>'PV-Einspeisung'!AB251*-1</f>
        <v>0</v>
      </c>
      <c r="BL770" s="824">
        <f t="shared" ca="1" si="593"/>
        <v>20</v>
      </c>
      <c r="BM770" s="824">
        <f t="shared" ca="1" si="594"/>
        <v>1</v>
      </c>
      <c r="BN770" s="824">
        <f t="shared" ca="1" si="595"/>
        <v>24012</v>
      </c>
      <c r="BO770" s="824">
        <f t="shared" ca="1" si="597"/>
        <v>0</v>
      </c>
      <c r="BP770" s="824">
        <f t="shared" ca="1" si="597"/>
        <v>0</v>
      </c>
      <c r="BQ770" s="824">
        <f t="shared" ca="1" si="597"/>
        <v>0</v>
      </c>
      <c r="BR770" s="824">
        <f t="shared" ca="1" si="597"/>
        <v>0</v>
      </c>
      <c r="BS770" s="824">
        <f t="shared" ca="1" si="597"/>
        <v>0</v>
      </c>
      <c r="BT770" s="824">
        <f t="shared" ca="1" si="597"/>
        <v>0</v>
      </c>
      <c r="BU770" s="824">
        <f t="shared" ca="1" si="597"/>
        <v>0</v>
      </c>
      <c r="BV770" s="824">
        <f t="shared" ca="1" si="597"/>
        <v>0</v>
      </c>
      <c r="BW770" s="824">
        <f t="shared" ca="1" si="597"/>
        <v>0</v>
      </c>
      <c r="BX770" s="824">
        <f t="shared" ca="1" si="597"/>
        <v>0</v>
      </c>
      <c r="BY770" s="824">
        <f t="shared" ca="1" si="597"/>
        <v>0</v>
      </c>
      <c r="BZ770" s="824">
        <f t="shared" ca="1" si="597"/>
        <v>0</v>
      </c>
      <c r="CA770" s="824">
        <f t="shared" ca="1" si="597"/>
        <v>0</v>
      </c>
      <c r="CB770" s="824">
        <f t="shared" ca="1" si="597"/>
        <v>0</v>
      </c>
      <c r="CC770" s="824">
        <f t="shared" ca="1" si="597"/>
        <v>0</v>
      </c>
      <c r="CD770" s="824">
        <f t="shared" ca="1" si="597"/>
        <v>0</v>
      </c>
      <c r="CE770" s="824">
        <f t="shared" ca="1" si="596"/>
        <v>0</v>
      </c>
      <c r="CF770" s="824">
        <f t="shared" ca="1" si="596"/>
        <v>0</v>
      </c>
      <c r="CG770" s="824">
        <f t="shared" ca="1" si="596"/>
        <v>0</v>
      </c>
      <c r="CH770" s="824">
        <f t="shared" ca="1" si="596"/>
        <v>32983.937103226628</v>
      </c>
      <c r="CI770" s="824">
        <f t="shared" ca="1" si="596"/>
        <v>0</v>
      </c>
      <c r="CJ770" s="824">
        <f t="shared" ca="1" si="596"/>
        <v>0</v>
      </c>
      <c r="CK770" s="824">
        <f t="shared" ca="1" si="596"/>
        <v>0</v>
      </c>
      <c r="CL770" s="824">
        <f t="shared" ca="1" si="596"/>
        <v>0</v>
      </c>
      <c r="CM770" s="824">
        <f t="shared" ca="1" si="596"/>
        <v>0</v>
      </c>
      <c r="CN770" s="824">
        <f t="shared" ca="1" si="596"/>
        <v>0</v>
      </c>
      <c r="CO770" s="824">
        <f t="shared" ca="1" si="596"/>
        <v>0</v>
      </c>
      <c r="CP770" s="824">
        <f t="shared" ca="1" si="596"/>
        <v>0</v>
      </c>
      <c r="CQ770" s="824">
        <f t="shared" ca="1" si="596"/>
        <v>0</v>
      </c>
      <c r="CR770" s="824">
        <f t="shared" ca="1" si="596"/>
        <v>0</v>
      </c>
      <c r="CS770" s="824">
        <f t="shared" ca="1" si="596"/>
        <v>0</v>
      </c>
      <c r="CT770" s="824">
        <f t="shared" ca="1" si="587"/>
        <v>0</v>
      </c>
      <c r="CU770" s="824">
        <f t="shared" ca="1" si="587"/>
        <v>0</v>
      </c>
      <c r="CV770" s="824">
        <f t="shared" ca="1" si="587"/>
        <v>0</v>
      </c>
      <c r="CW770" s="824">
        <f t="shared" ca="1" si="587"/>
        <v>0</v>
      </c>
      <c r="CX770" s="824">
        <f t="shared" ca="1" si="587"/>
        <v>0</v>
      </c>
      <c r="CY770" s="824">
        <f t="shared" ca="1" si="587"/>
        <v>0</v>
      </c>
      <c r="CZ770" s="824">
        <f t="shared" ca="1" si="587"/>
        <v>0</v>
      </c>
      <c r="DA770" s="824">
        <f t="shared" ca="1" si="587"/>
        <v>0</v>
      </c>
      <c r="DB770" s="824">
        <f t="shared" ca="1" si="587"/>
        <v>0</v>
      </c>
      <c r="DC770" s="824">
        <f t="shared" ca="1" si="587"/>
        <v>0</v>
      </c>
      <c r="DD770" s="824">
        <f t="shared" ca="1" si="587"/>
        <v>0</v>
      </c>
      <c r="DE770" s="824">
        <f t="shared" ca="1" si="587"/>
        <v>0</v>
      </c>
      <c r="DF770" s="824">
        <f t="shared" ca="1" si="587"/>
        <v>0</v>
      </c>
      <c r="DG770" s="824">
        <f t="shared" ca="1" si="590"/>
        <v>0</v>
      </c>
      <c r="DH770" s="824">
        <f t="shared" ca="1" si="590"/>
        <v>0</v>
      </c>
      <c r="DI770" s="824">
        <f t="shared" ca="1" si="590"/>
        <v>0</v>
      </c>
      <c r="DJ770" s="824">
        <f t="shared" ca="1" si="590"/>
        <v>0</v>
      </c>
      <c r="DK770" s="824">
        <f t="shared" ca="1" si="589"/>
        <v>0</v>
      </c>
      <c r="DL770" s="824">
        <f t="shared" ca="1" si="589"/>
        <v>0</v>
      </c>
    </row>
    <row r="771" spans="2:116" ht="12" thickBot="1" x14ac:dyDescent="0.3">
      <c r="B771" s="1673"/>
      <c r="C771" s="1680"/>
      <c r="D771" s="15" t="s">
        <v>44</v>
      </c>
      <c r="E771" s="116"/>
      <c r="F771" s="116">
        <f ca="1">SUBTOTAL(109,'3.4 I&amp;W'!$X$129)</f>
        <v>0</v>
      </c>
      <c r="G771" s="116">
        <f ca="1">SUBTOTAL(109,'3.4 I&amp;W'!$Y$129)</f>
        <v>0</v>
      </c>
      <c r="H771" s="116">
        <f ca="1">SUBTOTAL(109,'3.4 I&amp;W'!$AD$129)</f>
        <v>0</v>
      </c>
      <c r="I771" s="116">
        <f ca="1">SUBTOTAL(109,'3.4 I&amp;W'!$AE$129)</f>
        <v>0</v>
      </c>
      <c r="J771" s="116"/>
      <c r="K771" s="116"/>
      <c r="L771" s="116"/>
      <c r="M771" s="116">
        <f ca="1">SUBTOTAL(109,'3.4 I&amp;W'!$AI$129)</f>
        <v>50</v>
      </c>
      <c r="N771" s="156">
        <f t="shared" ca="1" si="541"/>
        <v>0</v>
      </c>
      <c r="O771" s="116">
        <f ca="1">SUBTOTAL(109,'3.4 I&amp;W'!$S$129)</f>
        <v>82177.2</v>
      </c>
      <c r="P771" s="30">
        <f t="shared" ca="1" si="581"/>
        <v>0</v>
      </c>
      <c r="Q771" s="31">
        <f t="shared" ca="1" si="582"/>
        <v>0</v>
      </c>
      <c r="R771" s="31">
        <f t="shared" ca="1" si="583"/>
        <v>0</v>
      </c>
      <c r="S771" s="31">
        <f t="shared" ca="1" si="584"/>
        <v>0</v>
      </c>
      <c r="T771" s="32">
        <f t="shared" ca="1" si="585"/>
        <v>0</v>
      </c>
      <c r="U771" s="37">
        <f t="shared" ca="1" si="542"/>
        <v>12327.260756564896</v>
      </c>
      <c r="V771" s="40">
        <f t="shared" ca="1" si="591"/>
        <v>0</v>
      </c>
      <c r="W771" s="41">
        <f t="shared" ca="1" si="592"/>
        <v>0</v>
      </c>
      <c r="X771" s="43"/>
      <c r="Y771" s="46"/>
      <c r="Z771" s="126"/>
      <c r="AA771" s="136"/>
      <c r="AB771" s="131">
        <v>44</v>
      </c>
      <c r="AC771" s="168">
        <f ca="1">IF(AF770&lt;=1,0,'3.4 Fi&amp;Fo'!$I$25)</f>
        <v>0</v>
      </c>
      <c r="AD771" s="169">
        <f ca="1">IF(AF770&lt;=1,0,AF770*'3.4 Fi&amp;Fo'!$H$25)</f>
        <v>0</v>
      </c>
      <c r="AE771" s="169">
        <f t="shared" ca="1" si="545"/>
        <v>0</v>
      </c>
      <c r="AF771" s="170">
        <f t="shared" ca="1" si="546"/>
        <v>7.9307937994599342E-10</v>
      </c>
      <c r="AG771" s="168" t="b">
        <f>IF(AJ770&lt;=1,0,IF(AB771&lt;='3.4 Fi&amp;Fo'!$F$34,'3.4 Fi&amp;Fo'!$J$34,IF(AB771&lt;='3.4 Fi&amp;Fo'!$F$35,'3.4 Fi&amp;Fo'!$J$35,IF(AB771&lt;='3.4 Fi&amp;Fo'!$F$36,'3.4 Fi&amp;Fo'!$J$36,IF(AB771&lt;='3.4 Fi&amp;Fo'!$F$37,'3.4 Fi&amp;Fo'!$J$37,IF(AB771&lt;='3.4 Fi&amp;Fo'!$F$38,'3.4 Fi&amp;Fo'!$J$38,IF(AB771&lt;='3.4 Fi&amp;Fo'!$F$39,'3.4 Fi&amp;Fo'!$J$39,IF(AB771&lt;='3.4 Fi&amp;Fo'!$F$40,'3.4 Fi&amp;Fo'!$J$40))))))))</f>
        <v>0</v>
      </c>
      <c r="AH771" s="203">
        <f>IF(AJ770&lt;=1,0,AJ770*IF(AB771&lt;='3.4 Fi&amp;Fo'!$F$34,'3.4 Fi&amp;Fo'!$I$34,IF(AB771&lt;='3.4 Fi&amp;Fo'!$F$35,'3.4 Fi&amp;Fo'!$I$35,IF(AB771&lt;='3.4 Fi&amp;Fo'!$F$38,'3.4 Fi&amp;Fo'!$I$38,IF(AB771&lt;='3.4 Fi&amp;Fo'!$F$39,'3.4 Fi&amp;Fo'!$I$39,IF(AB771&lt;='3.4 Fi&amp;Fo'!$F$40,'3.4 Fi&amp;Fo'!$I$40))))))</f>
        <v>0</v>
      </c>
      <c r="AI771" s="203">
        <f t="shared" si="598"/>
        <v>0</v>
      </c>
      <c r="AJ771" s="204">
        <f t="shared" si="548"/>
        <v>2716140.2904911651</v>
      </c>
      <c r="AK771" s="312">
        <f t="shared" ca="1" si="599"/>
        <v>0</v>
      </c>
      <c r="AL771" s="169">
        <f>IF(AB771&lt;='3.4 Fi&amp;Fo'!$J$15,'3.4 Fi&amp;Fo'!$I$15,0)</f>
        <v>0</v>
      </c>
      <c r="AM771" s="169">
        <f t="shared" si="561"/>
        <v>0</v>
      </c>
      <c r="AN771" s="838" t="str">
        <f t="shared" si="566"/>
        <v/>
      </c>
      <c r="AO771" s="844">
        <f t="shared" ca="1" si="550"/>
        <v>0</v>
      </c>
      <c r="AP771" s="839">
        <f ca="1">DF832</f>
        <v>0</v>
      </c>
      <c r="AQ771" s="844">
        <f t="shared" si="551"/>
        <v>0</v>
      </c>
      <c r="AR771" s="839" t="str">
        <f t="shared" si="567"/>
        <v/>
      </c>
      <c r="AS771" s="839">
        <f t="shared" si="562"/>
        <v>0</v>
      </c>
      <c r="AT771" s="839">
        <f t="shared" si="563"/>
        <v>0</v>
      </c>
      <c r="AU771" s="839">
        <f>'PV-Einspeisung'!AA252*-1</f>
        <v>0</v>
      </c>
      <c r="AV771" s="839">
        <f>'PV-Einspeisung'!AE252*-1</f>
        <v>0</v>
      </c>
      <c r="AW771" s="839"/>
      <c r="AX771" s="839" t="str">
        <f t="shared" si="568"/>
        <v/>
      </c>
      <c r="AY771" s="841" t="str">
        <f t="shared" si="552"/>
        <v/>
      </c>
      <c r="AZ771" s="842" t="str">
        <f t="shared" si="600"/>
        <v/>
      </c>
      <c r="BA771" s="842" t="str">
        <f t="shared" si="570"/>
        <v/>
      </c>
      <c r="BB771" s="842" t="str">
        <f t="shared" si="571"/>
        <v/>
      </c>
      <c r="BC771" s="842" t="str">
        <f t="shared" si="572"/>
        <v/>
      </c>
      <c r="BD771" s="842" t="str">
        <f t="shared" si="573"/>
        <v/>
      </c>
      <c r="BE771" s="842" t="str">
        <f t="shared" si="574"/>
        <v/>
      </c>
      <c r="BF771" s="842" t="str">
        <f t="shared" si="575"/>
        <v/>
      </c>
      <c r="BG771" s="842" t="str">
        <f t="shared" si="576"/>
        <v/>
      </c>
      <c r="BH771" s="858" t="str">
        <f t="shared" si="560"/>
        <v/>
      </c>
      <c r="BI771" s="857" t="str">
        <f t="shared" si="577"/>
        <v/>
      </c>
      <c r="BJ771" s="857" t="str">
        <f t="shared" si="578"/>
        <v/>
      </c>
      <c r="BK771" s="859">
        <f>'PV-Einspeisung'!AB252*-1</f>
        <v>0</v>
      </c>
      <c r="BL771" s="824">
        <f t="shared" ca="1" si="593"/>
        <v>50</v>
      </c>
      <c r="BM771" s="824">
        <f t="shared" ca="1" si="594"/>
        <v>0</v>
      </c>
      <c r="BN771" s="824">
        <f t="shared" ca="1" si="595"/>
        <v>82177.2</v>
      </c>
      <c r="BO771" s="824">
        <f t="shared" ca="1" si="597"/>
        <v>0</v>
      </c>
      <c r="BP771" s="824">
        <f t="shared" ca="1" si="597"/>
        <v>0</v>
      </c>
      <c r="BQ771" s="824">
        <f t="shared" ca="1" si="597"/>
        <v>0</v>
      </c>
      <c r="BR771" s="824">
        <f t="shared" ca="1" si="597"/>
        <v>0</v>
      </c>
      <c r="BS771" s="824">
        <f t="shared" ca="1" si="597"/>
        <v>0</v>
      </c>
      <c r="BT771" s="824">
        <f t="shared" ca="1" si="597"/>
        <v>0</v>
      </c>
      <c r="BU771" s="824">
        <f t="shared" ca="1" si="597"/>
        <v>0</v>
      </c>
      <c r="BV771" s="824">
        <f t="shared" ca="1" si="597"/>
        <v>0</v>
      </c>
      <c r="BW771" s="824">
        <f t="shared" ca="1" si="597"/>
        <v>0</v>
      </c>
      <c r="BX771" s="824">
        <f t="shared" ca="1" si="597"/>
        <v>0</v>
      </c>
      <c r="BY771" s="824">
        <f t="shared" ca="1" si="597"/>
        <v>0</v>
      </c>
      <c r="BZ771" s="824">
        <f t="shared" ca="1" si="597"/>
        <v>0</v>
      </c>
      <c r="CA771" s="824">
        <f t="shared" ca="1" si="597"/>
        <v>0</v>
      </c>
      <c r="CB771" s="824">
        <f t="shared" ca="1" si="597"/>
        <v>0</v>
      </c>
      <c r="CC771" s="824">
        <f t="shared" ca="1" si="597"/>
        <v>0</v>
      </c>
      <c r="CD771" s="824">
        <f t="shared" ca="1" si="597"/>
        <v>0</v>
      </c>
      <c r="CE771" s="824">
        <f t="shared" ca="1" si="596"/>
        <v>0</v>
      </c>
      <c r="CF771" s="824">
        <f t="shared" ca="1" si="596"/>
        <v>0</v>
      </c>
      <c r="CG771" s="824">
        <f t="shared" ca="1" si="596"/>
        <v>0</v>
      </c>
      <c r="CH771" s="824">
        <f t="shared" ca="1" si="596"/>
        <v>0</v>
      </c>
      <c r="CI771" s="824">
        <f t="shared" ca="1" si="596"/>
        <v>0</v>
      </c>
      <c r="CJ771" s="824">
        <f t="shared" ca="1" si="596"/>
        <v>0</v>
      </c>
      <c r="CK771" s="824">
        <f t="shared" ca="1" si="596"/>
        <v>0</v>
      </c>
      <c r="CL771" s="824">
        <f t="shared" ca="1" si="596"/>
        <v>0</v>
      </c>
      <c r="CM771" s="824">
        <f t="shared" ca="1" si="596"/>
        <v>0</v>
      </c>
      <c r="CN771" s="824">
        <f t="shared" ca="1" si="596"/>
        <v>0</v>
      </c>
      <c r="CO771" s="824">
        <f t="shared" ca="1" si="596"/>
        <v>0</v>
      </c>
      <c r="CP771" s="824">
        <f t="shared" ca="1" si="596"/>
        <v>0</v>
      </c>
      <c r="CQ771" s="824">
        <f t="shared" ca="1" si="596"/>
        <v>0</v>
      </c>
      <c r="CR771" s="824">
        <f t="shared" ca="1" si="596"/>
        <v>0</v>
      </c>
      <c r="CS771" s="824">
        <f t="shared" ca="1" si="596"/>
        <v>0</v>
      </c>
      <c r="CT771" s="824">
        <f t="shared" ca="1" si="587"/>
        <v>0</v>
      </c>
      <c r="CU771" s="824">
        <f t="shared" ca="1" si="587"/>
        <v>0</v>
      </c>
      <c r="CV771" s="824">
        <f t="shared" ca="1" si="587"/>
        <v>0</v>
      </c>
      <c r="CW771" s="824">
        <f t="shared" ca="1" si="587"/>
        <v>0</v>
      </c>
      <c r="CX771" s="824">
        <f t="shared" ca="1" si="587"/>
        <v>0</v>
      </c>
      <c r="CY771" s="824">
        <f t="shared" ca="1" si="587"/>
        <v>0</v>
      </c>
      <c r="CZ771" s="824">
        <f t="shared" ca="1" si="587"/>
        <v>0</v>
      </c>
      <c r="DA771" s="824">
        <f t="shared" ca="1" si="587"/>
        <v>0</v>
      </c>
      <c r="DB771" s="824">
        <f t="shared" ca="1" si="587"/>
        <v>0</v>
      </c>
      <c r="DC771" s="824">
        <f t="shared" ca="1" si="587"/>
        <v>0</v>
      </c>
      <c r="DD771" s="824">
        <f t="shared" ca="1" si="587"/>
        <v>0</v>
      </c>
      <c r="DE771" s="824">
        <f t="shared" ca="1" si="587"/>
        <v>0</v>
      </c>
      <c r="DF771" s="824">
        <f t="shared" ca="1" si="587"/>
        <v>0</v>
      </c>
      <c r="DG771" s="824">
        <f t="shared" ca="1" si="590"/>
        <v>0</v>
      </c>
      <c r="DH771" s="824">
        <f t="shared" ca="1" si="590"/>
        <v>0</v>
      </c>
      <c r="DI771" s="824">
        <f t="shared" ca="1" si="590"/>
        <v>0</v>
      </c>
      <c r="DJ771" s="824">
        <f t="shared" ca="1" si="590"/>
        <v>0</v>
      </c>
      <c r="DK771" s="824">
        <f t="shared" ca="1" si="590"/>
        <v>0</v>
      </c>
      <c r="DL771" s="824">
        <f t="shared" ca="1" si="590"/>
        <v>0</v>
      </c>
    </row>
    <row r="772" spans="2:116" ht="12" thickBot="1" x14ac:dyDescent="0.3">
      <c r="B772" s="1673"/>
      <c r="C772" s="1680"/>
      <c r="D772" s="15" t="s">
        <v>44</v>
      </c>
      <c r="E772" s="165"/>
      <c r="F772" s="116">
        <f ca="1">SUBTOTAL(109,'3.4 I&amp;W'!$X$130)</f>
        <v>0</v>
      </c>
      <c r="G772" s="116">
        <f ca="1">SUBTOTAL(109,'3.4 I&amp;W'!$Y$130)</f>
        <v>0</v>
      </c>
      <c r="H772" s="116">
        <f ca="1">SUBTOTAL(109,'3.4 I&amp;W'!$AD$130)</f>
        <v>9.4557873090481796E-3</v>
      </c>
      <c r="I772" s="116">
        <f ca="1">SUBTOTAL(109,'3.4 I&amp;W'!$AE$130)</f>
        <v>309</v>
      </c>
      <c r="J772" s="116"/>
      <c r="K772" s="116"/>
      <c r="L772" s="116"/>
      <c r="M772" s="116">
        <f ca="1">SUBTOTAL(109,'3.4 I&amp;W'!$AI$130)</f>
        <v>25</v>
      </c>
      <c r="N772" s="156">
        <f t="shared" ca="1" si="541"/>
        <v>1</v>
      </c>
      <c r="O772" s="116">
        <f ca="1">SUBTOTAL(109,'3.4 I&amp;W'!$S$130)</f>
        <v>32678.399999999998</v>
      </c>
      <c r="P772" s="30">
        <f t="shared" ca="1" si="581"/>
        <v>29620.964053326923</v>
      </c>
      <c r="Q772" s="31">
        <f t="shared" ca="1" si="582"/>
        <v>0</v>
      </c>
      <c r="R772" s="31">
        <f t="shared" ca="1" si="583"/>
        <v>0</v>
      </c>
      <c r="S772" s="31">
        <f t="shared" ca="1" si="584"/>
        <v>0</v>
      </c>
      <c r="T772" s="32">
        <f t="shared" ca="1" si="585"/>
        <v>0</v>
      </c>
      <c r="U772" s="37">
        <f t="shared" ca="1" si="542"/>
        <v>14579.704501085898</v>
      </c>
      <c r="V772" s="40">
        <f t="shared" ca="1" si="591"/>
        <v>0</v>
      </c>
      <c r="W772" s="41">
        <f t="shared" ca="1" si="592"/>
        <v>9925.6367444471398</v>
      </c>
      <c r="X772" s="43"/>
      <c r="Y772" s="46"/>
      <c r="Z772" s="126"/>
      <c r="AA772" s="136"/>
      <c r="AB772" s="131">
        <v>45</v>
      </c>
      <c r="AC772" s="168">
        <f ca="1">IF(AF771&lt;=1,0,'3.4 Fi&amp;Fo'!$I$25)</f>
        <v>0</v>
      </c>
      <c r="AD772" s="169">
        <f ca="1">IF(AF771&lt;=1,0,AF771*'3.4 Fi&amp;Fo'!$H$25)</f>
        <v>0</v>
      </c>
      <c r="AE772" s="169">
        <f t="shared" ca="1" si="545"/>
        <v>0</v>
      </c>
      <c r="AF772" s="170">
        <f t="shared" ca="1" si="546"/>
        <v>7.9307937994599342E-10</v>
      </c>
      <c r="AG772" s="168" t="b">
        <f>IF(AJ771&lt;=1,0,IF(AB772&lt;='3.4 Fi&amp;Fo'!$F$34,'3.4 Fi&amp;Fo'!$J$34,IF(AB772&lt;='3.4 Fi&amp;Fo'!$F$35,'3.4 Fi&amp;Fo'!$J$35,IF(AB772&lt;='3.4 Fi&amp;Fo'!$F$36,'3.4 Fi&amp;Fo'!$J$36,IF(AB772&lt;='3.4 Fi&amp;Fo'!$F$37,'3.4 Fi&amp;Fo'!$J$37,IF(AB772&lt;='3.4 Fi&amp;Fo'!$F$38,'3.4 Fi&amp;Fo'!$J$38,IF(AB772&lt;='3.4 Fi&amp;Fo'!$F$39,'3.4 Fi&amp;Fo'!$J$39,IF(AB772&lt;='3.4 Fi&amp;Fo'!$F$40,'3.4 Fi&amp;Fo'!$J$40))))))))</f>
        <v>0</v>
      </c>
      <c r="AH772" s="203">
        <f>IF(AJ771&lt;=1,0,AJ771*IF(AB772&lt;='3.4 Fi&amp;Fo'!$F$34,'3.4 Fi&amp;Fo'!$I$34,IF(AB772&lt;='3.4 Fi&amp;Fo'!$F$35,'3.4 Fi&amp;Fo'!$I$35,IF(AB772&lt;='3.4 Fi&amp;Fo'!$F$38,'3.4 Fi&amp;Fo'!$I$38,IF(AB772&lt;='3.4 Fi&amp;Fo'!$F$39,'3.4 Fi&amp;Fo'!$I$39,IF(AB772&lt;='3.4 Fi&amp;Fo'!$F$40,'3.4 Fi&amp;Fo'!$I$40))))))</f>
        <v>0</v>
      </c>
      <c r="AI772" s="203">
        <f t="shared" si="598"/>
        <v>0</v>
      </c>
      <c r="AJ772" s="204">
        <f t="shared" si="548"/>
        <v>2716140.2904911651</v>
      </c>
      <c r="AK772" s="312">
        <f t="shared" ca="1" si="599"/>
        <v>0</v>
      </c>
      <c r="AL772" s="169">
        <f>IF(AB772&lt;='3.4 Fi&amp;Fo'!$J$15,'3.4 Fi&amp;Fo'!$I$15,0)</f>
        <v>0</v>
      </c>
      <c r="AM772" s="169">
        <f t="shared" si="561"/>
        <v>0</v>
      </c>
      <c r="AN772" s="838" t="str">
        <f t="shared" si="566"/>
        <v/>
      </c>
      <c r="AO772" s="844">
        <f t="shared" ca="1" si="550"/>
        <v>0</v>
      </c>
      <c r="AP772" s="839">
        <f ca="1">DG832</f>
        <v>0</v>
      </c>
      <c r="AQ772" s="844">
        <f t="shared" si="551"/>
        <v>0</v>
      </c>
      <c r="AR772" s="839" t="str">
        <f t="shared" si="567"/>
        <v/>
      </c>
      <c r="AS772" s="839">
        <f t="shared" si="562"/>
        <v>0</v>
      </c>
      <c r="AT772" s="839">
        <f t="shared" si="563"/>
        <v>0</v>
      </c>
      <c r="AU772" s="839">
        <f>'PV-Einspeisung'!AA253*-1</f>
        <v>0</v>
      </c>
      <c r="AV772" s="839">
        <f>'PV-Einspeisung'!AE253*-1</f>
        <v>0</v>
      </c>
      <c r="AW772" s="839"/>
      <c r="AX772" s="839" t="str">
        <f t="shared" si="568"/>
        <v/>
      </c>
      <c r="AY772" s="841" t="str">
        <f t="shared" si="552"/>
        <v/>
      </c>
      <c r="AZ772" s="842" t="str">
        <f t="shared" si="600"/>
        <v/>
      </c>
      <c r="BA772" s="842" t="str">
        <f t="shared" si="570"/>
        <v/>
      </c>
      <c r="BB772" s="842" t="str">
        <f t="shared" si="571"/>
        <v/>
      </c>
      <c r="BC772" s="842" t="str">
        <f t="shared" si="572"/>
        <v/>
      </c>
      <c r="BD772" s="842" t="str">
        <f t="shared" si="573"/>
        <v/>
      </c>
      <c r="BE772" s="842" t="str">
        <f t="shared" si="574"/>
        <v/>
      </c>
      <c r="BF772" s="842" t="str">
        <f t="shared" si="575"/>
        <v/>
      </c>
      <c r="BG772" s="842" t="str">
        <f t="shared" si="576"/>
        <v/>
      </c>
      <c r="BH772" s="858" t="str">
        <f t="shared" si="560"/>
        <v/>
      </c>
      <c r="BI772" s="857" t="str">
        <f t="shared" si="577"/>
        <v/>
      </c>
      <c r="BJ772" s="857" t="str">
        <f t="shared" si="578"/>
        <v/>
      </c>
      <c r="BK772" s="859">
        <f>'PV-Einspeisung'!AB253*-1</f>
        <v>0</v>
      </c>
      <c r="BL772" s="824">
        <f t="shared" ca="1" si="593"/>
        <v>25</v>
      </c>
      <c r="BM772" s="824">
        <f t="shared" ca="1" si="594"/>
        <v>1</v>
      </c>
      <c r="BN772" s="824">
        <f t="shared" ca="1" si="595"/>
        <v>32678.399999999998</v>
      </c>
      <c r="BO772" s="824">
        <f t="shared" ca="1" si="597"/>
        <v>0</v>
      </c>
      <c r="BP772" s="824">
        <f t="shared" ca="1" si="597"/>
        <v>0</v>
      </c>
      <c r="BQ772" s="824">
        <f t="shared" ca="1" si="597"/>
        <v>0</v>
      </c>
      <c r="BR772" s="824">
        <f t="shared" ca="1" si="597"/>
        <v>0</v>
      </c>
      <c r="BS772" s="824">
        <f t="shared" ca="1" si="597"/>
        <v>0</v>
      </c>
      <c r="BT772" s="824">
        <f t="shared" ca="1" si="597"/>
        <v>0</v>
      </c>
      <c r="BU772" s="824">
        <f t="shared" ca="1" si="597"/>
        <v>0</v>
      </c>
      <c r="BV772" s="824">
        <f t="shared" ca="1" si="597"/>
        <v>0</v>
      </c>
      <c r="BW772" s="824">
        <f t="shared" ca="1" si="597"/>
        <v>0</v>
      </c>
      <c r="BX772" s="824">
        <f t="shared" ca="1" si="597"/>
        <v>0</v>
      </c>
      <c r="BY772" s="824">
        <f t="shared" ca="1" si="597"/>
        <v>0</v>
      </c>
      <c r="BZ772" s="824">
        <f t="shared" ca="1" si="597"/>
        <v>0</v>
      </c>
      <c r="CA772" s="824">
        <f t="shared" ca="1" si="597"/>
        <v>0</v>
      </c>
      <c r="CB772" s="824">
        <f t="shared" ca="1" si="597"/>
        <v>0</v>
      </c>
      <c r="CC772" s="824">
        <f t="shared" ca="1" si="597"/>
        <v>0</v>
      </c>
      <c r="CD772" s="824">
        <f t="shared" ca="1" si="597"/>
        <v>0</v>
      </c>
      <c r="CE772" s="824">
        <f t="shared" ca="1" si="596"/>
        <v>0</v>
      </c>
      <c r="CF772" s="824">
        <f t="shared" ca="1" si="596"/>
        <v>0</v>
      </c>
      <c r="CG772" s="824">
        <f t="shared" ca="1" si="596"/>
        <v>0</v>
      </c>
      <c r="CH772" s="824">
        <f t="shared" ca="1" si="596"/>
        <v>0</v>
      </c>
      <c r="CI772" s="824">
        <f t="shared" ca="1" si="596"/>
        <v>0</v>
      </c>
      <c r="CJ772" s="824">
        <f t="shared" ca="1" si="596"/>
        <v>0</v>
      </c>
      <c r="CK772" s="824">
        <f t="shared" ca="1" si="596"/>
        <v>0</v>
      </c>
      <c r="CL772" s="824">
        <f t="shared" ca="1" si="596"/>
        <v>0</v>
      </c>
      <c r="CM772" s="824">
        <f t="shared" ca="1" si="596"/>
        <v>48596.331187712422</v>
      </c>
      <c r="CN772" s="824">
        <f t="shared" ca="1" si="596"/>
        <v>0</v>
      </c>
      <c r="CO772" s="824">
        <f t="shared" ca="1" si="596"/>
        <v>0</v>
      </c>
      <c r="CP772" s="824">
        <f t="shared" ca="1" si="596"/>
        <v>0</v>
      </c>
      <c r="CQ772" s="824">
        <f t="shared" ca="1" si="596"/>
        <v>0</v>
      </c>
      <c r="CR772" s="824">
        <f t="shared" ca="1" si="596"/>
        <v>0</v>
      </c>
      <c r="CS772" s="824">
        <f t="shared" ca="1" si="596"/>
        <v>0</v>
      </c>
      <c r="CT772" s="824">
        <f t="shared" ca="1" si="587"/>
        <v>0</v>
      </c>
      <c r="CU772" s="824">
        <f t="shared" ca="1" si="587"/>
        <v>0</v>
      </c>
      <c r="CV772" s="824">
        <f t="shared" ca="1" si="587"/>
        <v>0</v>
      </c>
      <c r="CW772" s="824">
        <f t="shared" ca="1" si="587"/>
        <v>0</v>
      </c>
      <c r="CX772" s="824">
        <f t="shared" ca="1" si="587"/>
        <v>0</v>
      </c>
      <c r="CY772" s="824">
        <f t="shared" ca="1" si="587"/>
        <v>0</v>
      </c>
      <c r="CZ772" s="824">
        <f t="shared" ca="1" si="587"/>
        <v>0</v>
      </c>
      <c r="DA772" s="824">
        <f t="shared" ca="1" si="587"/>
        <v>0</v>
      </c>
      <c r="DB772" s="824">
        <f t="shared" ca="1" si="587"/>
        <v>0</v>
      </c>
      <c r="DC772" s="824">
        <f t="shared" ca="1" si="587"/>
        <v>0</v>
      </c>
      <c r="DD772" s="824">
        <f t="shared" ca="1" si="587"/>
        <v>0</v>
      </c>
      <c r="DE772" s="824">
        <f t="shared" ca="1" si="587"/>
        <v>0</v>
      </c>
      <c r="DF772" s="824">
        <f t="shared" ca="1" si="587"/>
        <v>0</v>
      </c>
      <c r="DG772" s="824">
        <f t="shared" ca="1" si="590"/>
        <v>0</v>
      </c>
      <c r="DH772" s="824">
        <f t="shared" ca="1" si="590"/>
        <v>0</v>
      </c>
      <c r="DI772" s="824">
        <f t="shared" ca="1" si="590"/>
        <v>0</v>
      </c>
      <c r="DJ772" s="824">
        <f t="shared" ca="1" si="590"/>
        <v>0</v>
      </c>
      <c r="DK772" s="824">
        <f t="shared" ca="1" si="590"/>
        <v>0</v>
      </c>
      <c r="DL772" s="824">
        <f t="shared" ca="1" si="590"/>
        <v>0</v>
      </c>
    </row>
    <row r="773" spans="2:116" ht="12" thickBot="1" x14ac:dyDescent="0.3">
      <c r="B773" s="1673"/>
      <c r="C773" s="1680"/>
      <c r="D773" s="15" t="s">
        <v>44</v>
      </c>
      <c r="E773" s="116"/>
      <c r="F773" s="116">
        <f ca="1">SUBTOTAL(109,'3.4 I&amp;W'!$X$131)</f>
        <v>0</v>
      </c>
      <c r="G773" s="116">
        <f ca="1">SUBTOTAL(109,'3.4 I&amp;W'!$Y$131)</f>
        <v>0</v>
      </c>
      <c r="H773" s="116">
        <f ca="1">SUBTOTAL(109,'3.4 I&amp;W'!$AD$131)</f>
        <v>0</v>
      </c>
      <c r="I773" s="116">
        <f ca="1">SUBTOTAL(109,'3.4 I&amp;W'!$AE$131)</f>
        <v>0</v>
      </c>
      <c r="J773" s="116"/>
      <c r="K773" s="116"/>
      <c r="L773" s="116"/>
      <c r="M773" s="116">
        <f ca="1">SUBTOTAL(109,'3.4 I&amp;W'!$AI$131)</f>
        <v>50</v>
      </c>
      <c r="N773" s="156">
        <f t="shared" ca="1" si="541"/>
        <v>0</v>
      </c>
      <c r="O773" s="116">
        <f ca="1">SUBTOTAL(109,'3.4 I&amp;W'!$S$131)</f>
        <v>15134.4</v>
      </c>
      <c r="P773" s="30">
        <f t="shared" ca="1" si="581"/>
        <v>0</v>
      </c>
      <c r="Q773" s="31">
        <f t="shared" ca="1" si="582"/>
        <v>0</v>
      </c>
      <c r="R773" s="31">
        <f t="shared" ca="1" si="583"/>
        <v>0</v>
      </c>
      <c r="S773" s="31">
        <f t="shared" ca="1" si="584"/>
        <v>0</v>
      </c>
      <c r="T773" s="32">
        <f t="shared" ca="1" si="585"/>
        <v>0</v>
      </c>
      <c r="U773" s="37">
        <f t="shared" ca="1" si="542"/>
        <v>2270.2853734874848</v>
      </c>
      <c r="V773" s="40">
        <f t="shared" ca="1" si="591"/>
        <v>0</v>
      </c>
      <c r="W773" s="41">
        <f t="shared" ca="1" si="592"/>
        <v>0</v>
      </c>
      <c r="X773" s="43"/>
      <c r="Y773" s="46"/>
      <c r="Z773" s="126"/>
      <c r="AA773" s="136"/>
      <c r="AB773" s="131">
        <v>46</v>
      </c>
      <c r="AC773" s="168">
        <f ca="1">IF(AF772&lt;=1,0,'3.4 Fi&amp;Fo'!$I$25)</f>
        <v>0</v>
      </c>
      <c r="AD773" s="169">
        <f ca="1">IF(AF772&lt;=1,0,AF772*'3.4 Fi&amp;Fo'!$H$25)</f>
        <v>0</v>
      </c>
      <c r="AE773" s="169">
        <f t="shared" ca="1" si="545"/>
        <v>0</v>
      </c>
      <c r="AF773" s="170">
        <f t="shared" ca="1" si="546"/>
        <v>7.9307937994599342E-10</v>
      </c>
      <c r="AG773" s="168" t="b">
        <f>IF(AJ772&lt;=1,0,IF(AB773&lt;='3.4 Fi&amp;Fo'!$F$34,'3.4 Fi&amp;Fo'!$J$34,IF(AB773&lt;='3.4 Fi&amp;Fo'!$F$35,'3.4 Fi&amp;Fo'!$J$35,IF(AB773&lt;='3.4 Fi&amp;Fo'!$F$36,'3.4 Fi&amp;Fo'!$J$36,IF(AB773&lt;='3.4 Fi&amp;Fo'!$F$37,'3.4 Fi&amp;Fo'!$J$37,IF(AB773&lt;='3.4 Fi&amp;Fo'!$F$38,'3.4 Fi&amp;Fo'!$J$38,IF(AB773&lt;='3.4 Fi&amp;Fo'!$F$39,'3.4 Fi&amp;Fo'!$J$39,IF(AB773&lt;='3.4 Fi&amp;Fo'!$F$40,'3.4 Fi&amp;Fo'!$J$40))))))))</f>
        <v>0</v>
      </c>
      <c r="AH773" s="203">
        <f>IF(AJ772&lt;=1,0,AJ772*IF(AB773&lt;='3.4 Fi&amp;Fo'!$F$34,'3.4 Fi&amp;Fo'!$I$34,IF(AB773&lt;='3.4 Fi&amp;Fo'!$F$35,'3.4 Fi&amp;Fo'!$I$35,IF(AB773&lt;='3.4 Fi&amp;Fo'!$F$38,'3.4 Fi&amp;Fo'!$I$38,IF(AB773&lt;='3.4 Fi&amp;Fo'!$F$39,'3.4 Fi&amp;Fo'!$I$39,IF(AB773&lt;='3.4 Fi&amp;Fo'!$F$40,'3.4 Fi&amp;Fo'!$I$40))))))</f>
        <v>0</v>
      </c>
      <c r="AI773" s="203">
        <f t="shared" si="598"/>
        <v>0</v>
      </c>
      <c r="AJ773" s="204">
        <f t="shared" si="548"/>
        <v>2716140.2904911651</v>
      </c>
      <c r="AK773" s="312">
        <f t="shared" ca="1" si="599"/>
        <v>0</v>
      </c>
      <c r="AL773" s="169">
        <f>IF(AB773&lt;='3.4 Fi&amp;Fo'!$J$15,'3.4 Fi&amp;Fo'!$I$15,0)</f>
        <v>0</v>
      </c>
      <c r="AM773" s="169">
        <f t="shared" si="561"/>
        <v>0</v>
      </c>
      <c r="AN773" s="838" t="str">
        <f t="shared" si="566"/>
        <v/>
      </c>
      <c r="AO773" s="844">
        <f t="shared" ca="1" si="550"/>
        <v>0</v>
      </c>
      <c r="AP773" s="839">
        <f ca="1">DH832</f>
        <v>0</v>
      </c>
      <c r="AQ773" s="844">
        <f t="shared" si="551"/>
        <v>0</v>
      </c>
      <c r="AR773" s="839" t="str">
        <f t="shared" si="567"/>
        <v/>
      </c>
      <c r="AS773" s="839">
        <f t="shared" si="562"/>
        <v>0</v>
      </c>
      <c r="AT773" s="839">
        <f t="shared" si="563"/>
        <v>0</v>
      </c>
      <c r="AU773" s="839">
        <f>'PV-Einspeisung'!AA254*-1</f>
        <v>0</v>
      </c>
      <c r="AV773" s="839">
        <f>'PV-Einspeisung'!AE254*-1</f>
        <v>0</v>
      </c>
      <c r="AW773" s="839"/>
      <c r="AX773" s="839" t="str">
        <f t="shared" si="568"/>
        <v/>
      </c>
      <c r="AY773" s="841" t="str">
        <f t="shared" si="552"/>
        <v/>
      </c>
      <c r="AZ773" s="842" t="str">
        <f t="shared" si="600"/>
        <v/>
      </c>
      <c r="BA773" s="842" t="str">
        <f t="shared" si="570"/>
        <v/>
      </c>
      <c r="BB773" s="842" t="str">
        <f t="shared" si="571"/>
        <v/>
      </c>
      <c r="BC773" s="842" t="str">
        <f t="shared" si="572"/>
        <v/>
      </c>
      <c r="BD773" s="842" t="str">
        <f t="shared" si="573"/>
        <v/>
      </c>
      <c r="BE773" s="842" t="str">
        <f t="shared" si="574"/>
        <v/>
      </c>
      <c r="BF773" s="842" t="str">
        <f t="shared" si="575"/>
        <v/>
      </c>
      <c r="BG773" s="842" t="str">
        <f t="shared" si="576"/>
        <v/>
      </c>
      <c r="BH773" s="858" t="str">
        <f t="shared" si="560"/>
        <v/>
      </c>
      <c r="BI773" s="857" t="str">
        <f t="shared" si="577"/>
        <v/>
      </c>
      <c r="BJ773" s="857" t="str">
        <f t="shared" si="578"/>
        <v/>
      </c>
      <c r="BK773" s="859">
        <f>'PV-Einspeisung'!AB254*-1</f>
        <v>0</v>
      </c>
      <c r="BL773" s="824">
        <f t="shared" ca="1" si="593"/>
        <v>50</v>
      </c>
      <c r="BM773" s="824">
        <f t="shared" ca="1" si="594"/>
        <v>0</v>
      </c>
      <c r="BN773" s="824">
        <f t="shared" ca="1" si="595"/>
        <v>15134.4</v>
      </c>
      <c r="BO773" s="824">
        <f t="shared" ca="1" si="597"/>
        <v>0</v>
      </c>
      <c r="BP773" s="824">
        <f t="shared" ca="1" si="597"/>
        <v>0</v>
      </c>
      <c r="BQ773" s="824">
        <f t="shared" ca="1" si="597"/>
        <v>0</v>
      </c>
      <c r="BR773" s="824">
        <f t="shared" ca="1" si="597"/>
        <v>0</v>
      </c>
      <c r="BS773" s="824">
        <f t="shared" ca="1" si="597"/>
        <v>0</v>
      </c>
      <c r="BT773" s="824">
        <f t="shared" ca="1" si="597"/>
        <v>0</v>
      </c>
      <c r="BU773" s="824">
        <f t="shared" ca="1" si="597"/>
        <v>0</v>
      </c>
      <c r="BV773" s="824">
        <f t="shared" ca="1" si="597"/>
        <v>0</v>
      </c>
      <c r="BW773" s="824">
        <f t="shared" ca="1" si="597"/>
        <v>0</v>
      </c>
      <c r="BX773" s="824">
        <f t="shared" ca="1" si="597"/>
        <v>0</v>
      </c>
      <c r="BY773" s="824">
        <f t="shared" ca="1" si="597"/>
        <v>0</v>
      </c>
      <c r="BZ773" s="824">
        <f t="shared" ca="1" si="597"/>
        <v>0</v>
      </c>
      <c r="CA773" s="824">
        <f t="shared" ca="1" si="597"/>
        <v>0</v>
      </c>
      <c r="CB773" s="824">
        <f t="shared" ca="1" si="597"/>
        <v>0</v>
      </c>
      <c r="CC773" s="824">
        <f t="shared" ca="1" si="597"/>
        <v>0</v>
      </c>
      <c r="CD773" s="824">
        <f t="shared" ref="CD773:CS788" ca="1" si="601">IF(OR(IF($BL773*1&lt;$BL$196,$BL773*1=CD$198,FALSE),IF($BL773*2&lt;$BL$196,$BL773*2=CD$198,FALSE),IF($BL773*3&lt;$BL$196,$BL773*3=CD$198,FALSE),IF($BL773*4&lt;$BL$196,$BL773*4=CD$198,FALSE),IF($BL773*5&lt;$BL$196,$BL773*5=CD$198,FALSE)),$BN773*$BM$196^CD$198,0)</f>
        <v>0</v>
      </c>
      <c r="CE773" s="824">
        <f t="shared" ca="1" si="601"/>
        <v>0</v>
      </c>
      <c r="CF773" s="824">
        <f t="shared" ca="1" si="601"/>
        <v>0</v>
      </c>
      <c r="CG773" s="824">
        <f t="shared" ca="1" si="601"/>
        <v>0</v>
      </c>
      <c r="CH773" s="824">
        <f t="shared" ca="1" si="601"/>
        <v>0</v>
      </c>
      <c r="CI773" s="824">
        <f t="shared" ca="1" si="601"/>
        <v>0</v>
      </c>
      <c r="CJ773" s="824">
        <f t="shared" ca="1" si="601"/>
        <v>0</v>
      </c>
      <c r="CK773" s="824">
        <f t="shared" ca="1" si="601"/>
        <v>0</v>
      </c>
      <c r="CL773" s="824">
        <f t="shared" ca="1" si="601"/>
        <v>0</v>
      </c>
      <c r="CM773" s="824">
        <f t="shared" ca="1" si="601"/>
        <v>0</v>
      </c>
      <c r="CN773" s="824">
        <f t="shared" ca="1" si="601"/>
        <v>0</v>
      </c>
      <c r="CO773" s="824">
        <f t="shared" ca="1" si="601"/>
        <v>0</v>
      </c>
      <c r="CP773" s="824">
        <f t="shared" ca="1" si="601"/>
        <v>0</v>
      </c>
      <c r="CQ773" s="824">
        <f t="shared" ca="1" si="601"/>
        <v>0</v>
      </c>
      <c r="CR773" s="824">
        <f t="shared" ca="1" si="601"/>
        <v>0</v>
      </c>
      <c r="CS773" s="824">
        <f t="shared" ca="1" si="601"/>
        <v>0</v>
      </c>
      <c r="CT773" s="824">
        <f t="shared" ca="1" si="587"/>
        <v>0</v>
      </c>
      <c r="CU773" s="824">
        <f t="shared" ca="1" si="587"/>
        <v>0</v>
      </c>
      <c r="CV773" s="824">
        <f t="shared" ca="1" si="587"/>
        <v>0</v>
      </c>
      <c r="CW773" s="824">
        <f t="shared" ca="1" si="587"/>
        <v>0</v>
      </c>
      <c r="CX773" s="824">
        <f t="shared" ca="1" si="587"/>
        <v>0</v>
      </c>
      <c r="CY773" s="824">
        <f t="shared" ca="1" si="587"/>
        <v>0</v>
      </c>
      <c r="CZ773" s="824">
        <f t="shared" ca="1" si="587"/>
        <v>0</v>
      </c>
      <c r="DA773" s="824">
        <f t="shared" ca="1" si="587"/>
        <v>0</v>
      </c>
      <c r="DB773" s="824">
        <f t="shared" ca="1" si="587"/>
        <v>0</v>
      </c>
      <c r="DC773" s="824">
        <f t="shared" ca="1" si="587"/>
        <v>0</v>
      </c>
      <c r="DD773" s="824">
        <f t="shared" ca="1" si="587"/>
        <v>0</v>
      </c>
      <c r="DE773" s="824">
        <f t="shared" ca="1" si="587"/>
        <v>0</v>
      </c>
      <c r="DF773" s="824">
        <f t="shared" ca="1" si="587"/>
        <v>0</v>
      </c>
      <c r="DG773" s="824">
        <f t="shared" ca="1" si="590"/>
        <v>0</v>
      </c>
      <c r="DH773" s="824">
        <f t="shared" ca="1" si="590"/>
        <v>0</v>
      </c>
      <c r="DI773" s="824">
        <f t="shared" ca="1" si="590"/>
        <v>0</v>
      </c>
      <c r="DJ773" s="824">
        <f t="shared" ca="1" si="590"/>
        <v>0</v>
      </c>
      <c r="DK773" s="824">
        <f t="shared" ca="1" si="590"/>
        <v>0</v>
      </c>
      <c r="DL773" s="824">
        <f t="shared" ca="1" si="590"/>
        <v>0</v>
      </c>
    </row>
    <row r="774" spans="2:116" ht="12" thickBot="1" x14ac:dyDescent="0.3">
      <c r="B774" s="1673"/>
      <c r="C774" s="1680"/>
      <c r="D774" s="15" t="s">
        <v>44</v>
      </c>
      <c r="E774" s="165"/>
      <c r="F774" s="116">
        <f ca="1">SUBTOTAL(109,'3.4 I&amp;W'!$X$132)</f>
        <v>0</v>
      </c>
      <c r="G774" s="116">
        <f ca="1">SUBTOTAL(109,'3.4 I&amp;W'!$Y$132)</f>
        <v>0</v>
      </c>
      <c r="H774" s="116">
        <f ca="1">SUBTOTAL(109,'3.4 I&amp;W'!$AD$132)</f>
        <v>0</v>
      </c>
      <c r="I774" s="116">
        <f ca="1">SUBTOTAL(109,'3.4 I&amp;W'!$AE$132)</f>
        <v>0</v>
      </c>
      <c r="J774" s="116"/>
      <c r="K774" s="116"/>
      <c r="L774" s="116"/>
      <c r="M774" s="116">
        <f ca="1">SUBTOTAL(109,'3.4 I&amp;W'!$AI$132)</f>
        <v>0</v>
      </c>
      <c r="N774" s="156">
        <f t="shared" ca="1" si="541"/>
        <v>0</v>
      </c>
      <c r="O774" s="116">
        <f ca="1">SUBTOTAL(109,'3.4 I&amp;W'!$S$132)</f>
        <v>0</v>
      </c>
      <c r="P774" s="30">
        <f t="shared" ca="1" si="581"/>
        <v>0</v>
      </c>
      <c r="Q774" s="31">
        <f t="shared" ca="1" si="582"/>
        <v>0</v>
      </c>
      <c r="R774" s="31">
        <f t="shared" ca="1" si="583"/>
        <v>0</v>
      </c>
      <c r="S774" s="31">
        <f t="shared" ca="1" si="584"/>
        <v>0</v>
      </c>
      <c r="T774" s="32">
        <f t="shared" ca="1" si="585"/>
        <v>0</v>
      </c>
      <c r="U774" s="37">
        <f t="shared" ca="1" si="542"/>
        <v>0</v>
      </c>
      <c r="V774" s="40">
        <f t="shared" ca="1" si="591"/>
        <v>0</v>
      </c>
      <c r="W774" s="41">
        <f t="shared" ca="1" si="592"/>
        <v>0</v>
      </c>
      <c r="X774" s="43"/>
      <c r="Y774" s="46"/>
      <c r="Z774" s="126"/>
      <c r="AA774" s="136"/>
      <c r="AB774" s="131">
        <v>47</v>
      </c>
      <c r="AC774" s="168">
        <f ca="1">IF(AF773&lt;=1,0,'3.4 Fi&amp;Fo'!$I$25)</f>
        <v>0</v>
      </c>
      <c r="AD774" s="169">
        <f ca="1">IF(AF773&lt;=1,0,AF773*'3.4 Fi&amp;Fo'!$H$25)</f>
        <v>0</v>
      </c>
      <c r="AE774" s="169">
        <f t="shared" ca="1" si="545"/>
        <v>0</v>
      </c>
      <c r="AF774" s="170">
        <f t="shared" ca="1" si="546"/>
        <v>7.9307937994599342E-10</v>
      </c>
      <c r="AG774" s="168" t="b">
        <f>IF(AJ773&lt;=1,0,IF(AB774&lt;='3.4 Fi&amp;Fo'!$F$34,'3.4 Fi&amp;Fo'!$J$34,IF(AB774&lt;='3.4 Fi&amp;Fo'!$F$35,'3.4 Fi&amp;Fo'!$J$35,IF(AB774&lt;='3.4 Fi&amp;Fo'!$F$36,'3.4 Fi&amp;Fo'!$J$36,IF(AB774&lt;='3.4 Fi&amp;Fo'!$F$37,'3.4 Fi&amp;Fo'!$J$37,IF(AB774&lt;='3.4 Fi&amp;Fo'!$F$38,'3.4 Fi&amp;Fo'!$J$38,IF(AB774&lt;='3.4 Fi&amp;Fo'!$F$39,'3.4 Fi&amp;Fo'!$J$39,IF(AB774&lt;='3.4 Fi&amp;Fo'!$F$40,'3.4 Fi&amp;Fo'!$J$40))))))))</f>
        <v>0</v>
      </c>
      <c r="AH774" s="203">
        <f>IF(AJ773&lt;=1,0,AJ773*IF(AB774&lt;='3.4 Fi&amp;Fo'!$F$34,'3.4 Fi&amp;Fo'!$I$34,IF(AB774&lt;='3.4 Fi&amp;Fo'!$F$35,'3.4 Fi&amp;Fo'!$I$35,IF(AB774&lt;='3.4 Fi&amp;Fo'!$F$38,'3.4 Fi&amp;Fo'!$I$38,IF(AB774&lt;='3.4 Fi&amp;Fo'!$F$39,'3.4 Fi&amp;Fo'!$I$39,IF(AB774&lt;='3.4 Fi&amp;Fo'!$F$40,'3.4 Fi&amp;Fo'!$I$40))))))</f>
        <v>0</v>
      </c>
      <c r="AI774" s="203">
        <f t="shared" si="598"/>
        <v>0</v>
      </c>
      <c r="AJ774" s="204">
        <f t="shared" si="548"/>
        <v>2716140.2904911651</v>
      </c>
      <c r="AK774" s="312">
        <f t="shared" ca="1" si="599"/>
        <v>0</v>
      </c>
      <c r="AL774" s="169">
        <f>IF(AB774&lt;='3.4 Fi&amp;Fo'!$J$15,'3.4 Fi&amp;Fo'!$I$15,0)</f>
        <v>0</v>
      </c>
      <c r="AM774" s="169">
        <f t="shared" si="561"/>
        <v>0</v>
      </c>
      <c r="AN774" s="838" t="str">
        <f t="shared" si="566"/>
        <v/>
      </c>
      <c r="AO774" s="844">
        <f t="shared" ca="1" si="550"/>
        <v>0</v>
      </c>
      <c r="AP774" s="839">
        <f ca="1">DI832</f>
        <v>0</v>
      </c>
      <c r="AQ774" s="844">
        <f t="shared" si="551"/>
        <v>0</v>
      </c>
      <c r="AR774" s="839" t="str">
        <f t="shared" si="567"/>
        <v/>
      </c>
      <c r="AS774" s="839">
        <f t="shared" si="562"/>
        <v>0</v>
      </c>
      <c r="AT774" s="839">
        <f t="shared" si="563"/>
        <v>0</v>
      </c>
      <c r="AU774" s="839">
        <f>'PV-Einspeisung'!AA255*-1</f>
        <v>0</v>
      </c>
      <c r="AV774" s="839">
        <f>'PV-Einspeisung'!AE255*-1</f>
        <v>0</v>
      </c>
      <c r="AW774" s="839"/>
      <c r="AX774" s="839" t="str">
        <f t="shared" si="568"/>
        <v/>
      </c>
      <c r="AY774" s="841" t="str">
        <f t="shared" si="552"/>
        <v/>
      </c>
      <c r="AZ774" s="842" t="str">
        <f t="shared" si="600"/>
        <v/>
      </c>
      <c r="BA774" s="842" t="str">
        <f t="shared" si="570"/>
        <v/>
      </c>
      <c r="BB774" s="842" t="str">
        <f t="shared" si="571"/>
        <v/>
      </c>
      <c r="BC774" s="842" t="str">
        <f t="shared" si="572"/>
        <v/>
      </c>
      <c r="BD774" s="842" t="str">
        <f t="shared" si="573"/>
        <v/>
      </c>
      <c r="BE774" s="842" t="str">
        <f t="shared" si="574"/>
        <v/>
      </c>
      <c r="BF774" s="842" t="str">
        <f t="shared" si="575"/>
        <v/>
      </c>
      <c r="BG774" s="842" t="str">
        <f t="shared" si="576"/>
        <v/>
      </c>
      <c r="BH774" s="858" t="str">
        <f t="shared" si="560"/>
        <v/>
      </c>
      <c r="BI774" s="857" t="str">
        <f t="shared" si="577"/>
        <v/>
      </c>
      <c r="BJ774" s="857" t="str">
        <f t="shared" si="578"/>
        <v/>
      </c>
      <c r="BK774" s="859">
        <f>'PV-Einspeisung'!AB255*-1</f>
        <v>0</v>
      </c>
      <c r="BL774" s="824">
        <f t="shared" ca="1" si="593"/>
        <v>0</v>
      </c>
      <c r="BM774" s="824">
        <f t="shared" ca="1" si="594"/>
        <v>0</v>
      </c>
      <c r="BN774" s="824">
        <f t="shared" ca="1" si="595"/>
        <v>0</v>
      </c>
      <c r="BO774" s="824">
        <f t="shared" ref="BO774:CD789" ca="1" si="602">IF(OR(IF($BL774*1&lt;$BL$196,$BL774*1=BO$198,FALSE),IF($BL774*2&lt;$BL$196,$BL774*2=BO$198,FALSE),IF($BL774*3&lt;$BL$196,$BL774*3=BO$198,FALSE),IF($BL774*4&lt;$BL$196,$BL774*4=BO$198,FALSE),IF($BL774*5&lt;$BL$196,$BL774*5=BO$198,FALSE)),$BN774*$BM$196^BO$198,0)</f>
        <v>0</v>
      </c>
      <c r="BP774" s="824">
        <f t="shared" ca="1" si="602"/>
        <v>0</v>
      </c>
      <c r="BQ774" s="824">
        <f t="shared" ca="1" si="602"/>
        <v>0</v>
      </c>
      <c r="BR774" s="824">
        <f t="shared" ca="1" si="602"/>
        <v>0</v>
      </c>
      <c r="BS774" s="824">
        <f t="shared" ca="1" si="602"/>
        <v>0</v>
      </c>
      <c r="BT774" s="824">
        <f t="shared" ca="1" si="602"/>
        <v>0</v>
      </c>
      <c r="BU774" s="824">
        <f t="shared" ca="1" si="602"/>
        <v>0</v>
      </c>
      <c r="BV774" s="824">
        <f t="shared" ca="1" si="602"/>
        <v>0</v>
      </c>
      <c r="BW774" s="824">
        <f t="shared" ca="1" si="602"/>
        <v>0</v>
      </c>
      <c r="BX774" s="824">
        <f t="shared" ca="1" si="602"/>
        <v>0</v>
      </c>
      <c r="BY774" s="824">
        <f t="shared" ca="1" si="602"/>
        <v>0</v>
      </c>
      <c r="BZ774" s="824">
        <f t="shared" ca="1" si="602"/>
        <v>0</v>
      </c>
      <c r="CA774" s="824">
        <f t="shared" ca="1" si="602"/>
        <v>0</v>
      </c>
      <c r="CB774" s="824">
        <f t="shared" ca="1" si="602"/>
        <v>0</v>
      </c>
      <c r="CC774" s="824">
        <f t="shared" ca="1" si="602"/>
        <v>0</v>
      </c>
      <c r="CD774" s="824">
        <f t="shared" ca="1" si="602"/>
        <v>0</v>
      </c>
      <c r="CE774" s="824">
        <f t="shared" ca="1" si="601"/>
        <v>0</v>
      </c>
      <c r="CF774" s="824">
        <f t="shared" ca="1" si="601"/>
        <v>0</v>
      </c>
      <c r="CG774" s="824">
        <f t="shared" ca="1" si="601"/>
        <v>0</v>
      </c>
      <c r="CH774" s="824">
        <f t="shared" ca="1" si="601"/>
        <v>0</v>
      </c>
      <c r="CI774" s="824">
        <f t="shared" ca="1" si="601"/>
        <v>0</v>
      </c>
      <c r="CJ774" s="824">
        <f t="shared" ca="1" si="601"/>
        <v>0</v>
      </c>
      <c r="CK774" s="824">
        <f t="shared" ca="1" si="601"/>
        <v>0</v>
      </c>
      <c r="CL774" s="824">
        <f t="shared" ca="1" si="601"/>
        <v>0</v>
      </c>
      <c r="CM774" s="824">
        <f t="shared" ca="1" si="601"/>
        <v>0</v>
      </c>
      <c r="CN774" s="824">
        <f t="shared" ca="1" si="601"/>
        <v>0</v>
      </c>
      <c r="CO774" s="824">
        <f t="shared" ca="1" si="601"/>
        <v>0</v>
      </c>
      <c r="CP774" s="824">
        <f t="shared" ca="1" si="601"/>
        <v>0</v>
      </c>
      <c r="CQ774" s="824">
        <f t="shared" ca="1" si="601"/>
        <v>0</v>
      </c>
      <c r="CR774" s="824">
        <f t="shared" ca="1" si="601"/>
        <v>0</v>
      </c>
      <c r="CS774" s="824">
        <f t="shared" ca="1" si="601"/>
        <v>0</v>
      </c>
      <c r="CT774" s="824">
        <f t="shared" ca="1" si="587"/>
        <v>0</v>
      </c>
      <c r="CU774" s="824">
        <f t="shared" ca="1" si="587"/>
        <v>0</v>
      </c>
      <c r="CV774" s="824">
        <f t="shared" ca="1" si="587"/>
        <v>0</v>
      </c>
      <c r="CW774" s="824">
        <f t="shared" ca="1" si="587"/>
        <v>0</v>
      </c>
      <c r="CX774" s="824">
        <f t="shared" ca="1" si="587"/>
        <v>0</v>
      </c>
      <c r="CY774" s="824">
        <f t="shared" ca="1" si="587"/>
        <v>0</v>
      </c>
      <c r="CZ774" s="824">
        <f t="shared" ca="1" si="587"/>
        <v>0</v>
      </c>
      <c r="DA774" s="824">
        <f t="shared" ca="1" si="587"/>
        <v>0</v>
      </c>
      <c r="DB774" s="824">
        <f t="shared" ref="DB774:DI774" ca="1" si="603">IF(OR(IF($BL774*1&lt;$BL$196,$BL774*1=DB$198,FALSE),IF($BL774*2&lt;$BL$196,$BL774*2=DB$198,FALSE),IF($BL774*3&lt;$BL$196,$BL774*3=DB$198,FALSE),IF($BL774*4&lt;$BL$196,$BL774*4=DB$198,FALSE),IF($BL774*5&lt;$BL$196,$BL774*5=DB$198,FALSE)),$BN774*$BM$196^DB$198,0)</f>
        <v>0</v>
      </c>
      <c r="DC774" s="824">
        <f t="shared" ca="1" si="603"/>
        <v>0</v>
      </c>
      <c r="DD774" s="824">
        <f t="shared" ca="1" si="603"/>
        <v>0</v>
      </c>
      <c r="DE774" s="824">
        <f t="shared" ca="1" si="603"/>
        <v>0</v>
      </c>
      <c r="DF774" s="824">
        <f t="shared" ca="1" si="603"/>
        <v>0</v>
      </c>
      <c r="DG774" s="824">
        <f t="shared" ca="1" si="603"/>
        <v>0</v>
      </c>
      <c r="DH774" s="824">
        <f t="shared" ca="1" si="603"/>
        <v>0</v>
      </c>
      <c r="DI774" s="824">
        <f t="shared" ca="1" si="603"/>
        <v>0</v>
      </c>
      <c r="DJ774" s="824">
        <f t="shared" ca="1" si="590"/>
        <v>0</v>
      </c>
      <c r="DK774" s="824">
        <f t="shared" ca="1" si="590"/>
        <v>0</v>
      </c>
      <c r="DL774" s="824">
        <f t="shared" ca="1" si="590"/>
        <v>0</v>
      </c>
    </row>
    <row r="775" spans="2:116" ht="12" thickBot="1" x14ac:dyDescent="0.3">
      <c r="B775" s="1673"/>
      <c r="C775" s="1680"/>
      <c r="D775" s="15" t="s">
        <v>44</v>
      </c>
      <c r="E775" s="116"/>
      <c r="F775" s="116">
        <f ca="1">SUBTOTAL(109,'3.4 I&amp;W'!$X$133)</f>
        <v>0</v>
      </c>
      <c r="G775" s="116">
        <f ca="1">SUBTOTAL(109,'3.4 I&amp;W'!$Y$133)</f>
        <v>0</v>
      </c>
      <c r="H775" s="116">
        <f ca="1">SUBTOTAL(109,'3.4 I&amp;W'!$AD$133)</f>
        <v>0</v>
      </c>
      <c r="I775" s="116">
        <f ca="1">SUBTOTAL(109,'3.4 I&amp;W'!$AE$133)</f>
        <v>0</v>
      </c>
      <c r="J775" s="116"/>
      <c r="K775" s="116"/>
      <c r="L775" s="116"/>
      <c r="M775" s="116">
        <f ca="1">SUBTOTAL(109,'3.4 I&amp;W'!$AI$133)</f>
        <v>0</v>
      </c>
      <c r="N775" s="156">
        <f t="shared" ca="1" si="541"/>
        <v>0</v>
      </c>
      <c r="O775" s="116">
        <f ca="1">SUBTOTAL(109,'3.4 I&amp;W'!$S$133)</f>
        <v>0</v>
      </c>
      <c r="P775" s="30">
        <f t="shared" ca="1" si="581"/>
        <v>0</v>
      </c>
      <c r="Q775" s="31">
        <f t="shared" ca="1" si="582"/>
        <v>0</v>
      </c>
      <c r="R775" s="31">
        <f t="shared" ca="1" si="583"/>
        <v>0</v>
      </c>
      <c r="S775" s="31">
        <f t="shared" ca="1" si="584"/>
        <v>0</v>
      </c>
      <c r="T775" s="32">
        <f t="shared" ca="1" si="585"/>
        <v>0</v>
      </c>
      <c r="U775" s="37">
        <f t="shared" ca="1" si="542"/>
        <v>0</v>
      </c>
      <c r="V775" s="40">
        <f t="shared" ca="1" si="591"/>
        <v>0</v>
      </c>
      <c r="W775" s="41">
        <f t="shared" ca="1" si="592"/>
        <v>0</v>
      </c>
      <c r="X775" s="43"/>
      <c r="Y775" s="46"/>
      <c r="Z775" s="126"/>
      <c r="AA775" s="136"/>
      <c r="AB775" s="131">
        <v>48</v>
      </c>
      <c r="AC775" s="168">
        <f ca="1">IF(AF774&lt;=1,0,'3.4 Fi&amp;Fo'!$I$25)</f>
        <v>0</v>
      </c>
      <c r="AD775" s="169">
        <f ca="1">IF(AF774&lt;=1,0,AF774*'3.4 Fi&amp;Fo'!$H$25)</f>
        <v>0</v>
      </c>
      <c r="AE775" s="169">
        <f t="shared" ca="1" si="545"/>
        <v>0</v>
      </c>
      <c r="AF775" s="170">
        <f t="shared" ca="1" si="546"/>
        <v>7.9307937994599342E-10</v>
      </c>
      <c r="AG775" s="168" t="b">
        <f>IF(AJ774&lt;=1,0,IF(AB775&lt;='3.4 Fi&amp;Fo'!$F$34,'3.4 Fi&amp;Fo'!$J$34,IF(AB775&lt;='3.4 Fi&amp;Fo'!$F$35,'3.4 Fi&amp;Fo'!$J$35,IF(AB775&lt;='3.4 Fi&amp;Fo'!$F$36,'3.4 Fi&amp;Fo'!$J$36,IF(AB775&lt;='3.4 Fi&amp;Fo'!$F$37,'3.4 Fi&amp;Fo'!$J$37,IF(AB775&lt;='3.4 Fi&amp;Fo'!$F$38,'3.4 Fi&amp;Fo'!$J$38,IF(AB775&lt;='3.4 Fi&amp;Fo'!$F$39,'3.4 Fi&amp;Fo'!$J$39,IF(AB775&lt;='3.4 Fi&amp;Fo'!$F$40,'3.4 Fi&amp;Fo'!$J$40))))))))</f>
        <v>0</v>
      </c>
      <c r="AH775" s="203">
        <f>IF(AJ774&lt;=1,0,AJ774*IF(AB775&lt;='3.4 Fi&amp;Fo'!$F$34,'3.4 Fi&amp;Fo'!$I$34,IF(AB775&lt;='3.4 Fi&amp;Fo'!$F$35,'3.4 Fi&amp;Fo'!$I$35,IF(AB775&lt;='3.4 Fi&amp;Fo'!$F$38,'3.4 Fi&amp;Fo'!$I$38,IF(AB775&lt;='3.4 Fi&amp;Fo'!$F$39,'3.4 Fi&amp;Fo'!$I$39,IF(AB775&lt;='3.4 Fi&amp;Fo'!$F$40,'3.4 Fi&amp;Fo'!$I$40))))))</f>
        <v>0</v>
      </c>
      <c r="AI775" s="203">
        <f t="shared" si="598"/>
        <v>0</v>
      </c>
      <c r="AJ775" s="204">
        <f t="shared" si="548"/>
        <v>2716140.2904911651</v>
      </c>
      <c r="AK775" s="312">
        <f t="shared" ca="1" si="599"/>
        <v>0</v>
      </c>
      <c r="AL775" s="169">
        <f>IF(AB775&lt;='3.4 Fi&amp;Fo'!$J$15,'3.4 Fi&amp;Fo'!$I$15,0)</f>
        <v>0</v>
      </c>
      <c r="AM775" s="169">
        <f t="shared" si="561"/>
        <v>0</v>
      </c>
      <c r="AN775" s="838" t="str">
        <f t="shared" si="566"/>
        <v/>
      </c>
      <c r="AO775" s="844">
        <f t="shared" ca="1" si="550"/>
        <v>0</v>
      </c>
      <c r="AP775" s="839">
        <f ca="1">DJ832</f>
        <v>0</v>
      </c>
      <c r="AQ775" s="844">
        <f t="shared" si="551"/>
        <v>0</v>
      </c>
      <c r="AR775" s="839" t="str">
        <f t="shared" si="567"/>
        <v/>
      </c>
      <c r="AS775" s="839">
        <f t="shared" si="562"/>
        <v>0</v>
      </c>
      <c r="AT775" s="839">
        <f t="shared" si="563"/>
        <v>0</v>
      </c>
      <c r="AU775" s="839">
        <f>'PV-Einspeisung'!AA256*-1</f>
        <v>0</v>
      </c>
      <c r="AV775" s="839">
        <f>'PV-Einspeisung'!AE256*-1</f>
        <v>0</v>
      </c>
      <c r="AW775" s="839"/>
      <c r="AX775" s="839" t="str">
        <f t="shared" si="568"/>
        <v/>
      </c>
      <c r="AY775" s="841" t="str">
        <f t="shared" si="552"/>
        <v/>
      </c>
      <c r="AZ775" s="842" t="str">
        <f t="shared" si="600"/>
        <v/>
      </c>
      <c r="BA775" s="842" t="str">
        <f t="shared" si="570"/>
        <v/>
      </c>
      <c r="BB775" s="842" t="str">
        <f t="shared" si="571"/>
        <v/>
      </c>
      <c r="BC775" s="842" t="str">
        <f t="shared" si="572"/>
        <v/>
      </c>
      <c r="BD775" s="842" t="str">
        <f t="shared" si="573"/>
        <v/>
      </c>
      <c r="BE775" s="842" t="str">
        <f t="shared" si="574"/>
        <v/>
      </c>
      <c r="BF775" s="842" t="str">
        <f t="shared" si="575"/>
        <v/>
      </c>
      <c r="BG775" s="842" t="str">
        <f t="shared" si="576"/>
        <v/>
      </c>
      <c r="BH775" s="858" t="str">
        <f t="shared" si="560"/>
        <v/>
      </c>
      <c r="BI775" s="857" t="str">
        <f t="shared" si="577"/>
        <v/>
      </c>
      <c r="BJ775" s="857" t="str">
        <f t="shared" si="578"/>
        <v/>
      </c>
      <c r="BK775" s="859">
        <f>'PV-Einspeisung'!AB256*-1</f>
        <v>0</v>
      </c>
      <c r="BL775" s="824">
        <f t="shared" ca="1" si="593"/>
        <v>0</v>
      </c>
      <c r="BM775" s="824">
        <f t="shared" ca="1" si="594"/>
        <v>0</v>
      </c>
      <c r="BN775" s="824">
        <f t="shared" ca="1" si="595"/>
        <v>0</v>
      </c>
      <c r="BO775" s="824">
        <f t="shared" ca="1" si="602"/>
        <v>0</v>
      </c>
      <c r="BP775" s="824">
        <f t="shared" ca="1" si="602"/>
        <v>0</v>
      </c>
      <c r="BQ775" s="824">
        <f t="shared" ca="1" si="602"/>
        <v>0</v>
      </c>
      <c r="BR775" s="824">
        <f t="shared" ca="1" si="602"/>
        <v>0</v>
      </c>
      <c r="BS775" s="824">
        <f t="shared" ca="1" si="602"/>
        <v>0</v>
      </c>
      <c r="BT775" s="824">
        <f t="shared" ca="1" si="602"/>
        <v>0</v>
      </c>
      <c r="BU775" s="824">
        <f t="shared" ca="1" si="602"/>
        <v>0</v>
      </c>
      <c r="BV775" s="824">
        <f t="shared" ca="1" si="602"/>
        <v>0</v>
      </c>
      <c r="BW775" s="824">
        <f t="shared" ca="1" si="602"/>
        <v>0</v>
      </c>
      <c r="BX775" s="824">
        <f t="shared" ca="1" si="602"/>
        <v>0</v>
      </c>
      <c r="BY775" s="824">
        <f t="shared" ca="1" si="602"/>
        <v>0</v>
      </c>
      <c r="BZ775" s="824">
        <f t="shared" ca="1" si="602"/>
        <v>0</v>
      </c>
      <c r="CA775" s="824">
        <f t="shared" ca="1" si="602"/>
        <v>0</v>
      </c>
      <c r="CB775" s="824">
        <f t="shared" ca="1" si="602"/>
        <v>0</v>
      </c>
      <c r="CC775" s="824">
        <f t="shared" ca="1" si="602"/>
        <v>0</v>
      </c>
      <c r="CD775" s="824">
        <f t="shared" ca="1" si="602"/>
        <v>0</v>
      </c>
      <c r="CE775" s="824">
        <f t="shared" ca="1" si="601"/>
        <v>0</v>
      </c>
      <c r="CF775" s="824">
        <f t="shared" ca="1" si="601"/>
        <v>0</v>
      </c>
      <c r="CG775" s="824">
        <f t="shared" ca="1" si="601"/>
        <v>0</v>
      </c>
      <c r="CH775" s="824">
        <f t="shared" ca="1" si="601"/>
        <v>0</v>
      </c>
      <c r="CI775" s="824">
        <f t="shared" ca="1" si="601"/>
        <v>0</v>
      </c>
      <c r="CJ775" s="824">
        <f t="shared" ca="1" si="601"/>
        <v>0</v>
      </c>
      <c r="CK775" s="824">
        <f t="shared" ca="1" si="601"/>
        <v>0</v>
      </c>
      <c r="CL775" s="824">
        <f t="shared" ca="1" si="601"/>
        <v>0</v>
      </c>
      <c r="CM775" s="824">
        <f t="shared" ca="1" si="601"/>
        <v>0</v>
      </c>
      <c r="CN775" s="824">
        <f t="shared" ca="1" si="601"/>
        <v>0</v>
      </c>
      <c r="CO775" s="824">
        <f t="shared" ca="1" si="601"/>
        <v>0</v>
      </c>
      <c r="CP775" s="824">
        <f t="shared" ca="1" si="601"/>
        <v>0</v>
      </c>
      <c r="CQ775" s="824">
        <f t="shared" ca="1" si="601"/>
        <v>0</v>
      </c>
      <c r="CR775" s="824">
        <f t="shared" ca="1" si="601"/>
        <v>0</v>
      </c>
      <c r="CS775" s="824">
        <f t="shared" ca="1" si="601"/>
        <v>0</v>
      </c>
      <c r="CT775" s="824">
        <f t="shared" ref="CT775:DI790" ca="1" si="604">IF(OR(IF($BL775*1&lt;$BL$196,$BL775*1=CT$198,FALSE),IF($BL775*2&lt;$BL$196,$BL775*2=CT$198,FALSE),IF($BL775*3&lt;$BL$196,$BL775*3=CT$198,FALSE),IF($BL775*4&lt;$BL$196,$BL775*4=CT$198,FALSE),IF($BL775*5&lt;$BL$196,$BL775*5=CT$198,FALSE)),$BN775*$BM$196^CT$198,0)</f>
        <v>0</v>
      </c>
      <c r="CU775" s="824">
        <f t="shared" ca="1" si="604"/>
        <v>0</v>
      </c>
      <c r="CV775" s="824">
        <f t="shared" ca="1" si="604"/>
        <v>0</v>
      </c>
      <c r="CW775" s="824">
        <f t="shared" ca="1" si="604"/>
        <v>0</v>
      </c>
      <c r="CX775" s="824">
        <f t="shared" ca="1" si="604"/>
        <v>0</v>
      </c>
      <c r="CY775" s="824">
        <f t="shared" ca="1" si="604"/>
        <v>0</v>
      </c>
      <c r="CZ775" s="824">
        <f t="shared" ca="1" si="604"/>
        <v>0</v>
      </c>
      <c r="DA775" s="824">
        <f t="shared" ca="1" si="604"/>
        <v>0</v>
      </c>
      <c r="DB775" s="824">
        <f t="shared" ca="1" si="604"/>
        <v>0</v>
      </c>
      <c r="DC775" s="824">
        <f t="shared" ca="1" si="604"/>
        <v>0</v>
      </c>
      <c r="DD775" s="824">
        <f t="shared" ca="1" si="604"/>
        <v>0</v>
      </c>
      <c r="DE775" s="824">
        <f t="shared" ca="1" si="604"/>
        <v>0</v>
      </c>
      <c r="DF775" s="824">
        <f t="shared" ca="1" si="604"/>
        <v>0</v>
      </c>
      <c r="DG775" s="824">
        <f t="shared" ca="1" si="604"/>
        <v>0</v>
      </c>
      <c r="DH775" s="824">
        <f t="shared" ca="1" si="604"/>
        <v>0</v>
      </c>
      <c r="DI775" s="824">
        <f t="shared" ca="1" si="604"/>
        <v>0</v>
      </c>
      <c r="DJ775" s="824">
        <f t="shared" ca="1" si="590"/>
        <v>0</v>
      </c>
      <c r="DK775" s="824">
        <f t="shared" ca="1" si="590"/>
        <v>0</v>
      </c>
      <c r="DL775" s="824">
        <f t="shared" ca="1" si="590"/>
        <v>0</v>
      </c>
    </row>
    <row r="776" spans="2:116" ht="12" thickBot="1" x14ac:dyDescent="0.3">
      <c r="B776" s="1673"/>
      <c r="C776" s="1680"/>
      <c r="D776" s="15" t="s">
        <v>42</v>
      </c>
      <c r="E776" s="165"/>
      <c r="F776" s="116">
        <f ca="1">SUBTOTAL(109,'3.4 I&amp;W'!$X$135)</f>
        <v>0</v>
      </c>
      <c r="G776" s="116">
        <f ca="1">SUBTOTAL(109,'3.4 I&amp;W'!$Y$135)</f>
        <v>0</v>
      </c>
      <c r="H776" s="116">
        <f ca="1">SUBTOTAL(109,'3.4 I&amp;W'!$AD$135)</f>
        <v>0</v>
      </c>
      <c r="I776" s="116">
        <f ca="1">SUBTOTAL(109,'3.4 I&amp;W'!$AE$135)</f>
        <v>0</v>
      </c>
      <c r="J776" s="116"/>
      <c r="K776" s="116"/>
      <c r="L776" s="116"/>
      <c r="M776" s="116">
        <f ca="1">SUBTOTAL(109,'3.4 I&amp;W'!$AI$135)</f>
        <v>50</v>
      </c>
      <c r="N776" s="156">
        <f t="shared" ca="1" si="541"/>
        <v>0</v>
      </c>
      <c r="O776" s="116">
        <f ca="1">SUBTOTAL(109,'3.4 I&amp;W'!$S$135)</f>
        <v>21526.475999999999</v>
      </c>
      <c r="P776" s="30">
        <f t="shared" ca="1" si="581"/>
        <v>0</v>
      </c>
      <c r="Q776" s="31">
        <f t="shared" ca="1" si="582"/>
        <v>0</v>
      </c>
      <c r="R776" s="31">
        <f t="shared" ca="1" si="583"/>
        <v>0</v>
      </c>
      <c r="S776" s="31">
        <f t="shared" ca="1" si="584"/>
        <v>0</v>
      </c>
      <c r="T776" s="32">
        <f t="shared" ca="1" si="585"/>
        <v>0</v>
      </c>
      <c r="U776" s="37">
        <f t="shared" ca="1" si="542"/>
        <v>3229.1497254948576</v>
      </c>
      <c r="V776" s="40">
        <f t="shared" ca="1" si="591"/>
        <v>0</v>
      </c>
      <c r="W776" s="41">
        <f t="shared" ca="1" si="592"/>
        <v>0</v>
      </c>
      <c r="X776" s="43"/>
      <c r="Y776" s="46"/>
      <c r="Z776" s="126"/>
      <c r="AA776" s="136"/>
      <c r="AB776" s="131">
        <v>49</v>
      </c>
      <c r="AC776" s="168">
        <f ca="1">IF(AF775&lt;=1,0,'3.4 Fi&amp;Fo'!$I$25)</f>
        <v>0</v>
      </c>
      <c r="AD776" s="169">
        <f ca="1">IF(AF775&lt;=1,0,AF775*'3.4 Fi&amp;Fo'!$H$25)</f>
        <v>0</v>
      </c>
      <c r="AE776" s="169">
        <f t="shared" ca="1" si="545"/>
        <v>0</v>
      </c>
      <c r="AF776" s="170">
        <f t="shared" ca="1" si="546"/>
        <v>7.9307937994599342E-10</v>
      </c>
      <c r="AG776" s="168" t="b">
        <f>IF(AJ775&lt;=1,0,IF(AB776&lt;='3.4 Fi&amp;Fo'!$F$34,'3.4 Fi&amp;Fo'!$J$34,IF(AB776&lt;='3.4 Fi&amp;Fo'!$F$35,'3.4 Fi&amp;Fo'!$J$35,IF(AB776&lt;='3.4 Fi&amp;Fo'!$F$36,'3.4 Fi&amp;Fo'!$J$36,IF(AB776&lt;='3.4 Fi&amp;Fo'!$F$37,'3.4 Fi&amp;Fo'!$J$37,IF(AB776&lt;='3.4 Fi&amp;Fo'!$F$38,'3.4 Fi&amp;Fo'!$J$38,IF(AB776&lt;='3.4 Fi&amp;Fo'!$F$39,'3.4 Fi&amp;Fo'!$J$39,IF(AB776&lt;='3.4 Fi&amp;Fo'!$F$40,'3.4 Fi&amp;Fo'!$J$40))))))))</f>
        <v>0</v>
      </c>
      <c r="AH776" s="203">
        <f>IF(AJ775&lt;=1,0,AJ775*IF(AB776&lt;='3.4 Fi&amp;Fo'!$F$34,'3.4 Fi&amp;Fo'!$I$34,IF(AB776&lt;='3.4 Fi&amp;Fo'!$F$35,'3.4 Fi&amp;Fo'!$I$35,IF(AB776&lt;='3.4 Fi&amp;Fo'!$F$38,'3.4 Fi&amp;Fo'!$I$38,IF(AB776&lt;='3.4 Fi&amp;Fo'!$F$39,'3.4 Fi&amp;Fo'!$I$39,IF(AB776&lt;='3.4 Fi&amp;Fo'!$F$40,'3.4 Fi&amp;Fo'!$I$40))))))</f>
        <v>0</v>
      </c>
      <c r="AI776" s="203">
        <f t="shared" si="598"/>
        <v>0</v>
      </c>
      <c r="AJ776" s="204">
        <f t="shared" si="548"/>
        <v>2716140.2904911651</v>
      </c>
      <c r="AK776" s="312">
        <f t="shared" ca="1" si="599"/>
        <v>0</v>
      </c>
      <c r="AL776" s="169">
        <f>IF(AB776&lt;='3.4 Fi&amp;Fo'!$J$15,'3.4 Fi&amp;Fo'!$I$15,0)</f>
        <v>0</v>
      </c>
      <c r="AM776" s="169">
        <f t="shared" si="561"/>
        <v>0</v>
      </c>
      <c r="AN776" s="838" t="str">
        <f t="shared" si="566"/>
        <v/>
      </c>
      <c r="AO776" s="844">
        <f t="shared" ca="1" si="550"/>
        <v>0</v>
      </c>
      <c r="AP776" s="839">
        <f ca="1">DK832</f>
        <v>0</v>
      </c>
      <c r="AQ776" s="844">
        <f t="shared" si="551"/>
        <v>0</v>
      </c>
      <c r="AR776" s="839" t="str">
        <f t="shared" si="567"/>
        <v/>
      </c>
      <c r="AS776" s="839">
        <f t="shared" si="562"/>
        <v>0</v>
      </c>
      <c r="AT776" s="839">
        <f t="shared" si="563"/>
        <v>0</v>
      </c>
      <c r="AU776" s="839">
        <f>'PV-Einspeisung'!AA257*-1</f>
        <v>0</v>
      </c>
      <c r="AV776" s="839">
        <f>'PV-Einspeisung'!AE257*-1</f>
        <v>0</v>
      </c>
      <c r="AW776" s="839"/>
      <c r="AX776" s="839" t="str">
        <f t="shared" si="568"/>
        <v/>
      </c>
      <c r="AY776" s="841" t="str">
        <f t="shared" si="552"/>
        <v/>
      </c>
      <c r="AZ776" s="842" t="str">
        <f t="shared" si="600"/>
        <v/>
      </c>
      <c r="BA776" s="842" t="str">
        <f t="shared" si="570"/>
        <v/>
      </c>
      <c r="BB776" s="842" t="str">
        <f t="shared" si="571"/>
        <v/>
      </c>
      <c r="BC776" s="842" t="str">
        <f t="shared" si="572"/>
        <v/>
      </c>
      <c r="BD776" s="842" t="str">
        <f t="shared" si="573"/>
        <v/>
      </c>
      <c r="BE776" s="842" t="str">
        <f t="shared" si="574"/>
        <v/>
      </c>
      <c r="BF776" s="842" t="str">
        <f t="shared" si="575"/>
        <v/>
      </c>
      <c r="BG776" s="842" t="str">
        <f t="shared" si="576"/>
        <v/>
      </c>
      <c r="BH776" s="858" t="str">
        <f t="shared" si="560"/>
        <v/>
      </c>
      <c r="BI776" s="857" t="str">
        <f t="shared" si="577"/>
        <v/>
      </c>
      <c r="BJ776" s="857" t="str">
        <f t="shared" si="578"/>
        <v/>
      </c>
      <c r="BK776" s="859">
        <f>'PV-Einspeisung'!AB257*-1</f>
        <v>0</v>
      </c>
      <c r="BL776" s="824">
        <f t="shared" ca="1" si="593"/>
        <v>50</v>
      </c>
      <c r="BM776" s="824">
        <f t="shared" ca="1" si="594"/>
        <v>0</v>
      </c>
      <c r="BN776" s="824">
        <f t="shared" ca="1" si="595"/>
        <v>21526.475999999999</v>
      </c>
      <c r="BO776" s="824">
        <f t="shared" ca="1" si="602"/>
        <v>0</v>
      </c>
      <c r="BP776" s="824">
        <f t="shared" ca="1" si="602"/>
        <v>0</v>
      </c>
      <c r="BQ776" s="824">
        <f t="shared" ca="1" si="602"/>
        <v>0</v>
      </c>
      <c r="BR776" s="824">
        <f t="shared" ca="1" si="602"/>
        <v>0</v>
      </c>
      <c r="BS776" s="824">
        <f t="shared" ca="1" si="602"/>
        <v>0</v>
      </c>
      <c r="BT776" s="824">
        <f t="shared" ca="1" si="602"/>
        <v>0</v>
      </c>
      <c r="BU776" s="824">
        <f t="shared" ca="1" si="602"/>
        <v>0</v>
      </c>
      <c r="BV776" s="824">
        <f t="shared" ca="1" si="602"/>
        <v>0</v>
      </c>
      <c r="BW776" s="824">
        <f t="shared" ca="1" si="602"/>
        <v>0</v>
      </c>
      <c r="BX776" s="824">
        <f t="shared" ca="1" si="602"/>
        <v>0</v>
      </c>
      <c r="BY776" s="824">
        <f t="shared" ca="1" si="602"/>
        <v>0</v>
      </c>
      <c r="BZ776" s="824">
        <f t="shared" ca="1" si="602"/>
        <v>0</v>
      </c>
      <c r="CA776" s="824">
        <f t="shared" ca="1" si="602"/>
        <v>0</v>
      </c>
      <c r="CB776" s="824">
        <f t="shared" ca="1" si="602"/>
        <v>0</v>
      </c>
      <c r="CC776" s="824">
        <f t="shared" ca="1" si="602"/>
        <v>0</v>
      </c>
      <c r="CD776" s="824">
        <f t="shared" ca="1" si="602"/>
        <v>0</v>
      </c>
      <c r="CE776" s="824">
        <f t="shared" ca="1" si="601"/>
        <v>0</v>
      </c>
      <c r="CF776" s="824">
        <f t="shared" ca="1" si="601"/>
        <v>0</v>
      </c>
      <c r="CG776" s="824">
        <f t="shared" ca="1" si="601"/>
        <v>0</v>
      </c>
      <c r="CH776" s="824">
        <f t="shared" ca="1" si="601"/>
        <v>0</v>
      </c>
      <c r="CI776" s="824">
        <f t="shared" ca="1" si="601"/>
        <v>0</v>
      </c>
      <c r="CJ776" s="824">
        <f t="shared" ca="1" si="601"/>
        <v>0</v>
      </c>
      <c r="CK776" s="824">
        <f t="shared" ca="1" si="601"/>
        <v>0</v>
      </c>
      <c r="CL776" s="824">
        <f t="shared" ca="1" si="601"/>
        <v>0</v>
      </c>
      <c r="CM776" s="824">
        <f t="shared" ca="1" si="601"/>
        <v>0</v>
      </c>
      <c r="CN776" s="824">
        <f t="shared" ca="1" si="601"/>
        <v>0</v>
      </c>
      <c r="CO776" s="824">
        <f t="shared" ca="1" si="601"/>
        <v>0</v>
      </c>
      <c r="CP776" s="824">
        <f t="shared" ca="1" si="601"/>
        <v>0</v>
      </c>
      <c r="CQ776" s="824">
        <f t="shared" ca="1" si="601"/>
        <v>0</v>
      </c>
      <c r="CR776" s="824">
        <f t="shared" ca="1" si="601"/>
        <v>0</v>
      </c>
      <c r="CS776" s="824">
        <f t="shared" ca="1" si="601"/>
        <v>0</v>
      </c>
      <c r="CT776" s="824">
        <f t="shared" ca="1" si="604"/>
        <v>0</v>
      </c>
      <c r="CU776" s="824">
        <f t="shared" ca="1" si="604"/>
        <v>0</v>
      </c>
      <c r="CV776" s="824">
        <f t="shared" ca="1" si="604"/>
        <v>0</v>
      </c>
      <c r="CW776" s="824">
        <f t="shared" ca="1" si="604"/>
        <v>0</v>
      </c>
      <c r="CX776" s="824">
        <f t="shared" ca="1" si="604"/>
        <v>0</v>
      </c>
      <c r="CY776" s="824">
        <f t="shared" ca="1" si="604"/>
        <v>0</v>
      </c>
      <c r="CZ776" s="824">
        <f t="shared" ca="1" si="604"/>
        <v>0</v>
      </c>
      <c r="DA776" s="824">
        <f t="shared" ca="1" si="604"/>
        <v>0</v>
      </c>
      <c r="DB776" s="824">
        <f t="shared" ca="1" si="604"/>
        <v>0</v>
      </c>
      <c r="DC776" s="824">
        <f t="shared" ca="1" si="604"/>
        <v>0</v>
      </c>
      <c r="DD776" s="824">
        <f t="shared" ca="1" si="604"/>
        <v>0</v>
      </c>
      <c r="DE776" s="824">
        <f t="shared" ca="1" si="604"/>
        <v>0</v>
      </c>
      <c r="DF776" s="824">
        <f t="shared" ca="1" si="604"/>
        <v>0</v>
      </c>
      <c r="DG776" s="824">
        <f t="shared" ca="1" si="604"/>
        <v>0</v>
      </c>
      <c r="DH776" s="824">
        <f t="shared" ca="1" si="604"/>
        <v>0</v>
      </c>
      <c r="DI776" s="824">
        <f t="shared" ca="1" si="604"/>
        <v>0</v>
      </c>
      <c r="DJ776" s="824">
        <f t="shared" ca="1" si="590"/>
        <v>0</v>
      </c>
      <c r="DK776" s="824">
        <f t="shared" ca="1" si="590"/>
        <v>0</v>
      </c>
      <c r="DL776" s="824">
        <f t="shared" ca="1" si="590"/>
        <v>0</v>
      </c>
    </row>
    <row r="777" spans="2:116" ht="12" thickBot="1" x14ac:dyDescent="0.3">
      <c r="B777" s="1673"/>
      <c r="C777" s="1680"/>
      <c r="D777" s="15" t="s">
        <v>40</v>
      </c>
      <c r="E777" s="116"/>
      <c r="F777" s="116">
        <f ca="1">SUBTOTAL(109,'3.4 I&amp;W'!$X$138)</f>
        <v>0</v>
      </c>
      <c r="G777" s="116">
        <f ca="1">SUBTOTAL(109,'3.4 I&amp;W'!$Y$138)</f>
        <v>0</v>
      </c>
      <c r="H777" s="116">
        <f ca="1">SUBTOTAL(109,'3.4 I&amp;W'!$AD$138)</f>
        <v>0</v>
      </c>
      <c r="I777" s="116">
        <f ca="1">SUBTOTAL(109,'3.4 I&amp;W'!$AE$138)</f>
        <v>0</v>
      </c>
      <c r="J777" s="116"/>
      <c r="K777" s="116"/>
      <c r="L777" s="116"/>
      <c r="M777" s="116">
        <f ca="1">SUBTOTAL(109,'3.4 I&amp;W'!$AI$138)</f>
        <v>0</v>
      </c>
      <c r="N777" s="156">
        <f t="shared" ca="1" si="541"/>
        <v>0</v>
      </c>
      <c r="O777" s="116">
        <f ca="1">SUBTOTAL(109,'3.4 I&amp;W'!$S$138)</f>
        <v>0</v>
      </c>
      <c r="P777" s="30">
        <f t="shared" ca="1" si="581"/>
        <v>0</v>
      </c>
      <c r="Q777" s="31">
        <f t="shared" ca="1" si="582"/>
        <v>0</v>
      </c>
      <c r="R777" s="31">
        <f t="shared" ca="1" si="583"/>
        <v>0</v>
      </c>
      <c r="S777" s="31">
        <f t="shared" ca="1" si="584"/>
        <v>0</v>
      </c>
      <c r="T777" s="32">
        <f t="shared" ca="1" si="585"/>
        <v>0</v>
      </c>
      <c r="U777" s="37">
        <f t="shared" ca="1" si="542"/>
        <v>0</v>
      </c>
      <c r="V777" s="40">
        <f t="shared" ca="1" si="591"/>
        <v>0</v>
      </c>
      <c r="W777" s="41">
        <f t="shared" ca="1" si="592"/>
        <v>0</v>
      </c>
      <c r="X777" s="43"/>
      <c r="Y777" s="46"/>
      <c r="Z777" s="126"/>
      <c r="AA777" s="136"/>
      <c r="AB777" s="131">
        <v>50</v>
      </c>
      <c r="AC777" s="168">
        <f ca="1">IF(AF776&lt;=1,0,'3.4 Fi&amp;Fo'!$I$25)</f>
        <v>0</v>
      </c>
      <c r="AD777" s="169">
        <f ca="1">IF(AF776&lt;=1,0,AF776*'3.4 Fi&amp;Fo'!$H$25)</f>
        <v>0</v>
      </c>
      <c r="AE777" s="171">
        <f t="shared" ca="1" si="545"/>
        <v>0</v>
      </c>
      <c r="AF777" s="172">
        <f t="shared" ca="1" si="546"/>
        <v>7.9307937994599342E-10</v>
      </c>
      <c r="AG777" s="168" t="b">
        <f>IF(AJ776&lt;=1,0,IF(AB777&lt;='3.4 Fi&amp;Fo'!$F$34,'3.4 Fi&amp;Fo'!$J$34,IF(AB777&lt;='3.4 Fi&amp;Fo'!$F$35,'3.4 Fi&amp;Fo'!$J$35,IF(AB777&lt;='3.4 Fi&amp;Fo'!$F$36,'3.4 Fi&amp;Fo'!$J$36,IF(AB777&lt;='3.4 Fi&amp;Fo'!$F$37,'3.4 Fi&amp;Fo'!$J$37,IF(AB777&lt;='3.4 Fi&amp;Fo'!$F$38,'3.4 Fi&amp;Fo'!$J$38,IF(AB777&lt;='3.4 Fi&amp;Fo'!$F$39,'3.4 Fi&amp;Fo'!$J$39,IF(AB777&lt;='3.4 Fi&amp;Fo'!$F$40,'3.4 Fi&amp;Fo'!$J$40))))))))</f>
        <v>0</v>
      </c>
      <c r="AH777" s="205">
        <f>IF(AJ776&lt;=1,0,AJ776*IF(AB777&lt;='3.4 Fi&amp;Fo'!$F$34,'3.4 Fi&amp;Fo'!$I$34,IF(AB777&lt;='3.4 Fi&amp;Fo'!$F$35,'3.4 Fi&amp;Fo'!$I$35,IF(AB777&lt;='3.4 Fi&amp;Fo'!$F$38,'3.4 Fi&amp;Fo'!$I$38,IF(AB777&lt;='3.4 Fi&amp;Fo'!$F$39,'3.4 Fi&amp;Fo'!$I$39,IF(AB777&lt;='3.4 Fi&amp;Fo'!$F$40,'3.4 Fi&amp;Fo'!$I$40))))))</f>
        <v>0</v>
      </c>
      <c r="AI777" s="205">
        <f t="shared" si="598"/>
        <v>0</v>
      </c>
      <c r="AJ777" s="206">
        <f t="shared" si="548"/>
        <v>2716140.2904911651</v>
      </c>
      <c r="AK777" s="312">
        <f t="shared" ca="1" si="599"/>
        <v>0</v>
      </c>
      <c r="AL777" s="169">
        <f>IF(AB777&lt;='3.4 Fi&amp;Fo'!$J$15,'3.4 Fi&amp;Fo'!$I$15,0)</f>
        <v>0</v>
      </c>
      <c r="AM777" s="169">
        <f t="shared" si="561"/>
        <v>0</v>
      </c>
      <c r="AN777" s="838" t="str">
        <f t="shared" si="566"/>
        <v/>
      </c>
      <c r="AO777" s="844">
        <f t="shared" ca="1" si="550"/>
        <v>0</v>
      </c>
      <c r="AP777" s="839">
        <f ca="1">DL832</f>
        <v>0</v>
      </c>
      <c r="AQ777" s="844">
        <f t="shared" si="551"/>
        <v>0</v>
      </c>
      <c r="AR777" s="839" t="str">
        <f t="shared" si="567"/>
        <v/>
      </c>
      <c r="AS777" s="839">
        <f t="shared" si="562"/>
        <v>0</v>
      </c>
      <c r="AT777" s="839">
        <f t="shared" si="563"/>
        <v>0</v>
      </c>
      <c r="AU777" s="839">
        <f>'PV-Einspeisung'!AA258*-1</f>
        <v>0</v>
      </c>
      <c r="AV777" s="839">
        <f>'PV-Einspeisung'!AE258*-1</f>
        <v>0</v>
      </c>
      <c r="AW777" s="839"/>
      <c r="AX777" s="839" t="str">
        <f t="shared" si="568"/>
        <v/>
      </c>
      <c r="AY777" s="841" t="str">
        <f t="shared" si="552"/>
        <v/>
      </c>
      <c r="AZ777" s="842" t="str">
        <f t="shared" si="600"/>
        <v/>
      </c>
      <c r="BA777" s="842" t="str">
        <f t="shared" si="570"/>
        <v/>
      </c>
      <c r="BB777" s="842" t="str">
        <f t="shared" si="571"/>
        <v/>
      </c>
      <c r="BC777" s="842" t="str">
        <f t="shared" si="572"/>
        <v/>
      </c>
      <c r="BD777" s="842" t="str">
        <f t="shared" si="573"/>
        <v/>
      </c>
      <c r="BE777" s="842" t="str">
        <f t="shared" si="574"/>
        <v/>
      </c>
      <c r="BF777" s="842" t="str">
        <f t="shared" si="575"/>
        <v/>
      </c>
      <c r="BG777" s="842" t="str">
        <f t="shared" si="576"/>
        <v/>
      </c>
      <c r="BH777" s="858" t="str">
        <f t="shared" si="560"/>
        <v/>
      </c>
      <c r="BI777" s="857" t="str">
        <f t="shared" si="577"/>
        <v/>
      </c>
      <c r="BJ777" s="857" t="str">
        <f t="shared" si="578"/>
        <v/>
      </c>
      <c r="BK777" s="859">
        <f>'PV-Einspeisung'!AB258*-1</f>
        <v>0</v>
      </c>
      <c r="BL777" s="824">
        <f t="shared" ca="1" si="593"/>
        <v>0</v>
      </c>
      <c r="BM777" s="824">
        <f t="shared" ca="1" si="594"/>
        <v>0</v>
      </c>
      <c r="BN777" s="824">
        <f t="shared" ca="1" si="595"/>
        <v>0</v>
      </c>
      <c r="BO777" s="824">
        <f t="shared" ca="1" si="602"/>
        <v>0</v>
      </c>
      <c r="BP777" s="824">
        <f t="shared" ca="1" si="602"/>
        <v>0</v>
      </c>
      <c r="BQ777" s="824">
        <f t="shared" ca="1" si="602"/>
        <v>0</v>
      </c>
      <c r="BR777" s="824">
        <f t="shared" ca="1" si="602"/>
        <v>0</v>
      </c>
      <c r="BS777" s="824">
        <f t="shared" ca="1" si="602"/>
        <v>0</v>
      </c>
      <c r="BT777" s="824">
        <f t="shared" ca="1" si="602"/>
        <v>0</v>
      </c>
      <c r="BU777" s="824">
        <f t="shared" ca="1" si="602"/>
        <v>0</v>
      </c>
      <c r="BV777" s="824">
        <f t="shared" ca="1" si="602"/>
        <v>0</v>
      </c>
      <c r="BW777" s="824">
        <f t="shared" ca="1" si="602"/>
        <v>0</v>
      </c>
      <c r="BX777" s="824">
        <f t="shared" ca="1" si="602"/>
        <v>0</v>
      </c>
      <c r="BY777" s="824">
        <f t="shared" ca="1" si="602"/>
        <v>0</v>
      </c>
      <c r="BZ777" s="824">
        <f t="shared" ca="1" si="602"/>
        <v>0</v>
      </c>
      <c r="CA777" s="824">
        <f t="shared" ca="1" si="602"/>
        <v>0</v>
      </c>
      <c r="CB777" s="824">
        <f t="shared" ca="1" si="602"/>
        <v>0</v>
      </c>
      <c r="CC777" s="824">
        <f t="shared" ca="1" si="602"/>
        <v>0</v>
      </c>
      <c r="CD777" s="824">
        <f t="shared" ca="1" si="602"/>
        <v>0</v>
      </c>
      <c r="CE777" s="824">
        <f t="shared" ca="1" si="601"/>
        <v>0</v>
      </c>
      <c r="CF777" s="824">
        <f t="shared" ca="1" si="601"/>
        <v>0</v>
      </c>
      <c r="CG777" s="824">
        <f t="shared" ca="1" si="601"/>
        <v>0</v>
      </c>
      <c r="CH777" s="824">
        <f t="shared" ca="1" si="601"/>
        <v>0</v>
      </c>
      <c r="CI777" s="824">
        <f t="shared" ca="1" si="601"/>
        <v>0</v>
      </c>
      <c r="CJ777" s="824">
        <f t="shared" ca="1" si="601"/>
        <v>0</v>
      </c>
      <c r="CK777" s="824">
        <f t="shared" ca="1" si="601"/>
        <v>0</v>
      </c>
      <c r="CL777" s="824">
        <f t="shared" ca="1" si="601"/>
        <v>0</v>
      </c>
      <c r="CM777" s="824">
        <f t="shared" ca="1" si="601"/>
        <v>0</v>
      </c>
      <c r="CN777" s="824">
        <f t="shared" ca="1" si="601"/>
        <v>0</v>
      </c>
      <c r="CO777" s="824">
        <f t="shared" ca="1" si="601"/>
        <v>0</v>
      </c>
      <c r="CP777" s="824">
        <f t="shared" ca="1" si="601"/>
        <v>0</v>
      </c>
      <c r="CQ777" s="824">
        <f t="shared" ca="1" si="601"/>
        <v>0</v>
      </c>
      <c r="CR777" s="824">
        <f t="shared" ca="1" si="601"/>
        <v>0</v>
      </c>
      <c r="CS777" s="824">
        <f t="shared" ca="1" si="601"/>
        <v>0</v>
      </c>
      <c r="CT777" s="824">
        <f t="shared" ca="1" si="604"/>
        <v>0</v>
      </c>
      <c r="CU777" s="824">
        <f t="shared" ca="1" si="604"/>
        <v>0</v>
      </c>
      <c r="CV777" s="824">
        <f t="shared" ca="1" si="604"/>
        <v>0</v>
      </c>
      <c r="CW777" s="824">
        <f t="shared" ca="1" si="604"/>
        <v>0</v>
      </c>
      <c r="CX777" s="824">
        <f t="shared" ca="1" si="604"/>
        <v>0</v>
      </c>
      <c r="CY777" s="824">
        <f t="shared" ca="1" si="604"/>
        <v>0</v>
      </c>
      <c r="CZ777" s="824">
        <f t="shared" ca="1" si="604"/>
        <v>0</v>
      </c>
      <c r="DA777" s="824">
        <f t="shared" ca="1" si="604"/>
        <v>0</v>
      </c>
      <c r="DB777" s="824">
        <f t="shared" ca="1" si="604"/>
        <v>0</v>
      </c>
      <c r="DC777" s="824">
        <f t="shared" ca="1" si="604"/>
        <v>0</v>
      </c>
      <c r="DD777" s="824">
        <f t="shared" ca="1" si="604"/>
        <v>0</v>
      </c>
      <c r="DE777" s="824">
        <f t="shared" ca="1" si="604"/>
        <v>0</v>
      </c>
      <c r="DF777" s="824">
        <f t="shared" ca="1" si="604"/>
        <v>0</v>
      </c>
      <c r="DG777" s="824">
        <f t="shared" ca="1" si="604"/>
        <v>0</v>
      </c>
      <c r="DH777" s="824">
        <f t="shared" ca="1" si="604"/>
        <v>0</v>
      </c>
      <c r="DI777" s="824">
        <f t="shared" ca="1" si="604"/>
        <v>0</v>
      </c>
      <c r="DJ777" s="824">
        <f t="shared" ca="1" si="590"/>
        <v>0</v>
      </c>
      <c r="DK777" s="824">
        <f t="shared" ca="1" si="590"/>
        <v>0</v>
      </c>
      <c r="DL777" s="824">
        <f t="shared" ca="1" si="590"/>
        <v>0</v>
      </c>
    </row>
    <row r="778" spans="2:116" ht="12" thickBot="1" x14ac:dyDescent="0.3">
      <c r="B778" s="1673"/>
      <c r="C778" s="1680"/>
      <c r="D778" s="15" t="s">
        <v>40</v>
      </c>
      <c r="E778" s="165"/>
      <c r="F778" s="116">
        <f ca="1">SUBTOTAL(109,'3.4 I&amp;W'!$X$139)</f>
        <v>0</v>
      </c>
      <c r="G778" s="116">
        <f ca="1">SUBTOTAL(109,'3.4 I&amp;W'!$Y$139)</f>
        <v>0</v>
      </c>
      <c r="H778" s="116">
        <f ca="1">SUBTOTAL(109,'3.4 I&amp;W'!$AD$139)</f>
        <v>0</v>
      </c>
      <c r="I778" s="116">
        <f ca="1">SUBTOTAL(109,'3.4 I&amp;W'!$AE$139)</f>
        <v>0</v>
      </c>
      <c r="J778" s="116"/>
      <c r="K778" s="116"/>
      <c r="L778" s="116"/>
      <c r="M778" s="116">
        <f ca="1">SUBTOTAL(109,'3.4 I&amp;W'!$AI$139)</f>
        <v>50</v>
      </c>
      <c r="N778" s="156">
        <f t="shared" ca="1" si="541"/>
        <v>0</v>
      </c>
      <c r="O778" s="116">
        <f ca="1">SUBTOTAL(109,'3.4 I&amp;W'!$S$139)</f>
        <v>40502.400000000001</v>
      </c>
      <c r="P778" s="30">
        <f t="shared" ca="1" si="581"/>
        <v>0</v>
      </c>
      <c r="Q778" s="31">
        <f t="shared" ca="1" si="582"/>
        <v>0</v>
      </c>
      <c r="R778" s="31">
        <f t="shared" ca="1" si="583"/>
        <v>0</v>
      </c>
      <c r="S778" s="31">
        <f t="shared" ca="1" si="584"/>
        <v>0</v>
      </c>
      <c r="T778" s="32">
        <f t="shared" ca="1" si="585"/>
        <v>0</v>
      </c>
      <c r="U778" s="37">
        <f t="shared" ca="1" si="542"/>
        <v>6075.6955221970811</v>
      </c>
      <c r="V778" s="40">
        <f t="shared" ca="1" si="591"/>
        <v>0</v>
      </c>
      <c r="W778" s="41">
        <f t="shared" ca="1" si="592"/>
        <v>0</v>
      </c>
      <c r="X778" s="43"/>
      <c r="Y778" s="46"/>
      <c r="Z778" s="126"/>
      <c r="AA778" s="136"/>
      <c r="BK778" s="59"/>
      <c r="BL778" s="824">
        <f t="shared" ca="1" si="593"/>
        <v>50</v>
      </c>
      <c r="BM778" s="824">
        <f t="shared" ca="1" si="594"/>
        <v>0</v>
      </c>
      <c r="BN778" s="824">
        <f t="shared" ca="1" si="595"/>
        <v>40502.400000000001</v>
      </c>
      <c r="BO778" s="824">
        <f t="shared" ca="1" si="602"/>
        <v>0</v>
      </c>
      <c r="BP778" s="824">
        <f t="shared" ca="1" si="602"/>
        <v>0</v>
      </c>
      <c r="BQ778" s="824">
        <f t="shared" ca="1" si="602"/>
        <v>0</v>
      </c>
      <c r="BR778" s="824">
        <f t="shared" ca="1" si="602"/>
        <v>0</v>
      </c>
      <c r="BS778" s="824">
        <f t="shared" ca="1" si="602"/>
        <v>0</v>
      </c>
      <c r="BT778" s="824">
        <f t="shared" ca="1" si="602"/>
        <v>0</v>
      </c>
      <c r="BU778" s="824">
        <f t="shared" ca="1" si="602"/>
        <v>0</v>
      </c>
      <c r="BV778" s="824">
        <f t="shared" ca="1" si="602"/>
        <v>0</v>
      </c>
      <c r="BW778" s="824">
        <f t="shared" ca="1" si="602"/>
        <v>0</v>
      </c>
      <c r="BX778" s="824">
        <f t="shared" ca="1" si="602"/>
        <v>0</v>
      </c>
      <c r="BY778" s="824">
        <f t="shared" ca="1" si="602"/>
        <v>0</v>
      </c>
      <c r="BZ778" s="824">
        <f t="shared" ca="1" si="602"/>
        <v>0</v>
      </c>
      <c r="CA778" s="824">
        <f t="shared" ca="1" si="602"/>
        <v>0</v>
      </c>
      <c r="CB778" s="824">
        <f t="shared" ca="1" si="602"/>
        <v>0</v>
      </c>
      <c r="CC778" s="824">
        <f t="shared" ca="1" si="602"/>
        <v>0</v>
      </c>
      <c r="CD778" s="824">
        <f t="shared" ca="1" si="602"/>
        <v>0</v>
      </c>
      <c r="CE778" s="824">
        <f t="shared" ca="1" si="601"/>
        <v>0</v>
      </c>
      <c r="CF778" s="824">
        <f t="shared" ca="1" si="601"/>
        <v>0</v>
      </c>
      <c r="CG778" s="824">
        <f t="shared" ca="1" si="601"/>
        <v>0</v>
      </c>
      <c r="CH778" s="824">
        <f t="shared" ca="1" si="601"/>
        <v>0</v>
      </c>
      <c r="CI778" s="824">
        <f t="shared" ca="1" si="601"/>
        <v>0</v>
      </c>
      <c r="CJ778" s="824">
        <f t="shared" ca="1" si="601"/>
        <v>0</v>
      </c>
      <c r="CK778" s="824">
        <f t="shared" ca="1" si="601"/>
        <v>0</v>
      </c>
      <c r="CL778" s="824">
        <f t="shared" ca="1" si="601"/>
        <v>0</v>
      </c>
      <c r="CM778" s="824">
        <f t="shared" ca="1" si="601"/>
        <v>0</v>
      </c>
      <c r="CN778" s="824">
        <f t="shared" ca="1" si="601"/>
        <v>0</v>
      </c>
      <c r="CO778" s="824">
        <f t="shared" ca="1" si="601"/>
        <v>0</v>
      </c>
      <c r="CP778" s="824">
        <f t="shared" ca="1" si="601"/>
        <v>0</v>
      </c>
      <c r="CQ778" s="824">
        <f t="shared" ca="1" si="601"/>
        <v>0</v>
      </c>
      <c r="CR778" s="824">
        <f t="shared" ca="1" si="601"/>
        <v>0</v>
      </c>
      <c r="CS778" s="824">
        <f t="shared" ca="1" si="601"/>
        <v>0</v>
      </c>
      <c r="CT778" s="824">
        <f t="shared" ca="1" si="604"/>
        <v>0</v>
      </c>
      <c r="CU778" s="824">
        <f t="shared" ca="1" si="604"/>
        <v>0</v>
      </c>
      <c r="CV778" s="824">
        <f t="shared" ca="1" si="604"/>
        <v>0</v>
      </c>
      <c r="CW778" s="824">
        <f t="shared" ca="1" si="604"/>
        <v>0</v>
      </c>
      <c r="CX778" s="824">
        <f t="shared" ca="1" si="604"/>
        <v>0</v>
      </c>
      <c r="CY778" s="824">
        <f t="shared" ca="1" si="604"/>
        <v>0</v>
      </c>
      <c r="CZ778" s="824">
        <f t="shared" ca="1" si="604"/>
        <v>0</v>
      </c>
      <c r="DA778" s="824">
        <f t="shared" ca="1" si="604"/>
        <v>0</v>
      </c>
      <c r="DB778" s="824">
        <f t="shared" ca="1" si="604"/>
        <v>0</v>
      </c>
      <c r="DC778" s="824">
        <f t="shared" ca="1" si="604"/>
        <v>0</v>
      </c>
      <c r="DD778" s="824">
        <f t="shared" ca="1" si="604"/>
        <v>0</v>
      </c>
      <c r="DE778" s="824">
        <f t="shared" ca="1" si="604"/>
        <v>0</v>
      </c>
      <c r="DF778" s="824">
        <f t="shared" ca="1" si="604"/>
        <v>0</v>
      </c>
      <c r="DG778" s="824">
        <f t="shared" ca="1" si="604"/>
        <v>0</v>
      </c>
      <c r="DH778" s="824">
        <f t="shared" ca="1" si="604"/>
        <v>0</v>
      </c>
      <c r="DI778" s="824">
        <f t="shared" ca="1" si="604"/>
        <v>0</v>
      </c>
      <c r="DJ778" s="824">
        <f t="shared" ca="1" si="590"/>
        <v>0</v>
      </c>
      <c r="DK778" s="824">
        <f t="shared" ca="1" si="590"/>
        <v>0</v>
      </c>
      <c r="DL778" s="824">
        <f t="shared" ca="1" si="590"/>
        <v>0</v>
      </c>
    </row>
    <row r="779" spans="2:116" ht="12" thickBot="1" x14ac:dyDescent="0.3">
      <c r="B779" s="1673"/>
      <c r="C779" s="1680"/>
      <c r="D779" s="15" t="s">
        <v>40</v>
      </c>
      <c r="E779" s="116"/>
      <c r="F779" s="116">
        <f ca="1">SUBTOTAL(109,'3.4 I&amp;W'!$X$140)</f>
        <v>0</v>
      </c>
      <c r="G779" s="116">
        <f ca="1">SUBTOTAL(109,'3.4 I&amp;W'!$Y$140)</f>
        <v>0</v>
      </c>
      <c r="H779" s="116">
        <f ca="1">SUBTOTAL(109,'3.4 I&amp;W'!$AD$140)</f>
        <v>0</v>
      </c>
      <c r="I779" s="116">
        <f ca="1">SUBTOTAL(109,'3.4 I&amp;W'!$AE$140)</f>
        <v>0</v>
      </c>
      <c r="J779" s="116"/>
      <c r="K779" s="116"/>
      <c r="L779" s="116"/>
      <c r="M779" s="116">
        <f ca="1">SUBTOTAL(109,'3.4 I&amp;W'!$AI$140)</f>
        <v>0</v>
      </c>
      <c r="N779" s="156">
        <f t="shared" ca="1" si="541"/>
        <v>0</v>
      </c>
      <c r="O779" s="116">
        <f ca="1">SUBTOTAL(109,'3.4 I&amp;W'!$S$140)</f>
        <v>0</v>
      </c>
      <c r="P779" s="30">
        <f t="shared" ca="1" si="581"/>
        <v>0</v>
      </c>
      <c r="Q779" s="31">
        <f t="shared" ca="1" si="582"/>
        <v>0</v>
      </c>
      <c r="R779" s="31">
        <f t="shared" ca="1" si="583"/>
        <v>0</v>
      </c>
      <c r="S779" s="31">
        <f t="shared" ca="1" si="584"/>
        <v>0</v>
      </c>
      <c r="T779" s="32">
        <f t="shared" ca="1" si="585"/>
        <v>0</v>
      </c>
      <c r="U779" s="37">
        <f t="shared" ca="1" si="542"/>
        <v>0</v>
      </c>
      <c r="V779" s="40">
        <f t="shared" ca="1" si="591"/>
        <v>0</v>
      </c>
      <c r="W779" s="41">
        <f t="shared" ca="1" si="592"/>
        <v>0</v>
      </c>
      <c r="X779" s="43"/>
      <c r="Y779" s="46"/>
      <c r="Z779" s="126"/>
      <c r="AA779" s="136"/>
      <c r="BK779" s="59"/>
      <c r="BL779" s="824">
        <f t="shared" ca="1" si="593"/>
        <v>0</v>
      </c>
      <c r="BM779" s="824">
        <f t="shared" ca="1" si="594"/>
        <v>0</v>
      </c>
      <c r="BN779" s="824">
        <f t="shared" ca="1" si="595"/>
        <v>0</v>
      </c>
      <c r="BO779" s="824">
        <f t="shared" ca="1" si="602"/>
        <v>0</v>
      </c>
      <c r="BP779" s="824">
        <f t="shared" ca="1" si="602"/>
        <v>0</v>
      </c>
      <c r="BQ779" s="824">
        <f t="shared" ca="1" si="602"/>
        <v>0</v>
      </c>
      <c r="BR779" s="824">
        <f t="shared" ca="1" si="602"/>
        <v>0</v>
      </c>
      <c r="BS779" s="824">
        <f t="shared" ca="1" si="602"/>
        <v>0</v>
      </c>
      <c r="BT779" s="824">
        <f t="shared" ca="1" si="602"/>
        <v>0</v>
      </c>
      <c r="BU779" s="824">
        <f t="shared" ca="1" si="602"/>
        <v>0</v>
      </c>
      <c r="BV779" s="824">
        <f t="shared" ca="1" si="602"/>
        <v>0</v>
      </c>
      <c r="BW779" s="824">
        <f t="shared" ca="1" si="602"/>
        <v>0</v>
      </c>
      <c r="BX779" s="824">
        <f t="shared" ca="1" si="602"/>
        <v>0</v>
      </c>
      <c r="BY779" s="824">
        <f t="shared" ca="1" si="602"/>
        <v>0</v>
      </c>
      <c r="BZ779" s="824">
        <f t="shared" ca="1" si="602"/>
        <v>0</v>
      </c>
      <c r="CA779" s="824">
        <f t="shared" ca="1" si="602"/>
        <v>0</v>
      </c>
      <c r="CB779" s="824">
        <f t="shared" ca="1" si="602"/>
        <v>0</v>
      </c>
      <c r="CC779" s="824">
        <f t="shared" ca="1" si="602"/>
        <v>0</v>
      </c>
      <c r="CD779" s="824">
        <f t="shared" ca="1" si="602"/>
        <v>0</v>
      </c>
      <c r="CE779" s="824">
        <f t="shared" ca="1" si="601"/>
        <v>0</v>
      </c>
      <c r="CF779" s="824">
        <f t="shared" ca="1" si="601"/>
        <v>0</v>
      </c>
      <c r="CG779" s="824">
        <f t="shared" ca="1" si="601"/>
        <v>0</v>
      </c>
      <c r="CH779" s="824">
        <f t="shared" ca="1" si="601"/>
        <v>0</v>
      </c>
      <c r="CI779" s="824">
        <f t="shared" ca="1" si="601"/>
        <v>0</v>
      </c>
      <c r="CJ779" s="824">
        <f t="shared" ca="1" si="601"/>
        <v>0</v>
      </c>
      <c r="CK779" s="824">
        <f t="shared" ca="1" si="601"/>
        <v>0</v>
      </c>
      <c r="CL779" s="824">
        <f t="shared" ca="1" si="601"/>
        <v>0</v>
      </c>
      <c r="CM779" s="824">
        <f t="shared" ca="1" si="601"/>
        <v>0</v>
      </c>
      <c r="CN779" s="824">
        <f t="shared" ca="1" si="601"/>
        <v>0</v>
      </c>
      <c r="CO779" s="824">
        <f t="shared" ca="1" si="601"/>
        <v>0</v>
      </c>
      <c r="CP779" s="824">
        <f t="shared" ca="1" si="601"/>
        <v>0</v>
      </c>
      <c r="CQ779" s="824">
        <f t="shared" ca="1" si="601"/>
        <v>0</v>
      </c>
      <c r="CR779" s="824">
        <f t="shared" ca="1" si="601"/>
        <v>0</v>
      </c>
      <c r="CS779" s="824">
        <f t="shared" ca="1" si="601"/>
        <v>0</v>
      </c>
      <c r="CT779" s="824">
        <f t="shared" ca="1" si="604"/>
        <v>0</v>
      </c>
      <c r="CU779" s="824">
        <f t="shared" ca="1" si="604"/>
        <v>0</v>
      </c>
      <c r="CV779" s="824">
        <f t="shared" ca="1" si="604"/>
        <v>0</v>
      </c>
      <c r="CW779" s="824">
        <f t="shared" ca="1" si="604"/>
        <v>0</v>
      </c>
      <c r="CX779" s="824">
        <f t="shared" ca="1" si="604"/>
        <v>0</v>
      </c>
      <c r="CY779" s="824">
        <f t="shared" ca="1" si="604"/>
        <v>0</v>
      </c>
      <c r="CZ779" s="824">
        <f t="shared" ca="1" si="604"/>
        <v>0</v>
      </c>
      <c r="DA779" s="824">
        <f t="shared" ca="1" si="604"/>
        <v>0</v>
      </c>
      <c r="DB779" s="824">
        <f t="shared" ca="1" si="604"/>
        <v>0</v>
      </c>
      <c r="DC779" s="824">
        <f t="shared" ca="1" si="604"/>
        <v>0</v>
      </c>
      <c r="DD779" s="824">
        <f t="shared" ca="1" si="604"/>
        <v>0</v>
      </c>
      <c r="DE779" s="824">
        <f t="shared" ca="1" si="604"/>
        <v>0</v>
      </c>
      <c r="DF779" s="824">
        <f t="shared" ca="1" si="604"/>
        <v>0</v>
      </c>
      <c r="DG779" s="824">
        <f t="shared" ca="1" si="604"/>
        <v>0</v>
      </c>
      <c r="DH779" s="824">
        <f t="shared" ca="1" si="604"/>
        <v>0</v>
      </c>
      <c r="DI779" s="824">
        <f t="shared" ca="1" si="604"/>
        <v>0</v>
      </c>
      <c r="DJ779" s="824">
        <f t="shared" ca="1" si="590"/>
        <v>0</v>
      </c>
      <c r="DK779" s="824">
        <f t="shared" ca="1" si="590"/>
        <v>0</v>
      </c>
      <c r="DL779" s="824">
        <f t="shared" ca="1" si="590"/>
        <v>0</v>
      </c>
    </row>
    <row r="780" spans="2:116" ht="12" thickBot="1" x14ac:dyDescent="0.3">
      <c r="B780" s="1673"/>
      <c r="C780" s="1680"/>
      <c r="D780" s="15" t="s">
        <v>40</v>
      </c>
      <c r="E780" s="165"/>
      <c r="F780" s="116">
        <f ca="1">SUBTOTAL(109,'3.4 I&amp;W'!$X$141)</f>
        <v>0</v>
      </c>
      <c r="G780" s="116">
        <f ca="1">SUBTOTAL(109,'3.4 I&amp;W'!$Y$141)</f>
        <v>0</v>
      </c>
      <c r="H780" s="116">
        <f ca="1">SUBTOTAL(109,'3.4 I&amp;W'!$AD$141)</f>
        <v>0</v>
      </c>
      <c r="I780" s="116">
        <f ca="1">SUBTOTAL(109,'3.4 I&amp;W'!$AE$141)</f>
        <v>0</v>
      </c>
      <c r="J780" s="116"/>
      <c r="K780" s="116"/>
      <c r="L780" s="116"/>
      <c r="M780" s="116">
        <f ca="1">SUBTOTAL(109,'3.4 I&amp;W'!$AI$141)</f>
        <v>0</v>
      </c>
      <c r="N780" s="156">
        <f t="shared" ca="1" si="541"/>
        <v>0</v>
      </c>
      <c r="O780" s="116">
        <f ca="1">SUBTOTAL(109,'3.4 I&amp;W'!$S$141)</f>
        <v>0</v>
      </c>
      <c r="P780" s="30">
        <f t="shared" ca="1" si="581"/>
        <v>0</v>
      </c>
      <c r="Q780" s="31">
        <f t="shared" ca="1" si="582"/>
        <v>0</v>
      </c>
      <c r="R780" s="31">
        <f t="shared" ca="1" si="583"/>
        <v>0</v>
      </c>
      <c r="S780" s="31">
        <f t="shared" ca="1" si="584"/>
        <v>0</v>
      </c>
      <c r="T780" s="32">
        <f t="shared" ca="1" si="585"/>
        <v>0</v>
      </c>
      <c r="U780" s="37">
        <f t="shared" ca="1" si="542"/>
        <v>0</v>
      </c>
      <c r="V780" s="40">
        <f t="shared" ca="1" si="591"/>
        <v>0</v>
      </c>
      <c r="W780" s="41">
        <f t="shared" ca="1" si="592"/>
        <v>0</v>
      </c>
      <c r="X780" s="43"/>
      <c r="Y780" s="46"/>
      <c r="Z780" s="126"/>
      <c r="AA780" s="136"/>
      <c r="AB780" s="87"/>
      <c r="AC780" s="87"/>
      <c r="AD780" s="87"/>
      <c r="AE780" s="87"/>
      <c r="AF780" s="87"/>
      <c r="AG780" s="90"/>
      <c r="AH780" s="87"/>
      <c r="AI780" s="87"/>
      <c r="AJ780" s="87"/>
      <c r="AK780" s="87"/>
      <c r="AL780" s="87"/>
      <c r="AM780" s="91"/>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3"/>
      <c r="BL780" s="824">
        <f t="shared" ca="1" si="593"/>
        <v>0</v>
      </c>
      <c r="BM780" s="824">
        <f t="shared" ca="1" si="594"/>
        <v>0</v>
      </c>
      <c r="BN780" s="824">
        <f t="shared" ca="1" si="595"/>
        <v>0</v>
      </c>
      <c r="BO780" s="824">
        <f t="shared" ca="1" si="602"/>
        <v>0</v>
      </c>
      <c r="BP780" s="824">
        <f t="shared" ca="1" si="602"/>
        <v>0</v>
      </c>
      <c r="BQ780" s="824">
        <f t="shared" ca="1" si="602"/>
        <v>0</v>
      </c>
      <c r="BR780" s="824">
        <f t="shared" ca="1" si="602"/>
        <v>0</v>
      </c>
      <c r="BS780" s="824">
        <f t="shared" ca="1" si="602"/>
        <v>0</v>
      </c>
      <c r="BT780" s="824">
        <f t="shared" ca="1" si="602"/>
        <v>0</v>
      </c>
      <c r="BU780" s="824">
        <f t="shared" ca="1" si="602"/>
        <v>0</v>
      </c>
      <c r="BV780" s="824">
        <f t="shared" ca="1" si="602"/>
        <v>0</v>
      </c>
      <c r="BW780" s="824">
        <f t="shared" ca="1" si="602"/>
        <v>0</v>
      </c>
      <c r="BX780" s="824">
        <f t="shared" ca="1" si="602"/>
        <v>0</v>
      </c>
      <c r="BY780" s="824">
        <f t="shared" ca="1" si="602"/>
        <v>0</v>
      </c>
      <c r="BZ780" s="824">
        <f t="shared" ca="1" si="602"/>
        <v>0</v>
      </c>
      <c r="CA780" s="824">
        <f t="shared" ca="1" si="602"/>
        <v>0</v>
      </c>
      <c r="CB780" s="824">
        <f t="shared" ca="1" si="602"/>
        <v>0</v>
      </c>
      <c r="CC780" s="824">
        <f t="shared" ca="1" si="602"/>
        <v>0</v>
      </c>
      <c r="CD780" s="824">
        <f t="shared" ca="1" si="602"/>
        <v>0</v>
      </c>
      <c r="CE780" s="824">
        <f t="shared" ca="1" si="601"/>
        <v>0</v>
      </c>
      <c r="CF780" s="824">
        <f t="shared" ca="1" si="601"/>
        <v>0</v>
      </c>
      <c r="CG780" s="824">
        <f t="shared" ca="1" si="601"/>
        <v>0</v>
      </c>
      <c r="CH780" s="824">
        <f t="shared" ca="1" si="601"/>
        <v>0</v>
      </c>
      <c r="CI780" s="824">
        <f t="shared" ca="1" si="601"/>
        <v>0</v>
      </c>
      <c r="CJ780" s="824">
        <f t="shared" ca="1" si="601"/>
        <v>0</v>
      </c>
      <c r="CK780" s="824">
        <f t="shared" ca="1" si="601"/>
        <v>0</v>
      </c>
      <c r="CL780" s="824">
        <f t="shared" ca="1" si="601"/>
        <v>0</v>
      </c>
      <c r="CM780" s="824">
        <f t="shared" ca="1" si="601"/>
        <v>0</v>
      </c>
      <c r="CN780" s="824">
        <f t="shared" ca="1" si="601"/>
        <v>0</v>
      </c>
      <c r="CO780" s="824">
        <f t="shared" ca="1" si="601"/>
        <v>0</v>
      </c>
      <c r="CP780" s="824">
        <f t="shared" ca="1" si="601"/>
        <v>0</v>
      </c>
      <c r="CQ780" s="824">
        <f t="shared" ca="1" si="601"/>
        <v>0</v>
      </c>
      <c r="CR780" s="824">
        <f t="shared" ca="1" si="601"/>
        <v>0</v>
      </c>
      <c r="CS780" s="824">
        <f t="shared" ca="1" si="601"/>
        <v>0</v>
      </c>
      <c r="CT780" s="824">
        <f t="shared" ca="1" si="604"/>
        <v>0</v>
      </c>
      <c r="CU780" s="824">
        <f t="shared" ca="1" si="604"/>
        <v>0</v>
      </c>
      <c r="CV780" s="824">
        <f t="shared" ca="1" si="604"/>
        <v>0</v>
      </c>
      <c r="CW780" s="824">
        <f t="shared" ca="1" si="604"/>
        <v>0</v>
      </c>
      <c r="CX780" s="824">
        <f t="shared" ca="1" si="604"/>
        <v>0</v>
      </c>
      <c r="CY780" s="824">
        <f t="shared" ca="1" si="604"/>
        <v>0</v>
      </c>
      <c r="CZ780" s="824">
        <f t="shared" ca="1" si="604"/>
        <v>0</v>
      </c>
      <c r="DA780" s="824">
        <f t="shared" ca="1" si="604"/>
        <v>0</v>
      </c>
      <c r="DB780" s="824">
        <f t="shared" ca="1" si="604"/>
        <v>0</v>
      </c>
      <c r="DC780" s="824">
        <f t="shared" ca="1" si="604"/>
        <v>0</v>
      </c>
      <c r="DD780" s="824">
        <f t="shared" ca="1" si="604"/>
        <v>0</v>
      </c>
      <c r="DE780" s="824">
        <f t="shared" ca="1" si="604"/>
        <v>0</v>
      </c>
      <c r="DF780" s="824">
        <f t="shared" ca="1" si="604"/>
        <v>0</v>
      </c>
      <c r="DG780" s="824">
        <f t="shared" ca="1" si="604"/>
        <v>0</v>
      </c>
      <c r="DH780" s="824">
        <f t="shared" ca="1" si="604"/>
        <v>0</v>
      </c>
      <c r="DI780" s="824">
        <f t="shared" ca="1" si="604"/>
        <v>0</v>
      </c>
      <c r="DJ780" s="824">
        <f t="shared" ca="1" si="590"/>
        <v>0</v>
      </c>
      <c r="DK780" s="824">
        <f t="shared" ca="1" si="590"/>
        <v>0</v>
      </c>
      <c r="DL780" s="824">
        <f t="shared" ca="1" si="590"/>
        <v>0</v>
      </c>
    </row>
    <row r="781" spans="2:116" ht="12" thickBot="1" x14ac:dyDescent="0.3">
      <c r="B781" s="1673"/>
      <c r="C781" s="1680"/>
      <c r="D781" s="15" t="s">
        <v>36</v>
      </c>
      <c r="E781" s="116"/>
      <c r="F781" s="116">
        <f ca="1">SUBTOTAL(109,'3.4 I&amp;W'!$X$145)</f>
        <v>0</v>
      </c>
      <c r="G781" s="116">
        <f ca="1">SUBTOTAL(109,'3.4 I&amp;W'!$Y$145)</f>
        <v>0</v>
      </c>
      <c r="H781" s="116">
        <f ca="1">SUBTOTAL(109,'3.4 I&amp;W'!$AD$145)</f>
        <v>0</v>
      </c>
      <c r="I781" s="116">
        <f ca="1">SUBTOTAL(109,'3.4 I&amp;W'!$AE$145)</f>
        <v>0</v>
      </c>
      <c r="J781" s="116"/>
      <c r="K781" s="116"/>
      <c r="L781" s="116"/>
      <c r="M781" s="116">
        <f ca="1">SUBTOTAL(109,'3.4 I&amp;W'!$AI$145)</f>
        <v>15</v>
      </c>
      <c r="N781" s="156">
        <f t="shared" ca="1" si="541"/>
        <v>2</v>
      </c>
      <c r="O781" s="116">
        <f>SUBTOTAL(109,'3.4 I&amp;W'!$S$145)</f>
        <v>9000</v>
      </c>
      <c r="P781" s="30">
        <f t="shared" ca="1" si="581"/>
        <v>8484.877023982237</v>
      </c>
      <c r="Q781" s="31">
        <f t="shared" ca="1" si="582"/>
        <v>7999.2375680112937</v>
      </c>
      <c r="R781" s="31">
        <f t="shared" ca="1" si="583"/>
        <v>0</v>
      </c>
      <c r="S781" s="31">
        <f t="shared" ca="1" si="584"/>
        <v>0</v>
      </c>
      <c r="T781" s="32">
        <f t="shared" ca="1" si="585"/>
        <v>0</v>
      </c>
      <c r="U781" s="37">
        <f t="shared" ca="1" si="542"/>
        <v>4830.1039469978377</v>
      </c>
      <c r="V781" s="40">
        <f t="shared" ca="1" si="591"/>
        <v>0</v>
      </c>
      <c r="W781" s="41">
        <f t="shared" ca="1" si="592"/>
        <v>0</v>
      </c>
      <c r="X781" s="43"/>
      <c r="Y781" s="46"/>
      <c r="Z781" s="126"/>
      <c r="AA781" s="136"/>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824">
        <f t="shared" ca="1" si="593"/>
        <v>15</v>
      </c>
      <c r="BM781" s="824">
        <f t="shared" ca="1" si="594"/>
        <v>2</v>
      </c>
      <c r="BN781" s="824">
        <f t="shared" si="595"/>
        <v>9000</v>
      </c>
      <c r="BO781" s="824">
        <f t="shared" ca="1" si="602"/>
        <v>0</v>
      </c>
      <c r="BP781" s="824">
        <f t="shared" ca="1" si="602"/>
        <v>0</v>
      </c>
      <c r="BQ781" s="824">
        <f t="shared" ca="1" si="602"/>
        <v>0</v>
      </c>
      <c r="BR781" s="824">
        <f t="shared" ca="1" si="602"/>
        <v>0</v>
      </c>
      <c r="BS781" s="824">
        <f t="shared" ca="1" si="602"/>
        <v>0</v>
      </c>
      <c r="BT781" s="824">
        <f t="shared" ca="1" si="602"/>
        <v>0</v>
      </c>
      <c r="BU781" s="824">
        <f t="shared" ca="1" si="602"/>
        <v>0</v>
      </c>
      <c r="BV781" s="824">
        <f t="shared" ca="1" si="602"/>
        <v>0</v>
      </c>
      <c r="BW781" s="824">
        <f t="shared" ca="1" si="602"/>
        <v>0</v>
      </c>
      <c r="BX781" s="824">
        <f t="shared" ca="1" si="602"/>
        <v>0</v>
      </c>
      <c r="BY781" s="824">
        <f t="shared" ca="1" si="602"/>
        <v>0</v>
      </c>
      <c r="BZ781" s="824">
        <f t="shared" ca="1" si="602"/>
        <v>0</v>
      </c>
      <c r="CA781" s="824">
        <f t="shared" ca="1" si="602"/>
        <v>0</v>
      </c>
      <c r="CB781" s="824">
        <f t="shared" ca="1" si="602"/>
        <v>0</v>
      </c>
      <c r="CC781" s="824">
        <f t="shared" ca="1" si="602"/>
        <v>11419.527341151555</v>
      </c>
      <c r="CD781" s="824">
        <f t="shared" ca="1" si="602"/>
        <v>0</v>
      </c>
      <c r="CE781" s="824">
        <f t="shared" ca="1" si="601"/>
        <v>0</v>
      </c>
      <c r="CF781" s="824">
        <f t="shared" ca="1" si="601"/>
        <v>0</v>
      </c>
      <c r="CG781" s="824">
        <f t="shared" ca="1" si="601"/>
        <v>0</v>
      </c>
      <c r="CH781" s="824">
        <f t="shared" ca="1" si="601"/>
        <v>0</v>
      </c>
      <c r="CI781" s="824">
        <f t="shared" ca="1" si="601"/>
        <v>0</v>
      </c>
      <c r="CJ781" s="824">
        <f t="shared" ca="1" si="601"/>
        <v>0</v>
      </c>
      <c r="CK781" s="824">
        <f t="shared" ca="1" si="601"/>
        <v>0</v>
      </c>
      <c r="CL781" s="824">
        <f t="shared" ca="1" si="601"/>
        <v>0</v>
      </c>
      <c r="CM781" s="824">
        <f t="shared" ca="1" si="601"/>
        <v>0</v>
      </c>
      <c r="CN781" s="824">
        <f t="shared" ca="1" si="601"/>
        <v>0</v>
      </c>
      <c r="CO781" s="824">
        <f t="shared" ca="1" si="601"/>
        <v>0</v>
      </c>
      <c r="CP781" s="824">
        <f t="shared" ca="1" si="601"/>
        <v>0</v>
      </c>
      <c r="CQ781" s="824">
        <f t="shared" ca="1" si="601"/>
        <v>0</v>
      </c>
      <c r="CR781" s="824">
        <f t="shared" ca="1" si="601"/>
        <v>14489.511632811993</v>
      </c>
      <c r="CS781" s="824">
        <f t="shared" ca="1" si="601"/>
        <v>0</v>
      </c>
      <c r="CT781" s="824">
        <f t="shared" ca="1" si="604"/>
        <v>0</v>
      </c>
      <c r="CU781" s="824">
        <f t="shared" ca="1" si="604"/>
        <v>0</v>
      </c>
      <c r="CV781" s="824">
        <f t="shared" ca="1" si="604"/>
        <v>0</v>
      </c>
      <c r="CW781" s="824">
        <f t="shared" ca="1" si="604"/>
        <v>0</v>
      </c>
      <c r="CX781" s="824">
        <f t="shared" ca="1" si="604"/>
        <v>0</v>
      </c>
      <c r="CY781" s="824">
        <f t="shared" ca="1" si="604"/>
        <v>0</v>
      </c>
      <c r="CZ781" s="824">
        <f t="shared" ca="1" si="604"/>
        <v>0</v>
      </c>
      <c r="DA781" s="824">
        <f t="shared" ca="1" si="604"/>
        <v>0</v>
      </c>
      <c r="DB781" s="824">
        <f t="shared" ca="1" si="604"/>
        <v>0</v>
      </c>
      <c r="DC781" s="824">
        <f t="shared" ca="1" si="604"/>
        <v>0</v>
      </c>
      <c r="DD781" s="824">
        <f t="shared" ca="1" si="604"/>
        <v>0</v>
      </c>
      <c r="DE781" s="824">
        <f t="shared" ca="1" si="604"/>
        <v>0</v>
      </c>
      <c r="DF781" s="824">
        <f t="shared" ca="1" si="604"/>
        <v>0</v>
      </c>
      <c r="DG781" s="824">
        <f t="shared" ca="1" si="604"/>
        <v>0</v>
      </c>
      <c r="DH781" s="824">
        <f t="shared" ca="1" si="604"/>
        <v>0</v>
      </c>
      <c r="DI781" s="824">
        <f t="shared" ca="1" si="604"/>
        <v>0</v>
      </c>
      <c r="DJ781" s="824">
        <f t="shared" ca="1" si="590"/>
        <v>0</v>
      </c>
      <c r="DK781" s="824">
        <f t="shared" ca="1" si="590"/>
        <v>0</v>
      </c>
      <c r="DL781" s="824">
        <f t="shared" ca="1" si="590"/>
        <v>0</v>
      </c>
    </row>
    <row r="782" spans="2:116" ht="12" thickBot="1" x14ac:dyDescent="0.3">
      <c r="B782" s="1673"/>
      <c r="C782" s="1680"/>
      <c r="D782" s="15"/>
      <c r="E782" s="116"/>
      <c r="F782" s="116">
        <f ca="1">SUBTOTAL(109,'3.4 I&amp;W'!$X$146)</f>
        <v>0</v>
      </c>
      <c r="G782" s="116">
        <f ca="1">SUBTOTAL(109,'3.4 I&amp;W'!$Y$146)</f>
        <v>0</v>
      </c>
      <c r="H782" s="116">
        <f>SUBTOTAL(109,'3.4 I&amp;W'!$AD$146)</f>
        <v>1.6271121521486132E-2</v>
      </c>
      <c r="I782" s="116">
        <f>SUBTOTAL(109,'3.4 I&amp;W'!$AE$146)</f>
        <v>2209</v>
      </c>
      <c r="J782" s="116"/>
      <c r="K782" s="116"/>
      <c r="L782" s="116"/>
      <c r="M782" s="116">
        <f ca="1">SUBTOTAL(109,'3.4 I&amp;W'!$AI$146)</f>
        <v>50</v>
      </c>
      <c r="N782" s="156">
        <f t="shared" ca="1" si="541"/>
        <v>0</v>
      </c>
      <c r="O782" s="116">
        <f>SUBTOTAL(109,'3.4 I&amp;W'!$S$146)</f>
        <v>135762</v>
      </c>
      <c r="P782" s="30">
        <f t="shared" ca="1" si="581"/>
        <v>0</v>
      </c>
      <c r="Q782" s="31">
        <f t="shared" ca="1" si="582"/>
        <v>0</v>
      </c>
      <c r="R782" s="31">
        <f t="shared" ca="1" si="583"/>
        <v>0</v>
      </c>
      <c r="S782" s="31">
        <f t="shared" ca="1" si="584"/>
        <v>0</v>
      </c>
      <c r="T782" s="32">
        <f t="shared" ca="1" si="585"/>
        <v>0</v>
      </c>
      <c r="U782" s="37">
        <f t="shared" ca="1" si="542"/>
        <v>20365.424653465478</v>
      </c>
      <c r="V782" s="40">
        <f t="shared" ca="1" si="591"/>
        <v>0</v>
      </c>
      <c r="W782" s="41">
        <f t="shared" si="592"/>
        <v>70957.060092180356</v>
      </c>
      <c r="X782" s="43"/>
      <c r="Y782" s="46"/>
      <c r="Z782" s="126"/>
      <c r="AA782" s="136"/>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824">
        <f t="shared" ca="1" si="593"/>
        <v>50</v>
      </c>
      <c r="BM782" s="824">
        <f t="shared" ca="1" si="594"/>
        <v>0</v>
      </c>
      <c r="BN782" s="824">
        <f t="shared" si="595"/>
        <v>135762</v>
      </c>
      <c r="BO782" s="824">
        <f t="shared" ca="1" si="602"/>
        <v>0</v>
      </c>
      <c r="BP782" s="824">
        <f t="shared" ca="1" si="602"/>
        <v>0</v>
      </c>
      <c r="BQ782" s="824">
        <f t="shared" ca="1" si="602"/>
        <v>0</v>
      </c>
      <c r="BR782" s="824">
        <f t="shared" ca="1" si="602"/>
        <v>0</v>
      </c>
      <c r="BS782" s="824">
        <f t="shared" ca="1" si="602"/>
        <v>0</v>
      </c>
      <c r="BT782" s="824">
        <f t="shared" ca="1" si="602"/>
        <v>0</v>
      </c>
      <c r="BU782" s="824">
        <f t="shared" ca="1" si="602"/>
        <v>0</v>
      </c>
      <c r="BV782" s="824">
        <f t="shared" ca="1" si="602"/>
        <v>0</v>
      </c>
      <c r="BW782" s="824">
        <f t="shared" ca="1" si="602"/>
        <v>0</v>
      </c>
      <c r="BX782" s="824">
        <f t="shared" ca="1" si="602"/>
        <v>0</v>
      </c>
      <c r="BY782" s="824">
        <f t="shared" ca="1" si="602"/>
        <v>0</v>
      </c>
      <c r="BZ782" s="824">
        <f t="shared" ca="1" si="602"/>
        <v>0</v>
      </c>
      <c r="CA782" s="824">
        <f t="shared" ca="1" si="602"/>
        <v>0</v>
      </c>
      <c r="CB782" s="824">
        <f t="shared" ca="1" si="602"/>
        <v>0</v>
      </c>
      <c r="CC782" s="824">
        <f t="shared" ca="1" si="602"/>
        <v>0</v>
      </c>
      <c r="CD782" s="824">
        <f t="shared" ca="1" si="602"/>
        <v>0</v>
      </c>
      <c r="CE782" s="824">
        <f t="shared" ca="1" si="601"/>
        <v>0</v>
      </c>
      <c r="CF782" s="824">
        <f t="shared" ca="1" si="601"/>
        <v>0</v>
      </c>
      <c r="CG782" s="824">
        <f t="shared" ca="1" si="601"/>
        <v>0</v>
      </c>
      <c r="CH782" s="824">
        <f t="shared" ca="1" si="601"/>
        <v>0</v>
      </c>
      <c r="CI782" s="824">
        <f t="shared" ca="1" si="601"/>
        <v>0</v>
      </c>
      <c r="CJ782" s="824">
        <f t="shared" ca="1" si="601"/>
        <v>0</v>
      </c>
      <c r="CK782" s="824">
        <f t="shared" ca="1" si="601"/>
        <v>0</v>
      </c>
      <c r="CL782" s="824">
        <f t="shared" ca="1" si="601"/>
        <v>0</v>
      </c>
      <c r="CM782" s="824">
        <f t="shared" ca="1" si="601"/>
        <v>0</v>
      </c>
      <c r="CN782" s="824">
        <f t="shared" ca="1" si="601"/>
        <v>0</v>
      </c>
      <c r="CO782" s="824">
        <f t="shared" ca="1" si="601"/>
        <v>0</v>
      </c>
      <c r="CP782" s="824">
        <f t="shared" ca="1" si="601"/>
        <v>0</v>
      </c>
      <c r="CQ782" s="824">
        <f t="shared" ca="1" si="601"/>
        <v>0</v>
      </c>
      <c r="CR782" s="824">
        <f t="shared" ca="1" si="601"/>
        <v>0</v>
      </c>
      <c r="CS782" s="824">
        <f t="shared" ca="1" si="601"/>
        <v>0</v>
      </c>
      <c r="CT782" s="824">
        <f t="shared" ca="1" si="604"/>
        <v>0</v>
      </c>
      <c r="CU782" s="824">
        <f t="shared" ca="1" si="604"/>
        <v>0</v>
      </c>
      <c r="CV782" s="824">
        <f t="shared" ca="1" si="604"/>
        <v>0</v>
      </c>
      <c r="CW782" s="824">
        <f t="shared" ca="1" si="604"/>
        <v>0</v>
      </c>
      <c r="CX782" s="824">
        <f t="shared" ca="1" si="604"/>
        <v>0</v>
      </c>
      <c r="CY782" s="824">
        <f t="shared" ca="1" si="604"/>
        <v>0</v>
      </c>
      <c r="CZ782" s="824">
        <f t="shared" ca="1" si="604"/>
        <v>0</v>
      </c>
      <c r="DA782" s="824">
        <f t="shared" ca="1" si="604"/>
        <v>0</v>
      </c>
      <c r="DB782" s="824">
        <f t="shared" ca="1" si="604"/>
        <v>0</v>
      </c>
      <c r="DC782" s="824">
        <f t="shared" ca="1" si="604"/>
        <v>0</v>
      </c>
      <c r="DD782" s="824">
        <f t="shared" ca="1" si="604"/>
        <v>0</v>
      </c>
      <c r="DE782" s="824">
        <f t="shared" ca="1" si="604"/>
        <v>0</v>
      </c>
      <c r="DF782" s="824">
        <f t="shared" ca="1" si="604"/>
        <v>0</v>
      </c>
      <c r="DG782" s="824">
        <f t="shared" ca="1" si="604"/>
        <v>0</v>
      </c>
      <c r="DH782" s="824">
        <f t="shared" ca="1" si="604"/>
        <v>0</v>
      </c>
      <c r="DI782" s="824">
        <f t="shared" ca="1" si="604"/>
        <v>0</v>
      </c>
      <c r="DJ782" s="824">
        <f t="shared" ca="1" si="590"/>
        <v>0</v>
      </c>
      <c r="DK782" s="824">
        <f t="shared" ca="1" si="590"/>
        <v>0</v>
      </c>
      <c r="DL782" s="824">
        <f t="shared" ca="1" si="590"/>
        <v>0</v>
      </c>
    </row>
    <row r="783" spans="2:116" ht="12" thickBot="1" x14ac:dyDescent="0.3">
      <c r="B783" s="1673"/>
      <c r="C783" s="1680"/>
      <c r="D783" s="15" t="s">
        <v>194</v>
      </c>
      <c r="E783" s="165"/>
      <c r="F783" s="116">
        <f ca="1">SUBTOTAL(109,'3.4 I&amp;W'!$X$149)</f>
        <v>0</v>
      </c>
      <c r="G783" s="116">
        <f ca="1">SUBTOTAL(109,'3.4 I&amp;W'!$Y$149)</f>
        <v>0</v>
      </c>
      <c r="H783" s="116">
        <f ca="1">SUBTOTAL(109,'3.4 I&amp;W'!$AD$149)</f>
        <v>0</v>
      </c>
      <c r="I783" s="116">
        <f ca="1">SUBTOTAL(109,'3.4 I&amp;W'!$AE$149)</f>
        <v>0</v>
      </c>
      <c r="J783" s="116"/>
      <c r="K783" s="116"/>
      <c r="L783" s="116"/>
      <c r="M783" s="116">
        <f ca="1">SUBTOTAL(109,'3.4 I&amp;W'!$AI$149)</f>
        <v>0</v>
      </c>
      <c r="N783" s="156">
        <f t="shared" ca="1" si="541"/>
        <v>0</v>
      </c>
      <c r="O783" s="116">
        <f ca="1">SUBTOTAL(109,'3.4 I&amp;W'!$S$149)</f>
        <v>0</v>
      </c>
      <c r="P783" s="30">
        <f t="shared" ca="1" si="581"/>
        <v>0</v>
      </c>
      <c r="Q783" s="31">
        <f t="shared" ca="1" si="582"/>
        <v>0</v>
      </c>
      <c r="R783" s="31">
        <f t="shared" ca="1" si="583"/>
        <v>0</v>
      </c>
      <c r="S783" s="31">
        <f t="shared" ca="1" si="584"/>
        <v>0</v>
      </c>
      <c r="T783" s="32">
        <f t="shared" ca="1" si="585"/>
        <v>0</v>
      </c>
      <c r="U783" s="37">
        <f t="shared" ca="1" si="542"/>
        <v>0</v>
      </c>
      <c r="V783" s="40">
        <f t="shared" ca="1" si="591"/>
        <v>0</v>
      </c>
      <c r="W783" s="41">
        <f t="shared" ca="1" si="592"/>
        <v>0</v>
      </c>
      <c r="X783" s="43"/>
      <c r="Y783" s="46"/>
      <c r="Z783" s="126"/>
      <c r="AA783" s="136"/>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824">
        <f t="shared" ca="1" si="593"/>
        <v>0</v>
      </c>
      <c r="BM783" s="824">
        <f t="shared" ca="1" si="594"/>
        <v>0</v>
      </c>
      <c r="BN783" s="824">
        <f t="shared" ca="1" si="595"/>
        <v>0</v>
      </c>
      <c r="BO783" s="824">
        <f t="shared" ca="1" si="602"/>
        <v>0</v>
      </c>
      <c r="BP783" s="824">
        <f t="shared" ca="1" si="602"/>
        <v>0</v>
      </c>
      <c r="BQ783" s="824">
        <f t="shared" ca="1" si="602"/>
        <v>0</v>
      </c>
      <c r="BR783" s="824">
        <f t="shared" ca="1" si="602"/>
        <v>0</v>
      </c>
      <c r="BS783" s="824">
        <f t="shared" ca="1" si="602"/>
        <v>0</v>
      </c>
      <c r="BT783" s="824">
        <f t="shared" ca="1" si="602"/>
        <v>0</v>
      </c>
      <c r="BU783" s="824">
        <f t="shared" ca="1" si="602"/>
        <v>0</v>
      </c>
      <c r="BV783" s="824">
        <f t="shared" ca="1" si="602"/>
        <v>0</v>
      </c>
      <c r="BW783" s="824">
        <f t="shared" ca="1" si="602"/>
        <v>0</v>
      </c>
      <c r="BX783" s="824">
        <f t="shared" ca="1" si="602"/>
        <v>0</v>
      </c>
      <c r="BY783" s="824">
        <f t="shared" ca="1" si="602"/>
        <v>0</v>
      </c>
      <c r="BZ783" s="824">
        <f t="shared" ca="1" si="602"/>
        <v>0</v>
      </c>
      <c r="CA783" s="824">
        <f t="shared" ca="1" si="602"/>
        <v>0</v>
      </c>
      <c r="CB783" s="824">
        <f t="shared" ca="1" si="602"/>
        <v>0</v>
      </c>
      <c r="CC783" s="824">
        <f t="shared" ca="1" si="602"/>
        <v>0</v>
      </c>
      <c r="CD783" s="824">
        <f t="shared" ca="1" si="602"/>
        <v>0</v>
      </c>
      <c r="CE783" s="824">
        <f t="shared" ca="1" si="601"/>
        <v>0</v>
      </c>
      <c r="CF783" s="824">
        <f t="shared" ca="1" si="601"/>
        <v>0</v>
      </c>
      <c r="CG783" s="824">
        <f t="shared" ca="1" si="601"/>
        <v>0</v>
      </c>
      <c r="CH783" s="824">
        <f t="shared" ca="1" si="601"/>
        <v>0</v>
      </c>
      <c r="CI783" s="824">
        <f t="shared" ca="1" si="601"/>
        <v>0</v>
      </c>
      <c r="CJ783" s="824">
        <f t="shared" ca="1" si="601"/>
        <v>0</v>
      </c>
      <c r="CK783" s="824">
        <f t="shared" ca="1" si="601"/>
        <v>0</v>
      </c>
      <c r="CL783" s="824">
        <f t="shared" ca="1" si="601"/>
        <v>0</v>
      </c>
      <c r="CM783" s="824">
        <f t="shared" ca="1" si="601"/>
        <v>0</v>
      </c>
      <c r="CN783" s="824">
        <f t="shared" ca="1" si="601"/>
        <v>0</v>
      </c>
      <c r="CO783" s="824">
        <f t="shared" ca="1" si="601"/>
        <v>0</v>
      </c>
      <c r="CP783" s="824">
        <f t="shared" ca="1" si="601"/>
        <v>0</v>
      </c>
      <c r="CQ783" s="824">
        <f t="shared" ca="1" si="601"/>
        <v>0</v>
      </c>
      <c r="CR783" s="824">
        <f t="shared" ca="1" si="601"/>
        <v>0</v>
      </c>
      <c r="CS783" s="824">
        <f t="shared" ca="1" si="601"/>
        <v>0</v>
      </c>
      <c r="CT783" s="824">
        <f t="shared" ca="1" si="604"/>
        <v>0</v>
      </c>
      <c r="CU783" s="824">
        <f t="shared" ca="1" si="604"/>
        <v>0</v>
      </c>
      <c r="CV783" s="824">
        <f t="shared" ca="1" si="604"/>
        <v>0</v>
      </c>
      <c r="CW783" s="824">
        <f t="shared" ca="1" si="604"/>
        <v>0</v>
      </c>
      <c r="CX783" s="824">
        <f t="shared" ca="1" si="604"/>
        <v>0</v>
      </c>
      <c r="CY783" s="824">
        <f t="shared" ca="1" si="604"/>
        <v>0</v>
      </c>
      <c r="CZ783" s="824">
        <f t="shared" ca="1" si="604"/>
        <v>0</v>
      </c>
      <c r="DA783" s="824">
        <f t="shared" ca="1" si="604"/>
        <v>0</v>
      </c>
      <c r="DB783" s="824">
        <f t="shared" ca="1" si="604"/>
        <v>0</v>
      </c>
      <c r="DC783" s="824">
        <f t="shared" ca="1" si="604"/>
        <v>0</v>
      </c>
      <c r="DD783" s="824">
        <f t="shared" ca="1" si="604"/>
        <v>0</v>
      </c>
      <c r="DE783" s="824">
        <f t="shared" ca="1" si="604"/>
        <v>0</v>
      </c>
      <c r="DF783" s="824">
        <f t="shared" ca="1" si="604"/>
        <v>0</v>
      </c>
      <c r="DG783" s="824">
        <f t="shared" ca="1" si="604"/>
        <v>0</v>
      </c>
      <c r="DH783" s="824">
        <f t="shared" ca="1" si="604"/>
        <v>0</v>
      </c>
      <c r="DI783" s="824">
        <f t="shared" ca="1" si="604"/>
        <v>0</v>
      </c>
      <c r="DJ783" s="824">
        <f t="shared" ca="1" si="590"/>
        <v>0</v>
      </c>
      <c r="DK783" s="824">
        <f t="shared" ca="1" si="590"/>
        <v>0</v>
      </c>
      <c r="DL783" s="824">
        <f t="shared" ca="1" si="590"/>
        <v>0</v>
      </c>
    </row>
    <row r="784" spans="2:116" ht="12" thickBot="1" x14ac:dyDescent="0.3">
      <c r="B784" s="1673"/>
      <c r="C784" s="1680"/>
      <c r="D784" s="15"/>
      <c r="E784" s="165"/>
      <c r="F784" s="116">
        <f ca="1">SUBTOTAL(109,'3.4 I&amp;W'!$X$150)</f>
        <v>0</v>
      </c>
      <c r="G784" s="116">
        <f ca="1">SUBTOTAL(109,'3.4 I&amp;W'!$Y$150)</f>
        <v>0</v>
      </c>
      <c r="H784" s="116">
        <f ca="1">SUBTOTAL(109,'3.4 I&amp;W'!$AD$150)</f>
        <v>0</v>
      </c>
      <c r="I784" s="116">
        <f ca="1">SUBTOTAL(109,'3.4 I&amp;W'!$AE$150)</f>
        <v>0</v>
      </c>
      <c r="J784" s="116"/>
      <c r="K784" s="116"/>
      <c r="L784" s="116"/>
      <c r="M784" s="116">
        <f ca="1">SUBTOTAL(109,'3.4 I&amp;W'!$AI$150)</f>
        <v>0</v>
      </c>
      <c r="N784" s="156">
        <f t="shared" ca="1" si="541"/>
        <v>0</v>
      </c>
      <c r="O784" s="116">
        <f ca="1">SUBTOTAL(109,'3.4 I&amp;W'!$S$150)</f>
        <v>0</v>
      </c>
      <c r="P784" s="30">
        <f t="shared" ca="1" si="581"/>
        <v>0</v>
      </c>
      <c r="Q784" s="31">
        <f t="shared" ca="1" si="582"/>
        <v>0</v>
      </c>
      <c r="R784" s="31">
        <f t="shared" ca="1" si="583"/>
        <v>0</v>
      </c>
      <c r="S784" s="31">
        <f t="shared" ca="1" si="584"/>
        <v>0</v>
      </c>
      <c r="T784" s="32">
        <f t="shared" ca="1" si="585"/>
        <v>0</v>
      </c>
      <c r="U784" s="37">
        <f t="shared" ca="1" si="542"/>
        <v>0</v>
      </c>
      <c r="V784" s="40">
        <f t="shared" ca="1" si="591"/>
        <v>0</v>
      </c>
      <c r="W784" s="41">
        <f t="shared" ca="1" si="592"/>
        <v>0</v>
      </c>
      <c r="X784" s="43"/>
      <c r="Y784" s="46"/>
      <c r="Z784" s="126"/>
      <c r="AA784" s="136"/>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824">
        <f t="shared" ca="1" si="593"/>
        <v>0</v>
      </c>
      <c r="BM784" s="824">
        <f t="shared" ca="1" si="594"/>
        <v>0</v>
      </c>
      <c r="BN784" s="824">
        <f t="shared" ca="1" si="595"/>
        <v>0</v>
      </c>
      <c r="BO784" s="824">
        <f t="shared" ca="1" si="602"/>
        <v>0</v>
      </c>
      <c r="BP784" s="824">
        <f t="shared" ca="1" si="602"/>
        <v>0</v>
      </c>
      <c r="BQ784" s="824">
        <f t="shared" ca="1" si="602"/>
        <v>0</v>
      </c>
      <c r="BR784" s="824">
        <f t="shared" ca="1" si="602"/>
        <v>0</v>
      </c>
      <c r="BS784" s="824">
        <f t="shared" ca="1" si="602"/>
        <v>0</v>
      </c>
      <c r="BT784" s="824">
        <f t="shared" ca="1" si="602"/>
        <v>0</v>
      </c>
      <c r="BU784" s="824">
        <f t="shared" ca="1" si="602"/>
        <v>0</v>
      </c>
      <c r="BV784" s="824">
        <f t="shared" ca="1" si="602"/>
        <v>0</v>
      </c>
      <c r="BW784" s="824">
        <f t="shared" ca="1" si="602"/>
        <v>0</v>
      </c>
      <c r="BX784" s="824">
        <f t="shared" ca="1" si="602"/>
        <v>0</v>
      </c>
      <c r="BY784" s="824">
        <f t="shared" ca="1" si="602"/>
        <v>0</v>
      </c>
      <c r="BZ784" s="824">
        <f t="shared" ca="1" si="602"/>
        <v>0</v>
      </c>
      <c r="CA784" s="824">
        <f t="shared" ca="1" si="602"/>
        <v>0</v>
      </c>
      <c r="CB784" s="824">
        <f t="shared" ca="1" si="602"/>
        <v>0</v>
      </c>
      <c r="CC784" s="824">
        <f t="shared" ca="1" si="602"/>
        <v>0</v>
      </c>
      <c r="CD784" s="824">
        <f t="shared" ca="1" si="602"/>
        <v>0</v>
      </c>
      <c r="CE784" s="824">
        <f t="shared" ca="1" si="601"/>
        <v>0</v>
      </c>
      <c r="CF784" s="824">
        <f t="shared" ca="1" si="601"/>
        <v>0</v>
      </c>
      <c r="CG784" s="824">
        <f t="shared" ca="1" si="601"/>
        <v>0</v>
      </c>
      <c r="CH784" s="824">
        <f t="shared" ca="1" si="601"/>
        <v>0</v>
      </c>
      <c r="CI784" s="824">
        <f t="shared" ca="1" si="601"/>
        <v>0</v>
      </c>
      <c r="CJ784" s="824">
        <f t="shared" ca="1" si="601"/>
        <v>0</v>
      </c>
      <c r="CK784" s="824">
        <f t="shared" ca="1" si="601"/>
        <v>0</v>
      </c>
      <c r="CL784" s="824">
        <f t="shared" ca="1" si="601"/>
        <v>0</v>
      </c>
      <c r="CM784" s="824">
        <f t="shared" ca="1" si="601"/>
        <v>0</v>
      </c>
      <c r="CN784" s="824">
        <f t="shared" ca="1" si="601"/>
        <v>0</v>
      </c>
      <c r="CO784" s="824">
        <f t="shared" ca="1" si="601"/>
        <v>0</v>
      </c>
      <c r="CP784" s="824">
        <f t="shared" ca="1" si="601"/>
        <v>0</v>
      </c>
      <c r="CQ784" s="824">
        <f t="shared" ca="1" si="601"/>
        <v>0</v>
      </c>
      <c r="CR784" s="824">
        <f t="shared" ca="1" si="601"/>
        <v>0</v>
      </c>
      <c r="CS784" s="824">
        <f t="shared" ca="1" si="601"/>
        <v>0</v>
      </c>
      <c r="CT784" s="824">
        <f t="shared" ca="1" si="604"/>
        <v>0</v>
      </c>
      <c r="CU784" s="824">
        <f t="shared" ca="1" si="604"/>
        <v>0</v>
      </c>
      <c r="CV784" s="824">
        <f t="shared" ca="1" si="604"/>
        <v>0</v>
      </c>
      <c r="CW784" s="824">
        <f t="shared" ca="1" si="604"/>
        <v>0</v>
      </c>
      <c r="CX784" s="824">
        <f t="shared" ca="1" si="604"/>
        <v>0</v>
      </c>
      <c r="CY784" s="824">
        <f t="shared" ca="1" si="604"/>
        <v>0</v>
      </c>
      <c r="CZ784" s="824">
        <f t="shared" ca="1" si="604"/>
        <v>0</v>
      </c>
      <c r="DA784" s="824">
        <f t="shared" ca="1" si="604"/>
        <v>0</v>
      </c>
      <c r="DB784" s="824">
        <f t="shared" ca="1" si="604"/>
        <v>0</v>
      </c>
      <c r="DC784" s="824">
        <f t="shared" ca="1" si="604"/>
        <v>0</v>
      </c>
      <c r="DD784" s="824">
        <f t="shared" ca="1" si="604"/>
        <v>0</v>
      </c>
      <c r="DE784" s="824">
        <f t="shared" ca="1" si="604"/>
        <v>0</v>
      </c>
      <c r="DF784" s="824">
        <f t="shared" ca="1" si="604"/>
        <v>0</v>
      </c>
      <c r="DG784" s="824">
        <f t="shared" ca="1" si="604"/>
        <v>0</v>
      </c>
      <c r="DH784" s="824">
        <f t="shared" ca="1" si="604"/>
        <v>0</v>
      </c>
      <c r="DI784" s="824">
        <f t="shared" ca="1" si="604"/>
        <v>0</v>
      </c>
      <c r="DJ784" s="824">
        <f t="shared" ca="1" si="590"/>
        <v>0</v>
      </c>
      <c r="DK784" s="824">
        <f t="shared" ca="1" si="590"/>
        <v>0</v>
      </c>
      <c r="DL784" s="824">
        <f t="shared" ca="1" si="590"/>
        <v>0</v>
      </c>
    </row>
    <row r="785" spans="2:116" ht="12" thickBot="1" x14ac:dyDescent="0.3">
      <c r="B785" s="1673"/>
      <c r="C785" s="1680"/>
      <c r="D785" s="15" t="s">
        <v>307</v>
      </c>
      <c r="E785" s="116"/>
      <c r="F785" s="116">
        <f ca="1">SUBTOTAL(109,'3.4 I&amp;W'!$X$153)</f>
        <v>0</v>
      </c>
      <c r="G785" s="116">
        <f ca="1">SUBTOTAL(109,'3.4 I&amp;W'!$Y$153)</f>
        <v>0</v>
      </c>
      <c r="H785" s="116">
        <f ca="1">SUBTOTAL(109,'3.4 I&amp;W'!$AD$153)</f>
        <v>0</v>
      </c>
      <c r="I785" s="116">
        <f ca="1">SUBTOTAL(109,'3.4 I&amp;W'!$AE$153)</f>
        <v>0</v>
      </c>
      <c r="J785" s="116"/>
      <c r="K785" s="116"/>
      <c r="L785" s="116"/>
      <c r="M785" s="116">
        <f ca="1">SUBTOTAL(109,'3.4 I&amp;W'!$AI$153)</f>
        <v>0</v>
      </c>
      <c r="N785" s="156">
        <f t="shared" ca="1" si="541"/>
        <v>0</v>
      </c>
      <c r="O785" s="116">
        <f ca="1">SUBTOTAL(109,'3.4 I&amp;W'!$S$153)</f>
        <v>0</v>
      </c>
      <c r="P785" s="30">
        <f ca="1">IF(N785&gt;=1,O785*$G$158^(1*M785)/($G$157^(1*M785)),0)</f>
        <v>0</v>
      </c>
      <c r="Q785" s="31">
        <f ca="1">IF(N785&gt;=2,O785*$G$158^(2*M785)/($G$157^(2*M785)),0)</f>
        <v>0</v>
      </c>
      <c r="R785" s="31">
        <f ca="1">IF(N785&gt;=3,O785*$G$158^(3*M785)/($G$157^(3*M785)),0)</f>
        <v>0</v>
      </c>
      <c r="S785" s="31">
        <f ca="1">IF(N785&gt;=4,O785*$G$158^(4*M785)/($G$157^(4*M785)),0)</f>
        <v>0</v>
      </c>
      <c r="T785" s="32">
        <f ca="1">IF(N785&gt;=5,O785*$G$158^(5*M785)/($G$157^(5*M785)),0)</f>
        <v>0</v>
      </c>
      <c r="U785" s="37">
        <f t="shared" ca="1" si="542"/>
        <v>0</v>
      </c>
      <c r="V785" s="40">
        <f t="shared" ca="1" si="591"/>
        <v>0</v>
      </c>
      <c r="W785" s="41">
        <f t="shared" ca="1" si="592"/>
        <v>0</v>
      </c>
      <c r="X785" s="43"/>
      <c r="Y785" s="46"/>
      <c r="Z785" s="126"/>
      <c r="AA785" s="136"/>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824">
        <f t="shared" ca="1" si="593"/>
        <v>0</v>
      </c>
      <c r="BM785" s="824">
        <f t="shared" ca="1" si="594"/>
        <v>0</v>
      </c>
      <c r="BN785" s="824">
        <f t="shared" ca="1" si="595"/>
        <v>0</v>
      </c>
      <c r="BO785" s="824">
        <f t="shared" ca="1" si="602"/>
        <v>0</v>
      </c>
      <c r="BP785" s="824">
        <f t="shared" ca="1" si="602"/>
        <v>0</v>
      </c>
      <c r="BQ785" s="824">
        <f t="shared" ca="1" si="602"/>
        <v>0</v>
      </c>
      <c r="BR785" s="824">
        <f t="shared" ca="1" si="602"/>
        <v>0</v>
      </c>
      <c r="BS785" s="824">
        <f t="shared" ca="1" si="602"/>
        <v>0</v>
      </c>
      <c r="BT785" s="824">
        <f t="shared" ca="1" si="602"/>
        <v>0</v>
      </c>
      <c r="BU785" s="824">
        <f t="shared" ca="1" si="602"/>
        <v>0</v>
      </c>
      <c r="BV785" s="824">
        <f t="shared" ca="1" si="602"/>
        <v>0</v>
      </c>
      <c r="BW785" s="824">
        <f t="shared" ca="1" si="602"/>
        <v>0</v>
      </c>
      <c r="BX785" s="824">
        <f t="shared" ca="1" si="602"/>
        <v>0</v>
      </c>
      <c r="BY785" s="824">
        <f t="shared" ca="1" si="602"/>
        <v>0</v>
      </c>
      <c r="BZ785" s="824">
        <f t="shared" ca="1" si="602"/>
        <v>0</v>
      </c>
      <c r="CA785" s="824">
        <f t="shared" ca="1" si="602"/>
        <v>0</v>
      </c>
      <c r="CB785" s="824">
        <f t="shared" ca="1" si="602"/>
        <v>0</v>
      </c>
      <c r="CC785" s="824">
        <f t="shared" ca="1" si="602"/>
        <v>0</v>
      </c>
      <c r="CD785" s="824">
        <f t="shared" ca="1" si="602"/>
        <v>0</v>
      </c>
      <c r="CE785" s="824">
        <f t="shared" ca="1" si="601"/>
        <v>0</v>
      </c>
      <c r="CF785" s="824">
        <f t="shared" ca="1" si="601"/>
        <v>0</v>
      </c>
      <c r="CG785" s="824">
        <f t="shared" ca="1" si="601"/>
        <v>0</v>
      </c>
      <c r="CH785" s="824">
        <f t="shared" ca="1" si="601"/>
        <v>0</v>
      </c>
      <c r="CI785" s="824">
        <f t="shared" ca="1" si="601"/>
        <v>0</v>
      </c>
      <c r="CJ785" s="824">
        <f t="shared" ca="1" si="601"/>
        <v>0</v>
      </c>
      <c r="CK785" s="824">
        <f t="shared" ca="1" si="601"/>
        <v>0</v>
      </c>
      <c r="CL785" s="824">
        <f t="shared" ca="1" si="601"/>
        <v>0</v>
      </c>
      <c r="CM785" s="824">
        <f t="shared" ca="1" si="601"/>
        <v>0</v>
      </c>
      <c r="CN785" s="824">
        <f t="shared" ca="1" si="601"/>
        <v>0</v>
      </c>
      <c r="CO785" s="824">
        <f t="shared" ca="1" si="601"/>
        <v>0</v>
      </c>
      <c r="CP785" s="824">
        <f t="shared" ca="1" si="601"/>
        <v>0</v>
      </c>
      <c r="CQ785" s="824">
        <f t="shared" ca="1" si="601"/>
        <v>0</v>
      </c>
      <c r="CR785" s="824">
        <f t="shared" ca="1" si="601"/>
        <v>0</v>
      </c>
      <c r="CS785" s="824">
        <f t="shared" ca="1" si="601"/>
        <v>0</v>
      </c>
      <c r="CT785" s="824">
        <f t="shared" ca="1" si="604"/>
        <v>0</v>
      </c>
      <c r="CU785" s="824">
        <f t="shared" ca="1" si="604"/>
        <v>0</v>
      </c>
      <c r="CV785" s="824">
        <f t="shared" ca="1" si="604"/>
        <v>0</v>
      </c>
      <c r="CW785" s="824">
        <f t="shared" ca="1" si="604"/>
        <v>0</v>
      </c>
      <c r="CX785" s="824">
        <f t="shared" ca="1" si="604"/>
        <v>0</v>
      </c>
      <c r="CY785" s="824">
        <f t="shared" ca="1" si="604"/>
        <v>0</v>
      </c>
      <c r="CZ785" s="824">
        <f t="shared" ca="1" si="604"/>
        <v>0</v>
      </c>
      <c r="DA785" s="824">
        <f t="shared" ca="1" si="604"/>
        <v>0</v>
      </c>
      <c r="DB785" s="824">
        <f t="shared" ca="1" si="604"/>
        <v>0</v>
      </c>
      <c r="DC785" s="824">
        <f t="shared" ca="1" si="604"/>
        <v>0</v>
      </c>
      <c r="DD785" s="824">
        <f t="shared" ca="1" si="604"/>
        <v>0</v>
      </c>
      <c r="DE785" s="824">
        <f t="shared" ca="1" si="604"/>
        <v>0</v>
      </c>
      <c r="DF785" s="824">
        <f t="shared" ca="1" si="604"/>
        <v>0</v>
      </c>
      <c r="DG785" s="824">
        <f t="shared" ca="1" si="604"/>
        <v>0</v>
      </c>
      <c r="DH785" s="824">
        <f t="shared" ca="1" si="604"/>
        <v>0</v>
      </c>
      <c r="DI785" s="824">
        <f t="shared" ca="1" si="604"/>
        <v>0</v>
      </c>
      <c r="DJ785" s="824">
        <f t="shared" ca="1" si="590"/>
        <v>0</v>
      </c>
      <c r="DK785" s="824">
        <f t="shared" ca="1" si="590"/>
        <v>0</v>
      </c>
      <c r="DL785" s="824">
        <f t="shared" ca="1" si="590"/>
        <v>0</v>
      </c>
    </row>
    <row r="786" spans="2:116" ht="12" thickBot="1" x14ac:dyDescent="0.3">
      <c r="B786" s="1673"/>
      <c r="C786" s="1680"/>
      <c r="D786" s="15"/>
      <c r="E786" s="116"/>
      <c r="F786" s="116">
        <f ca="1">SUBTOTAL(109,'3.4 I&amp;W'!$X$154)</f>
        <v>0</v>
      </c>
      <c r="G786" s="116">
        <f ca="1">SUBTOTAL(109,'3.4 I&amp;W'!$Y$154)</f>
        <v>0</v>
      </c>
      <c r="H786" s="116">
        <f ca="1">SUBTOTAL(109,'3.4 I&amp;W'!$AD$154)</f>
        <v>0</v>
      </c>
      <c r="I786" s="116">
        <f ca="1">SUBTOTAL(109,'3.4 I&amp;W'!$AE$154)</f>
        <v>0</v>
      </c>
      <c r="J786" s="116"/>
      <c r="K786" s="116"/>
      <c r="L786" s="116"/>
      <c r="M786" s="116">
        <f ca="1">SUBTOTAL(109,'3.4 I&amp;W'!$AI$154)</f>
        <v>0</v>
      </c>
      <c r="N786" s="156">
        <f t="shared" ca="1" si="541"/>
        <v>0</v>
      </c>
      <c r="O786" s="116">
        <f ca="1">SUBTOTAL(109,'3.4 I&amp;W'!$S$154)</f>
        <v>0</v>
      </c>
      <c r="P786" s="30">
        <f ca="1">IF(N786&gt;=1,O786*$G$158^(1*M786)/($G$157^(1*M786)),0)</f>
        <v>0</v>
      </c>
      <c r="Q786" s="31">
        <f ca="1">IF(N786&gt;=2,O786*$G$158^(2*M786)/($G$157^(2*M786)),0)</f>
        <v>0</v>
      </c>
      <c r="R786" s="31">
        <f ca="1">IF(N786&gt;=3,O786*$G$158^(3*M786)/($G$157^(3*M786)),0)</f>
        <v>0</v>
      </c>
      <c r="S786" s="31">
        <f ca="1">IF(N786&gt;=4,O786*$G$158^(4*M786)/($G$157^(4*M786)),0)</f>
        <v>0</v>
      </c>
      <c r="T786" s="32">
        <f ca="1">IF(N786&gt;=5,O786*$G$158^(5*M786)/($G$157^(5*M786)),0)</f>
        <v>0</v>
      </c>
      <c r="U786" s="37">
        <f t="shared" ca="1" si="542"/>
        <v>0</v>
      </c>
      <c r="V786" s="40">
        <f t="shared" ca="1" si="591"/>
        <v>0</v>
      </c>
      <c r="W786" s="41">
        <f t="shared" ca="1" si="592"/>
        <v>0</v>
      </c>
      <c r="X786" s="43"/>
      <c r="Y786" s="46"/>
      <c r="Z786" s="126"/>
      <c r="AA786" s="136"/>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824">
        <f t="shared" ca="1" si="593"/>
        <v>0</v>
      </c>
      <c r="BM786" s="824">
        <f t="shared" ca="1" si="594"/>
        <v>0</v>
      </c>
      <c r="BN786" s="824">
        <f t="shared" ca="1" si="595"/>
        <v>0</v>
      </c>
      <c r="BO786" s="824">
        <f t="shared" ca="1" si="602"/>
        <v>0</v>
      </c>
      <c r="BP786" s="824">
        <f t="shared" ca="1" si="602"/>
        <v>0</v>
      </c>
      <c r="BQ786" s="824">
        <f t="shared" ca="1" si="602"/>
        <v>0</v>
      </c>
      <c r="BR786" s="824">
        <f t="shared" ca="1" si="602"/>
        <v>0</v>
      </c>
      <c r="BS786" s="824">
        <f t="shared" ca="1" si="602"/>
        <v>0</v>
      </c>
      <c r="BT786" s="824">
        <f t="shared" ca="1" si="602"/>
        <v>0</v>
      </c>
      <c r="BU786" s="824">
        <f t="shared" ca="1" si="602"/>
        <v>0</v>
      </c>
      <c r="BV786" s="824">
        <f t="shared" ca="1" si="602"/>
        <v>0</v>
      </c>
      <c r="BW786" s="824">
        <f t="shared" ca="1" si="602"/>
        <v>0</v>
      </c>
      <c r="BX786" s="824">
        <f t="shared" ca="1" si="602"/>
        <v>0</v>
      </c>
      <c r="BY786" s="824">
        <f t="shared" ca="1" si="602"/>
        <v>0</v>
      </c>
      <c r="BZ786" s="824">
        <f t="shared" ca="1" si="602"/>
        <v>0</v>
      </c>
      <c r="CA786" s="824">
        <f t="shared" ca="1" si="602"/>
        <v>0</v>
      </c>
      <c r="CB786" s="824">
        <f t="shared" ca="1" si="602"/>
        <v>0</v>
      </c>
      <c r="CC786" s="824">
        <f t="shared" ca="1" si="602"/>
        <v>0</v>
      </c>
      <c r="CD786" s="824">
        <f t="shared" ca="1" si="602"/>
        <v>0</v>
      </c>
      <c r="CE786" s="824">
        <f t="shared" ca="1" si="601"/>
        <v>0</v>
      </c>
      <c r="CF786" s="824">
        <f t="shared" ca="1" si="601"/>
        <v>0</v>
      </c>
      <c r="CG786" s="824">
        <f t="shared" ca="1" si="601"/>
        <v>0</v>
      </c>
      <c r="CH786" s="824">
        <f t="shared" ca="1" si="601"/>
        <v>0</v>
      </c>
      <c r="CI786" s="824">
        <f t="shared" ca="1" si="601"/>
        <v>0</v>
      </c>
      <c r="CJ786" s="824">
        <f t="shared" ca="1" si="601"/>
        <v>0</v>
      </c>
      <c r="CK786" s="824">
        <f t="shared" ca="1" si="601"/>
        <v>0</v>
      </c>
      <c r="CL786" s="824">
        <f t="shared" ca="1" si="601"/>
        <v>0</v>
      </c>
      <c r="CM786" s="824">
        <f t="shared" ca="1" si="601"/>
        <v>0</v>
      </c>
      <c r="CN786" s="824">
        <f t="shared" ca="1" si="601"/>
        <v>0</v>
      </c>
      <c r="CO786" s="824">
        <f t="shared" ca="1" si="601"/>
        <v>0</v>
      </c>
      <c r="CP786" s="824">
        <f t="shared" ca="1" si="601"/>
        <v>0</v>
      </c>
      <c r="CQ786" s="824">
        <f t="shared" ca="1" si="601"/>
        <v>0</v>
      </c>
      <c r="CR786" s="824">
        <f t="shared" ca="1" si="601"/>
        <v>0</v>
      </c>
      <c r="CS786" s="824">
        <f t="shared" ca="1" si="601"/>
        <v>0</v>
      </c>
      <c r="CT786" s="824">
        <f t="shared" ca="1" si="604"/>
        <v>0</v>
      </c>
      <c r="CU786" s="824">
        <f t="shared" ca="1" si="604"/>
        <v>0</v>
      </c>
      <c r="CV786" s="824">
        <f t="shared" ca="1" si="604"/>
        <v>0</v>
      </c>
      <c r="CW786" s="824">
        <f t="shared" ca="1" si="604"/>
        <v>0</v>
      </c>
      <c r="CX786" s="824">
        <f t="shared" ca="1" si="604"/>
        <v>0</v>
      </c>
      <c r="CY786" s="824">
        <f t="shared" ca="1" si="604"/>
        <v>0</v>
      </c>
      <c r="CZ786" s="824">
        <f t="shared" ca="1" si="604"/>
        <v>0</v>
      </c>
      <c r="DA786" s="824">
        <f t="shared" ca="1" si="604"/>
        <v>0</v>
      </c>
      <c r="DB786" s="824">
        <f t="shared" ca="1" si="604"/>
        <v>0</v>
      </c>
      <c r="DC786" s="824">
        <f t="shared" ca="1" si="604"/>
        <v>0</v>
      </c>
      <c r="DD786" s="824">
        <f t="shared" ca="1" si="604"/>
        <v>0</v>
      </c>
      <c r="DE786" s="824">
        <f t="shared" ca="1" si="604"/>
        <v>0</v>
      </c>
      <c r="DF786" s="824">
        <f t="shared" ca="1" si="604"/>
        <v>0</v>
      </c>
      <c r="DG786" s="824">
        <f t="shared" ca="1" si="604"/>
        <v>0</v>
      </c>
      <c r="DH786" s="824">
        <f t="shared" ca="1" si="604"/>
        <v>0</v>
      </c>
      <c r="DI786" s="824">
        <f t="shared" ca="1" si="604"/>
        <v>0</v>
      </c>
      <c r="DJ786" s="824">
        <f t="shared" ca="1" si="590"/>
        <v>0</v>
      </c>
      <c r="DK786" s="824">
        <f t="shared" ca="1" si="590"/>
        <v>0</v>
      </c>
      <c r="DL786" s="824">
        <f t="shared" ca="1" si="590"/>
        <v>0</v>
      </c>
    </row>
    <row r="787" spans="2:116" ht="12" thickBot="1" x14ac:dyDescent="0.3">
      <c r="B787" s="1673"/>
      <c r="C787" s="1680"/>
      <c r="D787" s="15" t="s">
        <v>31</v>
      </c>
      <c r="E787" s="165"/>
      <c r="F787" s="116">
        <f ca="1">SUBTOTAL(109,'3.4 I&amp;W'!$X$158)</f>
        <v>0</v>
      </c>
      <c r="G787" s="116">
        <f ca="1">SUBTOTAL(109,'3.4 I&amp;W'!$Y$158)</f>
        <v>0</v>
      </c>
      <c r="H787" s="116">
        <f ca="1">SUBTOTAL(109,'3.4 I&amp;W'!$AD$158)</f>
        <v>0</v>
      </c>
      <c r="I787" s="116">
        <f ca="1">SUBTOTAL(109,'3.4 I&amp;W'!$AE$158)</f>
        <v>0</v>
      </c>
      <c r="J787" s="116"/>
      <c r="K787" s="116"/>
      <c r="L787" s="116"/>
      <c r="M787" s="116">
        <f ca="1">SUBTOTAL(109,'3.4 I&amp;W'!$AI$158)</f>
        <v>0</v>
      </c>
      <c r="N787" s="156">
        <f t="shared" ca="1" si="541"/>
        <v>0</v>
      </c>
      <c r="O787" s="116">
        <f ca="1">SUBTOTAL(109,'3.4 I&amp;W'!$S$158)</f>
        <v>0</v>
      </c>
      <c r="P787" s="30">
        <f t="shared" ref="P787:P821" ca="1" si="605">IF(N787&gt;=1,O787*$G$158^(1*M787)/($G$157^(1*M787)),0)</f>
        <v>0</v>
      </c>
      <c r="Q787" s="31">
        <f t="shared" ref="Q787:Q821" ca="1" si="606">IF(N787&gt;=2,O787*$G$158^(2*M787)/($G$157^(2*M787)),0)</f>
        <v>0</v>
      </c>
      <c r="R787" s="31">
        <f t="shared" ref="R787:R821" ca="1" si="607">IF(N787&gt;=3,O787*$G$158^(3*M787)/($G$157^(3*M787)),0)</f>
        <v>0</v>
      </c>
      <c r="S787" s="31">
        <f t="shared" ref="S787:S821" ca="1" si="608">IF(N787&gt;=4,O787*$G$158^(4*M787)/($G$157^(4*M787)),0)</f>
        <v>0</v>
      </c>
      <c r="T787" s="32">
        <f t="shared" ref="T787:T821" ca="1" si="609">IF(N787&gt;=5,O787*$G$158^(5*M787)/($G$157^(5*M787)),0)</f>
        <v>0</v>
      </c>
      <c r="U787" s="37">
        <f t="shared" ca="1" si="542"/>
        <v>0</v>
      </c>
      <c r="V787" s="40">
        <f t="shared" ref="V787:V820" ca="1" si="610">G787*$I$169</f>
        <v>0</v>
      </c>
      <c r="W787" s="41">
        <f t="shared" ref="W787:W820" ca="1" si="611">(I787+J787)*$I$167</f>
        <v>0</v>
      </c>
      <c r="X787" s="43"/>
      <c r="Y787" s="46"/>
      <c r="Z787" s="126"/>
      <c r="AA787" s="136"/>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824">
        <f t="shared" ref="BL787:BL818" ca="1" si="612">M787</f>
        <v>0</v>
      </c>
      <c r="BM787" s="824">
        <f t="shared" ref="BM787:BM818" ca="1" si="613">N787</f>
        <v>0</v>
      </c>
      <c r="BN787" s="824">
        <f t="shared" ref="BN787:BN818" ca="1" si="614">O787</f>
        <v>0</v>
      </c>
      <c r="BO787" s="824">
        <f t="shared" ca="1" si="602"/>
        <v>0</v>
      </c>
      <c r="BP787" s="824">
        <f t="shared" ca="1" si="602"/>
        <v>0</v>
      </c>
      <c r="BQ787" s="824">
        <f t="shared" ca="1" si="602"/>
        <v>0</v>
      </c>
      <c r="BR787" s="824">
        <f t="shared" ca="1" si="602"/>
        <v>0</v>
      </c>
      <c r="BS787" s="824">
        <f t="shared" ca="1" si="602"/>
        <v>0</v>
      </c>
      <c r="BT787" s="824">
        <f t="shared" ca="1" si="602"/>
        <v>0</v>
      </c>
      <c r="BU787" s="824">
        <f t="shared" ca="1" si="602"/>
        <v>0</v>
      </c>
      <c r="BV787" s="824">
        <f t="shared" ca="1" si="602"/>
        <v>0</v>
      </c>
      <c r="BW787" s="824">
        <f t="shared" ca="1" si="602"/>
        <v>0</v>
      </c>
      <c r="BX787" s="824">
        <f t="shared" ca="1" si="602"/>
        <v>0</v>
      </c>
      <c r="BY787" s="824">
        <f t="shared" ca="1" si="602"/>
        <v>0</v>
      </c>
      <c r="BZ787" s="824">
        <f t="shared" ca="1" si="602"/>
        <v>0</v>
      </c>
      <c r="CA787" s="824">
        <f t="shared" ca="1" si="602"/>
        <v>0</v>
      </c>
      <c r="CB787" s="824">
        <f t="shared" ca="1" si="602"/>
        <v>0</v>
      </c>
      <c r="CC787" s="824">
        <f t="shared" ca="1" si="602"/>
        <v>0</v>
      </c>
      <c r="CD787" s="824">
        <f t="shared" ca="1" si="602"/>
        <v>0</v>
      </c>
      <c r="CE787" s="824">
        <f t="shared" ca="1" si="601"/>
        <v>0</v>
      </c>
      <c r="CF787" s="824">
        <f t="shared" ca="1" si="601"/>
        <v>0</v>
      </c>
      <c r="CG787" s="824">
        <f t="shared" ca="1" si="601"/>
        <v>0</v>
      </c>
      <c r="CH787" s="824">
        <f t="shared" ca="1" si="601"/>
        <v>0</v>
      </c>
      <c r="CI787" s="824">
        <f t="shared" ca="1" si="601"/>
        <v>0</v>
      </c>
      <c r="CJ787" s="824">
        <f t="shared" ca="1" si="601"/>
        <v>0</v>
      </c>
      <c r="CK787" s="824">
        <f t="shared" ca="1" si="601"/>
        <v>0</v>
      </c>
      <c r="CL787" s="824">
        <f t="shared" ca="1" si="601"/>
        <v>0</v>
      </c>
      <c r="CM787" s="824">
        <f t="shared" ca="1" si="601"/>
        <v>0</v>
      </c>
      <c r="CN787" s="824">
        <f t="shared" ca="1" si="601"/>
        <v>0</v>
      </c>
      <c r="CO787" s="824">
        <f t="shared" ca="1" si="601"/>
        <v>0</v>
      </c>
      <c r="CP787" s="824">
        <f t="shared" ca="1" si="601"/>
        <v>0</v>
      </c>
      <c r="CQ787" s="824">
        <f t="shared" ca="1" si="601"/>
        <v>0</v>
      </c>
      <c r="CR787" s="824">
        <f t="shared" ca="1" si="601"/>
        <v>0</v>
      </c>
      <c r="CS787" s="824">
        <f t="shared" ca="1" si="601"/>
        <v>0</v>
      </c>
      <c r="CT787" s="824">
        <f t="shared" ca="1" si="604"/>
        <v>0</v>
      </c>
      <c r="CU787" s="824">
        <f t="shared" ca="1" si="604"/>
        <v>0</v>
      </c>
      <c r="CV787" s="824">
        <f t="shared" ca="1" si="604"/>
        <v>0</v>
      </c>
      <c r="CW787" s="824">
        <f t="shared" ca="1" si="604"/>
        <v>0</v>
      </c>
      <c r="CX787" s="824">
        <f t="shared" ca="1" si="604"/>
        <v>0</v>
      </c>
      <c r="CY787" s="824">
        <f t="shared" ca="1" si="604"/>
        <v>0</v>
      </c>
      <c r="CZ787" s="824">
        <f t="shared" ca="1" si="604"/>
        <v>0</v>
      </c>
      <c r="DA787" s="824">
        <f t="shared" ca="1" si="604"/>
        <v>0</v>
      </c>
      <c r="DB787" s="824">
        <f t="shared" ca="1" si="604"/>
        <v>0</v>
      </c>
      <c r="DC787" s="824">
        <f t="shared" ca="1" si="604"/>
        <v>0</v>
      </c>
      <c r="DD787" s="824">
        <f t="shared" ca="1" si="604"/>
        <v>0</v>
      </c>
      <c r="DE787" s="824">
        <f t="shared" ca="1" si="604"/>
        <v>0</v>
      </c>
      <c r="DF787" s="824">
        <f t="shared" ca="1" si="604"/>
        <v>0</v>
      </c>
      <c r="DG787" s="824">
        <f t="shared" ca="1" si="604"/>
        <v>0</v>
      </c>
      <c r="DH787" s="824">
        <f t="shared" ca="1" si="604"/>
        <v>0</v>
      </c>
      <c r="DI787" s="824">
        <f t="shared" ca="1" si="604"/>
        <v>0</v>
      </c>
      <c r="DJ787" s="824">
        <f t="shared" ca="1" si="590"/>
        <v>0</v>
      </c>
      <c r="DK787" s="824">
        <f t="shared" ca="1" si="590"/>
        <v>0</v>
      </c>
      <c r="DL787" s="824">
        <f t="shared" ca="1" si="590"/>
        <v>0</v>
      </c>
    </row>
    <row r="788" spans="2:116" ht="12" thickBot="1" x14ac:dyDescent="0.3">
      <c r="B788" s="1673"/>
      <c r="C788" s="1680"/>
      <c r="D788" s="15" t="s">
        <v>31</v>
      </c>
      <c r="E788" s="165"/>
      <c r="F788" s="116">
        <f ca="1">SUBTOTAL(109,'3.4 I&amp;W'!$X$159)</f>
        <v>0</v>
      </c>
      <c r="G788" s="116">
        <f ca="1">SUBTOTAL(109,'3.4 I&amp;W'!$Y$159)</f>
        <v>0</v>
      </c>
      <c r="H788" s="116">
        <f ca="1">SUBTOTAL(109,'3.4 I&amp;W'!$AD$159)</f>
        <v>0</v>
      </c>
      <c r="I788" s="116">
        <f ca="1">SUBTOTAL(109,'3.4 I&amp;W'!$AE$159)</f>
        <v>0</v>
      </c>
      <c r="J788" s="116"/>
      <c r="K788" s="116"/>
      <c r="L788" s="116"/>
      <c r="M788" s="116">
        <f ca="1">SUBTOTAL(109,'3.4 I&amp;W'!$AI$159)</f>
        <v>0</v>
      </c>
      <c r="N788" s="156">
        <f t="shared" ref="N788:N829" ca="1" si="615">IF(OR(M788=0,M788="",M788=$G$154),0,ROUNDDOWN($G$154/M788,0)+IF(MOD($G$154,M788)=0,-1))</f>
        <v>0</v>
      </c>
      <c r="O788" s="116">
        <f ca="1">SUBTOTAL(109,'3.4 I&amp;W'!$S$159)</f>
        <v>0</v>
      </c>
      <c r="P788" s="30">
        <f t="shared" ref="P788:P789" ca="1" si="616">IF(N788&gt;=1,O788*$G$158^(1*M788)/($G$157^(1*M788)),0)</f>
        <v>0</v>
      </c>
      <c r="Q788" s="31">
        <f t="shared" ref="Q788:Q789" ca="1" si="617">IF(N788&gt;=2,O788*$G$158^(2*M788)/($G$157^(2*M788)),0)</f>
        <v>0</v>
      </c>
      <c r="R788" s="31">
        <f t="shared" ref="R788:R789" ca="1" si="618">IF(N788&gt;=3,O788*$G$158^(3*M788)/($G$157^(3*M788)),0)</f>
        <v>0</v>
      </c>
      <c r="S788" s="31">
        <f t="shared" ref="S788:S789" ca="1" si="619">IF(N788&gt;=4,O788*$G$158^(4*M788)/($G$157^(4*M788)),0)</f>
        <v>0</v>
      </c>
      <c r="T788" s="32">
        <f t="shared" ref="T788:T789" ca="1" si="620">IF(N788&gt;=5,O788*$G$158^(5*M788)/($G$157^(5*M788)),0)</f>
        <v>0</v>
      </c>
      <c r="U788" s="37">
        <f t="shared" ref="U788:U789" ca="1" si="621">IF(M788=0,0,O788*$G$158^(N788*M788)*((N788+1)*M788-$G$154)/M788*(1/$G$157^$G$154))</f>
        <v>0</v>
      </c>
      <c r="V788" s="40">
        <f t="shared" ref="V788:V789" ca="1" si="622">G788*$I$169</f>
        <v>0</v>
      </c>
      <c r="W788" s="41">
        <f t="shared" ref="W788:W789" ca="1" si="623">(I788+J788)*$I$167</f>
        <v>0</v>
      </c>
      <c r="X788" s="43"/>
      <c r="Y788" s="46"/>
      <c r="Z788" s="126"/>
      <c r="AA788" s="136"/>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824">
        <f t="shared" ca="1" si="612"/>
        <v>0</v>
      </c>
      <c r="BM788" s="824">
        <f t="shared" ca="1" si="613"/>
        <v>0</v>
      </c>
      <c r="BN788" s="824">
        <f t="shared" ca="1" si="614"/>
        <v>0</v>
      </c>
      <c r="BO788" s="824">
        <f t="shared" ca="1" si="602"/>
        <v>0</v>
      </c>
      <c r="BP788" s="824">
        <f t="shared" ca="1" si="602"/>
        <v>0</v>
      </c>
      <c r="BQ788" s="824">
        <f t="shared" ca="1" si="602"/>
        <v>0</v>
      </c>
      <c r="BR788" s="824">
        <f t="shared" ca="1" si="602"/>
        <v>0</v>
      </c>
      <c r="BS788" s="824">
        <f t="shared" ca="1" si="602"/>
        <v>0</v>
      </c>
      <c r="BT788" s="824">
        <f t="shared" ca="1" si="602"/>
        <v>0</v>
      </c>
      <c r="BU788" s="824">
        <f t="shared" ca="1" si="602"/>
        <v>0</v>
      </c>
      <c r="BV788" s="824">
        <f t="shared" ca="1" si="602"/>
        <v>0</v>
      </c>
      <c r="BW788" s="824">
        <f t="shared" ca="1" si="602"/>
        <v>0</v>
      </c>
      <c r="BX788" s="824">
        <f t="shared" ca="1" si="602"/>
        <v>0</v>
      </c>
      <c r="BY788" s="824">
        <f t="shared" ca="1" si="602"/>
        <v>0</v>
      </c>
      <c r="BZ788" s="824">
        <f t="shared" ca="1" si="602"/>
        <v>0</v>
      </c>
      <c r="CA788" s="824">
        <f t="shared" ca="1" si="602"/>
        <v>0</v>
      </c>
      <c r="CB788" s="824">
        <f t="shared" ca="1" si="602"/>
        <v>0</v>
      </c>
      <c r="CC788" s="824">
        <f t="shared" ca="1" si="602"/>
        <v>0</v>
      </c>
      <c r="CD788" s="824">
        <f t="shared" ca="1" si="602"/>
        <v>0</v>
      </c>
      <c r="CE788" s="824">
        <f t="shared" ca="1" si="601"/>
        <v>0</v>
      </c>
      <c r="CF788" s="824">
        <f t="shared" ca="1" si="601"/>
        <v>0</v>
      </c>
      <c r="CG788" s="824">
        <f t="shared" ca="1" si="601"/>
        <v>0</v>
      </c>
      <c r="CH788" s="824">
        <f t="shared" ca="1" si="601"/>
        <v>0</v>
      </c>
      <c r="CI788" s="824">
        <f t="shared" ca="1" si="601"/>
        <v>0</v>
      </c>
      <c r="CJ788" s="824">
        <f t="shared" ca="1" si="601"/>
        <v>0</v>
      </c>
      <c r="CK788" s="824">
        <f t="shared" ca="1" si="601"/>
        <v>0</v>
      </c>
      <c r="CL788" s="824">
        <f t="shared" ca="1" si="601"/>
        <v>0</v>
      </c>
      <c r="CM788" s="824">
        <f t="shared" ca="1" si="601"/>
        <v>0</v>
      </c>
      <c r="CN788" s="824">
        <f t="shared" ca="1" si="601"/>
        <v>0</v>
      </c>
      <c r="CO788" s="824">
        <f t="shared" ca="1" si="601"/>
        <v>0</v>
      </c>
      <c r="CP788" s="824">
        <f t="shared" ca="1" si="601"/>
        <v>0</v>
      </c>
      <c r="CQ788" s="824">
        <f t="shared" ca="1" si="601"/>
        <v>0</v>
      </c>
      <c r="CR788" s="824">
        <f t="shared" ca="1" si="601"/>
        <v>0</v>
      </c>
      <c r="CS788" s="824">
        <f t="shared" ca="1" si="601"/>
        <v>0</v>
      </c>
      <c r="CT788" s="824">
        <f t="shared" ca="1" si="604"/>
        <v>0</v>
      </c>
      <c r="CU788" s="824">
        <f t="shared" ca="1" si="604"/>
        <v>0</v>
      </c>
      <c r="CV788" s="824">
        <f t="shared" ca="1" si="604"/>
        <v>0</v>
      </c>
      <c r="CW788" s="824">
        <f t="shared" ca="1" si="604"/>
        <v>0</v>
      </c>
      <c r="CX788" s="824">
        <f t="shared" ca="1" si="604"/>
        <v>0</v>
      </c>
      <c r="CY788" s="824">
        <f t="shared" ca="1" si="604"/>
        <v>0</v>
      </c>
      <c r="CZ788" s="824">
        <f t="shared" ca="1" si="604"/>
        <v>0</v>
      </c>
      <c r="DA788" s="824">
        <f t="shared" ca="1" si="604"/>
        <v>0</v>
      </c>
      <c r="DB788" s="824">
        <f t="shared" ca="1" si="604"/>
        <v>0</v>
      </c>
      <c r="DC788" s="824">
        <f t="shared" ca="1" si="604"/>
        <v>0</v>
      </c>
      <c r="DD788" s="824">
        <f t="shared" ca="1" si="604"/>
        <v>0</v>
      </c>
      <c r="DE788" s="824">
        <f t="shared" ca="1" si="604"/>
        <v>0</v>
      </c>
      <c r="DF788" s="824">
        <f t="shared" ca="1" si="604"/>
        <v>0</v>
      </c>
      <c r="DG788" s="824">
        <f t="shared" ca="1" si="604"/>
        <v>0</v>
      </c>
      <c r="DH788" s="824">
        <f t="shared" ca="1" si="604"/>
        <v>0</v>
      </c>
      <c r="DI788" s="824">
        <f t="shared" ca="1" si="604"/>
        <v>0</v>
      </c>
      <c r="DJ788" s="824">
        <f t="shared" ca="1" si="590"/>
        <v>0</v>
      </c>
      <c r="DK788" s="824">
        <f t="shared" ca="1" si="590"/>
        <v>0</v>
      </c>
      <c r="DL788" s="824">
        <f t="shared" ca="1" si="590"/>
        <v>0</v>
      </c>
    </row>
    <row r="789" spans="2:116" ht="12" thickBot="1" x14ac:dyDescent="0.3">
      <c r="B789" s="1673"/>
      <c r="C789" s="1680"/>
      <c r="D789" s="15" t="s">
        <v>31</v>
      </c>
      <c r="E789" s="165"/>
      <c r="F789" s="116">
        <f ca="1">SUBTOTAL(109,'3.4 I&amp;W'!$X$160)</f>
        <v>0</v>
      </c>
      <c r="G789" s="116">
        <f ca="1">SUBTOTAL(109,'3.4 I&amp;W'!$Y$160)</f>
        <v>0</v>
      </c>
      <c r="H789" s="116">
        <f ca="1">SUBTOTAL(109,'3.4 I&amp;W'!$AD$160)</f>
        <v>0</v>
      </c>
      <c r="I789" s="116">
        <f ca="1">SUBTOTAL(109,'3.4 I&amp;W'!$AE$160)</f>
        <v>0</v>
      </c>
      <c r="J789" s="116"/>
      <c r="K789" s="116"/>
      <c r="L789" s="116"/>
      <c r="M789" s="116">
        <f ca="1">SUBTOTAL(109,'3.4 I&amp;W'!$AI$160)</f>
        <v>0</v>
      </c>
      <c r="N789" s="156">
        <f t="shared" ca="1" si="615"/>
        <v>0</v>
      </c>
      <c r="O789" s="116">
        <f ca="1">SUBTOTAL(109,'3.4 I&amp;W'!$S$160)</f>
        <v>0</v>
      </c>
      <c r="P789" s="30">
        <f t="shared" ca="1" si="616"/>
        <v>0</v>
      </c>
      <c r="Q789" s="31">
        <f t="shared" ca="1" si="617"/>
        <v>0</v>
      </c>
      <c r="R789" s="31">
        <f t="shared" ca="1" si="618"/>
        <v>0</v>
      </c>
      <c r="S789" s="31">
        <f t="shared" ca="1" si="619"/>
        <v>0</v>
      </c>
      <c r="T789" s="32">
        <f t="shared" ca="1" si="620"/>
        <v>0</v>
      </c>
      <c r="U789" s="37">
        <f t="shared" ca="1" si="621"/>
        <v>0</v>
      </c>
      <c r="V789" s="40">
        <f t="shared" ca="1" si="622"/>
        <v>0</v>
      </c>
      <c r="W789" s="41">
        <f t="shared" ca="1" si="623"/>
        <v>0</v>
      </c>
      <c r="X789" s="43"/>
      <c r="Y789" s="46"/>
      <c r="Z789" s="126"/>
      <c r="AA789" s="136"/>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824">
        <f t="shared" ca="1" si="612"/>
        <v>0</v>
      </c>
      <c r="BM789" s="824">
        <f t="shared" ca="1" si="613"/>
        <v>0</v>
      </c>
      <c r="BN789" s="824">
        <f t="shared" ca="1" si="614"/>
        <v>0</v>
      </c>
      <c r="BO789" s="824">
        <f t="shared" ca="1" si="602"/>
        <v>0</v>
      </c>
      <c r="BP789" s="824">
        <f t="shared" ca="1" si="602"/>
        <v>0</v>
      </c>
      <c r="BQ789" s="824">
        <f t="shared" ca="1" si="602"/>
        <v>0</v>
      </c>
      <c r="BR789" s="824">
        <f t="shared" ca="1" si="602"/>
        <v>0</v>
      </c>
      <c r="BS789" s="824">
        <f t="shared" ca="1" si="602"/>
        <v>0</v>
      </c>
      <c r="BT789" s="824">
        <f t="shared" ca="1" si="602"/>
        <v>0</v>
      </c>
      <c r="BU789" s="824">
        <f t="shared" ca="1" si="602"/>
        <v>0</v>
      </c>
      <c r="BV789" s="824">
        <f t="shared" ca="1" si="602"/>
        <v>0</v>
      </c>
      <c r="BW789" s="824">
        <f t="shared" ca="1" si="602"/>
        <v>0</v>
      </c>
      <c r="BX789" s="824">
        <f t="shared" ca="1" si="602"/>
        <v>0</v>
      </c>
      <c r="BY789" s="824">
        <f t="shared" ca="1" si="602"/>
        <v>0</v>
      </c>
      <c r="BZ789" s="824">
        <f t="shared" ca="1" si="602"/>
        <v>0</v>
      </c>
      <c r="CA789" s="824">
        <f t="shared" ca="1" si="602"/>
        <v>0</v>
      </c>
      <c r="CB789" s="824">
        <f t="shared" ca="1" si="602"/>
        <v>0</v>
      </c>
      <c r="CC789" s="824">
        <f t="shared" ca="1" si="602"/>
        <v>0</v>
      </c>
      <c r="CD789" s="824">
        <f t="shared" ref="CD789:CS804" ca="1" si="624">IF(OR(IF($BL789*1&lt;$BL$196,$BL789*1=CD$198,FALSE),IF($BL789*2&lt;$BL$196,$BL789*2=CD$198,FALSE),IF($BL789*3&lt;$BL$196,$BL789*3=CD$198,FALSE),IF($BL789*4&lt;$BL$196,$BL789*4=CD$198,FALSE),IF($BL789*5&lt;$BL$196,$BL789*5=CD$198,FALSE)),$BN789*$BM$196^CD$198,0)</f>
        <v>0</v>
      </c>
      <c r="CE789" s="824">
        <f t="shared" ca="1" si="624"/>
        <v>0</v>
      </c>
      <c r="CF789" s="824">
        <f t="shared" ca="1" si="624"/>
        <v>0</v>
      </c>
      <c r="CG789" s="824">
        <f t="shared" ca="1" si="624"/>
        <v>0</v>
      </c>
      <c r="CH789" s="824">
        <f t="shared" ca="1" si="624"/>
        <v>0</v>
      </c>
      <c r="CI789" s="824">
        <f t="shared" ca="1" si="624"/>
        <v>0</v>
      </c>
      <c r="CJ789" s="824">
        <f t="shared" ca="1" si="624"/>
        <v>0</v>
      </c>
      <c r="CK789" s="824">
        <f t="shared" ca="1" si="624"/>
        <v>0</v>
      </c>
      <c r="CL789" s="824">
        <f t="shared" ca="1" si="624"/>
        <v>0</v>
      </c>
      <c r="CM789" s="824">
        <f t="shared" ca="1" si="624"/>
        <v>0</v>
      </c>
      <c r="CN789" s="824">
        <f t="shared" ca="1" si="624"/>
        <v>0</v>
      </c>
      <c r="CO789" s="824">
        <f t="shared" ca="1" si="624"/>
        <v>0</v>
      </c>
      <c r="CP789" s="824">
        <f t="shared" ca="1" si="624"/>
        <v>0</v>
      </c>
      <c r="CQ789" s="824">
        <f t="shared" ca="1" si="624"/>
        <v>0</v>
      </c>
      <c r="CR789" s="824">
        <f t="shared" ca="1" si="624"/>
        <v>0</v>
      </c>
      <c r="CS789" s="824">
        <f t="shared" ca="1" si="624"/>
        <v>0</v>
      </c>
      <c r="CT789" s="824">
        <f t="shared" ca="1" si="604"/>
        <v>0</v>
      </c>
      <c r="CU789" s="824">
        <f t="shared" ca="1" si="604"/>
        <v>0</v>
      </c>
      <c r="CV789" s="824">
        <f t="shared" ca="1" si="604"/>
        <v>0</v>
      </c>
      <c r="CW789" s="824">
        <f t="shared" ca="1" si="604"/>
        <v>0</v>
      </c>
      <c r="CX789" s="824">
        <f t="shared" ca="1" si="604"/>
        <v>0</v>
      </c>
      <c r="CY789" s="824">
        <f t="shared" ca="1" si="604"/>
        <v>0</v>
      </c>
      <c r="CZ789" s="824">
        <f t="shared" ca="1" si="604"/>
        <v>0</v>
      </c>
      <c r="DA789" s="824">
        <f t="shared" ca="1" si="604"/>
        <v>0</v>
      </c>
      <c r="DB789" s="824">
        <f t="shared" ca="1" si="604"/>
        <v>0</v>
      </c>
      <c r="DC789" s="824">
        <f t="shared" ca="1" si="604"/>
        <v>0</v>
      </c>
      <c r="DD789" s="824">
        <f t="shared" ca="1" si="604"/>
        <v>0</v>
      </c>
      <c r="DE789" s="824">
        <f t="shared" ca="1" si="604"/>
        <v>0</v>
      </c>
      <c r="DF789" s="824">
        <f t="shared" ca="1" si="604"/>
        <v>0</v>
      </c>
      <c r="DG789" s="824">
        <f t="shared" ca="1" si="604"/>
        <v>0</v>
      </c>
      <c r="DH789" s="824">
        <f t="shared" ca="1" si="604"/>
        <v>0</v>
      </c>
      <c r="DI789" s="824">
        <f t="shared" ca="1" si="604"/>
        <v>0</v>
      </c>
      <c r="DJ789" s="824">
        <f t="shared" ca="1" si="590"/>
        <v>0</v>
      </c>
      <c r="DK789" s="824">
        <f t="shared" ca="1" si="590"/>
        <v>0</v>
      </c>
      <c r="DL789" s="824">
        <f t="shared" ca="1" si="590"/>
        <v>0</v>
      </c>
    </row>
    <row r="790" spans="2:116" ht="12" thickBot="1" x14ac:dyDescent="0.3">
      <c r="B790" s="1673"/>
      <c r="C790" s="1680"/>
      <c r="D790" s="15" t="s">
        <v>31</v>
      </c>
      <c r="E790" s="116"/>
      <c r="F790" s="116">
        <f ca="1">SUBTOTAL(109,'3.4 I&amp;W'!$X$161)</f>
        <v>0</v>
      </c>
      <c r="G790" s="116">
        <f ca="1">SUBTOTAL(109,'3.4 I&amp;W'!$Y$161)</f>
        <v>0</v>
      </c>
      <c r="H790" s="116">
        <f ca="1">SUBTOTAL(109,'3.4 I&amp;W'!$AD$161)</f>
        <v>0</v>
      </c>
      <c r="I790" s="116">
        <f ca="1">SUBTOTAL(109,'3.4 I&amp;W'!$AE$161)</f>
        <v>0</v>
      </c>
      <c r="J790" s="116"/>
      <c r="K790" s="116"/>
      <c r="L790" s="116"/>
      <c r="M790" s="116">
        <f ca="1">SUBTOTAL(109,'3.4 I&amp;W'!$AI$161)</f>
        <v>0</v>
      </c>
      <c r="N790" s="156">
        <f t="shared" ca="1" si="615"/>
        <v>0</v>
      </c>
      <c r="O790" s="116">
        <f ca="1">SUBTOTAL(109,'3.4 I&amp;W'!$S$161)</f>
        <v>0</v>
      </c>
      <c r="P790" s="30">
        <f t="shared" ca="1" si="605"/>
        <v>0</v>
      </c>
      <c r="Q790" s="31">
        <f t="shared" ca="1" si="606"/>
        <v>0</v>
      </c>
      <c r="R790" s="31">
        <f t="shared" ca="1" si="607"/>
        <v>0</v>
      </c>
      <c r="S790" s="31">
        <f t="shared" ca="1" si="608"/>
        <v>0</v>
      </c>
      <c r="T790" s="32">
        <f t="shared" ca="1" si="609"/>
        <v>0</v>
      </c>
      <c r="U790" s="37">
        <f t="shared" ca="1" si="542"/>
        <v>0</v>
      </c>
      <c r="V790" s="40">
        <f t="shared" ca="1" si="610"/>
        <v>0</v>
      </c>
      <c r="W790" s="41">
        <f t="shared" ca="1" si="611"/>
        <v>0</v>
      </c>
      <c r="X790" s="43"/>
      <c r="Y790" s="46"/>
      <c r="Z790" s="126"/>
      <c r="AA790" s="136"/>
      <c r="AB790" s="3"/>
      <c r="AC790" s="3"/>
      <c r="AD790" s="3"/>
      <c r="AE790" s="94"/>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824">
        <f t="shared" ca="1" si="612"/>
        <v>0</v>
      </c>
      <c r="BM790" s="824">
        <f t="shared" ca="1" si="613"/>
        <v>0</v>
      </c>
      <c r="BN790" s="824">
        <f t="shared" ca="1" si="614"/>
        <v>0</v>
      </c>
      <c r="BO790" s="824">
        <f t="shared" ref="BO790:CD805" ca="1" si="625">IF(OR(IF($BL790*1&lt;$BL$196,$BL790*1=BO$198,FALSE),IF($BL790*2&lt;$BL$196,$BL790*2=BO$198,FALSE),IF($BL790*3&lt;$BL$196,$BL790*3=BO$198,FALSE),IF($BL790*4&lt;$BL$196,$BL790*4=BO$198,FALSE),IF($BL790*5&lt;$BL$196,$BL790*5=BO$198,FALSE)),$BN790*$BM$196^BO$198,0)</f>
        <v>0</v>
      </c>
      <c r="BP790" s="824">
        <f t="shared" ca="1" si="625"/>
        <v>0</v>
      </c>
      <c r="BQ790" s="824">
        <f t="shared" ca="1" si="625"/>
        <v>0</v>
      </c>
      <c r="BR790" s="824">
        <f t="shared" ca="1" si="625"/>
        <v>0</v>
      </c>
      <c r="BS790" s="824">
        <f t="shared" ca="1" si="625"/>
        <v>0</v>
      </c>
      <c r="BT790" s="824">
        <f t="shared" ca="1" si="625"/>
        <v>0</v>
      </c>
      <c r="BU790" s="824">
        <f t="shared" ca="1" si="625"/>
        <v>0</v>
      </c>
      <c r="BV790" s="824">
        <f t="shared" ca="1" si="625"/>
        <v>0</v>
      </c>
      <c r="BW790" s="824">
        <f t="shared" ca="1" si="625"/>
        <v>0</v>
      </c>
      <c r="BX790" s="824">
        <f t="shared" ca="1" si="625"/>
        <v>0</v>
      </c>
      <c r="BY790" s="824">
        <f t="shared" ca="1" si="625"/>
        <v>0</v>
      </c>
      <c r="BZ790" s="824">
        <f t="shared" ca="1" si="625"/>
        <v>0</v>
      </c>
      <c r="CA790" s="824">
        <f t="shared" ca="1" si="625"/>
        <v>0</v>
      </c>
      <c r="CB790" s="824">
        <f t="shared" ca="1" si="625"/>
        <v>0</v>
      </c>
      <c r="CC790" s="824">
        <f t="shared" ca="1" si="625"/>
        <v>0</v>
      </c>
      <c r="CD790" s="824">
        <f t="shared" ca="1" si="625"/>
        <v>0</v>
      </c>
      <c r="CE790" s="824">
        <f t="shared" ca="1" si="624"/>
        <v>0</v>
      </c>
      <c r="CF790" s="824">
        <f t="shared" ca="1" si="624"/>
        <v>0</v>
      </c>
      <c r="CG790" s="824">
        <f t="shared" ca="1" si="624"/>
        <v>0</v>
      </c>
      <c r="CH790" s="824">
        <f t="shared" ca="1" si="624"/>
        <v>0</v>
      </c>
      <c r="CI790" s="824">
        <f t="shared" ca="1" si="624"/>
        <v>0</v>
      </c>
      <c r="CJ790" s="824">
        <f t="shared" ca="1" si="624"/>
        <v>0</v>
      </c>
      <c r="CK790" s="824">
        <f t="shared" ca="1" si="624"/>
        <v>0</v>
      </c>
      <c r="CL790" s="824">
        <f t="shared" ca="1" si="624"/>
        <v>0</v>
      </c>
      <c r="CM790" s="824">
        <f t="shared" ca="1" si="624"/>
        <v>0</v>
      </c>
      <c r="CN790" s="824">
        <f t="shared" ca="1" si="624"/>
        <v>0</v>
      </c>
      <c r="CO790" s="824">
        <f t="shared" ca="1" si="624"/>
        <v>0</v>
      </c>
      <c r="CP790" s="824">
        <f t="shared" ca="1" si="624"/>
        <v>0</v>
      </c>
      <c r="CQ790" s="824">
        <f t="shared" ca="1" si="624"/>
        <v>0</v>
      </c>
      <c r="CR790" s="824">
        <f t="shared" ca="1" si="624"/>
        <v>0</v>
      </c>
      <c r="CS790" s="824">
        <f t="shared" ca="1" si="624"/>
        <v>0</v>
      </c>
      <c r="CT790" s="824">
        <f t="shared" ca="1" si="604"/>
        <v>0</v>
      </c>
      <c r="CU790" s="824">
        <f t="shared" ca="1" si="604"/>
        <v>0</v>
      </c>
      <c r="CV790" s="824">
        <f t="shared" ca="1" si="604"/>
        <v>0</v>
      </c>
      <c r="CW790" s="824">
        <f t="shared" ca="1" si="604"/>
        <v>0</v>
      </c>
      <c r="CX790" s="824">
        <f t="shared" ca="1" si="604"/>
        <v>0</v>
      </c>
      <c r="CY790" s="824">
        <f t="shared" ca="1" si="604"/>
        <v>0</v>
      </c>
      <c r="CZ790" s="824">
        <f t="shared" ca="1" si="604"/>
        <v>0</v>
      </c>
      <c r="DA790" s="824">
        <f t="shared" ca="1" si="604"/>
        <v>0</v>
      </c>
      <c r="DB790" s="824">
        <f t="shared" ca="1" si="604"/>
        <v>0</v>
      </c>
      <c r="DC790" s="824">
        <f t="shared" ca="1" si="604"/>
        <v>0</v>
      </c>
      <c r="DD790" s="824">
        <f t="shared" ca="1" si="604"/>
        <v>0</v>
      </c>
      <c r="DE790" s="824">
        <f t="shared" ca="1" si="604"/>
        <v>0</v>
      </c>
      <c r="DF790" s="824">
        <f t="shared" ca="1" si="604"/>
        <v>0</v>
      </c>
      <c r="DG790" s="824">
        <f t="shared" ca="1" si="604"/>
        <v>0</v>
      </c>
      <c r="DH790" s="824">
        <f t="shared" ca="1" si="604"/>
        <v>0</v>
      </c>
      <c r="DI790" s="824">
        <f t="shared" ref="DI790" ca="1" si="626">IF(OR(IF($BL790*1&lt;$BL$196,$BL790*1=DI$198,FALSE),IF($BL790*2&lt;$BL$196,$BL790*2=DI$198,FALSE),IF($BL790*3&lt;$BL$196,$BL790*3=DI$198,FALSE),IF($BL790*4&lt;$BL$196,$BL790*4=DI$198,FALSE),IF($BL790*5&lt;$BL$196,$BL790*5=DI$198,FALSE)),$BN790*$BM$196^DI$198,0)</f>
        <v>0</v>
      </c>
      <c r="DJ790" s="824">
        <f t="shared" ca="1" si="590"/>
        <v>0</v>
      </c>
      <c r="DK790" s="824">
        <f t="shared" ca="1" si="590"/>
        <v>0</v>
      </c>
      <c r="DL790" s="824">
        <f t="shared" ca="1" si="590"/>
        <v>0</v>
      </c>
    </row>
    <row r="791" spans="2:116" ht="12" thickBot="1" x14ac:dyDescent="0.3">
      <c r="B791" s="1673"/>
      <c r="C791" s="1680"/>
      <c r="D791" s="15" t="s">
        <v>29</v>
      </c>
      <c r="E791" s="165"/>
      <c r="F791" s="116">
        <f ca="1">SUBTOTAL(109,'3.4 I&amp;W'!$X$163)</f>
        <v>0</v>
      </c>
      <c r="G791" s="116">
        <f ca="1">SUBTOTAL(109,'3.4 I&amp;W'!$Y$163)</f>
        <v>0</v>
      </c>
      <c r="H791" s="116">
        <f ca="1">SUBTOTAL(109,'3.4 I&amp;W'!$AD$163)</f>
        <v>0</v>
      </c>
      <c r="I791" s="116">
        <f ca="1">SUBTOTAL(109,'3.4 I&amp;W'!$AE$163)</f>
        <v>0</v>
      </c>
      <c r="J791" s="116"/>
      <c r="K791" s="116"/>
      <c r="L791" s="116"/>
      <c r="M791" s="116">
        <f ca="1">SUBTOTAL(109,'3.4 I&amp;W'!$AI$163)</f>
        <v>0</v>
      </c>
      <c r="N791" s="156">
        <f t="shared" ca="1" si="615"/>
        <v>0</v>
      </c>
      <c r="O791" s="116">
        <f ca="1">SUBTOTAL(109,'3.4 I&amp;W'!$S$163)</f>
        <v>0</v>
      </c>
      <c r="P791" s="30">
        <f t="shared" ca="1" si="605"/>
        <v>0</v>
      </c>
      <c r="Q791" s="31">
        <f t="shared" ca="1" si="606"/>
        <v>0</v>
      </c>
      <c r="R791" s="31">
        <f t="shared" ca="1" si="607"/>
        <v>0</v>
      </c>
      <c r="S791" s="31">
        <f t="shared" ca="1" si="608"/>
        <v>0</v>
      </c>
      <c r="T791" s="32">
        <f t="shared" ca="1" si="609"/>
        <v>0</v>
      </c>
      <c r="U791" s="37">
        <f t="shared" ca="1" si="542"/>
        <v>0</v>
      </c>
      <c r="V791" s="40">
        <f t="shared" ca="1" si="610"/>
        <v>0</v>
      </c>
      <c r="W791" s="41">
        <f t="shared" ca="1" si="611"/>
        <v>0</v>
      </c>
      <c r="X791" s="43"/>
      <c r="Y791" s="46"/>
      <c r="Z791" s="126"/>
      <c r="AA791" s="136"/>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824">
        <f t="shared" ca="1" si="612"/>
        <v>0</v>
      </c>
      <c r="BM791" s="824">
        <f t="shared" ca="1" si="613"/>
        <v>0</v>
      </c>
      <c r="BN791" s="824">
        <f t="shared" ca="1" si="614"/>
        <v>0</v>
      </c>
      <c r="BO791" s="824">
        <f t="shared" ca="1" si="625"/>
        <v>0</v>
      </c>
      <c r="BP791" s="824">
        <f t="shared" ca="1" si="625"/>
        <v>0</v>
      </c>
      <c r="BQ791" s="824">
        <f t="shared" ca="1" si="625"/>
        <v>0</v>
      </c>
      <c r="BR791" s="824">
        <f t="shared" ca="1" si="625"/>
        <v>0</v>
      </c>
      <c r="BS791" s="824">
        <f t="shared" ca="1" si="625"/>
        <v>0</v>
      </c>
      <c r="BT791" s="824">
        <f t="shared" ca="1" si="625"/>
        <v>0</v>
      </c>
      <c r="BU791" s="824">
        <f t="shared" ca="1" si="625"/>
        <v>0</v>
      </c>
      <c r="BV791" s="824">
        <f t="shared" ca="1" si="625"/>
        <v>0</v>
      </c>
      <c r="BW791" s="824">
        <f t="shared" ca="1" si="625"/>
        <v>0</v>
      </c>
      <c r="BX791" s="824">
        <f t="shared" ca="1" si="625"/>
        <v>0</v>
      </c>
      <c r="BY791" s="824">
        <f t="shared" ca="1" si="625"/>
        <v>0</v>
      </c>
      <c r="BZ791" s="824">
        <f t="shared" ca="1" si="625"/>
        <v>0</v>
      </c>
      <c r="CA791" s="824">
        <f t="shared" ca="1" si="625"/>
        <v>0</v>
      </c>
      <c r="CB791" s="824">
        <f t="shared" ca="1" si="625"/>
        <v>0</v>
      </c>
      <c r="CC791" s="824">
        <f t="shared" ca="1" si="625"/>
        <v>0</v>
      </c>
      <c r="CD791" s="824">
        <f t="shared" ca="1" si="625"/>
        <v>0</v>
      </c>
      <c r="CE791" s="824">
        <f t="shared" ca="1" si="624"/>
        <v>0</v>
      </c>
      <c r="CF791" s="824">
        <f t="shared" ca="1" si="624"/>
        <v>0</v>
      </c>
      <c r="CG791" s="824">
        <f t="shared" ca="1" si="624"/>
        <v>0</v>
      </c>
      <c r="CH791" s="824">
        <f t="shared" ca="1" si="624"/>
        <v>0</v>
      </c>
      <c r="CI791" s="824">
        <f t="shared" ca="1" si="624"/>
        <v>0</v>
      </c>
      <c r="CJ791" s="824">
        <f t="shared" ca="1" si="624"/>
        <v>0</v>
      </c>
      <c r="CK791" s="824">
        <f t="shared" ca="1" si="624"/>
        <v>0</v>
      </c>
      <c r="CL791" s="824">
        <f t="shared" ca="1" si="624"/>
        <v>0</v>
      </c>
      <c r="CM791" s="824">
        <f t="shared" ca="1" si="624"/>
        <v>0</v>
      </c>
      <c r="CN791" s="824">
        <f t="shared" ca="1" si="624"/>
        <v>0</v>
      </c>
      <c r="CO791" s="824">
        <f t="shared" ca="1" si="624"/>
        <v>0</v>
      </c>
      <c r="CP791" s="824">
        <f t="shared" ca="1" si="624"/>
        <v>0</v>
      </c>
      <c r="CQ791" s="824">
        <f t="shared" ca="1" si="624"/>
        <v>0</v>
      </c>
      <c r="CR791" s="824">
        <f t="shared" ca="1" si="624"/>
        <v>0</v>
      </c>
      <c r="CS791" s="824">
        <f t="shared" ca="1" si="624"/>
        <v>0</v>
      </c>
      <c r="CT791" s="824">
        <f t="shared" ref="CT791:DI806" ca="1" si="627">IF(OR(IF($BL791*1&lt;$BL$196,$BL791*1=CT$198,FALSE),IF($BL791*2&lt;$BL$196,$BL791*2=CT$198,FALSE),IF($BL791*3&lt;$BL$196,$BL791*3=CT$198,FALSE),IF($BL791*4&lt;$BL$196,$BL791*4=CT$198,FALSE),IF($BL791*5&lt;$BL$196,$BL791*5=CT$198,FALSE)),$BN791*$BM$196^CT$198,0)</f>
        <v>0</v>
      </c>
      <c r="CU791" s="824">
        <f t="shared" ca="1" si="627"/>
        <v>0</v>
      </c>
      <c r="CV791" s="824">
        <f t="shared" ca="1" si="627"/>
        <v>0</v>
      </c>
      <c r="CW791" s="824">
        <f t="shared" ca="1" si="627"/>
        <v>0</v>
      </c>
      <c r="CX791" s="824">
        <f t="shared" ca="1" si="627"/>
        <v>0</v>
      </c>
      <c r="CY791" s="824">
        <f t="shared" ca="1" si="627"/>
        <v>0</v>
      </c>
      <c r="CZ791" s="824">
        <f t="shared" ca="1" si="627"/>
        <v>0</v>
      </c>
      <c r="DA791" s="824">
        <f t="shared" ca="1" si="627"/>
        <v>0</v>
      </c>
      <c r="DB791" s="824">
        <f t="shared" ca="1" si="627"/>
        <v>0</v>
      </c>
      <c r="DC791" s="824">
        <f t="shared" ca="1" si="627"/>
        <v>0</v>
      </c>
      <c r="DD791" s="824">
        <f t="shared" ca="1" si="627"/>
        <v>0</v>
      </c>
      <c r="DE791" s="824">
        <f t="shared" ca="1" si="627"/>
        <v>0</v>
      </c>
      <c r="DF791" s="824">
        <f t="shared" ca="1" si="627"/>
        <v>0</v>
      </c>
      <c r="DG791" s="824">
        <f t="shared" ca="1" si="627"/>
        <v>0</v>
      </c>
      <c r="DH791" s="824">
        <f t="shared" ca="1" si="627"/>
        <v>0</v>
      </c>
      <c r="DI791" s="824">
        <f t="shared" ca="1" si="627"/>
        <v>0</v>
      </c>
      <c r="DJ791" s="824">
        <f t="shared" ca="1" si="590"/>
        <v>0</v>
      </c>
      <c r="DK791" s="824">
        <f t="shared" ca="1" si="590"/>
        <v>0</v>
      </c>
      <c r="DL791" s="824">
        <f t="shared" ca="1" si="590"/>
        <v>0</v>
      </c>
    </row>
    <row r="792" spans="2:116" ht="12" thickBot="1" x14ac:dyDescent="0.3">
      <c r="B792" s="1673"/>
      <c r="C792" s="1680"/>
      <c r="D792" s="15" t="s">
        <v>25</v>
      </c>
      <c r="E792" s="116"/>
      <c r="F792" s="116">
        <f ca="1">SUBTOTAL(109,'3.4 I&amp;W'!$X$167)</f>
        <v>0</v>
      </c>
      <c r="G792" s="116">
        <f ca="1">SUBTOTAL(109,'3.4 I&amp;W'!$Y$167)</f>
        <v>0</v>
      </c>
      <c r="H792" s="116">
        <f ca="1">SUBTOTAL(109,'3.4 I&amp;W'!$AD$167)</f>
        <v>0</v>
      </c>
      <c r="I792" s="116">
        <f ca="1">SUBTOTAL(109,'3.4 I&amp;W'!$AE$167)</f>
        <v>0</v>
      </c>
      <c r="J792" s="116"/>
      <c r="K792" s="116"/>
      <c r="L792" s="116"/>
      <c r="M792" s="116">
        <f ca="1">SUBTOTAL(109,'3.4 I&amp;W'!$AI$167)</f>
        <v>0</v>
      </c>
      <c r="N792" s="156">
        <f t="shared" ca="1" si="615"/>
        <v>0</v>
      </c>
      <c r="O792" s="116">
        <f ca="1">SUBTOTAL(109,'3.4 I&amp;W'!$S$167)</f>
        <v>0</v>
      </c>
      <c r="P792" s="30">
        <f t="shared" ca="1" si="605"/>
        <v>0</v>
      </c>
      <c r="Q792" s="31">
        <f t="shared" ca="1" si="606"/>
        <v>0</v>
      </c>
      <c r="R792" s="31">
        <f t="shared" ca="1" si="607"/>
        <v>0</v>
      </c>
      <c r="S792" s="31">
        <f t="shared" ca="1" si="608"/>
        <v>0</v>
      </c>
      <c r="T792" s="32">
        <f t="shared" ca="1" si="609"/>
        <v>0</v>
      </c>
      <c r="U792" s="37">
        <f t="shared" ca="1" si="542"/>
        <v>0</v>
      </c>
      <c r="V792" s="40">
        <f t="shared" ca="1" si="610"/>
        <v>0</v>
      </c>
      <c r="W792" s="41">
        <f t="shared" ca="1" si="611"/>
        <v>0</v>
      </c>
      <c r="X792" s="43"/>
      <c r="Y792" s="46"/>
      <c r="Z792" s="126"/>
      <c r="AA792" s="136"/>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824">
        <f t="shared" ca="1" si="612"/>
        <v>0</v>
      </c>
      <c r="BM792" s="824">
        <f t="shared" ca="1" si="613"/>
        <v>0</v>
      </c>
      <c r="BN792" s="824">
        <f t="shared" ca="1" si="614"/>
        <v>0</v>
      </c>
      <c r="BO792" s="824">
        <f t="shared" ca="1" si="625"/>
        <v>0</v>
      </c>
      <c r="BP792" s="824">
        <f t="shared" ca="1" si="625"/>
        <v>0</v>
      </c>
      <c r="BQ792" s="824">
        <f t="shared" ca="1" si="625"/>
        <v>0</v>
      </c>
      <c r="BR792" s="824">
        <f t="shared" ca="1" si="625"/>
        <v>0</v>
      </c>
      <c r="BS792" s="824">
        <f t="shared" ca="1" si="625"/>
        <v>0</v>
      </c>
      <c r="BT792" s="824">
        <f t="shared" ca="1" si="625"/>
        <v>0</v>
      </c>
      <c r="BU792" s="824">
        <f t="shared" ca="1" si="625"/>
        <v>0</v>
      </c>
      <c r="BV792" s="824">
        <f t="shared" ca="1" si="625"/>
        <v>0</v>
      </c>
      <c r="BW792" s="824">
        <f t="shared" ca="1" si="625"/>
        <v>0</v>
      </c>
      <c r="BX792" s="824">
        <f t="shared" ca="1" si="625"/>
        <v>0</v>
      </c>
      <c r="BY792" s="824">
        <f t="shared" ca="1" si="625"/>
        <v>0</v>
      </c>
      <c r="BZ792" s="824">
        <f t="shared" ca="1" si="625"/>
        <v>0</v>
      </c>
      <c r="CA792" s="824">
        <f t="shared" ca="1" si="625"/>
        <v>0</v>
      </c>
      <c r="CB792" s="824">
        <f t="shared" ca="1" si="625"/>
        <v>0</v>
      </c>
      <c r="CC792" s="824">
        <f t="shared" ca="1" si="625"/>
        <v>0</v>
      </c>
      <c r="CD792" s="824">
        <f t="shared" ca="1" si="625"/>
        <v>0</v>
      </c>
      <c r="CE792" s="824">
        <f t="shared" ca="1" si="624"/>
        <v>0</v>
      </c>
      <c r="CF792" s="824">
        <f t="shared" ca="1" si="624"/>
        <v>0</v>
      </c>
      <c r="CG792" s="824">
        <f t="shared" ca="1" si="624"/>
        <v>0</v>
      </c>
      <c r="CH792" s="824">
        <f t="shared" ca="1" si="624"/>
        <v>0</v>
      </c>
      <c r="CI792" s="824">
        <f t="shared" ca="1" si="624"/>
        <v>0</v>
      </c>
      <c r="CJ792" s="824">
        <f t="shared" ca="1" si="624"/>
        <v>0</v>
      </c>
      <c r="CK792" s="824">
        <f t="shared" ca="1" si="624"/>
        <v>0</v>
      </c>
      <c r="CL792" s="824">
        <f t="shared" ca="1" si="624"/>
        <v>0</v>
      </c>
      <c r="CM792" s="824">
        <f t="shared" ca="1" si="624"/>
        <v>0</v>
      </c>
      <c r="CN792" s="824">
        <f t="shared" ca="1" si="624"/>
        <v>0</v>
      </c>
      <c r="CO792" s="824">
        <f t="shared" ca="1" si="624"/>
        <v>0</v>
      </c>
      <c r="CP792" s="824">
        <f t="shared" ca="1" si="624"/>
        <v>0</v>
      </c>
      <c r="CQ792" s="824">
        <f t="shared" ca="1" si="624"/>
        <v>0</v>
      </c>
      <c r="CR792" s="824">
        <f t="shared" ca="1" si="624"/>
        <v>0</v>
      </c>
      <c r="CS792" s="824">
        <f t="shared" ca="1" si="624"/>
        <v>0</v>
      </c>
      <c r="CT792" s="824">
        <f t="shared" ca="1" si="627"/>
        <v>0</v>
      </c>
      <c r="CU792" s="824">
        <f t="shared" ca="1" si="627"/>
        <v>0</v>
      </c>
      <c r="CV792" s="824">
        <f t="shared" ca="1" si="627"/>
        <v>0</v>
      </c>
      <c r="CW792" s="824">
        <f t="shared" ca="1" si="627"/>
        <v>0</v>
      </c>
      <c r="CX792" s="824">
        <f t="shared" ca="1" si="627"/>
        <v>0</v>
      </c>
      <c r="CY792" s="824">
        <f t="shared" ca="1" si="627"/>
        <v>0</v>
      </c>
      <c r="CZ792" s="824">
        <f t="shared" ca="1" si="627"/>
        <v>0</v>
      </c>
      <c r="DA792" s="824">
        <f t="shared" ca="1" si="627"/>
        <v>0</v>
      </c>
      <c r="DB792" s="824">
        <f t="shared" ca="1" si="627"/>
        <v>0</v>
      </c>
      <c r="DC792" s="824">
        <f t="shared" ca="1" si="627"/>
        <v>0</v>
      </c>
      <c r="DD792" s="824">
        <f t="shared" ca="1" si="627"/>
        <v>0</v>
      </c>
      <c r="DE792" s="824">
        <f t="shared" ca="1" si="627"/>
        <v>0</v>
      </c>
      <c r="DF792" s="824">
        <f t="shared" ca="1" si="627"/>
        <v>0</v>
      </c>
      <c r="DG792" s="824">
        <f t="shared" ca="1" si="627"/>
        <v>0</v>
      </c>
      <c r="DH792" s="824">
        <f t="shared" ca="1" si="627"/>
        <v>0</v>
      </c>
      <c r="DI792" s="824">
        <f t="shared" ca="1" si="627"/>
        <v>0</v>
      </c>
      <c r="DJ792" s="824">
        <f t="shared" ca="1" si="590"/>
        <v>0</v>
      </c>
      <c r="DK792" s="824">
        <f t="shared" ca="1" si="590"/>
        <v>0</v>
      </c>
      <c r="DL792" s="824">
        <f t="shared" ca="1" si="590"/>
        <v>0</v>
      </c>
    </row>
    <row r="793" spans="2:116" ht="12" thickBot="1" x14ac:dyDescent="0.3">
      <c r="B793" s="1673"/>
      <c r="C793" s="1680"/>
      <c r="D793" s="15" t="s">
        <v>25</v>
      </c>
      <c r="E793" s="165"/>
      <c r="F793" s="116">
        <f ca="1">SUBTOTAL(109,'3.4 I&amp;W'!$X$168)</f>
        <v>0</v>
      </c>
      <c r="G793" s="116">
        <f ca="1">SUBTOTAL(109,'3.4 I&amp;W'!$Y$168)</f>
        <v>0</v>
      </c>
      <c r="H793" s="116">
        <f ca="1">SUBTOTAL(109,'3.4 I&amp;W'!$AD$168)</f>
        <v>0</v>
      </c>
      <c r="I793" s="116">
        <f ca="1">SUBTOTAL(109,'3.4 I&amp;W'!$AE$168)</f>
        <v>0</v>
      </c>
      <c r="J793" s="116"/>
      <c r="K793" s="116"/>
      <c r="L793" s="116"/>
      <c r="M793" s="116">
        <f ca="1">SUBTOTAL(109,'3.4 I&amp;W'!$AI$168)</f>
        <v>0</v>
      </c>
      <c r="N793" s="156">
        <f t="shared" ca="1" si="615"/>
        <v>0</v>
      </c>
      <c r="O793" s="116">
        <f ca="1">SUBTOTAL(109,'3.4 I&amp;W'!$S$168)</f>
        <v>0</v>
      </c>
      <c r="P793" s="30">
        <f t="shared" ca="1" si="605"/>
        <v>0</v>
      </c>
      <c r="Q793" s="31">
        <f t="shared" ca="1" si="606"/>
        <v>0</v>
      </c>
      <c r="R793" s="31">
        <f t="shared" ca="1" si="607"/>
        <v>0</v>
      </c>
      <c r="S793" s="31">
        <f t="shared" ca="1" si="608"/>
        <v>0</v>
      </c>
      <c r="T793" s="32">
        <f t="shared" ca="1" si="609"/>
        <v>0</v>
      </c>
      <c r="U793" s="37">
        <f t="shared" ca="1" si="542"/>
        <v>0</v>
      </c>
      <c r="V793" s="40">
        <f t="shared" ca="1" si="610"/>
        <v>0</v>
      </c>
      <c r="W793" s="41">
        <f t="shared" ca="1" si="611"/>
        <v>0</v>
      </c>
      <c r="X793" s="43"/>
      <c r="Y793" s="46"/>
      <c r="Z793" s="126"/>
      <c r="AA793" s="136"/>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824">
        <f t="shared" ca="1" si="612"/>
        <v>0</v>
      </c>
      <c r="BM793" s="824">
        <f t="shared" ca="1" si="613"/>
        <v>0</v>
      </c>
      <c r="BN793" s="824">
        <f t="shared" ca="1" si="614"/>
        <v>0</v>
      </c>
      <c r="BO793" s="824">
        <f t="shared" ca="1" si="625"/>
        <v>0</v>
      </c>
      <c r="BP793" s="824">
        <f t="shared" ca="1" si="625"/>
        <v>0</v>
      </c>
      <c r="BQ793" s="824">
        <f t="shared" ca="1" si="625"/>
        <v>0</v>
      </c>
      <c r="BR793" s="824">
        <f t="shared" ca="1" si="625"/>
        <v>0</v>
      </c>
      <c r="BS793" s="824">
        <f t="shared" ca="1" si="625"/>
        <v>0</v>
      </c>
      <c r="BT793" s="824">
        <f t="shared" ca="1" si="625"/>
        <v>0</v>
      </c>
      <c r="BU793" s="824">
        <f t="shared" ca="1" si="625"/>
        <v>0</v>
      </c>
      <c r="BV793" s="824">
        <f t="shared" ca="1" si="625"/>
        <v>0</v>
      </c>
      <c r="BW793" s="824">
        <f t="shared" ca="1" si="625"/>
        <v>0</v>
      </c>
      <c r="BX793" s="824">
        <f t="shared" ca="1" si="625"/>
        <v>0</v>
      </c>
      <c r="BY793" s="824">
        <f t="shared" ca="1" si="625"/>
        <v>0</v>
      </c>
      <c r="BZ793" s="824">
        <f t="shared" ca="1" si="625"/>
        <v>0</v>
      </c>
      <c r="CA793" s="824">
        <f t="shared" ca="1" si="625"/>
        <v>0</v>
      </c>
      <c r="CB793" s="824">
        <f t="shared" ca="1" si="625"/>
        <v>0</v>
      </c>
      <c r="CC793" s="824">
        <f t="shared" ca="1" si="625"/>
        <v>0</v>
      </c>
      <c r="CD793" s="824">
        <f t="shared" ca="1" si="625"/>
        <v>0</v>
      </c>
      <c r="CE793" s="824">
        <f t="shared" ca="1" si="624"/>
        <v>0</v>
      </c>
      <c r="CF793" s="824">
        <f t="shared" ca="1" si="624"/>
        <v>0</v>
      </c>
      <c r="CG793" s="824">
        <f t="shared" ca="1" si="624"/>
        <v>0</v>
      </c>
      <c r="CH793" s="824">
        <f t="shared" ca="1" si="624"/>
        <v>0</v>
      </c>
      <c r="CI793" s="824">
        <f t="shared" ca="1" si="624"/>
        <v>0</v>
      </c>
      <c r="CJ793" s="824">
        <f t="shared" ca="1" si="624"/>
        <v>0</v>
      </c>
      <c r="CK793" s="824">
        <f t="shared" ca="1" si="624"/>
        <v>0</v>
      </c>
      <c r="CL793" s="824">
        <f t="shared" ca="1" si="624"/>
        <v>0</v>
      </c>
      <c r="CM793" s="824">
        <f t="shared" ca="1" si="624"/>
        <v>0</v>
      </c>
      <c r="CN793" s="824">
        <f t="shared" ca="1" si="624"/>
        <v>0</v>
      </c>
      <c r="CO793" s="824">
        <f t="shared" ca="1" si="624"/>
        <v>0</v>
      </c>
      <c r="CP793" s="824">
        <f t="shared" ca="1" si="624"/>
        <v>0</v>
      </c>
      <c r="CQ793" s="824">
        <f t="shared" ca="1" si="624"/>
        <v>0</v>
      </c>
      <c r="CR793" s="824">
        <f t="shared" ca="1" si="624"/>
        <v>0</v>
      </c>
      <c r="CS793" s="824">
        <f t="shared" ca="1" si="624"/>
        <v>0</v>
      </c>
      <c r="CT793" s="824">
        <f t="shared" ca="1" si="627"/>
        <v>0</v>
      </c>
      <c r="CU793" s="824">
        <f t="shared" ca="1" si="627"/>
        <v>0</v>
      </c>
      <c r="CV793" s="824">
        <f t="shared" ca="1" si="627"/>
        <v>0</v>
      </c>
      <c r="CW793" s="824">
        <f t="shared" ca="1" si="627"/>
        <v>0</v>
      </c>
      <c r="CX793" s="824">
        <f t="shared" ca="1" si="627"/>
        <v>0</v>
      </c>
      <c r="CY793" s="824">
        <f t="shared" ca="1" si="627"/>
        <v>0</v>
      </c>
      <c r="CZ793" s="824">
        <f t="shared" ca="1" si="627"/>
        <v>0</v>
      </c>
      <c r="DA793" s="824">
        <f t="shared" ca="1" si="627"/>
        <v>0</v>
      </c>
      <c r="DB793" s="824">
        <f t="shared" ca="1" si="627"/>
        <v>0</v>
      </c>
      <c r="DC793" s="824">
        <f t="shared" ca="1" si="627"/>
        <v>0</v>
      </c>
      <c r="DD793" s="824">
        <f t="shared" ca="1" si="627"/>
        <v>0</v>
      </c>
      <c r="DE793" s="824">
        <f t="shared" ca="1" si="627"/>
        <v>0</v>
      </c>
      <c r="DF793" s="824">
        <f t="shared" ca="1" si="627"/>
        <v>0</v>
      </c>
      <c r="DG793" s="824">
        <f t="shared" ca="1" si="627"/>
        <v>0</v>
      </c>
      <c r="DH793" s="824">
        <f t="shared" ca="1" si="627"/>
        <v>0</v>
      </c>
      <c r="DI793" s="824">
        <f t="shared" ca="1" si="627"/>
        <v>0</v>
      </c>
      <c r="DJ793" s="824">
        <f t="shared" ca="1" si="590"/>
        <v>0</v>
      </c>
      <c r="DK793" s="824">
        <f t="shared" ca="1" si="590"/>
        <v>0</v>
      </c>
      <c r="DL793" s="824">
        <f t="shared" ca="1" si="590"/>
        <v>0</v>
      </c>
    </row>
    <row r="794" spans="2:116" ht="12" thickBot="1" x14ac:dyDescent="0.3">
      <c r="B794" s="1673"/>
      <c r="C794" s="1680"/>
      <c r="D794" s="15" t="s">
        <v>25</v>
      </c>
      <c r="E794" s="116"/>
      <c r="F794" s="116">
        <f ca="1">SUBTOTAL(109,'3.4 I&amp;W'!$X$169)</f>
        <v>0</v>
      </c>
      <c r="G794" s="116">
        <f ca="1">SUBTOTAL(109,'3.4 I&amp;W'!$Y$169)</f>
        <v>0</v>
      </c>
      <c r="H794" s="116">
        <f ca="1">SUBTOTAL(109,'3.4 I&amp;W'!$AD$169)</f>
        <v>0</v>
      </c>
      <c r="I794" s="116">
        <f ca="1">SUBTOTAL(109,'3.4 I&amp;W'!$AE$169)</f>
        <v>0</v>
      </c>
      <c r="J794" s="116"/>
      <c r="K794" s="116"/>
      <c r="L794" s="116"/>
      <c r="M794" s="116">
        <f ca="1">SUBTOTAL(109,'3.4 I&amp;W'!$AI$169)</f>
        <v>0</v>
      </c>
      <c r="N794" s="156">
        <f t="shared" ca="1" si="615"/>
        <v>0</v>
      </c>
      <c r="O794" s="116">
        <f ca="1">SUBTOTAL(109,'3.4 I&amp;W'!$S$169)</f>
        <v>0</v>
      </c>
      <c r="P794" s="30">
        <f t="shared" ca="1" si="605"/>
        <v>0</v>
      </c>
      <c r="Q794" s="31">
        <f t="shared" ca="1" si="606"/>
        <v>0</v>
      </c>
      <c r="R794" s="31">
        <f t="shared" ca="1" si="607"/>
        <v>0</v>
      </c>
      <c r="S794" s="31">
        <f t="shared" ca="1" si="608"/>
        <v>0</v>
      </c>
      <c r="T794" s="32">
        <f t="shared" ca="1" si="609"/>
        <v>0</v>
      </c>
      <c r="U794" s="37">
        <f t="shared" ca="1" si="542"/>
        <v>0</v>
      </c>
      <c r="V794" s="40">
        <f t="shared" ca="1" si="610"/>
        <v>0</v>
      </c>
      <c r="W794" s="41">
        <f t="shared" ca="1" si="611"/>
        <v>0</v>
      </c>
      <c r="X794" s="43"/>
      <c r="Y794" s="46"/>
      <c r="Z794" s="126"/>
      <c r="AA794" s="136"/>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824">
        <f t="shared" ca="1" si="612"/>
        <v>0</v>
      </c>
      <c r="BM794" s="824">
        <f t="shared" ca="1" si="613"/>
        <v>0</v>
      </c>
      <c r="BN794" s="824">
        <f t="shared" ca="1" si="614"/>
        <v>0</v>
      </c>
      <c r="BO794" s="824">
        <f t="shared" ca="1" si="625"/>
        <v>0</v>
      </c>
      <c r="BP794" s="824">
        <f t="shared" ca="1" si="625"/>
        <v>0</v>
      </c>
      <c r="BQ794" s="824">
        <f t="shared" ca="1" si="625"/>
        <v>0</v>
      </c>
      <c r="BR794" s="824">
        <f t="shared" ca="1" si="625"/>
        <v>0</v>
      </c>
      <c r="BS794" s="824">
        <f t="shared" ca="1" si="625"/>
        <v>0</v>
      </c>
      <c r="BT794" s="824">
        <f t="shared" ca="1" si="625"/>
        <v>0</v>
      </c>
      <c r="BU794" s="824">
        <f t="shared" ca="1" si="625"/>
        <v>0</v>
      </c>
      <c r="BV794" s="824">
        <f t="shared" ca="1" si="625"/>
        <v>0</v>
      </c>
      <c r="BW794" s="824">
        <f t="shared" ca="1" si="625"/>
        <v>0</v>
      </c>
      <c r="BX794" s="824">
        <f t="shared" ca="1" si="625"/>
        <v>0</v>
      </c>
      <c r="BY794" s="824">
        <f t="shared" ca="1" si="625"/>
        <v>0</v>
      </c>
      <c r="BZ794" s="824">
        <f t="shared" ca="1" si="625"/>
        <v>0</v>
      </c>
      <c r="CA794" s="824">
        <f t="shared" ca="1" si="625"/>
        <v>0</v>
      </c>
      <c r="CB794" s="824">
        <f t="shared" ca="1" si="625"/>
        <v>0</v>
      </c>
      <c r="CC794" s="824">
        <f t="shared" ca="1" si="625"/>
        <v>0</v>
      </c>
      <c r="CD794" s="824">
        <f t="shared" ca="1" si="625"/>
        <v>0</v>
      </c>
      <c r="CE794" s="824">
        <f t="shared" ca="1" si="624"/>
        <v>0</v>
      </c>
      <c r="CF794" s="824">
        <f t="shared" ca="1" si="624"/>
        <v>0</v>
      </c>
      <c r="CG794" s="824">
        <f t="shared" ca="1" si="624"/>
        <v>0</v>
      </c>
      <c r="CH794" s="824">
        <f t="shared" ca="1" si="624"/>
        <v>0</v>
      </c>
      <c r="CI794" s="824">
        <f t="shared" ca="1" si="624"/>
        <v>0</v>
      </c>
      <c r="CJ794" s="824">
        <f t="shared" ca="1" si="624"/>
        <v>0</v>
      </c>
      <c r="CK794" s="824">
        <f t="shared" ca="1" si="624"/>
        <v>0</v>
      </c>
      <c r="CL794" s="824">
        <f t="shared" ca="1" si="624"/>
        <v>0</v>
      </c>
      <c r="CM794" s="824">
        <f t="shared" ca="1" si="624"/>
        <v>0</v>
      </c>
      <c r="CN794" s="824">
        <f t="shared" ca="1" si="624"/>
        <v>0</v>
      </c>
      <c r="CO794" s="824">
        <f t="shared" ca="1" si="624"/>
        <v>0</v>
      </c>
      <c r="CP794" s="824">
        <f t="shared" ca="1" si="624"/>
        <v>0</v>
      </c>
      <c r="CQ794" s="824">
        <f t="shared" ca="1" si="624"/>
        <v>0</v>
      </c>
      <c r="CR794" s="824">
        <f t="shared" ca="1" si="624"/>
        <v>0</v>
      </c>
      <c r="CS794" s="824">
        <f t="shared" ca="1" si="624"/>
        <v>0</v>
      </c>
      <c r="CT794" s="824">
        <f t="shared" ca="1" si="627"/>
        <v>0</v>
      </c>
      <c r="CU794" s="824">
        <f t="shared" ca="1" si="627"/>
        <v>0</v>
      </c>
      <c r="CV794" s="824">
        <f t="shared" ca="1" si="627"/>
        <v>0</v>
      </c>
      <c r="CW794" s="824">
        <f t="shared" ca="1" si="627"/>
        <v>0</v>
      </c>
      <c r="CX794" s="824">
        <f t="shared" ca="1" si="627"/>
        <v>0</v>
      </c>
      <c r="CY794" s="824">
        <f t="shared" ca="1" si="627"/>
        <v>0</v>
      </c>
      <c r="CZ794" s="824">
        <f t="shared" ca="1" si="627"/>
        <v>0</v>
      </c>
      <c r="DA794" s="824">
        <f t="shared" ca="1" si="627"/>
        <v>0</v>
      </c>
      <c r="DB794" s="824">
        <f t="shared" ca="1" si="627"/>
        <v>0</v>
      </c>
      <c r="DC794" s="824">
        <f t="shared" ca="1" si="627"/>
        <v>0</v>
      </c>
      <c r="DD794" s="824">
        <f t="shared" ca="1" si="627"/>
        <v>0</v>
      </c>
      <c r="DE794" s="824">
        <f t="shared" ca="1" si="627"/>
        <v>0</v>
      </c>
      <c r="DF794" s="824">
        <f t="shared" ca="1" si="627"/>
        <v>0</v>
      </c>
      <c r="DG794" s="824">
        <f t="shared" ca="1" si="627"/>
        <v>0</v>
      </c>
      <c r="DH794" s="824">
        <f t="shared" ca="1" si="627"/>
        <v>0</v>
      </c>
      <c r="DI794" s="824">
        <f t="shared" ca="1" si="627"/>
        <v>0</v>
      </c>
      <c r="DJ794" s="824">
        <f t="shared" ca="1" si="590"/>
        <v>0</v>
      </c>
      <c r="DK794" s="824">
        <f t="shared" ca="1" si="590"/>
        <v>0</v>
      </c>
      <c r="DL794" s="824">
        <f t="shared" ca="1" si="590"/>
        <v>0</v>
      </c>
    </row>
    <row r="795" spans="2:116" ht="12" thickBot="1" x14ac:dyDescent="0.3">
      <c r="B795" s="1673"/>
      <c r="C795" s="1680"/>
      <c r="D795" s="15" t="s">
        <v>25</v>
      </c>
      <c r="E795" s="165"/>
      <c r="F795" s="116">
        <f ca="1">SUBTOTAL(109,'3.4 I&amp;W'!$X$170)</f>
        <v>0</v>
      </c>
      <c r="G795" s="116">
        <f ca="1">SUBTOTAL(109,'3.4 I&amp;W'!$Y$170)</f>
        <v>0</v>
      </c>
      <c r="H795" s="116">
        <f ca="1">SUBTOTAL(109,'3.4 I&amp;W'!$AD$170)</f>
        <v>0</v>
      </c>
      <c r="I795" s="116">
        <f ca="1">SUBTOTAL(109,'3.4 I&amp;W'!$AE$170)</f>
        <v>0</v>
      </c>
      <c r="J795" s="116"/>
      <c r="K795" s="116"/>
      <c r="L795" s="116"/>
      <c r="M795" s="116">
        <f ca="1">SUBTOTAL(109,'3.4 I&amp;W'!$AI$170)</f>
        <v>0</v>
      </c>
      <c r="N795" s="156">
        <f t="shared" ca="1" si="615"/>
        <v>0</v>
      </c>
      <c r="O795" s="116">
        <f ca="1">SUBTOTAL(109,'3.4 I&amp;W'!$S$170)</f>
        <v>0</v>
      </c>
      <c r="P795" s="30">
        <f t="shared" ca="1" si="605"/>
        <v>0</v>
      </c>
      <c r="Q795" s="31">
        <f t="shared" ca="1" si="606"/>
        <v>0</v>
      </c>
      <c r="R795" s="31">
        <f t="shared" ca="1" si="607"/>
        <v>0</v>
      </c>
      <c r="S795" s="31">
        <f t="shared" ca="1" si="608"/>
        <v>0</v>
      </c>
      <c r="T795" s="32">
        <f t="shared" ca="1" si="609"/>
        <v>0</v>
      </c>
      <c r="U795" s="37">
        <f t="shared" ref="U795:U821" ca="1" si="628">IF(M795=0,0,O795*$G$158^(N795*M795)*((N795+1)*M795-$G$154)/M795*(1/$G$157^$G$154))</f>
        <v>0</v>
      </c>
      <c r="V795" s="40">
        <f t="shared" ca="1" si="610"/>
        <v>0</v>
      </c>
      <c r="W795" s="41">
        <f t="shared" ca="1" si="611"/>
        <v>0</v>
      </c>
      <c r="X795" s="43"/>
      <c r="Y795" s="46"/>
      <c r="Z795" s="126"/>
      <c r="AA795" s="136"/>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824">
        <f t="shared" ca="1" si="612"/>
        <v>0</v>
      </c>
      <c r="BM795" s="824">
        <f t="shared" ca="1" si="613"/>
        <v>0</v>
      </c>
      <c r="BN795" s="824">
        <f t="shared" ca="1" si="614"/>
        <v>0</v>
      </c>
      <c r="BO795" s="824">
        <f t="shared" ca="1" si="625"/>
        <v>0</v>
      </c>
      <c r="BP795" s="824">
        <f t="shared" ca="1" si="625"/>
        <v>0</v>
      </c>
      <c r="BQ795" s="824">
        <f t="shared" ca="1" si="625"/>
        <v>0</v>
      </c>
      <c r="BR795" s="824">
        <f t="shared" ca="1" si="625"/>
        <v>0</v>
      </c>
      <c r="BS795" s="824">
        <f t="shared" ca="1" si="625"/>
        <v>0</v>
      </c>
      <c r="BT795" s="824">
        <f t="shared" ca="1" si="625"/>
        <v>0</v>
      </c>
      <c r="BU795" s="824">
        <f t="shared" ca="1" si="625"/>
        <v>0</v>
      </c>
      <c r="BV795" s="824">
        <f t="shared" ca="1" si="625"/>
        <v>0</v>
      </c>
      <c r="BW795" s="824">
        <f t="shared" ca="1" si="625"/>
        <v>0</v>
      </c>
      <c r="BX795" s="824">
        <f t="shared" ca="1" si="625"/>
        <v>0</v>
      </c>
      <c r="BY795" s="824">
        <f t="shared" ca="1" si="625"/>
        <v>0</v>
      </c>
      <c r="BZ795" s="824">
        <f t="shared" ca="1" si="625"/>
        <v>0</v>
      </c>
      <c r="CA795" s="824">
        <f t="shared" ca="1" si="625"/>
        <v>0</v>
      </c>
      <c r="CB795" s="824">
        <f t="shared" ca="1" si="625"/>
        <v>0</v>
      </c>
      <c r="CC795" s="824">
        <f t="shared" ca="1" si="625"/>
        <v>0</v>
      </c>
      <c r="CD795" s="824">
        <f t="shared" ca="1" si="625"/>
        <v>0</v>
      </c>
      <c r="CE795" s="824">
        <f t="shared" ca="1" si="624"/>
        <v>0</v>
      </c>
      <c r="CF795" s="824">
        <f t="shared" ca="1" si="624"/>
        <v>0</v>
      </c>
      <c r="CG795" s="824">
        <f t="shared" ca="1" si="624"/>
        <v>0</v>
      </c>
      <c r="CH795" s="824">
        <f t="shared" ca="1" si="624"/>
        <v>0</v>
      </c>
      <c r="CI795" s="824">
        <f t="shared" ca="1" si="624"/>
        <v>0</v>
      </c>
      <c r="CJ795" s="824">
        <f t="shared" ca="1" si="624"/>
        <v>0</v>
      </c>
      <c r="CK795" s="824">
        <f t="shared" ca="1" si="624"/>
        <v>0</v>
      </c>
      <c r="CL795" s="824">
        <f t="shared" ca="1" si="624"/>
        <v>0</v>
      </c>
      <c r="CM795" s="824">
        <f t="shared" ca="1" si="624"/>
        <v>0</v>
      </c>
      <c r="CN795" s="824">
        <f t="shared" ca="1" si="624"/>
        <v>0</v>
      </c>
      <c r="CO795" s="824">
        <f t="shared" ca="1" si="624"/>
        <v>0</v>
      </c>
      <c r="CP795" s="824">
        <f t="shared" ca="1" si="624"/>
        <v>0</v>
      </c>
      <c r="CQ795" s="824">
        <f t="shared" ca="1" si="624"/>
        <v>0</v>
      </c>
      <c r="CR795" s="824">
        <f t="shared" ca="1" si="624"/>
        <v>0</v>
      </c>
      <c r="CS795" s="824">
        <f t="shared" ca="1" si="624"/>
        <v>0</v>
      </c>
      <c r="CT795" s="824">
        <f t="shared" ca="1" si="627"/>
        <v>0</v>
      </c>
      <c r="CU795" s="824">
        <f t="shared" ca="1" si="627"/>
        <v>0</v>
      </c>
      <c r="CV795" s="824">
        <f t="shared" ca="1" si="627"/>
        <v>0</v>
      </c>
      <c r="CW795" s="824">
        <f t="shared" ca="1" si="627"/>
        <v>0</v>
      </c>
      <c r="CX795" s="824">
        <f t="shared" ca="1" si="627"/>
        <v>0</v>
      </c>
      <c r="CY795" s="824">
        <f t="shared" ca="1" si="627"/>
        <v>0</v>
      </c>
      <c r="CZ795" s="824">
        <f t="shared" ca="1" si="627"/>
        <v>0</v>
      </c>
      <c r="DA795" s="824">
        <f t="shared" ca="1" si="627"/>
        <v>0</v>
      </c>
      <c r="DB795" s="824">
        <f t="shared" ca="1" si="627"/>
        <v>0</v>
      </c>
      <c r="DC795" s="824">
        <f t="shared" ca="1" si="627"/>
        <v>0</v>
      </c>
      <c r="DD795" s="824">
        <f t="shared" ca="1" si="627"/>
        <v>0</v>
      </c>
      <c r="DE795" s="824">
        <f t="shared" ca="1" si="627"/>
        <v>0</v>
      </c>
      <c r="DF795" s="824">
        <f t="shared" ca="1" si="627"/>
        <v>0</v>
      </c>
      <c r="DG795" s="824">
        <f t="shared" ca="1" si="627"/>
        <v>0</v>
      </c>
      <c r="DH795" s="824">
        <f t="shared" ca="1" si="627"/>
        <v>0</v>
      </c>
      <c r="DI795" s="824">
        <f t="shared" ca="1" si="627"/>
        <v>0</v>
      </c>
      <c r="DJ795" s="824">
        <f t="shared" ca="1" si="590"/>
        <v>0</v>
      </c>
      <c r="DK795" s="824">
        <f t="shared" ca="1" si="590"/>
        <v>0</v>
      </c>
      <c r="DL795" s="824">
        <f t="shared" ca="1" si="590"/>
        <v>0</v>
      </c>
    </row>
    <row r="796" spans="2:116" ht="12" thickBot="1" x14ac:dyDescent="0.3">
      <c r="B796" s="1673"/>
      <c r="C796" s="1680"/>
      <c r="D796" s="15" t="s">
        <v>19</v>
      </c>
      <c r="E796" s="116"/>
      <c r="F796" s="116">
        <f ca="1">SUBTOTAL(109,'3.4 I&amp;W'!$X$178)</f>
        <v>0</v>
      </c>
      <c r="G796" s="116">
        <f ca="1">SUBTOTAL(109,'3.4 I&amp;W'!$Y$178)</f>
        <v>0</v>
      </c>
      <c r="H796" s="116">
        <f ca="1">SUBTOTAL(109,'3.4 I&amp;W'!$AD$178)</f>
        <v>0</v>
      </c>
      <c r="I796" s="116">
        <f ca="1">SUBTOTAL(109,'3.4 I&amp;W'!$AE$178)</f>
        <v>0</v>
      </c>
      <c r="J796" s="116"/>
      <c r="K796" s="116"/>
      <c r="L796" s="116"/>
      <c r="M796" s="116">
        <f ca="1">SUBTOTAL(109,'3.4 I&amp;W'!$AI$178)</f>
        <v>0</v>
      </c>
      <c r="N796" s="156">
        <f t="shared" ca="1" si="615"/>
        <v>0</v>
      </c>
      <c r="O796" s="116">
        <f ca="1">SUBTOTAL(109,'3.4 I&amp;W'!$S$178)</f>
        <v>0</v>
      </c>
      <c r="P796" s="30">
        <f t="shared" ca="1" si="605"/>
        <v>0</v>
      </c>
      <c r="Q796" s="31">
        <f t="shared" ca="1" si="606"/>
        <v>0</v>
      </c>
      <c r="R796" s="31">
        <f t="shared" ca="1" si="607"/>
        <v>0</v>
      </c>
      <c r="S796" s="31">
        <f t="shared" ca="1" si="608"/>
        <v>0</v>
      </c>
      <c r="T796" s="32">
        <f t="shared" ca="1" si="609"/>
        <v>0</v>
      </c>
      <c r="U796" s="37">
        <f t="shared" ca="1" si="628"/>
        <v>0</v>
      </c>
      <c r="V796" s="40">
        <f t="shared" ca="1" si="610"/>
        <v>0</v>
      </c>
      <c r="W796" s="41">
        <f t="shared" ca="1" si="611"/>
        <v>0</v>
      </c>
      <c r="X796" s="43"/>
      <c r="Y796" s="46"/>
      <c r="Z796" s="126"/>
      <c r="AA796" s="136"/>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824">
        <f t="shared" ca="1" si="612"/>
        <v>0</v>
      </c>
      <c r="BM796" s="824">
        <f t="shared" ca="1" si="613"/>
        <v>0</v>
      </c>
      <c r="BN796" s="824">
        <f t="shared" ca="1" si="614"/>
        <v>0</v>
      </c>
      <c r="BO796" s="824">
        <f t="shared" ca="1" si="625"/>
        <v>0</v>
      </c>
      <c r="BP796" s="824">
        <f t="shared" ca="1" si="625"/>
        <v>0</v>
      </c>
      <c r="BQ796" s="824">
        <f t="shared" ca="1" si="625"/>
        <v>0</v>
      </c>
      <c r="BR796" s="824">
        <f t="shared" ca="1" si="625"/>
        <v>0</v>
      </c>
      <c r="BS796" s="824">
        <f t="shared" ca="1" si="625"/>
        <v>0</v>
      </c>
      <c r="BT796" s="824">
        <f t="shared" ca="1" si="625"/>
        <v>0</v>
      </c>
      <c r="BU796" s="824">
        <f t="shared" ca="1" si="625"/>
        <v>0</v>
      </c>
      <c r="BV796" s="824">
        <f t="shared" ca="1" si="625"/>
        <v>0</v>
      </c>
      <c r="BW796" s="824">
        <f t="shared" ca="1" si="625"/>
        <v>0</v>
      </c>
      <c r="BX796" s="824">
        <f t="shared" ca="1" si="625"/>
        <v>0</v>
      </c>
      <c r="BY796" s="824">
        <f t="shared" ca="1" si="625"/>
        <v>0</v>
      </c>
      <c r="BZ796" s="824">
        <f t="shared" ca="1" si="625"/>
        <v>0</v>
      </c>
      <c r="CA796" s="824">
        <f t="shared" ca="1" si="625"/>
        <v>0</v>
      </c>
      <c r="CB796" s="824">
        <f t="shared" ca="1" si="625"/>
        <v>0</v>
      </c>
      <c r="CC796" s="824">
        <f t="shared" ca="1" si="625"/>
        <v>0</v>
      </c>
      <c r="CD796" s="824">
        <f t="shared" ca="1" si="625"/>
        <v>0</v>
      </c>
      <c r="CE796" s="824">
        <f t="shared" ca="1" si="624"/>
        <v>0</v>
      </c>
      <c r="CF796" s="824">
        <f t="shared" ca="1" si="624"/>
        <v>0</v>
      </c>
      <c r="CG796" s="824">
        <f t="shared" ca="1" si="624"/>
        <v>0</v>
      </c>
      <c r="CH796" s="824">
        <f t="shared" ca="1" si="624"/>
        <v>0</v>
      </c>
      <c r="CI796" s="824">
        <f t="shared" ca="1" si="624"/>
        <v>0</v>
      </c>
      <c r="CJ796" s="824">
        <f t="shared" ca="1" si="624"/>
        <v>0</v>
      </c>
      <c r="CK796" s="824">
        <f t="shared" ca="1" si="624"/>
        <v>0</v>
      </c>
      <c r="CL796" s="824">
        <f t="shared" ca="1" si="624"/>
        <v>0</v>
      </c>
      <c r="CM796" s="824">
        <f t="shared" ca="1" si="624"/>
        <v>0</v>
      </c>
      <c r="CN796" s="824">
        <f t="shared" ca="1" si="624"/>
        <v>0</v>
      </c>
      <c r="CO796" s="824">
        <f t="shared" ca="1" si="624"/>
        <v>0</v>
      </c>
      <c r="CP796" s="824">
        <f t="shared" ca="1" si="624"/>
        <v>0</v>
      </c>
      <c r="CQ796" s="824">
        <f t="shared" ca="1" si="624"/>
        <v>0</v>
      </c>
      <c r="CR796" s="824">
        <f t="shared" ca="1" si="624"/>
        <v>0</v>
      </c>
      <c r="CS796" s="824">
        <f t="shared" ca="1" si="624"/>
        <v>0</v>
      </c>
      <c r="CT796" s="824">
        <f t="shared" ca="1" si="627"/>
        <v>0</v>
      </c>
      <c r="CU796" s="824">
        <f t="shared" ca="1" si="627"/>
        <v>0</v>
      </c>
      <c r="CV796" s="824">
        <f t="shared" ca="1" si="627"/>
        <v>0</v>
      </c>
      <c r="CW796" s="824">
        <f t="shared" ca="1" si="627"/>
        <v>0</v>
      </c>
      <c r="CX796" s="824">
        <f t="shared" ca="1" si="627"/>
        <v>0</v>
      </c>
      <c r="CY796" s="824">
        <f t="shared" ca="1" si="627"/>
        <v>0</v>
      </c>
      <c r="CZ796" s="824">
        <f t="shared" ca="1" si="627"/>
        <v>0</v>
      </c>
      <c r="DA796" s="824">
        <f t="shared" ca="1" si="627"/>
        <v>0</v>
      </c>
      <c r="DB796" s="824">
        <f t="shared" ca="1" si="627"/>
        <v>0</v>
      </c>
      <c r="DC796" s="824">
        <f t="shared" ca="1" si="627"/>
        <v>0</v>
      </c>
      <c r="DD796" s="824">
        <f t="shared" ca="1" si="627"/>
        <v>0</v>
      </c>
      <c r="DE796" s="824">
        <f t="shared" ca="1" si="627"/>
        <v>0</v>
      </c>
      <c r="DF796" s="824">
        <f t="shared" ca="1" si="627"/>
        <v>0</v>
      </c>
      <c r="DG796" s="824">
        <f t="shared" ca="1" si="627"/>
        <v>0</v>
      </c>
      <c r="DH796" s="824">
        <f t="shared" ca="1" si="627"/>
        <v>0</v>
      </c>
      <c r="DI796" s="824">
        <f t="shared" ca="1" si="627"/>
        <v>0</v>
      </c>
      <c r="DJ796" s="824">
        <f t="shared" ca="1" si="590"/>
        <v>0</v>
      </c>
      <c r="DK796" s="824">
        <f t="shared" ca="1" si="590"/>
        <v>0</v>
      </c>
      <c r="DL796" s="824">
        <f t="shared" ca="1" si="590"/>
        <v>0</v>
      </c>
    </row>
    <row r="797" spans="2:116" ht="12" thickBot="1" x14ac:dyDescent="0.3">
      <c r="B797" s="1673"/>
      <c r="C797" s="1680"/>
      <c r="D797" s="15" t="s">
        <v>19</v>
      </c>
      <c r="E797" s="165"/>
      <c r="F797" s="116">
        <f ca="1">SUBTOTAL(109,'3.4 I&amp;W'!$X$179)</f>
        <v>0</v>
      </c>
      <c r="G797" s="116">
        <f ca="1">SUBTOTAL(109,'3.4 I&amp;W'!$Y$179)</f>
        <v>0</v>
      </c>
      <c r="H797" s="116">
        <f ca="1">SUBTOTAL(109,'3.4 I&amp;W'!$AD$179)</f>
        <v>0</v>
      </c>
      <c r="I797" s="116">
        <f ca="1">SUBTOTAL(109,'3.4 I&amp;W'!$AE$179)</f>
        <v>0</v>
      </c>
      <c r="J797" s="116"/>
      <c r="K797" s="116"/>
      <c r="L797" s="116"/>
      <c r="M797" s="116">
        <f ca="1">SUBTOTAL(109,'3.4 I&amp;W'!$AI$179)</f>
        <v>0</v>
      </c>
      <c r="N797" s="156">
        <f t="shared" ca="1" si="615"/>
        <v>0</v>
      </c>
      <c r="O797" s="116">
        <f ca="1">SUBTOTAL(109,'3.4 I&amp;W'!$S$179)</f>
        <v>0</v>
      </c>
      <c r="P797" s="30">
        <f t="shared" ca="1" si="605"/>
        <v>0</v>
      </c>
      <c r="Q797" s="31">
        <f t="shared" ca="1" si="606"/>
        <v>0</v>
      </c>
      <c r="R797" s="31">
        <f t="shared" ca="1" si="607"/>
        <v>0</v>
      </c>
      <c r="S797" s="31">
        <f t="shared" ca="1" si="608"/>
        <v>0</v>
      </c>
      <c r="T797" s="32">
        <f t="shared" ca="1" si="609"/>
        <v>0</v>
      </c>
      <c r="U797" s="37">
        <f t="shared" ca="1" si="628"/>
        <v>0</v>
      </c>
      <c r="V797" s="40">
        <f t="shared" ca="1" si="610"/>
        <v>0</v>
      </c>
      <c r="W797" s="41">
        <f t="shared" ca="1" si="611"/>
        <v>0</v>
      </c>
      <c r="X797" s="43"/>
      <c r="Y797" s="46"/>
      <c r="Z797" s="126"/>
      <c r="AA797" s="136"/>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824">
        <f t="shared" ca="1" si="612"/>
        <v>0</v>
      </c>
      <c r="BM797" s="824">
        <f t="shared" ca="1" si="613"/>
        <v>0</v>
      </c>
      <c r="BN797" s="824">
        <f t="shared" ca="1" si="614"/>
        <v>0</v>
      </c>
      <c r="BO797" s="824">
        <f t="shared" ca="1" si="625"/>
        <v>0</v>
      </c>
      <c r="BP797" s="824">
        <f t="shared" ca="1" si="625"/>
        <v>0</v>
      </c>
      <c r="BQ797" s="824">
        <f t="shared" ca="1" si="625"/>
        <v>0</v>
      </c>
      <c r="BR797" s="824">
        <f t="shared" ca="1" si="625"/>
        <v>0</v>
      </c>
      <c r="BS797" s="824">
        <f t="shared" ca="1" si="625"/>
        <v>0</v>
      </c>
      <c r="BT797" s="824">
        <f t="shared" ca="1" si="625"/>
        <v>0</v>
      </c>
      <c r="BU797" s="824">
        <f t="shared" ca="1" si="625"/>
        <v>0</v>
      </c>
      <c r="BV797" s="824">
        <f t="shared" ca="1" si="625"/>
        <v>0</v>
      </c>
      <c r="BW797" s="824">
        <f t="shared" ca="1" si="625"/>
        <v>0</v>
      </c>
      <c r="BX797" s="824">
        <f t="shared" ca="1" si="625"/>
        <v>0</v>
      </c>
      <c r="BY797" s="824">
        <f t="shared" ca="1" si="625"/>
        <v>0</v>
      </c>
      <c r="BZ797" s="824">
        <f t="shared" ca="1" si="625"/>
        <v>0</v>
      </c>
      <c r="CA797" s="824">
        <f t="shared" ca="1" si="625"/>
        <v>0</v>
      </c>
      <c r="CB797" s="824">
        <f t="shared" ca="1" si="625"/>
        <v>0</v>
      </c>
      <c r="CC797" s="824">
        <f t="shared" ca="1" si="625"/>
        <v>0</v>
      </c>
      <c r="CD797" s="824">
        <f t="shared" ca="1" si="625"/>
        <v>0</v>
      </c>
      <c r="CE797" s="824">
        <f t="shared" ca="1" si="624"/>
        <v>0</v>
      </c>
      <c r="CF797" s="824">
        <f t="shared" ca="1" si="624"/>
        <v>0</v>
      </c>
      <c r="CG797" s="824">
        <f t="shared" ca="1" si="624"/>
        <v>0</v>
      </c>
      <c r="CH797" s="824">
        <f t="shared" ca="1" si="624"/>
        <v>0</v>
      </c>
      <c r="CI797" s="824">
        <f t="shared" ca="1" si="624"/>
        <v>0</v>
      </c>
      <c r="CJ797" s="824">
        <f t="shared" ca="1" si="624"/>
        <v>0</v>
      </c>
      <c r="CK797" s="824">
        <f t="shared" ca="1" si="624"/>
        <v>0</v>
      </c>
      <c r="CL797" s="824">
        <f t="shared" ca="1" si="624"/>
        <v>0</v>
      </c>
      <c r="CM797" s="824">
        <f t="shared" ca="1" si="624"/>
        <v>0</v>
      </c>
      <c r="CN797" s="824">
        <f t="shared" ca="1" si="624"/>
        <v>0</v>
      </c>
      <c r="CO797" s="824">
        <f t="shared" ca="1" si="624"/>
        <v>0</v>
      </c>
      <c r="CP797" s="824">
        <f t="shared" ca="1" si="624"/>
        <v>0</v>
      </c>
      <c r="CQ797" s="824">
        <f t="shared" ca="1" si="624"/>
        <v>0</v>
      </c>
      <c r="CR797" s="824">
        <f t="shared" ca="1" si="624"/>
        <v>0</v>
      </c>
      <c r="CS797" s="824">
        <f t="shared" ca="1" si="624"/>
        <v>0</v>
      </c>
      <c r="CT797" s="824">
        <f t="shared" ca="1" si="627"/>
        <v>0</v>
      </c>
      <c r="CU797" s="824">
        <f t="shared" ca="1" si="627"/>
        <v>0</v>
      </c>
      <c r="CV797" s="824">
        <f t="shared" ca="1" si="627"/>
        <v>0</v>
      </c>
      <c r="CW797" s="824">
        <f t="shared" ca="1" si="627"/>
        <v>0</v>
      </c>
      <c r="CX797" s="824">
        <f t="shared" ca="1" si="627"/>
        <v>0</v>
      </c>
      <c r="CY797" s="824">
        <f t="shared" ca="1" si="627"/>
        <v>0</v>
      </c>
      <c r="CZ797" s="824">
        <f t="shared" ca="1" si="627"/>
        <v>0</v>
      </c>
      <c r="DA797" s="824">
        <f t="shared" ca="1" si="627"/>
        <v>0</v>
      </c>
      <c r="DB797" s="824">
        <f t="shared" ca="1" si="627"/>
        <v>0</v>
      </c>
      <c r="DC797" s="824">
        <f t="shared" ca="1" si="627"/>
        <v>0</v>
      </c>
      <c r="DD797" s="824">
        <f t="shared" ca="1" si="627"/>
        <v>0</v>
      </c>
      <c r="DE797" s="824">
        <f t="shared" ca="1" si="627"/>
        <v>0</v>
      </c>
      <c r="DF797" s="824">
        <f t="shared" ca="1" si="627"/>
        <v>0</v>
      </c>
      <c r="DG797" s="824">
        <f t="shared" ca="1" si="627"/>
        <v>0</v>
      </c>
      <c r="DH797" s="824">
        <f t="shared" ca="1" si="627"/>
        <v>0</v>
      </c>
      <c r="DI797" s="824">
        <f t="shared" ca="1" si="627"/>
        <v>0</v>
      </c>
      <c r="DJ797" s="824">
        <f t="shared" ca="1" si="590"/>
        <v>0</v>
      </c>
      <c r="DK797" s="824">
        <f t="shared" ca="1" si="590"/>
        <v>0</v>
      </c>
      <c r="DL797" s="824">
        <f t="shared" ca="1" si="590"/>
        <v>0</v>
      </c>
    </row>
    <row r="798" spans="2:116" ht="12" thickBot="1" x14ac:dyDescent="0.3">
      <c r="B798" s="1673"/>
      <c r="C798" s="1680"/>
      <c r="D798" s="15" t="s">
        <v>19</v>
      </c>
      <c r="E798" s="116"/>
      <c r="F798" s="116">
        <f ca="1">SUBTOTAL(109,'3.4 I&amp;W'!$X$180)</f>
        <v>0</v>
      </c>
      <c r="G798" s="116">
        <f ca="1">SUBTOTAL(109,'3.4 I&amp;W'!$Y$180)</f>
        <v>0</v>
      </c>
      <c r="H798" s="116">
        <f ca="1">SUBTOTAL(109,'3.4 I&amp;W'!$AD$180)</f>
        <v>0</v>
      </c>
      <c r="I798" s="116">
        <f ca="1">SUBTOTAL(109,'3.4 I&amp;W'!$AE$180)</f>
        <v>0</v>
      </c>
      <c r="J798" s="116"/>
      <c r="K798" s="116"/>
      <c r="L798" s="116"/>
      <c r="M798" s="116">
        <f ca="1">SUBTOTAL(109,'3.4 I&amp;W'!$AI$180)</f>
        <v>0</v>
      </c>
      <c r="N798" s="156">
        <f t="shared" ca="1" si="615"/>
        <v>0</v>
      </c>
      <c r="O798" s="116">
        <f ca="1">SUBTOTAL(109,'3.4 I&amp;W'!$S$180)</f>
        <v>0</v>
      </c>
      <c r="P798" s="30">
        <f t="shared" ca="1" si="605"/>
        <v>0</v>
      </c>
      <c r="Q798" s="31">
        <f t="shared" ca="1" si="606"/>
        <v>0</v>
      </c>
      <c r="R798" s="31">
        <f t="shared" ca="1" si="607"/>
        <v>0</v>
      </c>
      <c r="S798" s="31">
        <f t="shared" ca="1" si="608"/>
        <v>0</v>
      </c>
      <c r="T798" s="32">
        <f t="shared" ca="1" si="609"/>
        <v>0</v>
      </c>
      <c r="U798" s="37">
        <f t="shared" ca="1" si="628"/>
        <v>0</v>
      </c>
      <c r="V798" s="40">
        <f t="shared" ca="1" si="610"/>
        <v>0</v>
      </c>
      <c r="W798" s="41">
        <f t="shared" ca="1" si="611"/>
        <v>0</v>
      </c>
      <c r="X798" s="43"/>
      <c r="Y798" s="46"/>
      <c r="Z798" s="126"/>
      <c r="AA798" s="136"/>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824">
        <f t="shared" ca="1" si="612"/>
        <v>0</v>
      </c>
      <c r="BM798" s="824">
        <f t="shared" ca="1" si="613"/>
        <v>0</v>
      </c>
      <c r="BN798" s="824">
        <f t="shared" ca="1" si="614"/>
        <v>0</v>
      </c>
      <c r="BO798" s="824">
        <f t="shared" ca="1" si="625"/>
        <v>0</v>
      </c>
      <c r="BP798" s="824">
        <f t="shared" ca="1" si="625"/>
        <v>0</v>
      </c>
      <c r="BQ798" s="824">
        <f t="shared" ca="1" si="625"/>
        <v>0</v>
      </c>
      <c r="BR798" s="824">
        <f t="shared" ca="1" si="625"/>
        <v>0</v>
      </c>
      <c r="BS798" s="824">
        <f t="shared" ca="1" si="625"/>
        <v>0</v>
      </c>
      <c r="BT798" s="824">
        <f t="shared" ca="1" si="625"/>
        <v>0</v>
      </c>
      <c r="BU798" s="824">
        <f t="shared" ca="1" si="625"/>
        <v>0</v>
      </c>
      <c r="BV798" s="824">
        <f t="shared" ca="1" si="625"/>
        <v>0</v>
      </c>
      <c r="BW798" s="824">
        <f t="shared" ca="1" si="625"/>
        <v>0</v>
      </c>
      <c r="BX798" s="824">
        <f t="shared" ca="1" si="625"/>
        <v>0</v>
      </c>
      <c r="BY798" s="824">
        <f t="shared" ca="1" si="625"/>
        <v>0</v>
      </c>
      <c r="BZ798" s="824">
        <f t="shared" ca="1" si="625"/>
        <v>0</v>
      </c>
      <c r="CA798" s="824">
        <f t="shared" ca="1" si="625"/>
        <v>0</v>
      </c>
      <c r="CB798" s="824">
        <f t="shared" ca="1" si="625"/>
        <v>0</v>
      </c>
      <c r="CC798" s="824">
        <f t="shared" ca="1" si="625"/>
        <v>0</v>
      </c>
      <c r="CD798" s="824">
        <f t="shared" ca="1" si="625"/>
        <v>0</v>
      </c>
      <c r="CE798" s="824">
        <f t="shared" ca="1" si="624"/>
        <v>0</v>
      </c>
      <c r="CF798" s="824">
        <f t="shared" ca="1" si="624"/>
        <v>0</v>
      </c>
      <c r="CG798" s="824">
        <f t="shared" ca="1" si="624"/>
        <v>0</v>
      </c>
      <c r="CH798" s="824">
        <f t="shared" ca="1" si="624"/>
        <v>0</v>
      </c>
      <c r="CI798" s="824">
        <f t="shared" ca="1" si="624"/>
        <v>0</v>
      </c>
      <c r="CJ798" s="824">
        <f t="shared" ca="1" si="624"/>
        <v>0</v>
      </c>
      <c r="CK798" s="824">
        <f t="shared" ca="1" si="624"/>
        <v>0</v>
      </c>
      <c r="CL798" s="824">
        <f t="shared" ca="1" si="624"/>
        <v>0</v>
      </c>
      <c r="CM798" s="824">
        <f t="shared" ca="1" si="624"/>
        <v>0</v>
      </c>
      <c r="CN798" s="824">
        <f t="shared" ca="1" si="624"/>
        <v>0</v>
      </c>
      <c r="CO798" s="824">
        <f t="shared" ca="1" si="624"/>
        <v>0</v>
      </c>
      <c r="CP798" s="824">
        <f t="shared" ca="1" si="624"/>
        <v>0</v>
      </c>
      <c r="CQ798" s="824">
        <f t="shared" ca="1" si="624"/>
        <v>0</v>
      </c>
      <c r="CR798" s="824">
        <f t="shared" ca="1" si="624"/>
        <v>0</v>
      </c>
      <c r="CS798" s="824">
        <f t="shared" ca="1" si="624"/>
        <v>0</v>
      </c>
      <c r="CT798" s="824">
        <f t="shared" ca="1" si="627"/>
        <v>0</v>
      </c>
      <c r="CU798" s="824">
        <f t="shared" ca="1" si="627"/>
        <v>0</v>
      </c>
      <c r="CV798" s="824">
        <f t="shared" ca="1" si="627"/>
        <v>0</v>
      </c>
      <c r="CW798" s="824">
        <f t="shared" ca="1" si="627"/>
        <v>0</v>
      </c>
      <c r="CX798" s="824">
        <f t="shared" ca="1" si="627"/>
        <v>0</v>
      </c>
      <c r="CY798" s="824">
        <f t="shared" ca="1" si="627"/>
        <v>0</v>
      </c>
      <c r="CZ798" s="824">
        <f t="shared" ca="1" si="627"/>
        <v>0</v>
      </c>
      <c r="DA798" s="824">
        <f t="shared" ca="1" si="627"/>
        <v>0</v>
      </c>
      <c r="DB798" s="824">
        <f t="shared" ca="1" si="627"/>
        <v>0</v>
      </c>
      <c r="DC798" s="824">
        <f t="shared" ca="1" si="627"/>
        <v>0</v>
      </c>
      <c r="DD798" s="824">
        <f t="shared" ca="1" si="627"/>
        <v>0</v>
      </c>
      <c r="DE798" s="824">
        <f t="shared" ca="1" si="627"/>
        <v>0</v>
      </c>
      <c r="DF798" s="824">
        <f t="shared" ca="1" si="627"/>
        <v>0</v>
      </c>
      <c r="DG798" s="824">
        <f t="shared" ca="1" si="627"/>
        <v>0</v>
      </c>
      <c r="DH798" s="824">
        <f t="shared" ca="1" si="627"/>
        <v>0</v>
      </c>
      <c r="DI798" s="824">
        <f t="shared" ca="1" si="627"/>
        <v>0</v>
      </c>
      <c r="DJ798" s="824">
        <f t="shared" ca="1" si="590"/>
        <v>0</v>
      </c>
      <c r="DK798" s="824">
        <f t="shared" ca="1" si="590"/>
        <v>0</v>
      </c>
      <c r="DL798" s="824">
        <f t="shared" ca="1" si="590"/>
        <v>0</v>
      </c>
    </row>
    <row r="799" spans="2:116" ht="12" thickBot="1" x14ac:dyDescent="0.3">
      <c r="B799" s="1673"/>
      <c r="C799" s="1680"/>
      <c r="D799" s="15" t="s">
        <v>182</v>
      </c>
      <c r="E799" s="165"/>
      <c r="F799" s="116">
        <f ca="1">SUBTOTAL(109,'3.4 I&amp;W'!$X$184)</f>
        <v>0</v>
      </c>
      <c r="G799" s="116">
        <f ca="1">SUBTOTAL(109,'3.4 I&amp;W'!$Y$184)</f>
        <v>0</v>
      </c>
      <c r="H799" s="116">
        <f ca="1">SUBTOTAL(109,'3.4 I&amp;W'!$AD$184)</f>
        <v>0</v>
      </c>
      <c r="I799" s="116">
        <f ca="1">SUBTOTAL(109,'3.4 I&amp;W'!$AE$184)</f>
        <v>0</v>
      </c>
      <c r="J799" s="116"/>
      <c r="K799" s="116"/>
      <c r="L799" s="116"/>
      <c r="M799" s="116">
        <f ca="1">SUBTOTAL(109,'3.4 I&amp;W'!$AI$184)</f>
        <v>0</v>
      </c>
      <c r="N799" s="156">
        <f t="shared" ca="1" si="615"/>
        <v>0</v>
      </c>
      <c r="O799" s="116">
        <f ca="1">SUBTOTAL(109,'3.4 I&amp;W'!$S$184)</f>
        <v>0</v>
      </c>
      <c r="P799" s="30">
        <f t="shared" ca="1" si="605"/>
        <v>0</v>
      </c>
      <c r="Q799" s="31">
        <f t="shared" ca="1" si="606"/>
        <v>0</v>
      </c>
      <c r="R799" s="31">
        <f t="shared" ca="1" si="607"/>
        <v>0</v>
      </c>
      <c r="S799" s="31">
        <f t="shared" ca="1" si="608"/>
        <v>0</v>
      </c>
      <c r="T799" s="32">
        <f t="shared" ca="1" si="609"/>
        <v>0</v>
      </c>
      <c r="U799" s="37">
        <f t="shared" ca="1" si="628"/>
        <v>0</v>
      </c>
      <c r="V799" s="40">
        <f t="shared" ca="1" si="610"/>
        <v>0</v>
      </c>
      <c r="W799" s="41">
        <f t="shared" ca="1" si="611"/>
        <v>0</v>
      </c>
      <c r="X799" s="43"/>
      <c r="Y799" s="46"/>
      <c r="Z799" s="126"/>
      <c r="AA799" s="136"/>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824">
        <f t="shared" ca="1" si="612"/>
        <v>0</v>
      </c>
      <c r="BM799" s="824">
        <f t="shared" ca="1" si="613"/>
        <v>0</v>
      </c>
      <c r="BN799" s="824">
        <f t="shared" ca="1" si="614"/>
        <v>0</v>
      </c>
      <c r="BO799" s="824">
        <f t="shared" ca="1" si="625"/>
        <v>0</v>
      </c>
      <c r="BP799" s="824">
        <f t="shared" ca="1" si="625"/>
        <v>0</v>
      </c>
      <c r="BQ799" s="824">
        <f t="shared" ca="1" si="625"/>
        <v>0</v>
      </c>
      <c r="BR799" s="824">
        <f t="shared" ca="1" si="625"/>
        <v>0</v>
      </c>
      <c r="BS799" s="824">
        <f t="shared" ca="1" si="625"/>
        <v>0</v>
      </c>
      <c r="BT799" s="824">
        <f t="shared" ca="1" si="625"/>
        <v>0</v>
      </c>
      <c r="BU799" s="824">
        <f t="shared" ca="1" si="625"/>
        <v>0</v>
      </c>
      <c r="BV799" s="824">
        <f t="shared" ca="1" si="625"/>
        <v>0</v>
      </c>
      <c r="BW799" s="824">
        <f t="shared" ca="1" si="625"/>
        <v>0</v>
      </c>
      <c r="BX799" s="824">
        <f t="shared" ca="1" si="625"/>
        <v>0</v>
      </c>
      <c r="BY799" s="824">
        <f t="shared" ca="1" si="625"/>
        <v>0</v>
      </c>
      <c r="BZ799" s="824">
        <f t="shared" ca="1" si="625"/>
        <v>0</v>
      </c>
      <c r="CA799" s="824">
        <f t="shared" ca="1" si="625"/>
        <v>0</v>
      </c>
      <c r="CB799" s="824">
        <f t="shared" ca="1" si="625"/>
        <v>0</v>
      </c>
      <c r="CC799" s="824">
        <f t="shared" ca="1" si="625"/>
        <v>0</v>
      </c>
      <c r="CD799" s="824">
        <f t="shared" ca="1" si="625"/>
        <v>0</v>
      </c>
      <c r="CE799" s="824">
        <f t="shared" ca="1" si="624"/>
        <v>0</v>
      </c>
      <c r="CF799" s="824">
        <f t="shared" ca="1" si="624"/>
        <v>0</v>
      </c>
      <c r="CG799" s="824">
        <f t="shared" ca="1" si="624"/>
        <v>0</v>
      </c>
      <c r="CH799" s="824">
        <f t="shared" ca="1" si="624"/>
        <v>0</v>
      </c>
      <c r="CI799" s="824">
        <f t="shared" ca="1" si="624"/>
        <v>0</v>
      </c>
      <c r="CJ799" s="824">
        <f t="shared" ca="1" si="624"/>
        <v>0</v>
      </c>
      <c r="CK799" s="824">
        <f t="shared" ca="1" si="624"/>
        <v>0</v>
      </c>
      <c r="CL799" s="824">
        <f t="shared" ca="1" si="624"/>
        <v>0</v>
      </c>
      <c r="CM799" s="824">
        <f t="shared" ca="1" si="624"/>
        <v>0</v>
      </c>
      <c r="CN799" s="824">
        <f t="shared" ca="1" si="624"/>
        <v>0</v>
      </c>
      <c r="CO799" s="824">
        <f t="shared" ca="1" si="624"/>
        <v>0</v>
      </c>
      <c r="CP799" s="824">
        <f t="shared" ca="1" si="624"/>
        <v>0</v>
      </c>
      <c r="CQ799" s="824">
        <f t="shared" ca="1" si="624"/>
        <v>0</v>
      </c>
      <c r="CR799" s="824">
        <f t="shared" ca="1" si="624"/>
        <v>0</v>
      </c>
      <c r="CS799" s="824">
        <f t="shared" ca="1" si="624"/>
        <v>0</v>
      </c>
      <c r="CT799" s="824">
        <f t="shared" ca="1" si="627"/>
        <v>0</v>
      </c>
      <c r="CU799" s="824">
        <f t="shared" ca="1" si="627"/>
        <v>0</v>
      </c>
      <c r="CV799" s="824">
        <f t="shared" ca="1" si="627"/>
        <v>0</v>
      </c>
      <c r="CW799" s="824">
        <f t="shared" ca="1" si="627"/>
        <v>0</v>
      </c>
      <c r="CX799" s="824">
        <f t="shared" ca="1" si="627"/>
        <v>0</v>
      </c>
      <c r="CY799" s="824">
        <f t="shared" ca="1" si="627"/>
        <v>0</v>
      </c>
      <c r="CZ799" s="824">
        <f t="shared" ca="1" si="627"/>
        <v>0</v>
      </c>
      <c r="DA799" s="824">
        <f t="shared" ca="1" si="627"/>
        <v>0</v>
      </c>
      <c r="DB799" s="824">
        <f t="shared" ca="1" si="627"/>
        <v>0</v>
      </c>
      <c r="DC799" s="824">
        <f t="shared" ca="1" si="627"/>
        <v>0</v>
      </c>
      <c r="DD799" s="824">
        <f t="shared" ca="1" si="627"/>
        <v>0</v>
      </c>
      <c r="DE799" s="824">
        <f t="shared" ca="1" si="627"/>
        <v>0</v>
      </c>
      <c r="DF799" s="824">
        <f t="shared" ca="1" si="627"/>
        <v>0</v>
      </c>
      <c r="DG799" s="824">
        <f t="shared" ca="1" si="627"/>
        <v>0</v>
      </c>
      <c r="DH799" s="824">
        <f t="shared" ca="1" si="627"/>
        <v>0</v>
      </c>
      <c r="DI799" s="824">
        <f t="shared" ca="1" si="627"/>
        <v>0</v>
      </c>
      <c r="DJ799" s="824">
        <f t="shared" ca="1" si="590"/>
        <v>0</v>
      </c>
      <c r="DK799" s="824">
        <f t="shared" ca="1" si="590"/>
        <v>0</v>
      </c>
      <c r="DL799" s="824">
        <f t="shared" ca="1" si="590"/>
        <v>0</v>
      </c>
    </row>
    <row r="800" spans="2:116" ht="12" thickBot="1" x14ac:dyDescent="0.3">
      <c r="B800" s="1673"/>
      <c r="C800" s="1680"/>
      <c r="D800" s="15" t="s">
        <v>182</v>
      </c>
      <c r="E800" s="116"/>
      <c r="F800" s="116">
        <f ca="1">SUBTOTAL(109,'3.4 I&amp;W'!$X$185)</f>
        <v>0</v>
      </c>
      <c r="G800" s="116">
        <f ca="1">SUBTOTAL(109,'3.4 I&amp;W'!$Y$185)</f>
        <v>0</v>
      </c>
      <c r="H800" s="116">
        <f ca="1">SUBTOTAL(109,'3.4 I&amp;W'!$AD$185)</f>
        <v>0</v>
      </c>
      <c r="I800" s="116">
        <f ca="1">SUBTOTAL(109,'3.4 I&amp;W'!$AE$185)</f>
        <v>0</v>
      </c>
      <c r="J800" s="116"/>
      <c r="K800" s="116"/>
      <c r="L800" s="116"/>
      <c r="M800" s="116">
        <f ca="1">SUBTOTAL(109,'3.4 I&amp;W'!$AI$185)</f>
        <v>0</v>
      </c>
      <c r="N800" s="156">
        <f t="shared" ca="1" si="615"/>
        <v>0</v>
      </c>
      <c r="O800" s="116">
        <f ca="1">SUBTOTAL(109,'3.4 I&amp;W'!$S$185)</f>
        <v>0</v>
      </c>
      <c r="P800" s="30">
        <f t="shared" ca="1" si="605"/>
        <v>0</v>
      </c>
      <c r="Q800" s="31">
        <f t="shared" ca="1" si="606"/>
        <v>0</v>
      </c>
      <c r="R800" s="31">
        <f t="shared" ca="1" si="607"/>
        <v>0</v>
      </c>
      <c r="S800" s="31">
        <f t="shared" ca="1" si="608"/>
        <v>0</v>
      </c>
      <c r="T800" s="32">
        <f t="shared" ca="1" si="609"/>
        <v>0</v>
      </c>
      <c r="U800" s="37">
        <f t="shared" ca="1" si="628"/>
        <v>0</v>
      </c>
      <c r="V800" s="40">
        <f t="shared" ca="1" si="610"/>
        <v>0</v>
      </c>
      <c r="W800" s="41">
        <f t="shared" ca="1" si="611"/>
        <v>0</v>
      </c>
      <c r="X800" s="43"/>
      <c r="Y800" s="46"/>
      <c r="Z800" s="126"/>
      <c r="AA800" s="136"/>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824">
        <f t="shared" ca="1" si="612"/>
        <v>0</v>
      </c>
      <c r="BM800" s="824">
        <f t="shared" ca="1" si="613"/>
        <v>0</v>
      </c>
      <c r="BN800" s="824">
        <f t="shared" ca="1" si="614"/>
        <v>0</v>
      </c>
      <c r="BO800" s="824">
        <f t="shared" ca="1" si="625"/>
        <v>0</v>
      </c>
      <c r="BP800" s="824">
        <f t="shared" ca="1" si="625"/>
        <v>0</v>
      </c>
      <c r="BQ800" s="824">
        <f t="shared" ca="1" si="625"/>
        <v>0</v>
      </c>
      <c r="BR800" s="824">
        <f t="shared" ca="1" si="625"/>
        <v>0</v>
      </c>
      <c r="BS800" s="824">
        <f t="shared" ca="1" si="625"/>
        <v>0</v>
      </c>
      <c r="BT800" s="824">
        <f t="shared" ca="1" si="625"/>
        <v>0</v>
      </c>
      <c r="BU800" s="824">
        <f t="shared" ca="1" si="625"/>
        <v>0</v>
      </c>
      <c r="BV800" s="824">
        <f t="shared" ca="1" si="625"/>
        <v>0</v>
      </c>
      <c r="BW800" s="824">
        <f t="shared" ca="1" si="625"/>
        <v>0</v>
      </c>
      <c r="BX800" s="824">
        <f t="shared" ca="1" si="625"/>
        <v>0</v>
      </c>
      <c r="BY800" s="824">
        <f t="shared" ca="1" si="625"/>
        <v>0</v>
      </c>
      <c r="BZ800" s="824">
        <f t="shared" ca="1" si="625"/>
        <v>0</v>
      </c>
      <c r="CA800" s="824">
        <f t="shared" ca="1" si="625"/>
        <v>0</v>
      </c>
      <c r="CB800" s="824">
        <f t="shared" ca="1" si="625"/>
        <v>0</v>
      </c>
      <c r="CC800" s="824">
        <f t="shared" ca="1" si="625"/>
        <v>0</v>
      </c>
      <c r="CD800" s="824">
        <f t="shared" ca="1" si="625"/>
        <v>0</v>
      </c>
      <c r="CE800" s="824">
        <f t="shared" ca="1" si="624"/>
        <v>0</v>
      </c>
      <c r="CF800" s="824">
        <f t="shared" ca="1" si="624"/>
        <v>0</v>
      </c>
      <c r="CG800" s="824">
        <f t="shared" ca="1" si="624"/>
        <v>0</v>
      </c>
      <c r="CH800" s="824">
        <f t="shared" ca="1" si="624"/>
        <v>0</v>
      </c>
      <c r="CI800" s="824">
        <f t="shared" ca="1" si="624"/>
        <v>0</v>
      </c>
      <c r="CJ800" s="824">
        <f t="shared" ca="1" si="624"/>
        <v>0</v>
      </c>
      <c r="CK800" s="824">
        <f t="shared" ca="1" si="624"/>
        <v>0</v>
      </c>
      <c r="CL800" s="824">
        <f t="shared" ca="1" si="624"/>
        <v>0</v>
      </c>
      <c r="CM800" s="824">
        <f t="shared" ca="1" si="624"/>
        <v>0</v>
      </c>
      <c r="CN800" s="824">
        <f t="shared" ca="1" si="624"/>
        <v>0</v>
      </c>
      <c r="CO800" s="824">
        <f t="shared" ca="1" si="624"/>
        <v>0</v>
      </c>
      <c r="CP800" s="824">
        <f t="shared" ca="1" si="624"/>
        <v>0</v>
      </c>
      <c r="CQ800" s="824">
        <f t="shared" ca="1" si="624"/>
        <v>0</v>
      </c>
      <c r="CR800" s="824">
        <f t="shared" ca="1" si="624"/>
        <v>0</v>
      </c>
      <c r="CS800" s="824">
        <f t="shared" ca="1" si="624"/>
        <v>0</v>
      </c>
      <c r="CT800" s="824">
        <f t="shared" ca="1" si="627"/>
        <v>0</v>
      </c>
      <c r="CU800" s="824">
        <f t="shared" ca="1" si="627"/>
        <v>0</v>
      </c>
      <c r="CV800" s="824">
        <f t="shared" ca="1" si="627"/>
        <v>0</v>
      </c>
      <c r="CW800" s="824">
        <f t="shared" ca="1" si="627"/>
        <v>0</v>
      </c>
      <c r="CX800" s="824">
        <f t="shared" ca="1" si="627"/>
        <v>0</v>
      </c>
      <c r="CY800" s="824">
        <f t="shared" ca="1" si="627"/>
        <v>0</v>
      </c>
      <c r="CZ800" s="824">
        <f t="shared" ca="1" si="627"/>
        <v>0</v>
      </c>
      <c r="DA800" s="824">
        <f t="shared" ca="1" si="627"/>
        <v>0</v>
      </c>
      <c r="DB800" s="824">
        <f t="shared" ca="1" si="627"/>
        <v>0</v>
      </c>
      <c r="DC800" s="824">
        <f t="shared" ca="1" si="627"/>
        <v>0</v>
      </c>
      <c r="DD800" s="824">
        <f t="shared" ca="1" si="627"/>
        <v>0</v>
      </c>
      <c r="DE800" s="824">
        <f t="shared" ca="1" si="627"/>
        <v>0</v>
      </c>
      <c r="DF800" s="824">
        <f t="shared" ca="1" si="627"/>
        <v>0</v>
      </c>
      <c r="DG800" s="824">
        <f t="shared" ca="1" si="627"/>
        <v>0</v>
      </c>
      <c r="DH800" s="824">
        <f t="shared" ca="1" si="627"/>
        <v>0</v>
      </c>
      <c r="DI800" s="824">
        <f t="shared" ca="1" si="627"/>
        <v>0</v>
      </c>
      <c r="DJ800" s="824">
        <f t="shared" ca="1" si="590"/>
        <v>0</v>
      </c>
      <c r="DK800" s="824">
        <f t="shared" ca="1" si="590"/>
        <v>0</v>
      </c>
      <c r="DL800" s="824">
        <f t="shared" ca="1" si="590"/>
        <v>0</v>
      </c>
    </row>
    <row r="801" spans="2:116" ht="12" thickBot="1" x14ac:dyDescent="0.3">
      <c r="B801" s="1673"/>
      <c r="C801" s="1680"/>
      <c r="D801" s="15" t="s">
        <v>183</v>
      </c>
      <c r="E801" s="165"/>
      <c r="F801" s="116">
        <f ca="1">SUBTOTAL(109,'3.4 I&amp;W'!$X$188)</f>
        <v>0</v>
      </c>
      <c r="G801" s="116">
        <f ca="1">SUBTOTAL(109,'3.4 I&amp;W'!$Y$188)</f>
        <v>0</v>
      </c>
      <c r="H801" s="116">
        <f ca="1">SUBTOTAL(109,'3.4 I&amp;W'!$AD$188)</f>
        <v>2.4037706591677386E-3</v>
      </c>
      <c r="I801" s="116">
        <f ca="1">SUBTOTAL(109,'3.4 I&amp;W'!$AE$188)</f>
        <v>368</v>
      </c>
      <c r="J801" s="116"/>
      <c r="K801" s="116"/>
      <c r="L801" s="116"/>
      <c r="M801" s="116">
        <f ca="1">SUBTOTAL(109,'3.4 I&amp;W'!$AI$188)</f>
        <v>50</v>
      </c>
      <c r="N801" s="156">
        <f t="shared" ca="1" si="615"/>
        <v>0</v>
      </c>
      <c r="O801" s="116">
        <f ca="1">SUBTOTAL(109,'3.4 I&amp;W'!$S$188)</f>
        <v>153092.80799999999</v>
      </c>
      <c r="P801" s="30">
        <f t="shared" ca="1" si="605"/>
        <v>0</v>
      </c>
      <c r="Q801" s="31">
        <f t="shared" ca="1" si="606"/>
        <v>0</v>
      </c>
      <c r="R801" s="31">
        <f t="shared" ca="1" si="607"/>
        <v>0</v>
      </c>
      <c r="S801" s="31">
        <f t="shared" ca="1" si="608"/>
        <v>0</v>
      </c>
      <c r="T801" s="32">
        <f t="shared" ca="1" si="609"/>
        <v>0</v>
      </c>
      <c r="U801" s="37">
        <f t="shared" ca="1" si="628"/>
        <v>22965.18942201394</v>
      </c>
      <c r="V801" s="40">
        <f t="shared" ca="1" si="610"/>
        <v>0</v>
      </c>
      <c r="W801" s="41">
        <f t="shared" ca="1" si="611"/>
        <v>11820.823048403066</v>
      </c>
      <c r="X801" s="43"/>
      <c r="Y801" s="46"/>
      <c r="Z801" s="126"/>
      <c r="AA801" s="136"/>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824">
        <f t="shared" ca="1" si="612"/>
        <v>50</v>
      </c>
      <c r="BM801" s="824">
        <f t="shared" ca="1" si="613"/>
        <v>0</v>
      </c>
      <c r="BN801" s="824">
        <f t="shared" ca="1" si="614"/>
        <v>153092.80799999999</v>
      </c>
      <c r="BO801" s="824">
        <f t="shared" ca="1" si="625"/>
        <v>0</v>
      </c>
      <c r="BP801" s="824">
        <f t="shared" ca="1" si="625"/>
        <v>0</v>
      </c>
      <c r="BQ801" s="824">
        <f t="shared" ca="1" si="625"/>
        <v>0</v>
      </c>
      <c r="BR801" s="824">
        <f t="shared" ca="1" si="625"/>
        <v>0</v>
      </c>
      <c r="BS801" s="824">
        <f t="shared" ca="1" si="625"/>
        <v>0</v>
      </c>
      <c r="BT801" s="824">
        <f t="shared" ca="1" si="625"/>
        <v>0</v>
      </c>
      <c r="BU801" s="824">
        <f t="shared" ca="1" si="625"/>
        <v>0</v>
      </c>
      <c r="BV801" s="824">
        <f t="shared" ca="1" si="625"/>
        <v>0</v>
      </c>
      <c r="BW801" s="824">
        <f t="shared" ca="1" si="625"/>
        <v>0</v>
      </c>
      <c r="BX801" s="824">
        <f t="shared" ca="1" si="625"/>
        <v>0</v>
      </c>
      <c r="BY801" s="824">
        <f t="shared" ca="1" si="625"/>
        <v>0</v>
      </c>
      <c r="BZ801" s="824">
        <f t="shared" ca="1" si="625"/>
        <v>0</v>
      </c>
      <c r="CA801" s="824">
        <f t="shared" ca="1" si="625"/>
        <v>0</v>
      </c>
      <c r="CB801" s="824">
        <f t="shared" ca="1" si="625"/>
        <v>0</v>
      </c>
      <c r="CC801" s="824">
        <f t="shared" ca="1" si="625"/>
        <v>0</v>
      </c>
      <c r="CD801" s="824">
        <f t="shared" ca="1" si="625"/>
        <v>0</v>
      </c>
      <c r="CE801" s="824">
        <f t="shared" ca="1" si="624"/>
        <v>0</v>
      </c>
      <c r="CF801" s="824">
        <f t="shared" ca="1" si="624"/>
        <v>0</v>
      </c>
      <c r="CG801" s="824">
        <f t="shared" ca="1" si="624"/>
        <v>0</v>
      </c>
      <c r="CH801" s="824">
        <f t="shared" ca="1" si="624"/>
        <v>0</v>
      </c>
      <c r="CI801" s="824">
        <f t="shared" ca="1" si="624"/>
        <v>0</v>
      </c>
      <c r="CJ801" s="824">
        <f t="shared" ca="1" si="624"/>
        <v>0</v>
      </c>
      <c r="CK801" s="824">
        <f t="shared" ca="1" si="624"/>
        <v>0</v>
      </c>
      <c r="CL801" s="824">
        <f t="shared" ca="1" si="624"/>
        <v>0</v>
      </c>
      <c r="CM801" s="824">
        <f t="shared" ca="1" si="624"/>
        <v>0</v>
      </c>
      <c r="CN801" s="824">
        <f t="shared" ca="1" si="624"/>
        <v>0</v>
      </c>
      <c r="CO801" s="824">
        <f t="shared" ca="1" si="624"/>
        <v>0</v>
      </c>
      <c r="CP801" s="824">
        <f t="shared" ca="1" si="624"/>
        <v>0</v>
      </c>
      <c r="CQ801" s="824">
        <f t="shared" ca="1" si="624"/>
        <v>0</v>
      </c>
      <c r="CR801" s="824">
        <f t="shared" ca="1" si="624"/>
        <v>0</v>
      </c>
      <c r="CS801" s="824">
        <f t="shared" ca="1" si="624"/>
        <v>0</v>
      </c>
      <c r="CT801" s="824">
        <f t="shared" ca="1" si="627"/>
        <v>0</v>
      </c>
      <c r="CU801" s="824">
        <f t="shared" ca="1" si="627"/>
        <v>0</v>
      </c>
      <c r="CV801" s="824">
        <f t="shared" ca="1" si="627"/>
        <v>0</v>
      </c>
      <c r="CW801" s="824">
        <f t="shared" ca="1" si="627"/>
        <v>0</v>
      </c>
      <c r="CX801" s="824">
        <f t="shared" ca="1" si="627"/>
        <v>0</v>
      </c>
      <c r="CY801" s="824">
        <f t="shared" ca="1" si="627"/>
        <v>0</v>
      </c>
      <c r="CZ801" s="824">
        <f t="shared" ca="1" si="627"/>
        <v>0</v>
      </c>
      <c r="DA801" s="824">
        <f t="shared" ca="1" si="627"/>
        <v>0</v>
      </c>
      <c r="DB801" s="824">
        <f t="shared" ca="1" si="627"/>
        <v>0</v>
      </c>
      <c r="DC801" s="824">
        <f t="shared" ca="1" si="627"/>
        <v>0</v>
      </c>
      <c r="DD801" s="824">
        <f t="shared" ca="1" si="627"/>
        <v>0</v>
      </c>
      <c r="DE801" s="824">
        <f t="shared" ca="1" si="627"/>
        <v>0</v>
      </c>
      <c r="DF801" s="824">
        <f t="shared" ca="1" si="627"/>
        <v>0</v>
      </c>
      <c r="DG801" s="824">
        <f t="shared" ca="1" si="627"/>
        <v>0</v>
      </c>
      <c r="DH801" s="824">
        <f t="shared" ca="1" si="627"/>
        <v>0</v>
      </c>
      <c r="DI801" s="824">
        <f t="shared" ca="1" si="627"/>
        <v>0</v>
      </c>
      <c r="DJ801" s="824">
        <f t="shared" ca="1" si="590"/>
        <v>0</v>
      </c>
      <c r="DK801" s="824">
        <f t="shared" ca="1" si="590"/>
        <v>0</v>
      </c>
      <c r="DL801" s="824">
        <f t="shared" ca="1" si="590"/>
        <v>0</v>
      </c>
    </row>
    <row r="802" spans="2:116" ht="12" thickBot="1" x14ac:dyDescent="0.3">
      <c r="B802" s="1673"/>
      <c r="C802" s="1680"/>
      <c r="D802" s="15" t="s">
        <v>183</v>
      </c>
      <c r="E802" s="116"/>
      <c r="F802" s="116">
        <f ca="1">SUBTOTAL(109,'3.4 I&amp;W'!$X$189)</f>
        <v>0</v>
      </c>
      <c r="G802" s="116">
        <f ca="1">SUBTOTAL(109,'3.4 I&amp;W'!$Y$189)</f>
        <v>0</v>
      </c>
      <c r="H802" s="116">
        <f ca="1">SUBTOTAL(109,'3.4 I&amp;W'!$AD$189)</f>
        <v>0</v>
      </c>
      <c r="I802" s="116">
        <f ca="1">SUBTOTAL(109,'3.4 I&amp;W'!$AE$189)</f>
        <v>0</v>
      </c>
      <c r="J802" s="116"/>
      <c r="K802" s="116"/>
      <c r="L802" s="116"/>
      <c r="M802" s="116">
        <f ca="1">SUBTOTAL(109,'3.4 I&amp;W'!$AI$189)</f>
        <v>0</v>
      </c>
      <c r="N802" s="156">
        <f t="shared" ca="1" si="615"/>
        <v>0</v>
      </c>
      <c r="O802" s="116">
        <f ca="1">SUBTOTAL(109,'3.4 I&amp;W'!$S$189)</f>
        <v>0</v>
      </c>
      <c r="P802" s="30">
        <f t="shared" ca="1" si="605"/>
        <v>0</v>
      </c>
      <c r="Q802" s="31">
        <f t="shared" ca="1" si="606"/>
        <v>0</v>
      </c>
      <c r="R802" s="31">
        <f t="shared" ca="1" si="607"/>
        <v>0</v>
      </c>
      <c r="S802" s="31">
        <f t="shared" ca="1" si="608"/>
        <v>0</v>
      </c>
      <c r="T802" s="32">
        <f t="shared" ca="1" si="609"/>
        <v>0</v>
      </c>
      <c r="U802" s="37">
        <f t="shared" ca="1" si="628"/>
        <v>0</v>
      </c>
      <c r="V802" s="40">
        <f t="shared" ca="1" si="610"/>
        <v>0</v>
      </c>
      <c r="W802" s="41">
        <f t="shared" ca="1" si="611"/>
        <v>0</v>
      </c>
      <c r="X802" s="43"/>
      <c r="Y802" s="46"/>
      <c r="Z802" s="126"/>
      <c r="AA802" s="136"/>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824">
        <f t="shared" ca="1" si="612"/>
        <v>0</v>
      </c>
      <c r="BM802" s="824">
        <f t="shared" ca="1" si="613"/>
        <v>0</v>
      </c>
      <c r="BN802" s="824">
        <f t="shared" ca="1" si="614"/>
        <v>0</v>
      </c>
      <c r="BO802" s="824">
        <f t="shared" ca="1" si="625"/>
        <v>0</v>
      </c>
      <c r="BP802" s="824">
        <f t="shared" ca="1" si="625"/>
        <v>0</v>
      </c>
      <c r="BQ802" s="824">
        <f t="shared" ca="1" si="625"/>
        <v>0</v>
      </c>
      <c r="BR802" s="824">
        <f t="shared" ca="1" si="625"/>
        <v>0</v>
      </c>
      <c r="BS802" s="824">
        <f t="shared" ca="1" si="625"/>
        <v>0</v>
      </c>
      <c r="BT802" s="824">
        <f t="shared" ca="1" si="625"/>
        <v>0</v>
      </c>
      <c r="BU802" s="824">
        <f t="shared" ca="1" si="625"/>
        <v>0</v>
      </c>
      <c r="BV802" s="824">
        <f t="shared" ca="1" si="625"/>
        <v>0</v>
      </c>
      <c r="BW802" s="824">
        <f t="shared" ca="1" si="625"/>
        <v>0</v>
      </c>
      <c r="BX802" s="824">
        <f t="shared" ca="1" si="625"/>
        <v>0</v>
      </c>
      <c r="BY802" s="824">
        <f t="shared" ca="1" si="625"/>
        <v>0</v>
      </c>
      <c r="BZ802" s="824">
        <f t="shared" ca="1" si="625"/>
        <v>0</v>
      </c>
      <c r="CA802" s="824">
        <f t="shared" ca="1" si="625"/>
        <v>0</v>
      </c>
      <c r="CB802" s="824">
        <f t="shared" ca="1" si="625"/>
        <v>0</v>
      </c>
      <c r="CC802" s="824">
        <f t="shared" ca="1" si="625"/>
        <v>0</v>
      </c>
      <c r="CD802" s="824">
        <f t="shared" ca="1" si="625"/>
        <v>0</v>
      </c>
      <c r="CE802" s="824">
        <f t="shared" ca="1" si="624"/>
        <v>0</v>
      </c>
      <c r="CF802" s="824">
        <f t="shared" ca="1" si="624"/>
        <v>0</v>
      </c>
      <c r="CG802" s="824">
        <f t="shared" ca="1" si="624"/>
        <v>0</v>
      </c>
      <c r="CH802" s="824">
        <f t="shared" ca="1" si="624"/>
        <v>0</v>
      </c>
      <c r="CI802" s="824">
        <f t="shared" ca="1" si="624"/>
        <v>0</v>
      </c>
      <c r="CJ802" s="824">
        <f t="shared" ca="1" si="624"/>
        <v>0</v>
      </c>
      <c r="CK802" s="824">
        <f t="shared" ca="1" si="624"/>
        <v>0</v>
      </c>
      <c r="CL802" s="824">
        <f t="shared" ca="1" si="624"/>
        <v>0</v>
      </c>
      <c r="CM802" s="824">
        <f t="shared" ca="1" si="624"/>
        <v>0</v>
      </c>
      <c r="CN802" s="824">
        <f t="shared" ca="1" si="624"/>
        <v>0</v>
      </c>
      <c r="CO802" s="824">
        <f t="shared" ca="1" si="624"/>
        <v>0</v>
      </c>
      <c r="CP802" s="824">
        <f t="shared" ca="1" si="624"/>
        <v>0</v>
      </c>
      <c r="CQ802" s="824">
        <f t="shared" ca="1" si="624"/>
        <v>0</v>
      </c>
      <c r="CR802" s="824">
        <f t="shared" ca="1" si="624"/>
        <v>0</v>
      </c>
      <c r="CS802" s="824">
        <f t="shared" ca="1" si="624"/>
        <v>0</v>
      </c>
      <c r="CT802" s="824">
        <f t="shared" ca="1" si="627"/>
        <v>0</v>
      </c>
      <c r="CU802" s="824">
        <f t="shared" ca="1" si="627"/>
        <v>0</v>
      </c>
      <c r="CV802" s="824">
        <f t="shared" ca="1" si="627"/>
        <v>0</v>
      </c>
      <c r="CW802" s="824">
        <f t="shared" ca="1" si="627"/>
        <v>0</v>
      </c>
      <c r="CX802" s="824">
        <f t="shared" ca="1" si="627"/>
        <v>0</v>
      </c>
      <c r="CY802" s="824">
        <f t="shared" ca="1" si="627"/>
        <v>0</v>
      </c>
      <c r="CZ802" s="824">
        <f t="shared" ca="1" si="627"/>
        <v>0</v>
      </c>
      <c r="DA802" s="824">
        <f t="shared" ca="1" si="627"/>
        <v>0</v>
      </c>
      <c r="DB802" s="824">
        <f t="shared" ca="1" si="627"/>
        <v>0</v>
      </c>
      <c r="DC802" s="824">
        <f t="shared" ca="1" si="627"/>
        <v>0</v>
      </c>
      <c r="DD802" s="824">
        <f t="shared" ca="1" si="627"/>
        <v>0</v>
      </c>
      <c r="DE802" s="824">
        <f t="shared" ca="1" si="627"/>
        <v>0</v>
      </c>
      <c r="DF802" s="824">
        <f t="shared" ca="1" si="627"/>
        <v>0</v>
      </c>
      <c r="DG802" s="824">
        <f t="shared" ca="1" si="627"/>
        <v>0</v>
      </c>
      <c r="DH802" s="824">
        <f t="shared" ca="1" si="627"/>
        <v>0</v>
      </c>
      <c r="DI802" s="824">
        <f t="shared" ca="1" si="627"/>
        <v>0</v>
      </c>
      <c r="DJ802" s="824">
        <f t="shared" ca="1" si="590"/>
        <v>0</v>
      </c>
      <c r="DK802" s="824">
        <f t="shared" ca="1" si="590"/>
        <v>0</v>
      </c>
      <c r="DL802" s="824">
        <f t="shared" ca="1" si="590"/>
        <v>0</v>
      </c>
    </row>
    <row r="803" spans="2:116" ht="12" thickBot="1" x14ac:dyDescent="0.3">
      <c r="B803" s="1673"/>
      <c r="C803" s="1680"/>
      <c r="D803" s="15" t="s">
        <v>183</v>
      </c>
      <c r="E803" s="165"/>
      <c r="F803" s="116">
        <f ca="1">SUBTOTAL(109,'3.4 I&amp;W'!$X$190)</f>
        <v>0</v>
      </c>
      <c r="G803" s="116">
        <f ca="1">SUBTOTAL(109,'3.4 I&amp;W'!$Y$190)</f>
        <v>0</v>
      </c>
      <c r="H803" s="116">
        <f ca="1">SUBTOTAL(109,'3.4 I&amp;W'!$AD$190)</f>
        <v>0</v>
      </c>
      <c r="I803" s="116">
        <f ca="1">SUBTOTAL(109,'3.4 I&amp;W'!$AE$190)</f>
        <v>0</v>
      </c>
      <c r="J803" s="116"/>
      <c r="K803" s="116"/>
      <c r="L803" s="116"/>
      <c r="M803" s="116">
        <f ca="1">SUBTOTAL(109,'3.4 I&amp;W'!$AI$190)</f>
        <v>0</v>
      </c>
      <c r="N803" s="156">
        <f t="shared" ca="1" si="615"/>
        <v>0</v>
      </c>
      <c r="O803" s="116">
        <f ca="1">SUBTOTAL(109,'3.4 I&amp;W'!$S$190)</f>
        <v>0</v>
      </c>
      <c r="P803" s="30">
        <f t="shared" ca="1" si="605"/>
        <v>0</v>
      </c>
      <c r="Q803" s="31">
        <f t="shared" ca="1" si="606"/>
        <v>0</v>
      </c>
      <c r="R803" s="31">
        <f t="shared" ca="1" si="607"/>
        <v>0</v>
      </c>
      <c r="S803" s="31">
        <f t="shared" ca="1" si="608"/>
        <v>0</v>
      </c>
      <c r="T803" s="32">
        <f t="shared" ca="1" si="609"/>
        <v>0</v>
      </c>
      <c r="U803" s="37">
        <f t="shared" ca="1" si="628"/>
        <v>0</v>
      </c>
      <c r="V803" s="40">
        <f t="shared" ca="1" si="610"/>
        <v>0</v>
      </c>
      <c r="W803" s="41">
        <f t="shared" ca="1" si="611"/>
        <v>0</v>
      </c>
      <c r="X803" s="43"/>
      <c r="Y803" s="46"/>
      <c r="Z803" s="126"/>
      <c r="AA803" s="136"/>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824">
        <f t="shared" ca="1" si="612"/>
        <v>0</v>
      </c>
      <c r="BM803" s="824">
        <f t="shared" ca="1" si="613"/>
        <v>0</v>
      </c>
      <c r="BN803" s="824">
        <f t="shared" ca="1" si="614"/>
        <v>0</v>
      </c>
      <c r="BO803" s="824">
        <f t="shared" ca="1" si="625"/>
        <v>0</v>
      </c>
      <c r="BP803" s="824">
        <f t="shared" ca="1" si="625"/>
        <v>0</v>
      </c>
      <c r="BQ803" s="824">
        <f t="shared" ca="1" si="625"/>
        <v>0</v>
      </c>
      <c r="BR803" s="824">
        <f t="shared" ca="1" si="625"/>
        <v>0</v>
      </c>
      <c r="BS803" s="824">
        <f t="shared" ca="1" si="625"/>
        <v>0</v>
      </c>
      <c r="BT803" s="824">
        <f t="shared" ca="1" si="625"/>
        <v>0</v>
      </c>
      <c r="BU803" s="824">
        <f t="shared" ca="1" si="625"/>
        <v>0</v>
      </c>
      <c r="BV803" s="824">
        <f t="shared" ca="1" si="625"/>
        <v>0</v>
      </c>
      <c r="BW803" s="824">
        <f t="shared" ca="1" si="625"/>
        <v>0</v>
      </c>
      <c r="BX803" s="824">
        <f t="shared" ca="1" si="625"/>
        <v>0</v>
      </c>
      <c r="BY803" s="824">
        <f t="shared" ca="1" si="625"/>
        <v>0</v>
      </c>
      <c r="BZ803" s="824">
        <f t="shared" ca="1" si="625"/>
        <v>0</v>
      </c>
      <c r="CA803" s="824">
        <f t="shared" ca="1" si="625"/>
        <v>0</v>
      </c>
      <c r="CB803" s="824">
        <f t="shared" ca="1" si="625"/>
        <v>0</v>
      </c>
      <c r="CC803" s="824">
        <f t="shared" ca="1" si="625"/>
        <v>0</v>
      </c>
      <c r="CD803" s="824">
        <f t="shared" ca="1" si="625"/>
        <v>0</v>
      </c>
      <c r="CE803" s="824">
        <f t="shared" ca="1" si="624"/>
        <v>0</v>
      </c>
      <c r="CF803" s="824">
        <f t="shared" ca="1" si="624"/>
        <v>0</v>
      </c>
      <c r="CG803" s="824">
        <f t="shared" ca="1" si="624"/>
        <v>0</v>
      </c>
      <c r="CH803" s="824">
        <f t="shared" ca="1" si="624"/>
        <v>0</v>
      </c>
      <c r="CI803" s="824">
        <f t="shared" ca="1" si="624"/>
        <v>0</v>
      </c>
      <c r="CJ803" s="824">
        <f t="shared" ca="1" si="624"/>
        <v>0</v>
      </c>
      <c r="CK803" s="824">
        <f t="shared" ca="1" si="624"/>
        <v>0</v>
      </c>
      <c r="CL803" s="824">
        <f t="shared" ca="1" si="624"/>
        <v>0</v>
      </c>
      <c r="CM803" s="824">
        <f t="shared" ca="1" si="624"/>
        <v>0</v>
      </c>
      <c r="CN803" s="824">
        <f t="shared" ca="1" si="624"/>
        <v>0</v>
      </c>
      <c r="CO803" s="824">
        <f t="shared" ca="1" si="624"/>
        <v>0</v>
      </c>
      <c r="CP803" s="824">
        <f t="shared" ca="1" si="624"/>
        <v>0</v>
      </c>
      <c r="CQ803" s="824">
        <f t="shared" ca="1" si="624"/>
        <v>0</v>
      </c>
      <c r="CR803" s="824">
        <f t="shared" ca="1" si="624"/>
        <v>0</v>
      </c>
      <c r="CS803" s="824">
        <f t="shared" ca="1" si="624"/>
        <v>0</v>
      </c>
      <c r="CT803" s="824">
        <f t="shared" ca="1" si="627"/>
        <v>0</v>
      </c>
      <c r="CU803" s="824">
        <f t="shared" ca="1" si="627"/>
        <v>0</v>
      </c>
      <c r="CV803" s="824">
        <f t="shared" ca="1" si="627"/>
        <v>0</v>
      </c>
      <c r="CW803" s="824">
        <f t="shared" ca="1" si="627"/>
        <v>0</v>
      </c>
      <c r="CX803" s="824">
        <f t="shared" ca="1" si="627"/>
        <v>0</v>
      </c>
      <c r="CY803" s="824">
        <f t="shared" ca="1" si="627"/>
        <v>0</v>
      </c>
      <c r="CZ803" s="824">
        <f t="shared" ca="1" si="627"/>
        <v>0</v>
      </c>
      <c r="DA803" s="824">
        <f t="shared" ca="1" si="627"/>
        <v>0</v>
      </c>
      <c r="DB803" s="824">
        <f t="shared" ca="1" si="627"/>
        <v>0</v>
      </c>
      <c r="DC803" s="824">
        <f t="shared" ca="1" si="627"/>
        <v>0</v>
      </c>
      <c r="DD803" s="824">
        <f t="shared" ca="1" si="627"/>
        <v>0</v>
      </c>
      <c r="DE803" s="824">
        <f t="shared" ca="1" si="627"/>
        <v>0</v>
      </c>
      <c r="DF803" s="824">
        <f t="shared" ca="1" si="627"/>
        <v>0</v>
      </c>
      <c r="DG803" s="824">
        <f t="shared" ca="1" si="627"/>
        <v>0</v>
      </c>
      <c r="DH803" s="824">
        <f t="shared" ca="1" si="627"/>
        <v>0</v>
      </c>
      <c r="DI803" s="824">
        <f t="shared" ca="1" si="627"/>
        <v>0</v>
      </c>
      <c r="DJ803" s="824">
        <f t="shared" ca="1" si="590"/>
        <v>0</v>
      </c>
      <c r="DK803" s="824">
        <f t="shared" ca="1" si="590"/>
        <v>0</v>
      </c>
      <c r="DL803" s="824">
        <f t="shared" ca="1" si="590"/>
        <v>0</v>
      </c>
    </row>
    <row r="804" spans="2:116" ht="12" thickBot="1" x14ac:dyDescent="0.3">
      <c r="B804" s="1673"/>
      <c r="C804" s="1680"/>
      <c r="D804" s="15" t="s">
        <v>183</v>
      </c>
      <c r="E804" s="116"/>
      <c r="F804" s="116">
        <f ca="1">SUBTOTAL(109,'3.4 I&amp;W'!$X$191)</f>
        <v>0</v>
      </c>
      <c r="G804" s="116">
        <f ca="1">SUBTOTAL(109,'3.4 I&amp;W'!$Y$191)</f>
        <v>0</v>
      </c>
      <c r="H804" s="116">
        <f ca="1">SUBTOTAL(109,'3.4 I&amp;W'!$AD$191)</f>
        <v>0</v>
      </c>
      <c r="I804" s="116">
        <f ca="1">SUBTOTAL(109,'3.4 I&amp;W'!$AE$191)</f>
        <v>0</v>
      </c>
      <c r="J804" s="116"/>
      <c r="K804" s="116"/>
      <c r="L804" s="116"/>
      <c r="M804" s="116">
        <f ca="1">SUBTOTAL(109,'3.4 I&amp;W'!$AI$191)</f>
        <v>0</v>
      </c>
      <c r="N804" s="156">
        <f t="shared" ca="1" si="615"/>
        <v>0</v>
      </c>
      <c r="O804" s="116">
        <f ca="1">SUBTOTAL(109,'3.4 I&amp;W'!$S$191)</f>
        <v>0</v>
      </c>
      <c r="P804" s="30">
        <f t="shared" ca="1" si="605"/>
        <v>0</v>
      </c>
      <c r="Q804" s="31">
        <f t="shared" ca="1" si="606"/>
        <v>0</v>
      </c>
      <c r="R804" s="31">
        <f t="shared" ca="1" si="607"/>
        <v>0</v>
      </c>
      <c r="S804" s="31">
        <f t="shared" ca="1" si="608"/>
        <v>0</v>
      </c>
      <c r="T804" s="32">
        <f t="shared" ca="1" si="609"/>
        <v>0</v>
      </c>
      <c r="U804" s="37">
        <f t="shared" ca="1" si="628"/>
        <v>0</v>
      </c>
      <c r="V804" s="40">
        <f t="shared" ca="1" si="610"/>
        <v>0</v>
      </c>
      <c r="W804" s="41">
        <f t="shared" ca="1" si="611"/>
        <v>0</v>
      </c>
      <c r="X804" s="43"/>
      <c r="Y804" s="46"/>
      <c r="Z804" s="126"/>
      <c r="AA804" s="136"/>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824">
        <f t="shared" ca="1" si="612"/>
        <v>0</v>
      </c>
      <c r="BM804" s="824">
        <f t="shared" ca="1" si="613"/>
        <v>0</v>
      </c>
      <c r="BN804" s="824">
        <f t="shared" ca="1" si="614"/>
        <v>0</v>
      </c>
      <c r="BO804" s="824">
        <f t="shared" ca="1" si="625"/>
        <v>0</v>
      </c>
      <c r="BP804" s="824">
        <f t="shared" ca="1" si="625"/>
        <v>0</v>
      </c>
      <c r="BQ804" s="824">
        <f t="shared" ca="1" si="625"/>
        <v>0</v>
      </c>
      <c r="BR804" s="824">
        <f t="shared" ca="1" si="625"/>
        <v>0</v>
      </c>
      <c r="BS804" s="824">
        <f t="shared" ca="1" si="625"/>
        <v>0</v>
      </c>
      <c r="BT804" s="824">
        <f t="shared" ca="1" si="625"/>
        <v>0</v>
      </c>
      <c r="BU804" s="824">
        <f t="shared" ca="1" si="625"/>
        <v>0</v>
      </c>
      <c r="BV804" s="824">
        <f t="shared" ca="1" si="625"/>
        <v>0</v>
      </c>
      <c r="BW804" s="824">
        <f t="shared" ca="1" si="625"/>
        <v>0</v>
      </c>
      <c r="BX804" s="824">
        <f t="shared" ca="1" si="625"/>
        <v>0</v>
      </c>
      <c r="BY804" s="824">
        <f t="shared" ca="1" si="625"/>
        <v>0</v>
      </c>
      <c r="BZ804" s="824">
        <f t="shared" ca="1" si="625"/>
        <v>0</v>
      </c>
      <c r="CA804" s="824">
        <f t="shared" ca="1" si="625"/>
        <v>0</v>
      </c>
      <c r="CB804" s="824">
        <f t="shared" ca="1" si="625"/>
        <v>0</v>
      </c>
      <c r="CC804" s="824">
        <f t="shared" ca="1" si="625"/>
        <v>0</v>
      </c>
      <c r="CD804" s="824">
        <f t="shared" ca="1" si="625"/>
        <v>0</v>
      </c>
      <c r="CE804" s="824">
        <f t="shared" ca="1" si="624"/>
        <v>0</v>
      </c>
      <c r="CF804" s="824">
        <f t="shared" ca="1" si="624"/>
        <v>0</v>
      </c>
      <c r="CG804" s="824">
        <f t="shared" ca="1" si="624"/>
        <v>0</v>
      </c>
      <c r="CH804" s="824">
        <f t="shared" ca="1" si="624"/>
        <v>0</v>
      </c>
      <c r="CI804" s="824">
        <f t="shared" ca="1" si="624"/>
        <v>0</v>
      </c>
      <c r="CJ804" s="824">
        <f t="shared" ca="1" si="624"/>
        <v>0</v>
      </c>
      <c r="CK804" s="824">
        <f t="shared" ca="1" si="624"/>
        <v>0</v>
      </c>
      <c r="CL804" s="824">
        <f t="shared" ca="1" si="624"/>
        <v>0</v>
      </c>
      <c r="CM804" s="824">
        <f t="shared" ca="1" si="624"/>
        <v>0</v>
      </c>
      <c r="CN804" s="824">
        <f t="shared" ca="1" si="624"/>
        <v>0</v>
      </c>
      <c r="CO804" s="824">
        <f t="shared" ca="1" si="624"/>
        <v>0</v>
      </c>
      <c r="CP804" s="824">
        <f t="shared" ca="1" si="624"/>
        <v>0</v>
      </c>
      <c r="CQ804" s="824">
        <f t="shared" ca="1" si="624"/>
        <v>0</v>
      </c>
      <c r="CR804" s="824">
        <f t="shared" ca="1" si="624"/>
        <v>0</v>
      </c>
      <c r="CS804" s="824">
        <f t="shared" ca="1" si="624"/>
        <v>0</v>
      </c>
      <c r="CT804" s="824">
        <f t="shared" ca="1" si="627"/>
        <v>0</v>
      </c>
      <c r="CU804" s="824">
        <f t="shared" ca="1" si="627"/>
        <v>0</v>
      </c>
      <c r="CV804" s="824">
        <f t="shared" ca="1" si="627"/>
        <v>0</v>
      </c>
      <c r="CW804" s="824">
        <f t="shared" ca="1" si="627"/>
        <v>0</v>
      </c>
      <c r="CX804" s="824">
        <f t="shared" ca="1" si="627"/>
        <v>0</v>
      </c>
      <c r="CY804" s="824">
        <f t="shared" ca="1" si="627"/>
        <v>0</v>
      </c>
      <c r="CZ804" s="824">
        <f t="shared" ca="1" si="627"/>
        <v>0</v>
      </c>
      <c r="DA804" s="824">
        <f t="shared" ca="1" si="627"/>
        <v>0</v>
      </c>
      <c r="DB804" s="824">
        <f t="shared" ca="1" si="627"/>
        <v>0</v>
      </c>
      <c r="DC804" s="824">
        <f t="shared" ca="1" si="627"/>
        <v>0</v>
      </c>
      <c r="DD804" s="824">
        <f t="shared" ca="1" si="627"/>
        <v>0</v>
      </c>
      <c r="DE804" s="824">
        <f t="shared" ca="1" si="627"/>
        <v>0</v>
      </c>
      <c r="DF804" s="824">
        <f t="shared" ca="1" si="627"/>
        <v>0</v>
      </c>
      <c r="DG804" s="824">
        <f t="shared" ca="1" si="627"/>
        <v>0</v>
      </c>
      <c r="DH804" s="824">
        <f t="shared" ca="1" si="627"/>
        <v>0</v>
      </c>
      <c r="DI804" s="824">
        <f t="shared" ca="1" si="627"/>
        <v>0</v>
      </c>
      <c r="DJ804" s="824">
        <f t="shared" ca="1" si="590"/>
        <v>0</v>
      </c>
      <c r="DK804" s="824">
        <f t="shared" ca="1" si="590"/>
        <v>0</v>
      </c>
      <c r="DL804" s="824">
        <f t="shared" ca="1" si="590"/>
        <v>0</v>
      </c>
    </row>
    <row r="805" spans="2:116" ht="12" thickBot="1" x14ac:dyDescent="0.3">
      <c r="B805" s="1673"/>
      <c r="C805" s="1680"/>
      <c r="D805" s="15" t="s">
        <v>183</v>
      </c>
      <c r="E805" s="165"/>
      <c r="F805" s="116">
        <f ca="1">SUBTOTAL(109,'3.4 I&amp;W'!$X$192)</f>
        <v>0</v>
      </c>
      <c r="G805" s="116">
        <f ca="1">SUBTOTAL(109,'3.4 I&amp;W'!$Y$192)</f>
        <v>0</v>
      </c>
      <c r="H805" s="116">
        <f ca="1">SUBTOTAL(109,'3.4 I&amp;W'!$AD$192)</f>
        <v>0</v>
      </c>
      <c r="I805" s="116">
        <f ca="1">SUBTOTAL(109,'3.4 I&amp;W'!$AE$192)</f>
        <v>0</v>
      </c>
      <c r="J805" s="116"/>
      <c r="K805" s="116"/>
      <c r="L805" s="116"/>
      <c r="M805" s="116">
        <f ca="1">SUBTOTAL(109,'3.4 I&amp;W'!$AI$192)</f>
        <v>0</v>
      </c>
      <c r="N805" s="156">
        <f t="shared" ca="1" si="615"/>
        <v>0</v>
      </c>
      <c r="O805" s="116">
        <f ca="1">SUBTOTAL(109,'3.4 I&amp;W'!$S$192)</f>
        <v>0</v>
      </c>
      <c r="P805" s="30">
        <f t="shared" ca="1" si="605"/>
        <v>0</v>
      </c>
      <c r="Q805" s="31">
        <f t="shared" ca="1" si="606"/>
        <v>0</v>
      </c>
      <c r="R805" s="31">
        <f t="shared" ca="1" si="607"/>
        <v>0</v>
      </c>
      <c r="S805" s="31">
        <f t="shared" ca="1" si="608"/>
        <v>0</v>
      </c>
      <c r="T805" s="32">
        <f t="shared" ca="1" si="609"/>
        <v>0</v>
      </c>
      <c r="U805" s="37">
        <f t="shared" ca="1" si="628"/>
        <v>0</v>
      </c>
      <c r="V805" s="40">
        <f t="shared" ca="1" si="610"/>
        <v>0</v>
      </c>
      <c r="W805" s="41">
        <f t="shared" ca="1" si="611"/>
        <v>0</v>
      </c>
      <c r="X805" s="43"/>
      <c r="Y805" s="46"/>
      <c r="Z805" s="126"/>
      <c r="AA805" s="136"/>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824">
        <f t="shared" ca="1" si="612"/>
        <v>0</v>
      </c>
      <c r="BM805" s="824">
        <f t="shared" ca="1" si="613"/>
        <v>0</v>
      </c>
      <c r="BN805" s="824">
        <f t="shared" ca="1" si="614"/>
        <v>0</v>
      </c>
      <c r="BO805" s="824">
        <f t="shared" ca="1" si="625"/>
        <v>0</v>
      </c>
      <c r="BP805" s="824">
        <f t="shared" ca="1" si="625"/>
        <v>0</v>
      </c>
      <c r="BQ805" s="824">
        <f t="shared" ca="1" si="625"/>
        <v>0</v>
      </c>
      <c r="BR805" s="824">
        <f t="shared" ca="1" si="625"/>
        <v>0</v>
      </c>
      <c r="BS805" s="824">
        <f t="shared" ca="1" si="625"/>
        <v>0</v>
      </c>
      <c r="BT805" s="824">
        <f t="shared" ca="1" si="625"/>
        <v>0</v>
      </c>
      <c r="BU805" s="824">
        <f t="shared" ca="1" si="625"/>
        <v>0</v>
      </c>
      <c r="BV805" s="824">
        <f t="shared" ca="1" si="625"/>
        <v>0</v>
      </c>
      <c r="BW805" s="824">
        <f t="shared" ca="1" si="625"/>
        <v>0</v>
      </c>
      <c r="BX805" s="824">
        <f t="shared" ca="1" si="625"/>
        <v>0</v>
      </c>
      <c r="BY805" s="824">
        <f t="shared" ca="1" si="625"/>
        <v>0</v>
      </c>
      <c r="BZ805" s="824">
        <f t="shared" ca="1" si="625"/>
        <v>0</v>
      </c>
      <c r="CA805" s="824">
        <f t="shared" ca="1" si="625"/>
        <v>0</v>
      </c>
      <c r="CB805" s="824">
        <f t="shared" ca="1" si="625"/>
        <v>0</v>
      </c>
      <c r="CC805" s="824">
        <f t="shared" ca="1" si="625"/>
        <v>0</v>
      </c>
      <c r="CD805" s="824">
        <f t="shared" ref="CD805:CS820" ca="1" si="629">IF(OR(IF($BL805*1&lt;$BL$196,$BL805*1=CD$198,FALSE),IF($BL805*2&lt;$BL$196,$BL805*2=CD$198,FALSE),IF($BL805*3&lt;$BL$196,$BL805*3=CD$198,FALSE),IF($BL805*4&lt;$BL$196,$BL805*4=CD$198,FALSE),IF($BL805*5&lt;$BL$196,$BL805*5=CD$198,FALSE)),$BN805*$BM$196^CD$198,0)</f>
        <v>0</v>
      </c>
      <c r="CE805" s="824">
        <f t="shared" ca="1" si="629"/>
        <v>0</v>
      </c>
      <c r="CF805" s="824">
        <f t="shared" ca="1" si="629"/>
        <v>0</v>
      </c>
      <c r="CG805" s="824">
        <f t="shared" ca="1" si="629"/>
        <v>0</v>
      </c>
      <c r="CH805" s="824">
        <f t="shared" ca="1" si="629"/>
        <v>0</v>
      </c>
      <c r="CI805" s="824">
        <f t="shared" ca="1" si="629"/>
        <v>0</v>
      </c>
      <c r="CJ805" s="824">
        <f t="shared" ca="1" si="629"/>
        <v>0</v>
      </c>
      <c r="CK805" s="824">
        <f t="shared" ca="1" si="629"/>
        <v>0</v>
      </c>
      <c r="CL805" s="824">
        <f t="shared" ca="1" si="629"/>
        <v>0</v>
      </c>
      <c r="CM805" s="824">
        <f t="shared" ca="1" si="629"/>
        <v>0</v>
      </c>
      <c r="CN805" s="824">
        <f t="shared" ca="1" si="629"/>
        <v>0</v>
      </c>
      <c r="CO805" s="824">
        <f t="shared" ca="1" si="629"/>
        <v>0</v>
      </c>
      <c r="CP805" s="824">
        <f t="shared" ca="1" si="629"/>
        <v>0</v>
      </c>
      <c r="CQ805" s="824">
        <f t="shared" ca="1" si="629"/>
        <v>0</v>
      </c>
      <c r="CR805" s="824">
        <f t="shared" ca="1" si="629"/>
        <v>0</v>
      </c>
      <c r="CS805" s="824">
        <f t="shared" ca="1" si="629"/>
        <v>0</v>
      </c>
      <c r="CT805" s="824">
        <f t="shared" ca="1" si="627"/>
        <v>0</v>
      </c>
      <c r="CU805" s="824">
        <f t="shared" ca="1" si="627"/>
        <v>0</v>
      </c>
      <c r="CV805" s="824">
        <f t="shared" ca="1" si="627"/>
        <v>0</v>
      </c>
      <c r="CW805" s="824">
        <f t="shared" ca="1" si="627"/>
        <v>0</v>
      </c>
      <c r="CX805" s="824">
        <f t="shared" ca="1" si="627"/>
        <v>0</v>
      </c>
      <c r="CY805" s="824">
        <f t="shared" ca="1" si="627"/>
        <v>0</v>
      </c>
      <c r="CZ805" s="824">
        <f t="shared" ca="1" si="627"/>
        <v>0</v>
      </c>
      <c r="DA805" s="824">
        <f t="shared" ca="1" si="627"/>
        <v>0</v>
      </c>
      <c r="DB805" s="824">
        <f t="shared" ca="1" si="627"/>
        <v>0</v>
      </c>
      <c r="DC805" s="824">
        <f t="shared" ca="1" si="627"/>
        <v>0</v>
      </c>
      <c r="DD805" s="824">
        <f t="shared" ca="1" si="627"/>
        <v>0</v>
      </c>
      <c r="DE805" s="824">
        <f t="shared" ca="1" si="627"/>
        <v>0</v>
      </c>
      <c r="DF805" s="824">
        <f t="shared" ca="1" si="627"/>
        <v>0</v>
      </c>
      <c r="DG805" s="824">
        <f t="shared" ca="1" si="627"/>
        <v>0</v>
      </c>
      <c r="DH805" s="824">
        <f t="shared" ca="1" si="627"/>
        <v>0</v>
      </c>
      <c r="DI805" s="824">
        <f t="shared" ca="1" si="627"/>
        <v>0</v>
      </c>
      <c r="DJ805" s="824">
        <f t="shared" ca="1" si="590"/>
        <v>0</v>
      </c>
      <c r="DK805" s="824">
        <f t="shared" ca="1" si="590"/>
        <v>0</v>
      </c>
      <c r="DL805" s="824">
        <f t="shared" ca="1" si="590"/>
        <v>0</v>
      </c>
    </row>
    <row r="806" spans="2:116" ht="12" thickBot="1" x14ac:dyDescent="0.3">
      <c r="B806" s="1673"/>
      <c r="C806" s="1680"/>
      <c r="D806" s="15" t="s">
        <v>183</v>
      </c>
      <c r="E806" s="116"/>
      <c r="F806" s="116">
        <f ca="1">SUBTOTAL(109,'3.4 I&amp;W'!$X$193)</f>
        <v>0</v>
      </c>
      <c r="G806" s="116">
        <f ca="1">SUBTOTAL(109,'3.4 I&amp;W'!$Y$193)</f>
        <v>0</v>
      </c>
      <c r="H806" s="116">
        <f ca="1">SUBTOTAL(109,'3.4 I&amp;W'!$AD$193)</f>
        <v>0</v>
      </c>
      <c r="I806" s="116">
        <f ca="1">SUBTOTAL(109,'3.4 I&amp;W'!$AE$193)</f>
        <v>0</v>
      </c>
      <c r="J806" s="116"/>
      <c r="K806" s="116"/>
      <c r="L806" s="116"/>
      <c r="M806" s="116">
        <f ca="1">SUBTOTAL(109,'3.4 I&amp;W'!$AI$193)</f>
        <v>0</v>
      </c>
      <c r="N806" s="156">
        <f t="shared" ca="1" si="615"/>
        <v>0</v>
      </c>
      <c r="O806" s="116">
        <f ca="1">SUBTOTAL(109,'3.4 I&amp;W'!$S$193)</f>
        <v>0</v>
      </c>
      <c r="P806" s="30">
        <f t="shared" ca="1" si="605"/>
        <v>0</v>
      </c>
      <c r="Q806" s="31">
        <f t="shared" ca="1" si="606"/>
        <v>0</v>
      </c>
      <c r="R806" s="31">
        <f t="shared" ca="1" si="607"/>
        <v>0</v>
      </c>
      <c r="S806" s="31">
        <f t="shared" ca="1" si="608"/>
        <v>0</v>
      </c>
      <c r="T806" s="32">
        <f t="shared" ca="1" si="609"/>
        <v>0</v>
      </c>
      <c r="U806" s="37">
        <f t="shared" ca="1" si="628"/>
        <v>0</v>
      </c>
      <c r="V806" s="40">
        <f t="shared" ca="1" si="610"/>
        <v>0</v>
      </c>
      <c r="W806" s="41">
        <f t="shared" ca="1" si="611"/>
        <v>0</v>
      </c>
      <c r="X806" s="43"/>
      <c r="Y806" s="46"/>
      <c r="Z806" s="126"/>
      <c r="AA806" s="136"/>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824">
        <f t="shared" ca="1" si="612"/>
        <v>0</v>
      </c>
      <c r="BM806" s="824">
        <f t="shared" ca="1" si="613"/>
        <v>0</v>
      </c>
      <c r="BN806" s="824">
        <f t="shared" ca="1" si="614"/>
        <v>0</v>
      </c>
      <c r="BO806" s="824">
        <f t="shared" ref="BO806:CD821" ca="1" si="630">IF(OR(IF($BL806*1&lt;$BL$196,$BL806*1=BO$198,FALSE),IF($BL806*2&lt;$BL$196,$BL806*2=BO$198,FALSE),IF($BL806*3&lt;$BL$196,$BL806*3=BO$198,FALSE),IF($BL806*4&lt;$BL$196,$BL806*4=BO$198,FALSE),IF($BL806*5&lt;$BL$196,$BL806*5=BO$198,FALSE)),$BN806*$BM$196^BO$198,0)</f>
        <v>0</v>
      </c>
      <c r="BP806" s="824">
        <f t="shared" ca="1" si="630"/>
        <v>0</v>
      </c>
      <c r="BQ806" s="824">
        <f t="shared" ca="1" si="630"/>
        <v>0</v>
      </c>
      <c r="BR806" s="824">
        <f t="shared" ca="1" si="630"/>
        <v>0</v>
      </c>
      <c r="BS806" s="824">
        <f t="shared" ca="1" si="630"/>
        <v>0</v>
      </c>
      <c r="BT806" s="824">
        <f t="shared" ca="1" si="630"/>
        <v>0</v>
      </c>
      <c r="BU806" s="824">
        <f t="shared" ca="1" si="630"/>
        <v>0</v>
      </c>
      <c r="BV806" s="824">
        <f t="shared" ca="1" si="630"/>
        <v>0</v>
      </c>
      <c r="BW806" s="824">
        <f t="shared" ca="1" si="630"/>
        <v>0</v>
      </c>
      <c r="BX806" s="824">
        <f t="shared" ca="1" si="630"/>
        <v>0</v>
      </c>
      <c r="BY806" s="824">
        <f t="shared" ca="1" si="630"/>
        <v>0</v>
      </c>
      <c r="BZ806" s="824">
        <f t="shared" ca="1" si="630"/>
        <v>0</v>
      </c>
      <c r="CA806" s="824">
        <f t="shared" ca="1" si="630"/>
        <v>0</v>
      </c>
      <c r="CB806" s="824">
        <f t="shared" ca="1" si="630"/>
        <v>0</v>
      </c>
      <c r="CC806" s="824">
        <f t="shared" ca="1" si="630"/>
        <v>0</v>
      </c>
      <c r="CD806" s="824">
        <f t="shared" ca="1" si="630"/>
        <v>0</v>
      </c>
      <c r="CE806" s="824">
        <f t="shared" ca="1" si="629"/>
        <v>0</v>
      </c>
      <c r="CF806" s="824">
        <f t="shared" ca="1" si="629"/>
        <v>0</v>
      </c>
      <c r="CG806" s="824">
        <f t="shared" ca="1" si="629"/>
        <v>0</v>
      </c>
      <c r="CH806" s="824">
        <f t="shared" ca="1" si="629"/>
        <v>0</v>
      </c>
      <c r="CI806" s="824">
        <f t="shared" ca="1" si="629"/>
        <v>0</v>
      </c>
      <c r="CJ806" s="824">
        <f t="shared" ca="1" si="629"/>
        <v>0</v>
      </c>
      <c r="CK806" s="824">
        <f t="shared" ca="1" si="629"/>
        <v>0</v>
      </c>
      <c r="CL806" s="824">
        <f t="shared" ca="1" si="629"/>
        <v>0</v>
      </c>
      <c r="CM806" s="824">
        <f t="shared" ca="1" si="629"/>
        <v>0</v>
      </c>
      <c r="CN806" s="824">
        <f t="shared" ca="1" si="629"/>
        <v>0</v>
      </c>
      <c r="CO806" s="824">
        <f t="shared" ca="1" si="629"/>
        <v>0</v>
      </c>
      <c r="CP806" s="824">
        <f t="shared" ca="1" si="629"/>
        <v>0</v>
      </c>
      <c r="CQ806" s="824">
        <f t="shared" ca="1" si="629"/>
        <v>0</v>
      </c>
      <c r="CR806" s="824">
        <f t="shared" ca="1" si="629"/>
        <v>0</v>
      </c>
      <c r="CS806" s="824">
        <f t="shared" ca="1" si="629"/>
        <v>0</v>
      </c>
      <c r="CT806" s="824">
        <f t="shared" ca="1" si="627"/>
        <v>0</v>
      </c>
      <c r="CU806" s="824">
        <f t="shared" ca="1" si="627"/>
        <v>0</v>
      </c>
      <c r="CV806" s="824">
        <f t="shared" ca="1" si="627"/>
        <v>0</v>
      </c>
      <c r="CW806" s="824">
        <f t="shared" ca="1" si="627"/>
        <v>0</v>
      </c>
      <c r="CX806" s="824">
        <f t="shared" ca="1" si="627"/>
        <v>0</v>
      </c>
      <c r="CY806" s="824">
        <f t="shared" ca="1" si="627"/>
        <v>0</v>
      </c>
      <c r="CZ806" s="824">
        <f t="shared" ca="1" si="627"/>
        <v>0</v>
      </c>
      <c r="DA806" s="824">
        <f t="shared" ca="1" si="627"/>
        <v>0</v>
      </c>
      <c r="DB806" s="824">
        <f t="shared" ca="1" si="627"/>
        <v>0</v>
      </c>
      <c r="DC806" s="824">
        <f t="shared" ca="1" si="627"/>
        <v>0</v>
      </c>
      <c r="DD806" s="824">
        <f t="shared" ca="1" si="627"/>
        <v>0</v>
      </c>
      <c r="DE806" s="824">
        <f t="shared" ca="1" si="627"/>
        <v>0</v>
      </c>
      <c r="DF806" s="824">
        <f t="shared" ca="1" si="627"/>
        <v>0</v>
      </c>
      <c r="DG806" s="824">
        <f t="shared" ca="1" si="627"/>
        <v>0</v>
      </c>
      <c r="DH806" s="824">
        <f t="shared" ca="1" si="627"/>
        <v>0</v>
      </c>
      <c r="DI806" s="824">
        <f t="shared" ref="DI806" ca="1" si="631">IF(OR(IF($BL806*1&lt;$BL$196,$BL806*1=DI$198,FALSE),IF($BL806*2&lt;$BL$196,$BL806*2=DI$198,FALSE),IF($BL806*3&lt;$BL$196,$BL806*3=DI$198,FALSE),IF($BL806*4&lt;$BL$196,$BL806*4=DI$198,FALSE),IF($BL806*5&lt;$BL$196,$BL806*5=DI$198,FALSE)),$BN806*$BM$196^DI$198,0)</f>
        <v>0</v>
      </c>
      <c r="DJ806" s="824">
        <f t="shared" ca="1" si="590"/>
        <v>0</v>
      </c>
      <c r="DK806" s="824">
        <f t="shared" ca="1" si="590"/>
        <v>0</v>
      </c>
      <c r="DL806" s="824">
        <f t="shared" ca="1" si="590"/>
        <v>0</v>
      </c>
    </row>
    <row r="807" spans="2:116" ht="12" thickBot="1" x14ac:dyDescent="0.3">
      <c r="B807" s="1673"/>
      <c r="C807" s="1680"/>
      <c r="D807" s="15" t="s">
        <v>183</v>
      </c>
      <c r="E807" s="165"/>
      <c r="F807" s="116">
        <f ca="1">SUBTOTAL(109,'3.4 I&amp;W'!$X$194)</f>
        <v>0</v>
      </c>
      <c r="G807" s="116">
        <f ca="1">SUBTOTAL(109,'3.4 I&amp;W'!$Y$194)</f>
        <v>0</v>
      </c>
      <c r="H807" s="116">
        <f ca="1">SUBTOTAL(109,'3.4 I&amp;W'!$AD$194)</f>
        <v>0</v>
      </c>
      <c r="I807" s="116">
        <f ca="1">SUBTOTAL(109,'3.4 I&amp;W'!$AE$194)</f>
        <v>0</v>
      </c>
      <c r="J807" s="116"/>
      <c r="K807" s="116"/>
      <c r="L807" s="116"/>
      <c r="M807" s="116">
        <f ca="1">SUBTOTAL(109,'3.4 I&amp;W'!$AI$194)</f>
        <v>0</v>
      </c>
      <c r="N807" s="156">
        <f t="shared" ca="1" si="615"/>
        <v>0</v>
      </c>
      <c r="O807" s="116">
        <f ca="1">SUBTOTAL(109,'3.4 I&amp;W'!$S$194)</f>
        <v>0</v>
      </c>
      <c r="P807" s="30">
        <f t="shared" ca="1" si="605"/>
        <v>0</v>
      </c>
      <c r="Q807" s="31">
        <f t="shared" ca="1" si="606"/>
        <v>0</v>
      </c>
      <c r="R807" s="31">
        <f t="shared" ca="1" si="607"/>
        <v>0</v>
      </c>
      <c r="S807" s="31">
        <f t="shared" ca="1" si="608"/>
        <v>0</v>
      </c>
      <c r="T807" s="32">
        <f t="shared" ca="1" si="609"/>
        <v>0</v>
      </c>
      <c r="U807" s="37">
        <f t="shared" ca="1" si="628"/>
        <v>0</v>
      </c>
      <c r="V807" s="40">
        <f t="shared" ca="1" si="610"/>
        <v>0</v>
      </c>
      <c r="W807" s="41">
        <f t="shared" ca="1" si="611"/>
        <v>0</v>
      </c>
      <c r="X807" s="43"/>
      <c r="Y807" s="46"/>
      <c r="Z807" s="126"/>
      <c r="AA807" s="136"/>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824">
        <f t="shared" ca="1" si="612"/>
        <v>0</v>
      </c>
      <c r="BM807" s="824">
        <f t="shared" ca="1" si="613"/>
        <v>0</v>
      </c>
      <c r="BN807" s="824">
        <f t="shared" ca="1" si="614"/>
        <v>0</v>
      </c>
      <c r="BO807" s="824">
        <f t="shared" ca="1" si="630"/>
        <v>0</v>
      </c>
      <c r="BP807" s="824">
        <f t="shared" ca="1" si="630"/>
        <v>0</v>
      </c>
      <c r="BQ807" s="824">
        <f t="shared" ca="1" si="630"/>
        <v>0</v>
      </c>
      <c r="BR807" s="824">
        <f t="shared" ca="1" si="630"/>
        <v>0</v>
      </c>
      <c r="BS807" s="824">
        <f t="shared" ca="1" si="630"/>
        <v>0</v>
      </c>
      <c r="BT807" s="824">
        <f t="shared" ca="1" si="630"/>
        <v>0</v>
      </c>
      <c r="BU807" s="824">
        <f t="shared" ca="1" si="630"/>
        <v>0</v>
      </c>
      <c r="BV807" s="824">
        <f t="shared" ca="1" si="630"/>
        <v>0</v>
      </c>
      <c r="BW807" s="824">
        <f t="shared" ca="1" si="630"/>
        <v>0</v>
      </c>
      <c r="BX807" s="824">
        <f t="shared" ca="1" si="630"/>
        <v>0</v>
      </c>
      <c r="BY807" s="824">
        <f t="shared" ca="1" si="630"/>
        <v>0</v>
      </c>
      <c r="BZ807" s="824">
        <f t="shared" ca="1" si="630"/>
        <v>0</v>
      </c>
      <c r="CA807" s="824">
        <f t="shared" ca="1" si="630"/>
        <v>0</v>
      </c>
      <c r="CB807" s="824">
        <f t="shared" ca="1" si="630"/>
        <v>0</v>
      </c>
      <c r="CC807" s="824">
        <f t="shared" ca="1" si="630"/>
        <v>0</v>
      </c>
      <c r="CD807" s="824">
        <f t="shared" ca="1" si="630"/>
        <v>0</v>
      </c>
      <c r="CE807" s="824">
        <f t="shared" ca="1" si="629"/>
        <v>0</v>
      </c>
      <c r="CF807" s="824">
        <f t="shared" ca="1" si="629"/>
        <v>0</v>
      </c>
      <c r="CG807" s="824">
        <f t="shared" ca="1" si="629"/>
        <v>0</v>
      </c>
      <c r="CH807" s="824">
        <f t="shared" ca="1" si="629"/>
        <v>0</v>
      </c>
      <c r="CI807" s="824">
        <f t="shared" ca="1" si="629"/>
        <v>0</v>
      </c>
      <c r="CJ807" s="824">
        <f t="shared" ca="1" si="629"/>
        <v>0</v>
      </c>
      <c r="CK807" s="824">
        <f t="shared" ca="1" si="629"/>
        <v>0</v>
      </c>
      <c r="CL807" s="824">
        <f t="shared" ca="1" si="629"/>
        <v>0</v>
      </c>
      <c r="CM807" s="824">
        <f t="shared" ca="1" si="629"/>
        <v>0</v>
      </c>
      <c r="CN807" s="824">
        <f t="shared" ca="1" si="629"/>
        <v>0</v>
      </c>
      <c r="CO807" s="824">
        <f t="shared" ca="1" si="629"/>
        <v>0</v>
      </c>
      <c r="CP807" s="824">
        <f t="shared" ca="1" si="629"/>
        <v>0</v>
      </c>
      <c r="CQ807" s="824">
        <f t="shared" ca="1" si="629"/>
        <v>0</v>
      </c>
      <c r="CR807" s="824">
        <f t="shared" ca="1" si="629"/>
        <v>0</v>
      </c>
      <c r="CS807" s="824">
        <f t="shared" ca="1" si="629"/>
        <v>0</v>
      </c>
      <c r="CT807" s="824">
        <f t="shared" ref="CT807:DI822" ca="1" si="632">IF(OR(IF($BL807*1&lt;$BL$196,$BL807*1=CT$198,FALSE),IF($BL807*2&lt;$BL$196,$BL807*2=CT$198,FALSE),IF($BL807*3&lt;$BL$196,$BL807*3=CT$198,FALSE),IF($BL807*4&lt;$BL$196,$BL807*4=CT$198,FALSE),IF($BL807*5&lt;$BL$196,$BL807*5=CT$198,FALSE)),$BN807*$BM$196^CT$198,0)</f>
        <v>0</v>
      </c>
      <c r="CU807" s="824">
        <f t="shared" ca="1" si="632"/>
        <v>0</v>
      </c>
      <c r="CV807" s="824">
        <f t="shared" ca="1" si="632"/>
        <v>0</v>
      </c>
      <c r="CW807" s="824">
        <f t="shared" ca="1" si="632"/>
        <v>0</v>
      </c>
      <c r="CX807" s="824">
        <f t="shared" ca="1" si="632"/>
        <v>0</v>
      </c>
      <c r="CY807" s="824">
        <f t="shared" ca="1" si="632"/>
        <v>0</v>
      </c>
      <c r="CZ807" s="824">
        <f t="shared" ca="1" si="632"/>
        <v>0</v>
      </c>
      <c r="DA807" s="824">
        <f t="shared" ca="1" si="632"/>
        <v>0</v>
      </c>
      <c r="DB807" s="824">
        <f t="shared" ca="1" si="632"/>
        <v>0</v>
      </c>
      <c r="DC807" s="824">
        <f t="shared" ca="1" si="632"/>
        <v>0</v>
      </c>
      <c r="DD807" s="824">
        <f t="shared" ca="1" si="632"/>
        <v>0</v>
      </c>
      <c r="DE807" s="824">
        <f t="shared" ca="1" si="632"/>
        <v>0</v>
      </c>
      <c r="DF807" s="824">
        <f t="shared" ca="1" si="632"/>
        <v>0</v>
      </c>
      <c r="DG807" s="824">
        <f t="shared" ca="1" si="632"/>
        <v>0</v>
      </c>
      <c r="DH807" s="824">
        <f t="shared" ca="1" si="632"/>
        <v>0</v>
      </c>
      <c r="DI807" s="824">
        <f t="shared" ca="1" si="632"/>
        <v>0</v>
      </c>
      <c r="DJ807" s="824">
        <f t="shared" ca="1" si="590"/>
        <v>0</v>
      </c>
      <c r="DK807" s="824">
        <f t="shared" ca="1" si="590"/>
        <v>0</v>
      </c>
      <c r="DL807" s="824">
        <f t="shared" ca="1" si="590"/>
        <v>0</v>
      </c>
    </row>
    <row r="808" spans="2:116" ht="12" thickBot="1" x14ac:dyDescent="0.3">
      <c r="B808" s="1673"/>
      <c r="C808" s="1680"/>
      <c r="D808" s="15" t="s">
        <v>15</v>
      </c>
      <c r="E808" s="116"/>
      <c r="F808" s="116">
        <f ca="1">SUBTOTAL(109,'3.4 I&amp;W'!$X$197)</f>
        <v>0</v>
      </c>
      <c r="G808" s="116">
        <f ca="1">SUBTOTAL(109,'3.4 I&amp;W'!$Y$197)</f>
        <v>0</v>
      </c>
      <c r="H808" s="116">
        <f ca="1">SUBTOTAL(109,'3.4 I&amp;W'!$AD$197)</f>
        <v>1.0183990766515039E-2</v>
      </c>
      <c r="I808" s="116">
        <f ca="1">SUBTOTAL(109,'3.4 I&amp;W'!$AE$197)</f>
        <v>360</v>
      </c>
      <c r="J808" s="116"/>
      <c r="K808" s="116"/>
      <c r="L808" s="116"/>
      <c r="M808" s="116">
        <f ca="1">SUBTOTAL(109,'3.4 I&amp;W'!$AI$197)</f>
        <v>25</v>
      </c>
      <c r="N808" s="156">
        <f t="shared" ca="1" si="615"/>
        <v>1</v>
      </c>
      <c r="O808" s="116">
        <f ca="1">SUBTOTAL(109,'3.4 I&amp;W'!$S$197)</f>
        <v>35349.599999999999</v>
      </c>
      <c r="P808" s="30">
        <f t="shared" ca="1" si="605"/>
        <v>32042.242915794082</v>
      </c>
      <c r="Q808" s="31">
        <f t="shared" ca="1" si="606"/>
        <v>0</v>
      </c>
      <c r="R808" s="31">
        <f t="shared" ca="1" si="607"/>
        <v>0</v>
      </c>
      <c r="S808" s="31">
        <f t="shared" ca="1" si="608"/>
        <v>0</v>
      </c>
      <c r="T808" s="32">
        <f t="shared" ca="1" si="609"/>
        <v>0</v>
      </c>
      <c r="U808" s="37">
        <f t="shared" ca="1" si="628"/>
        <v>15771.479700095048</v>
      </c>
      <c r="V808" s="40">
        <f t="shared" ca="1" si="610"/>
        <v>0</v>
      </c>
      <c r="W808" s="41">
        <f t="shared" ca="1" si="611"/>
        <v>11563.848634307347</v>
      </c>
      <c r="X808" s="43"/>
      <c r="Y808" s="46"/>
      <c r="Z808" s="126"/>
      <c r="AA808" s="136"/>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824">
        <f t="shared" ca="1" si="612"/>
        <v>25</v>
      </c>
      <c r="BM808" s="824">
        <f t="shared" ca="1" si="613"/>
        <v>1</v>
      </c>
      <c r="BN808" s="824">
        <f t="shared" ca="1" si="614"/>
        <v>35349.599999999999</v>
      </c>
      <c r="BO808" s="824">
        <f t="shared" ca="1" si="630"/>
        <v>0</v>
      </c>
      <c r="BP808" s="824">
        <f t="shared" ca="1" si="630"/>
        <v>0</v>
      </c>
      <c r="BQ808" s="824">
        <f t="shared" ca="1" si="630"/>
        <v>0</v>
      </c>
      <c r="BR808" s="824">
        <f t="shared" ca="1" si="630"/>
        <v>0</v>
      </c>
      <c r="BS808" s="824">
        <f t="shared" ca="1" si="630"/>
        <v>0</v>
      </c>
      <c r="BT808" s="824">
        <f t="shared" ca="1" si="630"/>
        <v>0</v>
      </c>
      <c r="BU808" s="824">
        <f t="shared" ca="1" si="630"/>
        <v>0</v>
      </c>
      <c r="BV808" s="824">
        <f t="shared" ca="1" si="630"/>
        <v>0</v>
      </c>
      <c r="BW808" s="824">
        <f t="shared" ca="1" si="630"/>
        <v>0</v>
      </c>
      <c r="BX808" s="824">
        <f t="shared" ca="1" si="630"/>
        <v>0</v>
      </c>
      <c r="BY808" s="824">
        <f t="shared" ca="1" si="630"/>
        <v>0</v>
      </c>
      <c r="BZ808" s="824">
        <f t="shared" ca="1" si="630"/>
        <v>0</v>
      </c>
      <c r="CA808" s="824">
        <f t="shared" ca="1" si="630"/>
        <v>0</v>
      </c>
      <c r="CB808" s="824">
        <f t="shared" ca="1" si="630"/>
        <v>0</v>
      </c>
      <c r="CC808" s="824">
        <f t="shared" ca="1" si="630"/>
        <v>0</v>
      </c>
      <c r="CD808" s="824">
        <f t="shared" ca="1" si="630"/>
        <v>0</v>
      </c>
      <c r="CE808" s="824">
        <f t="shared" ca="1" si="629"/>
        <v>0</v>
      </c>
      <c r="CF808" s="824">
        <f t="shared" ca="1" si="629"/>
        <v>0</v>
      </c>
      <c r="CG808" s="824">
        <f t="shared" ca="1" si="629"/>
        <v>0</v>
      </c>
      <c r="CH808" s="824">
        <f t="shared" ca="1" si="629"/>
        <v>0</v>
      </c>
      <c r="CI808" s="824">
        <f t="shared" ca="1" si="629"/>
        <v>0</v>
      </c>
      <c r="CJ808" s="824">
        <f t="shared" ca="1" si="629"/>
        <v>0</v>
      </c>
      <c r="CK808" s="824">
        <f t="shared" ca="1" si="629"/>
        <v>0</v>
      </c>
      <c r="CL808" s="824">
        <f t="shared" ca="1" si="629"/>
        <v>0</v>
      </c>
      <c r="CM808" s="824">
        <f t="shared" ca="1" si="629"/>
        <v>52568.695803746785</v>
      </c>
      <c r="CN808" s="824">
        <f t="shared" ca="1" si="629"/>
        <v>0</v>
      </c>
      <c r="CO808" s="824">
        <f t="shared" ca="1" si="629"/>
        <v>0</v>
      </c>
      <c r="CP808" s="824">
        <f t="shared" ca="1" si="629"/>
        <v>0</v>
      </c>
      <c r="CQ808" s="824">
        <f t="shared" ca="1" si="629"/>
        <v>0</v>
      </c>
      <c r="CR808" s="824">
        <f t="shared" ca="1" si="629"/>
        <v>0</v>
      </c>
      <c r="CS808" s="824">
        <f t="shared" ca="1" si="629"/>
        <v>0</v>
      </c>
      <c r="CT808" s="824">
        <f t="shared" ca="1" si="632"/>
        <v>0</v>
      </c>
      <c r="CU808" s="824">
        <f t="shared" ca="1" si="632"/>
        <v>0</v>
      </c>
      <c r="CV808" s="824">
        <f t="shared" ca="1" si="632"/>
        <v>0</v>
      </c>
      <c r="CW808" s="824">
        <f t="shared" ca="1" si="632"/>
        <v>0</v>
      </c>
      <c r="CX808" s="824">
        <f t="shared" ca="1" si="632"/>
        <v>0</v>
      </c>
      <c r="CY808" s="824">
        <f t="shared" ca="1" si="632"/>
        <v>0</v>
      </c>
      <c r="CZ808" s="824">
        <f t="shared" ca="1" si="632"/>
        <v>0</v>
      </c>
      <c r="DA808" s="824">
        <f t="shared" ca="1" si="632"/>
        <v>0</v>
      </c>
      <c r="DB808" s="824">
        <f t="shared" ca="1" si="632"/>
        <v>0</v>
      </c>
      <c r="DC808" s="824">
        <f t="shared" ca="1" si="632"/>
        <v>0</v>
      </c>
      <c r="DD808" s="824">
        <f t="shared" ca="1" si="632"/>
        <v>0</v>
      </c>
      <c r="DE808" s="824">
        <f t="shared" ca="1" si="632"/>
        <v>0</v>
      </c>
      <c r="DF808" s="824">
        <f t="shared" ca="1" si="632"/>
        <v>0</v>
      </c>
      <c r="DG808" s="824">
        <f t="shared" ca="1" si="632"/>
        <v>0</v>
      </c>
      <c r="DH808" s="824">
        <f t="shared" ca="1" si="632"/>
        <v>0</v>
      </c>
      <c r="DI808" s="824">
        <f t="shared" ca="1" si="632"/>
        <v>0</v>
      </c>
      <c r="DJ808" s="824">
        <f t="shared" ca="1" si="590"/>
        <v>0</v>
      </c>
      <c r="DK808" s="824">
        <f t="shared" ca="1" si="590"/>
        <v>0</v>
      </c>
      <c r="DL808" s="824">
        <f t="shared" ca="1" si="590"/>
        <v>0</v>
      </c>
    </row>
    <row r="809" spans="2:116" ht="12" thickBot="1" x14ac:dyDescent="0.3">
      <c r="B809" s="1673"/>
      <c r="C809" s="1680"/>
      <c r="D809" s="15" t="s">
        <v>15</v>
      </c>
      <c r="E809" s="165"/>
      <c r="F809" s="116">
        <f ca="1">SUBTOTAL(109,'3.4 I&amp;W'!$X$198)</f>
        <v>0</v>
      </c>
      <c r="G809" s="116">
        <f ca="1">SUBTOTAL(109,'3.4 I&amp;W'!$Y$198)</f>
        <v>0</v>
      </c>
      <c r="H809" s="116">
        <f ca="1">SUBTOTAL(109,'3.4 I&amp;W'!$AD$198)</f>
        <v>0</v>
      </c>
      <c r="I809" s="116">
        <f ca="1">SUBTOTAL(109,'3.4 I&amp;W'!$AE$198)</f>
        <v>0</v>
      </c>
      <c r="J809" s="116"/>
      <c r="K809" s="116"/>
      <c r="L809" s="116"/>
      <c r="M809" s="116">
        <f ca="1">SUBTOTAL(109,'3.4 I&amp;W'!$AI$198)</f>
        <v>0</v>
      </c>
      <c r="N809" s="156">
        <f t="shared" ca="1" si="615"/>
        <v>0</v>
      </c>
      <c r="O809" s="116">
        <f ca="1">SUBTOTAL(109,'3.4 I&amp;W'!$S$198)</f>
        <v>0</v>
      </c>
      <c r="P809" s="30">
        <f t="shared" ca="1" si="605"/>
        <v>0</v>
      </c>
      <c r="Q809" s="31">
        <f t="shared" ca="1" si="606"/>
        <v>0</v>
      </c>
      <c r="R809" s="31">
        <f t="shared" ca="1" si="607"/>
        <v>0</v>
      </c>
      <c r="S809" s="31">
        <f t="shared" ca="1" si="608"/>
        <v>0</v>
      </c>
      <c r="T809" s="32">
        <f t="shared" ca="1" si="609"/>
        <v>0</v>
      </c>
      <c r="U809" s="37">
        <f t="shared" ca="1" si="628"/>
        <v>0</v>
      </c>
      <c r="V809" s="40">
        <f t="shared" ca="1" si="610"/>
        <v>0</v>
      </c>
      <c r="W809" s="41">
        <f t="shared" ca="1" si="611"/>
        <v>0</v>
      </c>
      <c r="X809" s="43"/>
      <c r="Y809" s="46"/>
      <c r="Z809" s="126"/>
      <c r="AA809" s="136"/>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824">
        <f t="shared" ca="1" si="612"/>
        <v>0</v>
      </c>
      <c r="BM809" s="824">
        <f t="shared" ca="1" si="613"/>
        <v>0</v>
      </c>
      <c r="BN809" s="824">
        <f t="shared" ca="1" si="614"/>
        <v>0</v>
      </c>
      <c r="BO809" s="824">
        <f t="shared" ca="1" si="630"/>
        <v>0</v>
      </c>
      <c r="BP809" s="824">
        <f t="shared" ca="1" si="630"/>
        <v>0</v>
      </c>
      <c r="BQ809" s="824">
        <f t="shared" ca="1" si="630"/>
        <v>0</v>
      </c>
      <c r="BR809" s="824">
        <f t="shared" ca="1" si="630"/>
        <v>0</v>
      </c>
      <c r="BS809" s="824">
        <f t="shared" ca="1" si="630"/>
        <v>0</v>
      </c>
      <c r="BT809" s="824">
        <f t="shared" ca="1" si="630"/>
        <v>0</v>
      </c>
      <c r="BU809" s="824">
        <f t="shared" ca="1" si="630"/>
        <v>0</v>
      </c>
      <c r="BV809" s="824">
        <f t="shared" ca="1" si="630"/>
        <v>0</v>
      </c>
      <c r="BW809" s="824">
        <f t="shared" ca="1" si="630"/>
        <v>0</v>
      </c>
      <c r="BX809" s="824">
        <f t="shared" ca="1" si="630"/>
        <v>0</v>
      </c>
      <c r="BY809" s="824">
        <f t="shared" ca="1" si="630"/>
        <v>0</v>
      </c>
      <c r="BZ809" s="824">
        <f t="shared" ca="1" si="630"/>
        <v>0</v>
      </c>
      <c r="CA809" s="824">
        <f t="shared" ca="1" si="630"/>
        <v>0</v>
      </c>
      <c r="CB809" s="824">
        <f t="shared" ca="1" si="630"/>
        <v>0</v>
      </c>
      <c r="CC809" s="824">
        <f t="shared" ca="1" si="630"/>
        <v>0</v>
      </c>
      <c r="CD809" s="824">
        <f t="shared" ca="1" si="630"/>
        <v>0</v>
      </c>
      <c r="CE809" s="824">
        <f t="shared" ca="1" si="629"/>
        <v>0</v>
      </c>
      <c r="CF809" s="824">
        <f t="shared" ca="1" si="629"/>
        <v>0</v>
      </c>
      <c r="CG809" s="824">
        <f t="shared" ca="1" si="629"/>
        <v>0</v>
      </c>
      <c r="CH809" s="824">
        <f t="shared" ca="1" si="629"/>
        <v>0</v>
      </c>
      <c r="CI809" s="824">
        <f t="shared" ca="1" si="629"/>
        <v>0</v>
      </c>
      <c r="CJ809" s="824">
        <f t="shared" ca="1" si="629"/>
        <v>0</v>
      </c>
      <c r="CK809" s="824">
        <f t="shared" ca="1" si="629"/>
        <v>0</v>
      </c>
      <c r="CL809" s="824">
        <f t="shared" ca="1" si="629"/>
        <v>0</v>
      </c>
      <c r="CM809" s="824">
        <f t="shared" ca="1" si="629"/>
        <v>0</v>
      </c>
      <c r="CN809" s="824">
        <f t="shared" ca="1" si="629"/>
        <v>0</v>
      </c>
      <c r="CO809" s="824">
        <f t="shared" ca="1" si="629"/>
        <v>0</v>
      </c>
      <c r="CP809" s="824">
        <f t="shared" ca="1" si="629"/>
        <v>0</v>
      </c>
      <c r="CQ809" s="824">
        <f t="shared" ca="1" si="629"/>
        <v>0</v>
      </c>
      <c r="CR809" s="824">
        <f t="shared" ca="1" si="629"/>
        <v>0</v>
      </c>
      <c r="CS809" s="824">
        <f t="shared" ca="1" si="629"/>
        <v>0</v>
      </c>
      <c r="CT809" s="824">
        <f t="shared" ca="1" si="632"/>
        <v>0</v>
      </c>
      <c r="CU809" s="824">
        <f t="shared" ca="1" si="632"/>
        <v>0</v>
      </c>
      <c r="CV809" s="824">
        <f t="shared" ca="1" si="632"/>
        <v>0</v>
      </c>
      <c r="CW809" s="824">
        <f t="shared" ca="1" si="632"/>
        <v>0</v>
      </c>
      <c r="CX809" s="824">
        <f t="shared" ca="1" si="632"/>
        <v>0</v>
      </c>
      <c r="CY809" s="824">
        <f t="shared" ca="1" si="632"/>
        <v>0</v>
      </c>
      <c r="CZ809" s="824">
        <f t="shared" ca="1" si="632"/>
        <v>0</v>
      </c>
      <c r="DA809" s="824">
        <f t="shared" ca="1" si="632"/>
        <v>0</v>
      </c>
      <c r="DB809" s="824">
        <f t="shared" ca="1" si="632"/>
        <v>0</v>
      </c>
      <c r="DC809" s="824">
        <f t="shared" ca="1" si="632"/>
        <v>0</v>
      </c>
      <c r="DD809" s="824">
        <f t="shared" ca="1" si="632"/>
        <v>0</v>
      </c>
      <c r="DE809" s="824">
        <f t="shared" ca="1" si="632"/>
        <v>0</v>
      </c>
      <c r="DF809" s="824">
        <f t="shared" ca="1" si="632"/>
        <v>0</v>
      </c>
      <c r="DG809" s="824">
        <f t="shared" ca="1" si="632"/>
        <v>0</v>
      </c>
      <c r="DH809" s="824">
        <f t="shared" ca="1" si="632"/>
        <v>0</v>
      </c>
      <c r="DI809" s="824">
        <f t="shared" ca="1" si="632"/>
        <v>0</v>
      </c>
      <c r="DJ809" s="824">
        <f t="shared" ca="1" si="590"/>
        <v>0</v>
      </c>
      <c r="DK809" s="824">
        <f t="shared" ca="1" si="590"/>
        <v>0</v>
      </c>
      <c r="DL809" s="824">
        <f t="shared" ca="1" si="590"/>
        <v>0</v>
      </c>
    </row>
    <row r="810" spans="2:116" ht="12" thickBot="1" x14ac:dyDescent="0.3">
      <c r="B810" s="1673"/>
      <c r="C810" s="1680"/>
      <c r="D810" s="15" t="s">
        <v>15</v>
      </c>
      <c r="E810" s="116"/>
      <c r="F810" s="116">
        <f ca="1">SUBTOTAL(109,'3.4 I&amp;W'!$X$199)</f>
        <v>0</v>
      </c>
      <c r="G810" s="116">
        <f ca="1">SUBTOTAL(109,'3.4 I&amp;W'!$Y$199)</f>
        <v>0</v>
      </c>
      <c r="H810" s="116">
        <f ca="1">SUBTOTAL(109,'3.4 I&amp;W'!$AD$199)</f>
        <v>0</v>
      </c>
      <c r="I810" s="116">
        <f ca="1">SUBTOTAL(109,'3.4 I&amp;W'!$AE$199)</f>
        <v>0</v>
      </c>
      <c r="J810" s="116"/>
      <c r="K810" s="116"/>
      <c r="L810" s="116"/>
      <c r="M810" s="116">
        <f ca="1">SUBTOTAL(109,'3.4 I&amp;W'!$AI$199)</f>
        <v>0</v>
      </c>
      <c r="N810" s="156">
        <f t="shared" ca="1" si="615"/>
        <v>0</v>
      </c>
      <c r="O810" s="116">
        <f ca="1">SUBTOTAL(109,'3.4 I&amp;W'!$S$199)</f>
        <v>0</v>
      </c>
      <c r="P810" s="30">
        <f t="shared" ca="1" si="605"/>
        <v>0</v>
      </c>
      <c r="Q810" s="31">
        <f t="shared" ca="1" si="606"/>
        <v>0</v>
      </c>
      <c r="R810" s="31">
        <f t="shared" ca="1" si="607"/>
        <v>0</v>
      </c>
      <c r="S810" s="31">
        <f t="shared" ca="1" si="608"/>
        <v>0</v>
      </c>
      <c r="T810" s="32">
        <f t="shared" ca="1" si="609"/>
        <v>0</v>
      </c>
      <c r="U810" s="37">
        <f t="shared" ca="1" si="628"/>
        <v>0</v>
      </c>
      <c r="V810" s="40">
        <f t="shared" ca="1" si="610"/>
        <v>0</v>
      </c>
      <c r="W810" s="41">
        <f t="shared" ca="1" si="611"/>
        <v>0</v>
      </c>
      <c r="X810" s="43"/>
      <c r="Y810" s="46"/>
      <c r="Z810" s="126"/>
      <c r="AA810" s="136"/>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824">
        <f t="shared" ca="1" si="612"/>
        <v>0</v>
      </c>
      <c r="BM810" s="824">
        <f t="shared" ca="1" si="613"/>
        <v>0</v>
      </c>
      <c r="BN810" s="824">
        <f t="shared" ca="1" si="614"/>
        <v>0</v>
      </c>
      <c r="BO810" s="824">
        <f t="shared" ca="1" si="630"/>
        <v>0</v>
      </c>
      <c r="BP810" s="824">
        <f t="shared" ca="1" si="630"/>
        <v>0</v>
      </c>
      <c r="BQ810" s="824">
        <f t="shared" ca="1" si="630"/>
        <v>0</v>
      </c>
      <c r="BR810" s="824">
        <f t="shared" ca="1" si="630"/>
        <v>0</v>
      </c>
      <c r="BS810" s="824">
        <f t="shared" ca="1" si="630"/>
        <v>0</v>
      </c>
      <c r="BT810" s="824">
        <f t="shared" ca="1" si="630"/>
        <v>0</v>
      </c>
      <c r="BU810" s="824">
        <f t="shared" ca="1" si="630"/>
        <v>0</v>
      </c>
      <c r="BV810" s="824">
        <f t="shared" ca="1" si="630"/>
        <v>0</v>
      </c>
      <c r="BW810" s="824">
        <f t="shared" ca="1" si="630"/>
        <v>0</v>
      </c>
      <c r="BX810" s="824">
        <f t="shared" ca="1" si="630"/>
        <v>0</v>
      </c>
      <c r="BY810" s="824">
        <f t="shared" ca="1" si="630"/>
        <v>0</v>
      </c>
      <c r="BZ810" s="824">
        <f t="shared" ca="1" si="630"/>
        <v>0</v>
      </c>
      <c r="CA810" s="824">
        <f t="shared" ca="1" si="630"/>
        <v>0</v>
      </c>
      <c r="CB810" s="824">
        <f t="shared" ca="1" si="630"/>
        <v>0</v>
      </c>
      <c r="CC810" s="824">
        <f t="shared" ca="1" si="630"/>
        <v>0</v>
      </c>
      <c r="CD810" s="824">
        <f t="shared" ca="1" si="630"/>
        <v>0</v>
      </c>
      <c r="CE810" s="824">
        <f t="shared" ca="1" si="629"/>
        <v>0</v>
      </c>
      <c r="CF810" s="824">
        <f t="shared" ca="1" si="629"/>
        <v>0</v>
      </c>
      <c r="CG810" s="824">
        <f t="shared" ca="1" si="629"/>
        <v>0</v>
      </c>
      <c r="CH810" s="824">
        <f t="shared" ca="1" si="629"/>
        <v>0</v>
      </c>
      <c r="CI810" s="824">
        <f t="shared" ca="1" si="629"/>
        <v>0</v>
      </c>
      <c r="CJ810" s="824">
        <f t="shared" ca="1" si="629"/>
        <v>0</v>
      </c>
      <c r="CK810" s="824">
        <f t="shared" ca="1" si="629"/>
        <v>0</v>
      </c>
      <c r="CL810" s="824">
        <f t="shared" ca="1" si="629"/>
        <v>0</v>
      </c>
      <c r="CM810" s="824">
        <f t="shared" ca="1" si="629"/>
        <v>0</v>
      </c>
      <c r="CN810" s="824">
        <f t="shared" ca="1" si="629"/>
        <v>0</v>
      </c>
      <c r="CO810" s="824">
        <f t="shared" ca="1" si="629"/>
        <v>0</v>
      </c>
      <c r="CP810" s="824">
        <f t="shared" ca="1" si="629"/>
        <v>0</v>
      </c>
      <c r="CQ810" s="824">
        <f t="shared" ca="1" si="629"/>
        <v>0</v>
      </c>
      <c r="CR810" s="824">
        <f t="shared" ca="1" si="629"/>
        <v>0</v>
      </c>
      <c r="CS810" s="824">
        <f t="shared" ca="1" si="629"/>
        <v>0</v>
      </c>
      <c r="CT810" s="824">
        <f t="shared" ca="1" si="632"/>
        <v>0</v>
      </c>
      <c r="CU810" s="824">
        <f t="shared" ca="1" si="632"/>
        <v>0</v>
      </c>
      <c r="CV810" s="824">
        <f t="shared" ca="1" si="632"/>
        <v>0</v>
      </c>
      <c r="CW810" s="824">
        <f t="shared" ca="1" si="632"/>
        <v>0</v>
      </c>
      <c r="CX810" s="824">
        <f t="shared" ca="1" si="632"/>
        <v>0</v>
      </c>
      <c r="CY810" s="824">
        <f t="shared" ca="1" si="632"/>
        <v>0</v>
      </c>
      <c r="CZ810" s="824">
        <f t="shared" ca="1" si="632"/>
        <v>0</v>
      </c>
      <c r="DA810" s="824">
        <f t="shared" ca="1" si="632"/>
        <v>0</v>
      </c>
      <c r="DB810" s="824">
        <f t="shared" ca="1" si="632"/>
        <v>0</v>
      </c>
      <c r="DC810" s="824">
        <f t="shared" ca="1" si="632"/>
        <v>0</v>
      </c>
      <c r="DD810" s="824">
        <f t="shared" ca="1" si="632"/>
        <v>0</v>
      </c>
      <c r="DE810" s="824">
        <f t="shared" ca="1" si="632"/>
        <v>0</v>
      </c>
      <c r="DF810" s="824">
        <f t="shared" ca="1" si="632"/>
        <v>0</v>
      </c>
      <c r="DG810" s="824">
        <f t="shared" ca="1" si="632"/>
        <v>0</v>
      </c>
      <c r="DH810" s="824">
        <f t="shared" ca="1" si="632"/>
        <v>0</v>
      </c>
      <c r="DI810" s="824">
        <f t="shared" ca="1" si="632"/>
        <v>0</v>
      </c>
      <c r="DJ810" s="824">
        <f t="shared" ca="1" si="590"/>
        <v>0</v>
      </c>
      <c r="DK810" s="824">
        <f t="shared" ca="1" si="590"/>
        <v>0</v>
      </c>
      <c r="DL810" s="824">
        <f t="shared" ca="1" si="590"/>
        <v>0</v>
      </c>
    </row>
    <row r="811" spans="2:116" ht="11.25" customHeight="1" thickBot="1" x14ac:dyDescent="0.3">
      <c r="B811" s="1673"/>
      <c r="C811" s="1680"/>
      <c r="D811" s="15" t="s">
        <v>15</v>
      </c>
      <c r="E811" s="165"/>
      <c r="F811" s="116">
        <f ca="1">SUBTOTAL(109,'3.4 I&amp;W'!$X$200)</f>
        <v>0</v>
      </c>
      <c r="G811" s="116">
        <f ca="1">SUBTOTAL(109,'3.4 I&amp;W'!$Y$200)</f>
        <v>0</v>
      </c>
      <c r="H811" s="116">
        <f ca="1">SUBTOTAL(109,'3.4 I&amp;W'!$AD$200)</f>
        <v>0</v>
      </c>
      <c r="I811" s="116">
        <f ca="1">SUBTOTAL(109,'3.4 I&amp;W'!$AE$200)</f>
        <v>0</v>
      </c>
      <c r="J811" s="116"/>
      <c r="K811" s="116"/>
      <c r="L811" s="116"/>
      <c r="M811" s="116">
        <f ca="1">SUBTOTAL(109,'3.4 I&amp;W'!$AI$200)</f>
        <v>0</v>
      </c>
      <c r="N811" s="156">
        <f t="shared" ca="1" si="615"/>
        <v>0</v>
      </c>
      <c r="O811" s="116">
        <f ca="1">SUBTOTAL(109,'3.4 I&amp;W'!$S$200)</f>
        <v>0</v>
      </c>
      <c r="P811" s="30">
        <f t="shared" ca="1" si="605"/>
        <v>0</v>
      </c>
      <c r="Q811" s="31">
        <f t="shared" ca="1" si="606"/>
        <v>0</v>
      </c>
      <c r="R811" s="31">
        <f t="shared" ca="1" si="607"/>
        <v>0</v>
      </c>
      <c r="S811" s="31">
        <f t="shared" ca="1" si="608"/>
        <v>0</v>
      </c>
      <c r="T811" s="32">
        <f t="shared" ca="1" si="609"/>
        <v>0</v>
      </c>
      <c r="U811" s="37">
        <f t="shared" ca="1" si="628"/>
        <v>0</v>
      </c>
      <c r="V811" s="40">
        <f t="shared" ca="1" si="610"/>
        <v>0</v>
      </c>
      <c r="W811" s="41">
        <f t="shared" ca="1" si="611"/>
        <v>0</v>
      </c>
      <c r="X811" s="43"/>
      <c r="Y811" s="46"/>
      <c r="Z811" s="126"/>
      <c r="AA811" s="136"/>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824">
        <f t="shared" ca="1" si="612"/>
        <v>0</v>
      </c>
      <c r="BM811" s="824">
        <f t="shared" ca="1" si="613"/>
        <v>0</v>
      </c>
      <c r="BN811" s="824">
        <f t="shared" ca="1" si="614"/>
        <v>0</v>
      </c>
      <c r="BO811" s="824">
        <f t="shared" ca="1" si="630"/>
        <v>0</v>
      </c>
      <c r="BP811" s="824">
        <f t="shared" ca="1" si="630"/>
        <v>0</v>
      </c>
      <c r="BQ811" s="824">
        <f t="shared" ca="1" si="630"/>
        <v>0</v>
      </c>
      <c r="BR811" s="824">
        <f t="shared" ca="1" si="630"/>
        <v>0</v>
      </c>
      <c r="BS811" s="824">
        <f t="shared" ca="1" si="630"/>
        <v>0</v>
      </c>
      <c r="BT811" s="824">
        <f t="shared" ca="1" si="630"/>
        <v>0</v>
      </c>
      <c r="BU811" s="824">
        <f t="shared" ca="1" si="630"/>
        <v>0</v>
      </c>
      <c r="BV811" s="824">
        <f t="shared" ca="1" si="630"/>
        <v>0</v>
      </c>
      <c r="BW811" s="824">
        <f t="shared" ca="1" si="630"/>
        <v>0</v>
      </c>
      <c r="BX811" s="824">
        <f t="shared" ca="1" si="630"/>
        <v>0</v>
      </c>
      <c r="BY811" s="824">
        <f t="shared" ca="1" si="630"/>
        <v>0</v>
      </c>
      <c r="BZ811" s="824">
        <f t="shared" ca="1" si="630"/>
        <v>0</v>
      </c>
      <c r="CA811" s="824">
        <f t="shared" ca="1" si="630"/>
        <v>0</v>
      </c>
      <c r="CB811" s="824">
        <f t="shared" ca="1" si="630"/>
        <v>0</v>
      </c>
      <c r="CC811" s="824">
        <f t="shared" ca="1" si="630"/>
        <v>0</v>
      </c>
      <c r="CD811" s="824">
        <f t="shared" ca="1" si="630"/>
        <v>0</v>
      </c>
      <c r="CE811" s="824">
        <f t="shared" ca="1" si="629"/>
        <v>0</v>
      </c>
      <c r="CF811" s="824">
        <f t="shared" ca="1" si="629"/>
        <v>0</v>
      </c>
      <c r="CG811" s="824">
        <f t="shared" ca="1" si="629"/>
        <v>0</v>
      </c>
      <c r="CH811" s="824">
        <f t="shared" ca="1" si="629"/>
        <v>0</v>
      </c>
      <c r="CI811" s="824">
        <f t="shared" ca="1" si="629"/>
        <v>0</v>
      </c>
      <c r="CJ811" s="824">
        <f t="shared" ca="1" si="629"/>
        <v>0</v>
      </c>
      <c r="CK811" s="824">
        <f t="shared" ca="1" si="629"/>
        <v>0</v>
      </c>
      <c r="CL811" s="824">
        <f t="shared" ca="1" si="629"/>
        <v>0</v>
      </c>
      <c r="CM811" s="824">
        <f t="shared" ca="1" si="629"/>
        <v>0</v>
      </c>
      <c r="CN811" s="824">
        <f t="shared" ca="1" si="629"/>
        <v>0</v>
      </c>
      <c r="CO811" s="824">
        <f t="shared" ca="1" si="629"/>
        <v>0</v>
      </c>
      <c r="CP811" s="824">
        <f t="shared" ca="1" si="629"/>
        <v>0</v>
      </c>
      <c r="CQ811" s="824">
        <f t="shared" ca="1" si="629"/>
        <v>0</v>
      </c>
      <c r="CR811" s="824">
        <f t="shared" ca="1" si="629"/>
        <v>0</v>
      </c>
      <c r="CS811" s="824">
        <f t="shared" ca="1" si="629"/>
        <v>0</v>
      </c>
      <c r="CT811" s="824">
        <f t="shared" ca="1" si="632"/>
        <v>0</v>
      </c>
      <c r="CU811" s="824">
        <f t="shared" ca="1" si="632"/>
        <v>0</v>
      </c>
      <c r="CV811" s="824">
        <f t="shared" ca="1" si="632"/>
        <v>0</v>
      </c>
      <c r="CW811" s="824">
        <f t="shared" ca="1" si="632"/>
        <v>0</v>
      </c>
      <c r="CX811" s="824">
        <f t="shared" ca="1" si="632"/>
        <v>0</v>
      </c>
      <c r="CY811" s="824">
        <f t="shared" ca="1" si="632"/>
        <v>0</v>
      </c>
      <c r="CZ811" s="824">
        <f t="shared" ca="1" si="632"/>
        <v>0</v>
      </c>
      <c r="DA811" s="824">
        <f t="shared" ca="1" si="632"/>
        <v>0</v>
      </c>
      <c r="DB811" s="824">
        <f t="shared" ca="1" si="632"/>
        <v>0</v>
      </c>
      <c r="DC811" s="824">
        <f t="shared" ca="1" si="632"/>
        <v>0</v>
      </c>
      <c r="DD811" s="824">
        <f t="shared" ca="1" si="632"/>
        <v>0</v>
      </c>
      <c r="DE811" s="824">
        <f t="shared" ca="1" si="632"/>
        <v>0</v>
      </c>
      <c r="DF811" s="824">
        <f t="shared" ca="1" si="632"/>
        <v>0</v>
      </c>
      <c r="DG811" s="824">
        <f t="shared" ca="1" si="632"/>
        <v>0</v>
      </c>
      <c r="DH811" s="824">
        <f t="shared" ca="1" si="632"/>
        <v>0</v>
      </c>
      <c r="DI811" s="824">
        <f t="shared" ca="1" si="632"/>
        <v>0</v>
      </c>
      <c r="DJ811" s="824">
        <f t="shared" ca="1" si="590"/>
        <v>0</v>
      </c>
      <c r="DK811" s="824">
        <f t="shared" ca="1" si="590"/>
        <v>0</v>
      </c>
      <c r="DL811" s="824">
        <f t="shared" ca="1" si="590"/>
        <v>0</v>
      </c>
    </row>
    <row r="812" spans="2:116" ht="11.25" customHeight="1" thickBot="1" x14ac:dyDescent="0.3">
      <c r="B812" s="1673"/>
      <c r="C812" s="1680"/>
      <c r="D812" s="15" t="s">
        <v>11</v>
      </c>
      <c r="E812" s="116"/>
      <c r="F812" s="116">
        <f ca="1">SUBTOTAL(109,'3.4 I&amp;W'!$X$207)</f>
        <v>0</v>
      </c>
      <c r="G812" s="116">
        <f ca="1">SUBTOTAL(109,'3.4 I&amp;W'!$Y$207)</f>
        <v>0</v>
      </c>
      <c r="H812" s="116">
        <f ca="1">SUBTOTAL(109,'3.4 I&amp;W'!$AD$207)</f>
        <v>0</v>
      </c>
      <c r="I812" s="116">
        <f ca="1">SUBTOTAL(109,'3.4 I&amp;W'!$AE$207)</f>
        <v>0</v>
      </c>
      <c r="J812" s="116"/>
      <c r="K812" s="116"/>
      <c r="L812" s="116"/>
      <c r="M812" s="116">
        <f ca="1">SUBTOTAL(109,'3.4 I&amp;W'!$AI$207)</f>
        <v>50</v>
      </c>
      <c r="N812" s="156">
        <f t="shared" ca="1" si="615"/>
        <v>0</v>
      </c>
      <c r="O812" s="116">
        <f>SUBTOTAL(109,'3.4 I&amp;W'!$S$207)</f>
        <v>164110.95600000001</v>
      </c>
      <c r="P812" s="30">
        <f t="shared" ca="1" si="605"/>
        <v>0</v>
      </c>
      <c r="Q812" s="31">
        <f t="shared" ca="1" si="606"/>
        <v>0</v>
      </c>
      <c r="R812" s="31">
        <f t="shared" ca="1" si="607"/>
        <v>0</v>
      </c>
      <c r="S812" s="31">
        <f t="shared" ca="1" si="608"/>
        <v>0</v>
      </c>
      <c r="T812" s="32">
        <f t="shared" ca="1" si="609"/>
        <v>0</v>
      </c>
      <c r="U812" s="37">
        <f t="shared" ca="1" si="628"/>
        <v>24618.002896437796</v>
      </c>
      <c r="V812" s="40">
        <f t="shared" ca="1" si="610"/>
        <v>0</v>
      </c>
      <c r="W812" s="41">
        <f t="shared" ca="1" si="611"/>
        <v>0</v>
      </c>
      <c r="X812" s="43"/>
      <c r="Y812" s="46"/>
      <c r="Z812" s="126"/>
      <c r="AA812" s="136"/>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824">
        <f t="shared" ca="1" si="612"/>
        <v>50</v>
      </c>
      <c r="BM812" s="824">
        <f t="shared" ca="1" si="613"/>
        <v>0</v>
      </c>
      <c r="BN812" s="824">
        <f t="shared" si="614"/>
        <v>164110.95600000001</v>
      </c>
      <c r="BO812" s="824">
        <f t="shared" ca="1" si="630"/>
        <v>0</v>
      </c>
      <c r="BP812" s="824">
        <f t="shared" ca="1" si="630"/>
        <v>0</v>
      </c>
      <c r="BQ812" s="824">
        <f t="shared" ca="1" si="630"/>
        <v>0</v>
      </c>
      <c r="BR812" s="824">
        <f t="shared" ca="1" si="630"/>
        <v>0</v>
      </c>
      <c r="BS812" s="824">
        <f t="shared" ca="1" si="630"/>
        <v>0</v>
      </c>
      <c r="BT812" s="824">
        <f t="shared" ca="1" si="630"/>
        <v>0</v>
      </c>
      <c r="BU812" s="824">
        <f t="shared" ca="1" si="630"/>
        <v>0</v>
      </c>
      <c r="BV812" s="824">
        <f t="shared" ca="1" si="630"/>
        <v>0</v>
      </c>
      <c r="BW812" s="824">
        <f t="shared" ca="1" si="630"/>
        <v>0</v>
      </c>
      <c r="BX812" s="824">
        <f t="shared" ca="1" si="630"/>
        <v>0</v>
      </c>
      <c r="BY812" s="824">
        <f t="shared" ca="1" si="630"/>
        <v>0</v>
      </c>
      <c r="BZ812" s="824">
        <f t="shared" ca="1" si="630"/>
        <v>0</v>
      </c>
      <c r="CA812" s="824">
        <f t="shared" ca="1" si="630"/>
        <v>0</v>
      </c>
      <c r="CB812" s="824">
        <f t="shared" ca="1" si="630"/>
        <v>0</v>
      </c>
      <c r="CC812" s="824">
        <f t="shared" ca="1" si="630"/>
        <v>0</v>
      </c>
      <c r="CD812" s="824">
        <f t="shared" ca="1" si="630"/>
        <v>0</v>
      </c>
      <c r="CE812" s="824">
        <f t="shared" ca="1" si="629"/>
        <v>0</v>
      </c>
      <c r="CF812" s="824">
        <f t="shared" ca="1" si="629"/>
        <v>0</v>
      </c>
      <c r="CG812" s="824">
        <f t="shared" ca="1" si="629"/>
        <v>0</v>
      </c>
      <c r="CH812" s="824">
        <f t="shared" ca="1" si="629"/>
        <v>0</v>
      </c>
      <c r="CI812" s="824">
        <f t="shared" ca="1" si="629"/>
        <v>0</v>
      </c>
      <c r="CJ812" s="824">
        <f t="shared" ca="1" si="629"/>
        <v>0</v>
      </c>
      <c r="CK812" s="824">
        <f t="shared" ca="1" si="629"/>
        <v>0</v>
      </c>
      <c r="CL812" s="824">
        <f t="shared" ca="1" si="629"/>
        <v>0</v>
      </c>
      <c r="CM812" s="824">
        <f t="shared" ca="1" si="629"/>
        <v>0</v>
      </c>
      <c r="CN812" s="824">
        <f t="shared" ca="1" si="629"/>
        <v>0</v>
      </c>
      <c r="CO812" s="824">
        <f t="shared" ca="1" si="629"/>
        <v>0</v>
      </c>
      <c r="CP812" s="824">
        <f t="shared" ca="1" si="629"/>
        <v>0</v>
      </c>
      <c r="CQ812" s="824">
        <f t="shared" ca="1" si="629"/>
        <v>0</v>
      </c>
      <c r="CR812" s="824">
        <f t="shared" ca="1" si="629"/>
        <v>0</v>
      </c>
      <c r="CS812" s="824">
        <f t="shared" ca="1" si="629"/>
        <v>0</v>
      </c>
      <c r="CT812" s="824">
        <f t="shared" ca="1" si="632"/>
        <v>0</v>
      </c>
      <c r="CU812" s="824">
        <f t="shared" ca="1" si="632"/>
        <v>0</v>
      </c>
      <c r="CV812" s="824">
        <f t="shared" ca="1" si="632"/>
        <v>0</v>
      </c>
      <c r="CW812" s="824">
        <f t="shared" ca="1" si="632"/>
        <v>0</v>
      </c>
      <c r="CX812" s="824">
        <f t="shared" ca="1" si="632"/>
        <v>0</v>
      </c>
      <c r="CY812" s="824">
        <f t="shared" ca="1" si="632"/>
        <v>0</v>
      </c>
      <c r="CZ812" s="824">
        <f t="shared" ca="1" si="632"/>
        <v>0</v>
      </c>
      <c r="DA812" s="824">
        <f t="shared" ca="1" si="632"/>
        <v>0</v>
      </c>
      <c r="DB812" s="824">
        <f t="shared" ca="1" si="632"/>
        <v>0</v>
      </c>
      <c r="DC812" s="824">
        <f t="shared" ca="1" si="632"/>
        <v>0</v>
      </c>
      <c r="DD812" s="824">
        <f t="shared" ca="1" si="632"/>
        <v>0</v>
      </c>
      <c r="DE812" s="824">
        <f t="shared" ca="1" si="632"/>
        <v>0</v>
      </c>
      <c r="DF812" s="824">
        <f t="shared" ca="1" si="632"/>
        <v>0</v>
      </c>
      <c r="DG812" s="824">
        <f t="shared" ca="1" si="632"/>
        <v>0</v>
      </c>
      <c r="DH812" s="824">
        <f t="shared" ca="1" si="632"/>
        <v>0</v>
      </c>
      <c r="DI812" s="824">
        <f t="shared" ca="1" si="632"/>
        <v>0</v>
      </c>
      <c r="DJ812" s="824">
        <f t="shared" ca="1" si="590"/>
        <v>0</v>
      </c>
      <c r="DK812" s="824">
        <f t="shared" ca="1" si="590"/>
        <v>0</v>
      </c>
      <c r="DL812" s="824">
        <f t="shared" ca="1" si="590"/>
        <v>0</v>
      </c>
    </row>
    <row r="813" spans="2:116" ht="12" thickBot="1" x14ac:dyDescent="0.3">
      <c r="B813" s="1673"/>
      <c r="C813" s="1680"/>
      <c r="D813" s="15" t="s">
        <v>11</v>
      </c>
      <c r="E813" s="165"/>
      <c r="F813" s="116">
        <f ca="1">SUBTOTAL(109,'3.4 I&amp;W'!$X$208)</f>
        <v>0</v>
      </c>
      <c r="G813" s="116">
        <f ca="1">SUBTOTAL(109,'3.4 I&amp;W'!$Y$208)</f>
        <v>0</v>
      </c>
      <c r="H813" s="116">
        <f ca="1">SUBTOTAL(109,'3.4 I&amp;W'!$AD$208)</f>
        <v>0</v>
      </c>
      <c r="I813" s="116">
        <f ca="1">SUBTOTAL(109,'3.4 I&amp;W'!$AE$208)</f>
        <v>0</v>
      </c>
      <c r="J813" s="116"/>
      <c r="K813" s="116"/>
      <c r="L813" s="116"/>
      <c r="M813" s="116">
        <f ca="1">SUBTOTAL(109,'3.4 I&amp;W'!$AI$208)</f>
        <v>0</v>
      </c>
      <c r="N813" s="156">
        <f t="shared" ca="1" si="615"/>
        <v>0</v>
      </c>
      <c r="O813" s="116">
        <f ca="1">SUBTOTAL(109,'3.4 I&amp;W'!$S$208)</f>
        <v>0</v>
      </c>
      <c r="P813" s="30">
        <f t="shared" ca="1" si="605"/>
        <v>0</v>
      </c>
      <c r="Q813" s="31">
        <f t="shared" ca="1" si="606"/>
        <v>0</v>
      </c>
      <c r="R813" s="31">
        <f t="shared" ca="1" si="607"/>
        <v>0</v>
      </c>
      <c r="S813" s="31">
        <f t="shared" ca="1" si="608"/>
        <v>0</v>
      </c>
      <c r="T813" s="32">
        <f t="shared" ca="1" si="609"/>
        <v>0</v>
      </c>
      <c r="U813" s="37">
        <f t="shared" ca="1" si="628"/>
        <v>0</v>
      </c>
      <c r="V813" s="40">
        <f t="shared" ca="1" si="610"/>
        <v>0</v>
      </c>
      <c r="W813" s="41">
        <f t="shared" ca="1" si="611"/>
        <v>0</v>
      </c>
      <c r="X813" s="43"/>
      <c r="Y813" s="46"/>
      <c r="Z813" s="126"/>
      <c r="AA813" s="136"/>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824">
        <f t="shared" ca="1" si="612"/>
        <v>0</v>
      </c>
      <c r="BM813" s="824">
        <f t="shared" ca="1" si="613"/>
        <v>0</v>
      </c>
      <c r="BN813" s="824">
        <f t="shared" ca="1" si="614"/>
        <v>0</v>
      </c>
      <c r="BO813" s="824">
        <f t="shared" ca="1" si="630"/>
        <v>0</v>
      </c>
      <c r="BP813" s="824">
        <f t="shared" ca="1" si="630"/>
        <v>0</v>
      </c>
      <c r="BQ813" s="824">
        <f t="shared" ca="1" si="630"/>
        <v>0</v>
      </c>
      <c r="BR813" s="824">
        <f t="shared" ca="1" si="630"/>
        <v>0</v>
      </c>
      <c r="BS813" s="824">
        <f t="shared" ca="1" si="630"/>
        <v>0</v>
      </c>
      <c r="BT813" s="824">
        <f t="shared" ca="1" si="630"/>
        <v>0</v>
      </c>
      <c r="BU813" s="824">
        <f t="shared" ca="1" si="630"/>
        <v>0</v>
      </c>
      <c r="BV813" s="824">
        <f t="shared" ca="1" si="630"/>
        <v>0</v>
      </c>
      <c r="BW813" s="824">
        <f t="shared" ca="1" si="630"/>
        <v>0</v>
      </c>
      <c r="BX813" s="824">
        <f t="shared" ca="1" si="630"/>
        <v>0</v>
      </c>
      <c r="BY813" s="824">
        <f t="shared" ca="1" si="630"/>
        <v>0</v>
      </c>
      <c r="BZ813" s="824">
        <f t="shared" ca="1" si="630"/>
        <v>0</v>
      </c>
      <c r="CA813" s="824">
        <f t="shared" ca="1" si="630"/>
        <v>0</v>
      </c>
      <c r="CB813" s="824">
        <f t="shared" ca="1" si="630"/>
        <v>0</v>
      </c>
      <c r="CC813" s="824">
        <f t="shared" ca="1" si="630"/>
        <v>0</v>
      </c>
      <c r="CD813" s="824">
        <f t="shared" ca="1" si="630"/>
        <v>0</v>
      </c>
      <c r="CE813" s="824">
        <f t="shared" ca="1" si="629"/>
        <v>0</v>
      </c>
      <c r="CF813" s="824">
        <f t="shared" ca="1" si="629"/>
        <v>0</v>
      </c>
      <c r="CG813" s="824">
        <f t="shared" ca="1" si="629"/>
        <v>0</v>
      </c>
      <c r="CH813" s="824">
        <f t="shared" ca="1" si="629"/>
        <v>0</v>
      </c>
      <c r="CI813" s="824">
        <f t="shared" ca="1" si="629"/>
        <v>0</v>
      </c>
      <c r="CJ813" s="824">
        <f t="shared" ca="1" si="629"/>
        <v>0</v>
      </c>
      <c r="CK813" s="824">
        <f t="shared" ca="1" si="629"/>
        <v>0</v>
      </c>
      <c r="CL813" s="824">
        <f t="shared" ca="1" si="629"/>
        <v>0</v>
      </c>
      <c r="CM813" s="824">
        <f t="shared" ca="1" si="629"/>
        <v>0</v>
      </c>
      <c r="CN813" s="824">
        <f t="shared" ca="1" si="629"/>
        <v>0</v>
      </c>
      <c r="CO813" s="824">
        <f t="shared" ca="1" si="629"/>
        <v>0</v>
      </c>
      <c r="CP813" s="824">
        <f t="shared" ca="1" si="629"/>
        <v>0</v>
      </c>
      <c r="CQ813" s="824">
        <f t="shared" ca="1" si="629"/>
        <v>0</v>
      </c>
      <c r="CR813" s="824">
        <f t="shared" ca="1" si="629"/>
        <v>0</v>
      </c>
      <c r="CS813" s="824">
        <f t="shared" ca="1" si="629"/>
        <v>0</v>
      </c>
      <c r="CT813" s="824">
        <f t="shared" ca="1" si="632"/>
        <v>0</v>
      </c>
      <c r="CU813" s="824">
        <f t="shared" ca="1" si="632"/>
        <v>0</v>
      </c>
      <c r="CV813" s="824">
        <f t="shared" ca="1" si="632"/>
        <v>0</v>
      </c>
      <c r="CW813" s="824">
        <f t="shared" ca="1" si="632"/>
        <v>0</v>
      </c>
      <c r="CX813" s="824">
        <f t="shared" ca="1" si="632"/>
        <v>0</v>
      </c>
      <c r="CY813" s="824">
        <f t="shared" ca="1" si="632"/>
        <v>0</v>
      </c>
      <c r="CZ813" s="824">
        <f t="shared" ca="1" si="632"/>
        <v>0</v>
      </c>
      <c r="DA813" s="824">
        <f t="shared" ca="1" si="632"/>
        <v>0</v>
      </c>
      <c r="DB813" s="824">
        <f t="shared" ca="1" si="632"/>
        <v>0</v>
      </c>
      <c r="DC813" s="824">
        <f t="shared" ca="1" si="632"/>
        <v>0</v>
      </c>
      <c r="DD813" s="824">
        <f t="shared" ca="1" si="632"/>
        <v>0</v>
      </c>
      <c r="DE813" s="824">
        <f t="shared" ca="1" si="632"/>
        <v>0</v>
      </c>
      <c r="DF813" s="824">
        <f t="shared" ca="1" si="632"/>
        <v>0</v>
      </c>
      <c r="DG813" s="824">
        <f t="shared" ca="1" si="632"/>
        <v>0</v>
      </c>
      <c r="DH813" s="824">
        <f t="shared" ca="1" si="632"/>
        <v>0</v>
      </c>
      <c r="DI813" s="824">
        <f t="shared" ca="1" si="632"/>
        <v>0</v>
      </c>
      <c r="DJ813" s="824">
        <f t="shared" ca="1" si="590"/>
        <v>0</v>
      </c>
      <c r="DK813" s="824">
        <f t="shared" ca="1" si="590"/>
        <v>0</v>
      </c>
      <c r="DL813" s="824">
        <f t="shared" ca="1" si="590"/>
        <v>0</v>
      </c>
    </row>
    <row r="814" spans="2:116" ht="12" thickBot="1" x14ac:dyDescent="0.3">
      <c r="B814" s="1673"/>
      <c r="C814" s="1680"/>
      <c r="D814" s="15" t="s">
        <v>11</v>
      </c>
      <c r="E814" s="116"/>
      <c r="F814" s="116">
        <f ca="1">SUBTOTAL(109,'3.4 I&amp;W'!$X$209)</f>
        <v>0</v>
      </c>
      <c r="G814" s="116">
        <f ca="1">SUBTOTAL(109,'3.4 I&amp;W'!$Y$209)</f>
        <v>0</v>
      </c>
      <c r="H814" s="116">
        <f ca="1">SUBTOTAL(109,'3.4 I&amp;W'!$AD$209)</f>
        <v>0</v>
      </c>
      <c r="I814" s="116">
        <f ca="1">SUBTOTAL(109,'3.4 I&amp;W'!$AE$209)</f>
        <v>0</v>
      </c>
      <c r="J814" s="116"/>
      <c r="K814" s="116"/>
      <c r="L814" s="116"/>
      <c r="M814" s="116">
        <f ca="1">SUBTOTAL(109,'3.4 I&amp;W'!$AI$209)</f>
        <v>0</v>
      </c>
      <c r="N814" s="156">
        <f t="shared" ca="1" si="615"/>
        <v>0</v>
      </c>
      <c r="O814" s="116">
        <f ca="1">SUBTOTAL(109,'3.4 I&amp;W'!$S$209)</f>
        <v>0</v>
      </c>
      <c r="P814" s="30">
        <f t="shared" ca="1" si="605"/>
        <v>0</v>
      </c>
      <c r="Q814" s="31">
        <f t="shared" ca="1" si="606"/>
        <v>0</v>
      </c>
      <c r="R814" s="31">
        <f t="shared" ca="1" si="607"/>
        <v>0</v>
      </c>
      <c r="S814" s="31">
        <f t="shared" ca="1" si="608"/>
        <v>0</v>
      </c>
      <c r="T814" s="32">
        <f t="shared" ca="1" si="609"/>
        <v>0</v>
      </c>
      <c r="U814" s="37">
        <f t="shared" ca="1" si="628"/>
        <v>0</v>
      </c>
      <c r="V814" s="40">
        <f t="shared" ca="1" si="610"/>
        <v>0</v>
      </c>
      <c r="W814" s="41">
        <f t="shared" ca="1" si="611"/>
        <v>0</v>
      </c>
      <c r="X814" s="43"/>
      <c r="Y814" s="46"/>
      <c r="Z814" s="126"/>
      <c r="AA814" s="136"/>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824">
        <f t="shared" ca="1" si="612"/>
        <v>0</v>
      </c>
      <c r="BM814" s="824">
        <f t="shared" ca="1" si="613"/>
        <v>0</v>
      </c>
      <c r="BN814" s="824">
        <f t="shared" ca="1" si="614"/>
        <v>0</v>
      </c>
      <c r="BO814" s="824">
        <f t="shared" ca="1" si="630"/>
        <v>0</v>
      </c>
      <c r="BP814" s="824">
        <f t="shared" ca="1" si="630"/>
        <v>0</v>
      </c>
      <c r="BQ814" s="824">
        <f t="shared" ca="1" si="630"/>
        <v>0</v>
      </c>
      <c r="BR814" s="824">
        <f t="shared" ca="1" si="630"/>
        <v>0</v>
      </c>
      <c r="BS814" s="824">
        <f t="shared" ca="1" si="630"/>
        <v>0</v>
      </c>
      <c r="BT814" s="824">
        <f t="shared" ca="1" si="630"/>
        <v>0</v>
      </c>
      <c r="BU814" s="824">
        <f t="shared" ca="1" si="630"/>
        <v>0</v>
      </c>
      <c r="BV814" s="824">
        <f t="shared" ca="1" si="630"/>
        <v>0</v>
      </c>
      <c r="BW814" s="824">
        <f t="shared" ca="1" si="630"/>
        <v>0</v>
      </c>
      <c r="BX814" s="824">
        <f t="shared" ca="1" si="630"/>
        <v>0</v>
      </c>
      <c r="BY814" s="824">
        <f t="shared" ca="1" si="630"/>
        <v>0</v>
      </c>
      <c r="BZ814" s="824">
        <f t="shared" ca="1" si="630"/>
        <v>0</v>
      </c>
      <c r="CA814" s="824">
        <f t="shared" ca="1" si="630"/>
        <v>0</v>
      </c>
      <c r="CB814" s="824">
        <f t="shared" ca="1" si="630"/>
        <v>0</v>
      </c>
      <c r="CC814" s="824">
        <f t="shared" ca="1" si="630"/>
        <v>0</v>
      </c>
      <c r="CD814" s="824">
        <f t="shared" ca="1" si="630"/>
        <v>0</v>
      </c>
      <c r="CE814" s="824">
        <f t="shared" ca="1" si="629"/>
        <v>0</v>
      </c>
      <c r="CF814" s="824">
        <f t="shared" ca="1" si="629"/>
        <v>0</v>
      </c>
      <c r="CG814" s="824">
        <f t="shared" ca="1" si="629"/>
        <v>0</v>
      </c>
      <c r="CH814" s="824">
        <f t="shared" ca="1" si="629"/>
        <v>0</v>
      </c>
      <c r="CI814" s="824">
        <f t="shared" ca="1" si="629"/>
        <v>0</v>
      </c>
      <c r="CJ814" s="824">
        <f t="shared" ca="1" si="629"/>
        <v>0</v>
      </c>
      <c r="CK814" s="824">
        <f t="shared" ca="1" si="629"/>
        <v>0</v>
      </c>
      <c r="CL814" s="824">
        <f t="shared" ca="1" si="629"/>
        <v>0</v>
      </c>
      <c r="CM814" s="824">
        <f t="shared" ca="1" si="629"/>
        <v>0</v>
      </c>
      <c r="CN814" s="824">
        <f t="shared" ca="1" si="629"/>
        <v>0</v>
      </c>
      <c r="CO814" s="824">
        <f t="shared" ca="1" si="629"/>
        <v>0</v>
      </c>
      <c r="CP814" s="824">
        <f t="shared" ca="1" si="629"/>
        <v>0</v>
      </c>
      <c r="CQ814" s="824">
        <f t="shared" ca="1" si="629"/>
        <v>0</v>
      </c>
      <c r="CR814" s="824">
        <f t="shared" ca="1" si="629"/>
        <v>0</v>
      </c>
      <c r="CS814" s="824">
        <f t="shared" ca="1" si="629"/>
        <v>0</v>
      </c>
      <c r="CT814" s="824">
        <f t="shared" ca="1" si="632"/>
        <v>0</v>
      </c>
      <c r="CU814" s="824">
        <f t="shared" ca="1" si="632"/>
        <v>0</v>
      </c>
      <c r="CV814" s="824">
        <f t="shared" ca="1" si="632"/>
        <v>0</v>
      </c>
      <c r="CW814" s="824">
        <f t="shared" ca="1" si="632"/>
        <v>0</v>
      </c>
      <c r="CX814" s="824">
        <f t="shared" ca="1" si="632"/>
        <v>0</v>
      </c>
      <c r="CY814" s="824">
        <f t="shared" ca="1" si="632"/>
        <v>0</v>
      </c>
      <c r="CZ814" s="824">
        <f t="shared" ca="1" si="632"/>
        <v>0</v>
      </c>
      <c r="DA814" s="824">
        <f t="shared" ca="1" si="632"/>
        <v>0</v>
      </c>
      <c r="DB814" s="824">
        <f t="shared" ca="1" si="632"/>
        <v>0</v>
      </c>
      <c r="DC814" s="824">
        <f t="shared" ca="1" si="632"/>
        <v>0</v>
      </c>
      <c r="DD814" s="824">
        <f t="shared" ca="1" si="632"/>
        <v>0</v>
      </c>
      <c r="DE814" s="824">
        <f t="shared" ca="1" si="632"/>
        <v>0</v>
      </c>
      <c r="DF814" s="824">
        <f t="shared" ca="1" si="632"/>
        <v>0</v>
      </c>
      <c r="DG814" s="824">
        <f t="shared" ca="1" si="632"/>
        <v>0</v>
      </c>
      <c r="DH814" s="824">
        <f t="shared" ca="1" si="632"/>
        <v>0</v>
      </c>
      <c r="DI814" s="824">
        <f t="shared" ca="1" si="632"/>
        <v>0</v>
      </c>
      <c r="DJ814" s="824">
        <f t="shared" ca="1" si="590"/>
        <v>0</v>
      </c>
      <c r="DK814" s="824">
        <f t="shared" ca="1" si="590"/>
        <v>0</v>
      </c>
      <c r="DL814" s="824">
        <f t="shared" ca="1" si="590"/>
        <v>0</v>
      </c>
    </row>
    <row r="815" spans="2:116" ht="12" thickBot="1" x14ac:dyDescent="0.3">
      <c r="B815" s="1673"/>
      <c r="C815" s="1680"/>
      <c r="D815" s="15" t="s">
        <v>11</v>
      </c>
      <c r="E815" s="165"/>
      <c r="F815" s="116">
        <f ca="1">SUBTOTAL(109,'3.4 I&amp;W'!$X$210)</f>
        <v>0</v>
      </c>
      <c r="G815" s="116">
        <f ca="1">SUBTOTAL(109,'3.4 I&amp;W'!$Y$210)</f>
        <v>0</v>
      </c>
      <c r="H815" s="116">
        <f ca="1">SUBTOTAL(109,'3.4 I&amp;W'!$AD$210)</f>
        <v>0</v>
      </c>
      <c r="I815" s="116">
        <f ca="1">SUBTOTAL(109,'3.4 I&amp;W'!$AE$210)</f>
        <v>0</v>
      </c>
      <c r="J815" s="116"/>
      <c r="K815" s="116"/>
      <c r="L815" s="116"/>
      <c r="M815" s="116">
        <f ca="1">SUBTOTAL(109,'3.4 I&amp;W'!$AI$210)</f>
        <v>0</v>
      </c>
      <c r="N815" s="156">
        <f t="shared" ca="1" si="615"/>
        <v>0</v>
      </c>
      <c r="O815" s="116">
        <f ca="1">SUBTOTAL(109,'3.4 I&amp;W'!$S$210)</f>
        <v>0</v>
      </c>
      <c r="P815" s="30">
        <f t="shared" ca="1" si="605"/>
        <v>0</v>
      </c>
      <c r="Q815" s="31">
        <f t="shared" ca="1" si="606"/>
        <v>0</v>
      </c>
      <c r="R815" s="31">
        <f t="shared" ca="1" si="607"/>
        <v>0</v>
      </c>
      <c r="S815" s="31">
        <f t="shared" ca="1" si="608"/>
        <v>0</v>
      </c>
      <c r="T815" s="32">
        <f t="shared" ca="1" si="609"/>
        <v>0</v>
      </c>
      <c r="U815" s="37">
        <f t="shared" ca="1" si="628"/>
        <v>0</v>
      </c>
      <c r="V815" s="40">
        <f t="shared" ca="1" si="610"/>
        <v>0</v>
      </c>
      <c r="W815" s="41">
        <f t="shared" ca="1" si="611"/>
        <v>0</v>
      </c>
      <c r="X815" s="43"/>
      <c r="Y815" s="46"/>
      <c r="Z815" s="126"/>
      <c r="AA815" s="136"/>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824">
        <f t="shared" ca="1" si="612"/>
        <v>0</v>
      </c>
      <c r="BM815" s="824">
        <f t="shared" ca="1" si="613"/>
        <v>0</v>
      </c>
      <c r="BN815" s="824">
        <f t="shared" ca="1" si="614"/>
        <v>0</v>
      </c>
      <c r="BO815" s="824">
        <f t="shared" ca="1" si="630"/>
        <v>0</v>
      </c>
      <c r="BP815" s="824">
        <f t="shared" ca="1" si="630"/>
        <v>0</v>
      </c>
      <c r="BQ815" s="824">
        <f t="shared" ca="1" si="630"/>
        <v>0</v>
      </c>
      <c r="BR815" s="824">
        <f t="shared" ca="1" si="630"/>
        <v>0</v>
      </c>
      <c r="BS815" s="824">
        <f t="shared" ca="1" si="630"/>
        <v>0</v>
      </c>
      <c r="BT815" s="824">
        <f t="shared" ca="1" si="630"/>
        <v>0</v>
      </c>
      <c r="BU815" s="824">
        <f t="shared" ca="1" si="630"/>
        <v>0</v>
      </c>
      <c r="BV815" s="824">
        <f t="shared" ca="1" si="630"/>
        <v>0</v>
      </c>
      <c r="BW815" s="824">
        <f t="shared" ca="1" si="630"/>
        <v>0</v>
      </c>
      <c r="BX815" s="824">
        <f t="shared" ca="1" si="630"/>
        <v>0</v>
      </c>
      <c r="BY815" s="824">
        <f t="shared" ca="1" si="630"/>
        <v>0</v>
      </c>
      <c r="BZ815" s="824">
        <f t="shared" ca="1" si="630"/>
        <v>0</v>
      </c>
      <c r="CA815" s="824">
        <f t="shared" ca="1" si="630"/>
        <v>0</v>
      </c>
      <c r="CB815" s="824">
        <f t="shared" ca="1" si="630"/>
        <v>0</v>
      </c>
      <c r="CC815" s="824">
        <f t="shared" ca="1" si="630"/>
        <v>0</v>
      </c>
      <c r="CD815" s="824">
        <f t="shared" ca="1" si="630"/>
        <v>0</v>
      </c>
      <c r="CE815" s="824">
        <f t="shared" ca="1" si="629"/>
        <v>0</v>
      </c>
      <c r="CF815" s="824">
        <f t="shared" ca="1" si="629"/>
        <v>0</v>
      </c>
      <c r="CG815" s="824">
        <f t="shared" ca="1" si="629"/>
        <v>0</v>
      </c>
      <c r="CH815" s="824">
        <f t="shared" ca="1" si="629"/>
        <v>0</v>
      </c>
      <c r="CI815" s="824">
        <f t="shared" ca="1" si="629"/>
        <v>0</v>
      </c>
      <c r="CJ815" s="824">
        <f t="shared" ca="1" si="629"/>
        <v>0</v>
      </c>
      <c r="CK815" s="824">
        <f t="shared" ca="1" si="629"/>
        <v>0</v>
      </c>
      <c r="CL815" s="824">
        <f t="shared" ca="1" si="629"/>
        <v>0</v>
      </c>
      <c r="CM815" s="824">
        <f t="shared" ca="1" si="629"/>
        <v>0</v>
      </c>
      <c r="CN815" s="824">
        <f t="shared" ca="1" si="629"/>
        <v>0</v>
      </c>
      <c r="CO815" s="824">
        <f t="shared" ca="1" si="629"/>
        <v>0</v>
      </c>
      <c r="CP815" s="824">
        <f t="shared" ca="1" si="629"/>
        <v>0</v>
      </c>
      <c r="CQ815" s="824">
        <f t="shared" ca="1" si="629"/>
        <v>0</v>
      </c>
      <c r="CR815" s="824">
        <f t="shared" ca="1" si="629"/>
        <v>0</v>
      </c>
      <c r="CS815" s="824">
        <f t="shared" ca="1" si="629"/>
        <v>0</v>
      </c>
      <c r="CT815" s="824">
        <f t="shared" ca="1" si="632"/>
        <v>0</v>
      </c>
      <c r="CU815" s="824">
        <f t="shared" ca="1" si="632"/>
        <v>0</v>
      </c>
      <c r="CV815" s="824">
        <f t="shared" ca="1" si="632"/>
        <v>0</v>
      </c>
      <c r="CW815" s="824">
        <f t="shared" ca="1" si="632"/>
        <v>0</v>
      </c>
      <c r="CX815" s="824">
        <f t="shared" ca="1" si="632"/>
        <v>0</v>
      </c>
      <c r="CY815" s="824">
        <f t="shared" ca="1" si="632"/>
        <v>0</v>
      </c>
      <c r="CZ815" s="824">
        <f t="shared" ca="1" si="632"/>
        <v>0</v>
      </c>
      <c r="DA815" s="824">
        <f t="shared" ca="1" si="632"/>
        <v>0</v>
      </c>
      <c r="DB815" s="824">
        <f t="shared" ca="1" si="632"/>
        <v>0</v>
      </c>
      <c r="DC815" s="824">
        <f t="shared" ca="1" si="632"/>
        <v>0</v>
      </c>
      <c r="DD815" s="824">
        <f t="shared" ca="1" si="632"/>
        <v>0</v>
      </c>
      <c r="DE815" s="824">
        <f t="shared" ca="1" si="632"/>
        <v>0</v>
      </c>
      <c r="DF815" s="824">
        <f t="shared" ca="1" si="632"/>
        <v>0</v>
      </c>
      <c r="DG815" s="824">
        <f t="shared" ca="1" si="632"/>
        <v>0</v>
      </c>
      <c r="DH815" s="824">
        <f t="shared" ca="1" si="632"/>
        <v>0</v>
      </c>
      <c r="DI815" s="824">
        <f t="shared" ca="1" si="632"/>
        <v>0</v>
      </c>
      <c r="DJ815" s="824">
        <f t="shared" ref="DJ815:DL829" ca="1" si="633">IF(OR(IF($BL815*1&lt;$BL$196,$BL815*1=DJ$198,FALSE),IF($BL815*2&lt;$BL$196,$BL815*2=DJ$198,FALSE),IF($BL815*3&lt;$BL$196,$BL815*3=DJ$198,FALSE),IF($BL815*4&lt;$BL$196,$BL815*4=DJ$198,FALSE),IF($BL815*5&lt;$BL$196,$BL815*5=DJ$198,FALSE)),$BN815*$BM$196^DJ$198,0)</f>
        <v>0</v>
      </c>
      <c r="DK815" s="824">
        <f t="shared" ca="1" si="633"/>
        <v>0</v>
      </c>
      <c r="DL815" s="824">
        <f t="shared" ca="1" si="633"/>
        <v>0</v>
      </c>
    </row>
    <row r="816" spans="2:116" ht="12" thickBot="1" x14ac:dyDescent="0.3">
      <c r="B816" s="1673"/>
      <c r="C816" s="1680"/>
      <c r="D816" s="15" t="s">
        <v>11</v>
      </c>
      <c r="E816" s="116"/>
      <c r="F816" s="116">
        <f ca="1">SUBTOTAL(109,'3.4 I&amp;W'!$X$211)</f>
        <v>0</v>
      </c>
      <c r="G816" s="116">
        <f ca="1">SUBTOTAL(109,'3.4 I&amp;W'!$Y$211)</f>
        <v>0</v>
      </c>
      <c r="H816" s="116">
        <f ca="1">SUBTOTAL(109,'3.4 I&amp;W'!$AD$211)</f>
        <v>0</v>
      </c>
      <c r="I816" s="116">
        <f ca="1">SUBTOTAL(109,'3.4 I&amp;W'!$AE$211)</f>
        <v>0</v>
      </c>
      <c r="J816" s="116"/>
      <c r="K816" s="116"/>
      <c r="L816" s="116"/>
      <c r="M816" s="116">
        <f ca="1">SUBTOTAL(109,'3.4 I&amp;W'!$AI$211)</f>
        <v>0</v>
      </c>
      <c r="N816" s="156">
        <f t="shared" ca="1" si="615"/>
        <v>0</v>
      </c>
      <c r="O816" s="116">
        <f ca="1">SUBTOTAL(109,'3.4 I&amp;W'!$S$211)</f>
        <v>0</v>
      </c>
      <c r="P816" s="30">
        <f t="shared" ca="1" si="605"/>
        <v>0</v>
      </c>
      <c r="Q816" s="31">
        <f t="shared" ca="1" si="606"/>
        <v>0</v>
      </c>
      <c r="R816" s="31">
        <f t="shared" ca="1" si="607"/>
        <v>0</v>
      </c>
      <c r="S816" s="31">
        <f t="shared" ca="1" si="608"/>
        <v>0</v>
      </c>
      <c r="T816" s="32">
        <f t="shared" ca="1" si="609"/>
        <v>0</v>
      </c>
      <c r="U816" s="37">
        <f t="shared" ca="1" si="628"/>
        <v>0</v>
      </c>
      <c r="V816" s="40">
        <f t="shared" ca="1" si="610"/>
        <v>0</v>
      </c>
      <c r="W816" s="41">
        <f t="shared" ca="1" si="611"/>
        <v>0</v>
      </c>
      <c r="X816" s="43"/>
      <c r="Y816" s="46"/>
      <c r="Z816" s="126"/>
      <c r="AA816" s="136"/>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824">
        <f t="shared" ca="1" si="612"/>
        <v>0</v>
      </c>
      <c r="BM816" s="824">
        <f t="shared" ca="1" si="613"/>
        <v>0</v>
      </c>
      <c r="BN816" s="824">
        <f t="shared" ca="1" si="614"/>
        <v>0</v>
      </c>
      <c r="BO816" s="824">
        <f t="shared" ca="1" si="630"/>
        <v>0</v>
      </c>
      <c r="BP816" s="824">
        <f t="shared" ca="1" si="630"/>
        <v>0</v>
      </c>
      <c r="BQ816" s="824">
        <f t="shared" ca="1" si="630"/>
        <v>0</v>
      </c>
      <c r="BR816" s="824">
        <f t="shared" ca="1" si="630"/>
        <v>0</v>
      </c>
      <c r="BS816" s="824">
        <f t="shared" ca="1" si="630"/>
        <v>0</v>
      </c>
      <c r="BT816" s="824">
        <f t="shared" ca="1" si="630"/>
        <v>0</v>
      </c>
      <c r="BU816" s="824">
        <f t="shared" ca="1" si="630"/>
        <v>0</v>
      </c>
      <c r="BV816" s="824">
        <f t="shared" ca="1" si="630"/>
        <v>0</v>
      </c>
      <c r="BW816" s="824">
        <f t="shared" ca="1" si="630"/>
        <v>0</v>
      </c>
      <c r="BX816" s="824">
        <f t="shared" ca="1" si="630"/>
        <v>0</v>
      </c>
      <c r="BY816" s="824">
        <f t="shared" ca="1" si="630"/>
        <v>0</v>
      </c>
      <c r="BZ816" s="824">
        <f t="shared" ca="1" si="630"/>
        <v>0</v>
      </c>
      <c r="CA816" s="824">
        <f t="shared" ca="1" si="630"/>
        <v>0</v>
      </c>
      <c r="CB816" s="824">
        <f t="shared" ca="1" si="630"/>
        <v>0</v>
      </c>
      <c r="CC816" s="824">
        <f t="shared" ca="1" si="630"/>
        <v>0</v>
      </c>
      <c r="CD816" s="824">
        <f t="shared" ca="1" si="630"/>
        <v>0</v>
      </c>
      <c r="CE816" s="824">
        <f t="shared" ca="1" si="629"/>
        <v>0</v>
      </c>
      <c r="CF816" s="824">
        <f t="shared" ca="1" si="629"/>
        <v>0</v>
      </c>
      <c r="CG816" s="824">
        <f t="shared" ca="1" si="629"/>
        <v>0</v>
      </c>
      <c r="CH816" s="824">
        <f t="shared" ca="1" si="629"/>
        <v>0</v>
      </c>
      <c r="CI816" s="824">
        <f t="shared" ca="1" si="629"/>
        <v>0</v>
      </c>
      <c r="CJ816" s="824">
        <f t="shared" ca="1" si="629"/>
        <v>0</v>
      </c>
      <c r="CK816" s="824">
        <f t="shared" ca="1" si="629"/>
        <v>0</v>
      </c>
      <c r="CL816" s="824">
        <f t="shared" ca="1" si="629"/>
        <v>0</v>
      </c>
      <c r="CM816" s="824">
        <f t="shared" ca="1" si="629"/>
        <v>0</v>
      </c>
      <c r="CN816" s="824">
        <f t="shared" ca="1" si="629"/>
        <v>0</v>
      </c>
      <c r="CO816" s="824">
        <f t="shared" ca="1" si="629"/>
        <v>0</v>
      </c>
      <c r="CP816" s="824">
        <f t="shared" ca="1" si="629"/>
        <v>0</v>
      </c>
      <c r="CQ816" s="824">
        <f t="shared" ca="1" si="629"/>
        <v>0</v>
      </c>
      <c r="CR816" s="824">
        <f t="shared" ca="1" si="629"/>
        <v>0</v>
      </c>
      <c r="CS816" s="824">
        <f t="shared" ca="1" si="629"/>
        <v>0</v>
      </c>
      <c r="CT816" s="824">
        <f t="shared" ca="1" si="632"/>
        <v>0</v>
      </c>
      <c r="CU816" s="824">
        <f t="shared" ca="1" si="632"/>
        <v>0</v>
      </c>
      <c r="CV816" s="824">
        <f t="shared" ca="1" si="632"/>
        <v>0</v>
      </c>
      <c r="CW816" s="824">
        <f t="shared" ca="1" si="632"/>
        <v>0</v>
      </c>
      <c r="CX816" s="824">
        <f t="shared" ca="1" si="632"/>
        <v>0</v>
      </c>
      <c r="CY816" s="824">
        <f t="shared" ca="1" si="632"/>
        <v>0</v>
      </c>
      <c r="CZ816" s="824">
        <f t="shared" ca="1" si="632"/>
        <v>0</v>
      </c>
      <c r="DA816" s="824">
        <f t="shared" ca="1" si="632"/>
        <v>0</v>
      </c>
      <c r="DB816" s="824">
        <f t="shared" ca="1" si="632"/>
        <v>0</v>
      </c>
      <c r="DC816" s="824">
        <f t="shared" ca="1" si="632"/>
        <v>0</v>
      </c>
      <c r="DD816" s="824">
        <f t="shared" ca="1" si="632"/>
        <v>0</v>
      </c>
      <c r="DE816" s="824">
        <f t="shared" ca="1" si="632"/>
        <v>0</v>
      </c>
      <c r="DF816" s="824">
        <f t="shared" ca="1" si="632"/>
        <v>0</v>
      </c>
      <c r="DG816" s="824">
        <f t="shared" ca="1" si="632"/>
        <v>0</v>
      </c>
      <c r="DH816" s="824">
        <f t="shared" ca="1" si="632"/>
        <v>0</v>
      </c>
      <c r="DI816" s="824">
        <f t="shared" ca="1" si="632"/>
        <v>0</v>
      </c>
      <c r="DJ816" s="824">
        <f t="shared" ca="1" si="633"/>
        <v>0</v>
      </c>
      <c r="DK816" s="824">
        <f t="shared" ca="1" si="633"/>
        <v>0</v>
      </c>
      <c r="DL816" s="824">
        <f t="shared" ca="1" si="633"/>
        <v>0</v>
      </c>
    </row>
    <row r="817" spans="2:116" ht="12" thickBot="1" x14ac:dyDescent="0.3">
      <c r="B817" s="1673"/>
      <c r="C817" s="1680"/>
      <c r="D817" s="15" t="s">
        <v>265</v>
      </c>
      <c r="E817" s="165"/>
      <c r="F817" s="116">
        <f ca="1">SUBTOTAL(109,'3.4 I&amp;W'!$X$216)</f>
        <v>0</v>
      </c>
      <c r="G817" s="116">
        <f ca="1">SUBTOTAL(109,'3.4 I&amp;W'!$Y$216)</f>
        <v>0</v>
      </c>
      <c r="H817" s="116">
        <f ca="1">SUBTOTAL(109,'3.4 I&amp;W'!$AD$216)</f>
        <v>0</v>
      </c>
      <c r="I817" s="116">
        <f ca="1">SUBTOTAL(109,'3.4 I&amp;W'!$AE$216)</f>
        <v>0</v>
      </c>
      <c r="J817" s="116"/>
      <c r="K817" s="116"/>
      <c r="L817" s="116"/>
      <c r="M817" s="116">
        <f ca="1">SUBTOTAL(109,'3.4 I&amp;W'!$AI$216)</f>
        <v>0</v>
      </c>
      <c r="N817" s="156">
        <f t="shared" ca="1" si="615"/>
        <v>0</v>
      </c>
      <c r="O817" s="116">
        <f ca="1">SUBTOTAL(109,'3.4 I&amp;W'!$S$216)</f>
        <v>0</v>
      </c>
      <c r="P817" s="30">
        <f t="shared" ca="1" si="605"/>
        <v>0</v>
      </c>
      <c r="Q817" s="31">
        <f t="shared" ca="1" si="606"/>
        <v>0</v>
      </c>
      <c r="R817" s="31">
        <f t="shared" ca="1" si="607"/>
        <v>0</v>
      </c>
      <c r="S817" s="31">
        <f t="shared" ca="1" si="608"/>
        <v>0</v>
      </c>
      <c r="T817" s="32">
        <f t="shared" ca="1" si="609"/>
        <v>0</v>
      </c>
      <c r="U817" s="37">
        <f t="shared" ca="1" si="628"/>
        <v>0</v>
      </c>
      <c r="V817" s="40">
        <f t="shared" ca="1" si="610"/>
        <v>0</v>
      </c>
      <c r="W817" s="41">
        <f t="shared" ca="1" si="611"/>
        <v>0</v>
      </c>
      <c r="X817" s="43"/>
      <c r="Y817" s="46"/>
      <c r="Z817" s="126"/>
      <c r="AA817" s="136"/>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824">
        <f t="shared" ca="1" si="612"/>
        <v>0</v>
      </c>
      <c r="BM817" s="824">
        <f t="shared" ca="1" si="613"/>
        <v>0</v>
      </c>
      <c r="BN817" s="824">
        <f t="shared" ca="1" si="614"/>
        <v>0</v>
      </c>
      <c r="BO817" s="824">
        <f t="shared" ca="1" si="630"/>
        <v>0</v>
      </c>
      <c r="BP817" s="824">
        <f t="shared" ca="1" si="630"/>
        <v>0</v>
      </c>
      <c r="BQ817" s="824">
        <f t="shared" ca="1" si="630"/>
        <v>0</v>
      </c>
      <c r="BR817" s="824">
        <f t="shared" ca="1" si="630"/>
        <v>0</v>
      </c>
      <c r="BS817" s="824">
        <f t="shared" ca="1" si="630"/>
        <v>0</v>
      </c>
      <c r="BT817" s="824">
        <f t="shared" ca="1" si="630"/>
        <v>0</v>
      </c>
      <c r="BU817" s="824">
        <f t="shared" ca="1" si="630"/>
        <v>0</v>
      </c>
      <c r="BV817" s="824">
        <f t="shared" ca="1" si="630"/>
        <v>0</v>
      </c>
      <c r="BW817" s="824">
        <f t="shared" ca="1" si="630"/>
        <v>0</v>
      </c>
      <c r="BX817" s="824">
        <f t="shared" ca="1" si="630"/>
        <v>0</v>
      </c>
      <c r="BY817" s="824">
        <f t="shared" ca="1" si="630"/>
        <v>0</v>
      </c>
      <c r="BZ817" s="824">
        <f t="shared" ca="1" si="630"/>
        <v>0</v>
      </c>
      <c r="CA817" s="824">
        <f t="shared" ca="1" si="630"/>
        <v>0</v>
      </c>
      <c r="CB817" s="824">
        <f t="shared" ca="1" si="630"/>
        <v>0</v>
      </c>
      <c r="CC817" s="824">
        <f t="shared" ca="1" si="630"/>
        <v>0</v>
      </c>
      <c r="CD817" s="824">
        <f t="shared" ca="1" si="630"/>
        <v>0</v>
      </c>
      <c r="CE817" s="824">
        <f t="shared" ca="1" si="629"/>
        <v>0</v>
      </c>
      <c r="CF817" s="824">
        <f t="shared" ca="1" si="629"/>
        <v>0</v>
      </c>
      <c r="CG817" s="824">
        <f t="shared" ca="1" si="629"/>
        <v>0</v>
      </c>
      <c r="CH817" s="824">
        <f t="shared" ca="1" si="629"/>
        <v>0</v>
      </c>
      <c r="CI817" s="824">
        <f t="shared" ca="1" si="629"/>
        <v>0</v>
      </c>
      <c r="CJ817" s="824">
        <f t="shared" ca="1" si="629"/>
        <v>0</v>
      </c>
      <c r="CK817" s="824">
        <f t="shared" ca="1" si="629"/>
        <v>0</v>
      </c>
      <c r="CL817" s="824">
        <f t="shared" ca="1" si="629"/>
        <v>0</v>
      </c>
      <c r="CM817" s="824">
        <f t="shared" ca="1" si="629"/>
        <v>0</v>
      </c>
      <c r="CN817" s="824">
        <f t="shared" ca="1" si="629"/>
        <v>0</v>
      </c>
      <c r="CO817" s="824">
        <f t="shared" ca="1" si="629"/>
        <v>0</v>
      </c>
      <c r="CP817" s="824">
        <f t="shared" ca="1" si="629"/>
        <v>0</v>
      </c>
      <c r="CQ817" s="824">
        <f t="shared" ca="1" si="629"/>
        <v>0</v>
      </c>
      <c r="CR817" s="824">
        <f t="shared" ca="1" si="629"/>
        <v>0</v>
      </c>
      <c r="CS817" s="824">
        <f t="shared" ca="1" si="629"/>
        <v>0</v>
      </c>
      <c r="CT817" s="824">
        <f t="shared" ca="1" si="632"/>
        <v>0</v>
      </c>
      <c r="CU817" s="824">
        <f t="shared" ca="1" si="632"/>
        <v>0</v>
      </c>
      <c r="CV817" s="824">
        <f t="shared" ca="1" si="632"/>
        <v>0</v>
      </c>
      <c r="CW817" s="824">
        <f t="shared" ca="1" si="632"/>
        <v>0</v>
      </c>
      <c r="CX817" s="824">
        <f t="shared" ca="1" si="632"/>
        <v>0</v>
      </c>
      <c r="CY817" s="824">
        <f t="shared" ca="1" si="632"/>
        <v>0</v>
      </c>
      <c r="CZ817" s="824">
        <f t="shared" ca="1" si="632"/>
        <v>0</v>
      </c>
      <c r="DA817" s="824">
        <f t="shared" ca="1" si="632"/>
        <v>0</v>
      </c>
      <c r="DB817" s="824">
        <f t="shared" ca="1" si="632"/>
        <v>0</v>
      </c>
      <c r="DC817" s="824">
        <f t="shared" ca="1" si="632"/>
        <v>0</v>
      </c>
      <c r="DD817" s="824">
        <f t="shared" ca="1" si="632"/>
        <v>0</v>
      </c>
      <c r="DE817" s="824">
        <f t="shared" ca="1" si="632"/>
        <v>0</v>
      </c>
      <c r="DF817" s="824">
        <f t="shared" ca="1" si="632"/>
        <v>0</v>
      </c>
      <c r="DG817" s="824">
        <f t="shared" ca="1" si="632"/>
        <v>0</v>
      </c>
      <c r="DH817" s="824">
        <f t="shared" ca="1" si="632"/>
        <v>0</v>
      </c>
      <c r="DI817" s="824">
        <f t="shared" ca="1" si="632"/>
        <v>0</v>
      </c>
      <c r="DJ817" s="824">
        <f t="shared" ca="1" si="633"/>
        <v>0</v>
      </c>
      <c r="DK817" s="824">
        <f t="shared" ca="1" si="633"/>
        <v>0</v>
      </c>
      <c r="DL817" s="824">
        <f t="shared" ca="1" si="633"/>
        <v>0</v>
      </c>
    </row>
    <row r="818" spans="2:116" ht="12" thickBot="1" x14ac:dyDescent="0.3">
      <c r="B818" s="1673"/>
      <c r="C818" s="1680"/>
      <c r="D818" s="15" t="s">
        <v>9</v>
      </c>
      <c r="E818" s="116"/>
      <c r="F818" s="116"/>
      <c r="G818" s="116"/>
      <c r="H818" s="116"/>
      <c r="I818" s="116"/>
      <c r="J818" s="116"/>
      <c r="K818" s="116"/>
      <c r="L818" s="116"/>
      <c r="M818" s="116"/>
      <c r="N818" s="156">
        <f t="shared" si="615"/>
        <v>0</v>
      </c>
      <c r="O818" s="116">
        <f ca="1">SUBTOTAL(109,'3.4 I&amp;W'!$S$220)</f>
        <v>526746</v>
      </c>
      <c r="P818" s="30">
        <f t="shared" si="605"/>
        <v>0</v>
      </c>
      <c r="Q818" s="31">
        <f t="shared" si="606"/>
        <v>0</v>
      </c>
      <c r="R818" s="31">
        <f t="shared" si="607"/>
        <v>0</v>
      </c>
      <c r="S818" s="31">
        <f t="shared" si="608"/>
        <v>0</v>
      </c>
      <c r="T818" s="32">
        <f t="shared" si="609"/>
        <v>0</v>
      </c>
      <c r="U818" s="37">
        <f t="shared" si="628"/>
        <v>0</v>
      </c>
      <c r="V818" s="40">
        <f t="shared" si="610"/>
        <v>0</v>
      </c>
      <c r="W818" s="41">
        <f t="shared" si="611"/>
        <v>0</v>
      </c>
      <c r="X818" s="43"/>
      <c r="Y818" s="46"/>
      <c r="Z818" s="126"/>
      <c r="AA818" s="136"/>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824">
        <f t="shared" si="612"/>
        <v>0</v>
      </c>
      <c r="BM818" s="824">
        <f t="shared" si="613"/>
        <v>0</v>
      </c>
      <c r="BN818" s="824">
        <f t="shared" ca="1" si="614"/>
        <v>526746</v>
      </c>
      <c r="BO818" s="824">
        <f t="shared" si="630"/>
        <v>0</v>
      </c>
      <c r="BP818" s="824">
        <f t="shared" si="630"/>
        <v>0</v>
      </c>
      <c r="BQ818" s="824">
        <f t="shared" si="630"/>
        <v>0</v>
      </c>
      <c r="BR818" s="824">
        <f t="shared" si="630"/>
        <v>0</v>
      </c>
      <c r="BS818" s="824">
        <f t="shared" si="630"/>
        <v>0</v>
      </c>
      <c r="BT818" s="824">
        <f t="shared" si="630"/>
        <v>0</v>
      </c>
      <c r="BU818" s="824">
        <f t="shared" si="630"/>
        <v>0</v>
      </c>
      <c r="BV818" s="824">
        <f t="shared" si="630"/>
        <v>0</v>
      </c>
      <c r="BW818" s="824">
        <f t="shared" si="630"/>
        <v>0</v>
      </c>
      <c r="BX818" s="824">
        <f t="shared" si="630"/>
        <v>0</v>
      </c>
      <c r="BY818" s="824">
        <f t="shared" si="630"/>
        <v>0</v>
      </c>
      <c r="BZ818" s="824">
        <f t="shared" si="630"/>
        <v>0</v>
      </c>
      <c r="CA818" s="824">
        <f t="shared" si="630"/>
        <v>0</v>
      </c>
      <c r="CB818" s="824">
        <f t="shared" si="630"/>
        <v>0</v>
      </c>
      <c r="CC818" s="824">
        <f t="shared" si="630"/>
        <v>0</v>
      </c>
      <c r="CD818" s="824">
        <f t="shared" si="630"/>
        <v>0</v>
      </c>
      <c r="CE818" s="824">
        <f t="shared" si="629"/>
        <v>0</v>
      </c>
      <c r="CF818" s="824">
        <f t="shared" si="629"/>
        <v>0</v>
      </c>
      <c r="CG818" s="824">
        <f t="shared" si="629"/>
        <v>0</v>
      </c>
      <c r="CH818" s="824">
        <f t="shared" si="629"/>
        <v>0</v>
      </c>
      <c r="CI818" s="824">
        <f t="shared" si="629"/>
        <v>0</v>
      </c>
      <c r="CJ818" s="824">
        <f t="shared" si="629"/>
        <v>0</v>
      </c>
      <c r="CK818" s="824">
        <f t="shared" si="629"/>
        <v>0</v>
      </c>
      <c r="CL818" s="824">
        <f t="shared" si="629"/>
        <v>0</v>
      </c>
      <c r="CM818" s="824">
        <f t="shared" si="629"/>
        <v>0</v>
      </c>
      <c r="CN818" s="824">
        <f t="shared" si="629"/>
        <v>0</v>
      </c>
      <c r="CO818" s="824">
        <f t="shared" si="629"/>
        <v>0</v>
      </c>
      <c r="CP818" s="824">
        <f t="shared" si="629"/>
        <v>0</v>
      </c>
      <c r="CQ818" s="824">
        <f t="shared" si="629"/>
        <v>0</v>
      </c>
      <c r="CR818" s="824">
        <f t="shared" si="629"/>
        <v>0</v>
      </c>
      <c r="CS818" s="824">
        <f t="shared" si="629"/>
        <v>0</v>
      </c>
      <c r="CT818" s="824">
        <f t="shared" si="632"/>
        <v>0</v>
      </c>
      <c r="CU818" s="824">
        <f t="shared" si="632"/>
        <v>0</v>
      </c>
      <c r="CV818" s="824">
        <f t="shared" si="632"/>
        <v>0</v>
      </c>
      <c r="CW818" s="824">
        <f t="shared" si="632"/>
        <v>0</v>
      </c>
      <c r="CX818" s="824">
        <f t="shared" si="632"/>
        <v>0</v>
      </c>
      <c r="CY818" s="824">
        <f t="shared" si="632"/>
        <v>0</v>
      </c>
      <c r="CZ818" s="824">
        <f t="shared" si="632"/>
        <v>0</v>
      </c>
      <c r="DA818" s="824">
        <f t="shared" si="632"/>
        <v>0</v>
      </c>
      <c r="DB818" s="824">
        <f t="shared" si="632"/>
        <v>0</v>
      </c>
      <c r="DC818" s="824">
        <f t="shared" si="632"/>
        <v>0</v>
      </c>
      <c r="DD818" s="824">
        <f t="shared" si="632"/>
        <v>0</v>
      </c>
      <c r="DE818" s="824">
        <f t="shared" si="632"/>
        <v>0</v>
      </c>
      <c r="DF818" s="824">
        <f t="shared" si="632"/>
        <v>0</v>
      </c>
      <c r="DG818" s="824">
        <f t="shared" si="632"/>
        <v>0</v>
      </c>
      <c r="DH818" s="824">
        <f t="shared" si="632"/>
        <v>0</v>
      </c>
      <c r="DI818" s="824">
        <f t="shared" si="632"/>
        <v>0</v>
      </c>
      <c r="DJ818" s="824">
        <f t="shared" si="633"/>
        <v>0</v>
      </c>
      <c r="DK818" s="824">
        <f t="shared" si="633"/>
        <v>0</v>
      </c>
      <c r="DL818" s="824">
        <f t="shared" si="633"/>
        <v>0</v>
      </c>
    </row>
    <row r="819" spans="2:116" ht="12" thickBot="1" x14ac:dyDescent="0.3">
      <c r="B819" s="1673"/>
      <c r="C819" s="1680"/>
      <c r="D819" s="15" t="s">
        <v>3</v>
      </c>
      <c r="E819" s="165"/>
      <c r="F819" s="116">
        <f>SUBTOTAL(109,'3.4 I&amp;W'!$X$233)</f>
        <v>0</v>
      </c>
      <c r="G819" s="116">
        <f>SUBTOTAL(109,'3.4 I&amp;W'!$Y$233)</f>
        <v>0</v>
      </c>
      <c r="H819" s="116">
        <f>SUBTOTAL(109,'3.4 I&amp;W'!$AD$233)</f>
        <v>0</v>
      </c>
      <c r="I819" s="116">
        <f>SUBTOTAL(109,'3.4 I&amp;W'!$AE$233)</f>
        <v>0</v>
      </c>
      <c r="J819" s="116"/>
      <c r="K819" s="116"/>
      <c r="L819" s="116"/>
      <c r="M819" s="116">
        <f>SUBTOTAL(109,'3.4 I&amp;W'!$AI$233)</f>
        <v>0</v>
      </c>
      <c r="N819" s="156">
        <f t="shared" si="615"/>
        <v>0</v>
      </c>
      <c r="O819" s="116">
        <f ca="1">SUBTOTAL(109,'3.4 I&amp;W'!$S$233)</f>
        <v>0</v>
      </c>
      <c r="P819" s="30">
        <f t="shared" si="605"/>
        <v>0</v>
      </c>
      <c r="Q819" s="31">
        <f t="shared" si="606"/>
        <v>0</v>
      </c>
      <c r="R819" s="31">
        <f t="shared" si="607"/>
        <v>0</v>
      </c>
      <c r="S819" s="31">
        <f t="shared" si="608"/>
        <v>0</v>
      </c>
      <c r="T819" s="32">
        <f t="shared" si="609"/>
        <v>0</v>
      </c>
      <c r="U819" s="37">
        <f t="shared" si="628"/>
        <v>0</v>
      </c>
      <c r="V819" s="40">
        <f t="shared" si="610"/>
        <v>0</v>
      </c>
      <c r="W819" s="41">
        <f t="shared" si="611"/>
        <v>0</v>
      </c>
      <c r="X819" s="43"/>
      <c r="Y819" s="46"/>
      <c r="Z819" s="126"/>
      <c r="AA819" s="136"/>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824">
        <f t="shared" ref="BL819:BL829" si="634">M819</f>
        <v>0</v>
      </c>
      <c r="BM819" s="824">
        <f t="shared" ref="BM819:BM829" si="635">N819</f>
        <v>0</v>
      </c>
      <c r="BN819" s="824">
        <f t="shared" ref="BN819:BN829" ca="1" si="636">O819</f>
        <v>0</v>
      </c>
      <c r="BO819" s="824">
        <f t="shared" si="630"/>
        <v>0</v>
      </c>
      <c r="BP819" s="824">
        <f t="shared" si="630"/>
        <v>0</v>
      </c>
      <c r="BQ819" s="824">
        <f t="shared" si="630"/>
        <v>0</v>
      </c>
      <c r="BR819" s="824">
        <f t="shared" si="630"/>
        <v>0</v>
      </c>
      <c r="BS819" s="824">
        <f t="shared" si="630"/>
        <v>0</v>
      </c>
      <c r="BT819" s="824">
        <f t="shared" si="630"/>
        <v>0</v>
      </c>
      <c r="BU819" s="824">
        <f t="shared" si="630"/>
        <v>0</v>
      </c>
      <c r="BV819" s="824">
        <f t="shared" si="630"/>
        <v>0</v>
      </c>
      <c r="BW819" s="824">
        <f t="shared" si="630"/>
        <v>0</v>
      </c>
      <c r="BX819" s="824">
        <f t="shared" si="630"/>
        <v>0</v>
      </c>
      <c r="BY819" s="824">
        <f t="shared" si="630"/>
        <v>0</v>
      </c>
      <c r="BZ819" s="824">
        <f t="shared" si="630"/>
        <v>0</v>
      </c>
      <c r="CA819" s="824">
        <f t="shared" si="630"/>
        <v>0</v>
      </c>
      <c r="CB819" s="824">
        <f t="shared" si="630"/>
        <v>0</v>
      </c>
      <c r="CC819" s="824">
        <f t="shared" si="630"/>
        <v>0</v>
      </c>
      <c r="CD819" s="824">
        <f t="shared" si="630"/>
        <v>0</v>
      </c>
      <c r="CE819" s="824">
        <f t="shared" si="629"/>
        <v>0</v>
      </c>
      <c r="CF819" s="824">
        <f t="shared" si="629"/>
        <v>0</v>
      </c>
      <c r="CG819" s="824">
        <f t="shared" si="629"/>
        <v>0</v>
      </c>
      <c r="CH819" s="824">
        <f t="shared" si="629"/>
        <v>0</v>
      </c>
      <c r="CI819" s="824">
        <f t="shared" si="629"/>
        <v>0</v>
      </c>
      <c r="CJ819" s="824">
        <f t="shared" si="629"/>
        <v>0</v>
      </c>
      <c r="CK819" s="824">
        <f t="shared" si="629"/>
        <v>0</v>
      </c>
      <c r="CL819" s="824">
        <f t="shared" si="629"/>
        <v>0</v>
      </c>
      <c r="CM819" s="824">
        <f t="shared" si="629"/>
        <v>0</v>
      </c>
      <c r="CN819" s="824">
        <f t="shared" si="629"/>
        <v>0</v>
      </c>
      <c r="CO819" s="824">
        <f t="shared" si="629"/>
        <v>0</v>
      </c>
      <c r="CP819" s="824">
        <f t="shared" si="629"/>
        <v>0</v>
      </c>
      <c r="CQ819" s="824">
        <f t="shared" si="629"/>
        <v>0</v>
      </c>
      <c r="CR819" s="824">
        <f t="shared" si="629"/>
        <v>0</v>
      </c>
      <c r="CS819" s="824">
        <f t="shared" si="629"/>
        <v>0</v>
      </c>
      <c r="CT819" s="824">
        <f t="shared" si="632"/>
        <v>0</v>
      </c>
      <c r="CU819" s="824">
        <f t="shared" si="632"/>
        <v>0</v>
      </c>
      <c r="CV819" s="824">
        <f t="shared" si="632"/>
        <v>0</v>
      </c>
      <c r="CW819" s="824">
        <f t="shared" si="632"/>
        <v>0</v>
      </c>
      <c r="CX819" s="824">
        <f t="shared" si="632"/>
        <v>0</v>
      </c>
      <c r="CY819" s="824">
        <f t="shared" si="632"/>
        <v>0</v>
      </c>
      <c r="CZ819" s="824">
        <f t="shared" si="632"/>
        <v>0</v>
      </c>
      <c r="DA819" s="824">
        <f t="shared" si="632"/>
        <v>0</v>
      </c>
      <c r="DB819" s="824">
        <f t="shared" si="632"/>
        <v>0</v>
      </c>
      <c r="DC819" s="824">
        <f t="shared" si="632"/>
        <v>0</v>
      </c>
      <c r="DD819" s="824">
        <f t="shared" si="632"/>
        <v>0</v>
      </c>
      <c r="DE819" s="824">
        <f t="shared" si="632"/>
        <v>0</v>
      </c>
      <c r="DF819" s="824">
        <f t="shared" si="632"/>
        <v>0</v>
      </c>
      <c r="DG819" s="824">
        <f t="shared" si="632"/>
        <v>0</v>
      </c>
      <c r="DH819" s="824">
        <f t="shared" si="632"/>
        <v>0</v>
      </c>
      <c r="DI819" s="824">
        <f t="shared" si="632"/>
        <v>0</v>
      </c>
      <c r="DJ819" s="824">
        <f t="shared" si="633"/>
        <v>0</v>
      </c>
      <c r="DK819" s="824">
        <f t="shared" si="633"/>
        <v>0</v>
      </c>
      <c r="DL819" s="824">
        <f t="shared" si="633"/>
        <v>0</v>
      </c>
    </row>
    <row r="820" spans="2:116" ht="12" thickBot="1" x14ac:dyDescent="0.3">
      <c r="B820" s="1673"/>
      <c r="C820" s="1680"/>
      <c r="D820" s="15" t="s">
        <v>1</v>
      </c>
      <c r="E820" s="116"/>
      <c r="F820" s="116">
        <f>SUBTOTAL(109,'3.4 I&amp;W'!$X$234)</f>
        <v>0</v>
      </c>
      <c r="G820" s="116">
        <f>SUBTOTAL(109,'3.4 I&amp;W'!$Y$234)</f>
        <v>0</v>
      </c>
      <c r="H820" s="116">
        <f>SUBTOTAL(109,'3.4 I&amp;W'!$AD$234)</f>
        <v>0</v>
      </c>
      <c r="I820" s="116">
        <f>SUBTOTAL(109,'3.4 I&amp;W'!$AE$234)</f>
        <v>0</v>
      </c>
      <c r="J820" s="116"/>
      <c r="K820" s="116"/>
      <c r="L820" s="116"/>
      <c r="M820" s="116">
        <f>SUBTOTAL(109,'3.4 I&amp;W'!$AI$234)</f>
        <v>0</v>
      </c>
      <c r="N820" s="156">
        <f t="shared" si="615"/>
        <v>0</v>
      </c>
      <c r="O820" s="116">
        <f ca="1">SUBTOTAL(109,'3.4 I&amp;W'!$S$234)</f>
        <v>0</v>
      </c>
      <c r="P820" s="30">
        <f t="shared" si="605"/>
        <v>0</v>
      </c>
      <c r="Q820" s="31">
        <f t="shared" si="606"/>
        <v>0</v>
      </c>
      <c r="R820" s="31">
        <f t="shared" si="607"/>
        <v>0</v>
      </c>
      <c r="S820" s="31">
        <f t="shared" si="608"/>
        <v>0</v>
      </c>
      <c r="T820" s="32">
        <f t="shared" si="609"/>
        <v>0</v>
      </c>
      <c r="U820" s="37">
        <f t="shared" si="628"/>
        <v>0</v>
      </c>
      <c r="V820" s="40">
        <f t="shared" si="610"/>
        <v>0</v>
      </c>
      <c r="W820" s="41">
        <f t="shared" si="611"/>
        <v>0</v>
      </c>
      <c r="X820" s="43"/>
      <c r="Y820" s="46"/>
      <c r="Z820" s="126"/>
      <c r="AA820" s="136"/>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824">
        <f t="shared" si="634"/>
        <v>0</v>
      </c>
      <c r="BM820" s="824">
        <f t="shared" si="635"/>
        <v>0</v>
      </c>
      <c r="BN820" s="824">
        <f t="shared" ca="1" si="636"/>
        <v>0</v>
      </c>
      <c r="BO820" s="824">
        <f t="shared" si="630"/>
        <v>0</v>
      </c>
      <c r="BP820" s="824">
        <f t="shared" si="630"/>
        <v>0</v>
      </c>
      <c r="BQ820" s="824">
        <f t="shared" si="630"/>
        <v>0</v>
      </c>
      <c r="BR820" s="824">
        <f t="shared" si="630"/>
        <v>0</v>
      </c>
      <c r="BS820" s="824">
        <f t="shared" si="630"/>
        <v>0</v>
      </c>
      <c r="BT820" s="824">
        <f t="shared" si="630"/>
        <v>0</v>
      </c>
      <c r="BU820" s="824">
        <f t="shared" si="630"/>
        <v>0</v>
      </c>
      <c r="BV820" s="824">
        <f t="shared" si="630"/>
        <v>0</v>
      </c>
      <c r="BW820" s="824">
        <f t="shared" si="630"/>
        <v>0</v>
      </c>
      <c r="BX820" s="824">
        <f t="shared" si="630"/>
        <v>0</v>
      </c>
      <c r="BY820" s="824">
        <f t="shared" si="630"/>
        <v>0</v>
      </c>
      <c r="BZ820" s="824">
        <f t="shared" si="630"/>
        <v>0</v>
      </c>
      <c r="CA820" s="824">
        <f t="shared" si="630"/>
        <v>0</v>
      </c>
      <c r="CB820" s="824">
        <f t="shared" si="630"/>
        <v>0</v>
      </c>
      <c r="CC820" s="824">
        <f t="shared" si="630"/>
        <v>0</v>
      </c>
      <c r="CD820" s="824">
        <f t="shared" si="630"/>
        <v>0</v>
      </c>
      <c r="CE820" s="824">
        <f t="shared" si="629"/>
        <v>0</v>
      </c>
      <c r="CF820" s="824">
        <f t="shared" si="629"/>
        <v>0</v>
      </c>
      <c r="CG820" s="824">
        <f t="shared" si="629"/>
        <v>0</v>
      </c>
      <c r="CH820" s="824">
        <f t="shared" si="629"/>
        <v>0</v>
      </c>
      <c r="CI820" s="824">
        <f t="shared" si="629"/>
        <v>0</v>
      </c>
      <c r="CJ820" s="824">
        <f t="shared" si="629"/>
        <v>0</v>
      </c>
      <c r="CK820" s="824">
        <f t="shared" si="629"/>
        <v>0</v>
      </c>
      <c r="CL820" s="824">
        <f t="shared" si="629"/>
        <v>0</v>
      </c>
      <c r="CM820" s="824">
        <f t="shared" si="629"/>
        <v>0</v>
      </c>
      <c r="CN820" s="824">
        <f t="shared" si="629"/>
        <v>0</v>
      </c>
      <c r="CO820" s="824">
        <f t="shared" si="629"/>
        <v>0</v>
      </c>
      <c r="CP820" s="824">
        <f t="shared" si="629"/>
        <v>0</v>
      </c>
      <c r="CQ820" s="824">
        <f t="shared" si="629"/>
        <v>0</v>
      </c>
      <c r="CR820" s="824">
        <f t="shared" si="629"/>
        <v>0</v>
      </c>
      <c r="CS820" s="824">
        <f t="shared" si="629"/>
        <v>0</v>
      </c>
      <c r="CT820" s="824">
        <f t="shared" si="632"/>
        <v>0</v>
      </c>
      <c r="CU820" s="824">
        <f t="shared" si="632"/>
        <v>0</v>
      </c>
      <c r="CV820" s="824">
        <f t="shared" si="632"/>
        <v>0</v>
      </c>
      <c r="CW820" s="824">
        <f t="shared" si="632"/>
        <v>0</v>
      </c>
      <c r="CX820" s="824">
        <f t="shared" si="632"/>
        <v>0</v>
      </c>
      <c r="CY820" s="824">
        <f t="shared" si="632"/>
        <v>0</v>
      </c>
      <c r="CZ820" s="824">
        <f t="shared" si="632"/>
        <v>0</v>
      </c>
      <c r="DA820" s="824">
        <f t="shared" si="632"/>
        <v>0</v>
      </c>
      <c r="DB820" s="824">
        <f t="shared" si="632"/>
        <v>0</v>
      </c>
      <c r="DC820" s="824">
        <f t="shared" si="632"/>
        <v>0</v>
      </c>
      <c r="DD820" s="824">
        <f t="shared" si="632"/>
        <v>0</v>
      </c>
      <c r="DE820" s="824">
        <f t="shared" si="632"/>
        <v>0</v>
      </c>
      <c r="DF820" s="824">
        <f t="shared" si="632"/>
        <v>0</v>
      </c>
      <c r="DG820" s="824">
        <f t="shared" si="632"/>
        <v>0</v>
      </c>
      <c r="DH820" s="824">
        <f t="shared" si="632"/>
        <v>0</v>
      </c>
      <c r="DI820" s="824">
        <f t="shared" si="632"/>
        <v>0</v>
      </c>
      <c r="DJ820" s="824">
        <f t="shared" si="633"/>
        <v>0</v>
      </c>
      <c r="DK820" s="824">
        <f t="shared" si="633"/>
        <v>0</v>
      </c>
      <c r="DL820" s="824">
        <f t="shared" si="633"/>
        <v>0</v>
      </c>
    </row>
    <row r="821" spans="2:116" ht="12" thickBot="1" x14ac:dyDescent="0.3">
      <c r="B821" s="1673"/>
      <c r="C821" s="1680"/>
      <c r="D821" s="183" t="s">
        <v>0</v>
      </c>
      <c r="E821" s="182"/>
      <c r="F821" s="11">
        <f>SUBTOTAL(109,'3.4 I&amp;W'!$X$238)</f>
        <v>0</v>
      </c>
      <c r="G821" s="11">
        <f>SUBTOTAL(109,'3.4 I&amp;W'!$Y$238)</f>
        <v>0</v>
      </c>
      <c r="H821" s="11">
        <f>SUBTOTAL(109,'3.4 I&amp;W'!$AD$238)</f>
        <v>0</v>
      </c>
      <c r="I821" s="11">
        <f>SUBTOTAL(109,'3.4 I&amp;W'!$AE$238)</f>
        <v>0</v>
      </c>
      <c r="J821" s="11"/>
      <c r="K821" s="11"/>
      <c r="L821" s="11"/>
      <c r="M821" s="11">
        <f>SUBTOTAL(109,'3.4 I&amp;W'!$AI$238)</f>
        <v>0</v>
      </c>
      <c r="N821" s="156">
        <f t="shared" si="615"/>
        <v>0</v>
      </c>
      <c r="O821" s="11">
        <f ca="1">SUBTOTAL(109,'3.4 I&amp;W'!$S$239)</f>
        <v>0</v>
      </c>
      <c r="P821" s="65">
        <f t="shared" si="605"/>
        <v>0</v>
      </c>
      <c r="Q821" s="66">
        <f t="shared" si="606"/>
        <v>0</v>
      </c>
      <c r="R821" s="66">
        <f t="shared" si="607"/>
        <v>0</v>
      </c>
      <c r="S821" s="66">
        <f t="shared" si="608"/>
        <v>0</v>
      </c>
      <c r="T821" s="67">
        <f t="shared" si="609"/>
        <v>0</v>
      </c>
      <c r="U821" s="37">
        <f t="shared" si="628"/>
        <v>0</v>
      </c>
      <c r="V821" s="40">
        <f t="shared" ref="V821:V837" si="637">G821*$I$169</f>
        <v>0</v>
      </c>
      <c r="W821" s="41">
        <f t="shared" ref="W821:W837" si="638">(I821+J821)*$I$167</f>
        <v>0</v>
      </c>
      <c r="X821" s="184"/>
      <c r="Y821" s="185"/>
      <c r="Z821" s="198"/>
      <c r="AA821" s="186"/>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824">
        <f t="shared" si="634"/>
        <v>0</v>
      </c>
      <c r="BM821" s="824">
        <f t="shared" si="635"/>
        <v>0</v>
      </c>
      <c r="BN821" s="824">
        <f t="shared" ca="1" si="636"/>
        <v>0</v>
      </c>
      <c r="BO821" s="824">
        <f t="shared" si="630"/>
        <v>0</v>
      </c>
      <c r="BP821" s="824">
        <f t="shared" si="630"/>
        <v>0</v>
      </c>
      <c r="BQ821" s="824">
        <f t="shared" si="630"/>
        <v>0</v>
      </c>
      <c r="BR821" s="824">
        <f t="shared" si="630"/>
        <v>0</v>
      </c>
      <c r="BS821" s="824">
        <f t="shared" si="630"/>
        <v>0</v>
      </c>
      <c r="BT821" s="824">
        <f t="shared" si="630"/>
        <v>0</v>
      </c>
      <c r="BU821" s="824">
        <f t="shared" si="630"/>
        <v>0</v>
      </c>
      <c r="BV821" s="824">
        <f t="shared" si="630"/>
        <v>0</v>
      </c>
      <c r="BW821" s="824">
        <f t="shared" si="630"/>
        <v>0</v>
      </c>
      <c r="BX821" s="824">
        <f t="shared" si="630"/>
        <v>0</v>
      </c>
      <c r="BY821" s="824">
        <f t="shared" si="630"/>
        <v>0</v>
      </c>
      <c r="BZ821" s="824">
        <f t="shared" si="630"/>
        <v>0</v>
      </c>
      <c r="CA821" s="824">
        <f t="shared" si="630"/>
        <v>0</v>
      </c>
      <c r="CB821" s="824">
        <f t="shared" si="630"/>
        <v>0</v>
      </c>
      <c r="CC821" s="824">
        <f t="shared" si="630"/>
        <v>0</v>
      </c>
      <c r="CD821" s="824">
        <f t="shared" ref="CD821:CS829" si="639">IF(OR(IF($BL821*1&lt;$BL$196,$BL821*1=CD$198,FALSE),IF($BL821*2&lt;$BL$196,$BL821*2=CD$198,FALSE),IF($BL821*3&lt;$BL$196,$BL821*3=CD$198,FALSE),IF($BL821*4&lt;$BL$196,$BL821*4=CD$198,FALSE),IF($BL821*5&lt;$BL$196,$BL821*5=CD$198,FALSE)),$BN821*$BM$196^CD$198,0)</f>
        <v>0</v>
      </c>
      <c r="CE821" s="824">
        <f t="shared" si="639"/>
        <v>0</v>
      </c>
      <c r="CF821" s="824">
        <f t="shared" si="639"/>
        <v>0</v>
      </c>
      <c r="CG821" s="824">
        <f t="shared" si="639"/>
        <v>0</v>
      </c>
      <c r="CH821" s="824">
        <f t="shared" si="639"/>
        <v>0</v>
      </c>
      <c r="CI821" s="824">
        <f t="shared" si="639"/>
        <v>0</v>
      </c>
      <c r="CJ821" s="824">
        <f t="shared" si="639"/>
        <v>0</v>
      </c>
      <c r="CK821" s="824">
        <f t="shared" si="639"/>
        <v>0</v>
      </c>
      <c r="CL821" s="824">
        <f t="shared" si="639"/>
        <v>0</v>
      </c>
      <c r="CM821" s="824">
        <f t="shared" si="639"/>
        <v>0</v>
      </c>
      <c r="CN821" s="824">
        <f t="shared" si="639"/>
        <v>0</v>
      </c>
      <c r="CO821" s="824">
        <f t="shared" si="639"/>
        <v>0</v>
      </c>
      <c r="CP821" s="824">
        <f t="shared" si="639"/>
        <v>0</v>
      </c>
      <c r="CQ821" s="824">
        <f t="shared" si="639"/>
        <v>0</v>
      </c>
      <c r="CR821" s="824">
        <f t="shared" si="639"/>
        <v>0</v>
      </c>
      <c r="CS821" s="824">
        <f t="shared" si="639"/>
        <v>0</v>
      </c>
      <c r="CT821" s="824">
        <f t="shared" si="632"/>
        <v>0</v>
      </c>
      <c r="CU821" s="824">
        <f t="shared" si="632"/>
        <v>0</v>
      </c>
      <c r="CV821" s="824">
        <f t="shared" si="632"/>
        <v>0</v>
      </c>
      <c r="CW821" s="824">
        <f t="shared" si="632"/>
        <v>0</v>
      </c>
      <c r="CX821" s="824">
        <f t="shared" si="632"/>
        <v>0</v>
      </c>
      <c r="CY821" s="824">
        <f t="shared" si="632"/>
        <v>0</v>
      </c>
      <c r="CZ821" s="824">
        <f t="shared" si="632"/>
        <v>0</v>
      </c>
      <c r="DA821" s="824">
        <f t="shared" si="632"/>
        <v>0</v>
      </c>
      <c r="DB821" s="824">
        <f t="shared" si="632"/>
        <v>0</v>
      </c>
      <c r="DC821" s="824">
        <f t="shared" si="632"/>
        <v>0</v>
      </c>
      <c r="DD821" s="824">
        <f t="shared" si="632"/>
        <v>0</v>
      </c>
      <c r="DE821" s="824">
        <f t="shared" si="632"/>
        <v>0</v>
      </c>
      <c r="DF821" s="824">
        <f t="shared" si="632"/>
        <v>0</v>
      </c>
      <c r="DG821" s="824">
        <f t="shared" si="632"/>
        <v>0</v>
      </c>
      <c r="DH821" s="824">
        <f t="shared" si="632"/>
        <v>0</v>
      </c>
      <c r="DI821" s="824">
        <f t="shared" si="632"/>
        <v>0</v>
      </c>
      <c r="DJ821" s="824">
        <f t="shared" si="633"/>
        <v>0</v>
      </c>
      <c r="DK821" s="824">
        <f t="shared" si="633"/>
        <v>0</v>
      </c>
      <c r="DL821" s="824">
        <f t="shared" si="633"/>
        <v>0</v>
      </c>
    </row>
    <row r="822" spans="2:116" ht="12" thickBot="1" x14ac:dyDescent="0.3">
      <c r="B822" s="1673"/>
      <c r="C822" s="1060"/>
      <c r="D822" s="199">
        <f>'3.2 I&amp;W'!F751:F751</f>
        <v>0</v>
      </c>
      <c r="E822" s="116"/>
      <c r="F822" s="11">
        <f ca="1">SUBTOTAL(109,'3.4 I&amp;W'!$X$246)</f>
        <v>0</v>
      </c>
      <c r="G822" s="11">
        <f ca="1">SUBTOTAL(109,'3.4 I&amp;W'!$Y$246)</f>
        <v>0</v>
      </c>
      <c r="H822" s="11">
        <f ca="1">SUBTOTAL(109,'3.4 I&amp;W'!$AD$246)</f>
        <v>0</v>
      </c>
      <c r="I822" s="11">
        <f ca="1">SUBTOTAL(109,'3.4 I&amp;W'!$AE$246)</f>
        <v>0</v>
      </c>
      <c r="J822" s="116"/>
      <c r="K822" s="116"/>
      <c r="L822" s="116"/>
      <c r="M822" s="11">
        <f ca="1">SUBTOTAL(109,'3.4 I&amp;W'!$AI$246)</f>
        <v>100</v>
      </c>
      <c r="N822" s="156">
        <f t="shared" ca="1" si="615"/>
        <v>0</v>
      </c>
      <c r="O822" s="200">
        <f ca="1">SUBTOTAL(109,'3.4 I&amp;W'!$S$246)</f>
        <v>1116603.8639999998</v>
      </c>
      <c r="P822" s="65">
        <f ca="1">IF(N822&gt;=1,O822*$G$158^(1*M822)/($G$157^(1*M822)),0)</f>
        <v>0</v>
      </c>
      <c r="Q822" s="66">
        <f ca="1">IF(N822&gt;=2,O822*$G$158^(2*M822)/($G$157^(2*M822)),0)</f>
        <v>0</v>
      </c>
      <c r="R822" s="66">
        <f ca="1">IF(N822&gt;=3,O822*$G$158^(3*M822)/($G$157^(3*M822)),0)</f>
        <v>0</v>
      </c>
      <c r="S822" s="66">
        <f ca="1">IF(N822&gt;=4,O822*$G$158^(4*M822)/($G$157^(4*M822)),0)</f>
        <v>0</v>
      </c>
      <c r="T822" s="67">
        <f ca="1">IF(N822&gt;=5,O822*$G$158^(5*M822)/($G$157^(5*M822)),0)</f>
        <v>0</v>
      </c>
      <c r="U822" s="37">
        <f ca="1">IF(M822=0,0,O822*$G$158^(N822*M822)*((N822+1)*M822-$G$154)/M822*(1/$G$157^$G$154))</f>
        <v>362916.29736939806</v>
      </c>
      <c r="V822" s="40">
        <f t="shared" ca="1" si="637"/>
        <v>0</v>
      </c>
      <c r="W822" s="41">
        <f t="shared" ca="1" si="638"/>
        <v>0</v>
      </c>
      <c r="X822" s="197"/>
      <c r="Y822" s="193"/>
      <c r="Z822" s="48"/>
      <c r="AA822" s="194"/>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824">
        <f t="shared" ca="1" si="634"/>
        <v>100</v>
      </c>
      <c r="BM822" s="824">
        <f t="shared" ca="1" si="635"/>
        <v>0</v>
      </c>
      <c r="BN822" s="824">
        <f t="shared" ca="1" si="636"/>
        <v>1116603.8639999998</v>
      </c>
      <c r="BO822" s="824">
        <f t="shared" ref="BO822:CD829" ca="1" si="640">IF(OR(IF($BL822*1&lt;$BL$196,$BL822*1=BO$198,FALSE),IF($BL822*2&lt;$BL$196,$BL822*2=BO$198,FALSE),IF($BL822*3&lt;$BL$196,$BL822*3=BO$198,FALSE),IF($BL822*4&lt;$BL$196,$BL822*4=BO$198,FALSE),IF($BL822*5&lt;$BL$196,$BL822*5=BO$198,FALSE)),$BN822*$BM$196^BO$198,0)</f>
        <v>0</v>
      </c>
      <c r="BP822" s="824">
        <f t="shared" ca="1" si="640"/>
        <v>0</v>
      </c>
      <c r="BQ822" s="824">
        <f t="shared" ca="1" si="640"/>
        <v>0</v>
      </c>
      <c r="BR822" s="824">
        <f t="shared" ca="1" si="640"/>
        <v>0</v>
      </c>
      <c r="BS822" s="824">
        <f t="shared" ca="1" si="640"/>
        <v>0</v>
      </c>
      <c r="BT822" s="824">
        <f t="shared" ca="1" si="640"/>
        <v>0</v>
      </c>
      <c r="BU822" s="824">
        <f t="shared" ca="1" si="640"/>
        <v>0</v>
      </c>
      <c r="BV822" s="824">
        <f t="shared" ca="1" si="640"/>
        <v>0</v>
      </c>
      <c r="BW822" s="824">
        <f t="shared" ca="1" si="640"/>
        <v>0</v>
      </c>
      <c r="BX822" s="824">
        <f t="shared" ca="1" si="640"/>
        <v>0</v>
      </c>
      <c r="BY822" s="824">
        <f t="shared" ca="1" si="640"/>
        <v>0</v>
      </c>
      <c r="BZ822" s="824">
        <f t="shared" ca="1" si="640"/>
        <v>0</v>
      </c>
      <c r="CA822" s="824">
        <f t="shared" ca="1" si="640"/>
        <v>0</v>
      </c>
      <c r="CB822" s="824">
        <f t="shared" ca="1" si="640"/>
        <v>0</v>
      </c>
      <c r="CC822" s="824">
        <f t="shared" ca="1" si="640"/>
        <v>0</v>
      </c>
      <c r="CD822" s="824">
        <f t="shared" ca="1" si="640"/>
        <v>0</v>
      </c>
      <c r="CE822" s="824">
        <f t="shared" ca="1" si="639"/>
        <v>0</v>
      </c>
      <c r="CF822" s="824">
        <f t="shared" ca="1" si="639"/>
        <v>0</v>
      </c>
      <c r="CG822" s="824">
        <f t="shared" ca="1" si="639"/>
        <v>0</v>
      </c>
      <c r="CH822" s="824">
        <f t="shared" ca="1" si="639"/>
        <v>0</v>
      </c>
      <c r="CI822" s="824">
        <f t="shared" ca="1" si="639"/>
        <v>0</v>
      </c>
      <c r="CJ822" s="824">
        <f t="shared" ca="1" si="639"/>
        <v>0</v>
      </c>
      <c r="CK822" s="824">
        <f t="shared" ca="1" si="639"/>
        <v>0</v>
      </c>
      <c r="CL822" s="824">
        <f t="shared" ca="1" si="639"/>
        <v>0</v>
      </c>
      <c r="CM822" s="824">
        <f t="shared" ca="1" si="639"/>
        <v>0</v>
      </c>
      <c r="CN822" s="824">
        <f t="shared" ca="1" si="639"/>
        <v>0</v>
      </c>
      <c r="CO822" s="824">
        <f t="shared" ca="1" si="639"/>
        <v>0</v>
      </c>
      <c r="CP822" s="824">
        <f t="shared" ca="1" si="639"/>
        <v>0</v>
      </c>
      <c r="CQ822" s="824">
        <f t="shared" ca="1" si="639"/>
        <v>0</v>
      </c>
      <c r="CR822" s="824">
        <f t="shared" ca="1" si="639"/>
        <v>0</v>
      </c>
      <c r="CS822" s="824">
        <f t="shared" ca="1" si="639"/>
        <v>0</v>
      </c>
      <c r="CT822" s="824">
        <f t="shared" ca="1" si="632"/>
        <v>0</v>
      </c>
      <c r="CU822" s="824">
        <f t="shared" ca="1" si="632"/>
        <v>0</v>
      </c>
      <c r="CV822" s="824">
        <f t="shared" ca="1" si="632"/>
        <v>0</v>
      </c>
      <c r="CW822" s="824">
        <f t="shared" ca="1" si="632"/>
        <v>0</v>
      </c>
      <c r="CX822" s="824">
        <f t="shared" ca="1" si="632"/>
        <v>0</v>
      </c>
      <c r="CY822" s="824">
        <f t="shared" ca="1" si="632"/>
        <v>0</v>
      </c>
      <c r="CZ822" s="824">
        <f t="shared" ca="1" si="632"/>
        <v>0</v>
      </c>
      <c r="DA822" s="824">
        <f t="shared" ca="1" si="632"/>
        <v>0</v>
      </c>
      <c r="DB822" s="824">
        <f t="shared" ca="1" si="632"/>
        <v>0</v>
      </c>
      <c r="DC822" s="824">
        <f t="shared" ca="1" si="632"/>
        <v>0</v>
      </c>
      <c r="DD822" s="824">
        <f t="shared" ca="1" si="632"/>
        <v>0</v>
      </c>
      <c r="DE822" s="824">
        <f t="shared" ca="1" si="632"/>
        <v>0</v>
      </c>
      <c r="DF822" s="824">
        <f t="shared" ca="1" si="632"/>
        <v>0</v>
      </c>
      <c r="DG822" s="824">
        <f t="shared" ca="1" si="632"/>
        <v>0</v>
      </c>
      <c r="DH822" s="824">
        <f t="shared" ca="1" si="632"/>
        <v>0</v>
      </c>
      <c r="DI822" s="824">
        <f t="shared" ref="DI822" ca="1" si="641">IF(OR(IF($BL822*1&lt;$BL$196,$BL822*1=DI$198,FALSE),IF($BL822*2&lt;$BL$196,$BL822*2=DI$198,FALSE),IF($BL822*3&lt;$BL$196,$BL822*3=DI$198,FALSE),IF($BL822*4&lt;$BL$196,$BL822*4=DI$198,FALSE),IF($BL822*5&lt;$BL$196,$BL822*5=DI$198,FALSE)),$BN822*$BM$196^DI$198,0)</f>
        <v>0</v>
      </c>
      <c r="DJ822" s="824">
        <f t="shared" ca="1" si="633"/>
        <v>0</v>
      </c>
      <c r="DK822" s="824">
        <f t="shared" ca="1" si="633"/>
        <v>0</v>
      </c>
      <c r="DL822" s="824">
        <f t="shared" ca="1" si="633"/>
        <v>0</v>
      </c>
    </row>
    <row r="823" spans="2:116" ht="12" thickBot="1" x14ac:dyDescent="0.3">
      <c r="B823" s="1673"/>
      <c r="C823" s="1060"/>
      <c r="D823" s="199">
        <f>'3.2 I&amp;W'!F752:F752</f>
        <v>0</v>
      </c>
      <c r="E823" s="116"/>
      <c r="F823" s="11">
        <f ca="1">SUBTOTAL(109,'3.4 I&amp;W'!$X$247)</f>
        <v>0</v>
      </c>
      <c r="G823" s="11">
        <f ca="1">SUBTOTAL(109,'3.4 I&amp;W'!$Y$247)</f>
        <v>0</v>
      </c>
      <c r="H823" s="11">
        <f ca="1">SUBTOTAL(109,'3.4 I&amp;W'!$AD$247)</f>
        <v>0</v>
      </c>
      <c r="I823" s="11">
        <f ca="1">SUBTOTAL(109,'3.4 I&amp;W'!$AE$247)</f>
        <v>0</v>
      </c>
      <c r="J823" s="116"/>
      <c r="K823" s="116"/>
      <c r="L823" s="116"/>
      <c r="M823" s="11">
        <f ca="1">SUBTOTAL(109,'3.4 I&amp;W'!$AI$247)</f>
        <v>50</v>
      </c>
      <c r="N823" s="156">
        <f t="shared" ca="1" si="615"/>
        <v>0</v>
      </c>
      <c r="O823" s="200">
        <f ca="1">SUBTOTAL(109,'3.4 I&amp;W'!$S$247)</f>
        <v>22720.5</v>
      </c>
      <c r="P823" s="65">
        <f ca="1">IF(N823&gt;=1,O823*$G$158^(1*M823)/($G$157^(1*M823)),0)</f>
        <v>0</v>
      </c>
      <c r="Q823" s="66">
        <f ca="1">IF(N823&gt;=2,O823*$G$158^(2*M823)/($G$157^(2*M823)),0)</f>
        <v>0</v>
      </c>
      <c r="R823" s="66">
        <f ca="1">IF(N823&gt;=3,O823*$G$158^(3*M823)/($G$157^(3*M823)),0)</f>
        <v>0</v>
      </c>
      <c r="S823" s="66">
        <f ca="1">IF(N823&gt;=4,O823*$G$158^(4*M823)/($G$157^(4*M823)),0)</f>
        <v>0</v>
      </c>
      <c r="T823" s="67">
        <f ca="1">IF(N823&gt;=5,O823*$G$158^(5*M823)/($G$157^(5*M823)),0)</f>
        <v>0</v>
      </c>
      <c r="U823" s="37">
        <f ca="1">IF(M823=0,0,O823*$G$158^(N823*M823)*((N823+1)*M823-$G$154)/M823*(1/$G$157^$G$154))</f>
        <v>3408.2632167989746</v>
      </c>
      <c r="V823" s="40">
        <f t="shared" ca="1" si="637"/>
        <v>0</v>
      </c>
      <c r="W823" s="41">
        <f t="shared" ca="1" si="638"/>
        <v>0</v>
      </c>
      <c r="X823" s="191"/>
      <c r="Y823" s="193"/>
      <c r="Z823" s="48"/>
      <c r="AA823" s="194"/>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824">
        <f t="shared" ca="1" si="634"/>
        <v>50</v>
      </c>
      <c r="BM823" s="824">
        <f t="shared" ca="1" si="635"/>
        <v>0</v>
      </c>
      <c r="BN823" s="824">
        <f t="shared" ca="1" si="636"/>
        <v>22720.5</v>
      </c>
      <c r="BO823" s="824">
        <f t="shared" ca="1" si="640"/>
        <v>0</v>
      </c>
      <c r="BP823" s="824">
        <f t="shared" ca="1" si="640"/>
        <v>0</v>
      </c>
      <c r="BQ823" s="824">
        <f t="shared" ca="1" si="640"/>
        <v>0</v>
      </c>
      <c r="BR823" s="824">
        <f t="shared" ca="1" si="640"/>
        <v>0</v>
      </c>
      <c r="BS823" s="824">
        <f t="shared" ca="1" si="640"/>
        <v>0</v>
      </c>
      <c r="BT823" s="824">
        <f t="shared" ca="1" si="640"/>
        <v>0</v>
      </c>
      <c r="BU823" s="824">
        <f t="shared" ca="1" si="640"/>
        <v>0</v>
      </c>
      <c r="BV823" s="824">
        <f t="shared" ca="1" si="640"/>
        <v>0</v>
      </c>
      <c r="BW823" s="824">
        <f t="shared" ca="1" si="640"/>
        <v>0</v>
      </c>
      <c r="BX823" s="824">
        <f t="shared" ca="1" si="640"/>
        <v>0</v>
      </c>
      <c r="BY823" s="824">
        <f t="shared" ca="1" si="640"/>
        <v>0</v>
      </c>
      <c r="BZ823" s="824">
        <f t="shared" ca="1" si="640"/>
        <v>0</v>
      </c>
      <c r="CA823" s="824">
        <f t="shared" ca="1" si="640"/>
        <v>0</v>
      </c>
      <c r="CB823" s="824">
        <f t="shared" ca="1" si="640"/>
        <v>0</v>
      </c>
      <c r="CC823" s="824">
        <f t="shared" ca="1" si="640"/>
        <v>0</v>
      </c>
      <c r="CD823" s="824">
        <f t="shared" ca="1" si="640"/>
        <v>0</v>
      </c>
      <c r="CE823" s="824">
        <f t="shared" ca="1" si="639"/>
        <v>0</v>
      </c>
      <c r="CF823" s="824">
        <f t="shared" ca="1" si="639"/>
        <v>0</v>
      </c>
      <c r="CG823" s="824">
        <f t="shared" ca="1" si="639"/>
        <v>0</v>
      </c>
      <c r="CH823" s="824">
        <f t="shared" ca="1" si="639"/>
        <v>0</v>
      </c>
      <c r="CI823" s="824">
        <f t="shared" ca="1" si="639"/>
        <v>0</v>
      </c>
      <c r="CJ823" s="824">
        <f t="shared" ca="1" si="639"/>
        <v>0</v>
      </c>
      <c r="CK823" s="824">
        <f t="shared" ca="1" si="639"/>
        <v>0</v>
      </c>
      <c r="CL823" s="824">
        <f t="shared" ca="1" si="639"/>
        <v>0</v>
      </c>
      <c r="CM823" s="824">
        <f t="shared" ca="1" si="639"/>
        <v>0</v>
      </c>
      <c r="CN823" s="824">
        <f t="shared" ca="1" si="639"/>
        <v>0</v>
      </c>
      <c r="CO823" s="824">
        <f t="shared" ca="1" si="639"/>
        <v>0</v>
      </c>
      <c r="CP823" s="824">
        <f t="shared" ca="1" si="639"/>
        <v>0</v>
      </c>
      <c r="CQ823" s="824">
        <f t="shared" ca="1" si="639"/>
        <v>0</v>
      </c>
      <c r="CR823" s="824">
        <f t="shared" ca="1" si="639"/>
        <v>0</v>
      </c>
      <c r="CS823" s="824">
        <f t="shared" ca="1" si="639"/>
        <v>0</v>
      </c>
      <c r="CT823" s="824">
        <f t="shared" ref="CT823:DI829" ca="1" si="642">IF(OR(IF($BL823*1&lt;$BL$196,$BL823*1=CT$198,FALSE),IF($BL823*2&lt;$BL$196,$BL823*2=CT$198,FALSE),IF($BL823*3&lt;$BL$196,$BL823*3=CT$198,FALSE),IF($BL823*4&lt;$BL$196,$BL823*4=CT$198,FALSE),IF($BL823*5&lt;$BL$196,$BL823*5=CT$198,FALSE)),$BN823*$BM$196^CT$198,0)</f>
        <v>0</v>
      </c>
      <c r="CU823" s="824">
        <f t="shared" ca="1" si="642"/>
        <v>0</v>
      </c>
      <c r="CV823" s="824">
        <f t="shared" ca="1" si="642"/>
        <v>0</v>
      </c>
      <c r="CW823" s="824">
        <f t="shared" ca="1" si="642"/>
        <v>0</v>
      </c>
      <c r="CX823" s="824">
        <f t="shared" ca="1" si="642"/>
        <v>0</v>
      </c>
      <c r="CY823" s="824">
        <f t="shared" ca="1" si="642"/>
        <v>0</v>
      </c>
      <c r="CZ823" s="824">
        <f t="shared" ca="1" si="642"/>
        <v>0</v>
      </c>
      <c r="DA823" s="824">
        <f t="shared" ca="1" si="642"/>
        <v>0</v>
      </c>
      <c r="DB823" s="824">
        <f t="shared" ca="1" si="642"/>
        <v>0</v>
      </c>
      <c r="DC823" s="824">
        <f t="shared" ca="1" si="642"/>
        <v>0</v>
      </c>
      <c r="DD823" s="824">
        <f t="shared" ca="1" si="642"/>
        <v>0</v>
      </c>
      <c r="DE823" s="824">
        <f t="shared" ca="1" si="642"/>
        <v>0</v>
      </c>
      <c r="DF823" s="824">
        <f t="shared" ca="1" si="642"/>
        <v>0</v>
      </c>
      <c r="DG823" s="824">
        <f t="shared" ca="1" si="642"/>
        <v>0</v>
      </c>
      <c r="DH823" s="824">
        <f t="shared" ca="1" si="642"/>
        <v>0</v>
      </c>
      <c r="DI823" s="824">
        <f t="shared" ca="1" si="642"/>
        <v>0</v>
      </c>
      <c r="DJ823" s="824">
        <f t="shared" ca="1" si="633"/>
        <v>0</v>
      </c>
      <c r="DK823" s="824">
        <f t="shared" ca="1" si="633"/>
        <v>0</v>
      </c>
      <c r="DL823" s="824">
        <f t="shared" ca="1" si="633"/>
        <v>0</v>
      </c>
    </row>
    <row r="824" spans="2:116" ht="12" thickBot="1" x14ac:dyDescent="0.3">
      <c r="B824" s="1673"/>
      <c r="C824" s="1060"/>
      <c r="D824" s="199">
        <f>'3.2 I&amp;W'!F753:F753</f>
        <v>0</v>
      </c>
      <c r="E824" s="116"/>
      <c r="F824" s="11">
        <f ca="1">SUBTOTAL(109,'3.4 I&amp;W'!$X$248)</f>
        <v>0</v>
      </c>
      <c r="G824" s="11">
        <f ca="1">SUBTOTAL(109,'3.4 I&amp;W'!$Y$248)</f>
        <v>0</v>
      </c>
      <c r="H824" s="11">
        <f ca="1">SUBTOTAL(109,'3.4 I&amp;W'!$AD$248)</f>
        <v>0</v>
      </c>
      <c r="I824" s="11">
        <f ca="1">SUBTOTAL(109,'3.4 I&amp;W'!$AE$248)</f>
        <v>0</v>
      </c>
      <c r="J824" s="116"/>
      <c r="K824" s="116"/>
      <c r="L824" s="116"/>
      <c r="M824" s="11">
        <f ca="1">SUBTOTAL(109,'3.4 I&amp;W'!$AI$248)</f>
        <v>100</v>
      </c>
      <c r="N824" s="156">
        <f t="shared" ca="1" si="615"/>
        <v>0</v>
      </c>
      <c r="O824" s="200">
        <f ca="1">SUBTOTAL(109,'3.4 I&amp;W'!$S$248)</f>
        <v>507862.68</v>
      </c>
      <c r="P824" s="65">
        <f ca="1">IF(N824&gt;=1,O824*$G$158^(1*M824)/($G$157^(1*M824)),0)</f>
        <v>0</v>
      </c>
      <c r="Q824" s="66">
        <f ca="1">IF(N824&gt;=2,O824*$G$158^(2*M824)/($G$157^(2*M824)),0)</f>
        <v>0</v>
      </c>
      <c r="R824" s="66">
        <f ca="1">IF(N824&gt;=3,O824*$G$158^(3*M824)/($G$157^(3*M824)),0)</f>
        <v>0</v>
      </c>
      <c r="S824" s="66">
        <f ca="1">IF(N824&gt;=4,O824*$G$158^(4*M824)/($G$157^(4*M824)),0)</f>
        <v>0</v>
      </c>
      <c r="T824" s="67">
        <f ca="1">IF(N824&gt;=5,O824*$G$158^(5*M824)/($G$157^(5*M824)),0)</f>
        <v>0</v>
      </c>
      <c r="U824" s="37">
        <f ca="1">IF(M824=0,0,O824*$G$158^(N824*M824)*((N824+1)*M824-$G$154)/M824*(1/$G$157^$G$154))</f>
        <v>165064.48646652675</v>
      </c>
      <c r="V824" s="40">
        <f t="shared" ca="1" si="637"/>
        <v>0</v>
      </c>
      <c r="W824" s="41">
        <f t="shared" ca="1" si="638"/>
        <v>0</v>
      </c>
      <c r="X824" s="191"/>
      <c r="Y824" s="193"/>
      <c r="Z824" s="48"/>
      <c r="AA824" s="194"/>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824">
        <f t="shared" ca="1" si="634"/>
        <v>100</v>
      </c>
      <c r="BM824" s="824">
        <f t="shared" ca="1" si="635"/>
        <v>0</v>
      </c>
      <c r="BN824" s="824">
        <f t="shared" ca="1" si="636"/>
        <v>507862.68</v>
      </c>
      <c r="BO824" s="824">
        <f t="shared" ca="1" si="640"/>
        <v>0</v>
      </c>
      <c r="BP824" s="824">
        <f t="shared" ca="1" si="640"/>
        <v>0</v>
      </c>
      <c r="BQ824" s="824">
        <f t="shared" ca="1" si="640"/>
        <v>0</v>
      </c>
      <c r="BR824" s="824">
        <f t="shared" ca="1" si="640"/>
        <v>0</v>
      </c>
      <c r="BS824" s="824">
        <f t="shared" ca="1" si="640"/>
        <v>0</v>
      </c>
      <c r="BT824" s="824">
        <f t="shared" ca="1" si="640"/>
        <v>0</v>
      </c>
      <c r="BU824" s="824">
        <f t="shared" ca="1" si="640"/>
        <v>0</v>
      </c>
      <c r="BV824" s="824">
        <f t="shared" ca="1" si="640"/>
        <v>0</v>
      </c>
      <c r="BW824" s="824">
        <f t="shared" ca="1" si="640"/>
        <v>0</v>
      </c>
      <c r="BX824" s="824">
        <f t="shared" ca="1" si="640"/>
        <v>0</v>
      </c>
      <c r="BY824" s="824">
        <f t="shared" ca="1" si="640"/>
        <v>0</v>
      </c>
      <c r="BZ824" s="824">
        <f t="shared" ca="1" si="640"/>
        <v>0</v>
      </c>
      <c r="CA824" s="824">
        <f t="shared" ca="1" si="640"/>
        <v>0</v>
      </c>
      <c r="CB824" s="824">
        <f t="shared" ca="1" si="640"/>
        <v>0</v>
      </c>
      <c r="CC824" s="824">
        <f t="shared" ca="1" si="640"/>
        <v>0</v>
      </c>
      <c r="CD824" s="824">
        <f t="shared" ca="1" si="640"/>
        <v>0</v>
      </c>
      <c r="CE824" s="824">
        <f t="shared" ca="1" si="639"/>
        <v>0</v>
      </c>
      <c r="CF824" s="824">
        <f t="shared" ca="1" si="639"/>
        <v>0</v>
      </c>
      <c r="CG824" s="824">
        <f t="shared" ca="1" si="639"/>
        <v>0</v>
      </c>
      <c r="CH824" s="824">
        <f t="shared" ca="1" si="639"/>
        <v>0</v>
      </c>
      <c r="CI824" s="824">
        <f t="shared" ca="1" si="639"/>
        <v>0</v>
      </c>
      <c r="CJ824" s="824">
        <f t="shared" ca="1" si="639"/>
        <v>0</v>
      </c>
      <c r="CK824" s="824">
        <f t="shared" ca="1" si="639"/>
        <v>0</v>
      </c>
      <c r="CL824" s="824">
        <f t="shared" ca="1" si="639"/>
        <v>0</v>
      </c>
      <c r="CM824" s="824">
        <f t="shared" ca="1" si="639"/>
        <v>0</v>
      </c>
      <c r="CN824" s="824">
        <f t="shared" ca="1" si="639"/>
        <v>0</v>
      </c>
      <c r="CO824" s="824">
        <f t="shared" ca="1" si="639"/>
        <v>0</v>
      </c>
      <c r="CP824" s="824">
        <f t="shared" ca="1" si="639"/>
        <v>0</v>
      </c>
      <c r="CQ824" s="824">
        <f t="shared" ca="1" si="639"/>
        <v>0</v>
      </c>
      <c r="CR824" s="824">
        <f t="shared" ca="1" si="639"/>
        <v>0</v>
      </c>
      <c r="CS824" s="824">
        <f t="shared" ca="1" si="639"/>
        <v>0</v>
      </c>
      <c r="CT824" s="824">
        <f t="shared" ca="1" si="642"/>
        <v>0</v>
      </c>
      <c r="CU824" s="824">
        <f t="shared" ca="1" si="642"/>
        <v>0</v>
      </c>
      <c r="CV824" s="824">
        <f t="shared" ca="1" si="642"/>
        <v>0</v>
      </c>
      <c r="CW824" s="824">
        <f t="shared" ca="1" si="642"/>
        <v>0</v>
      </c>
      <c r="CX824" s="824">
        <f t="shared" ca="1" si="642"/>
        <v>0</v>
      </c>
      <c r="CY824" s="824">
        <f t="shared" ca="1" si="642"/>
        <v>0</v>
      </c>
      <c r="CZ824" s="824">
        <f t="shared" ca="1" si="642"/>
        <v>0</v>
      </c>
      <c r="DA824" s="824">
        <f t="shared" ca="1" si="642"/>
        <v>0</v>
      </c>
      <c r="DB824" s="824">
        <f t="shared" ca="1" si="642"/>
        <v>0</v>
      </c>
      <c r="DC824" s="824">
        <f t="shared" ca="1" si="642"/>
        <v>0</v>
      </c>
      <c r="DD824" s="824">
        <f t="shared" ca="1" si="642"/>
        <v>0</v>
      </c>
      <c r="DE824" s="824">
        <f t="shared" ca="1" si="642"/>
        <v>0</v>
      </c>
      <c r="DF824" s="824">
        <f t="shared" ca="1" si="642"/>
        <v>0</v>
      </c>
      <c r="DG824" s="824">
        <f t="shared" ca="1" si="642"/>
        <v>0</v>
      </c>
      <c r="DH824" s="824">
        <f t="shared" ca="1" si="642"/>
        <v>0</v>
      </c>
      <c r="DI824" s="824">
        <f t="shared" ca="1" si="642"/>
        <v>0</v>
      </c>
      <c r="DJ824" s="824">
        <f t="shared" ca="1" si="633"/>
        <v>0</v>
      </c>
      <c r="DK824" s="824">
        <f t="shared" ca="1" si="633"/>
        <v>0</v>
      </c>
      <c r="DL824" s="824">
        <f t="shared" ca="1" si="633"/>
        <v>0</v>
      </c>
    </row>
    <row r="825" spans="2:116" ht="12" thickBot="1" x14ac:dyDescent="0.3">
      <c r="B825" s="1673"/>
      <c r="C825" s="1060"/>
      <c r="D825" s="199">
        <f>'3.2 I&amp;W'!F754:F754</f>
        <v>0</v>
      </c>
      <c r="E825" s="116"/>
      <c r="F825" s="11">
        <f ca="1">SUBTOTAL(109,'3.4 I&amp;W'!$X$249)</f>
        <v>0</v>
      </c>
      <c r="G825" s="11">
        <f ca="1">SUBTOTAL(109,'3.4 I&amp;W'!$Y$249)</f>
        <v>0</v>
      </c>
      <c r="H825" s="11">
        <f ca="1">SUBTOTAL(109,'3.4 I&amp;W'!$AD$249)</f>
        <v>0</v>
      </c>
      <c r="I825" s="11">
        <f ca="1">SUBTOTAL(109,'3.4 I&amp;W'!$AE$249)</f>
        <v>0</v>
      </c>
      <c r="J825" s="116"/>
      <c r="K825" s="116"/>
      <c r="L825" s="116"/>
      <c r="M825" s="11">
        <f ca="1">SUBTOTAL(109,'3.4 I&amp;W'!$AI$249)</f>
        <v>50</v>
      </c>
      <c r="N825" s="156">
        <f t="shared" ca="1" si="615"/>
        <v>0</v>
      </c>
      <c r="O825" s="200">
        <f ca="1">SUBTOTAL(109,'3.4 I&amp;W'!$S$249)</f>
        <v>138950.43599999999</v>
      </c>
      <c r="P825" s="65">
        <f ca="1">IF(N825&gt;=1,O825*$G$158^(1*M825)/($G$157^(1*M825)),0)</f>
        <v>0</v>
      </c>
      <c r="Q825" s="66">
        <f ca="1">IF(N825&gt;=2,O825*$G$158^(2*M825)/($G$157^(2*M825)),0)</f>
        <v>0</v>
      </c>
      <c r="R825" s="66">
        <f ca="1">IF(N825&gt;=3,O825*$G$158^(3*M825)/($G$157^(3*M825)),0)</f>
        <v>0</v>
      </c>
      <c r="S825" s="66">
        <f ca="1">IF(N825&gt;=4,O825*$G$158^(4*M825)/($G$157^(4*M825)),0)</f>
        <v>0</v>
      </c>
      <c r="T825" s="67">
        <f ca="1">IF(N825&gt;=5,O825*$G$158^(5*M825)/($G$157^(5*M825)),0)</f>
        <v>0</v>
      </c>
      <c r="U825" s="37">
        <f ca="1">IF(M825=0,0,O825*$G$158^(N825*M825)*((N825+1)*M825-$G$154)/M825*(1/$G$157^$G$154))</f>
        <v>20843.716466494137</v>
      </c>
      <c r="V825" s="40">
        <f t="shared" ca="1" si="637"/>
        <v>0</v>
      </c>
      <c r="W825" s="41">
        <f t="shared" ca="1" si="638"/>
        <v>0</v>
      </c>
      <c r="X825" s="191"/>
      <c r="Y825" s="193"/>
      <c r="Z825" s="48"/>
      <c r="AA825" s="194"/>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824">
        <f t="shared" ca="1" si="634"/>
        <v>50</v>
      </c>
      <c r="BM825" s="824">
        <f t="shared" ca="1" si="635"/>
        <v>0</v>
      </c>
      <c r="BN825" s="824">
        <f t="shared" ca="1" si="636"/>
        <v>138950.43599999999</v>
      </c>
      <c r="BO825" s="824">
        <f t="shared" ca="1" si="640"/>
        <v>0</v>
      </c>
      <c r="BP825" s="824">
        <f t="shared" ca="1" si="640"/>
        <v>0</v>
      </c>
      <c r="BQ825" s="824">
        <f t="shared" ca="1" si="640"/>
        <v>0</v>
      </c>
      <c r="BR825" s="824">
        <f t="shared" ca="1" si="640"/>
        <v>0</v>
      </c>
      <c r="BS825" s="824">
        <f t="shared" ca="1" si="640"/>
        <v>0</v>
      </c>
      <c r="BT825" s="824">
        <f t="shared" ca="1" si="640"/>
        <v>0</v>
      </c>
      <c r="BU825" s="824">
        <f t="shared" ca="1" si="640"/>
        <v>0</v>
      </c>
      <c r="BV825" s="824">
        <f t="shared" ca="1" si="640"/>
        <v>0</v>
      </c>
      <c r="BW825" s="824">
        <f t="shared" ca="1" si="640"/>
        <v>0</v>
      </c>
      <c r="BX825" s="824">
        <f t="shared" ca="1" si="640"/>
        <v>0</v>
      </c>
      <c r="BY825" s="824">
        <f t="shared" ca="1" si="640"/>
        <v>0</v>
      </c>
      <c r="BZ825" s="824">
        <f t="shared" ca="1" si="640"/>
        <v>0</v>
      </c>
      <c r="CA825" s="824">
        <f t="shared" ca="1" si="640"/>
        <v>0</v>
      </c>
      <c r="CB825" s="824">
        <f t="shared" ca="1" si="640"/>
        <v>0</v>
      </c>
      <c r="CC825" s="824">
        <f t="shared" ca="1" si="640"/>
        <v>0</v>
      </c>
      <c r="CD825" s="824">
        <f t="shared" ca="1" si="640"/>
        <v>0</v>
      </c>
      <c r="CE825" s="824">
        <f t="shared" ca="1" si="639"/>
        <v>0</v>
      </c>
      <c r="CF825" s="824">
        <f t="shared" ca="1" si="639"/>
        <v>0</v>
      </c>
      <c r="CG825" s="824">
        <f t="shared" ca="1" si="639"/>
        <v>0</v>
      </c>
      <c r="CH825" s="824">
        <f t="shared" ca="1" si="639"/>
        <v>0</v>
      </c>
      <c r="CI825" s="824">
        <f t="shared" ca="1" si="639"/>
        <v>0</v>
      </c>
      <c r="CJ825" s="824">
        <f t="shared" ca="1" si="639"/>
        <v>0</v>
      </c>
      <c r="CK825" s="824">
        <f t="shared" ca="1" si="639"/>
        <v>0</v>
      </c>
      <c r="CL825" s="824">
        <f t="shared" ca="1" si="639"/>
        <v>0</v>
      </c>
      <c r="CM825" s="824">
        <f t="shared" ca="1" si="639"/>
        <v>0</v>
      </c>
      <c r="CN825" s="824">
        <f t="shared" ca="1" si="639"/>
        <v>0</v>
      </c>
      <c r="CO825" s="824">
        <f t="shared" ca="1" si="639"/>
        <v>0</v>
      </c>
      <c r="CP825" s="824">
        <f t="shared" ca="1" si="639"/>
        <v>0</v>
      </c>
      <c r="CQ825" s="824">
        <f t="shared" ca="1" si="639"/>
        <v>0</v>
      </c>
      <c r="CR825" s="824">
        <f t="shared" ca="1" si="639"/>
        <v>0</v>
      </c>
      <c r="CS825" s="824">
        <f t="shared" ca="1" si="639"/>
        <v>0</v>
      </c>
      <c r="CT825" s="824">
        <f t="shared" ca="1" si="642"/>
        <v>0</v>
      </c>
      <c r="CU825" s="824">
        <f t="shared" ca="1" si="642"/>
        <v>0</v>
      </c>
      <c r="CV825" s="824">
        <f t="shared" ca="1" si="642"/>
        <v>0</v>
      </c>
      <c r="CW825" s="824">
        <f t="shared" ca="1" si="642"/>
        <v>0</v>
      </c>
      <c r="CX825" s="824">
        <f t="shared" ca="1" si="642"/>
        <v>0</v>
      </c>
      <c r="CY825" s="824">
        <f t="shared" ca="1" si="642"/>
        <v>0</v>
      </c>
      <c r="CZ825" s="824">
        <f t="shared" ca="1" si="642"/>
        <v>0</v>
      </c>
      <c r="DA825" s="824">
        <f t="shared" ca="1" si="642"/>
        <v>0</v>
      </c>
      <c r="DB825" s="824">
        <f t="shared" ca="1" si="642"/>
        <v>0</v>
      </c>
      <c r="DC825" s="824">
        <f t="shared" ca="1" si="642"/>
        <v>0</v>
      </c>
      <c r="DD825" s="824">
        <f t="shared" ca="1" si="642"/>
        <v>0</v>
      </c>
      <c r="DE825" s="824">
        <f t="shared" ca="1" si="642"/>
        <v>0</v>
      </c>
      <c r="DF825" s="824">
        <f t="shared" ca="1" si="642"/>
        <v>0</v>
      </c>
      <c r="DG825" s="824">
        <f t="shared" ca="1" si="642"/>
        <v>0</v>
      </c>
      <c r="DH825" s="824">
        <f t="shared" ca="1" si="642"/>
        <v>0</v>
      </c>
      <c r="DI825" s="824">
        <f t="shared" ca="1" si="642"/>
        <v>0</v>
      </c>
      <c r="DJ825" s="824">
        <f t="shared" ca="1" si="633"/>
        <v>0</v>
      </c>
      <c r="DK825" s="824">
        <f t="shared" ca="1" si="633"/>
        <v>0</v>
      </c>
      <c r="DL825" s="824">
        <f t="shared" ca="1" si="633"/>
        <v>0</v>
      </c>
    </row>
    <row r="826" spans="2:116" ht="12" thickBot="1" x14ac:dyDescent="0.3">
      <c r="B826" s="1673"/>
      <c r="C826" s="1060"/>
      <c r="D826" s="199">
        <f>'3.2 I&amp;W'!F755:F755</f>
        <v>0</v>
      </c>
      <c r="E826" s="116"/>
      <c r="F826" s="11">
        <f ca="1">SUBTOTAL(109,'3.4 I&amp;W'!$X$250)</f>
        <v>0</v>
      </c>
      <c r="G826" s="11">
        <f ca="1">SUBTOTAL(109,'3.4 I&amp;W'!$Y$250)</f>
        <v>0</v>
      </c>
      <c r="H826" s="11">
        <f ca="1">SUBTOTAL(109,'3.4 I&amp;W'!$AD$250)</f>
        <v>0</v>
      </c>
      <c r="I826" s="11">
        <f ca="1">SUBTOTAL(109,'3.4 I&amp;W'!$AE$250)</f>
        <v>0</v>
      </c>
      <c r="J826" s="116"/>
      <c r="K826" s="116"/>
      <c r="L826" s="116"/>
      <c r="M826" s="11">
        <f ca="1">SUBTOTAL(109,'3.4 I&amp;W'!$AI$250)</f>
        <v>100</v>
      </c>
      <c r="N826" s="156">
        <f t="shared" ca="1" si="615"/>
        <v>0</v>
      </c>
      <c r="O826" s="200">
        <f ca="1">SUBTOTAL(109,'3.4 I&amp;W'!$S$250)</f>
        <v>59679.18</v>
      </c>
      <c r="P826" s="65">
        <f ca="1">IF(N826&gt;=1,O826*$G$158^(1*M826)/($G$157^(1*M826)),0)</f>
        <v>0</v>
      </c>
      <c r="Q826" s="66">
        <f ca="1">IF(N826&gt;=2,O826*$G$158^(2*M826)/($G$157^(2*M826)),0)</f>
        <v>0</v>
      </c>
      <c r="R826" s="66">
        <f ca="1">IF(N826&gt;=3,O826*$G$158^(3*M826)/($G$157^(3*M826)),0)</f>
        <v>0</v>
      </c>
      <c r="S826" s="66">
        <f ca="1">IF(N826&gt;=4,O826*$G$158^(4*M826)/($G$157^(4*M826)),0)</f>
        <v>0</v>
      </c>
      <c r="T826" s="67">
        <f ca="1">IF(N826&gt;=5,O826*$G$158^(5*M826)/($G$157^(5*M826)),0)</f>
        <v>0</v>
      </c>
      <c r="U826" s="37">
        <f ca="1">IF(M826=0,0,O826*$G$158^(N826*M826)*((N826+1)*M826-$G$154)/M826*(1/$G$157^$G$154))</f>
        <v>19396.804662715946</v>
      </c>
      <c r="V826" s="40">
        <f t="shared" ca="1" si="637"/>
        <v>0</v>
      </c>
      <c r="W826" s="41">
        <f t="shared" ca="1" si="638"/>
        <v>0</v>
      </c>
      <c r="X826" s="191"/>
      <c r="Y826" s="193"/>
      <c r="Z826" s="48"/>
      <c r="AA826" s="194"/>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824">
        <f t="shared" ca="1" si="634"/>
        <v>100</v>
      </c>
      <c r="BM826" s="824">
        <f t="shared" ca="1" si="635"/>
        <v>0</v>
      </c>
      <c r="BN826" s="824">
        <f t="shared" ca="1" si="636"/>
        <v>59679.18</v>
      </c>
      <c r="BO826" s="824">
        <f t="shared" ca="1" si="640"/>
        <v>0</v>
      </c>
      <c r="BP826" s="824">
        <f t="shared" ca="1" si="640"/>
        <v>0</v>
      </c>
      <c r="BQ826" s="824">
        <f t="shared" ca="1" si="640"/>
        <v>0</v>
      </c>
      <c r="BR826" s="824">
        <f t="shared" ca="1" si="640"/>
        <v>0</v>
      </c>
      <c r="BS826" s="824">
        <f t="shared" ca="1" si="640"/>
        <v>0</v>
      </c>
      <c r="BT826" s="824">
        <f t="shared" ca="1" si="640"/>
        <v>0</v>
      </c>
      <c r="BU826" s="824">
        <f t="shared" ca="1" si="640"/>
        <v>0</v>
      </c>
      <c r="BV826" s="824">
        <f t="shared" ca="1" si="640"/>
        <v>0</v>
      </c>
      <c r="BW826" s="824">
        <f t="shared" ca="1" si="640"/>
        <v>0</v>
      </c>
      <c r="BX826" s="824">
        <f t="shared" ca="1" si="640"/>
        <v>0</v>
      </c>
      <c r="BY826" s="824">
        <f t="shared" ca="1" si="640"/>
        <v>0</v>
      </c>
      <c r="BZ826" s="824">
        <f t="shared" ca="1" si="640"/>
        <v>0</v>
      </c>
      <c r="CA826" s="824">
        <f t="shared" ca="1" si="640"/>
        <v>0</v>
      </c>
      <c r="CB826" s="824">
        <f t="shared" ca="1" si="640"/>
        <v>0</v>
      </c>
      <c r="CC826" s="824">
        <f t="shared" ca="1" si="640"/>
        <v>0</v>
      </c>
      <c r="CD826" s="824">
        <f t="shared" ca="1" si="640"/>
        <v>0</v>
      </c>
      <c r="CE826" s="824">
        <f t="shared" ca="1" si="639"/>
        <v>0</v>
      </c>
      <c r="CF826" s="824">
        <f t="shared" ca="1" si="639"/>
        <v>0</v>
      </c>
      <c r="CG826" s="824">
        <f t="shared" ca="1" si="639"/>
        <v>0</v>
      </c>
      <c r="CH826" s="824">
        <f t="shared" ca="1" si="639"/>
        <v>0</v>
      </c>
      <c r="CI826" s="824">
        <f t="shared" ca="1" si="639"/>
        <v>0</v>
      </c>
      <c r="CJ826" s="824">
        <f t="shared" ca="1" si="639"/>
        <v>0</v>
      </c>
      <c r="CK826" s="824">
        <f t="shared" ca="1" si="639"/>
        <v>0</v>
      </c>
      <c r="CL826" s="824">
        <f t="shared" ca="1" si="639"/>
        <v>0</v>
      </c>
      <c r="CM826" s="824">
        <f t="shared" ca="1" si="639"/>
        <v>0</v>
      </c>
      <c r="CN826" s="824">
        <f t="shared" ca="1" si="639"/>
        <v>0</v>
      </c>
      <c r="CO826" s="824">
        <f t="shared" ca="1" si="639"/>
        <v>0</v>
      </c>
      <c r="CP826" s="824">
        <f t="shared" ca="1" si="639"/>
        <v>0</v>
      </c>
      <c r="CQ826" s="824">
        <f t="shared" ca="1" si="639"/>
        <v>0</v>
      </c>
      <c r="CR826" s="824">
        <f t="shared" ca="1" si="639"/>
        <v>0</v>
      </c>
      <c r="CS826" s="824">
        <f t="shared" ca="1" si="639"/>
        <v>0</v>
      </c>
      <c r="CT826" s="824">
        <f t="shared" ca="1" si="642"/>
        <v>0</v>
      </c>
      <c r="CU826" s="824">
        <f t="shared" ca="1" si="642"/>
        <v>0</v>
      </c>
      <c r="CV826" s="824">
        <f t="shared" ca="1" si="642"/>
        <v>0</v>
      </c>
      <c r="CW826" s="824">
        <f t="shared" ca="1" si="642"/>
        <v>0</v>
      </c>
      <c r="CX826" s="824">
        <f t="shared" ca="1" si="642"/>
        <v>0</v>
      </c>
      <c r="CY826" s="824">
        <f t="shared" ca="1" si="642"/>
        <v>0</v>
      </c>
      <c r="CZ826" s="824">
        <f t="shared" ca="1" si="642"/>
        <v>0</v>
      </c>
      <c r="DA826" s="824">
        <f t="shared" ca="1" si="642"/>
        <v>0</v>
      </c>
      <c r="DB826" s="824">
        <f t="shared" ca="1" si="642"/>
        <v>0</v>
      </c>
      <c r="DC826" s="824">
        <f t="shared" ca="1" si="642"/>
        <v>0</v>
      </c>
      <c r="DD826" s="824">
        <f t="shared" ca="1" si="642"/>
        <v>0</v>
      </c>
      <c r="DE826" s="824">
        <f t="shared" ca="1" si="642"/>
        <v>0</v>
      </c>
      <c r="DF826" s="824">
        <f t="shared" ca="1" si="642"/>
        <v>0</v>
      </c>
      <c r="DG826" s="824">
        <f t="shared" ca="1" si="642"/>
        <v>0</v>
      </c>
      <c r="DH826" s="824">
        <f t="shared" ca="1" si="642"/>
        <v>0</v>
      </c>
      <c r="DI826" s="824">
        <f t="shared" ca="1" si="642"/>
        <v>0</v>
      </c>
      <c r="DJ826" s="824">
        <f t="shared" ca="1" si="633"/>
        <v>0</v>
      </c>
      <c r="DK826" s="824">
        <f t="shared" ca="1" si="633"/>
        <v>0</v>
      </c>
      <c r="DL826" s="824">
        <f t="shared" ca="1" si="633"/>
        <v>0</v>
      </c>
    </row>
    <row r="827" spans="2:116" ht="12" thickBot="1" x14ac:dyDescent="0.3">
      <c r="B827" s="1673"/>
      <c r="C827" s="1060"/>
      <c r="D827" s="199">
        <f>'3.2 I&amp;W'!F760:F760</f>
        <v>0</v>
      </c>
      <c r="E827" s="116"/>
      <c r="F827" s="116"/>
      <c r="G827" s="116"/>
      <c r="H827" s="116"/>
      <c r="I827" s="116"/>
      <c r="J827" s="116"/>
      <c r="K827" s="116"/>
      <c r="L827" s="116"/>
      <c r="M827" s="116"/>
      <c r="N827" s="156">
        <f t="shared" si="615"/>
        <v>0</v>
      </c>
      <c r="O827" s="200">
        <f ca="1">IF(E827="j",0,IF('3.4 I&amp;W'!$S$254="",0,'3.4 I&amp;W'!$S$254))</f>
        <v>0</v>
      </c>
      <c r="P827" s="30"/>
      <c r="Q827" s="31"/>
      <c r="R827" s="31"/>
      <c r="S827" s="31"/>
      <c r="T827" s="188"/>
      <c r="U827" s="190"/>
      <c r="V827" s="40">
        <f t="shared" si="637"/>
        <v>0</v>
      </c>
      <c r="W827" s="41">
        <f t="shared" si="638"/>
        <v>0</v>
      </c>
      <c r="X827" s="191"/>
      <c r="Y827" s="193"/>
      <c r="Z827" s="48"/>
      <c r="AA827" s="194"/>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824">
        <f t="shared" si="634"/>
        <v>0</v>
      </c>
      <c r="BM827" s="824">
        <f t="shared" si="635"/>
        <v>0</v>
      </c>
      <c r="BN827" s="824">
        <f t="shared" ca="1" si="636"/>
        <v>0</v>
      </c>
      <c r="BO827" s="824">
        <f t="shared" si="640"/>
        <v>0</v>
      </c>
      <c r="BP827" s="824">
        <f t="shared" si="640"/>
        <v>0</v>
      </c>
      <c r="BQ827" s="824">
        <f t="shared" si="640"/>
        <v>0</v>
      </c>
      <c r="BR827" s="824">
        <f t="shared" si="640"/>
        <v>0</v>
      </c>
      <c r="BS827" s="824">
        <f t="shared" si="640"/>
        <v>0</v>
      </c>
      <c r="BT827" s="824">
        <f t="shared" si="640"/>
        <v>0</v>
      </c>
      <c r="BU827" s="824">
        <f t="shared" si="640"/>
        <v>0</v>
      </c>
      <c r="BV827" s="824">
        <f t="shared" si="640"/>
        <v>0</v>
      </c>
      <c r="BW827" s="824">
        <f t="shared" si="640"/>
        <v>0</v>
      </c>
      <c r="BX827" s="824">
        <f t="shared" si="640"/>
        <v>0</v>
      </c>
      <c r="BY827" s="824">
        <f t="shared" si="640"/>
        <v>0</v>
      </c>
      <c r="BZ827" s="824">
        <f t="shared" si="640"/>
        <v>0</v>
      </c>
      <c r="CA827" s="824">
        <f t="shared" si="640"/>
        <v>0</v>
      </c>
      <c r="CB827" s="824">
        <f t="shared" si="640"/>
        <v>0</v>
      </c>
      <c r="CC827" s="824">
        <f t="shared" si="640"/>
        <v>0</v>
      </c>
      <c r="CD827" s="824">
        <f t="shared" si="640"/>
        <v>0</v>
      </c>
      <c r="CE827" s="824">
        <f t="shared" si="639"/>
        <v>0</v>
      </c>
      <c r="CF827" s="824">
        <f t="shared" si="639"/>
        <v>0</v>
      </c>
      <c r="CG827" s="824">
        <f t="shared" si="639"/>
        <v>0</v>
      </c>
      <c r="CH827" s="824">
        <f t="shared" si="639"/>
        <v>0</v>
      </c>
      <c r="CI827" s="824">
        <f t="shared" si="639"/>
        <v>0</v>
      </c>
      <c r="CJ827" s="824">
        <f t="shared" si="639"/>
        <v>0</v>
      </c>
      <c r="CK827" s="824">
        <f t="shared" si="639"/>
        <v>0</v>
      </c>
      <c r="CL827" s="824">
        <f t="shared" si="639"/>
        <v>0</v>
      </c>
      <c r="CM827" s="824">
        <f t="shared" si="639"/>
        <v>0</v>
      </c>
      <c r="CN827" s="824">
        <f t="shared" si="639"/>
        <v>0</v>
      </c>
      <c r="CO827" s="824">
        <f t="shared" si="639"/>
        <v>0</v>
      </c>
      <c r="CP827" s="824">
        <f t="shared" si="639"/>
        <v>0</v>
      </c>
      <c r="CQ827" s="824">
        <f t="shared" si="639"/>
        <v>0</v>
      </c>
      <c r="CR827" s="824">
        <f t="shared" si="639"/>
        <v>0</v>
      </c>
      <c r="CS827" s="824">
        <f t="shared" si="639"/>
        <v>0</v>
      </c>
      <c r="CT827" s="824">
        <f t="shared" si="642"/>
        <v>0</v>
      </c>
      <c r="CU827" s="824">
        <f t="shared" si="642"/>
        <v>0</v>
      </c>
      <c r="CV827" s="824">
        <f t="shared" si="642"/>
        <v>0</v>
      </c>
      <c r="CW827" s="824">
        <f t="shared" si="642"/>
        <v>0</v>
      </c>
      <c r="CX827" s="824">
        <f t="shared" si="642"/>
        <v>0</v>
      </c>
      <c r="CY827" s="824">
        <f t="shared" si="642"/>
        <v>0</v>
      </c>
      <c r="CZ827" s="824">
        <f t="shared" si="642"/>
        <v>0</v>
      </c>
      <c r="DA827" s="824">
        <f t="shared" si="642"/>
        <v>0</v>
      </c>
      <c r="DB827" s="824">
        <f t="shared" si="642"/>
        <v>0</v>
      </c>
      <c r="DC827" s="824">
        <f t="shared" si="642"/>
        <v>0</v>
      </c>
      <c r="DD827" s="824">
        <f t="shared" si="642"/>
        <v>0</v>
      </c>
      <c r="DE827" s="824">
        <f t="shared" si="642"/>
        <v>0</v>
      </c>
      <c r="DF827" s="824">
        <f t="shared" si="642"/>
        <v>0</v>
      </c>
      <c r="DG827" s="824">
        <f t="shared" si="642"/>
        <v>0</v>
      </c>
      <c r="DH827" s="824">
        <f t="shared" si="642"/>
        <v>0</v>
      </c>
      <c r="DI827" s="824">
        <f t="shared" si="642"/>
        <v>0</v>
      </c>
      <c r="DJ827" s="824">
        <f t="shared" si="633"/>
        <v>0</v>
      </c>
      <c r="DK827" s="824">
        <f t="shared" si="633"/>
        <v>0</v>
      </c>
      <c r="DL827" s="824">
        <f t="shared" si="633"/>
        <v>0</v>
      </c>
    </row>
    <row r="828" spans="2:116" ht="12" thickBot="1" x14ac:dyDescent="0.3">
      <c r="B828" s="1673"/>
      <c r="C828" s="1060"/>
      <c r="D828" s="199"/>
      <c r="E828" s="116"/>
      <c r="F828" s="116"/>
      <c r="G828" s="116"/>
      <c r="H828" s="116"/>
      <c r="I828" s="116"/>
      <c r="J828" s="116"/>
      <c r="K828" s="116"/>
      <c r="L828" s="116"/>
      <c r="M828" s="116"/>
      <c r="N828" s="156">
        <f t="shared" si="615"/>
        <v>0</v>
      </c>
      <c r="O828" s="200"/>
      <c r="P828" s="30"/>
      <c r="Q828" s="31"/>
      <c r="R828" s="31"/>
      <c r="S828" s="31"/>
      <c r="T828" s="188"/>
      <c r="U828" s="190"/>
      <c r="V828" s="40">
        <f t="shared" si="637"/>
        <v>0</v>
      </c>
      <c r="W828" s="41">
        <f t="shared" si="638"/>
        <v>0</v>
      </c>
      <c r="X828" s="191"/>
      <c r="Y828" s="193"/>
      <c r="Z828" s="48"/>
      <c r="AA828" s="194"/>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824">
        <f t="shared" si="634"/>
        <v>0</v>
      </c>
      <c r="BM828" s="824">
        <f t="shared" si="635"/>
        <v>0</v>
      </c>
      <c r="BN828" s="824">
        <f t="shared" si="636"/>
        <v>0</v>
      </c>
      <c r="BO828" s="824">
        <f t="shared" si="640"/>
        <v>0</v>
      </c>
      <c r="BP828" s="824">
        <f t="shared" si="640"/>
        <v>0</v>
      </c>
      <c r="BQ828" s="824">
        <f t="shared" si="640"/>
        <v>0</v>
      </c>
      <c r="BR828" s="824">
        <f t="shared" si="640"/>
        <v>0</v>
      </c>
      <c r="BS828" s="824">
        <f t="shared" si="640"/>
        <v>0</v>
      </c>
      <c r="BT828" s="824">
        <f t="shared" si="640"/>
        <v>0</v>
      </c>
      <c r="BU828" s="824">
        <f t="shared" si="640"/>
        <v>0</v>
      </c>
      <c r="BV828" s="824">
        <f t="shared" si="640"/>
        <v>0</v>
      </c>
      <c r="BW828" s="824">
        <f t="shared" si="640"/>
        <v>0</v>
      </c>
      <c r="BX828" s="824">
        <f t="shared" si="640"/>
        <v>0</v>
      </c>
      <c r="BY828" s="824">
        <f t="shared" si="640"/>
        <v>0</v>
      </c>
      <c r="BZ828" s="824">
        <f t="shared" si="640"/>
        <v>0</v>
      </c>
      <c r="CA828" s="824">
        <f t="shared" si="640"/>
        <v>0</v>
      </c>
      <c r="CB828" s="824">
        <f t="shared" si="640"/>
        <v>0</v>
      </c>
      <c r="CC828" s="824">
        <f t="shared" si="640"/>
        <v>0</v>
      </c>
      <c r="CD828" s="824">
        <f t="shared" si="640"/>
        <v>0</v>
      </c>
      <c r="CE828" s="824">
        <f t="shared" si="639"/>
        <v>0</v>
      </c>
      <c r="CF828" s="824">
        <f t="shared" si="639"/>
        <v>0</v>
      </c>
      <c r="CG828" s="824">
        <f t="shared" si="639"/>
        <v>0</v>
      </c>
      <c r="CH828" s="824">
        <f t="shared" si="639"/>
        <v>0</v>
      </c>
      <c r="CI828" s="824">
        <f t="shared" si="639"/>
        <v>0</v>
      </c>
      <c r="CJ828" s="824">
        <f t="shared" si="639"/>
        <v>0</v>
      </c>
      <c r="CK828" s="824">
        <f t="shared" si="639"/>
        <v>0</v>
      </c>
      <c r="CL828" s="824">
        <f t="shared" si="639"/>
        <v>0</v>
      </c>
      <c r="CM828" s="824">
        <f t="shared" si="639"/>
        <v>0</v>
      </c>
      <c r="CN828" s="824">
        <f t="shared" si="639"/>
        <v>0</v>
      </c>
      <c r="CO828" s="824">
        <f t="shared" si="639"/>
        <v>0</v>
      </c>
      <c r="CP828" s="824">
        <f t="shared" si="639"/>
        <v>0</v>
      </c>
      <c r="CQ828" s="824">
        <f t="shared" si="639"/>
        <v>0</v>
      </c>
      <c r="CR828" s="824">
        <f t="shared" si="639"/>
        <v>0</v>
      </c>
      <c r="CS828" s="824">
        <f t="shared" si="639"/>
        <v>0</v>
      </c>
      <c r="CT828" s="824">
        <f t="shared" si="642"/>
        <v>0</v>
      </c>
      <c r="CU828" s="824">
        <f t="shared" si="642"/>
        <v>0</v>
      </c>
      <c r="CV828" s="824">
        <f t="shared" si="642"/>
        <v>0</v>
      </c>
      <c r="CW828" s="824">
        <f t="shared" si="642"/>
        <v>0</v>
      </c>
      <c r="CX828" s="824">
        <f t="shared" si="642"/>
        <v>0</v>
      </c>
      <c r="CY828" s="824">
        <f t="shared" si="642"/>
        <v>0</v>
      </c>
      <c r="CZ828" s="824">
        <f t="shared" si="642"/>
        <v>0</v>
      </c>
      <c r="DA828" s="824">
        <f t="shared" si="642"/>
        <v>0</v>
      </c>
      <c r="DB828" s="824">
        <f t="shared" si="642"/>
        <v>0</v>
      </c>
      <c r="DC828" s="824">
        <f t="shared" si="642"/>
        <v>0</v>
      </c>
      <c r="DD828" s="824">
        <f t="shared" si="642"/>
        <v>0</v>
      </c>
      <c r="DE828" s="824">
        <f t="shared" si="642"/>
        <v>0</v>
      </c>
      <c r="DF828" s="824">
        <f t="shared" si="642"/>
        <v>0</v>
      </c>
      <c r="DG828" s="824">
        <f t="shared" si="642"/>
        <v>0</v>
      </c>
      <c r="DH828" s="824">
        <f t="shared" si="642"/>
        <v>0</v>
      </c>
      <c r="DI828" s="824">
        <f t="shared" si="642"/>
        <v>0</v>
      </c>
      <c r="DJ828" s="824">
        <f t="shared" si="633"/>
        <v>0</v>
      </c>
      <c r="DK828" s="824">
        <f t="shared" si="633"/>
        <v>0</v>
      </c>
      <c r="DL828" s="824">
        <f t="shared" si="633"/>
        <v>0</v>
      </c>
    </row>
    <row r="829" spans="2:116" ht="12" thickBot="1" x14ac:dyDescent="0.3">
      <c r="B829" s="1673"/>
      <c r="C829" s="1060"/>
      <c r="D829" s="199"/>
      <c r="E829" s="116"/>
      <c r="F829" s="11"/>
      <c r="G829" s="17"/>
      <c r="H829" s="11"/>
      <c r="I829" s="11"/>
      <c r="J829" s="11"/>
      <c r="K829" s="11"/>
      <c r="L829" s="11"/>
      <c r="M829" s="11"/>
      <c r="N829" s="156">
        <f t="shared" si="615"/>
        <v>0</v>
      </c>
      <c r="O829" s="200"/>
      <c r="P829" s="33"/>
      <c r="Q829" s="34"/>
      <c r="R829" s="34"/>
      <c r="S829" s="34"/>
      <c r="T829" s="189"/>
      <c r="U829" s="190"/>
      <c r="V829" s="40">
        <f t="shared" si="637"/>
        <v>0</v>
      </c>
      <c r="W829" s="41">
        <f t="shared" si="638"/>
        <v>0</v>
      </c>
      <c r="X829" s="192"/>
      <c r="Y829" s="195"/>
      <c r="Z829" s="49"/>
      <c r="AA829" s="196"/>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824">
        <f t="shared" si="634"/>
        <v>0</v>
      </c>
      <c r="BM829" s="824">
        <f t="shared" si="635"/>
        <v>0</v>
      </c>
      <c r="BN829" s="824">
        <f t="shared" si="636"/>
        <v>0</v>
      </c>
      <c r="BO829" s="824">
        <f t="shared" si="640"/>
        <v>0</v>
      </c>
      <c r="BP829" s="824">
        <f t="shared" si="640"/>
        <v>0</v>
      </c>
      <c r="BQ829" s="824">
        <f t="shared" si="640"/>
        <v>0</v>
      </c>
      <c r="BR829" s="824">
        <f t="shared" si="640"/>
        <v>0</v>
      </c>
      <c r="BS829" s="824">
        <f t="shared" si="640"/>
        <v>0</v>
      </c>
      <c r="BT829" s="824">
        <f t="shared" si="640"/>
        <v>0</v>
      </c>
      <c r="BU829" s="824">
        <f t="shared" si="640"/>
        <v>0</v>
      </c>
      <c r="BV829" s="824">
        <f t="shared" si="640"/>
        <v>0</v>
      </c>
      <c r="BW829" s="824">
        <f t="shared" si="640"/>
        <v>0</v>
      </c>
      <c r="BX829" s="824">
        <f t="shared" si="640"/>
        <v>0</v>
      </c>
      <c r="BY829" s="824">
        <f t="shared" si="640"/>
        <v>0</v>
      </c>
      <c r="BZ829" s="824">
        <f t="shared" si="640"/>
        <v>0</v>
      </c>
      <c r="CA829" s="824">
        <f t="shared" si="640"/>
        <v>0</v>
      </c>
      <c r="CB829" s="824">
        <f t="shared" si="640"/>
        <v>0</v>
      </c>
      <c r="CC829" s="824">
        <f t="shared" si="640"/>
        <v>0</v>
      </c>
      <c r="CD829" s="824">
        <f t="shared" si="640"/>
        <v>0</v>
      </c>
      <c r="CE829" s="824">
        <f t="shared" si="639"/>
        <v>0</v>
      </c>
      <c r="CF829" s="824">
        <f t="shared" si="639"/>
        <v>0</v>
      </c>
      <c r="CG829" s="824">
        <f t="shared" si="639"/>
        <v>0</v>
      </c>
      <c r="CH829" s="824">
        <f t="shared" si="639"/>
        <v>0</v>
      </c>
      <c r="CI829" s="824">
        <f t="shared" si="639"/>
        <v>0</v>
      </c>
      <c r="CJ829" s="824">
        <f t="shared" si="639"/>
        <v>0</v>
      </c>
      <c r="CK829" s="824">
        <f t="shared" si="639"/>
        <v>0</v>
      </c>
      <c r="CL829" s="824">
        <f t="shared" si="639"/>
        <v>0</v>
      </c>
      <c r="CM829" s="824">
        <f t="shared" si="639"/>
        <v>0</v>
      </c>
      <c r="CN829" s="824">
        <f t="shared" si="639"/>
        <v>0</v>
      </c>
      <c r="CO829" s="824">
        <f t="shared" si="639"/>
        <v>0</v>
      </c>
      <c r="CP829" s="824">
        <f t="shared" si="639"/>
        <v>0</v>
      </c>
      <c r="CQ829" s="824">
        <f t="shared" si="639"/>
        <v>0</v>
      </c>
      <c r="CR829" s="824">
        <f t="shared" si="639"/>
        <v>0</v>
      </c>
      <c r="CS829" s="824">
        <f t="shared" si="639"/>
        <v>0</v>
      </c>
      <c r="CT829" s="824">
        <f t="shared" si="642"/>
        <v>0</v>
      </c>
      <c r="CU829" s="824">
        <f t="shared" si="642"/>
        <v>0</v>
      </c>
      <c r="CV829" s="824">
        <f t="shared" si="642"/>
        <v>0</v>
      </c>
      <c r="CW829" s="824">
        <f t="shared" si="642"/>
        <v>0</v>
      </c>
      <c r="CX829" s="824">
        <f t="shared" si="642"/>
        <v>0</v>
      </c>
      <c r="CY829" s="824">
        <f t="shared" si="642"/>
        <v>0</v>
      </c>
      <c r="CZ829" s="824">
        <f t="shared" si="642"/>
        <v>0</v>
      </c>
      <c r="DA829" s="824">
        <f t="shared" si="642"/>
        <v>0</v>
      </c>
      <c r="DB829" s="824">
        <f t="shared" si="642"/>
        <v>0</v>
      </c>
      <c r="DC829" s="824">
        <f t="shared" si="642"/>
        <v>0</v>
      </c>
      <c r="DD829" s="824">
        <f t="shared" si="642"/>
        <v>0</v>
      </c>
      <c r="DE829" s="824">
        <f t="shared" si="642"/>
        <v>0</v>
      </c>
      <c r="DF829" s="824">
        <f t="shared" si="642"/>
        <v>0</v>
      </c>
      <c r="DG829" s="824">
        <f t="shared" si="642"/>
        <v>0</v>
      </c>
      <c r="DH829" s="824">
        <f t="shared" si="642"/>
        <v>0</v>
      </c>
      <c r="DI829" s="824">
        <f t="shared" si="642"/>
        <v>0</v>
      </c>
      <c r="DJ829" s="824">
        <f t="shared" si="633"/>
        <v>0</v>
      </c>
      <c r="DK829" s="824">
        <f t="shared" si="633"/>
        <v>0</v>
      </c>
      <c r="DL829" s="824">
        <f t="shared" si="633"/>
        <v>0</v>
      </c>
    </row>
    <row r="830" spans="2:116" ht="11.25" customHeight="1" thickBot="1" x14ac:dyDescent="0.3">
      <c r="B830" s="1673"/>
      <c r="C830" s="1679" t="s">
        <v>275</v>
      </c>
      <c r="D830" s="18" t="str">
        <f>'3.2 Fi&amp;Fo'!$D$47</f>
        <v>Verwaltung und Management</v>
      </c>
      <c r="E830" s="166"/>
      <c r="F830" s="13"/>
      <c r="G830" s="11"/>
      <c r="H830" s="13"/>
      <c r="I830" s="13"/>
      <c r="J830" s="64">
        <f>SUBTOTAL(109,'3.4 Fi&amp;Fo'!$K$47)</f>
        <v>0</v>
      </c>
      <c r="K830" s="12"/>
      <c r="L830" s="12"/>
      <c r="M830" s="13"/>
      <c r="N830" s="178"/>
      <c r="O830" s="21"/>
      <c r="P830" s="65">
        <f t="shared" ref="P830:P837" si="643">IF(N830&gt;=1,O830*$G$158^(1*M830)/($G$157^(1*M830)),0)</f>
        <v>0</v>
      </c>
      <c r="Q830" s="66">
        <f t="shared" ref="Q830:Q837" si="644">IF(N830&gt;=2,O830*$G$158^(2*M830)/($G$157^(2*M830)),0)</f>
        <v>0</v>
      </c>
      <c r="R830" s="66">
        <f t="shared" ref="R830:R837" si="645">IF(N830&gt;=3,O830*$G$158^(3*M830)/($G$157^(3*M830)),0)</f>
        <v>0</v>
      </c>
      <c r="S830" s="66">
        <f t="shared" ref="S830:S837" si="646">IF(N830&gt;=4,O830*$G$158^(4*M830)/($G$157^(4*M830)),0)</f>
        <v>0</v>
      </c>
      <c r="T830" s="67">
        <f t="shared" ref="T830:T837" si="647">IF(N830&gt;=5,O830*$G$158^(5*M830)/($G$157^(5*M830)),0)</f>
        <v>0</v>
      </c>
      <c r="U830" s="37">
        <f t="shared" ref="U830:U860" si="648">IF(M830=0,0,O830*$G$158^(N830*M830)*((N830+1)*M830-$G$154)/M830*(1/$G$157^$G$154))</f>
        <v>0</v>
      </c>
      <c r="V830" s="40">
        <f t="shared" si="637"/>
        <v>0</v>
      </c>
      <c r="W830" s="41">
        <f t="shared" si="638"/>
        <v>0</v>
      </c>
      <c r="X830" s="42"/>
      <c r="Y830" s="45"/>
      <c r="Z830" s="127"/>
      <c r="AA830" s="136"/>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824"/>
      <c r="BM830" s="824"/>
      <c r="BN830" s="824"/>
      <c r="BO830" s="824"/>
      <c r="BP830" s="824"/>
      <c r="BQ830" s="824"/>
      <c r="BR830" s="824"/>
      <c r="BS830" s="824"/>
      <c r="BT830" s="824"/>
      <c r="BU830" s="824"/>
      <c r="BV830" s="824"/>
      <c r="BW830" s="824"/>
      <c r="BX830" s="824"/>
      <c r="BY830" s="824"/>
      <c r="BZ830" s="824"/>
      <c r="CA830" s="824"/>
      <c r="CB830" s="824"/>
      <c r="CC830" s="824"/>
      <c r="CD830" s="824"/>
      <c r="CE830" s="824"/>
      <c r="CF830" s="824"/>
      <c r="CG830" s="824"/>
      <c r="CH830" s="824"/>
      <c r="CI830" s="824"/>
      <c r="CJ830" s="824"/>
      <c r="CK830" s="824"/>
      <c r="CL830" s="824"/>
      <c r="CM830" s="824"/>
      <c r="CN830" s="824"/>
      <c r="CO830" s="824"/>
      <c r="CP830" s="824"/>
      <c r="CQ830" s="824"/>
      <c r="CR830" s="824"/>
      <c r="CS830" s="824"/>
      <c r="CT830" s="824"/>
      <c r="CU830" s="824"/>
      <c r="CV830" s="824"/>
      <c r="CW830" s="824"/>
      <c r="CX830" s="824"/>
      <c r="CY830" s="824"/>
      <c r="CZ830" s="824"/>
      <c r="DA830" s="824"/>
      <c r="DB830" s="824"/>
      <c r="DC830" s="824"/>
      <c r="DD830" s="824"/>
      <c r="DE830" s="824"/>
      <c r="DF830" s="824"/>
      <c r="DG830" s="824"/>
      <c r="DH830" s="824"/>
      <c r="DI830" s="824"/>
      <c r="DJ830" s="824"/>
      <c r="DK830" s="824"/>
      <c r="DL830" s="824"/>
    </row>
    <row r="831" spans="2:116" ht="12" thickBot="1" x14ac:dyDescent="0.3">
      <c r="B831" s="1673"/>
      <c r="C831" s="1680"/>
      <c r="D831" s="16" t="str">
        <f>'3.2 Fi&amp;Fo'!$D$48</f>
        <v>Gebühren, Steuern und Abgaben</v>
      </c>
      <c r="E831" s="97"/>
      <c r="F831" s="9"/>
      <c r="G831" s="116"/>
      <c r="H831" s="9"/>
      <c r="I831" s="9"/>
      <c r="J831" s="5">
        <f ca="1">SUBTOTAL(109,'3.4 Fi&amp;Fo'!$K$48)-'PV-Einspeisung'!AB209</f>
        <v>2996.3999999999996</v>
      </c>
      <c r="K831" s="116"/>
      <c r="L831" s="116"/>
      <c r="M831" s="9"/>
      <c r="N831" s="179"/>
      <c r="O831" s="22"/>
      <c r="P831" s="30">
        <f t="shared" si="643"/>
        <v>0</v>
      </c>
      <c r="Q831" s="31">
        <f t="shared" si="644"/>
        <v>0</v>
      </c>
      <c r="R831" s="31">
        <f t="shared" si="645"/>
        <v>0</v>
      </c>
      <c r="S831" s="31">
        <f t="shared" si="646"/>
        <v>0</v>
      </c>
      <c r="T831" s="32">
        <f t="shared" si="647"/>
        <v>0</v>
      </c>
      <c r="U831" s="37">
        <f t="shared" si="648"/>
        <v>0</v>
      </c>
      <c r="V831" s="40">
        <f t="shared" si="637"/>
        <v>0</v>
      </c>
      <c r="W831" s="41">
        <f t="shared" ca="1" si="638"/>
        <v>96249.766799551478</v>
      </c>
      <c r="X831" s="43"/>
      <c r="Y831" s="46"/>
      <c r="Z831" s="126"/>
      <c r="AA831" s="136"/>
      <c r="AB831" s="3"/>
      <c r="AC831" s="1665" t="s">
        <v>328</v>
      </c>
      <c r="AD831" s="1665"/>
      <c r="AE831" s="1665"/>
      <c r="AF831" s="850" t="str">
        <f>LISTEN!$B$3</f>
        <v>Heizöl</v>
      </c>
      <c r="AG831" s="850" t="str">
        <f>LISTEN!$C$3</f>
        <v>Erdgas</v>
      </c>
      <c r="AH831" s="850" t="str">
        <f>LISTEN!$D$3</f>
        <v>Kohle</v>
      </c>
      <c r="AI831" s="850" t="str">
        <f>LISTEN!$E$3</f>
        <v>Fernwärme ne.</v>
      </c>
      <c r="AJ831" s="850" t="str">
        <f>LISTEN!$F$3</f>
        <v>Fernwärme e.</v>
      </c>
      <c r="AK831" s="850" t="str">
        <f>LISTEN!$G$3</f>
        <v>Biomasse</v>
      </c>
      <c r="AL831" s="850" t="str">
        <f>LISTEN!$H$3</f>
        <v>Strom</v>
      </c>
      <c r="AM831" s="850" t="str">
        <f>LISTEN!$I$3</f>
        <v>Wärmepumpenstrom</v>
      </c>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824"/>
      <c r="BM831" s="824"/>
      <c r="BN831" s="827" t="s">
        <v>580</v>
      </c>
      <c r="BO831" s="827">
        <v>1</v>
      </c>
      <c r="BP831" s="827">
        <v>2</v>
      </c>
      <c r="BQ831" s="827">
        <v>3</v>
      </c>
      <c r="BR831" s="827">
        <v>4</v>
      </c>
      <c r="BS831" s="827">
        <v>5</v>
      </c>
      <c r="BT831" s="827">
        <v>6</v>
      </c>
      <c r="BU831" s="827">
        <v>7</v>
      </c>
      <c r="BV831" s="827">
        <v>8</v>
      </c>
      <c r="BW831" s="827">
        <v>9</v>
      </c>
      <c r="BX831" s="827">
        <v>10</v>
      </c>
      <c r="BY831" s="827">
        <v>11</v>
      </c>
      <c r="BZ831" s="827">
        <v>12</v>
      </c>
      <c r="CA831" s="827">
        <v>13</v>
      </c>
      <c r="CB831" s="827">
        <v>14</v>
      </c>
      <c r="CC831" s="827">
        <v>15</v>
      </c>
      <c r="CD831" s="827">
        <v>16</v>
      </c>
      <c r="CE831" s="827">
        <v>17</v>
      </c>
      <c r="CF831" s="827">
        <v>18</v>
      </c>
      <c r="CG831" s="827">
        <v>19</v>
      </c>
      <c r="CH831" s="827">
        <v>20</v>
      </c>
      <c r="CI831" s="827">
        <v>21</v>
      </c>
      <c r="CJ831" s="827">
        <v>22</v>
      </c>
      <c r="CK831" s="827">
        <v>23</v>
      </c>
      <c r="CL831" s="827">
        <v>24</v>
      </c>
      <c r="CM831" s="827">
        <v>25</v>
      </c>
      <c r="CN831" s="827">
        <v>26</v>
      </c>
      <c r="CO831" s="827">
        <v>27</v>
      </c>
      <c r="CP831" s="827">
        <v>28</v>
      </c>
      <c r="CQ831" s="827">
        <v>29</v>
      </c>
      <c r="CR831" s="827">
        <v>30</v>
      </c>
      <c r="CS831" s="827">
        <v>31</v>
      </c>
      <c r="CT831" s="827">
        <v>32</v>
      </c>
      <c r="CU831" s="827">
        <v>33</v>
      </c>
      <c r="CV831" s="827">
        <v>34</v>
      </c>
      <c r="CW831" s="827">
        <v>35</v>
      </c>
      <c r="CX831" s="827">
        <v>36</v>
      </c>
      <c r="CY831" s="827">
        <v>37</v>
      </c>
      <c r="CZ831" s="827">
        <v>38</v>
      </c>
      <c r="DA831" s="827">
        <v>39</v>
      </c>
      <c r="DB831" s="827">
        <v>40</v>
      </c>
      <c r="DC831" s="827">
        <v>41</v>
      </c>
      <c r="DD831" s="827">
        <v>42</v>
      </c>
      <c r="DE831" s="827">
        <v>43</v>
      </c>
      <c r="DF831" s="827">
        <v>44</v>
      </c>
      <c r="DG831" s="827">
        <v>45</v>
      </c>
      <c r="DH831" s="827">
        <v>46</v>
      </c>
      <c r="DI831" s="827">
        <v>47</v>
      </c>
      <c r="DJ831" s="827">
        <v>48</v>
      </c>
      <c r="DK831" s="827">
        <v>49</v>
      </c>
      <c r="DL831" s="827">
        <v>50</v>
      </c>
    </row>
    <row r="832" spans="2:116" ht="12" thickBot="1" x14ac:dyDescent="0.3">
      <c r="B832" s="1673"/>
      <c r="C832" s="1680"/>
      <c r="D832" s="16" t="str">
        <f>'3.2 Fi&amp;Fo'!$D$56</f>
        <v>Technisches Gebäudemanagement</v>
      </c>
      <c r="E832" s="97"/>
      <c r="F832" s="9"/>
      <c r="G832" s="116"/>
      <c r="H832" s="9"/>
      <c r="I832" s="9"/>
      <c r="J832" s="5">
        <f>SUBTOTAL(109,'3.4 Fi&amp;Fo'!$K$56)</f>
        <v>0</v>
      </c>
      <c r="K832" s="116"/>
      <c r="L832" s="116"/>
      <c r="M832" s="9"/>
      <c r="N832" s="179"/>
      <c r="O832" s="22"/>
      <c r="P832" s="30">
        <f t="shared" si="643"/>
        <v>0</v>
      </c>
      <c r="Q832" s="31">
        <f t="shared" si="644"/>
        <v>0</v>
      </c>
      <c r="R832" s="31">
        <f t="shared" si="645"/>
        <v>0</v>
      </c>
      <c r="S832" s="31">
        <f t="shared" si="646"/>
        <v>0</v>
      </c>
      <c r="T832" s="32">
        <f t="shared" si="647"/>
        <v>0</v>
      </c>
      <c r="U832" s="37">
        <f t="shared" si="648"/>
        <v>0</v>
      </c>
      <c r="V832" s="40">
        <f t="shared" si="637"/>
        <v>0</v>
      </c>
      <c r="W832" s="41">
        <f t="shared" si="638"/>
        <v>0</v>
      </c>
      <c r="X832" s="43"/>
      <c r="Y832" s="46"/>
      <c r="Z832" s="128"/>
      <c r="AA832" s="136"/>
      <c r="AB832" s="3"/>
      <c r="AC832" s="156" t="s">
        <v>329</v>
      </c>
      <c r="AD832" s="156" t="s">
        <v>199</v>
      </c>
      <c r="AE832" s="156" t="s">
        <v>198</v>
      </c>
      <c r="AF832" s="850">
        <f ca="1">SUMIF($L$833:$L$851,AF831,$K$833:$K$851)</f>
        <v>0</v>
      </c>
      <c r="AG832" s="850">
        <f t="shared" ref="AG832:AM832" ca="1" si="649">SUMIF($L$833:$L$851,AG831,$K$833:$K$851)</f>
        <v>0</v>
      </c>
      <c r="AH832" s="850">
        <f t="shared" ca="1" si="649"/>
        <v>0</v>
      </c>
      <c r="AI832" s="850">
        <f t="shared" ca="1" si="649"/>
        <v>0</v>
      </c>
      <c r="AJ832" s="850">
        <f t="shared" ca="1" si="649"/>
        <v>0</v>
      </c>
      <c r="AK832" s="850">
        <f t="shared" ca="1" si="649"/>
        <v>0</v>
      </c>
      <c r="AL832" s="850">
        <f t="shared" ca="1" si="649"/>
        <v>6456.61310976</v>
      </c>
      <c r="AM832" s="850">
        <f t="shared" ca="1" si="649"/>
        <v>2012.5167268799999</v>
      </c>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824"/>
      <c r="BM832" s="824"/>
      <c r="BN832" s="828"/>
      <c r="BO832" s="828">
        <f ca="1">SUM(BO723:BO829)</f>
        <v>0</v>
      </c>
      <c r="BP832" s="828">
        <f ca="1">SUM(BP723:BP829)</f>
        <v>0</v>
      </c>
      <c r="BQ832" s="828">
        <f ca="1">SUM(BQ723:BQ829)</f>
        <v>0</v>
      </c>
      <c r="BR832" s="828">
        <f ca="1">SUM(BR723:BR829)</f>
        <v>0</v>
      </c>
      <c r="BS832" s="828">
        <f t="shared" ref="BS832:DL832" ca="1" si="650">SUM(BS723:BS829)</f>
        <v>0</v>
      </c>
      <c r="BT832" s="828">
        <f t="shared" ca="1" si="650"/>
        <v>0</v>
      </c>
      <c r="BU832" s="828">
        <f t="shared" ca="1" si="650"/>
        <v>0</v>
      </c>
      <c r="BV832" s="828">
        <f t="shared" ca="1" si="650"/>
        <v>0</v>
      </c>
      <c r="BW832" s="828">
        <f t="shared" ca="1" si="650"/>
        <v>0</v>
      </c>
      <c r="BX832" s="828">
        <f t="shared" ca="1" si="650"/>
        <v>0</v>
      </c>
      <c r="BY832" s="828">
        <f t="shared" ca="1" si="650"/>
        <v>0</v>
      </c>
      <c r="BZ832" s="828">
        <f t="shared" ca="1" si="650"/>
        <v>0</v>
      </c>
      <c r="CA832" s="828">
        <f t="shared" ca="1" si="650"/>
        <v>0</v>
      </c>
      <c r="CB832" s="828">
        <f t="shared" ca="1" si="650"/>
        <v>0</v>
      </c>
      <c r="CC832" s="828">
        <f t="shared" ca="1" si="650"/>
        <v>30560.482289296149</v>
      </c>
      <c r="CD832" s="828">
        <f t="shared" ca="1" si="650"/>
        <v>0</v>
      </c>
      <c r="CE832" s="828">
        <f t="shared" ca="1" si="650"/>
        <v>0</v>
      </c>
      <c r="CF832" s="828">
        <f t="shared" ca="1" si="650"/>
        <v>0</v>
      </c>
      <c r="CG832" s="828">
        <f t="shared" ca="1" si="650"/>
        <v>0</v>
      </c>
      <c r="CH832" s="828">
        <f t="shared" ca="1" si="650"/>
        <v>32983.937103226628</v>
      </c>
      <c r="CI832" s="828">
        <f t="shared" ca="1" si="650"/>
        <v>0</v>
      </c>
      <c r="CJ832" s="828">
        <f t="shared" ca="1" si="650"/>
        <v>0</v>
      </c>
      <c r="CK832" s="828">
        <f t="shared" ca="1" si="650"/>
        <v>0</v>
      </c>
      <c r="CL832" s="828">
        <f t="shared" ca="1" si="650"/>
        <v>0</v>
      </c>
      <c r="CM832" s="828">
        <f t="shared" ca="1" si="650"/>
        <v>105231.07945221136</v>
      </c>
      <c r="CN832" s="828">
        <f t="shared" ca="1" si="650"/>
        <v>0</v>
      </c>
      <c r="CO832" s="828">
        <f t="shared" ca="1" si="650"/>
        <v>0</v>
      </c>
      <c r="CP832" s="828">
        <f t="shared" ca="1" si="650"/>
        <v>0</v>
      </c>
      <c r="CQ832" s="828">
        <f t="shared" ca="1" si="650"/>
        <v>0</v>
      </c>
      <c r="CR832" s="828">
        <f t="shared" ca="1" si="650"/>
        <v>153992.21131166464</v>
      </c>
      <c r="CS832" s="828">
        <f t="shared" ca="1" si="650"/>
        <v>0</v>
      </c>
      <c r="CT832" s="828">
        <f t="shared" ca="1" si="650"/>
        <v>0</v>
      </c>
      <c r="CU832" s="828">
        <f t="shared" ca="1" si="650"/>
        <v>0</v>
      </c>
      <c r="CV832" s="828">
        <f t="shared" ca="1" si="650"/>
        <v>0</v>
      </c>
      <c r="CW832" s="828">
        <f t="shared" ca="1" si="650"/>
        <v>0</v>
      </c>
      <c r="CX832" s="828">
        <f t="shared" ca="1" si="650"/>
        <v>0</v>
      </c>
      <c r="CY832" s="828">
        <f t="shared" ca="1" si="650"/>
        <v>0</v>
      </c>
      <c r="CZ832" s="828">
        <f t="shared" ca="1" si="650"/>
        <v>0</v>
      </c>
      <c r="DA832" s="828">
        <f t="shared" ca="1" si="650"/>
        <v>0</v>
      </c>
      <c r="DB832" s="828">
        <f t="shared" ca="1" si="650"/>
        <v>0</v>
      </c>
      <c r="DC832" s="828">
        <f t="shared" ca="1" si="650"/>
        <v>0</v>
      </c>
      <c r="DD832" s="828">
        <f t="shared" ca="1" si="650"/>
        <v>0</v>
      </c>
      <c r="DE832" s="828">
        <f t="shared" ca="1" si="650"/>
        <v>0</v>
      </c>
      <c r="DF832" s="828">
        <f t="shared" ca="1" si="650"/>
        <v>0</v>
      </c>
      <c r="DG832" s="828">
        <f t="shared" ca="1" si="650"/>
        <v>0</v>
      </c>
      <c r="DH832" s="828">
        <f t="shared" ca="1" si="650"/>
        <v>0</v>
      </c>
      <c r="DI832" s="828">
        <f t="shared" ca="1" si="650"/>
        <v>0</v>
      </c>
      <c r="DJ832" s="828">
        <f t="shared" ca="1" si="650"/>
        <v>0</v>
      </c>
      <c r="DK832" s="828">
        <f t="shared" ca="1" si="650"/>
        <v>0</v>
      </c>
      <c r="DL832" s="828">
        <f t="shared" ca="1" si="650"/>
        <v>0</v>
      </c>
    </row>
    <row r="833" spans="2:63" ht="12" thickBot="1" x14ac:dyDescent="0.3">
      <c r="B833" s="1673"/>
      <c r="C833" s="1680"/>
      <c r="D833" s="97" t="str">
        <f>'3.2 Fi&amp;Fo'!$E$63</f>
        <v>Heizung</v>
      </c>
      <c r="E833" s="97"/>
      <c r="F833" s="9"/>
      <c r="G833" s="116"/>
      <c r="H833" s="9"/>
      <c r="I833" s="9"/>
      <c r="J833" s="116"/>
      <c r="K833" s="5">
        <f ca="1">SUBTOTAL(109,'3.4 Fi&amp;Fo'!$K$63)</f>
        <v>966.83086367999999</v>
      </c>
      <c r="L833" s="5" t="str">
        <f ca="1">'2. Energie KW.'!F108</f>
        <v>Wärmepumpenstrom</v>
      </c>
      <c r="M833" s="9"/>
      <c r="N833" s="179"/>
      <c r="O833" s="22"/>
      <c r="P833" s="30">
        <f t="shared" si="643"/>
        <v>0</v>
      </c>
      <c r="Q833" s="31">
        <f t="shared" si="644"/>
        <v>0</v>
      </c>
      <c r="R833" s="31">
        <f t="shared" si="645"/>
        <v>0</v>
      </c>
      <c r="S833" s="31">
        <f t="shared" si="646"/>
        <v>0</v>
      </c>
      <c r="T833" s="32">
        <f t="shared" si="647"/>
        <v>0</v>
      </c>
      <c r="U833" s="37">
        <f t="shared" si="648"/>
        <v>0</v>
      </c>
      <c r="V833" s="40">
        <f t="shared" si="637"/>
        <v>0</v>
      </c>
      <c r="W833" s="41">
        <f t="shared" si="638"/>
        <v>0</v>
      </c>
      <c r="X833" s="43">
        <f ca="1">IFERROR(K833*VLOOKUP(L833,$A$159:$I$166,9,FALSE),0)</f>
        <v>42984.479975765949</v>
      </c>
      <c r="Y833" s="46"/>
      <c r="Z833" s="128"/>
      <c r="AA833" s="136">
        <f ca="1">K833*$O$151</f>
        <v>0</v>
      </c>
      <c r="AB833" s="3"/>
      <c r="AC833" s="156">
        <f ca="1">IF(L833="f",K833,0)</f>
        <v>0</v>
      </c>
      <c r="AD833" s="156">
        <f ca="1">IF(L833="s",K833,0)</f>
        <v>0</v>
      </c>
      <c r="AE833" s="156">
        <f ca="1">IF(L833="b",K833,0)</f>
        <v>0</v>
      </c>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row>
    <row r="834" spans="2:63" ht="12" thickBot="1" x14ac:dyDescent="0.3">
      <c r="B834" s="1673"/>
      <c r="C834" s="1680"/>
      <c r="D834" s="97" t="str">
        <f>'3.2 Fi&amp;Fo'!$E$64</f>
        <v>Heizung 2</v>
      </c>
      <c r="E834" s="97"/>
      <c r="F834" s="9"/>
      <c r="G834" s="116"/>
      <c r="H834" s="9"/>
      <c r="I834" s="9"/>
      <c r="J834" s="116"/>
      <c r="K834" s="5">
        <f ca="1">SUBTOTAL(109,'3.4 Fi&amp;Fo'!$K$64)</f>
        <v>0</v>
      </c>
      <c r="L834" s="5">
        <f ca="1">'2. Energie KW.'!F109</f>
        <v>0</v>
      </c>
      <c r="M834" s="9"/>
      <c r="N834" s="179"/>
      <c r="O834" s="22"/>
      <c r="P834" s="30">
        <f t="shared" si="643"/>
        <v>0</v>
      </c>
      <c r="Q834" s="31">
        <f t="shared" si="644"/>
        <v>0</v>
      </c>
      <c r="R834" s="31">
        <f t="shared" si="645"/>
        <v>0</v>
      </c>
      <c r="S834" s="31">
        <f t="shared" si="646"/>
        <v>0</v>
      </c>
      <c r="T834" s="32">
        <f t="shared" si="647"/>
        <v>0</v>
      </c>
      <c r="U834" s="37">
        <f t="shared" si="648"/>
        <v>0</v>
      </c>
      <c r="V834" s="40">
        <f t="shared" si="637"/>
        <v>0</v>
      </c>
      <c r="W834" s="41">
        <f t="shared" si="638"/>
        <v>0</v>
      </c>
      <c r="X834" s="43">
        <f t="shared" ref="X834:X853" ca="1" si="651">IFERROR(K834*VLOOKUP(L834,$A$159:$I$166,9,FALSE),0)</f>
        <v>0</v>
      </c>
      <c r="Y834" s="46"/>
      <c r="Z834" s="128"/>
      <c r="AA834" s="136">
        <f ca="1">K834*$O$151</f>
        <v>0</v>
      </c>
      <c r="AB834" s="3"/>
      <c r="AC834" s="156">
        <f t="shared" ref="AC834:AC854" ca="1" si="652">IF(L834="f",K834,0)</f>
        <v>0</v>
      </c>
      <c r="AD834" s="156">
        <f t="shared" ref="AD834:AD854" ca="1" si="653">IF(L834="s",K834,0)</f>
        <v>0</v>
      </c>
      <c r="AE834" s="156">
        <f t="shared" ref="AE834:AE854" ca="1" si="654">IF(L834="b",K834,0)</f>
        <v>0</v>
      </c>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row>
    <row r="835" spans="2:63" ht="12" thickBot="1" x14ac:dyDescent="0.3">
      <c r="B835" s="1673"/>
      <c r="C835" s="1680"/>
      <c r="D835" s="97" t="str">
        <f>'3.2 Fi&amp;Fo'!$E$65</f>
        <v>Warmwasser</v>
      </c>
      <c r="E835" s="97"/>
      <c r="F835" s="9"/>
      <c r="G835" s="116"/>
      <c r="H835" s="9"/>
      <c r="I835" s="9"/>
      <c r="J835" s="116"/>
      <c r="K835" s="5">
        <f ca="1">SUBTOTAL(109,'3.4 Fi&amp;Fo'!$K$65)</f>
        <v>1045.6858631999999</v>
      </c>
      <c r="L835" s="5" t="str">
        <f ca="1">'2. Energie KW.'!F110</f>
        <v>Wärmepumpenstrom</v>
      </c>
      <c r="M835" s="9"/>
      <c r="N835" s="179"/>
      <c r="O835" s="22"/>
      <c r="P835" s="30">
        <f t="shared" si="643"/>
        <v>0</v>
      </c>
      <c r="Q835" s="31">
        <f t="shared" si="644"/>
        <v>0</v>
      </c>
      <c r="R835" s="31">
        <f t="shared" si="645"/>
        <v>0</v>
      </c>
      <c r="S835" s="31">
        <f t="shared" si="646"/>
        <v>0</v>
      </c>
      <c r="T835" s="32">
        <f t="shared" si="647"/>
        <v>0</v>
      </c>
      <c r="U835" s="37">
        <f t="shared" si="648"/>
        <v>0</v>
      </c>
      <c r="V835" s="40">
        <f t="shared" si="637"/>
        <v>0</v>
      </c>
      <c r="W835" s="41">
        <f t="shared" si="638"/>
        <v>0</v>
      </c>
      <c r="X835" s="43">
        <f t="shared" ca="1" si="651"/>
        <v>46490.306356768131</v>
      </c>
      <c r="Y835" s="46"/>
      <c r="Z835" s="128"/>
      <c r="AA835" s="136">
        <f ca="1">K835*$O$151</f>
        <v>0</v>
      </c>
      <c r="AB835" s="3"/>
      <c r="AC835" s="156">
        <f t="shared" ca="1" si="652"/>
        <v>0</v>
      </c>
      <c r="AD835" s="156">
        <f t="shared" ca="1" si="653"/>
        <v>0</v>
      </c>
      <c r="AE835" s="156">
        <f t="shared" ca="1" si="654"/>
        <v>0</v>
      </c>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row>
    <row r="836" spans="2:63" ht="12" thickBot="1" x14ac:dyDescent="0.3">
      <c r="B836" s="1673"/>
      <c r="C836" s="1680"/>
      <c r="D836" s="97" t="str">
        <f>'3.2 Fi&amp;Fo'!$E$66</f>
        <v>Warmwasser 2</v>
      </c>
      <c r="E836" s="97"/>
      <c r="F836" s="9"/>
      <c r="G836" s="116"/>
      <c r="H836" s="9"/>
      <c r="I836" s="9"/>
      <c r="J836" s="116"/>
      <c r="K836" s="5">
        <f ca="1">SUBTOTAL(109,'3.4 Fi&amp;Fo'!$K$66)</f>
        <v>0</v>
      </c>
      <c r="L836" s="5">
        <f ca="1">'2. Energie KW.'!F111</f>
        <v>0</v>
      </c>
      <c r="M836" s="9"/>
      <c r="N836" s="179"/>
      <c r="O836" s="22"/>
      <c r="P836" s="30">
        <f t="shared" si="643"/>
        <v>0</v>
      </c>
      <c r="Q836" s="31">
        <f t="shared" si="644"/>
        <v>0</v>
      </c>
      <c r="R836" s="31">
        <f t="shared" si="645"/>
        <v>0</v>
      </c>
      <c r="S836" s="31">
        <f t="shared" si="646"/>
        <v>0</v>
      </c>
      <c r="T836" s="32">
        <f t="shared" si="647"/>
        <v>0</v>
      </c>
      <c r="U836" s="37">
        <f t="shared" si="648"/>
        <v>0</v>
      </c>
      <c r="V836" s="40">
        <f t="shared" si="637"/>
        <v>0</v>
      </c>
      <c r="W836" s="41">
        <f t="shared" si="638"/>
        <v>0</v>
      </c>
      <c r="X836" s="43">
        <f t="shared" ca="1" si="651"/>
        <v>0</v>
      </c>
      <c r="Y836" s="46"/>
      <c r="Z836" s="128"/>
      <c r="AA836" s="136">
        <f ca="1">K836*$O$151</f>
        <v>0</v>
      </c>
      <c r="AB836" s="3"/>
      <c r="AC836" s="156">
        <f t="shared" ca="1" si="652"/>
        <v>0</v>
      </c>
      <c r="AD836" s="156">
        <f t="shared" ca="1" si="653"/>
        <v>0</v>
      </c>
      <c r="AE836" s="156">
        <f t="shared" ca="1" si="654"/>
        <v>0</v>
      </c>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row>
    <row r="837" spans="2:63" ht="12" thickBot="1" x14ac:dyDescent="0.3">
      <c r="B837" s="1673"/>
      <c r="C837" s="1680"/>
      <c r="D837" s="97" t="str">
        <f>'3.2 Fi&amp;Fo'!$E$67</f>
        <v>Klimatisierung</v>
      </c>
      <c r="E837" s="97"/>
      <c r="F837" s="9"/>
      <c r="G837" s="116"/>
      <c r="H837" s="9"/>
      <c r="I837" s="9"/>
      <c r="J837" s="116"/>
      <c r="K837" s="5">
        <f ca="1">SUBTOTAL(109,'3.4 Fi&amp;Fo'!$K$67)</f>
        <v>0</v>
      </c>
      <c r="L837" s="5">
        <f ca="1">'2. Energie KW.'!F112</f>
        <v>0</v>
      </c>
      <c r="M837" s="9"/>
      <c r="N837" s="179"/>
      <c r="O837" s="22"/>
      <c r="P837" s="30">
        <f t="shared" si="643"/>
        <v>0</v>
      </c>
      <c r="Q837" s="31">
        <f t="shared" si="644"/>
        <v>0</v>
      </c>
      <c r="R837" s="31">
        <f t="shared" si="645"/>
        <v>0</v>
      </c>
      <c r="S837" s="31">
        <f t="shared" si="646"/>
        <v>0</v>
      </c>
      <c r="T837" s="32">
        <f t="shared" si="647"/>
        <v>0</v>
      </c>
      <c r="U837" s="37">
        <f t="shared" si="648"/>
        <v>0</v>
      </c>
      <c r="V837" s="40">
        <f t="shared" si="637"/>
        <v>0</v>
      </c>
      <c r="W837" s="41">
        <f t="shared" si="638"/>
        <v>0</v>
      </c>
      <c r="X837" s="43">
        <f t="shared" ca="1" si="651"/>
        <v>0</v>
      </c>
      <c r="Y837" s="46"/>
      <c r="Z837" s="128"/>
      <c r="AA837" s="136">
        <f ca="1">K837*$O$151</f>
        <v>0</v>
      </c>
      <c r="AB837" s="3"/>
      <c r="AC837" s="156">
        <f t="shared" ca="1" si="652"/>
        <v>0</v>
      </c>
      <c r="AD837" s="156">
        <f t="shared" ca="1" si="653"/>
        <v>0</v>
      </c>
      <c r="AE837" s="156">
        <f t="shared" ca="1" si="654"/>
        <v>0</v>
      </c>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row>
    <row r="838" spans="2:63" ht="12" thickBot="1" x14ac:dyDescent="0.3">
      <c r="B838" s="1673"/>
      <c r="C838" s="1680"/>
      <c r="D838" s="97"/>
      <c r="E838" s="97"/>
      <c r="F838" s="9"/>
      <c r="G838" s="116"/>
      <c r="H838" s="9"/>
      <c r="I838" s="9"/>
      <c r="J838" s="116"/>
      <c r="K838" s="5"/>
      <c r="L838" s="5"/>
      <c r="M838" s="9"/>
      <c r="N838" s="179"/>
      <c r="O838" s="22"/>
      <c r="P838" s="30"/>
      <c r="Q838" s="31"/>
      <c r="R838" s="31"/>
      <c r="S838" s="31"/>
      <c r="T838" s="32"/>
      <c r="U838" s="37"/>
      <c r="V838" s="40"/>
      <c r="W838" s="41"/>
      <c r="X838" s="43"/>
      <c r="Y838" s="46"/>
      <c r="Z838" s="128"/>
      <c r="AA838" s="136"/>
      <c r="AB838" s="3"/>
      <c r="AC838" s="156"/>
      <c r="AD838" s="156"/>
      <c r="AE838" s="156"/>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row>
    <row r="839" spans="2:63" ht="12" thickBot="1" x14ac:dyDescent="0.3">
      <c r="B839" s="1673"/>
      <c r="C839" s="1680"/>
      <c r="D839" s="97" t="str">
        <f>'3.2 Fi&amp;Fo'!$E$68</f>
        <v>Kühlung</v>
      </c>
      <c r="E839" s="97"/>
      <c r="F839" s="9"/>
      <c r="G839" s="116"/>
      <c r="H839" s="9"/>
      <c r="I839" s="9"/>
      <c r="J839" s="116"/>
      <c r="K839" s="5">
        <f ca="1">SUBTOTAL(109,'3.4 Fi&amp;Fo'!$K$68)</f>
        <v>0</v>
      </c>
      <c r="L839" s="5">
        <f ca="1">'2. Energie KW.'!F113</f>
        <v>0</v>
      </c>
      <c r="M839" s="9"/>
      <c r="N839" s="179"/>
      <c r="O839" s="22"/>
      <c r="P839" s="30">
        <f>IF(N839&gt;=1,O839*$G$158^(1*M839)/($G$157^(1*M839)),0)</f>
        <v>0</v>
      </c>
      <c r="Q839" s="31">
        <f>IF(N839&gt;=2,O839*$G$158^(2*M839)/($G$157^(2*M839)),0)</f>
        <v>0</v>
      </c>
      <c r="R839" s="31">
        <f>IF(N839&gt;=3,O839*$G$158^(3*M839)/($G$157^(3*M839)),0)</f>
        <v>0</v>
      </c>
      <c r="S839" s="31">
        <f>IF(N839&gt;=4,O839*$G$158^(4*M839)/($G$157^(4*M839)),0)</f>
        <v>0</v>
      </c>
      <c r="T839" s="32">
        <f>IF(N839&gt;=5,O839*$G$158^(5*M839)/($G$157^(5*M839)),0)</f>
        <v>0</v>
      </c>
      <c r="U839" s="37">
        <f t="shared" si="648"/>
        <v>0</v>
      </c>
      <c r="V839" s="40">
        <f t="shared" ref="V839:V860" si="655">G839*$I$169</f>
        <v>0</v>
      </c>
      <c r="W839" s="41">
        <f t="shared" ref="W839:W860" si="656">(I839+J839)*$I$167</f>
        <v>0</v>
      </c>
      <c r="X839" s="43">
        <f t="shared" ca="1" si="651"/>
        <v>0</v>
      </c>
      <c r="Y839" s="46"/>
      <c r="Z839" s="128"/>
      <c r="AA839" s="136">
        <f t="shared" ref="AA839:AA854" ca="1" si="657">K839*$O$151</f>
        <v>0</v>
      </c>
      <c r="AB839" s="3"/>
      <c r="AC839" s="156">
        <f t="shared" ca="1" si="652"/>
        <v>0</v>
      </c>
      <c r="AD839" s="156">
        <f t="shared" ca="1" si="653"/>
        <v>0</v>
      </c>
      <c r="AE839" s="156">
        <f t="shared" ca="1" si="654"/>
        <v>0</v>
      </c>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row>
    <row r="840" spans="2:63" ht="12" thickBot="1" x14ac:dyDescent="0.3">
      <c r="B840" s="1673"/>
      <c r="C840" s="1680"/>
      <c r="D840" s="97" t="str">
        <f>'3.2 Fi&amp;Fo'!$E$69</f>
        <v>Hilfstrom Heizung</v>
      </c>
      <c r="E840" s="97"/>
      <c r="F840" s="9"/>
      <c r="G840" s="116"/>
      <c r="H840" s="9"/>
      <c r="I840" s="9"/>
      <c r="J840" s="116"/>
      <c r="K840" s="5">
        <f>SUBTOTAL(109,'3.4 Fi&amp;Fo'!$K$69)</f>
        <v>162.29258496</v>
      </c>
      <c r="L840" s="5" t="str">
        <f>'2. Energie KW.'!F114</f>
        <v>Strom</v>
      </c>
      <c r="M840" s="9"/>
      <c r="N840" s="179"/>
      <c r="O840" s="22"/>
      <c r="P840" s="30">
        <f>IF(N840&gt;=1,O840*$G$158^(1*M840)/($G$157^(1*M840)),0)</f>
        <v>0</v>
      </c>
      <c r="Q840" s="31">
        <f>IF(N840&gt;=2,O840*$G$158^(2*M840)/($G$157^(2*M840)),0)</f>
        <v>0</v>
      </c>
      <c r="R840" s="31">
        <f>IF(N840&gt;=3,O840*$G$158^(3*M840)/($G$157^(3*M840)),0)</f>
        <v>0</v>
      </c>
      <c r="S840" s="31">
        <f>IF(N840&gt;=4,O840*$G$158^(4*M840)/($G$157^(4*M840)),0)</f>
        <v>0</v>
      </c>
      <c r="T840" s="32">
        <f>IF(N840&gt;=5,O840*$G$158^(5*M840)/($G$157^(5*M840)),0)</f>
        <v>0</v>
      </c>
      <c r="U840" s="37">
        <f t="shared" si="648"/>
        <v>0</v>
      </c>
      <c r="V840" s="40">
        <f t="shared" si="655"/>
        <v>0</v>
      </c>
      <c r="W840" s="41">
        <f t="shared" si="656"/>
        <v>0</v>
      </c>
      <c r="X840" s="43">
        <f t="shared" si="651"/>
        <v>6058.9705136889606</v>
      </c>
      <c r="Y840" s="46"/>
      <c r="Z840" s="128"/>
      <c r="AA840" s="136">
        <f t="shared" si="657"/>
        <v>0</v>
      </c>
      <c r="AB840" s="3"/>
      <c r="AC840" s="156">
        <f t="shared" si="652"/>
        <v>0</v>
      </c>
      <c r="AD840" s="156">
        <f t="shared" si="653"/>
        <v>0</v>
      </c>
      <c r="AE840" s="156">
        <f t="shared" si="654"/>
        <v>0</v>
      </c>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row>
    <row r="841" spans="2:63" ht="12" thickBot="1" x14ac:dyDescent="0.3">
      <c r="B841" s="1673"/>
      <c r="C841" s="1680"/>
      <c r="D841" s="97" t="str">
        <f>'3.2 Fi&amp;Fo'!$E$70</f>
        <v>Hilfsstrom Warmwasser</v>
      </c>
      <c r="E841" s="97"/>
      <c r="F841" s="9"/>
      <c r="G841" s="116"/>
      <c r="H841" s="9"/>
      <c r="I841" s="9"/>
      <c r="J841" s="116"/>
      <c r="K841" s="5">
        <f>SUBTOTAL(109,'3.4 Fi&amp;Fo'!$K$70)</f>
        <v>109.657152</v>
      </c>
      <c r="L841" s="5" t="str">
        <f>'2. Energie KW.'!F115</f>
        <v>Strom</v>
      </c>
      <c r="M841" s="9"/>
      <c r="N841" s="179"/>
      <c r="O841" s="22"/>
      <c r="P841" s="30">
        <f>IF(N841&gt;=1,O841*$G$158^(1*M841)/($G$157^(1*M841)),0)</f>
        <v>0</v>
      </c>
      <c r="Q841" s="31">
        <f>IF(N841&gt;=2,O841*$G$158^(2*M841)/($G$157^(2*M841)),0)</f>
        <v>0</v>
      </c>
      <c r="R841" s="31">
        <f>IF(N841&gt;=3,O841*$G$158^(3*M841)/($G$157^(3*M841)),0)</f>
        <v>0</v>
      </c>
      <c r="S841" s="31">
        <f>IF(N841&gt;=4,O841*$G$158^(4*M841)/($G$157^(4*M841)),0)</f>
        <v>0</v>
      </c>
      <c r="T841" s="32">
        <f>IF(N841&gt;=5,O841*$G$158^(5*M841)/($G$157^(5*M841)),0)</f>
        <v>0</v>
      </c>
      <c r="U841" s="37">
        <f t="shared" si="648"/>
        <v>0</v>
      </c>
      <c r="V841" s="40">
        <f t="shared" si="655"/>
        <v>0</v>
      </c>
      <c r="W841" s="41">
        <f t="shared" si="656"/>
        <v>0</v>
      </c>
      <c r="X841" s="43">
        <f t="shared" si="651"/>
        <v>4093.8989957357844</v>
      </c>
      <c r="Y841" s="46"/>
      <c r="Z841" s="128"/>
      <c r="AA841" s="136">
        <f t="shared" si="657"/>
        <v>0</v>
      </c>
      <c r="AB841" s="3"/>
      <c r="AC841" s="156">
        <f t="shared" si="652"/>
        <v>0</v>
      </c>
      <c r="AD841" s="156">
        <f t="shared" si="653"/>
        <v>0</v>
      </c>
      <c r="AE841" s="156">
        <f t="shared" si="654"/>
        <v>0</v>
      </c>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row>
    <row r="842" spans="2:63" ht="12" thickBot="1" x14ac:dyDescent="0.3">
      <c r="B842" s="1673"/>
      <c r="C842" s="1680"/>
      <c r="D842" s="97" t="str">
        <f>'3.2 Fi&amp;Fo'!$E$71</f>
        <v>Hilfsstrom Solaranlage</v>
      </c>
      <c r="E842" s="97"/>
      <c r="F842" s="9"/>
      <c r="G842" s="116"/>
      <c r="H842" s="9"/>
      <c r="I842" s="9"/>
      <c r="J842" s="116"/>
      <c r="K842" s="5">
        <f ca="1">SUBTOTAL(109,'3.4 Fi&amp;Fo'!$K$71)</f>
        <v>0</v>
      </c>
      <c r="L842" s="5" t="str">
        <f>'2. Energie KW.'!F116</f>
        <v>Strom</v>
      </c>
      <c r="M842" s="9"/>
      <c r="N842" s="179"/>
      <c r="O842" s="22"/>
      <c r="P842" s="30">
        <f t="shared" ref="P842:P856" si="658">IF(N842&gt;=1,O842*$G$158^(1*M842)/($G$157^(1*M842)),0)</f>
        <v>0</v>
      </c>
      <c r="Q842" s="31">
        <f t="shared" ref="Q842:Q856" si="659">IF(N842&gt;=2,O842*$G$158^(2*M842)/($G$157^(2*M842)),0)</f>
        <v>0</v>
      </c>
      <c r="R842" s="31">
        <f t="shared" ref="R842:R856" si="660">IF(N842&gt;=3,O842*$G$158^(3*M842)/($G$157^(3*M842)),0)</f>
        <v>0</v>
      </c>
      <c r="S842" s="31">
        <f t="shared" ref="S842:S856" si="661">IF(N842&gt;=4,O842*$G$158^(4*M842)/($G$157^(4*M842)),0)</f>
        <v>0</v>
      </c>
      <c r="T842" s="32">
        <f t="shared" ref="T842:T856" si="662">IF(N842&gt;=5,O842*$G$158^(5*M842)/($G$157^(5*M842)),0)</f>
        <v>0</v>
      </c>
      <c r="U842" s="37">
        <f t="shared" si="648"/>
        <v>0</v>
      </c>
      <c r="V842" s="40">
        <f t="shared" si="655"/>
        <v>0</v>
      </c>
      <c r="W842" s="41">
        <f t="shared" si="656"/>
        <v>0</v>
      </c>
      <c r="X842" s="43">
        <f t="shared" ca="1" si="651"/>
        <v>0</v>
      </c>
      <c r="Y842" s="46"/>
      <c r="Z842" s="128"/>
      <c r="AA842" s="136">
        <f t="shared" ca="1" si="657"/>
        <v>0</v>
      </c>
      <c r="AB842" s="3"/>
      <c r="AC842" s="156">
        <f t="shared" si="652"/>
        <v>0</v>
      </c>
      <c r="AD842" s="156">
        <f t="shared" si="653"/>
        <v>0</v>
      </c>
      <c r="AE842" s="156">
        <f t="shared" si="654"/>
        <v>0</v>
      </c>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row>
    <row r="843" spans="2:63" ht="12" thickBot="1" x14ac:dyDescent="0.3">
      <c r="B843" s="1673"/>
      <c r="C843" s="1680"/>
      <c r="D843" s="97" t="str">
        <f>'3.2 Fi&amp;Fo'!$E$72</f>
        <v>Hilfsstrom Klimatisierung</v>
      </c>
      <c r="E843" s="97"/>
      <c r="F843" s="9"/>
      <c r="G843" s="116"/>
      <c r="H843" s="9"/>
      <c r="I843" s="9"/>
      <c r="J843" s="116"/>
      <c r="K843" s="5">
        <f ca="1">SUBTOTAL(109,'3.4 Fi&amp;Fo'!$K$72)</f>
        <v>0</v>
      </c>
      <c r="L843" s="5" t="str">
        <f>'2. Energie KW.'!F117</f>
        <v>Strom</v>
      </c>
      <c r="M843" s="9"/>
      <c r="N843" s="179"/>
      <c r="O843" s="22"/>
      <c r="P843" s="30">
        <f t="shared" si="658"/>
        <v>0</v>
      </c>
      <c r="Q843" s="31">
        <f t="shared" si="659"/>
        <v>0</v>
      </c>
      <c r="R843" s="31">
        <f t="shared" si="660"/>
        <v>0</v>
      </c>
      <c r="S843" s="31">
        <f t="shared" si="661"/>
        <v>0</v>
      </c>
      <c r="T843" s="32">
        <f t="shared" si="662"/>
        <v>0</v>
      </c>
      <c r="U843" s="37">
        <f t="shared" si="648"/>
        <v>0</v>
      </c>
      <c r="V843" s="40">
        <f t="shared" si="655"/>
        <v>0</v>
      </c>
      <c r="W843" s="41">
        <f t="shared" si="656"/>
        <v>0</v>
      </c>
      <c r="X843" s="43">
        <f t="shared" ca="1" si="651"/>
        <v>0</v>
      </c>
      <c r="Y843" s="46"/>
      <c r="Z843" s="128"/>
      <c r="AA843" s="136">
        <f t="shared" ca="1" si="657"/>
        <v>0</v>
      </c>
      <c r="AB843" s="3"/>
      <c r="AC843" s="156">
        <f t="shared" si="652"/>
        <v>0</v>
      </c>
      <c r="AD843" s="156">
        <f t="shared" si="653"/>
        <v>0</v>
      </c>
      <c r="AE843" s="156">
        <f t="shared" si="654"/>
        <v>0</v>
      </c>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row>
    <row r="844" spans="2:63" ht="12" thickBot="1" x14ac:dyDescent="0.3">
      <c r="B844" s="1673"/>
      <c r="C844" s="1680"/>
      <c r="D844" s="97" t="str">
        <f>'3.2 Fi&amp;Fo'!$E$73</f>
        <v>Hilfsstrom Lüftung</v>
      </c>
      <c r="E844" s="97"/>
      <c r="F844" s="9"/>
      <c r="G844" s="116"/>
      <c r="H844" s="9"/>
      <c r="I844" s="9"/>
      <c r="J844" s="116"/>
      <c r="K844" s="5">
        <f>SUBTOTAL(109,'3.4 Fi&amp;Fo'!$K$73)</f>
        <v>701.8057728</v>
      </c>
      <c r="L844" s="5" t="str">
        <f>'2. Energie KW.'!F118</f>
        <v>Strom</v>
      </c>
      <c r="M844" s="9"/>
      <c r="N844" s="179"/>
      <c r="O844" s="22"/>
      <c r="P844" s="30">
        <f t="shared" si="658"/>
        <v>0</v>
      </c>
      <c r="Q844" s="31">
        <f t="shared" si="659"/>
        <v>0</v>
      </c>
      <c r="R844" s="31">
        <f t="shared" si="660"/>
        <v>0</v>
      </c>
      <c r="S844" s="31">
        <f t="shared" si="661"/>
        <v>0</v>
      </c>
      <c r="T844" s="32">
        <f t="shared" si="662"/>
        <v>0</v>
      </c>
      <c r="U844" s="37">
        <f t="shared" si="648"/>
        <v>0</v>
      </c>
      <c r="V844" s="40">
        <f t="shared" si="655"/>
        <v>0</v>
      </c>
      <c r="W844" s="41">
        <f t="shared" si="656"/>
        <v>0</v>
      </c>
      <c r="X844" s="43">
        <f t="shared" si="651"/>
        <v>26200.953572709019</v>
      </c>
      <c r="Y844" s="46"/>
      <c r="Z844" s="128"/>
      <c r="AA844" s="136">
        <f t="shared" si="657"/>
        <v>0</v>
      </c>
      <c r="AB844" s="3"/>
      <c r="AC844" s="156">
        <f t="shared" si="652"/>
        <v>0</v>
      </c>
      <c r="AD844" s="156">
        <f t="shared" si="653"/>
        <v>0</v>
      </c>
      <c r="AE844" s="156">
        <f t="shared" si="654"/>
        <v>0</v>
      </c>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row>
    <row r="845" spans="2:63" ht="12" thickBot="1" x14ac:dyDescent="0.3">
      <c r="B845" s="1673"/>
      <c r="C845" s="1680"/>
      <c r="D845" s="97" t="str">
        <f>'3.2 Fi&amp;Fo'!$E$74</f>
        <v>Hilfsstrom Kühlung</v>
      </c>
      <c r="E845" s="97"/>
      <c r="F845" s="9"/>
      <c r="G845" s="116"/>
      <c r="H845" s="9"/>
      <c r="I845" s="9"/>
      <c r="J845" s="116"/>
      <c r="K845" s="5">
        <f ca="1">SUBTOTAL(109,'3.4 Fi&amp;Fo'!$K$74)</f>
        <v>0</v>
      </c>
      <c r="L845" s="5" t="str">
        <f>'2. Energie KW.'!F119</f>
        <v>Strom</v>
      </c>
      <c r="M845" s="9"/>
      <c r="N845" s="179"/>
      <c r="O845" s="22"/>
      <c r="P845" s="30">
        <f t="shared" si="658"/>
        <v>0</v>
      </c>
      <c r="Q845" s="31">
        <f t="shared" si="659"/>
        <v>0</v>
      </c>
      <c r="R845" s="31">
        <f t="shared" si="660"/>
        <v>0</v>
      </c>
      <c r="S845" s="31">
        <f t="shared" si="661"/>
        <v>0</v>
      </c>
      <c r="T845" s="32">
        <f t="shared" si="662"/>
        <v>0</v>
      </c>
      <c r="U845" s="37">
        <f t="shared" si="648"/>
        <v>0</v>
      </c>
      <c r="V845" s="40">
        <f t="shared" si="655"/>
        <v>0</v>
      </c>
      <c r="W845" s="41">
        <f t="shared" si="656"/>
        <v>0</v>
      </c>
      <c r="X845" s="43">
        <f t="shared" ca="1" si="651"/>
        <v>0</v>
      </c>
      <c r="Y845" s="46"/>
      <c r="Z845" s="128"/>
      <c r="AA845" s="136">
        <f t="shared" ca="1" si="657"/>
        <v>0</v>
      </c>
      <c r="AB845" s="3"/>
      <c r="AC845" s="156">
        <f t="shared" si="652"/>
        <v>0</v>
      </c>
      <c r="AD845" s="156">
        <f t="shared" si="653"/>
        <v>0</v>
      </c>
      <c r="AE845" s="156">
        <f t="shared" si="654"/>
        <v>0</v>
      </c>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row>
    <row r="846" spans="2:63" ht="12" thickBot="1" x14ac:dyDescent="0.3">
      <c r="B846" s="1673"/>
      <c r="C846" s="1680"/>
      <c r="D846" s="97" t="str">
        <f>'3.2 Fi&amp;Fo'!$E$75</f>
        <v>Beleuchtung</v>
      </c>
      <c r="E846" s="97"/>
      <c r="F846" s="9"/>
      <c r="G846" s="116"/>
      <c r="H846" s="9"/>
      <c r="I846" s="9"/>
      <c r="J846" s="116"/>
      <c r="K846" s="5">
        <f ca="1">SUBTOTAL(109,'3.4 Fi&amp;Fo'!$K$75)</f>
        <v>0</v>
      </c>
      <c r="L846" s="5" t="str">
        <f>'2. Energie KW.'!F120</f>
        <v>Strom</v>
      </c>
      <c r="M846" s="9"/>
      <c r="N846" s="179"/>
      <c r="O846" s="22"/>
      <c r="P846" s="30">
        <f t="shared" si="658"/>
        <v>0</v>
      </c>
      <c r="Q846" s="31">
        <f t="shared" si="659"/>
        <v>0</v>
      </c>
      <c r="R846" s="31">
        <f t="shared" si="660"/>
        <v>0</v>
      </c>
      <c r="S846" s="31">
        <f t="shared" si="661"/>
        <v>0</v>
      </c>
      <c r="T846" s="32">
        <f t="shared" si="662"/>
        <v>0</v>
      </c>
      <c r="U846" s="37">
        <f t="shared" si="648"/>
        <v>0</v>
      </c>
      <c r="V846" s="40">
        <f t="shared" si="655"/>
        <v>0</v>
      </c>
      <c r="W846" s="41">
        <f t="shared" si="656"/>
        <v>0</v>
      </c>
      <c r="X846" s="43">
        <f t="shared" ca="1" si="651"/>
        <v>0</v>
      </c>
      <c r="Y846" s="46"/>
      <c r="Z846" s="128"/>
      <c r="AA846" s="136">
        <f t="shared" ca="1" si="657"/>
        <v>0</v>
      </c>
      <c r="AB846" s="3"/>
      <c r="AC846" s="156">
        <f t="shared" si="652"/>
        <v>0</v>
      </c>
      <c r="AD846" s="156">
        <f t="shared" si="653"/>
        <v>0</v>
      </c>
      <c r="AE846" s="156">
        <f t="shared" si="654"/>
        <v>0</v>
      </c>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row>
    <row r="847" spans="2:63" ht="12" thickBot="1" x14ac:dyDescent="0.3">
      <c r="B847" s="1673"/>
      <c r="C847" s="1680"/>
      <c r="D847" s="97" t="str">
        <f>'3.2 Fi&amp;Fo'!$E$76</f>
        <v>EDV</v>
      </c>
      <c r="E847" s="97"/>
      <c r="F847" s="9"/>
      <c r="G847" s="116"/>
      <c r="H847" s="9"/>
      <c r="I847" s="9"/>
      <c r="J847" s="116"/>
      <c r="K847" s="5">
        <f ca="1">SUBTOTAL(109,'3.4 Fi&amp;Fo'!$K$76)</f>
        <v>0</v>
      </c>
      <c r="L847" s="5" t="str">
        <f>'2. Energie KW.'!F121</f>
        <v>Strom</v>
      </c>
      <c r="M847" s="9"/>
      <c r="N847" s="179"/>
      <c r="O847" s="22"/>
      <c r="P847" s="30">
        <f t="shared" si="658"/>
        <v>0</v>
      </c>
      <c r="Q847" s="31">
        <f t="shared" si="659"/>
        <v>0</v>
      </c>
      <c r="R847" s="31">
        <f t="shared" si="660"/>
        <v>0</v>
      </c>
      <c r="S847" s="31">
        <f t="shared" si="661"/>
        <v>0</v>
      </c>
      <c r="T847" s="32">
        <f t="shared" si="662"/>
        <v>0</v>
      </c>
      <c r="U847" s="37">
        <f t="shared" si="648"/>
        <v>0</v>
      </c>
      <c r="V847" s="40">
        <f t="shared" si="655"/>
        <v>0</v>
      </c>
      <c r="W847" s="41">
        <f t="shared" si="656"/>
        <v>0</v>
      </c>
      <c r="X847" s="43">
        <f t="shared" ca="1" si="651"/>
        <v>0</v>
      </c>
      <c r="Y847" s="46"/>
      <c r="Z847" s="128"/>
      <c r="AA847" s="136">
        <f t="shared" ca="1" si="657"/>
        <v>0</v>
      </c>
      <c r="AB847" s="3"/>
      <c r="AC847" s="156">
        <f t="shared" si="652"/>
        <v>0</v>
      </c>
      <c r="AD847" s="156">
        <f t="shared" si="653"/>
        <v>0</v>
      </c>
      <c r="AE847" s="156">
        <f t="shared" si="654"/>
        <v>0</v>
      </c>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row>
    <row r="848" spans="2:63" ht="12" thickBot="1" x14ac:dyDescent="0.3">
      <c r="B848" s="1673"/>
      <c r="C848" s="1680"/>
      <c r="D848" s="97" t="str">
        <f>'3.2 Fi&amp;Fo'!$E$77</f>
        <v>Haushaltsstrom</v>
      </c>
      <c r="E848" s="97"/>
      <c r="F848" s="9"/>
      <c r="G848" s="116"/>
      <c r="H848" s="9"/>
      <c r="I848" s="9"/>
      <c r="J848" s="116"/>
      <c r="K848" s="5">
        <f ca="1">SUBTOTAL(109,'3.4 Fi&amp;Fo'!$K$77)</f>
        <v>5482.8576000000003</v>
      </c>
      <c r="L848" s="5" t="str">
        <f>'2. Energie KW.'!F122</f>
        <v>Strom</v>
      </c>
      <c r="M848" s="9"/>
      <c r="N848" s="179"/>
      <c r="O848" s="22"/>
      <c r="P848" s="30">
        <f t="shared" si="658"/>
        <v>0</v>
      </c>
      <c r="Q848" s="31">
        <f t="shared" si="659"/>
        <v>0</v>
      </c>
      <c r="R848" s="31">
        <f t="shared" si="660"/>
        <v>0</v>
      </c>
      <c r="S848" s="31">
        <f t="shared" si="661"/>
        <v>0</v>
      </c>
      <c r="T848" s="32">
        <f t="shared" si="662"/>
        <v>0</v>
      </c>
      <c r="U848" s="37">
        <f t="shared" si="648"/>
        <v>0</v>
      </c>
      <c r="V848" s="40">
        <f t="shared" si="655"/>
        <v>0</v>
      </c>
      <c r="W848" s="41">
        <f t="shared" si="656"/>
        <v>0</v>
      </c>
      <c r="X848" s="43">
        <f t="shared" ca="1" si="651"/>
        <v>204694.94978678922</v>
      </c>
      <c r="Y848" s="46"/>
      <c r="Z848" s="128"/>
      <c r="AA848" s="136">
        <f t="shared" ca="1" si="657"/>
        <v>0</v>
      </c>
      <c r="AB848" s="3"/>
      <c r="AC848" s="156">
        <f t="shared" si="652"/>
        <v>0</v>
      </c>
      <c r="AD848" s="156">
        <f t="shared" si="653"/>
        <v>0</v>
      </c>
      <c r="AE848" s="156">
        <f t="shared" si="654"/>
        <v>0</v>
      </c>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row>
    <row r="849" spans="2:63" ht="12" thickBot="1" x14ac:dyDescent="0.3">
      <c r="B849" s="1673"/>
      <c r="C849" s="1680"/>
      <c r="D849" s="97" t="str">
        <f>'3.2 Fi&amp;Fo'!$E$78</f>
        <v>Befeuchten</v>
      </c>
      <c r="E849" s="97"/>
      <c r="F849" s="9"/>
      <c r="G849" s="116"/>
      <c r="H849" s="9"/>
      <c r="I849" s="9"/>
      <c r="J849" s="116"/>
      <c r="K849" s="5">
        <f ca="1">SUBTOTAL(109,'3.4 Fi&amp;Fo'!$K$78)</f>
        <v>0</v>
      </c>
      <c r="L849" s="5">
        <f ca="1">'2. Energie KW.'!F123</f>
        <v>0</v>
      </c>
      <c r="M849" s="9"/>
      <c r="N849" s="179"/>
      <c r="O849" s="22"/>
      <c r="P849" s="30">
        <f t="shared" si="658"/>
        <v>0</v>
      </c>
      <c r="Q849" s="31">
        <f t="shared" si="659"/>
        <v>0</v>
      </c>
      <c r="R849" s="31">
        <f t="shared" si="660"/>
        <v>0</v>
      </c>
      <c r="S849" s="31">
        <f t="shared" si="661"/>
        <v>0</v>
      </c>
      <c r="T849" s="32">
        <f t="shared" si="662"/>
        <v>0</v>
      </c>
      <c r="U849" s="37">
        <f t="shared" si="648"/>
        <v>0</v>
      </c>
      <c r="V849" s="40">
        <f t="shared" si="655"/>
        <v>0</v>
      </c>
      <c r="W849" s="41">
        <f t="shared" si="656"/>
        <v>0</v>
      </c>
      <c r="X849" s="43">
        <f t="shared" ca="1" si="651"/>
        <v>0</v>
      </c>
      <c r="Y849" s="46"/>
      <c r="Z849" s="128"/>
      <c r="AA849" s="136">
        <f t="shared" ca="1" si="657"/>
        <v>0</v>
      </c>
      <c r="AB849" s="3"/>
      <c r="AC849" s="156">
        <f t="shared" ca="1" si="652"/>
        <v>0</v>
      </c>
      <c r="AD849" s="156">
        <f t="shared" ca="1" si="653"/>
        <v>0</v>
      </c>
      <c r="AE849" s="156">
        <f t="shared" ca="1" si="654"/>
        <v>0</v>
      </c>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row>
    <row r="850" spans="2:63" ht="12" thickBot="1" x14ac:dyDescent="0.3">
      <c r="B850" s="1673"/>
      <c r="C850" s="1680"/>
      <c r="D850" s="97" t="str">
        <f>'3.2 Fi&amp;Fo'!$E$79</f>
        <v>Entfeuchten</v>
      </c>
      <c r="E850" s="97"/>
      <c r="F850" s="9"/>
      <c r="G850" s="116"/>
      <c r="H850" s="9"/>
      <c r="I850" s="9"/>
      <c r="J850" s="116"/>
      <c r="K850" s="5">
        <f ca="1">SUBTOTAL(109,'3.4 Fi&amp;Fo'!$K$79)</f>
        <v>0</v>
      </c>
      <c r="L850" s="5">
        <f ca="1">'2. Energie KW.'!F124</f>
        <v>0</v>
      </c>
      <c r="M850" s="9"/>
      <c r="N850" s="179"/>
      <c r="O850" s="22"/>
      <c r="P850" s="30">
        <f t="shared" si="658"/>
        <v>0</v>
      </c>
      <c r="Q850" s="31">
        <f t="shared" si="659"/>
        <v>0</v>
      </c>
      <c r="R850" s="31">
        <f t="shared" si="660"/>
        <v>0</v>
      </c>
      <c r="S850" s="31">
        <f t="shared" si="661"/>
        <v>0</v>
      </c>
      <c r="T850" s="32">
        <f t="shared" si="662"/>
        <v>0</v>
      </c>
      <c r="U850" s="37">
        <f t="shared" si="648"/>
        <v>0</v>
      </c>
      <c r="V850" s="40">
        <f t="shared" si="655"/>
        <v>0</v>
      </c>
      <c r="W850" s="41">
        <f t="shared" si="656"/>
        <v>0</v>
      </c>
      <c r="X850" s="43">
        <f t="shared" ca="1" si="651"/>
        <v>0</v>
      </c>
      <c r="Y850" s="46"/>
      <c r="Z850" s="128"/>
      <c r="AA850" s="136">
        <f t="shared" ca="1" si="657"/>
        <v>0</v>
      </c>
      <c r="AB850" s="3"/>
      <c r="AC850" s="156">
        <f t="shared" ca="1" si="652"/>
        <v>0</v>
      </c>
      <c r="AD850" s="156">
        <f t="shared" ca="1" si="653"/>
        <v>0</v>
      </c>
      <c r="AE850" s="156">
        <f t="shared" ca="1" si="654"/>
        <v>0</v>
      </c>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row>
    <row r="851" spans="2:63" ht="12" thickBot="1" x14ac:dyDescent="0.3">
      <c r="B851" s="1673"/>
      <c r="C851" s="1680"/>
      <c r="D851" s="97" t="str">
        <f>'3.2 Fi&amp;Fo'!$E$80</f>
        <v>Sonstiges</v>
      </c>
      <c r="E851" s="97"/>
      <c r="F851" s="9"/>
      <c r="G851" s="116"/>
      <c r="H851" s="9"/>
      <c r="I851" s="9"/>
      <c r="J851" s="116"/>
      <c r="K851" s="5">
        <f ca="1">SUBTOTAL(109,'3.4 Fi&amp;Fo'!$K$80)</f>
        <v>0</v>
      </c>
      <c r="L851" s="5">
        <f ca="1">'2. Energie KW.'!F125</f>
        <v>0</v>
      </c>
      <c r="M851" s="9"/>
      <c r="N851" s="179"/>
      <c r="O851" s="22"/>
      <c r="P851" s="30">
        <f t="shared" si="658"/>
        <v>0</v>
      </c>
      <c r="Q851" s="31">
        <f t="shared" si="659"/>
        <v>0</v>
      </c>
      <c r="R851" s="31">
        <f t="shared" si="660"/>
        <v>0</v>
      </c>
      <c r="S851" s="31">
        <f t="shared" si="661"/>
        <v>0</v>
      </c>
      <c r="T851" s="32">
        <f t="shared" si="662"/>
        <v>0</v>
      </c>
      <c r="U851" s="37">
        <f t="shared" si="648"/>
        <v>0</v>
      </c>
      <c r="V851" s="40">
        <f t="shared" si="655"/>
        <v>0</v>
      </c>
      <c r="W851" s="41">
        <f t="shared" si="656"/>
        <v>0</v>
      </c>
      <c r="X851" s="43">
        <f t="shared" ca="1" si="651"/>
        <v>0</v>
      </c>
      <c r="Y851" s="46"/>
      <c r="Z851" s="128"/>
      <c r="AA851" s="136">
        <f t="shared" ca="1" si="657"/>
        <v>0</v>
      </c>
      <c r="AB851" s="3"/>
      <c r="AC851" s="156">
        <f t="shared" ca="1" si="652"/>
        <v>0</v>
      </c>
      <c r="AD851" s="156">
        <f t="shared" ca="1" si="653"/>
        <v>0</v>
      </c>
      <c r="AE851" s="156">
        <f t="shared" ca="1" si="654"/>
        <v>0</v>
      </c>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row>
    <row r="852" spans="2:63" ht="12" thickBot="1" x14ac:dyDescent="0.3">
      <c r="B852" s="1673"/>
      <c r="C852" s="1680"/>
      <c r="D852" s="97" t="str">
        <f>'3.2 Fi&amp;Fo'!$E$84</f>
        <v>Eigennutzung PV</v>
      </c>
      <c r="E852" s="97"/>
      <c r="F852" s="9"/>
      <c r="G852" s="116"/>
      <c r="H852" s="9"/>
      <c r="I852" s="9"/>
      <c r="J852" s="116"/>
      <c r="K852" s="5"/>
      <c r="L852" s="5"/>
      <c r="M852" s="9"/>
      <c r="N852" s="179"/>
      <c r="O852" s="22"/>
      <c r="P852" s="30">
        <f t="shared" si="658"/>
        <v>0</v>
      </c>
      <c r="Q852" s="31">
        <f t="shared" si="659"/>
        <v>0</v>
      </c>
      <c r="R852" s="31">
        <f t="shared" si="660"/>
        <v>0</v>
      </c>
      <c r="S852" s="31">
        <f t="shared" si="661"/>
        <v>0</v>
      </c>
      <c r="T852" s="32">
        <f t="shared" si="662"/>
        <v>0</v>
      </c>
      <c r="U852" s="37">
        <f t="shared" si="648"/>
        <v>0</v>
      </c>
      <c r="V852" s="40">
        <f t="shared" si="655"/>
        <v>0</v>
      </c>
      <c r="W852" s="41">
        <f t="shared" si="656"/>
        <v>0</v>
      </c>
      <c r="X852" s="43">
        <f t="shared" si="651"/>
        <v>0</v>
      </c>
      <c r="Y852" s="46"/>
      <c r="Z852" s="128"/>
      <c r="AA852" s="136">
        <f t="shared" si="657"/>
        <v>0</v>
      </c>
      <c r="AB852" s="3"/>
      <c r="AC852" s="156">
        <f t="shared" si="652"/>
        <v>0</v>
      </c>
      <c r="AD852" s="156">
        <f t="shared" si="653"/>
        <v>0</v>
      </c>
      <c r="AE852" s="156">
        <f t="shared" si="654"/>
        <v>0</v>
      </c>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row>
    <row r="853" spans="2:63" ht="12" thickBot="1" x14ac:dyDescent="0.3">
      <c r="B853" s="1673"/>
      <c r="C853" s="1680"/>
      <c r="D853" s="97" t="str">
        <f>'3.2 Fi&amp;Fo'!$E$85</f>
        <v>Stromeinspeisung PV</v>
      </c>
      <c r="E853" s="97"/>
      <c r="F853" s="9"/>
      <c r="G853" s="116"/>
      <c r="H853" s="9"/>
      <c r="I853" s="9"/>
      <c r="J853" s="116"/>
      <c r="K853" s="5"/>
      <c r="L853" s="5"/>
      <c r="M853" s="9"/>
      <c r="N853" s="179"/>
      <c r="O853" s="22"/>
      <c r="P853" s="30">
        <f t="shared" si="658"/>
        <v>0</v>
      </c>
      <c r="Q853" s="31">
        <f t="shared" si="659"/>
        <v>0</v>
      </c>
      <c r="R853" s="31">
        <f t="shared" si="660"/>
        <v>0</v>
      </c>
      <c r="S853" s="31">
        <f t="shared" si="661"/>
        <v>0</v>
      </c>
      <c r="T853" s="32">
        <f t="shared" si="662"/>
        <v>0</v>
      </c>
      <c r="U853" s="37">
        <f t="shared" si="648"/>
        <v>0</v>
      </c>
      <c r="V853" s="40">
        <f t="shared" si="655"/>
        <v>0</v>
      </c>
      <c r="W853" s="41">
        <f t="shared" si="656"/>
        <v>0</v>
      </c>
      <c r="X853" s="43">
        <f t="shared" si="651"/>
        <v>0</v>
      </c>
      <c r="Y853" s="46"/>
      <c r="Z853" s="128"/>
      <c r="AA853" s="136">
        <f t="shared" si="657"/>
        <v>0</v>
      </c>
      <c r="AB853" s="3"/>
      <c r="AC853" s="156">
        <f t="shared" si="652"/>
        <v>0</v>
      </c>
      <c r="AD853" s="156">
        <f t="shared" si="653"/>
        <v>0</v>
      </c>
      <c r="AE853" s="156">
        <f t="shared" si="654"/>
        <v>0</v>
      </c>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row>
    <row r="854" spans="2:63" ht="12" thickBot="1" x14ac:dyDescent="0.3">
      <c r="B854" s="1673"/>
      <c r="C854" s="1680"/>
      <c r="D854" s="16" t="str">
        <f>'3.2 Fi&amp;Fo'!$D$89</f>
        <v>Wasser und Abwasser</v>
      </c>
      <c r="E854" s="97"/>
      <c r="F854" s="9"/>
      <c r="G854" s="116"/>
      <c r="H854" s="9"/>
      <c r="I854" s="9"/>
      <c r="J854" s="5">
        <f>SUBTOTAL(109,'3.4 Fi&amp;Fo'!$K$89)</f>
        <v>0</v>
      </c>
      <c r="K854" s="5"/>
      <c r="L854" s="5"/>
      <c r="M854" s="9"/>
      <c r="N854" s="179"/>
      <c r="O854" s="22"/>
      <c r="P854" s="30">
        <f t="shared" si="658"/>
        <v>0</v>
      </c>
      <c r="Q854" s="31">
        <f t="shared" si="659"/>
        <v>0</v>
      </c>
      <c r="R854" s="31">
        <f t="shared" si="660"/>
        <v>0</v>
      </c>
      <c r="S854" s="31">
        <f t="shared" si="661"/>
        <v>0</v>
      </c>
      <c r="T854" s="32">
        <f t="shared" si="662"/>
        <v>0</v>
      </c>
      <c r="U854" s="37">
        <f t="shared" si="648"/>
        <v>0</v>
      </c>
      <c r="V854" s="40">
        <f t="shared" si="655"/>
        <v>0</v>
      </c>
      <c r="W854" s="41">
        <f t="shared" si="656"/>
        <v>0</v>
      </c>
      <c r="X854" s="43"/>
      <c r="Y854" s="46"/>
      <c r="Z854" s="128"/>
      <c r="AA854" s="136">
        <f t="shared" si="657"/>
        <v>0</v>
      </c>
      <c r="AB854" s="3"/>
      <c r="AC854" s="157">
        <f t="shared" si="652"/>
        <v>0</v>
      </c>
      <c r="AD854" s="157">
        <f t="shared" si="653"/>
        <v>0</v>
      </c>
      <c r="AE854" s="157">
        <f t="shared" si="654"/>
        <v>0</v>
      </c>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row>
    <row r="855" spans="2:63" ht="12" thickBot="1" x14ac:dyDescent="0.3">
      <c r="B855" s="1673"/>
      <c r="C855" s="1680"/>
      <c r="D855" s="16" t="str">
        <f>'3.2 Fi&amp;Fo'!$D$93</f>
        <v>Reinigung und Pflege</v>
      </c>
      <c r="E855" s="97"/>
      <c r="F855" s="9"/>
      <c r="G855" s="116"/>
      <c r="H855" s="9"/>
      <c r="I855" s="9"/>
      <c r="J855" s="5">
        <f>SUBTOTAL(109,'3.4 Fi&amp;Fo'!$K$93)</f>
        <v>0</v>
      </c>
      <c r="K855" s="116"/>
      <c r="L855" s="116"/>
      <c r="M855" s="9"/>
      <c r="N855" s="179"/>
      <c r="O855" s="22"/>
      <c r="P855" s="30">
        <f t="shared" si="658"/>
        <v>0</v>
      </c>
      <c r="Q855" s="31">
        <f t="shared" si="659"/>
        <v>0</v>
      </c>
      <c r="R855" s="31">
        <f t="shared" si="660"/>
        <v>0</v>
      </c>
      <c r="S855" s="31">
        <f t="shared" si="661"/>
        <v>0</v>
      </c>
      <c r="T855" s="32">
        <f t="shared" si="662"/>
        <v>0</v>
      </c>
      <c r="U855" s="37">
        <f t="shared" si="648"/>
        <v>0</v>
      </c>
      <c r="V855" s="40">
        <f t="shared" si="655"/>
        <v>0</v>
      </c>
      <c r="W855" s="41">
        <f t="shared" si="656"/>
        <v>0</v>
      </c>
      <c r="X855" s="43"/>
      <c r="Y855" s="46"/>
      <c r="Z855" s="129"/>
      <c r="AA855" s="155"/>
      <c r="AB855" s="161" t="s">
        <v>285</v>
      </c>
      <c r="AC855" s="158">
        <f ca="1">SUM(AC833:AC854)</f>
        <v>0</v>
      </c>
      <c r="AD855" s="159">
        <f ca="1">SUM(AD833:AD854)</f>
        <v>0</v>
      </c>
      <c r="AE855" s="160">
        <f ca="1">SUM(AE833:AE854)</f>
        <v>0</v>
      </c>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row>
    <row r="856" spans="2:63" ht="12" thickBot="1" x14ac:dyDescent="0.3">
      <c r="B856" s="1673"/>
      <c r="C856" s="1680"/>
      <c r="D856" s="16" t="s">
        <v>344</v>
      </c>
      <c r="E856" s="97"/>
      <c r="F856" s="9"/>
      <c r="G856" s="116"/>
      <c r="H856" s="9"/>
      <c r="I856" s="9"/>
      <c r="J856" s="5">
        <f>SUBTOTAL(109,'3.4 Fi&amp;Fo'!$K$100)</f>
        <v>0</v>
      </c>
      <c r="K856" s="116"/>
      <c r="L856" s="116"/>
      <c r="M856" s="9"/>
      <c r="N856" s="179"/>
      <c r="O856" s="22"/>
      <c r="P856" s="30">
        <f t="shared" si="658"/>
        <v>0</v>
      </c>
      <c r="Q856" s="31">
        <f t="shared" si="659"/>
        <v>0</v>
      </c>
      <c r="R856" s="31">
        <f t="shared" si="660"/>
        <v>0</v>
      </c>
      <c r="S856" s="31">
        <f t="shared" si="661"/>
        <v>0</v>
      </c>
      <c r="T856" s="32">
        <f t="shared" si="662"/>
        <v>0</v>
      </c>
      <c r="U856" s="37">
        <f t="shared" si="648"/>
        <v>0</v>
      </c>
      <c r="V856" s="40">
        <f t="shared" si="655"/>
        <v>0</v>
      </c>
      <c r="W856" s="41">
        <f t="shared" si="656"/>
        <v>0</v>
      </c>
      <c r="X856" s="43"/>
      <c r="Y856" s="46"/>
      <c r="Z856" s="129"/>
      <c r="AA856" s="136"/>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row>
    <row r="857" spans="2:63" ht="12" thickBot="1" x14ac:dyDescent="0.3">
      <c r="B857" s="1673"/>
      <c r="C857" s="1680"/>
      <c r="D857" s="97" t="s">
        <v>272</v>
      </c>
      <c r="E857" s="97"/>
      <c r="F857" s="9"/>
      <c r="G857" s="116"/>
      <c r="H857" s="9"/>
      <c r="I857" s="9"/>
      <c r="J857" s="5">
        <f>SUBTOTAL(109,'3.4 Fi&amp;Fo'!$K$104)</f>
        <v>0</v>
      </c>
      <c r="K857" s="116"/>
      <c r="L857" s="116"/>
      <c r="M857" s="9"/>
      <c r="N857" s="179"/>
      <c r="O857" s="22"/>
      <c r="P857" s="30">
        <f>IF(N857&gt;=1,O857*$G$158^(1*M857)/($G$157^(1*M857)),0)</f>
        <v>0</v>
      </c>
      <c r="Q857" s="31">
        <f>IF(N857&gt;=2,O857*$G$158^(2*M857)/($G$157^(2*M857)),0)</f>
        <v>0</v>
      </c>
      <c r="R857" s="31">
        <f>IF(N857&gt;=3,O857*$G$158^(3*M857)/($G$157^(3*M857)),0)</f>
        <v>0</v>
      </c>
      <c r="S857" s="31">
        <f>IF(N857&gt;=4,O857*$G$158^(4*M857)/($G$157^(4*M857)),0)</f>
        <v>0</v>
      </c>
      <c r="T857" s="32">
        <f>IF(N857&gt;=5,O857*$G$158^(5*M857)/($G$157^(5*M857)),0)</f>
        <v>0</v>
      </c>
      <c r="U857" s="37">
        <f t="shared" si="648"/>
        <v>0</v>
      </c>
      <c r="V857" s="40">
        <f t="shared" si="655"/>
        <v>0</v>
      </c>
      <c r="W857" s="41">
        <f t="shared" si="656"/>
        <v>0</v>
      </c>
      <c r="X857" s="43"/>
      <c r="Y857" s="46"/>
      <c r="Z857" s="129"/>
      <c r="AA857" s="136"/>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row>
    <row r="858" spans="2:63" ht="12" thickBot="1" x14ac:dyDescent="0.3">
      <c r="B858" s="1673"/>
      <c r="C858" s="1680"/>
      <c r="D858" s="97" t="s">
        <v>272</v>
      </c>
      <c r="E858" s="97"/>
      <c r="F858" s="9"/>
      <c r="G858" s="116"/>
      <c r="H858" s="9"/>
      <c r="I858" s="9"/>
      <c r="J858" s="5">
        <f>SUBTOTAL(109,'3.4 Fi&amp;Fo'!$K$105)</f>
        <v>0</v>
      </c>
      <c r="K858" s="116"/>
      <c r="L858" s="116"/>
      <c r="M858" s="9"/>
      <c r="N858" s="179"/>
      <c r="O858" s="22"/>
      <c r="P858" s="30">
        <f>IF(N858&gt;=1,O858*$G$158^(1*M858)/($G$157^(1*M858)),0)</f>
        <v>0</v>
      </c>
      <c r="Q858" s="31">
        <f>IF(N858&gt;=2,O858*$G$158^(2*M858)/($G$157^(2*M858)),0)</f>
        <v>0</v>
      </c>
      <c r="R858" s="31">
        <f>IF(N858&gt;=3,O858*$G$158^(3*M858)/($G$157^(3*M858)),0)</f>
        <v>0</v>
      </c>
      <c r="S858" s="31">
        <f>IF(N858&gt;=4,O858*$G$158^(4*M858)/($G$157^(4*M858)),0)</f>
        <v>0</v>
      </c>
      <c r="T858" s="32">
        <f>IF(N858&gt;=5,O858*$G$158^(5*M858)/($G$157^(5*M858)),0)</f>
        <v>0</v>
      </c>
      <c r="U858" s="37">
        <f t="shared" si="648"/>
        <v>0</v>
      </c>
      <c r="V858" s="40">
        <f t="shared" si="655"/>
        <v>0</v>
      </c>
      <c r="W858" s="41">
        <f t="shared" si="656"/>
        <v>0</v>
      </c>
      <c r="X858" s="43"/>
      <c r="Y858" s="46"/>
      <c r="Z858" s="129"/>
      <c r="AA858" s="136"/>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row>
    <row r="859" spans="2:63" ht="12" thickBot="1" x14ac:dyDescent="0.3">
      <c r="B859" s="1673"/>
      <c r="C859" s="1680"/>
      <c r="D859" s="98" t="s">
        <v>272</v>
      </c>
      <c r="E859" s="97"/>
      <c r="F859" s="19"/>
      <c r="G859" s="63"/>
      <c r="H859" s="19"/>
      <c r="I859" s="19"/>
      <c r="J859" s="5">
        <f>SUBTOTAL(109,'3.4 Fi&amp;Fo'!$K$106)</f>
        <v>0</v>
      </c>
      <c r="K859" s="116"/>
      <c r="L859" s="116"/>
      <c r="M859" s="9"/>
      <c r="N859" s="179"/>
      <c r="O859" s="22"/>
      <c r="P859" s="30">
        <f>IF(N859&gt;=1,O859*$G$158^(1*M859)/($G$157^(1*M859)),0)</f>
        <v>0</v>
      </c>
      <c r="Q859" s="31">
        <f>IF(N859&gt;=2,O859*$G$158^(2*M859)/($G$157^(2*M859)),0)</f>
        <v>0</v>
      </c>
      <c r="R859" s="31">
        <f>IF(N859&gt;=3,O859*$G$158^(3*M859)/($G$157^(3*M859)),0)</f>
        <v>0</v>
      </c>
      <c r="S859" s="31">
        <f>IF(N859&gt;=4,O859*$G$158^(4*M859)/($G$157^(4*M859)),0)</f>
        <v>0</v>
      </c>
      <c r="T859" s="32">
        <f>IF(N859&gt;=5,O859*$G$158^(5*M859)/($G$157^(5*M859)),0)</f>
        <v>0</v>
      </c>
      <c r="U859" s="37">
        <f t="shared" si="648"/>
        <v>0</v>
      </c>
      <c r="V859" s="40">
        <f t="shared" si="655"/>
        <v>0</v>
      </c>
      <c r="W859" s="41">
        <f t="shared" si="656"/>
        <v>0</v>
      </c>
      <c r="X859" s="43"/>
      <c r="Y859" s="46"/>
      <c r="Z859" s="129"/>
      <c r="AA859" s="136"/>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row>
    <row r="860" spans="2:63" ht="12" thickBot="1" x14ac:dyDescent="0.3">
      <c r="B860" s="1674"/>
      <c r="C860" s="1681"/>
      <c r="D860" s="330" t="s">
        <v>406</v>
      </c>
      <c r="E860" s="97"/>
      <c r="F860" s="17"/>
      <c r="G860" s="17"/>
      <c r="H860" s="17"/>
      <c r="I860" s="17"/>
      <c r="J860" s="5">
        <f>-SUBTOTAL(109,'3.4 Fi&amp;Fo'!$K$110)</f>
        <v>0</v>
      </c>
      <c r="K860" s="17"/>
      <c r="L860" s="17"/>
      <c r="M860" s="19"/>
      <c r="N860" s="180"/>
      <c r="O860" s="23"/>
      <c r="P860" s="30">
        <f>IF(N860&gt;=1,O860*$G$158^(1*M860)/($G$157^(1*M860)),0)</f>
        <v>0</v>
      </c>
      <c r="Q860" s="31">
        <f>IF(N860&gt;=2,O860*$G$158^(2*M860)/($G$157^(2*M860)),0)</f>
        <v>0</v>
      </c>
      <c r="R860" s="31">
        <f>IF(N860&gt;=3,O860*$G$158^(3*M860)/($G$157^(3*M860)),0)</f>
        <v>0</v>
      </c>
      <c r="S860" s="31">
        <f>IF(N860&gt;=4,O860*$G$158^(4*M860)/($G$157^(4*M860)),0)</f>
        <v>0</v>
      </c>
      <c r="T860" s="32">
        <f>IF(N860&gt;=5,O860*$G$158^(5*M860)/($G$157^(5*M860)),0)</f>
        <v>0</v>
      </c>
      <c r="U860" s="37">
        <f t="shared" si="648"/>
        <v>0</v>
      </c>
      <c r="V860" s="40">
        <f t="shared" si="655"/>
        <v>0</v>
      </c>
      <c r="W860" s="41">
        <f t="shared" si="656"/>
        <v>0</v>
      </c>
      <c r="X860" s="44"/>
      <c r="Y860" s="47"/>
      <c r="Z860" s="130"/>
      <c r="AA860" s="134"/>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row>
    <row r="861" spans="2:63" x14ac:dyDescent="0.25">
      <c r="G861" s="300" t="str">
        <f t="shared" ref="G861" si="663">G721</f>
        <v>Kosten für Instandsetzung</v>
      </c>
      <c r="I861" s="300" t="str">
        <f t="shared" ref="I861:K861" si="664">I721</f>
        <v>Kosten für Wartung</v>
      </c>
      <c r="J861" s="300" t="str">
        <f t="shared" si="664"/>
        <v>Betriebsgebundene Kosten</v>
      </c>
      <c r="K861" s="300" t="str">
        <f t="shared" si="664"/>
        <v>Verbrauchsgebunden Kosten</v>
      </c>
    </row>
    <row r="862" spans="2:63" x14ac:dyDescent="0.25">
      <c r="D862" s="300" t="s">
        <v>581</v>
      </c>
      <c r="G862" s="300">
        <f t="shared" ref="G862" ca="1" si="665">SUM(G723:G860)</f>
        <v>0</v>
      </c>
      <c r="I862" s="300">
        <f t="shared" ref="I862:K862" ca="1" si="666">SUM(I723:I860)</f>
        <v>4493.8999999999996</v>
      </c>
      <c r="J862" s="300">
        <f t="shared" ca="1" si="666"/>
        <v>2996.3999999999996</v>
      </c>
      <c r="K862" s="300">
        <f t="shared" ca="1" si="666"/>
        <v>8469.1298366400006</v>
      </c>
    </row>
    <row r="870" spans="2:64" ht="12" thickBot="1" x14ac:dyDescent="0.3"/>
    <row r="871" spans="2:64" x14ac:dyDescent="0.25">
      <c r="B871" s="1672" t="str">
        <f>G8</f>
        <v>PHWRGSoPV</v>
      </c>
      <c r="C871" s="1675"/>
      <c r="D871" s="1676"/>
      <c r="E871" s="1676"/>
      <c r="F871" s="1676"/>
      <c r="G871" s="1676"/>
      <c r="H871" s="1676"/>
      <c r="I871" s="1676"/>
      <c r="J871" s="1676"/>
      <c r="K871" s="1676"/>
      <c r="L871" s="1676"/>
      <c r="M871" s="1676"/>
      <c r="N871" s="1676"/>
      <c r="O871" s="1676"/>
      <c r="P871" s="1676"/>
      <c r="Q871" s="1676"/>
      <c r="R871" s="1676"/>
      <c r="S871" s="1676"/>
      <c r="T871" s="1676"/>
      <c r="U871" s="1676"/>
      <c r="V871" s="1676"/>
      <c r="W871" s="1676"/>
      <c r="X871" s="1676"/>
      <c r="Y871" s="1676"/>
      <c r="Z871" s="1676"/>
      <c r="AA871" s="1676"/>
      <c r="AB871" s="1676"/>
      <c r="AC871" s="1676"/>
      <c r="AD871" s="1676"/>
      <c r="AE871" s="1676"/>
      <c r="AF871" s="1676"/>
      <c r="AG871" s="1676"/>
      <c r="AH871" s="1676"/>
      <c r="AI871" s="1676"/>
      <c r="AJ871" s="1676"/>
      <c r="AK871" s="1676"/>
      <c r="AL871" s="1676"/>
      <c r="AM871" s="1676"/>
      <c r="AN871" s="1676"/>
      <c r="AO871" s="1676"/>
      <c r="AP871" s="1676"/>
      <c r="AQ871" s="1676"/>
      <c r="AR871" s="1676"/>
      <c r="AS871" s="1676"/>
      <c r="AT871" s="1676"/>
      <c r="AU871" s="1676"/>
      <c r="AV871" s="1676"/>
      <c r="AW871" s="1676"/>
      <c r="AX871" s="1676"/>
      <c r="AY871" s="1676"/>
      <c r="AZ871" s="1676"/>
      <c r="BA871" s="1676"/>
      <c r="BB871" s="1676"/>
      <c r="BC871" s="1676"/>
      <c r="BD871" s="1676"/>
      <c r="BE871" s="1676"/>
      <c r="BF871" s="1676"/>
      <c r="BG871" s="1676"/>
      <c r="BH871" s="1676"/>
      <c r="BI871" s="1676"/>
      <c r="BJ871" s="1676"/>
      <c r="BK871" s="1676"/>
      <c r="BL871" s="1676"/>
    </row>
    <row r="872" spans="2:64" x14ac:dyDescent="0.25">
      <c r="B872" s="1673"/>
      <c r="C872" s="3"/>
      <c r="D872" s="3"/>
      <c r="E872" s="3"/>
      <c r="F872" s="3"/>
      <c r="G872" s="3"/>
      <c r="H872" s="3"/>
      <c r="I872" s="3"/>
      <c r="J872" s="3"/>
      <c r="K872" s="3"/>
      <c r="L872" s="3"/>
      <c r="M872" s="3"/>
      <c r="N872" s="3"/>
      <c r="O872" s="3"/>
      <c r="P872" s="3"/>
      <c r="Q872" s="3"/>
      <c r="R872" s="3"/>
      <c r="S872" s="3"/>
      <c r="T872" s="3"/>
      <c r="U872" s="3"/>
      <c r="V872" s="96"/>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row>
    <row r="873" spans="2:64" x14ac:dyDescent="0.25">
      <c r="B873" s="1673"/>
      <c r="C873" s="3"/>
      <c r="D873" s="3"/>
      <c r="E873" s="3"/>
      <c r="F873" s="3"/>
      <c r="G873" s="3"/>
      <c r="H873" s="3"/>
      <c r="I873" s="3"/>
      <c r="J873" s="3"/>
      <c r="K873" s="3"/>
      <c r="L873" s="3"/>
      <c r="M873" s="3"/>
      <c r="N873" s="3"/>
      <c r="O873" s="3"/>
      <c r="P873" s="3"/>
      <c r="Q873" s="3"/>
      <c r="R873" s="3"/>
      <c r="S873" s="3"/>
      <c r="T873" s="3"/>
      <c r="U873" s="3"/>
      <c r="V873" s="96"/>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row>
    <row r="874" spans="2:64" x14ac:dyDescent="0.25">
      <c r="B874" s="1673"/>
      <c r="C874" s="3"/>
      <c r="D874" s="3"/>
      <c r="E874" s="3"/>
      <c r="F874" s="3"/>
      <c r="G874" s="61"/>
      <c r="H874" s="3"/>
      <c r="I874" s="3"/>
      <c r="J874" s="3"/>
      <c r="K874" s="3"/>
      <c r="L874" s="3"/>
      <c r="M874" s="3"/>
      <c r="N874" s="3"/>
      <c r="O874" s="3"/>
      <c r="P874" s="3"/>
      <c r="Q874" s="3"/>
      <c r="R874" s="3"/>
      <c r="S874" s="3"/>
      <c r="T874" s="3"/>
      <c r="U874" s="3"/>
      <c r="V874" s="96"/>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row>
    <row r="875" spans="2:64" x14ac:dyDescent="0.25">
      <c r="B875" s="1673"/>
      <c r="C875" s="3"/>
      <c r="D875" s="3"/>
      <c r="E875" s="3"/>
      <c r="F875" s="3"/>
      <c r="G875" s="3"/>
      <c r="H875" s="3"/>
      <c r="I875" s="3"/>
      <c r="J875" s="3"/>
      <c r="K875" s="3"/>
      <c r="L875" s="3"/>
      <c r="M875" s="3"/>
      <c r="N875" s="3"/>
      <c r="O875" s="3"/>
      <c r="P875" s="3"/>
      <c r="Q875" s="3"/>
      <c r="R875" s="3"/>
      <c r="S875" s="3"/>
      <c r="T875" s="3"/>
      <c r="U875" s="3"/>
      <c r="V875" s="96"/>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row>
    <row r="876" spans="2:64" x14ac:dyDescent="0.25">
      <c r="B876" s="1673"/>
      <c r="C876" s="3"/>
      <c r="D876" s="3"/>
      <c r="E876" s="3"/>
      <c r="F876" s="3"/>
      <c r="G876" s="3"/>
      <c r="H876" s="3"/>
      <c r="I876" s="3"/>
      <c r="J876" s="3"/>
      <c r="K876" s="3"/>
      <c r="L876" s="3"/>
      <c r="M876" s="3"/>
      <c r="N876" s="3"/>
      <c r="O876" s="3"/>
      <c r="P876" s="3"/>
      <c r="Q876" s="3"/>
      <c r="R876" s="3"/>
      <c r="S876" s="3"/>
      <c r="T876" s="3"/>
      <c r="U876" s="3"/>
      <c r="V876" s="96"/>
      <c r="W876" s="3"/>
      <c r="X876" s="3"/>
      <c r="Y876" s="3"/>
      <c r="Z876" s="59"/>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row>
    <row r="877" spans="2:64" x14ac:dyDescent="0.25">
      <c r="B877" s="1673"/>
      <c r="C877" s="3"/>
      <c r="D877" s="3"/>
      <c r="E877" s="3"/>
      <c r="F877" s="3"/>
      <c r="G877" s="3"/>
      <c r="H877" s="3"/>
      <c r="I877" s="3"/>
      <c r="J877" s="3"/>
      <c r="K877" s="3"/>
      <c r="L877" s="3"/>
      <c r="M877" s="3"/>
      <c r="N877" s="3"/>
      <c r="O877" s="3"/>
      <c r="P877" s="3"/>
      <c r="Q877" s="3"/>
      <c r="R877" s="3"/>
      <c r="S877" s="3"/>
      <c r="T877" s="3"/>
      <c r="U877" s="3"/>
      <c r="V877" s="96"/>
      <c r="W877" s="3"/>
      <c r="X877" s="3"/>
      <c r="Y877" s="3"/>
      <c r="Z877" s="3"/>
      <c r="AA877" s="59"/>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row>
    <row r="878" spans="2:64" x14ac:dyDescent="0.25">
      <c r="B878" s="1673"/>
      <c r="C878" s="3"/>
      <c r="D878" s="3"/>
      <c r="E878" s="3"/>
      <c r="F878" s="3"/>
      <c r="G878" s="3"/>
      <c r="H878" s="3"/>
      <c r="I878" s="3"/>
      <c r="J878" s="3"/>
      <c r="K878" s="3"/>
      <c r="L878" s="3"/>
      <c r="M878" s="3"/>
      <c r="N878" s="3"/>
      <c r="O878" s="3"/>
      <c r="P878" s="3"/>
      <c r="Q878" s="3"/>
      <c r="R878" s="3"/>
      <c r="S878" s="3"/>
      <c r="T878" s="3"/>
      <c r="U878" s="3"/>
      <c r="V878" s="96"/>
      <c r="W878" s="3"/>
      <c r="X878" s="3"/>
      <c r="Y878" s="3"/>
      <c r="Z878" s="3"/>
      <c r="AA878" s="59"/>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row>
    <row r="879" spans="2:64" x14ac:dyDescent="0.25">
      <c r="B879" s="1673"/>
      <c r="C879" s="3"/>
      <c r="D879" s="3"/>
      <c r="E879" s="3"/>
      <c r="F879" s="3"/>
      <c r="G879" s="3"/>
      <c r="H879" s="3"/>
      <c r="I879" s="3"/>
      <c r="J879" s="3"/>
      <c r="K879" s="3"/>
      <c r="L879" s="3"/>
      <c r="M879" s="3"/>
      <c r="N879" s="3"/>
      <c r="O879" s="3"/>
      <c r="P879" s="3"/>
      <c r="Q879" s="3"/>
      <c r="R879" s="3"/>
      <c r="S879" s="3"/>
      <c r="T879" s="3"/>
      <c r="U879" s="3"/>
      <c r="V879" s="96"/>
      <c r="W879" s="3"/>
      <c r="X879" s="3"/>
      <c r="Y879" s="3"/>
      <c r="Z879" s="59"/>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row>
    <row r="880" spans="2:64" x14ac:dyDescent="0.25">
      <c r="B880" s="1673"/>
      <c r="C880" s="3"/>
      <c r="D880" s="3"/>
      <c r="E880" s="3"/>
      <c r="F880" s="3"/>
      <c r="G880" s="3"/>
      <c r="H880" s="3"/>
      <c r="I880" s="3"/>
      <c r="J880" s="3"/>
      <c r="K880" s="3"/>
      <c r="L880" s="3"/>
      <c r="M880" s="3"/>
      <c r="N880" s="3"/>
      <c r="O880" s="3"/>
      <c r="P880" s="3"/>
      <c r="Q880" s="3"/>
      <c r="R880" s="3"/>
      <c r="S880" s="3"/>
      <c r="T880" s="3"/>
      <c r="U880" s="3"/>
      <c r="V880" s="96"/>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row>
    <row r="881" spans="2:116" x14ac:dyDescent="0.25">
      <c r="B881" s="1673"/>
      <c r="C881" s="3"/>
      <c r="D881" s="3"/>
      <c r="E881" s="3"/>
      <c r="F881" s="3"/>
      <c r="G881" s="3"/>
      <c r="H881" s="3"/>
      <c r="I881" s="3"/>
      <c r="J881" s="3"/>
      <c r="K881" s="3"/>
      <c r="L881" s="3"/>
      <c r="M881" s="3"/>
      <c r="N881" s="3"/>
      <c r="O881" s="3"/>
      <c r="P881" s="3"/>
      <c r="Q881" s="3"/>
      <c r="R881" s="3"/>
      <c r="S881" s="3"/>
      <c r="T881" s="3"/>
      <c r="U881" s="3"/>
      <c r="V881" s="96"/>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row>
    <row r="882" spans="2:116" x14ac:dyDescent="0.25">
      <c r="B882" s="1673"/>
      <c r="C882" s="3"/>
      <c r="D882" s="3"/>
      <c r="E882" s="3"/>
      <c r="F882" s="3"/>
      <c r="G882" s="3"/>
      <c r="H882" s="3"/>
      <c r="I882" s="3"/>
      <c r="J882" s="3"/>
      <c r="K882" s="3"/>
      <c r="L882" s="3"/>
      <c r="M882" s="3"/>
      <c r="N882" s="3"/>
      <c r="O882" s="3"/>
      <c r="P882" s="3"/>
      <c r="Q882" s="3"/>
      <c r="R882" s="3"/>
      <c r="S882" s="3"/>
      <c r="T882" s="3"/>
      <c r="U882" s="3"/>
      <c r="V882" s="96"/>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row>
    <row r="883" spans="2:116" x14ac:dyDescent="0.25">
      <c r="B883" s="1673"/>
      <c r="C883" s="3"/>
      <c r="D883" s="3"/>
      <c r="E883" s="3"/>
      <c r="F883" s="3"/>
      <c r="G883" s="3"/>
      <c r="H883" s="3"/>
      <c r="I883" s="3"/>
      <c r="J883" s="3"/>
      <c r="K883" s="3"/>
      <c r="L883" s="3"/>
      <c r="M883" s="3"/>
      <c r="N883" s="3"/>
      <c r="O883" s="3"/>
      <c r="P883" s="3"/>
      <c r="Q883" s="3"/>
      <c r="R883" s="3"/>
      <c r="S883" s="3"/>
      <c r="T883" s="3"/>
      <c r="U883" s="3"/>
      <c r="V883" s="96"/>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row>
    <row r="884" spans="2:116" x14ac:dyDescent="0.25">
      <c r="B884" s="1673"/>
      <c r="C884" s="3"/>
      <c r="D884" s="3"/>
      <c r="E884" s="3"/>
      <c r="F884" s="3"/>
      <c r="G884" s="3"/>
      <c r="H884" s="3"/>
      <c r="I884" s="3"/>
      <c r="J884" s="3"/>
      <c r="K884" s="3"/>
      <c r="L884" s="3"/>
      <c r="M884" s="3"/>
      <c r="N884" s="3"/>
      <c r="O884" s="3"/>
      <c r="P884" s="3"/>
      <c r="Q884" s="3"/>
      <c r="R884" s="3"/>
      <c r="S884" s="3"/>
      <c r="T884" s="3"/>
      <c r="U884" s="3"/>
      <c r="V884" s="96"/>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row>
    <row r="885" spans="2:116" x14ac:dyDescent="0.25">
      <c r="B885" s="1673"/>
      <c r="C885" s="3"/>
      <c r="D885" s="3"/>
      <c r="E885" s="3"/>
      <c r="F885" s="3"/>
      <c r="G885" s="3"/>
      <c r="H885" s="3"/>
      <c r="I885" s="3"/>
      <c r="J885" s="3"/>
      <c r="K885" s="3"/>
      <c r="L885" s="3"/>
      <c r="M885" s="3"/>
      <c r="N885" s="3"/>
      <c r="O885" s="3"/>
      <c r="P885" s="3"/>
      <c r="Q885" s="3"/>
      <c r="R885" s="3"/>
      <c r="S885" s="3"/>
      <c r="T885" s="3"/>
      <c r="U885" s="3"/>
      <c r="V885" s="96"/>
      <c r="W885" s="3"/>
      <c r="X885" s="3"/>
      <c r="Y885" s="3"/>
      <c r="Z885" s="3"/>
      <c r="AA885" s="3"/>
      <c r="AB885" s="3"/>
      <c r="AC885" s="3"/>
      <c r="AD885" s="3"/>
      <c r="AE885" s="3"/>
      <c r="AF885" s="3"/>
      <c r="AG885" s="3"/>
      <c r="AH885" s="3"/>
      <c r="AI885" s="3"/>
      <c r="AJ885" s="3"/>
      <c r="AK885" s="61"/>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row>
    <row r="886" spans="2:116" x14ac:dyDescent="0.25">
      <c r="B886" s="1673"/>
      <c r="C886" s="3"/>
      <c r="D886" s="3"/>
      <c r="E886" s="3"/>
      <c r="F886" s="3"/>
      <c r="G886" s="3"/>
      <c r="H886" s="3"/>
      <c r="I886" s="3"/>
      <c r="J886" s="3"/>
      <c r="K886" s="3"/>
      <c r="L886" s="3"/>
      <c r="M886" s="3"/>
      <c r="N886" s="3"/>
      <c r="O886" s="3"/>
      <c r="P886" s="3"/>
      <c r="Q886" s="3"/>
      <c r="R886" s="3"/>
      <c r="S886" s="3"/>
      <c r="T886" s="3"/>
      <c r="U886" s="3"/>
      <c r="V886" s="96"/>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row>
    <row r="887" spans="2:116" x14ac:dyDescent="0.25">
      <c r="B887" s="1673"/>
      <c r="C887" s="3"/>
      <c r="D887" s="3"/>
      <c r="E887" s="3"/>
      <c r="F887" s="3"/>
      <c r="G887" s="3"/>
      <c r="H887" s="3"/>
      <c r="I887" s="3"/>
      <c r="J887" s="3"/>
      <c r="K887" s="3"/>
      <c r="L887" s="3"/>
      <c r="M887" s="3"/>
      <c r="N887" s="3"/>
      <c r="O887" s="3"/>
      <c r="P887" s="3"/>
      <c r="Q887" s="3"/>
      <c r="R887" s="3"/>
      <c r="S887" s="3"/>
      <c r="T887" s="3"/>
      <c r="U887" s="3"/>
      <c r="V887" s="96"/>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row>
    <row r="888" spans="2:116" x14ac:dyDescent="0.25">
      <c r="B888" s="1673"/>
      <c r="C888" s="3"/>
      <c r="D888" s="3"/>
      <c r="E888" s="3"/>
      <c r="F888" s="3"/>
      <c r="G888" s="3"/>
      <c r="H888" s="3"/>
      <c r="I888" s="3"/>
      <c r="J888" s="3"/>
      <c r="K888" s="3"/>
      <c r="L888" s="3"/>
      <c r="M888" s="3"/>
      <c r="N888" s="3"/>
      <c r="O888" s="3"/>
      <c r="P888" s="3"/>
      <c r="Q888" s="3"/>
      <c r="R888" s="3"/>
      <c r="S888" s="3"/>
      <c r="T888" s="3"/>
      <c r="U888" s="3"/>
      <c r="V888" s="96"/>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row>
    <row r="889" spans="2:116" x14ac:dyDescent="0.25">
      <c r="B889" s="1673"/>
      <c r="C889" s="3"/>
      <c r="D889" s="3"/>
      <c r="E889" s="3"/>
      <c r="F889" s="3"/>
      <c r="G889" s="3"/>
      <c r="H889" s="3"/>
      <c r="I889" s="3"/>
      <c r="J889" s="3"/>
      <c r="K889" s="3"/>
      <c r="L889" s="3"/>
      <c r="M889" s="3"/>
      <c r="N889" s="3"/>
      <c r="O889" s="3"/>
      <c r="P889" s="3"/>
      <c r="Q889" s="3"/>
      <c r="R889" s="3"/>
      <c r="S889" s="3"/>
      <c r="T889" s="3"/>
      <c r="U889" s="3"/>
      <c r="V889" s="96"/>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row>
    <row r="890" spans="2:116" ht="12" thickBot="1" x14ac:dyDescent="0.3">
      <c r="B890" s="1673"/>
      <c r="C890" s="3"/>
      <c r="D890" s="3"/>
      <c r="E890" s="3"/>
      <c r="F890" s="3"/>
      <c r="G890" s="3"/>
      <c r="H890" s="3"/>
      <c r="I890" s="3"/>
      <c r="J890" s="3"/>
      <c r="K890" s="3"/>
      <c r="L890" s="3"/>
      <c r="M890" s="3"/>
      <c r="N890" s="3"/>
      <c r="O890" s="3"/>
      <c r="P890" s="3"/>
      <c r="Q890" s="3"/>
      <c r="R890" s="3"/>
      <c r="S890" s="3"/>
      <c r="T890" s="3"/>
      <c r="U890" s="3"/>
      <c r="V890" s="96"/>
      <c r="W890" s="3"/>
      <c r="X890" s="3"/>
      <c r="Y890" s="3"/>
      <c r="Z890" s="3"/>
      <c r="AA890" s="3"/>
      <c r="AB890" s="3"/>
      <c r="AC890" s="3"/>
      <c r="AD890" s="3"/>
      <c r="AE890" s="3"/>
      <c r="AF890" s="3"/>
      <c r="AG890" s="3"/>
      <c r="AH890" s="3"/>
      <c r="AI890" s="59"/>
      <c r="AJ890" s="59"/>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row>
    <row r="891" spans="2:116" ht="18" x14ac:dyDescent="0.25">
      <c r="B891" s="1673"/>
      <c r="C891" s="3"/>
      <c r="D891" s="3"/>
      <c r="E891" s="3"/>
      <c r="F891" s="3"/>
      <c r="G891" s="3"/>
      <c r="H891" s="3"/>
      <c r="I891" s="3"/>
      <c r="J891" s="3"/>
      <c r="K891" s="3"/>
      <c r="L891" s="3"/>
      <c r="M891" s="3"/>
      <c r="N891" s="3"/>
      <c r="O891" s="3"/>
      <c r="P891" s="3"/>
      <c r="Q891" s="3"/>
      <c r="R891" s="3"/>
      <c r="S891" s="3"/>
      <c r="T891" s="3"/>
      <c r="U891" s="3"/>
      <c r="V891" s="96"/>
      <c r="W891" s="3"/>
      <c r="X891" s="3"/>
      <c r="Y891" s="3"/>
      <c r="Z891" s="3"/>
      <c r="AA891" s="3"/>
      <c r="AB891" s="71"/>
      <c r="AC891" s="72"/>
      <c r="AD891" s="72"/>
      <c r="AE891" s="72"/>
      <c r="AF891" s="72"/>
      <c r="AG891" s="72"/>
      <c r="AH891" s="68"/>
      <c r="AI891" s="68"/>
      <c r="AJ891" s="69"/>
      <c r="AK891" s="68"/>
      <c r="AL891" s="68"/>
      <c r="AM891" s="70"/>
      <c r="AN891" s="830"/>
      <c r="AO891" s="830"/>
      <c r="AP891" s="830"/>
      <c r="AQ891" s="830"/>
      <c r="AR891" s="830"/>
      <c r="AS891" s="830"/>
      <c r="AT891" s="830"/>
      <c r="AU891" s="830"/>
      <c r="AV891" s="830"/>
      <c r="AW891" s="830"/>
      <c r="AX891" s="830"/>
      <c r="AY891" s="830"/>
      <c r="AZ891" s="830"/>
      <c r="BA891" s="830"/>
      <c r="BB891" s="830"/>
      <c r="BC891" s="830"/>
      <c r="BD891" s="830"/>
      <c r="BE891" s="830"/>
      <c r="BF891" s="830"/>
      <c r="BG891" s="830"/>
      <c r="BH891" s="830"/>
      <c r="BI891" s="830"/>
      <c r="BJ891" s="830"/>
      <c r="BK891" s="3"/>
      <c r="BL891" s="826" t="s">
        <v>576</v>
      </c>
      <c r="BM891" s="824"/>
      <c r="BN891" s="824"/>
      <c r="BO891" s="824"/>
      <c r="BP891" s="824"/>
      <c r="BQ891" s="824"/>
      <c r="BR891" s="824"/>
      <c r="BS891" s="824"/>
      <c r="BT891" s="824"/>
      <c r="BU891" s="824"/>
      <c r="BV891" s="824"/>
      <c r="BW891" s="824"/>
      <c r="BX891" s="824"/>
      <c r="BY891" s="824"/>
      <c r="BZ891" s="824"/>
      <c r="CA891" s="824"/>
      <c r="CB891" s="824"/>
      <c r="CC891" s="824"/>
      <c r="CD891" s="824"/>
      <c r="CE891" s="824"/>
      <c r="CF891" s="824"/>
      <c r="CG891" s="824"/>
      <c r="CH891" s="824"/>
      <c r="CI891" s="824"/>
      <c r="CJ891" s="824"/>
      <c r="CK891" s="824"/>
      <c r="CL891" s="824"/>
      <c r="CM891" s="824"/>
      <c r="CN891" s="824"/>
      <c r="CO891" s="824"/>
      <c r="CP891" s="824"/>
      <c r="CQ891" s="824"/>
      <c r="CR891" s="824"/>
      <c r="CS891" s="824"/>
      <c r="CT891" s="824"/>
      <c r="CU891" s="824"/>
      <c r="CV891" s="824"/>
      <c r="CW891" s="824"/>
      <c r="CX891" s="824"/>
      <c r="CY891" s="824"/>
      <c r="CZ891" s="824"/>
      <c r="DA891" s="824"/>
      <c r="DB891" s="824"/>
      <c r="DC891" s="824"/>
      <c r="DD891" s="824"/>
      <c r="DE891" s="824"/>
      <c r="DF891" s="824"/>
      <c r="DG891" s="824"/>
      <c r="DH891" s="824"/>
      <c r="DI891" s="824"/>
      <c r="DJ891" s="824"/>
      <c r="DK891" s="824"/>
      <c r="DL891" s="824"/>
    </row>
    <row r="892" spans="2:116" ht="26.25" thickBot="1" x14ac:dyDescent="0.3">
      <c r="B892" s="1673"/>
      <c r="C892" s="3"/>
      <c r="D892" s="3"/>
      <c r="E892" s="3"/>
      <c r="F892" s="96"/>
      <c r="G892" s="96"/>
      <c r="H892" s="96"/>
      <c r="I892" s="96"/>
      <c r="J892" s="96"/>
      <c r="K892" s="96"/>
      <c r="L892" s="96"/>
      <c r="M892" s="96"/>
      <c r="N892" s="96"/>
      <c r="O892" s="96"/>
      <c r="P892" s="96"/>
      <c r="Q892" s="96"/>
      <c r="R892" s="96"/>
      <c r="S892" s="96"/>
      <c r="T892" s="96"/>
      <c r="U892" s="96"/>
      <c r="V892" s="96"/>
      <c r="W892" s="3"/>
      <c r="X892" s="3"/>
      <c r="Y892" s="3"/>
      <c r="Z892" s="3"/>
      <c r="AA892" s="3"/>
      <c r="AB892" s="92" t="s">
        <v>287</v>
      </c>
      <c r="AC892" s="72"/>
      <c r="AD892" s="72"/>
      <c r="AE892" s="72"/>
      <c r="AF892" s="72"/>
      <c r="AG892" s="72"/>
      <c r="AH892" s="72"/>
      <c r="AI892" s="72"/>
      <c r="AJ892" s="72"/>
      <c r="AK892" s="73"/>
      <c r="AL892" s="72"/>
      <c r="AM892" s="74"/>
      <c r="AN892" s="831"/>
      <c r="AO892" s="831"/>
      <c r="AP892" s="831"/>
      <c r="AQ892" s="831"/>
      <c r="AR892" s="831"/>
      <c r="AS892" s="831"/>
      <c r="AT892" s="831"/>
      <c r="AU892" s="831"/>
      <c r="AV892" s="831"/>
      <c r="AW892" s="831"/>
      <c r="AX892" s="831"/>
      <c r="AY892" s="831"/>
      <c r="AZ892" s="831"/>
      <c r="BA892" s="831"/>
      <c r="BB892" s="831"/>
      <c r="BC892" s="831"/>
      <c r="BD892" s="831"/>
      <c r="BE892" s="831"/>
      <c r="BF892" s="831"/>
      <c r="BG892" s="831"/>
      <c r="BH892" s="831"/>
      <c r="BI892" s="831"/>
      <c r="BJ892" s="831"/>
      <c r="BK892" s="3"/>
      <c r="BL892" s="824" t="s">
        <v>200</v>
      </c>
      <c r="BM892" s="824" t="s">
        <v>579</v>
      </c>
      <c r="BN892" s="824"/>
      <c r="BO892" s="824"/>
      <c r="BP892" s="824"/>
      <c r="BQ892" s="824"/>
      <c r="BR892" s="824"/>
      <c r="BS892" s="824"/>
      <c r="BT892" s="824"/>
      <c r="BU892" s="824"/>
      <c r="BV892" s="824"/>
      <c r="BW892" s="824"/>
      <c r="BX892" s="824"/>
      <c r="BY892" s="824"/>
      <c r="BZ892" s="824"/>
      <c r="CA892" s="824"/>
      <c r="CB892" s="824"/>
      <c r="CC892" s="824"/>
      <c r="CD892" s="824"/>
      <c r="CE892" s="824"/>
      <c r="CF892" s="824"/>
      <c r="CG892" s="824"/>
      <c r="CH892" s="824"/>
      <c r="CI892" s="824"/>
      <c r="CJ892" s="824"/>
      <c r="CK892" s="824"/>
      <c r="CL892" s="824"/>
      <c r="CM892" s="824"/>
      <c r="CN892" s="824"/>
      <c r="CO892" s="824"/>
      <c r="CP892" s="824"/>
      <c r="CQ892" s="824"/>
      <c r="CR892" s="824"/>
      <c r="CS892" s="824"/>
      <c r="CT892" s="824"/>
      <c r="CU892" s="824"/>
      <c r="CV892" s="824"/>
      <c r="CW892" s="824"/>
      <c r="CX892" s="824"/>
      <c r="CY892" s="824"/>
      <c r="CZ892" s="824"/>
      <c r="DA892" s="824"/>
      <c r="DB892" s="824"/>
      <c r="DC892" s="824"/>
      <c r="DD892" s="824"/>
      <c r="DE892" s="824"/>
      <c r="DF892" s="824"/>
      <c r="DG892" s="824"/>
      <c r="DH892" s="824"/>
      <c r="DI892" s="824"/>
      <c r="DJ892" s="824"/>
      <c r="DK892" s="824"/>
      <c r="DL892" s="824"/>
    </row>
    <row r="893" spans="2:116" ht="12" thickBot="1" x14ac:dyDescent="0.3">
      <c r="B893" s="1673"/>
      <c r="C893" s="3"/>
      <c r="D893" s="3"/>
      <c r="E893" s="3"/>
      <c r="F893" s="96"/>
      <c r="G893" s="96"/>
      <c r="H893" s="1669" t="s">
        <v>273</v>
      </c>
      <c r="I893" s="1670"/>
      <c r="J893" s="1671"/>
      <c r="K893" s="96"/>
      <c r="L893" s="96"/>
      <c r="M893" s="96"/>
      <c r="N893" s="96"/>
      <c r="O893" s="96"/>
      <c r="P893" s="96"/>
      <c r="Q893" s="96"/>
      <c r="R893" s="96"/>
      <c r="S893" s="96"/>
      <c r="T893" s="96"/>
      <c r="U893" s="96"/>
      <c r="V893" s="96"/>
      <c r="W893" s="3"/>
      <c r="X893" s="3"/>
      <c r="Y893" s="1677" t="s">
        <v>278</v>
      </c>
      <c r="Z893" s="1678"/>
      <c r="AA893" s="3"/>
      <c r="AB893" s="71"/>
      <c r="AC893" s="73"/>
      <c r="AD893" s="72"/>
      <c r="AE893" s="72"/>
      <c r="AF893" s="72"/>
      <c r="AG893" s="73"/>
      <c r="AH893" s="75" t="s">
        <v>250</v>
      </c>
      <c r="AI893" s="76">
        <f ca="1">IRR(AK900:AK950)</f>
        <v>3.2406226537290417E-2</v>
      </c>
      <c r="AJ893" s="72"/>
      <c r="AK893" s="72"/>
      <c r="AL893" s="72"/>
      <c r="AM893" s="77"/>
      <c r="AN893" s="832"/>
      <c r="AO893" s="832"/>
      <c r="AP893" s="832"/>
      <c r="AQ893" s="832"/>
      <c r="AR893" s="832"/>
      <c r="AS893" s="832"/>
      <c r="AT893" s="832"/>
      <c r="AU893" s="832"/>
      <c r="AV893" s="832"/>
      <c r="AW893" s="832"/>
      <c r="AX893" s="832"/>
      <c r="AY893" s="832"/>
      <c r="AZ893" s="832"/>
      <c r="BA893" s="832"/>
      <c r="BB893" s="832"/>
      <c r="BC893" s="832"/>
      <c r="BD893" s="832"/>
      <c r="BE893" s="832"/>
      <c r="BF893" s="832"/>
      <c r="BG893" s="832"/>
      <c r="BH893" s="832"/>
      <c r="BI893" s="832"/>
      <c r="BJ893" s="832"/>
      <c r="BK893" s="93"/>
      <c r="BL893" s="824">
        <f>$G$154</f>
        <v>35</v>
      </c>
      <c r="BM893" s="825">
        <f>$G$158</f>
        <v>1.016</v>
      </c>
      <c r="BN893" s="824"/>
      <c r="BO893" s="824"/>
      <c r="BP893" s="824"/>
      <c r="BQ893" s="824"/>
      <c r="BR893" s="824"/>
      <c r="BS893" s="824"/>
      <c r="BT893" s="824"/>
      <c r="BU893" s="824"/>
      <c r="BV893" s="824"/>
      <c r="BW893" s="824"/>
      <c r="BX893" s="824"/>
      <c r="BY893" s="824"/>
      <c r="BZ893" s="824"/>
      <c r="CA893" s="824"/>
      <c r="CB893" s="824"/>
      <c r="CC893" s="824"/>
      <c r="CD893" s="824"/>
      <c r="CE893" s="824"/>
      <c r="CF893" s="824"/>
      <c r="CG893" s="824"/>
      <c r="CH893" s="824"/>
      <c r="CI893" s="824"/>
      <c r="CJ893" s="824"/>
      <c r="CK893" s="824"/>
      <c r="CL893" s="824"/>
      <c r="CM893" s="824"/>
      <c r="CN893" s="824"/>
      <c r="CO893" s="824"/>
      <c r="CP893" s="824"/>
      <c r="CQ893" s="824"/>
      <c r="CR893" s="824"/>
      <c r="CS893" s="824"/>
      <c r="CT893" s="824"/>
      <c r="CU893" s="824"/>
      <c r="CV893" s="824"/>
      <c r="CW893" s="824"/>
      <c r="CX893" s="824"/>
      <c r="CY893" s="824"/>
      <c r="CZ893" s="824"/>
      <c r="DA893" s="824"/>
      <c r="DB893" s="824"/>
      <c r="DC893" s="824"/>
      <c r="DD893" s="824"/>
      <c r="DE893" s="824"/>
      <c r="DF893" s="824"/>
      <c r="DG893" s="824"/>
      <c r="DH893" s="824"/>
      <c r="DI893" s="824"/>
      <c r="DJ893" s="824"/>
      <c r="DK893" s="824"/>
      <c r="DL893" s="824"/>
    </row>
    <row r="894" spans="2:116" ht="12" thickBot="1" x14ac:dyDescent="0.3">
      <c r="B894" s="1673"/>
      <c r="C894" s="3"/>
      <c r="D894" s="3"/>
      <c r="E894" s="3"/>
      <c r="F894" s="116" t="s">
        <v>252</v>
      </c>
      <c r="G894" s="116" t="s">
        <v>257</v>
      </c>
      <c r="H894" s="116" t="s">
        <v>251</v>
      </c>
      <c r="I894" s="116" t="s">
        <v>258</v>
      </c>
      <c r="J894" s="116" t="s">
        <v>273</v>
      </c>
      <c r="K894" s="116" t="s">
        <v>268</v>
      </c>
      <c r="L894" s="116" t="s">
        <v>197</v>
      </c>
      <c r="M894" s="116" t="s">
        <v>189</v>
      </c>
      <c r="N894" s="156" t="s">
        <v>210</v>
      </c>
      <c r="O894" s="1061" t="s">
        <v>62</v>
      </c>
      <c r="P894" s="1666" t="s">
        <v>241</v>
      </c>
      <c r="Q894" s="1667"/>
      <c r="R894" s="1667"/>
      <c r="S894" s="1667"/>
      <c r="T894" s="1668"/>
      <c r="U894" s="35" t="s">
        <v>242</v>
      </c>
      <c r="V894" s="38" t="s">
        <v>254</v>
      </c>
      <c r="W894" s="52" t="s">
        <v>277</v>
      </c>
      <c r="X894" s="53" t="s">
        <v>288</v>
      </c>
      <c r="Y894" s="54" t="s">
        <v>289</v>
      </c>
      <c r="Z894" s="50" t="s">
        <v>290</v>
      </c>
      <c r="AA894" s="133" t="s">
        <v>298</v>
      </c>
      <c r="AB894" s="72"/>
      <c r="AC894" s="78"/>
      <c r="AD894" s="78"/>
      <c r="AE894" s="72"/>
      <c r="AF894" s="72"/>
      <c r="AG894" s="72"/>
      <c r="AH894" s="72"/>
      <c r="AI894" s="72"/>
      <c r="AJ894" s="72"/>
      <c r="AK894" s="73"/>
      <c r="AL894" s="72"/>
      <c r="AM894" s="79"/>
      <c r="AN894" s="830"/>
      <c r="AO894" s="830"/>
      <c r="AP894" s="830"/>
      <c r="AQ894" s="830"/>
      <c r="AR894" s="830"/>
      <c r="AS894" s="830"/>
      <c r="AT894" s="830"/>
      <c r="AU894" s="830"/>
      <c r="AV894" s="830"/>
      <c r="AW894" s="830"/>
      <c r="AX894" s="848"/>
      <c r="AY894" s="848"/>
      <c r="AZ894" s="848"/>
      <c r="BA894" s="848"/>
      <c r="BB894" s="848"/>
      <c r="BC894" s="848"/>
      <c r="BD894" s="848"/>
      <c r="BE894" s="848"/>
      <c r="BF894" s="848"/>
      <c r="BG894" s="848"/>
      <c r="BH894" s="848"/>
      <c r="BI894" s="848"/>
      <c r="BJ894" s="848"/>
      <c r="BK894" s="61"/>
      <c r="BL894" s="824"/>
      <c r="BM894" s="824"/>
      <c r="BN894" s="824"/>
      <c r="BO894" s="824" t="s">
        <v>481</v>
      </c>
      <c r="BP894" s="824"/>
      <c r="BQ894" s="824"/>
      <c r="BR894" s="824"/>
      <c r="BS894" s="824"/>
      <c r="BT894" s="824"/>
      <c r="BU894" s="824"/>
      <c r="BV894" s="824"/>
      <c r="BW894" s="824"/>
      <c r="BX894" s="824"/>
      <c r="BY894" s="824"/>
      <c r="BZ894" s="824"/>
      <c r="CA894" s="824"/>
      <c r="CB894" s="824"/>
      <c r="CC894" s="824"/>
      <c r="CD894" s="824"/>
      <c r="CE894" s="824"/>
      <c r="CF894" s="824"/>
      <c r="CG894" s="824"/>
      <c r="CH894" s="824"/>
      <c r="CI894" s="824"/>
      <c r="CJ894" s="824"/>
      <c r="CK894" s="824"/>
      <c r="CL894" s="824"/>
      <c r="CM894" s="824"/>
      <c r="CN894" s="824"/>
      <c r="CO894" s="824"/>
      <c r="CP894" s="824"/>
      <c r="CQ894" s="824"/>
      <c r="CR894" s="824"/>
      <c r="CS894" s="824"/>
      <c r="CT894" s="824"/>
      <c r="CU894" s="824"/>
      <c r="CV894" s="824"/>
      <c r="CW894" s="824"/>
      <c r="CX894" s="824"/>
      <c r="CY894" s="824"/>
      <c r="CZ894" s="824"/>
      <c r="DA894" s="824"/>
      <c r="DB894" s="824"/>
      <c r="DC894" s="824"/>
      <c r="DD894" s="824"/>
      <c r="DE894" s="824"/>
      <c r="DF894" s="824"/>
      <c r="DG894" s="824"/>
      <c r="DH894" s="824"/>
      <c r="DI894" s="824"/>
      <c r="DJ894" s="824"/>
      <c r="DK894" s="824"/>
      <c r="DL894" s="824"/>
    </row>
    <row r="895" spans="2:116" ht="12" thickBot="1" x14ac:dyDescent="0.3">
      <c r="B895" s="1673"/>
      <c r="C895" s="95" t="s">
        <v>266</v>
      </c>
      <c r="D895" s="10" t="s">
        <v>235</v>
      </c>
      <c r="E895" s="11" t="s">
        <v>356</v>
      </c>
      <c r="F895" s="11" t="s">
        <v>262</v>
      </c>
      <c r="G895" s="11" t="s">
        <v>261</v>
      </c>
      <c r="H895" s="11" t="s">
        <v>259</v>
      </c>
      <c r="I895" s="11" t="s">
        <v>260</v>
      </c>
      <c r="J895" s="11" t="s">
        <v>274</v>
      </c>
      <c r="K895" s="11" t="s">
        <v>271</v>
      </c>
      <c r="L895" s="11"/>
      <c r="M895" s="11" t="s">
        <v>211</v>
      </c>
      <c r="N895" s="157" t="s">
        <v>212</v>
      </c>
      <c r="O895" s="20" t="s">
        <v>291</v>
      </c>
      <c r="P895" s="24" t="s">
        <v>236</v>
      </c>
      <c r="Q895" s="25" t="s">
        <v>237</v>
      </c>
      <c r="R895" s="25" t="s">
        <v>238</v>
      </c>
      <c r="S895" s="25" t="s">
        <v>239</v>
      </c>
      <c r="T895" s="26" t="s">
        <v>240</v>
      </c>
      <c r="U895" s="36" t="s">
        <v>243</v>
      </c>
      <c r="V895" s="39" t="s">
        <v>253</v>
      </c>
      <c r="W895" s="55" t="s">
        <v>354</v>
      </c>
      <c r="X895" s="56" t="s">
        <v>353</v>
      </c>
      <c r="Y895" s="57"/>
      <c r="Z895" s="58"/>
      <c r="AA895" s="134"/>
      <c r="AB895" s="72"/>
      <c r="AC895" s="72"/>
      <c r="AD895" s="80"/>
      <c r="AE895" s="72"/>
      <c r="AF895" s="72"/>
      <c r="AG895" s="72"/>
      <c r="AH895" s="72"/>
      <c r="AI895" s="72"/>
      <c r="AJ895" s="72"/>
      <c r="AK895" s="73"/>
      <c r="AL895" s="72"/>
      <c r="AM895" s="81"/>
      <c r="AN895" s="833" t="s">
        <v>200</v>
      </c>
      <c r="AO895" s="847">
        <f>$G$154</f>
        <v>35</v>
      </c>
      <c r="AP895" s="833"/>
      <c r="AQ895" s="833"/>
      <c r="AR895" s="833"/>
      <c r="AS895" s="833"/>
      <c r="AT895" s="833"/>
      <c r="AU895" s="833"/>
      <c r="AV895" s="833"/>
      <c r="AW895" s="833"/>
      <c r="AX895" s="833"/>
      <c r="AY895" s="833"/>
      <c r="AZ895" s="833"/>
      <c r="BA895" s="833"/>
      <c r="BB895" s="833"/>
      <c r="BC895" s="833"/>
      <c r="BD895" s="833"/>
      <c r="BE895" s="833"/>
      <c r="BF895" s="833"/>
      <c r="BG895" s="833"/>
      <c r="BH895" s="833"/>
      <c r="BI895" s="833"/>
      <c r="BJ895" s="833"/>
      <c r="BK895" s="61"/>
      <c r="BL895" s="824" t="s">
        <v>577</v>
      </c>
      <c r="BM895" s="824" t="s">
        <v>210</v>
      </c>
      <c r="BN895" s="824" t="s">
        <v>578</v>
      </c>
      <c r="BO895" s="824">
        <v>1</v>
      </c>
      <c r="BP895" s="824">
        <v>2</v>
      </c>
      <c r="BQ895" s="824">
        <v>3</v>
      </c>
      <c r="BR895" s="824">
        <v>4</v>
      </c>
      <c r="BS895" s="824">
        <v>5</v>
      </c>
      <c r="BT895" s="824">
        <v>6</v>
      </c>
      <c r="BU895" s="824">
        <v>7</v>
      </c>
      <c r="BV895" s="824">
        <v>8</v>
      </c>
      <c r="BW895" s="824">
        <v>9</v>
      </c>
      <c r="BX895" s="824">
        <v>10</v>
      </c>
      <c r="BY895" s="824">
        <v>11</v>
      </c>
      <c r="BZ895" s="824">
        <v>12</v>
      </c>
      <c r="CA895" s="824">
        <v>13</v>
      </c>
      <c r="CB895" s="824">
        <v>14</v>
      </c>
      <c r="CC895" s="824">
        <v>15</v>
      </c>
      <c r="CD895" s="824">
        <v>16</v>
      </c>
      <c r="CE895" s="824">
        <v>17</v>
      </c>
      <c r="CF895" s="824">
        <v>18</v>
      </c>
      <c r="CG895" s="824">
        <v>19</v>
      </c>
      <c r="CH895" s="824">
        <v>20</v>
      </c>
      <c r="CI895" s="824">
        <v>21</v>
      </c>
      <c r="CJ895" s="824">
        <v>22</v>
      </c>
      <c r="CK895" s="824">
        <v>23</v>
      </c>
      <c r="CL895" s="824">
        <v>24</v>
      </c>
      <c r="CM895" s="824">
        <v>25</v>
      </c>
      <c r="CN895" s="824">
        <v>26</v>
      </c>
      <c r="CO895" s="824">
        <v>27</v>
      </c>
      <c r="CP895" s="824">
        <v>28</v>
      </c>
      <c r="CQ895" s="824">
        <v>29</v>
      </c>
      <c r="CR895" s="824">
        <v>30</v>
      </c>
      <c r="CS895" s="824">
        <v>31</v>
      </c>
      <c r="CT895" s="824">
        <v>32</v>
      </c>
      <c r="CU895" s="824">
        <v>33</v>
      </c>
      <c r="CV895" s="824">
        <v>34</v>
      </c>
      <c r="CW895" s="824">
        <v>35</v>
      </c>
      <c r="CX895" s="824">
        <v>36</v>
      </c>
      <c r="CY895" s="824">
        <v>37</v>
      </c>
      <c r="CZ895" s="824">
        <v>38</v>
      </c>
      <c r="DA895" s="824">
        <v>39</v>
      </c>
      <c r="DB895" s="824">
        <v>40</v>
      </c>
      <c r="DC895" s="824">
        <v>41</v>
      </c>
      <c r="DD895" s="824">
        <v>42</v>
      </c>
      <c r="DE895" s="824">
        <v>43</v>
      </c>
      <c r="DF895" s="824">
        <v>44</v>
      </c>
      <c r="DG895" s="824">
        <v>45</v>
      </c>
      <c r="DH895" s="824">
        <v>46</v>
      </c>
      <c r="DI895" s="824">
        <v>47</v>
      </c>
      <c r="DJ895" s="824">
        <v>48</v>
      </c>
      <c r="DK895" s="824">
        <v>49</v>
      </c>
      <c r="DL895" s="824">
        <v>50</v>
      </c>
    </row>
    <row r="896" spans="2:116" ht="12" thickBot="1" x14ac:dyDescent="0.3">
      <c r="B896" s="1673"/>
      <c r="C896" s="1679" t="s">
        <v>267</v>
      </c>
      <c r="D896" s="14" t="s">
        <v>61</v>
      </c>
      <c r="E896" s="12"/>
      <c r="F896" s="12">
        <f>SUBTOTAL(109,'3.5 I&amp;W'!$U$27)</f>
        <v>0</v>
      </c>
      <c r="G896" s="12">
        <f>SUBTOTAL(109,'3.5 I&amp;W'!$V$27)</f>
        <v>0</v>
      </c>
      <c r="H896" s="12">
        <f>SUBTOTAL(109,'3.5 I&amp;W'!$AA$27)</f>
        <v>0</v>
      </c>
      <c r="I896" s="12">
        <f>SUBTOTAL(109,'3.5 I&amp;W'!$AB$27)</f>
        <v>0</v>
      </c>
      <c r="J896" s="12"/>
      <c r="K896" s="12"/>
      <c r="L896" s="12"/>
      <c r="M896" s="12">
        <f ca="1">SUBTOTAL(109,'3.5 I&amp;W'!$AI$27)</f>
        <v>0</v>
      </c>
      <c r="N896" s="156">
        <f ca="1">IF(OR(M896=0,M896="",M896=$G$154),0,ROUNDDOWN($G$154/M896,0)+IF(MOD($G$154,M896)=0,-1))</f>
        <v>0</v>
      </c>
      <c r="O896" s="12">
        <f ca="1">SUBTOTAL(109,'3.5 I&amp;W'!$S$27)</f>
        <v>432000</v>
      </c>
      <c r="P896" s="27">
        <f ca="1">IF(N896&gt;=1,O896*$G$158^(1*M896)/($G$157^(1*M896)),0)</f>
        <v>0</v>
      </c>
      <c r="Q896" s="28">
        <f t="shared" ref="Q896:Q913" ca="1" si="667">IF(N896&gt;=2,O896*$G$158^(2*M896)/($G$157^(2*M896)),0)</f>
        <v>0</v>
      </c>
      <c r="R896" s="28">
        <f t="shared" ref="R896:R913" ca="1" si="668">IF(N896&gt;=3,O896*$G$158^(3*M896)/($G$157^(3*M896)),0)</f>
        <v>0</v>
      </c>
      <c r="S896" s="28">
        <f t="shared" ref="S896:S913" ca="1" si="669">IF(N896&gt;=4,O896*$G$158^(4*M896)/($G$157^(4*M896)),0)</f>
        <v>0</v>
      </c>
      <c r="T896" s="29">
        <f t="shared" ref="T896:T913" ca="1" si="670">IF(N896&gt;=5,O896*$G$158^(5*M896)/($G$157^(5*M896)),0)</f>
        <v>0</v>
      </c>
      <c r="U896" s="37">
        <f ca="1">IF(M896=0,0,O896*$G$158^(N896*M896)*((N896+1)*M896-$G$154)/M896*(1/$G$157^$G$154))</f>
        <v>0</v>
      </c>
      <c r="V896" s="40">
        <f t="shared" ref="V896:V927" si="671">G896*$I$169</f>
        <v>0</v>
      </c>
      <c r="W896" s="41">
        <f t="shared" ref="W896:W927" si="672">(I896+J896)*$I$167</f>
        <v>0</v>
      </c>
      <c r="X896" s="42"/>
      <c r="Y896" s="45"/>
      <c r="Z896" s="124"/>
      <c r="AA896" s="135"/>
      <c r="AB896" s="72"/>
      <c r="AC896" s="72"/>
      <c r="AD896" s="72"/>
      <c r="AE896" s="72"/>
      <c r="AF896" s="72"/>
      <c r="AG896" s="72"/>
      <c r="AH896" s="72"/>
      <c r="AI896" s="72"/>
      <c r="AJ896" s="72"/>
      <c r="AK896" s="72"/>
      <c r="AL896" s="72"/>
      <c r="AM896" s="79"/>
      <c r="AN896" s="830"/>
      <c r="AO896" s="830"/>
      <c r="AP896" s="830"/>
      <c r="AQ896" s="830"/>
      <c r="AR896" s="830"/>
      <c r="AS896" s="830"/>
      <c r="AT896" s="830"/>
      <c r="AU896" s="830"/>
      <c r="AV896" s="830"/>
      <c r="AW896" s="830"/>
      <c r="AX896" s="830"/>
      <c r="AY896" s="830"/>
      <c r="AZ896" s="830"/>
      <c r="BA896" s="830"/>
      <c r="BB896" s="830"/>
      <c r="BC896" s="830"/>
      <c r="BD896" s="830"/>
      <c r="BE896" s="830"/>
      <c r="BF896" s="830"/>
      <c r="BG896" s="830"/>
      <c r="BH896" s="830"/>
      <c r="BI896" s="830"/>
      <c r="BJ896" s="830"/>
      <c r="BK896" s="3"/>
      <c r="BL896" s="824">
        <f t="shared" ref="BL896:BL927" ca="1" si="673">M896</f>
        <v>0</v>
      </c>
      <c r="BM896" s="824">
        <f t="shared" ref="BM896:BM927" ca="1" si="674">N896</f>
        <v>0</v>
      </c>
      <c r="BN896" s="824">
        <f t="shared" ref="BN896:BN927" ca="1" si="675">O896</f>
        <v>432000</v>
      </c>
      <c r="BO896" s="824">
        <f ca="1">IF(OR(IF($BL896*1&lt;$BL$196,$BL896*1=BO$198,FALSE),IF($BL896*2&lt;$BL$196,$BL896*2=BO$198,FALSE),IF($BL896*3&lt;$BL$196,$BL896*3=BO$198,FALSE),IF($BL896*4&lt;$BL$196,$BL896*4=BO$198,FALSE),IF($BL896*5&lt;$BL$196,$BL896*5=BO$198,FALSE)),$BN896*$BM$196^BO$198,0)</f>
        <v>0</v>
      </c>
      <c r="BP896" s="824">
        <f t="shared" ref="BP896:DL902" ca="1" si="676">IF(OR(IF($BL896*1&lt;$BL$196,$BL896*1=BP$198,FALSE),IF($BL896*2&lt;$BL$196,$BL896*2=BP$198,FALSE),IF($BL896*3&lt;$BL$196,$BL896*3=BP$198,FALSE),IF($BL896*4&lt;$BL$196,$BL896*4=BP$198,FALSE),IF($BL896*5&lt;$BL$196,$BL896*5=BP$198,FALSE)),$BN896*$BM$196^BP$198,0)</f>
        <v>0</v>
      </c>
      <c r="BQ896" s="824">
        <f t="shared" ca="1" si="676"/>
        <v>0</v>
      </c>
      <c r="BR896" s="824">
        <f t="shared" ca="1" si="676"/>
        <v>0</v>
      </c>
      <c r="BS896" s="824">
        <f t="shared" ca="1" si="676"/>
        <v>0</v>
      </c>
      <c r="BT896" s="824">
        <f t="shared" ca="1" si="676"/>
        <v>0</v>
      </c>
      <c r="BU896" s="824">
        <f t="shared" ca="1" si="676"/>
        <v>0</v>
      </c>
      <c r="BV896" s="824">
        <f t="shared" ca="1" si="676"/>
        <v>0</v>
      </c>
      <c r="BW896" s="824">
        <f t="shared" ca="1" si="676"/>
        <v>0</v>
      </c>
      <c r="BX896" s="824">
        <f t="shared" ca="1" si="676"/>
        <v>0</v>
      </c>
      <c r="BY896" s="824">
        <f t="shared" ca="1" si="676"/>
        <v>0</v>
      </c>
      <c r="BZ896" s="824">
        <f t="shared" ca="1" si="676"/>
        <v>0</v>
      </c>
      <c r="CA896" s="824">
        <f t="shared" ca="1" si="676"/>
        <v>0</v>
      </c>
      <c r="CB896" s="824">
        <f t="shared" ca="1" si="676"/>
        <v>0</v>
      </c>
      <c r="CC896" s="824">
        <f t="shared" ca="1" si="676"/>
        <v>0</v>
      </c>
      <c r="CD896" s="824">
        <f t="shared" ca="1" si="676"/>
        <v>0</v>
      </c>
      <c r="CE896" s="824">
        <f t="shared" ca="1" si="676"/>
        <v>0</v>
      </c>
      <c r="CF896" s="824">
        <f t="shared" ca="1" si="676"/>
        <v>0</v>
      </c>
      <c r="CG896" s="824">
        <f t="shared" ca="1" si="676"/>
        <v>0</v>
      </c>
      <c r="CH896" s="824">
        <f t="shared" ca="1" si="676"/>
        <v>0</v>
      </c>
      <c r="CI896" s="824">
        <f t="shared" ca="1" si="676"/>
        <v>0</v>
      </c>
      <c r="CJ896" s="824">
        <f t="shared" ca="1" si="676"/>
        <v>0</v>
      </c>
      <c r="CK896" s="824">
        <f t="shared" ca="1" si="676"/>
        <v>0</v>
      </c>
      <c r="CL896" s="824">
        <f t="shared" ca="1" si="676"/>
        <v>0</v>
      </c>
      <c r="CM896" s="824">
        <f t="shared" ca="1" si="676"/>
        <v>0</v>
      </c>
      <c r="CN896" s="824">
        <f t="shared" ca="1" si="676"/>
        <v>0</v>
      </c>
      <c r="CO896" s="824">
        <f t="shared" ca="1" si="676"/>
        <v>0</v>
      </c>
      <c r="CP896" s="824">
        <f t="shared" ca="1" si="676"/>
        <v>0</v>
      </c>
      <c r="CQ896" s="824">
        <f t="shared" ca="1" si="676"/>
        <v>0</v>
      </c>
      <c r="CR896" s="824">
        <f t="shared" ca="1" si="676"/>
        <v>0</v>
      </c>
      <c r="CS896" s="824">
        <f t="shared" ca="1" si="676"/>
        <v>0</v>
      </c>
      <c r="CT896" s="824">
        <f t="shared" ca="1" si="676"/>
        <v>0</v>
      </c>
      <c r="CU896" s="824">
        <f t="shared" ca="1" si="676"/>
        <v>0</v>
      </c>
      <c r="CV896" s="824">
        <f t="shared" ca="1" si="676"/>
        <v>0</v>
      </c>
      <c r="CW896" s="824">
        <f t="shared" ca="1" si="676"/>
        <v>0</v>
      </c>
      <c r="CX896" s="824">
        <f t="shared" ca="1" si="676"/>
        <v>0</v>
      </c>
      <c r="CY896" s="824">
        <f t="shared" ca="1" si="676"/>
        <v>0</v>
      </c>
      <c r="CZ896" s="824">
        <f t="shared" ca="1" si="676"/>
        <v>0</v>
      </c>
      <c r="DA896" s="824">
        <f t="shared" ca="1" si="676"/>
        <v>0</v>
      </c>
      <c r="DB896" s="824">
        <f t="shared" ca="1" si="676"/>
        <v>0</v>
      </c>
      <c r="DC896" s="824">
        <f t="shared" ca="1" si="676"/>
        <v>0</v>
      </c>
      <c r="DD896" s="824">
        <f t="shared" ca="1" si="676"/>
        <v>0</v>
      </c>
      <c r="DE896" s="824">
        <f t="shared" ca="1" si="676"/>
        <v>0</v>
      </c>
      <c r="DF896" s="824">
        <f t="shared" ca="1" si="676"/>
        <v>0</v>
      </c>
      <c r="DG896" s="824">
        <f t="shared" ca="1" si="676"/>
        <v>0</v>
      </c>
      <c r="DH896" s="824">
        <f t="shared" ca="1" si="676"/>
        <v>0</v>
      </c>
      <c r="DI896" s="824">
        <f t="shared" ca="1" si="676"/>
        <v>0</v>
      </c>
      <c r="DJ896" s="824">
        <f t="shared" ca="1" si="676"/>
        <v>0</v>
      </c>
      <c r="DK896" s="824">
        <f t="shared" ca="1" si="676"/>
        <v>0</v>
      </c>
      <c r="DL896" s="824">
        <f t="shared" ca="1" si="676"/>
        <v>0</v>
      </c>
    </row>
    <row r="897" spans="2:116" ht="13.5" thickBot="1" x14ac:dyDescent="0.3">
      <c r="B897" s="1673"/>
      <c r="C897" s="1680"/>
      <c r="D897" s="15" t="s">
        <v>50</v>
      </c>
      <c r="E897" s="116"/>
      <c r="F897" s="116">
        <f>SUBTOTAL(109,'3.5 I&amp;W'!$U$34)</f>
        <v>0</v>
      </c>
      <c r="G897" s="116">
        <f>SUBTOTAL(109,'3.5 I&amp;W'!$V$34)</f>
        <v>0</v>
      </c>
      <c r="H897" s="116">
        <f>SUBTOTAL(109,'3.5 I&amp;W'!$AA$34)</f>
        <v>0</v>
      </c>
      <c r="I897" s="116">
        <f>SUBTOTAL(109,'3.5 I&amp;W'!$AB$34)</f>
        <v>0</v>
      </c>
      <c r="J897" s="116"/>
      <c r="K897" s="116"/>
      <c r="L897" s="116"/>
      <c r="M897" s="116">
        <f ca="1">SUBTOTAL(109,'3.5 I&amp;W'!$AI$34)</f>
        <v>100</v>
      </c>
      <c r="N897" s="156">
        <f t="shared" ref="N897:N960" ca="1" si="677">IF(OR(M897=0,M897="",M897=$G$154),0,ROUNDDOWN($G$154/M897,0)+IF(MOD($G$154,M897)=0,-1))</f>
        <v>0</v>
      </c>
      <c r="O897" s="116">
        <f ca="1">SUBTOTAL(109,'3.5 I&amp;W'!$S$34)</f>
        <v>89427.599999999991</v>
      </c>
      <c r="P897" s="30">
        <f ca="1">IF(N897&gt;=1,O897*$G$158^(1*M897)/($G$157^(1*M897)),0)</f>
        <v>0</v>
      </c>
      <c r="Q897" s="31">
        <f t="shared" ca="1" si="667"/>
        <v>0</v>
      </c>
      <c r="R897" s="31">
        <f t="shared" ca="1" si="668"/>
        <v>0</v>
      </c>
      <c r="S897" s="31">
        <f t="shared" ca="1" si="669"/>
        <v>0</v>
      </c>
      <c r="T897" s="32">
        <f t="shared" ca="1" si="670"/>
        <v>0</v>
      </c>
      <c r="U897" s="37">
        <f t="shared" ref="U897:U967" ca="1" si="678">IF(M897=0,0,O897*$G$158^(N897*M897)*((N897+1)*M897-$G$154)/M897*(1/$G$157^$G$154))</f>
        <v>29065.575107692428</v>
      </c>
      <c r="V897" s="40">
        <f t="shared" si="671"/>
        <v>0</v>
      </c>
      <c r="W897" s="41">
        <f t="shared" si="672"/>
        <v>0</v>
      </c>
      <c r="X897" s="43"/>
      <c r="Y897" s="46"/>
      <c r="Z897" s="126"/>
      <c r="AA897" s="136"/>
      <c r="AB897" s="72"/>
      <c r="AC897" s="72"/>
      <c r="AD897" s="72"/>
      <c r="AE897" s="72"/>
      <c r="AF897" s="72"/>
      <c r="AG897" s="72"/>
      <c r="AH897" s="72"/>
      <c r="AI897" s="72"/>
      <c r="AJ897" s="72"/>
      <c r="AK897" s="72"/>
      <c r="AL897" s="72"/>
      <c r="AM897" s="82"/>
      <c r="AN897" s="834"/>
      <c r="AO897" s="834"/>
      <c r="AP897" s="834"/>
      <c r="AQ897" s="834"/>
      <c r="AR897" s="834"/>
      <c r="AS897" s="834"/>
      <c r="AT897" s="834"/>
      <c r="AU897" s="834"/>
      <c r="AV897" s="834"/>
      <c r="AW897" s="834"/>
      <c r="AX897" s="854"/>
      <c r="AY897" s="851" t="s">
        <v>582</v>
      </c>
      <c r="AZ897" s="840"/>
      <c r="BA897" s="840"/>
      <c r="BB897" s="840"/>
      <c r="BC897" s="840"/>
      <c r="BD897" s="840"/>
      <c r="BE897" s="840"/>
      <c r="BF897" s="840"/>
      <c r="BG897" s="840"/>
      <c r="BH897" s="855" t="s">
        <v>276</v>
      </c>
      <c r="BI897" s="855"/>
      <c r="BJ897" s="855"/>
      <c r="BK897" s="856"/>
      <c r="BL897" s="824">
        <f t="shared" ca="1" si="673"/>
        <v>100</v>
      </c>
      <c r="BM897" s="824">
        <f t="shared" ca="1" si="674"/>
        <v>0</v>
      </c>
      <c r="BN897" s="824">
        <f t="shared" ca="1" si="675"/>
        <v>89427.599999999991</v>
      </c>
      <c r="BO897" s="824">
        <f t="shared" ref="BO897:CD914" ca="1" si="679">IF(OR(IF($BL897*1&lt;$BL$196,$BL897*1=BO$198,FALSE),IF($BL897*2&lt;$BL$196,$BL897*2=BO$198,FALSE),IF($BL897*3&lt;$BL$196,$BL897*3=BO$198,FALSE),IF($BL897*4&lt;$BL$196,$BL897*4=BO$198,FALSE),IF($BL897*5&lt;$BL$196,$BL897*5=BO$198,FALSE)),$BN897*$BM$196^BO$198,0)</f>
        <v>0</v>
      </c>
      <c r="BP897" s="824">
        <f t="shared" ca="1" si="676"/>
        <v>0</v>
      </c>
      <c r="BQ897" s="824">
        <f t="shared" ca="1" si="676"/>
        <v>0</v>
      </c>
      <c r="BR897" s="824">
        <f t="shared" ca="1" si="676"/>
        <v>0</v>
      </c>
      <c r="BS897" s="824">
        <f t="shared" ca="1" si="676"/>
        <v>0</v>
      </c>
      <c r="BT897" s="824">
        <f t="shared" ca="1" si="676"/>
        <v>0</v>
      </c>
      <c r="BU897" s="824">
        <f t="shared" ca="1" si="676"/>
        <v>0</v>
      </c>
      <c r="BV897" s="824">
        <f t="shared" ca="1" si="676"/>
        <v>0</v>
      </c>
      <c r="BW897" s="824">
        <f t="shared" ca="1" si="676"/>
        <v>0</v>
      </c>
      <c r="BX897" s="824">
        <f t="shared" ca="1" si="676"/>
        <v>0</v>
      </c>
      <c r="BY897" s="824">
        <f t="shared" ca="1" si="676"/>
        <v>0</v>
      </c>
      <c r="BZ897" s="824">
        <f t="shared" ca="1" si="676"/>
        <v>0</v>
      </c>
      <c r="CA897" s="824">
        <f t="shared" ca="1" si="676"/>
        <v>0</v>
      </c>
      <c r="CB897" s="824">
        <f t="shared" ca="1" si="676"/>
        <v>0</v>
      </c>
      <c r="CC897" s="824">
        <f t="shared" ca="1" si="676"/>
        <v>0</v>
      </c>
      <c r="CD897" s="824">
        <f t="shared" ca="1" si="676"/>
        <v>0</v>
      </c>
      <c r="CE897" s="824">
        <f t="shared" ca="1" si="676"/>
        <v>0</v>
      </c>
      <c r="CF897" s="824">
        <f t="shared" ca="1" si="676"/>
        <v>0</v>
      </c>
      <c r="CG897" s="824">
        <f t="shared" ca="1" si="676"/>
        <v>0</v>
      </c>
      <c r="CH897" s="824">
        <f t="shared" ca="1" si="676"/>
        <v>0</v>
      </c>
      <c r="CI897" s="824">
        <f t="shared" ca="1" si="676"/>
        <v>0</v>
      </c>
      <c r="CJ897" s="824">
        <f t="shared" ca="1" si="676"/>
        <v>0</v>
      </c>
      <c r="CK897" s="824">
        <f t="shared" ca="1" si="676"/>
        <v>0</v>
      </c>
      <c r="CL897" s="824">
        <f t="shared" ca="1" si="676"/>
        <v>0</v>
      </c>
      <c r="CM897" s="824">
        <f t="shared" ca="1" si="676"/>
        <v>0</v>
      </c>
      <c r="CN897" s="824">
        <f t="shared" ca="1" si="676"/>
        <v>0</v>
      </c>
      <c r="CO897" s="824">
        <f t="shared" ca="1" si="676"/>
        <v>0</v>
      </c>
      <c r="CP897" s="824">
        <f t="shared" ca="1" si="676"/>
        <v>0</v>
      </c>
      <c r="CQ897" s="824">
        <f t="shared" ca="1" si="676"/>
        <v>0</v>
      </c>
      <c r="CR897" s="824">
        <f t="shared" ca="1" si="676"/>
        <v>0</v>
      </c>
      <c r="CS897" s="824">
        <f t="shared" ca="1" si="676"/>
        <v>0</v>
      </c>
      <c r="CT897" s="824">
        <f t="shared" ca="1" si="676"/>
        <v>0</v>
      </c>
      <c r="CU897" s="824">
        <f t="shared" ca="1" si="676"/>
        <v>0</v>
      </c>
      <c r="CV897" s="824">
        <f t="shared" ca="1" si="676"/>
        <v>0</v>
      </c>
      <c r="CW897" s="824">
        <f t="shared" ca="1" si="676"/>
        <v>0</v>
      </c>
      <c r="CX897" s="824">
        <f t="shared" ca="1" si="676"/>
        <v>0</v>
      </c>
      <c r="CY897" s="824">
        <f t="shared" ca="1" si="676"/>
        <v>0</v>
      </c>
      <c r="CZ897" s="824">
        <f t="shared" ca="1" si="676"/>
        <v>0</v>
      </c>
      <c r="DA897" s="824">
        <f t="shared" ca="1" si="676"/>
        <v>0</v>
      </c>
      <c r="DB897" s="824">
        <f t="shared" ca="1" si="676"/>
        <v>0</v>
      </c>
      <c r="DC897" s="824">
        <f t="shared" ca="1" si="676"/>
        <v>0</v>
      </c>
      <c r="DD897" s="824">
        <f t="shared" ca="1" si="676"/>
        <v>0</v>
      </c>
      <c r="DE897" s="824">
        <f t="shared" ca="1" si="676"/>
        <v>0</v>
      </c>
      <c r="DF897" s="824">
        <f t="shared" ca="1" si="676"/>
        <v>0</v>
      </c>
      <c r="DG897" s="824">
        <f t="shared" ca="1" si="676"/>
        <v>0</v>
      </c>
      <c r="DH897" s="824">
        <f t="shared" ca="1" si="676"/>
        <v>0</v>
      </c>
      <c r="DI897" s="824">
        <f t="shared" ca="1" si="676"/>
        <v>0</v>
      </c>
      <c r="DJ897" s="824">
        <f t="shared" ca="1" si="676"/>
        <v>0</v>
      </c>
      <c r="DK897" s="824">
        <f t="shared" ca="1" si="676"/>
        <v>0</v>
      </c>
      <c r="DL897" s="824">
        <f t="shared" ca="1" si="676"/>
        <v>0</v>
      </c>
    </row>
    <row r="898" spans="2:116" ht="12" thickBot="1" x14ac:dyDescent="0.3">
      <c r="B898" s="1673"/>
      <c r="C898" s="1680"/>
      <c r="D898" s="15" t="s">
        <v>125</v>
      </c>
      <c r="E898" s="116"/>
      <c r="F898" s="116">
        <f ca="1">SUBTOTAL(109,'3.5 I&amp;W'!$X$43)</f>
        <v>0</v>
      </c>
      <c r="G898" s="116">
        <f ca="1">SUBTOTAL(109,'3.5 I&amp;W'!$Y$43)</f>
        <v>0</v>
      </c>
      <c r="H898" s="116">
        <f ca="1">SUBTOTAL(109,'3.5 I&amp;W'!$AD$43)</f>
        <v>5.9945403570901585E-4</v>
      </c>
      <c r="I898" s="116">
        <f ca="1">SUBTOTAL(109,'3.5 I&amp;W'!$AE$43)</f>
        <v>42.9</v>
      </c>
      <c r="J898" s="116"/>
      <c r="K898" s="116"/>
      <c r="L898" s="116"/>
      <c r="M898" s="116">
        <f ca="1">SUBTOTAL(109,'3.5 I&amp;W'!$AI$43)</f>
        <v>30</v>
      </c>
      <c r="N898" s="156">
        <f t="shared" ca="1" si="677"/>
        <v>1</v>
      </c>
      <c r="O898" s="116">
        <f ca="1">SUBTOTAL(109,'3.5 I&amp;W'!$S$43)</f>
        <v>71565.119999999995</v>
      </c>
      <c r="P898" s="30">
        <f t="shared" ref="P898:P913" ca="1" si="680">IF(N898&gt;=1,O898*$G$158^(1*M898)/($G$157^(1*M898)),0)</f>
        <v>63607.377384804036</v>
      </c>
      <c r="Q898" s="31">
        <f t="shared" ca="1" si="667"/>
        <v>0</v>
      </c>
      <c r="R898" s="31">
        <f t="shared" ca="1" si="668"/>
        <v>0</v>
      </c>
      <c r="S898" s="31">
        <f t="shared" ca="1" si="669"/>
        <v>0</v>
      </c>
      <c r="T898" s="32">
        <f t="shared" ca="1" si="670"/>
        <v>0</v>
      </c>
      <c r="U898" s="37">
        <f t="shared" ca="1" si="678"/>
        <v>48009.301191579703</v>
      </c>
      <c r="V898" s="40">
        <f t="shared" ca="1" si="671"/>
        <v>0</v>
      </c>
      <c r="W898" s="41">
        <f t="shared" ca="1" si="672"/>
        <v>1378.0252955882922</v>
      </c>
      <c r="X898" s="43"/>
      <c r="Y898" s="46"/>
      <c r="Z898" s="126"/>
      <c r="AA898" s="136"/>
      <c r="AB898" s="72"/>
      <c r="AC898" s="1660" t="s">
        <v>191</v>
      </c>
      <c r="AD898" s="1661"/>
      <c r="AE898" s="1661"/>
      <c r="AF898" s="1662"/>
      <c r="AG898" s="1660" t="s">
        <v>112</v>
      </c>
      <c r="AH898" s="1661"/>
      <c r="AI898" s="1661"/>
      <c r="AJ898" s="1662"/>
      <c r="AK898" s="175" t="s">
        <v>249</v>
      </c>
      <c r="AL898" s="175" t="s">
        <v>269</v>
      </c>
      <c r="AM898" s="175" t="s">
        <v>270</v>
      </c>
      <c r="AN898" s="835"/>
      <c r="AO898" s="835"/>
      <c r="AP898" s="835"/>
      <c r="AQ898" s="853"/>
      <c r="AR898" s="839">
        <f>$G$169</f>
        <v>1.016</v>
      </c>
      <c r="AS898" s="839">
        <f>$G$167</f>
        <v>1.016</v>
      </c>
      <c r="AT898" s="835"/>
      <c r="AU898" s="853"/>
      <c r="AV898" s="853"/>
      <c r="AW898" s="835"/>
      <c r="AX898" s="839">
        <f>G855</f>
        <v>0</v>
      </c>
      <c r="AY898" s="842"/>
      <c r="AZ898" s="842">
        <f>$G$159</f>
        <v>1</v>
      </c>
      <c r="BA898" s="842">
        <f>$G$160</f>
        <v>1</v>
      </c>
      <c r="BB898" s="842">
        <f>$G$161</f>
        <v>1</v>
      </c>
      <c r="BC898" s="842">
        <f>$G$162</f>
        <v>1</v>
      </c>
      <c r="BD898" s="842">
        <f>$G$163</f>
        <v>1</v>
      </c>
      <c r="BE898" s="842">
        <f>$G$164</f>
        <v>1</v>
      </c>
      <c r="BF898" s="842">
        <f>$G$165</f>
        <v>1.0249999999999999</v>
      </c>
      <c r="BG898" s="842">
        <f>$G$166</f>
        <v>1.0349999999999999</v>
      </c>
      <c r="BH898" s="857"/>
      <c r="BI898" s="857">
        <f>$G$167</f>
        <v>1.016</v>
      </c>
      <c r="BJ898" s="857">
        <f>$G$167</f>
        <v>1.016</v>
      </c>
      <c r="BK898" s="856"/>
      <c r="BL898" s="824">
        <f t="shared" ca="1" si="673"/>
        <v>30</v>
      </c>
      <c r="BM898" s="824">
        <f t="shared" ca="1" si="674"/>
        <v>1</v>
      </c>
      <c r="BN898" s="824">
        <f t="shared" ca="1" si="675"/>
        <v>71565.119999999995</v>
      </c>
      <c r="BO898" s="824">
        <f t="shared" ca="1" si="679"/>
        <v>0</v>
      </c>
      <c r="BP898" s="824">
        <f t="shared" ca="1" si="676"/>
        <v>0</v>
      </c>
      <c r="BQ898" s="824">
        <f t="shared" ca="1" si="676"/>
        <v>0</v>
      </c>
      <c r="BR898" s="824">
        <f t="shared" ca="1" si="676"/>
        <v>0</v>
      </c>
      <c r="BS898" s="824">
        <f t="shared" ca="1" si="676"/>
        <v>0</v>
      </c>
      <c r="BT898" s="824">
        <f t="shared" ca="1" si="676"/>
        <v>0</v>
      </c>
      <c r="BU898" s="824">
        <f t="shared" ca="1" si="676"/>
        <v>0</v>
      </c>
      <c r="BV898" s="824">
        <f t="shared" ca="1" si="676"/>
        <v>0</v>
      </c>
      <c r="BW898" s="824">
        <f t="shared" ca="1" si="676"/>
        <v>0</v>
      </c>
      <c r="BX898" s="824">
        <f t="shared" ca="1" si="676"/>
        <v>0</v>
      </c>
      <c r="BY898" s="824">
        <f t="shared" ca="1" si="676"/>
        <v>0</v>
      </c>
      <c r="BZ898" s="824">
        <f t="shared" ca="1" si="676"/>
        <v>0</v>
      </c>
      <c r="CA898" s="824">
        <f t="shared" ca="1" si="676"/>
        <v>0</v>
      </c>
      <c r="CB898" s="824">
        <f t="shared" ca="1" si="676"/>
        <v>0</v>
      </c>
      <c r="CC898" s="824">
        <f t="shared" ca="1" si="676"/>
        <v>0</v>
      </c>
      <c r="CD898" s="824">
        <f t="shared" ca="1" si="676"/>
        <v>0</v>
      </c>
      <c r="CE898" s="824">
        <f t="shared" ca="1" si="676"/>
        <v>0</v>
      </c>
      <c r="CF898" s="824">
        <f t="shared" ca="1" si="676"/>
        <v>0</v>
      </c>
      <c r="CG898" s="824">
        <f t="shared" ca="1" si="676"/>
        <v>0</v>
      </c>
      <c r="CH898" s="824">
        <f t="shared" ca="1" si="676"/>
        <v>0</v>
      </c>
      <c r="CI898" s="824">
        <f t="shared" ca="1" si="676"/>
        <v>0</v>
      </c>
      <c r="CJ898" s="824">
        <f t="shared" ca="1" si="676"/>
        <v>0</v>
      </c>
      <c r="CK898" s="824">
        <f t="shared" ca="1" si="676"/>
        <v>0</v>
      </c>
      <c r="CL898" s="824">
        <f t="shared" ca="1" si="676"/>
        <v>0</v>
      </c>
      <c r="CM898" s="824">
        <f t="shared" ca="1" si="676"/>
        <v>0</v>
      </c>
      <c r="CN898" s="824">
        <f t="shared" ca="1" si="676"/>
        <v>0</v>
      </c>
      <c r="CO898" s="824">
        <f t="shared" ca="1" si="676"/>
        <v>0</v>
      </c>
      <c r="CP898" s="824">
        <f t="shared" ca="1" si="676"/>
        <v>0</v>
      </c>
      <c r="CQ898" s="824">
        <f t="shared" ca="1" si="676"/>
        <v>0</v>
      </c>
      <c r="CR898" s="824">
        <f t="shared" ca="1" si="676"/>
        <v>115215.95986039846</v>
      </c>
      <c r="CS898" s="824">
        <f t="shared" ca="1" si="676"/>
        <v>0</v>
      </c>
      <c r="CT898" s="824">
        <f t="shared" ca="1" si="676"/>
        <v>0</v>
      </c>
      <c r="CU898" s="824">
        <f t="shared" ca="1" si="676"/>
        <v>0</v>
      </c>
      <c r="CV898" s="824">
        <f t="shared" ca="1" si="676"/>
        <v>0</v>
      </c>
      <c r="CW898" s="824">
        <f t="shared" ca="1" si="676"/>
        <v>0</v>
      </c>
      <c r="CX898" s="824">
        <f t="shared" ca="1" si="676"/>
        <v>0</v>
      </c>
      <c r="CY898" s="824">
        <f t="shared" ca="1" si="676"/>
        <v>0</v>
      </c>
      <c r="CZ898" s="824">
        <f t="shared" ca="1" si="676"/>
        <v>0</v>
      </c>
      <c r="DA898" s="824">
        <f t="shared" ca="1" si="676"/>
        <v>0</v>
      </c>
      <c r="DB898" s="824">
        <f t="shared" ca="1" si="676"/>
        <v>0</v>
      </c>
      <c r="DC898" s="824">
        <f t="shared" ca="1" si="676"/>
        <v>0</v>
      </c>
      <c r="DD898" s="824">
        <f t="shared" ca="1" si="676"/>
        <v>0</v>
      </c>
      <c r="DE898" s="824">
        <f t="shared" ca="1" si="676"/>
        <v>0</v>
      </c>
      <c r="DF898" s="824">
        <f t="shared" ca="1" si="676"/>
        <v>0</v>
      </c>
      <c r="DG898" s="824">
        <f t="shared" ca="1" si="676"/>
        <v>0</v>
      </c>
      <c r="DH898" s="824">
        <f t="shared" ca="1" si="676"/>
        <v>0</v>
      </c>
      <c r="DI898" s="824">
        <f t="shared" ca="1" si="676"/>
        <v>0</v>
      </c>
      <c r="DJ898" s="824">
        <f t="shared" ca="1" si="676"/>
        <v>0</v>
      </c>
      <c r="DK898" s="824">
        <f t="shared" ca="1" si="676"/>
        <v>0</v>
      </c>
      <c r="DL898" s="824">
        <f t="shared" ca="1" si="676"/>
        <v>0</v>
      </c>
    </row>
    <row r="899" spans="2:116" ht="12" thickBot="1" x14ac:dyDescent="0.3">
      <c r="B899" s="1673"/>
      <c r="C899" s="1680"/>
      <c r="D899" s="15" t="s">
        <v>125</v>
      </c>
      <c r="E899" s="165"/>
      <c r="F899" s="116">
        <f ca="1">SUBTOTAL(109,'3.5 I&amp;W'!$X$44)</f>
        <v>0</v>
      </c>
      <c r="G899" s="116">
        <f ca="1">SUBTOTAL(109,'3.5 I&amp;W'!$Y$44)</f>
        <v>0</v>
      </c>
      <c r="H899" s="116">
        <f ca="1">SUBTOTAL(109,'3.5 I&amp;W'!$AD$44)</f>
        <v>0</v>
      </c>
      <c r="I899" s="116">
        <f ca="1">SUBTOTAL(109,'3.5 I&amp;W'!$AE$44)</f>
        <v>0</v>
      </c>
      <c r="J899" s="116"/>
      <c r="K899" s="116"/>
      <c r="L899" s="116"/>
      <c r="M899" s="116">
        <f ca="1">SUBTOTAL(109,'3.5 I&amp;W'!$AI$44)</f>
        <v>0</v>
      </c>
      <c r="N899" s="156">
        <f t="shared" ca="1" si="677"/>
        <v>0</v>
      </c>
      <c r="O899" s="116">
        <f ca="1">SUBTOTAL(109,'3.5 I&amp;W'!$S$44)</f>
        <v>0</v>
      </c>
      <c r="P899" s="30">
        <f t="shared" ca="1" si="680"/>
        <v>0</v>
      </c>
      <c r="Q899" s="31">
        <f t="shared" ca="1" si="667"/>
        <v>0</v>
      </c>
      <c r="R899" s="31">
        <f t="shared" ca="1" si="668"/>
        <v>0</v>
      </c>
      <c r="S899" s="31">
        <f t="shared" ca="1" si="669"/>
        <v>0</v>
      </c>
      <c r="T899" s="32">
        <f t="shared" ca="1" si="670"/>
        <v>0</v>
      </c>
      <c r="U899" s="37">
        <f t="shared" ca="1" si="678"/>
        <v>0</v>
      </c>
      <c r="V899" s="40">
        <f t="shared" ca="1" si="671"/>
        <v>0</v>
      </c>
      <c r="W899" s="41">
        <f t="shared" ca="1" si="672"/>
        <v>0</v>
      </c>
      <c r="X899" s="43"/>
      <c r="Y899" s="46"/>
      <c r="Z899" s="126"/>
      <c r="AA899" s="136"/>
      <c r="AB899" s="131" t="s">
        <v>248</v>
      </c>
      <c r="AC899" s="83" t="s">
        <v>245</v>
      </c>
      <c r="AD899" s="131" t="s">
        <v>246</v>
      </c>
      <c r="AE899" s="131" t="s">
        <v>205</v>
      </c>
      <c r="AF899" s="176" t="s">
        <v>247</v>
      </c>
      <c r="AG899" s="83" t="s">
        <v>245</v>
      </c>
      <c r="AH899" s="201" t="s">
        <v>246</v>
      </c>
      <c r="AI899" s="201" t="s">
        <v>205</v>
      </c>
      <c r="AJ899" s="202" t="s">
        <v>247</v>
      </c>
      <c r="AK899" s="311"/>
      <c r="AL899" s="72"/>
      <c r="AM899" s="79"/>
      <c r="AN899" s="843" t="s">
        <v>248</v>
      </c>
      <c r="AO899" s="836" t="s">
        <v>192</v>
      </c>
      <c r="AP899" s="836" t="s">
        <v>280</v>
      </c>
      <c r="AQ899" s="836" t="s">
        <v>284</v>
      </c>
      <c r="AR899" s="836" t="s">
        <v>332</v>
      </c>
      <c r="AS899" s="836" t="s">
        <v>281</v>
      </c>
      <c r="AT899" s="836" t="s">
        <v>282</v>
      </c>
      <c r="AU899" s="837" t="s">
        <v>544</v>
      </c>
      <c r="AV899" s="837" t="s">
        <v>542</v>
      </c>
      <c r="AW899" s="836" t="s">
        <v>396</v>
      </c>
      <c r="AX899" s="836" t="s">
        <v>414</v>
      </c>
      <c r="AY899" s="842" t="s">
        <v>481</v>
      </c>
      <c r="AZ899" s="852" t="str">
        <f>$AF$307</f>
        <v>Heizöl</v>
      </c>
      <c r="BA899" s="852" t="str">
        <f>$AG$307</f>
        <v>Erdgas</v>
      </c>
      <c r="BB899" s="852" t="str">
        <f>$AH$307</f>
        <v>Kohle</v>
      </c>
      <c r="BC899" s="852" t="str">
        <f>$AI$307</f>
        <v>Fernwärme ne.</v>
      </c>
      <c r="BD899" s="852" t="str">
        <f>$AJ$307</f>
        <v>Fernwärme e.</v>
      </c>
      <c r="BE899" s="852" t="str">
        <f>$AK$307</f>
        <v>Biomasse</v>
      </c>
      <c r="BF899" s="852" t="str">
        <f>$AL$307</f>
        <v>Strom</v>
      </c>
      <c r="BG899" s="852" t="str">
        <f>$AM$307</f>
        <v>Wärmepumpenstrom</v>
      </c>
      <c r="BH899" s="857" t="s">
        <v>481</v>
      </c>
      <c r="BI899" s="857" t="s">
        <v>63</v>
      </c>
      <c r="BJ899" s="857" t="s">
        <v>583</v>
      </c>
      <c r="BK899" s="856" t="s">
        <v>584</v>
      </c>
      <c r="BL899" s="824">
        <f t="shared" ca="1" si="673"/>
        <v>0</v>
      </c>
      <c r="BM899" s="824">
        <f t="shared" ca="1" si="674"/>
        <v>0</v>
      </c>
      <c r="BN899" s="824">
        <f t="shared" ca="1" si="675"/>
        <v>0</v>
      </c>
      <c r="BO899" s="824">
        <f t="shared" ca="1" si="679"/>
        <v>0</v>
      </c>
      <c r="BP899" s="824">
        <f t="shared" ca="1" si="679"/>
        <v>0</v>
      </c>
      <c r="BQ899" s="824">
        <f t="shared" ca="1" si="679"/>
        <v>0</v>
      </c>
      <c r="BR899" s="824">
        <f t="shared" ca="1" si="679"/>
        <v>0</v>
      </c>
      <c r="BS899" s="824">
        <f t="shared" ca="1" si="679"/>
        <v>0</v>
      </c>
      <c r="BT899" s="824">
        <f t="shared" ca="1" si="679"/>
        <v>0</v>
      </c>
      <c r="BU899" s="824">
        <f t="shared" ca="1" si="679"/>
        <v>0</v>
      </c>
      <c r="BV899" s="824">
        <f t="shared" ca="1" si="679"/>
        <v>0</v>
      </c>
      <c r="BW899" s="824">
        <f t="shared" ca="1" si="679"/>
        <v>0</v>
      </c>
      <c r="BX899" s="824">
        <f t="shared" ca="1" si="679"/>
        <v>0</v>
      </c>
      <c r="BY899" s="824">
        <f t="shared" ca="1" si="679"/>
        <v>0</v>
      </c>
      <c r="BZ899" s="824">
        <f t="shared" ca="1" si="679"/>
        <v>0</v>
      </c>
      <c r="CA899" s="824">
        <f t="shared" ca="1" si="679"/>
        <v>0</v>
      </c>
      <c r="CB899" s="824">
        <f t="shared" ca="1" si="679"/>
        <v>0</v>
      </c>
      <c r="CC899" s="824">
        <f t="shared" ca="1" si="679"/>
        <v>0</v>
      </c>
      <c r="CD899" s="824">
        <f t="shared" ca="1" si="679"/>
        <v>0</v>
      </c>
      <c r="CE899" s="824">
        <f t="shared" ca="1" si="676"/>
        <v>0</v>
      </c>
      <c r="CF899" s="824">
        <f t="shared" ca="1" si="676"/>
        <v>0</v>
      </c>
      <c r="CG899" s="824">
        <f t="shared" ca="1" si="676"/>
        <v>0</v>
      </c>
      <c r="CH899" s="824">
        <f t="shared" ca="1" si="676"/>
        <v>0</v>
      </c>
      <c r="CI899" s="824">
        <f t="shared" ca="1" si="676"/>
        <v>0</v>
      </c>
      <c r="CJ899" s="824">
        <f t="shared" ca="1" si="676"/>
        <v>0</v>
      </c>
      <c r="CK899" s="824">
        <f t="shared" ca="1" si="676"/>
        <v>0</v>
      </c>
      <c r="CL899" s="824">
        <f t="shared" ca="1" si="676"/>
        <v>0</v>
      </c>
      <c r="CM899" s="824">
        <f t="shared" ca="1" si="676"/>
        <v>0</v>
      </c>
      <c r="CN899" s="824">
        <f t="shared" ca="1" si="676"/>
        <v>0</v>
      </c>
      <c r="CO899" s="824">
        <f t="shared" ca="1" si="676"/>
        <v>0</v>
      </c>
      <c r="CP899" s="824">
        <f t="shared" ca="1" si="676"/>
        <v>0</v>
      </c>
      <c r="CQ899" s="824">
        <f t="shared" ca="1" si="676"/>
        <v>0</v>
      </c>
      <c r="CR899" s="824">
        <f t="shared" ca="1" si="676"/>
        <v>0</v>
      </c>
      <c r="CS899" s="824">
        <f t="shared" ca="1" si="676"/>
        <v>0</v>
      </c>
      <c r="CT899" s="824">
        <f t="shared" ca="1" si="676"/>
        <v>0</v>
      </c>
      <c r="CU899" s="824">
        <f t="shared" ca="1" si="676"/>
        <v>0</v>
      </c>
      <c r="CV899" s="824">
        <f t="shared" ca="1" si="676"/>
        <v>0</v>
      </c>
      <c r="CW899" s="824">
        <f t="shared" ca="1" si="676"/>
        <v>0</v>
      </c>
      <c r="CX899" s="824">
        <f t="shared" ca="1" si="676"/>
        <v>0</v>
      </c>
      <c r="CY899" s="824">
        <f t="shared" ca="1" si="676"/>
        <v>0</v>
      </c>
      <c r="CZ899" s="824">
        <f t="shared" ca="1" si="676"/>
        <v>0</v>
      </c>
      <c r="DA899" s="824">
        <f t="shared" ca="1" si="676"/>
        <v>0</v>
      </c>
      <c r="DB899" s="824">
        <f t="shared" ca="1" si="676"/>
        <v>0</v>
      </c>
      <c r="DC899" s="824">
        <f t="shared" ca="1" si="676"/>
        <v>0</v>
      </c>
      <c r="DD899" s="824">
        <f t="shared" ca="1" si="676"/>
        <v>0</v>
      </c>
      <c r="DE899" s="824">
        <f t="shared" ca="1" si="676"/>
        <v>0</v>
      </c>
      <c r="DF899" s="824">
        <f t="shared" ca="1" si="676"/>
        <v>0</v>
      </c>
      <c r="DG899" s="824">
        <f t="shared" ca="1" si="676"/>
        <v>0</v>
      </c>
      <c r="DH899" s="824">
        <f t="shared" ca="1" si="676"/>
        <v>0</v>
      </c>
      <c r="DI899" s="824">
        <f t="shared" ca="1" si="676"/>
        <v>0</v>
      </c>
      <c r="DJ899" s="824">
        <f t="shared" ca="1" si="676"/>
        <v>0</v>
      </c>
      <c r="DK899" s="824">
        <f t="shared" ca="1" si="676"/>
        <v>0</v>
      </c>
      <c r="DL899" s="824">
        <f t="shared" ca="1" si="676"/>
        <v>0</v>
      </c>
    </row>
    <row r="900" spans="2:116" ht="12" thickBot="1" x14ac:dyDescent="0.3">
      <c r="B900" s="1673"/>
      <c r="C900" s="1680"/>
      <c r="D900" s="15" t="s">
        <v>125</v>
      </c>
      <c r="E900" s="116"/>
      <c r="F900" s="116">
        <f ca="1">SUBTOTAL(109,'3.5 I&amp;W'!$X$45)</f>
        <v>0</v>
      </c>
      <c r="G900" s="116">
        <f ca="1">SUBTOTAL(109,'3.5 I&amp;W'!$Y$45)</f>
        <v>0</v>
      </c>
      <c r="H900" s="116">
        <f ca="1">SUBTOTAL(109,'3.5 I&amp;W'!$AD$45)</f>
        <v>0</v>
      </c>
      <c r="I900" s="116">
        <f ca="1">SUBTOTAL(109,'3.5 I&amp;W'!$AE$45)</f>
        <v>0</v>
      </c>
      <c r="J900" s="116"/>
      <c r="K900" s="116"/>
      <c r="L900" s="116"/>
      <c r="M900" s="116">
        <f ca="1">SUBTOTAL(109,'3.5 I&amp;W'!$AI$45)</f>
        <v>50</v>
      </c>
      <c r="N900" s="156">
        <f t="shared" ca="1" si="677"/>
        <v>0</v>
      </c>
      <c r="O900" s="116">
        <f ca="1">SUBTOTAL(109,'3.5 I&amp;W'!$S$45)</f>
        <v>93488.099999999991</v>
      </c>
      <c r="P900" s="30">
        <f t="shared" ca="1" si="680"/>
        <v>0</v>
      </c>
      <c r="Q900" s="31">
        <f t="shared" ca="1" si="667"/>
        <v>0</v>
      </c>
      <c r="R900" s="31">
        <f t="shared" ca="1" si="668"/>
        <v>0</v>
      </c>
      <c r="S900" s="31">
        <f t="shared" ca="1" si="669"/>
        <v>0</v>
      </c>
      <c r="T900" s="32">
        <f t="shared" ca="1" si="670"/>
        <v>0</v>
      </c>
      <c r="U900" s="37">
        <f t="shared" ca="1" si="678"/>
        <v>14023.989456148596</v>
      </c>
      <c r="V900" s="40">
        <f t="shared" ca="1" si="671"/>
        <v>0</v>
      </c>
      <c r="W900" s="41">
        <f t="shared" ca="1" si="672"/>
        <v>0</v>
      </c>
      <c r="X900" s="43"/>
      <c r="Y900" s="46"/>
      <c r="Z900" s="126"/>
      <c r="AA900" s="136"/>
      <c r="AB900" s="131">
        <v>0</v>
      </c>
      <c r="AC900" s="168"/>
      <c r="AD900" s="169"/>
      <c r="AE900" s="169"/>
      <c r="AF900" s="170">
        <f ca="1">'3.5 Fi&amp;Fo'!$F$25</f>
        <v>1154301.8639999991</v>
      </c>
      <c r="AG900" s="168"/>
      <c r="AH900" s="203"/>
      <c r="AI900" s="203"/>
      <c r="AJ900" s="204">
        <f>'3.5 Fi&amp;Fo'!$G$19</f>
        <v>1897302</v>
      </c>
      <c r="AK900" s="312">
        <f ca="1">AF900+AJ900</f>
        <v>3051603.8639999991</v>
      </c>
      <c r="AL900" s="310">
        <f>'3.5 Fi&amp;Fo'!$G$14</f>
        <v>44625</v>
      </c>
      <c r="AM900" s="177">
        <f>'3.5 Fi&amp;Fo'!$G$17</f>
        <v>1114633.632</v>
      </c>
      <c r="AN900" s="838">
        <v>0</v>
      </c>
      <c r="AO900" s="844">
        <v>0</v>
      </c>
      <c r="AP900" s="844">
        <f>BN1005</f>
        <v>0</v>
      </c>
      <c r="AQ900" s="844">
        <f>IF(AN900=$AO$198,$G$16*$G$157^AN900,0)</f>
        <v>0</v>
      </c>
      <c r="AR900" s="844">
        <v>0</v>
      </c>
      <c r="AS900" s="844">
        <v>0</v>
      </c>
      <c r="AT900" s="844">
        <v>0</v>
      </c>
      <c r="AU900" s="844">
        <v>0</v>
      </c>
      <c r="AV900" s="844">
        <v>0</v>
      </c>
      <c r="AW900" s="844">
        <f>IF(ISNA(VLOOKUP(B871,$N$6:$O$10,2,FALSE)),0,VLOOKUP(B871,$N$6:$O$10,2,FALSE))</f>
        <v>0</v>
      </c>
      <c r="AX900" s="844">
        <v>0</v>
      </c>
      <c r="AY900" s="841">
        <f>AN900</f>
        <v>0</v>
      </c>
      <c r="AZ900" s="842">
        <v>0</v>
      </c>
      <c r="BA900" s="842">
        <v>0</v>
      </c>
      <c r="BB900" s="842">
        <v>0</v>
      </c>
      <c r="BC900" s="842">
        <v>0</v>
      </c>
      <c r="BD900" s="842">
        <v>0</v>
      </c>
      <c r="BE900" s="842">
        <v>0</v>
      </c>
      <c r="BF900" s="842">
        <v>0</v>
      </c>
      <c r="BG900" s="842">
        <v>0</v>
      </c>
      <c r="BH900" s="858">
        <f>AN900</f>
        <v>0</v>
      </c>
      <c r="BI900" s="858">
        <v>0</v>
      </c>
      <c r="BJ900" s="858">
        <v>0</v>
      </c>
      <c r="BK900" s="859">
        <v>0</v>
      </c>
      <c r="BL900" s="824">
        <f t="shared" ca="1" si="673"/>
        <v>50</v>
      </c>
      <c r="BM900" s="824">
        <f t="shared" ca="1" si="674"/>
        <v>0</v>
      </c>
      <c r="BN900" s="824">
        <f t="shared" ca="1" si="675"/>
        <v>93488.099999999991</v>
      </c>
      <c r="BO900" s="824">
        <f t="shared" ca="1" si="679"/>
        <v>0</v>
      </c>
      <c r="BP900" s="824">
        <f t="shared" ca="1" si="679"/>
        <v>0</v>
      </c>
      <c r="BQ900" s="824">
        <f t="shared" ca="1" si="679"/>
        <v>0</v>
      </c>
      <c r="BR900" s="824">
        <f t="shared" ca="1" si="679"/>
        <v>0</v>
      </c>
      <c r="BS900" s="824">
        <f t="shared" ca="1" si="679"/>
        <v>0</v>
      </c>
      <c r="BT900" s="824">
        <f t="shared" ca="1" si="679"/>
        <v>0</v>
      </c>
      <c r="BU900" s="824">
        <f t="shared" ca="1" si="679"/>
        <v>0</v>
      </c>
      <c r="BV900" s="824">
        <f t="shared" ca="1" si="679"/>
        <v>0</v>
      </c>
      <c r="BW900" s="824">
        <f t="shared" ca="1" si="679"/>
        <v>0</v>
      </c>
      <c r="BX900" s="824">
        <f t="shared" ca="1" si="679"/>
        <v>0</v>
      </c>
      <c r="BY900" s="824">
        <f t="shared" ca="1" si="679"/>
        <v>0</v>
      </c>
      <c r="BZ900" s="824">
        <f t="shared" ca="1" si="679"/>
        <v>0</v>
      </c>
      <c r="CA900" s="824">
        <f t="shared" ca="1" si="679"/>
        <v>0</v>
      </c>
      <c r="CB900" s="824">
        <f t="shared" ca="1" si="679"/>
        <v>0</v>
      </c>
      <c r="CC900" s="824">
        <f t="shared" ca="1" si="679"/>
        <v>0</v>
      </c>
      <c r="CD900" s="824">
        <f t="shared" ca="1" si="679"/>
        <v>0</v>
      </c>
      <c r="CE900" s="824">
        <f t="shared" ca="1" si="676"/>
        <v>0</v>
      </c>
      <c r="CF900" s="824">
        <f t="shared" ca="1" si="676"/>
        <v>0</v>
      </c>
      <c r="CG900" s="824">
        <f t="shared" ca="1" si="676"/>
        <v>0</v>
      </c>
      <c r="CH900" s="824">
        <f t="shared" ca="1" si="676"/>
        <v>0</v>
      </c>
      <c r="CI900" s="824">
        <f t="shared" ca="1" si="676"/>
        <v>0</v>
      </c>
      <c r="CJ900" s="824">
        <f t="shared" ca="1" si="676"/>
        <v>0</v>
      </c>
      <c r="CK900" s="824">
        <f t="shared" ca="1" si="676"/>
        <v>0</v>
      </c>
      <c r="CL900" s="824">
        <f t="shared" ca="1" si="676"/>
        <v>0</v>
      </c>
      <c r="CM900" s="824">
        <f t="shared" ca="1" si="676"/>
        <v>0</v>
      </c>
      <c r="CN900" s="824">
        <f t="shared" ca="1" si="676"/>
        <v>0</v>
      </c>
      <c r="CO900" s="824">
        <f t="shared" ca="1" si="676"/>
        <v>0</v>
      </c>
      <c r="CP900" s="824">
        <f t="shared" ca="1" si="676"/>
        <v>0</v>
      </c>
      <c r="CQ900" s="824">
        <f t="shared" ca="1" si="676"/>
        <v>0</v>
      </c>
      <c r="CR900" s="824">
        <f t="shared" ca="1" si="676"/>
        <v>0</v>
      </c>
      <c r="CS900" s="824">
        <f t="shared" ca="1" si="676"/>
        <v>0</v>
      </c>
      <c r="CT900" s="824">
        <f t="shared" ca="1" si="676"/>
        <v>0</v>
      </c>
      <c r="CU900" s="824">
        <f t="shared" ca="1" si="676"/>
        <v>0</v>
      </c>
      <c r="CV900" s="824">
        <f t="shared" ca="1" si="676"/>
        <v>0</v>
      </c>
      <c r="CW900" s="824">
        <f t="shared" ca="1" si="676"/>
        <v>0</v>
      </c>
      <c r="CX900" s="824">
        <f t="shared" ca="1" si="676"/>
        <v>0</v>
      </c>
      <c r="CY900" s="824">
        <f t="shared" ca="1" si="676"/>
        <v>0</v>
      </c>
      <c r="CZ900" s="824">
        <f t="shared" ca="1" si="676"/>
        <v>0</v>
      </c>
      <c r="DA900" s="824">
        <f t="shared" ca="1" si="676"/>
        <v>0</v>
      </c>
      <c r="DB900" s="824">
        <f t="shared" ca="1" si="676"/>
        <v>0</v>
      </c>
      <c r="DC900" s="824">
        <f t="shared" ca="1" si="676"/>
        <v>0</v>
      </c>
      <c r="DD900" s="824">
        <f t="shared" ca="1" si="676"/>
        <v>0</v>
      </c>
      <c r="DE900" s="824">
        <f t="shared" ca="1" si="676"/>
        <v>0</v>
      </c>
      <c r="DF900" s="824">
        <f t="shared" ca="1" si="676"/>
        <v>0</v>
      </c>
      <c r="DG900" s="824">
        <f t="shared" ca="1" si="676"/>
        <v>0</v>
      </c>
      <c r="DH900" s="824">
        <f t="shared" ca="1" si="676"/>
        <v>0</v>
      </c>
      <c r="DI900" s="824">
        <f t="shared" ca="1" si="676"/>
        <v>0</v>
      </c>
      <c r="DJ900" s="824">
        <f t="shared" ca="1" si="676"/>
        <v>0</v>
      </c>
      <c r="DK900" s="824">
        <f t="shared" ca="1" si="676"/>
        <v>0</v>
      </c>
      <c r="DL900" s="824">
        <f t="shared" ca="1" si="676"/>
        <v>0</v>
      </c>
    </row>
    <row r="901" spans="2:116" ht="12" thickBot="1" x14ac:dyDescent="0.3">
      <c r="B901" s="1673"/>
      <c r="C901" s="1680"/>
      <c r="D901" s="15" t="s">
        <v>125</v>
      </c>
      <c r="E901" s="165"/>
      <c r="F901" s="116">
        <f ca="1">SUBTOTAL(109,'3.5 I&amp;W'!$X$46)</f>
        <v>0</v>
      </c>
      <c r="G901" s="116">
        <f ca="1">SUBTOTAL(109,'3.5 I&amp;W'!$Y$46)</f>
        <v>0</v>
      </c>
      <c r="H901" s="116">
        <f ca="1">SUBTOTAL(109,'3.5 I&amp;W'!$AD$46)</f>
        <v>0</v>
      </c>
      <c r="I901" s="116">
        <f ca="1">SUBTOTAL(109,'3.5 I&amp;W'!$AE$46)</f>
        <v>0</v>
      </c>
      <c r="J901" s="116"/>
      <c r="K901" s="116"/>
      <c r="L901" s="116"/>
      <c r="M901" s="116">
        <f ca="1">SUBTOTAL(109,'3.5 I&amp;W'!$AI$46)</f>
        <v>0</v>
      </c>
      <c r="N901" s="156">
        <f t="shared" ca="1" si="677"/>
        <v>0</v>
      </c>
      <c r="O901" s="116">
        <f ca="1">SUBTOTAL(109,'3.5 I&amp;W'!$S$46)</f>
        <v>0</v>
      </c>
      <c r="P901" s="30">
        <f t="shared" ca="1" si="680"/>
        <v>0</v>
      </c>
      <c r="Q901" s="31">
        <f t="shared" ca="1" si="667"/>
        <v>0</v>
      </c>
      <c r="R901" s="31">
        <f t="shared" ca="1" si="668"/>
        <v>0</v>
      </c>
      <c r="S901" s="31">
        <f t="shared" ca="1" si="669"/>
        <v>0</v>
      </c>
      <c r="T901" s="32">
        <f t="shared" ca="1" si="670"/>
        <v>0</v>
      </c>
      <c r="U901" s="37">
        <f t="shared" ca="1" si="678"/>
        <v>0</v>
      </c>
      <c r="V901" s="40">
        <f t="shared" ca="1" si="671"/>
        <v>0</v>
      </c>
      <c r="W901" s="41">
        <f t="shared" ca="1" si="672"/>
        <v>0</v>
      </c>
      <c r="X901" s="43"/>
      <c r="Y901" s="46"/>
      <c r="Z901" s="126"/>
      <c r="AA901" s="136"/>
      <c r="AB901" s="131">
        <v>1</v>
      </c>
      <c r="AC901" s="168">
        <f ca="1">IF(AF900&lt;=1,0,'3.5 Fi&amp;Fo'!$I$25)</f>
        <v>46174.624633000763</v>
      </c>
      <c r="AD901" s="169">
        <f ca="1">IF(AF900&lt;=1,0,AF900*'3.5 Fi&amp;Fo'!$H$25)</f>
        <v>23086.037279999982</v>
      </c>
      <c r="AE901" s="169">
        <f t="shared" ref="AE901:AE950" ca="1" si="681">AC901-AD901</f>
        <v>23088.587353000781</v>
      </c>
      <c r="AF901" s="170">
        <f t="shared" ref="AF901:AF950" ca="1" si="682">AF900-AE901</f>
        <v>1131213.2766469982</v>
      </c>
      <c r="AG901" s="168">
        <f>IF(AJ900&lt;=1,0,IF(AB901&lt;='3.5 Fi&amp;Fo'!$F$34,'3.5 Fi&amp;Fo'!$J$34,IF(AB901&lt;='3.5 Fi&amp;Fo'!$F$35,'3.5 Fi&amp;Fo'!$J$35,IF(AB901&lt;='3.5 Fi&amp;Fo'!$F$36,'3.5 Fi&amp;Fo'!$J$36,IF(AB901&lt;='3.5 Fi&amp;Fo'!$F$37,'3.5 Fi&amp;Fo'!$J$37,IF(AB901&lt;='3.5 Fi&amp;Fo'!$F$38,'3.5 Fi&amp;Fo'!$J$38,IF(AB901&lt;='3.5 Fi&amp;Fo'!$F$39,'3.5 Fi&amp;Fo'!$J$39,IF(AB901&lt;='3.5 Fi&amp;Fo'!$F$40,'3.5 Fi&amp;Fo'!$J$40))))))))</f>
        <v>28471.53</v>
      </c>
      <c r="AH901" s="203">
        <f>IF(AJ900&lt;=1,0,AJ900*IF(AB901&lt;='3.5 Fi&amp;Fo'!$F$34,'3.5 Fi&amp;Fo'!$I$34,IF(AB901&lt;='3.5 Fi&amp;Fo'!$F$35,'3.5 Fi&amp;Fo'!$I$35,IF(AB901&lt;='3.5 Fi&amp;Fo'!$F$38,'3.5 Fi&amp;Fo'!$I$38,IF(AB901&lt;='3.5 Fi&amp;Fo'!$F$39,'3.5 Fi&amp;Fo'!$I$39,IF(AB901&lt;='3.5 Fi&amp;Fo'!$F$40,'3.5 Fi&amp;Fo'!$I$40))))))</f>
        <v>28459.53</v>
      </c>
      <c r="AI901" s="203">
        <f t="shared" ref="AI901:AI932" si="683">AG901-AH901</f>
        <v>12</v>
      </c>
      <c r="AJ901" s="204">
        <f t="shared" ref="AJ901:AJ950" si="684">AJ900-AI901</f>
        <v>1897290</v>
      </c>
      <c r="AK901" s="312">
        <f t="shared" ref="AK901:AK932" ca="1" si="685">-AC901-AG901+AL901-AM901</f>
        <v>-96938.827273000759</v>
      </c>
      <c r="AL901" s="169">
        <f>IF(AB901&lt;='3.5 Fi&amp;Fo'!$J$15,'3.5 Fi&amp;Fo'!$I$15,0)</f>
        <v>0</v>
      </c>
      <c r="AM901" s="169">
        <f>IF(AB901&lt;=$G$154,($AM$900*(1+$D$152)^AB901-$AM$900*(1+$D$152)^AB900),0)</f>
        <v>22292.672640000004</v>
      </c>
      <c r="AN901" s="838">
        <f>IF($AO$198&gt;1,1,"")</f>
        <v>1</v>
      </c>
      <c r="AO901" s="844">
        <f t="shared" ref="AO901:AO950" ca="1" si="686">AK901*-1</f>
        <v>96938.827273000759</v>
      </c>
      <c r="AP901" s="839">
        <f ca="1">BO1005</f>
        <v>0</v>
      </c>
      <c r="AQ901" s="844">
        <f t="shared" ref="AQ901:AQ950" si="687">IF(AN901=$AO$198,$G$16*$G$157^AN901,0)</f>
        <v>0</v>
      </c>
      <c r="AR901" s="839">
        <f ca="1">G1035</f>
        <v>0</v>
      </c>
      <c r="AS901" s="839">
        <f ca="1">SUM(BI901:BK901)</f>
        <v>7919.2999999999993</v>
      </c>
      <c r="AT901" s="839">
        <f ca="1">SUM(AZ901:BG901)</f>
        <v>8469.1298366400006</v>
      </c>
      <c r="AU901" s="844">
        <f ca="1">'PV-Einspeisung'!AA272*-1</f>
        <v>-603.35</v>
      </c>
      <c r="AV901" s="844">
        <f>'PV-Einspeisung'!AE272*-1</f>
        <v>-1555.1999999999998</v>
      </c>
      <c r="AW901" s="839"/>
      <c r="AX901" s="839">
        <f ca="1">IF(-$AG$108*$G$152&lt;=0,-$AG$108*$G$152,0)*-1</f>
        <v>0</v>
      </c>
      <c r="AY901" s="841">
        <f t="shared" ref="AY901:AY950" si="688">AN901</f>
        <v>1</v>
      </c>
      <c r="AZ901" s="842">
        <f ca="1">AF1005</f>
        <v>0</v>
      </c>
      <c r="BA901" s="842">
        <f t="shared" ref="BA901" ca="1" si="689">AG1005</f>
        <v>0</v>
      </c>
      <c r="BB901" s="842">
        <f t="shared" ref="BB901" ca="1" si="690">AH1005</f>
        <v>0</v>
      </c>
      <c r="BC901" s="842">
        <f t="shared" ref="BC901" ca="1" si="691">AI1005</f>
        <v>0</v>
      </c>
      <c r="BD901" s="842">
        <f t="shared" ref="BD901" ca="1" si="692">AJ1005</f>
        <v>0</v>
      </c>
      <c r="BE901" s="842">
        <f t="shared" ref="BE901" ca="1" si="693">AK1005</f>
        <v>0</v>
      </c>
      <c r="BF901" s="842">
        <f t="shared" ref="BF901" ca="1" si="694">AL1005</f>
        <v>6456.61310976</v>
      </c>
      <c r="BG901" s="842">
        <f t="shared" ref="BG901" ca="1" si="695">AM1005</f>
        <v>2012.5167268799999</v>
      </c>
      <c r="BH901" s="858">
        <f t="shared" ref="BH901:BH950" si="696">AN901</f>
        <v>1</v>
      </c>
      <c r="BI901" s="858">
        <f ca="1">J1035</f>
        <v>2996.3999999999996</v>
      </c>
      <c r="BJ901" s="858">
        <f ca="1">I1035</f>
        <v>4922.8999999999996</v>
      </c>
      <c r="BK901" s="859">
        <f ca="1">'PV-Einspeisung'!AB272*-1</f>
        <v>0</v>
      </c>
      <c r="BL901" s="824">
        <f t="shared" ca="1" si="673"/>
        <v>0</v>
      </c>
      <c r="BM901" s="824">
        <f t="shared" ca="1" si="674"/>
        <v>0</v>
      </c>
      <c r="BN901" s="824">
        <f t="shared" ca="1" si="675"/>
        <v>0</v>
      </c>
      <c r="BO901" s="824">
        <f t="shared" ca="1" si="679"/>
        <v>0</v>
      </c>
      <c r="BP901" s="824">
        <f t="shared" ca="1" si="679"/>
        <v>0</v>
      </c>
      <c r="BQ901" s="824">
        <f t="shared" ca="1" si="679"/>
        <v>0</v>
      </c>
      <c r="BR901" s="824">
        <f t="shared" ca="1" si="679"/>
        <v>0</v>
      </c>
      <c r="BS901" s="824">
        <f t="shared" ca="1" si="679"/>
        <v>0</v>
      </c>
      <c r="BT901" s="824">
        <f t="shared" ca="1" si="679"/>
        <v>0</v>
      </c>
      <c r="BU901" s="824">
        <f t="shared" ca="1" si="679"/>
        <v>0</v>
      </c>
      <c r="BV901" s="824">
        <f t="shared" ca="1" si="679"/>
        <v>0</v>
      </c>
      <c r="BW901" s="824">
        <f t="shared" ca="1" si="679"/>
        <v>0</v>
      </c>
      <c r="BX901" s="824">
        <f t="shared" ca="1" si="679"/>
        <v>0</v>
      </c>
      <c r="BY901" s="824">
        <f t="shared" ca="1" si="679"/>
        <v>0</v>
      </c>
      <c r="BZ901" s="824">
        <f t="shared" ca="1" si="679"/>
        <v>0</v>
      </c>
      <c r="CA901" s="824">
        <f t="shared" ca="1" si="679"/>
        <v>0</v>
      </c>
      <c r="CB901" s="824">
        <f t="shared" ca="1" si="679"/>
        <v>0</v>
      </c>
      <c r="CC901" s="824">
        <f t="shared" ca="1" si="679"/>
        <v>0</v>
      </c>
      <c r="CD901" s="824">
        <f t="shared" ca="1" si="679"/>
        <v>0</v>
      </c>
      <c r="CE901" s="824">
        <f t="shared" ca="1" si="676"/>
        <v>0</v>
      </c>
      <c r="CF901" s="824">
        <f t="shared" ca="1" si="676"/>
        <v>0</v>
      </c>
      <c r="CG901" s="824">
        <f t="shared" ca="1" si="676"/>
        <v>0</v>
      </c>
      <c r="CH901" s="824">
        <f t="shared" ca="1" si="676"/>
        <v>0</v>
      </c>
      <c r="CI901" s="824">
        <f t="shared" ca="1" si="676"/>
        <v>0</v>
      </c>
      <c r="CJ901" s="824">
        <f t="shared" ca="1" si="676"/>
        <v>0</v>
      </c>
      <c r="CK901" s="824">
        <f t="shared" ca="1" si="676"/>
        <v>0</v>
      </c>
      <c r="CL901" s="824">
        <f t="shared" ca="1" si="676"/>
        <v>0</v>
      </c>
      <c r="CM901" s="824">
        <f t="shared" ca="1" si="676"/>
        <v>0</v>
      </c>
      <c r="CN901" s="824">
        <f t="shared" ca="1" si="676"/>
        <v>0</v>
      </c>
      <c r="CO901" s="824">
        <f t="shared" ca="1" si="676"/>
        <v>0</v>
      </c>
      <c r="CP901" s="824">
        <f t="shared" ca="1" si="676"/>
        <v>0</v>
      </c>
      <c r="CQ901" s="824">
        <f t="shared" ca="1" si="676"/>
        <v>0</v>
      </c>
      <c r="CR901" s="824">
        <f t="shared" ca="1" si="676"/>
        <v>0</v>
      </c>
      <c r="CS901" s="824">
        <f t="shared" ca="1" si="676"/>
        <v>0</v>
      </c>
      <c r="CT901" s="824">
        <f t="shared" ca="1" si="676"/>
        <v>0</v>
      </c>
      <c r="CU901" s="824">
        <f t="shared" ca="1" si="676"/>
        <v>0</v>
      </c>
      <c r="CV901" s="824">
        <f t="shared" ca="1" si="676"/>
        <v>0</v>
      </c>
      <c r="CW901" s="824">
        <f t="shared" ca="1" si="676"/>
        <v>0</v>
      </c>
      <c r="CX901" s="824">
        <f t="shared" ca="1" si="676"/>
        <v>0</v>
      </c>
      <c r="CY901" s="824">
        <f t="shared" ca="1" si="676"/>
        <v>0</v>
      </c>
      <c r="CZ901" s="824">
        <f t="shared" ca="1" si="676"/>
        <v>0</v>
      </c>
      <c r="DA901" s="824">
        <f t="shared" ca="1" si="676"/>
        <v>0</v>
      </c>
      <c r="DB901" s="824">
        <f t="shared" ca="1" si="676"/>
        <v>0</v>
      </c>
      <c r="DC901" s="824">
        <f t="shared" ca="1" si="676"/>
        <v>0</v>
      </c>
      <c r="DD901" s="824">
        <f t="shared" ca="1" si="676"/>
        <v>0</v>
      </c>
      <c r="DE901" s="824">
        <f t="shared" ca="1" si="676"/>
        <v>0</v>
      </c>
      <c r="DF901" s="824">
        <f t="shared" ca="1" si="676"/>
        <v>0</v>
      </c>
      <c r="DG901" s="824">
        <f t="shared" ca="1" si="676"/>
        <v>0</v>
      </c>
      <c r="DH901" s="824">
        <f t="shared" ca="1" si="676"/>
        <v>0</v>
      </c>
      <c r="DI901" s="824">
        <f t="shared" ca="1" si="676"/>
        <v>0</v>
      </c>
      <c r="DJ901" s="824">
        <f t="shared" ca="1" si="676"/>
        <v>0</v>
      </c>
      <c r="DK901" s="824">
        <f t="shared" ca="1" si="676"/>
        <v>0</v>
      </c>
      <c r="DL901" s="824">
        <f t="shared" ca="1" si="676"/>
        <v>0</v>
      </c>
    </row>
    <row r="902" spans="2:116" ht="12" thickBot="1" x14ac:dyDescent="0.3">
      <c r="B902" s="1673"/>
      <c r="C902" s="1680"/>
      <c r="D902" s="15" t="s">
        <v>126</v>
      </c>
      <c r="E902" s="116"/>
      <c r="F902" s="116">
        <f ca="1">SUBTOTAL(109,'3.5 I&amp;W'!$X$49)</f>
        <v>0</v>
      </c>
      <c r="G902" s="116">
        <f ca="1">SUBTOTAL(109,'3.5 I&amp;W'!$Y$49)</f>
        <v>0</v>
      </c>
      <c r="H902" s="116">
        <f ca="1">SUBTOTAL(109,'3.5 I&amp;W'!$AD$49)</f>
        <v>0</v>
      </c>
      <c r="I902" s="116">
        <f ca="1">SUBTOTAL(109,'3.5 I&amp;W'!$AE$49)</f>
        <v>0</v>
      </c>
      <c r="J902" s="116"/>
      <c r="K902" s="116"/>
      <c r="L902" s="116"/>
      <c r="M902" s="116">
        <f ca="1">SUBTOTAL(109,'3.5 I&amp;W'!$AI$49)</f>
        <v>0</v>
      </c>
      <c r="N902" s="156">
        <f t="shared" ca="1" si="677"/>
        <v>0</v>
      </c>
      <c r="O902" s="116">
        <f ca="1">SUBTOTAL(109,'3.5 I&amp;W'!$S$49)</f>
        <v>0</v>
      </c>
      <c r="P902" s="30">
        <f t="shared" ca="1" si="680"/>
        <v>0</v>
      </c>
      <c r="Q902" s="31">
        <f t="shared" ca="1" si="667"/>
        <v>0</v>
      </c>
      <c r="R902" s="31">
        <f t="shared" ca="1" si="668"/>
        <v>0</v>
      </c>
      <c r="S902" s="31">
        <f t="shared" ca="1" si="669"/>
        <v>0</v>
      </c>
      <c r="T902" s="32">
        <f t="shared" ca="1" si="670"/>
        <v>0</v>
      </c>
      <c r="U902" s="37">
        <f t="shared" ca="1" si="678"/>
        <v>0</v>
      </c>
      <c r="V902" s="40">
        <f t="shared" ca="1" si="671"/>
        <v>0</v>
      </c>
      <c r="W902" s="41">
        <f t="shared" ca="1" si="672"/>
        <v>0</v>
      </c>
      <c r="X902" s="43"/>
      <c r="Y902" s="46"/>
      <c r="Z902" s="126"/>
      <c r="AA902" s="136"/>
      <c r="AB902" s="131">
        <v>2</v>
      </c>
      <c r="AC902" s="168">
        <f ca="1">IF(AF901&lt;=1,0,'3.5 Fi&amp;Fo'!$I$25)</f>
        <v>46174.624633000763</v>
      </c>
      <c r="AD902" s="169">
        <f ca="1">IF(AF901&lt;=1,0,AF901*'3.5 Fi&amp;Fo'!$H$25)</f>
        <v>22624.265532939964</v>
      </c>
      <c r="AE902" s="169">
        <f t="shared" ca="1" si="681"/>
        <v>23550.359100060799</v>
      </c>
      <c r="AF902" s="170">
        <f t="shared" ca="1" si="682"/>
        <v>1107662.9175469375</v>
      </c>
      <c r="AG902" s="168">
        <f>IF(AJ901&lt;=1,0,IF(AB902&lt;='3.5 Fi&amp;Fo'!$F$34,'3.5 Fi&amp;Fo'!$J$34,IF(AB902&lt;='3.5 Fi&amp;Fo'!$F$35,'3.5 Fi&amp;Fo'!$J$35,IF(AB902&lt;='3.5 Fi&amp;Fo'!$F$36,'3.5 Fi&amp;Fo'!$J$36,IF(AB902&lt;='3.5 Fi&amp;Fo'!$F$37,'3.5 Fi&amp;Fo'!$J$37,IF(AB902&lt;='3.5 Fi&amp;Fo'!$F$38,'3.5 Fi&amp;Fo'!$J$38,IF(AB902&lt;='3.5 Fi&amp;Fo'!$F$39,'3.5 Fi&amp;Fo'!$J$39,IF(AB902&lt;='3.5 Fi&amp;Fo'!$F$40,'3.5 Fi&amp;Fo'!$J$40))))))))</f>
        <v>28471.53</v>
      </c>
      <c r="AH902" s="203">
        <f>IF(AJ901&lt;=1,0,AJ901*IF(AB902&lt;='3.5 Fi&amp;Fo'!$F$34,'3.5 Fi&amp;Fo'!$I$34,IF(AB902&lt;='3.5 Fi&amp;Fo'!$F$35,'3.5 Fi&amp;Fo'!$I$35,IF(AB902&lt;='3.5 Fi&amp;Fo'!$F$38,'3.5 Fi&amp;Fo'!$I$38,IF(AB902&lt;='3.5 Fi&amp;Fo'!$F$39,'3.5 Fi&amp;Fo'!$I$39,IF(AB902&lt;='3.5 Fi&amp;Fo'!$F$40,'3.5 Fi&amp;Fo'!$I$40))))))</f>
        <v>28459.35</v>
      </c>
      <c r="AI902" s="203">
        <f t="shared" si="683"/>
        <v>12.180000000000291</v>
      </c>
      <c r="AJ902" s="204">
        <f t="shared" si="684"/>
        <v>1897277.82</v>
      </c>
      <c r="AK902" s="312">
        <f t="shared" ca="1" si="685"/>
        <v>-97384.680725800834</v>
      </c>
      <c r="AL902" s="169">
        <f>IF(AB902&lt;='3.5 Fi&amp;Fo'!$J$15,'3.5 Fi&amp;Fo'!$I$15,0)</f>
        <v>0</v>
      </c>
      <c r="AM902" s="169">
        <f t="shared" ref="AM902:AM950" si="697">IF(AB902&lt;=$G$154,($AM$900*(1+$D$152)^AB902-$AM$900*(1+$D$152)^AB901),0)</f>
        <v>22738.526092800079</v>
      </c>
      <c r="AN902" s="838">
        <f>IF($AO$198&gt;AN901,AN901+1,"")</f>
        <v>2</v>
      </c>
      <c r="AO902" s="844">
        <f t="shared" ca="1" si="686"/>
        <v>97384.680725800834</v>
      </c>
      <c r="AP902" s="839">
        <f ca="1">BP1005</f>
        <v>0</v>
      </c>
      <c r="AQ902" s="844">
        <f t="shared" si="687"/>
        <v>0</v>
      </c>
      <c r="AR902" s="839">
        <f ca="1">IF(AN902="","",AR901*$AR$201)</f>
        <v>0</v>
      </c>
      <c r="AS902" s="839">
        <f t="shared" ref="AS902:AS950" ca="1" si="698">SUM(BI902:BK902)</f>
        <v>8046.0087999999996</v>
      </c>
      <c r="AT902" s="839">
        <f t="shared" ref="AT902:AT950" ca="1" si="699">SUM(AZ902:BG902)</f>
        <v>8700.9832498247997</v>
      </c>
      <c r="AU902" s="844">
        <f ca="1">'PV-Einspeisung'!AA273*-1</f>
        <v>-618.43374999999992</v>
      </c>
      <c r="AV902" s="844">
        <f>'PV-Einspeisung'!AE273*-1</f>
        <v>-1594.0799999999997</v>
      </c>
      <c r="AW902" s="839"/>
      <c r="AX902" s="839">
        <f ca="1">IF(AN902="","",AX901*$AX$201)</f>
        <v>0</v>
      </c>
      <c r="AY902" s="841">
        <f t="shared" si="688"/>
        <v>2</v>
      </c>
      <c r="AZ902" s="842">
        <f ca="1">IF($AN902="","",AZ901*$AZ$201)</f>
        <v>0</v>
      </c>
      <c r="BA902" s="842">
        <f ca="1">IF($AN902="","",BA901*$BA$201)</f>
        <v>0</v>
      </c>
      <c r="BB902" s="842">
        <f ca="1">IF($AN902="","",BB901*$BB$201)</f>
        <v>0</v>
      </c>
      <c r="BC902" s="842">
        <f ca="1">IF($AN902="","",BC901*$BC$201)</f>
        <v>0</v>
      </c>
      <c r="BD902" s="842">
        <f ca="1">IF($AN902="","",BD901*$BD$201)</f>
        <v>0</v>
      </c>
      <c r="BE902" s="842">
        <f ca="1">IF($AN902="","",BE901*$BE$201)</f>
        <v>0</v>
      </c>
      <c r="BF902" s="842">
        <f ca="1">IF($AN902="","",BF901*$BF$201)</f>
        <v>6618.0284375039992</v>
      </c>
      <c r="BG902" s="842">
        <f ca="1">IF($AN902="","",BG901*$BG$201)</f>
        <v>2082.9548123207996</v>
      </c>
      <c r="BH902" s="858">
        <f t="shared" si="696"/>
        <v>2</v>
      </c>
      <c r="BI902" s="857">
        <f ca="1">IF($AN902="","",BI901*$BI$201)</f>
        <v>3044.3423999999995</v>
      </c>
      <c r="BJ902" s="857">
        <f ca="1">IF($AN902="","",BJ901*$BJ$201)</f>
        <v>5001.6664000000001</v>
      </c>
      <c r="BK902" s="859">
        <f ca="1">'PV-Einspeisung'!AB273*-1</f>
        <v>0</v>
      </c>
      <c r="BL902" s="824">
        <f t="shared" ca="1" si="673"/>
        <v>0</v>
      </c>
      <c r="BM902" s="824">
        <f t="shared" ca="1" si="674"/>
        <v>0</v>
      </c>
      <c r="BN902" s="824">
        <f t="shared" ca="1" si="675"/>
        <v>0</v>
      </c>
      <c r="BO902" s="824">
        <f t="shared" ca="1" si="679"/>
        <v>0</v>
      </c>
      <c r="BP902" s="824">
        <f t="shared" ca="1" si="679"/>
        <v>0</v>
      </c>
      <c r="BQ902" s="824">
        <f t="shared" ca="1" si="679"/>
        <v>0</v>
      </c>
      <c r="BR902" s="824">
        <f t="shared" ca="1" si="679"/>
        <v>0</v>
      </c>
      <c r="BS902" s="824">
        <f t="shared" ca="1" si="679"/>
        <v>0</v>
      </c>
      <c r="BT902" s="824">
        <f t="shared" ca="1" si="679"/>
        <v>0</v>
      </c>
      <c r="BU902" s="824">
        <f t="shared" ca="1" si="679"/>
        <v>0</v>
      </c>
      <c r="BV902" s="824">
        <f t="shared" ca="1" si="679"/>
        <v>0</v>
      </c>
      <c r="BW902" s="824">
        <f t="shared" ca="1" si="679"/>
        <v>0</v>
      </c>
      <c r="BX902" s="824">
        <f t="shared" ca="1" si="679"/>
        <v>0</v>
      </c>
      <c r="BY902" s="824">
        <f t="shared" ca="1" si="679"/>
        <v>0</v>
      </c>
      <c r="BZ902" s="824">
        <f t="shared" ca="1" si="679"/>
        <v>0</v>
      </c>
      <c r="CA902" s="824">
        <f t="shared" ca="1" si="679"/>
        <v>0</v>
      </c>
      <c r="CB902" s="824">
        <f t="shared" ca="1" si="679"/>
        <v>0</v>
      </c>
      <c r="CC902" s="824">
        <f t="shared" ca="1" si="679"/>
        <v>0</v>
      </c>
      <c r="CD902" s="824">
        <f t="shared" ca="1" si="679"/>
        <v>0</v>
      </c>
      <c r="CE902" s="824">
        <f t="shared" ca="1" si="676"/>
        <v>0</v>
      </c>
      <c r="CF902" s="824">
        <f t="shared" ca="1" si="676"/>
        <v>0</v>
      </c>
      <c r="CG902" s="824">
        <f t="shared" ca="1" si="676"/>
        <v>0</v>
      </c>
      <c r="CH902" s="824">
        <f t="shared" ca="1" si="676"/>
        <v>0</v>
      </c>
      <c r="CI902" s="824">
        <f t="shared" ca="1" si="676"/>
        <v>0</v>
      </c>
      <c r="CJ902" s="824">
        <f t="shared" ca="1" si="676"/>
        <v>0</v>
      </c>
      <c r="CK902" s="824">
        <f t="shared" ref="CK902:CZ928" ca="1" si="700">IF(OR(IF($BL902*1&lt;$BL$196,$BL902*1=CK$198,FALSE),IF($BL902*2&lt;$BL$196,$BL902*2=CK$198,FALSE),IF($BL902*3&lt;$BL$196,$BL902*3=CK$198,FALSE),IF($BL902*4&lt;$BL$196,$BL902*4=CK$198,FALSE),IF($BL902*5&lt;$BL$196,$BL902*5=CK$198,FALSE)),$BN902*$BM$196^CK$198,0)</f>
        <v>0</v>
      </c>
      <c r="CL902" s="824">
        <f t="shared" ca="1" si="700"/>
        <v>0</v>
      </c>
      <c r="CM902" s="824">
        <f t="shared" ca="1" si="700"/>
        <v>0</v>
      </c>
      <c r="CN902" s="824">
        <f t="shared" ca="1" si="700"/>
        <v>0</v>
      </c>
      <c r="CO902" s="824">
        <f t="shared" ca="1" si="700"/>
        <v>0</v>
      </c>
      <c r="CP902" s="824">
        <f t="shared" ca="1" si="700"/>
        <v>0</v>
      </c>
      <c r="CQ902" s="824">
        <f t="shared" ca="1" si="700"/>
        <v>0</v>
      </c>
      <c r="CR902" s="824">
        <f t="shared" ca="1" si="700"/>
        <v>0</v>
      </c>
      <c r="CS902" s="824">
        <f t="shared" ca="1" si="700"/>
        <v>0</v>
      </c>
      <c r="CT902" s="824">
        <f t="shared" ca="1" si="700"/>
        <v>0</v>
      </c>
      <c r="CU902" s="824">
        <f t="shared" ca="1" si="700"/>
        <v>0</v>
      </c>
      <c r="CV902" s="824">
        <f t="shared" ca="1" si="700"/>
        <v>0</v>
      </c>
      <c r="CW902" s="824">
        <f t="shared" ca="1" si="700"/>
        <v>0</v>
      </c>
      <c r="CX902" s="824">
        <f t="shared" ca="1" si="700"/>
        <v>0</v>
      </c>
      <c r="CY902" s="824">
        <f t="shared" ca="1" si="700"/>
        <v>0</v>
      </c>
      <c r="CZ902" s="824">
        <f t="shared" ca="1" si="700"/>
        <v>0</v>
      </c>
      <c r="DA902" s="824">
        <f t="shared" ref="DA902:DL923" ca="1" si="701">IF(OR(IF($BL902*1&lt;$BL$196,$BL902*1=DA$198,FALSE),IF($BL902*2&lt;$BL$196,$BL902*2=DA$198,FALSE),IF($BL902*3&lt;$BL$196,$BL902*3=DA$198,FALSE),IF($BL902*4&lt;$BL$196,$BL902*4=DA$198,FALSE),IF($BL902*5&lt;$BL$196,$BL902*5=DA$198,FALSE)),$BN902*$BM$196^DA$198,0)</f>
        <v>0</v>
      </c>
      <c r="DB902" s="824">
        <f t="shared" ca="1" si="701"/>
        <v>0</v>
      </c>
      <c r="DC902" s="824">
        <f t="shared" ca="1" si="701"/>
        <v>0</v>
      </c>
      <c r="DD902" s="824">
        <f t="shared" ca="1" si="701"/>
        <v>0</v>
      </c>
      <c r="DE902" s="824">
        <f t="shared" ca="1" si="701"/>
        <v>0</v>
      </c>
      <c r="DF902" s="824">
        <f t="shared" ca="1" si="701"/>
        <v>0</v>
      </c>
      <c r="DG902" s="824">
        <f t="shared" ca="1" si="701"/>
        <v>0</v>
      </c>
      <c r="DH902" s="824">
        <f t="shared" ca="1" si="701"/>
        <v>0</v>
      </c>
      <c r="DI902" s="824">
        <f t="shared" ca="1" si="701"/>
        <v>0</v>
      </c>
      <c r="DJ902" s="824">
        <f t="shared" ca="1" si="701"/>
        <v>0</v>
      </c>
      <c r="DK902" s="824">
        <f t="shared" ca="1" si="701"/>
        <v>0</v>
      </c>
      <c r="DL902" s="824">
        <f t="shared" ca="1" si="701"/>
        <v>0</v>
      </c>
    </row>
    <row r="903" spans="2:116" ht="12" thickBot="1" x14ac:dyDescent="0.3">
      <c r="B903" s="1673"/>
      <c r="C903" s="1680"/>
      <c r="D903" s="15" t="s">
        <v>126</v>
      </c>
      <c r="E903" s="165"/>
      <c r="F903" s="116">
        <f ca="1">SUBTOTAL(109,'3.5 I&amp;W'!$X$50)</f>
        <v>0</v>
      </c>
      <c r="G903" s="116">
        <f ca="1">SUBTOTAL(109,'3.5 I&amp;W'!$Y$50)</f>
        <v>0</v>
      </c>
      <c r="H903" s="116">
        <f ca="1">SUBTOTAL(109,'3.5 I&amp;W'!$AD$50)</f>
        <v>0</v>
      </c>
      <c r="I903" s="116">
        <f ca="1">SUBTOTAL(109,'3.5 I&amp;W'!$AE$50)</f>
        <v>0</v>
      </c>
      <c r="J903" s="116"/>
      <c r="K903" s="116"/>
      <c r="L903" s="116"/>
      <c r="M903" s="116">
        <f ca="1">SUBTOTAL(109,'3.5 I&amp;W'!$AI$50)</f>
        <v>0</v>
      </c>
      <c r="N903" s="156">
        <f t="shared" ca="1" si="677"/>
        <v>0</v>
      </c>
      <c r="O903" s="116">
        <f ca="1">SUBTOTAL(109,'3.5 I&amp;W'!$S$50)</f>
        <v>0</v>
      </c>
      <c r="P903" s="30">
        <f t="shared" ca="1" si="680"/>
        <v>0</v>
      </c>
      <c r="Q903" s="31">
        <f t="shared" ca="1" si="667"/>
        <v>0</v>
      </c>
      <c r="R903" s="31">
        <f t="shared" ca="1" si="668"/>
        <v>0</v>
      </c>
      <c r="S903" s="31">
        <f t="shared" ca="1" si="669"/>
        <v>0</v>
      </c>
      <c r="T903" s="32">
        <f t="shared" ca="1" si="670"/>
        <v>0</v>
      </c>
      <c r="U903" s="37">
        <f t="shared" ca="1" si="678"/>
        <v>0</v>
      </c>
      <c r="V903" s="40">
        <f t="shared" ca="1" si="671"/>
        <v>0</v>
      </c>
      <c r="W903" s="41">
        <f t="shared" ca="1" si="672"/>
        <v>0</v>
      </c>
      <c r="X903" s="43"/>
      <c r="Y903" s="46"/>
      <c r="Z903" s="126"/>
      <c r="AA903" s="136"/>
      <c r="AB903" s="131">
        <v>3</v>
      </c>
      <c r="AC903" s="168">
        <f ca="1">IF(AF902&lt;=1,0,'3.5 Fi&amp;Fo'!$I$25)</f>
        <v>46174.624633000763</v>
      </c>
      <c r="AD903" s="169">
        <f ca="1">IF(AF902&lt;=1,0,AF902*'3.5 Fi&amp;Fo'!$H$25)</f>
        <v>22153.258350938751</v>
      </c>
      <c r="AE903" s="169">
        <f t="shared" ca="1" si="681"/>
        <v>24021.366282062012</v>
      </c>
      <c r="AF903" s="170">
        <f t="shared" ca="1" si="682"/>
        <v>1083641.5512648756</v>
      </c>
      <c r="AG903" s="168">
        <f>IF(AJ902&lt;=1,0,IF(AB903&lt;='3.5 Fi&amp;Fo'!$F$34,'3.5 Fi&amp;Fo'!$J$34,IF(AB903&lt;='3.5 Fi&amp;Fo'!$F$35,'3.5 Fi&amp;Fo'!$J$35,IF(AB903&lt;='3.5 Fi&amp;Fo'!$F$36,'3.5 Fi&amp;Fo'!$J$36,IF(AB903&lt;='3.5 Fi&amp;Fo'!$F$37,'3.5 Fi&amp;Fo'!$J$37,IF(AB903&lt;='3.5 Fi&amp;Fo'!$F$38,'3.5 Fi&amp;Fo'!$J$38,IF(AB903&lt;='3.5 Fi&amp;Fo'!$F$39,'3.5 Fi&amp;Fo'!$J$39,IF(AB903&lt;='3.5 Fi&amp;Fo'!$F$40,'3.5 Fi&amp;Fo'!$J$40))))))))</f>
        <v>28471.53</v>
      </c>
      <c r="AH903" s="203">
        <f>IF(AJ902&lt;=1,0,AJ902*IF(AB903&lt;='3.5 Fi&amp;Fo'!$F$34,'3.5 Fi&amp;Fo'!$I$34,IF(AB903&lt;='3.5 Fi&amp;Fo'!$F$35,'3.5 Fi&amp;Fo'!$I$35,IF(AB903&lt;='3.5 Fi&amp;Fo'!$F$38,'3.5 Fi&amp;Fo'!$I$38,IF(AB903&lt;='3.5 Fi&amp;Fo'!$F$39,'3.5 Fi&amp;Fo'!$I$39,IF(AB903&lt;='3.5 Fi&amp;Fo'!$F$40,'3.5 Fi&amp;Fo'!$I$40))))))</f>
        <v>28459.167300000001</v>
      </c>
      <c r="AI903" s="203">
        <f t="shared" si="683"/>
        <v>12.362699999997858</v>
      </c>
      <c r="AJ903" s="204">
        <f t="shared" si="684"/>
        <v>1897265.4573000001</v>
      </c>
      <c r="AK903" s="312">
        <f t="shared" ca="1" si="685"/>
        <v>-97839.451247656514</v>
      </c>
      <c r="AL903" s="169">
        <f>IF(AB903&lt;='3.5 Fi&amp;Fo'!$J$15,'3.5 Fi&amp;Fo'!$I$15,0)</f>
        <v>0</v>
      </c>
      <c r="AM903" s="169">
        <f t="shared" si="697"/>
        <v>23193.296614655759</v>
      </c>
      <c r="AN903" s="838">
        <f t="shared" ref="AN903:AN950" si="702">IF($AO$198&gt;AN902,AN902+1,"")</f>
        <v>3</v>
      </c>
      <c r="AO903" s="844">
        <f t="shared" ca="1" si="686"/>
        <v>97839.451247656514</v>
      </c>
      <c r="AP903" s="839">
        <f ca="1">BQ1005</f>
        <v>0</v>
      </c>
      <c r="AQ903" s="844">
        <f t="shared" si="687"/>
        <v>0</v>
      </c>
      <c r="AR903" s="839">
        <f t="shared" ref="AR903:AR950" ca="1" si="703">IF(AN903="","",AR902*$AR$201)</f>
        <v>0</v>
      </c>
      <c r="AS903" s="839">
        <f t="shared" ca="1" si="698"/>
        <v>8174.7449407999993</v>
      </c>
      <c r="AT903" s="839">
        <f t="shared" ca="1" si="699"/>
        <v>8939.3373791936247</v>
      </c>
      <c r="AU903" s="844">
        <f ca="1">'PV-Einspeisung'!AA274*-1</f>
        <v>-633.8945937499999</v>
      </c>
      <c r="AV903" s="844">
        <f>'PV-Einspeisung'!AE274*-1</f>
        <v>-1633.9319999999996</v>
      </c>
      <c r="AW903" s="839"/>
      <c r="AX903" s="839">
        <f t="shared" ref="AX903:AX950" ca="1" si="704">IF(AN903="","",AX902*$AX$201)</f>
        <v>0</v>
      </c>
      <c r="AY903" s="841">
        <f t="shared" si="688"/>
        <v>3</v>
      </c>
      <c r="AZ903" s="842">
        <f t="shared" ref="AZ903:AZ940" ca="1" si="705">IF($AN903="","",AZ902*$AZ$201)</f>
        <v>0</v>
      </c>
      <c r="BA903" s="842">
        <f t="shared" ref="BA903:BA950" ca="1" si="706">IF($AN903="","",BA902*$BA$201)</f>
        <v>0</v>
      </c>
      <c r="BB903" s="842">
        <f t="shared" ref="BB903:BB950" ca="1" si="707">IF($AN903="","",BB902*$BB$201)</f>
        <v>0</v>
      </c>
      <c r="BC903" s="842">
        <f t="shared" ref="BC903:BC950" ca="1" si="708">IF($AN903="","",BC902*$BC$201)</f>
        <v>0</v>
      </c>
      <c r="BD903" s="842">
        <f t="shared" ref="BD903:BD950" ca="1" si="709">IF($AN903="","",BD902*$BD$201)</f>
        <v>0</v>
      </c>
      <c r="BE903" s="842">
        <f t="shared" ref="BE903:BE950" ca="1" si="710">IF($AN903="","",BE902*$BE$201)</f>
        <v>0</v>
      </c>
      <c r="BF903" s="842">
        <f t="shared" ref="BF903:BF950" ca="1" si="711">IF($AN903="","",BF902*$BF$201)</f>
        <v>6783.4791484415982</v>
      </c>
      <c r="BG903" s="842">
        <f t="shared" ref="BG903:BG950" ca="1" si="712">IF($AN903="","",BG902*$BG$201)</f>
        <v>2155.8582307520273</v>
      </c>
      <c r="BH903" s="858">
        <f t="shared" si="696"/>
        <v>3</v>
      </c>
      <c r="BI903" s="857">
        <f t="shared" ref="BI903:BI950" ca="1" si="713">IF($AN903="","",BI902*$BI$201)</f>
        <v>3093.0518783999996</v>
      </c>
      <c r="BJ903" s="857">
        <f t="shared" ref="BJ903:BJ950" ca="1" si="714">IF($AN903="","",BJ902*$BJ$201)</f>
        <v>5081.6930623999997</v>
      </c>
      <c r="BK903" s="859">
        <f ca="1">'PV-Einspeisung'!AB274*-1</f>
        <v>0</v>
      </c>
      <c r="BL903" s="824">
        <f t="shared" ca="1" si="673"/>
        <v>0</v>
      </c>
      <c r="BM903" s="824">
        <f t="shared" ca="1" si="674"/>
        <v>0</v>
      </c>
      <c r="BN903" s="824">
        <f t="shared" ca="1" si="675"/>
        <v>0</v>
      </c>
      <c r="BO903" s="824">
        <f t="shared" ca="1" si="679"/>
        <v>0</v>
      </c>
      <c r="BP903" s="824">
        <f t="shared" ca="1" si="679"/>
        <v>0</v>
      </c>
      <c r="BQ903" s="824">
        <f t="shared" ca="1" si="679"/>
        <v>0</v>
      </c>
      <c r="BR903" s="824">
        <f t="shared" ca="1" si="679"/>
        <v>0</v>
      </c>
      <c r="BS903" s="824">
        <f t="shared" ca="1" si="679"/>
        <v>0</v>
      </c>
      <c r="BT903" s="824">
        <f t="shared" ca="1" si="679"/>
        <v>0</v>
      </c>
      <c r="BU903" s="824">
        <f t="shared" ca="1" si="679"/>
        <v>0</v>
      </c>
      <c r="BV903" s="824">
        <f t="shared" ca="1" si="679"/>
        <v>0</v>
      </c>
      <c r="BW903" s="824">
        <f t="shared" ca="1" si="679"/>
        <v>0</v>
      </c>
      <c r="BX903" s="824">
        <f t="shared" ca="1" si="679"/>
        <v>0</v>
      </c>
      <c r="BY903" s="824">
        <f t="shared" ca="1" si="679"/>
        <v>0</v>
      </c>
      <c r="BZ903" s="824">
        <f t="shared" ca="1" si="679"/>
        <v>0</v>
      </c>
      <c r="CA903" s="824">
        <f t="shared" ca="1" si="679"/>
        <v>0</v>
      </c>
      <c r="CB903" s="824">
        <f t="shared" ca="1" si="679"/>
        <v>0</v>
      </c>
      <c r="CC903" s="824">
        <f t="shared" ca="1" si="679"/>
        <v>0</v>
      </c>
      <c r="CD903" s="824">
        <f t="shared" ca="1" si="679"/>
        <v>0</v>
      </c>
      <c r="CE903" s="824">
        <f t="shared" ref="CE903:CT919" ca="1" si="715">IF(OR(IF($BL903*1&lt;$BL$196,$BL903*1=CE$198,FALSE),IF($BL903*2&lt;$BL$196,$BL903*2=CE$198,FALSE),IF($BL903*3&lt;$BL$196,$BL903*3=CE$198,FALSE),IF($BL903*4&lt;$BL$196,$BL903*4=CE$198,FALSE),IF($BL903*5&lt;$BL$196,$BL903*5=CE$198,FALSE)),$BN903*$BM$196^CE$198,0)</f>
        <v>0</v>
      </c>
      <c r="CF903" s="824">
        <f t="shared" ca="1" si="715"/>
        <v>0</v>
      </c>
      <c r="CG903" s="824">
        <f t="shared" ca="1" si="715"/>
        <v>0</v>
      </c>
      <c r="CH903" s="824">
        <f t="shared" ca="1" si="715"/>
        <v>0</v>
      </c>
      <c r="CI903" s="824">
        <f t="shared" ca="1" si="715"/>
        <v>0</v>
      </c>
      <c r="CJ903" s="824">
        <f t="shared" ca="1" si="715"/>
        <v>0</v>
      </c>
      <c r="CK903" s="824">
        <f t="shared" ca="1" si="715"/>
        <v>0</v>
      </c>
      <c r="CL903" s="824">
        <f t="shared" ca="1" si="715"/>
        <v>0</v>
      </c>
      <c r="CM903" s="824">
        <f t="shared" ca="1" si="715"/>
        <v>0</v>
      </c>
      <c r="CN903" s="824">
        <f t="shared" ca="1" si="715"/>
        <v>0</v>
      </c>
      <c r="CO903" s="824">
        <f t="shared" ca="1" si="715"/>
        <v>0</v>
      </c>
      <c r="CP903" s="824">
        <f t="shared" ca="1" si="715"/>
        <v>0</v>
      </c>
      <c r="CQ903" s="824">
        <f t="shared" ca="1" si="715"/>
        <v>0</v>
      </c>
      <c r="CR903" s="824">
        <f t="shared" ca="1" si="715"/>
        <v>0</v>
      </c>
      <c r="CS903" s="824">
        <f t="shared" ca="1" si="715"/>
        <v>0</v>
      </c>
      <c r="CT903" s="824">
        <f t="shared" ca="1" si="715"/>
        <v>0</v>
      </c>
      <c r="CU903" s="824">
        <f t="shared" ca="1" si="700"/>
        <v>0</v>
      </c>
      <c r="CV903" s="824">
        <f t="shared" ca="1" si="700"/>
        <v>0</v>
      </c>
      <c r="CW903" s="824">
        <f t="shared" ca="1" si="700"/>
        <v>0</v>
      </c>
      <c r="CX903" s="824">
        <f t="shared" ca="1" si="700"/>
        <v>0</v>
      </c>
      <c r="CY903" s="824">
        <f t="shared" ca="1" si="700"/>
        <v>0</v>
      </c>
      <c r="CZ903" s="824">
        <f t="shared" ca="1" si="700"/>
        <v>0</v>
      </c>
      <c r="DA903" s="824">
        <f t="shared" ca="1" si="701"/>
        <v>0</v>
      </c>
      <c r="DB903" s="824">
        <f t="shared" ca="1" si="701"/>
        <v>0</v>
      </c>
      <c r="DC903" s="824">
        <f t="shared" ca="1" si="701"/>
        <v>0</v>
      </c>
      <c r="DD903" s="824">
        <f t="shared" ca="1" si="701"/>
        <v>0</v>
      </c>
      <c r="DE903" s="824">
        <f t="shared" ca="1" si="701"/>
        <v>0</v>
      </c>
      <c r="DF903" s="824">
        <f t="shared" ca="1" si="701"/>
        <v>0</v>
      </c>
      <c r="DG903" s="824">
        <f t="shared" ca="1" si="701"/>
        <v>0</v>
      </c>
      <c r="DH903" s="824">
        <f t="shared" ca="1" si="701"/>
        <v>0</v>
      </c>
      <c r="DI903" s="824">
        <f t="shared" ca="1" si="701"/>
        <v>0</v>
      </c>
      <c r="DJ903" s="824">
        <f t="shared" ca="1" si="701"/>
        <v>0</v>
      </c>
      <c r="DK903" s="824">
        <f t="shared" ca="1" si="701"/>
        <v>0</v>
      </c>
      <c r="DL903" s="824">
        <f t="shared" ca="1" si="701"/>
        <v>0</v>
      </c>
    </row>
    <row r="904" spans="2:116" ht="12" thickBot="1" x14ac:dyDescent="0.3">
      <c r="B904" s="1673"/>
      <c r="C904" s="1680"/>
      <c r="D904" s="15" t="s">
        <v>126</v>
      </c>
      <c r="E904" s="116"/>
      <c r="F904" s="116">
        <f ca="1">SUBTOTAL(109,'3.5 I&amp;W'!$X$51)</f>
        <v>0</v>
      </c>
      <c r="G904" s="116">
        <f ca="1">SUBTOTAL(109,'3.5 I&amp;W'!$Y$51)</f>
        <v>0</v>
      </c>
      <c r="H904" s="116">
        <f ca="1">SUBTOTAL(109,'3.5 I&amp;W'!$AD$51)</f>
        <v>0</v>
      </c>
      <c r="I904" s="116">
        <f ca="1">SUBTOTAL(109,'3.5 I&amp;W'!$AE$51)</f>
        <v>0</v>
      </c>
      <c r="J904" s="116"/>
      <c r="K904" s="116"/>
      <c r="L904" s="116"/>
      <c r="M904" s="116">
        <f ca="1">SUBTOTAL(109,'3.5 I&amp;W'!$AI$51)</f>
        <v>0</v>
      </c>
      <c r="N904" s="156">
        <f t="shared" ca="1" si="677"/>
        <v>0</v>
      </c>
      <c r="O904" s="116">
        <f ca="1">SUBTOTAL(109,'3.5 I&amp;W'!$S$51)</f>
        <v>0</v>
      </c>
      <c r="P904" s="30">
        <f t="shared" ca="1" si="680"/>
        <v>0</v>
      </c>
      <c r="Q904" s="31">
        <f t="shared" ca="1" si="667"/>
        <v>0</v>
      </c>
      <c r="R904" s="31">
        <f t="shared" ca="1" si="668"/>
        <v>0</v>
      </c>
      <c r="S904" s="31">
        <f t="shared" ca="1" si="669"/>
        <v>0</v>
      </c>
      <c r="T904" s="32">
        <f t="shared" ca="1" si="670"/>
        <v>0</v>
      </c>
      <c r="U904" s="37">
        <f t="shared" ca="1" si="678"/>
        <v>0</v>
      </c>
      <c r="V904" s="40">
        <f t="shared" ca="1" si="671"/>
        <v>0</v>
      </c>
      <c r="W904" s="41">
        <f t="shared" ca="1" si="672"/>
        <v>0</v>
      </c>
      <c r="X904" s="43"/>
      <c r="Y904" s="46"/>
      <c r="Z904" s="126"/>
      <c r="AA904" s="136"/>
      <c r="AB904" s="131">
        <v>4</v>
      </c>
      <c r="AC904" s="168">
        <f ca="1">IF(AF903&lt;=1,0,'3.5 Fi&amp;Fo'!$I$25)</f>
        <v>46174.624633000763</v>
      </c>
      <c r="AD904" s="169">
        <f ca="1">IF(AF903&lt;=1,0,AF903*'3.5 Fi&amp;Fo'!$H$25)</f>
        <v>21672.831025297513</v>
      </c>
      <c r="AE904" s="169">
        <f t="shared" ca="1" si="681"/>
        <v>24501.79360770325</v>
      </c>
      <c r="AF904" s="170">
        <f t="shared" ca="1" si="682"/>
        <v>1059139.7576571724</v>
      </c>
      <c r="AG904" s="168">
        <f>IF(AJ903&lt;=1,0,IF(AB904&lt;='3.5 Fi&amp;Fo'!$F$34,'3.5 Fi&amp;Fo'!$J$34,IF(AB904&lt;='3.5 Fi&amp;Fo'!$F$35,'3.5 Fi&amp;Fo'!$J$35,IF(AB904&lt;='3.5 Fi&amp;Fo'!$F$36,'3.5 Fi&amp;Fo'!$J$36,IF(AB904&lt;='3.5 Fi&amp;Fo'!$F$37,'3.5 Fi&amp;Fo'!$J$37,IF(AB904&lt;='3.5 Fi&amp;Fo'!$F$38,'3.5 Fi&amp;Fo'!$J$38,IF(AB904&lt;='3.5 Fi&amp;Fo'!$F$39,'3.5 Fi&amp;Fo'!$J$39,IF(AB904&lt;='3.5 Fi&amp;Fo'!$F$40,'3.5 Fi&amp;Fo'!$J$40))))))))</f>
        <v>28471.53</v>
      </c>
      <c r="AH904" s="203">
        <f>IF(AJ903&lt;=1,0,AJ903*IF(AB904&lt;='3.5 Fi&amp;Fo'!$F$34,'3.5 Fi&amp;Fo'!$I$34,IF(AB904&lt;='3.5 Fi&amp;Fo'!$F$35,'3.5 Fi&amp;Fo'!$I$35,IF(AB904&lt;='3.5 Fi&amp;Fo'!$F$38,'3.5 Fi&amp;Fo'!$I$38,IF(AB904&lt;='3.5 Fi&amp;Fo'!$F$39,'3.5 Fi&amp;Fo'!$I$39,IF(AB904&lt;='3.5 Fi&amp;Fo'!$F$40,'3.5 Fi&amp;Fo'!$I$40))))))</f>
        <v>28458.9818595</v>
      </c>
      <c r="AI904" s="203">
        <f t="shared" si="683"/>
        <v>12.548140499999135</v>
      </c>
      <c r="AJ904" s="204">
        <f t="shared" si="684"/>
        <v>1897252.9091595002</v>
      </c>
      <c r="AK904" s="312">
        <f t="shared" ca="1" si="685"/>
        <v>-98303.317179949983</v>
      </c>
      <c r="AL904" s="169">
        <f>IF(AB904&lt;='3.5 Fi&amp;Fo'!$J$15,'3.5 Fi&amp;Fo'!$I$15,0)</f>
        <v>0</v>
      </c>
      <c r="AM904" s="169">
        <f t="shared" si="697"/>
        <v>23657.162546949228</v>
      </c>
      <c r="AN904" s="838">
        <f t="shared" si="702"/>
        <v>4</v>
      </c>
      <c r="AO904" s="844">
        <f t="shared" ca="1" si="686"/>
        <v>98303.317179949983</v>
      </c>
      <c r="AP904" s="839">
        <f ca="1">BR1005</f>
        <v>0</v>
      </c>
      <c r="AQ904" s="844">
        <f t="shared" si="687"/>
        <v>0</v>
      </c>
      <c r="AR904" s="839">
        <f t="shared" ca="1" si="703"/>
        <v>0</v>
      </c>
      <c r="AS904" s="839">
        <f t="shared" ca="1" si="698"/>
        <v>8305.5408598527993</v>
      </c>
      <c r="AT904" s="839">
        <f t="shared" ca="1" si="699"/>
        <v>9184.3793959809864</v>
      </c>
      <c r="AU904" s="844">
        <f ca="1">'PV-Einspeisung'!AA275*-1</f>
        <v>-324.87097929687491</v>
      </c>
      <c r="AV904" s="844">
        <f>'PV-Einspeisung'!AE275*-1</f>
        <v>-1674.7802999999994</v>
      </c>
      <c r="AW904" s="839"/>
      <c r="AX904" s="839">
        <f t="shared" ca="1" si="704"/>
        <v>0</v>
      </c>
      <c r="AY904" s="841">
        <f t="shared" si="688"/>
        <v>4</v>
      </c>
      <c r="AZ904" s="842">
        <f t="shared" ca="1" si="705"/>
        <v>0</v>
      </c>
      <c r="BA904" s="842">
        <f t="shared" ca="1" si="706"/>
        <v>0</v>
      </c>
      <c r="BB904" s="842">
        <f t="shared" ca="1" si="707"/>
        <v>0</v>
      </c>
      <c r="BC904" s="842">
        <f t="shared" ca="1" si="708"/>
        <v>0</v>
      </c>
      <c r="BD904" s="842">
        <f t="shared" ca="1" si="709"/>
        <v>0</v>
      </c>
      <c r="BE904" s="842">
        <f t="shared" ca="1" si="710"/>
        <v>0</v>
      </c>
      <c r="BF904" s="842">
        <f t="shared" ca="1" si="711"/>
        <v>6953.0661271526378</v>
      </c>
      <c r="BG904" s="842">
        <f t="shared" ca="1" si="712"/>
        <v>2231.3132688283481</v>
      </c>
      <c r="BH904" s="858">
        <f t="shared" si="696"/>
        <v>4</v>
      </c>
      <c r="BI904" s="857">
        <f t="shared" ca="1" si="713"/>
        <v>3142.5407084543995</v>
      </c>
      <c r="BJ904" s="857">
        <f t="shared" ca="1" si="714"/>
        <v>5163.0001513983998</v>
      </c>
      <c r="BK904" s="859">
        <f ca="1">'PV-Einspeisung'!AB275*-1</f>
        <v>0</v>
      </c>
      <c r="BL904" s="824">
        <f t="shared" ca="1" si="673"/>
        <v>0</v>
      </c>
      <c r="BM904" s="824">
        <f t="shared" ca="1" si="674"/>
        <v>0</v>
      </c>
      <c r="BN904" s="824">
        <f t="shared" ca="1" si="675"/>
        <v>0</v>
      </c>
      <c r="BO904" s="824">
        <f t="shared" ca="1" si="679"/>
        <v>0</v>
      </c>
      <c r="BP904" s="824">
        <f t="shared" ca="1" si="679"/>
        <v>0</v>
      </c>
      <c r="BQ904" s="824">
        <f t="shared" ca="1" si="679"/>
        <v>0</v>
      </c>
      <c r="BR904" s="824">
        <f t="shared" ca="1" si="679"/>
        <v>0</v>
      </c>
      <c r="BS904" s="824">
        <f t="shared" ca="1" si="679"/>
        <v>0</v>
      </c>
      <c r="BT904" s="824">
        <f t="shared" ca="1" si="679"/>
        <v>0</v>
      </c>
      <c r="BU904" s="824">
        <f t="shared" ca="1" si="679"/>
        <v>0</v>
      </c>
      <c r="BV904" s="824">
        <f t="shared" ca="1" si="679"/>
        <v>0</v>
      </c>
      <c r="BW904" s="824">
        <f t="shared" ca="1" si="679"/>
        <v>0</v>
      </c>
      <c r="BX904" s="824">
        <f t="shared" ca="1" si="679"/>
        <v>0</v>
      </c>
      <c r="BY904" s="824">
        <f t="shared" ca="1" si="679"/>
        <v>0</v>
      </c>
      <c r="BZ904" s="824">
        <f t="shared" ca="1" si="679"/>
        <v>0</v>
      </c>
      <c r="CA904" s="824">
        <f t="shared" ca="1" si="679"/>
        <v>0</v>
      </c>
      <c r="CB904" s="824">
        <f t="shared" ca="1" si="679"/>
        <v>0</v>
      </c>
      <c r="CC904" s="824">
        <f t="shared" ca="1" si="679"/>
        <v>0</v>
      </c>
      <c r="CD904" s="824">
        <f t="shared" ca="1" si="679"/>
        <v>0</v>
      </c>
      <c r="CE904" s="824">
        <f t="shared" ca="1" si="715"/>
        <v>0</v>
      </c>
      <c r="CF904" s="824">
        <f t="shared" ca="1" si="715"/>
        <v>0</v>
      </c>
      <c r="CG904" s="824">
        <f t="shared" ca="1" si="715"/>
        <v>0</v>
      </c>
      <c r="CH904" s="824">
        <f t="shared" ca="1" si="715"/>
        <v>0</v>
      </c>
      <c r="CI904" s="824">
        <f t="shared" ca="1" si="715"/>
        <v>0</v>
      </c>
      <c r="CJ904" s="824">
        <f t="shared" ca="1" si="715"/>
        <v>0</v>
      </c>
      <c r="CK904" s="824">
        <f t="shared" ca="1" si="715"/>
        <v>0</v>
      </c>
      <c r="CL904" s="824">
        <f t="shared" ca="1" si="715"/>
        <v>0</v>
      </c>
      <c r="CM904" s="824">
        <f t="shared" ca="1" si="715"/>
        <v>0</v>
      </c>
      <c r="CN904" s="824">
        <f t="shared" ca="1" si="715"/>
        <v>0</v>
      </c>
      <c r="CO904" s="824">
        <f t="shared" ca="1" si="715"/>
        <v>0</v>
      </c>
      <c r="CP904" s="824">
        <f t="shared" ca="1" si="715"/>
        <v>0</v>
      </c>
      <c r="CQ904" s="824">
        <f t="shared" ca="1" si="715"/>
        <v>0</v>
      </c>
      <c r="CR904" s="824">
        <f t="shared" ca="1" si="715"/>
        <v>0</v>
      </c>
      <c r="CS904" s="824">
        <f t="shared" ca="1" si="715"/>
        <v>0</v>
      </c>
      <c r="CT904" s="824">
        <f t="shared" ca="1" si="715"/>
        <v>0</v>
      </c>
      <c r="CU904" s="824">
        <f t="shared" ca="1" si="700"/>
        <v>0</v>
      </c>
      <c r="CV904" s="824">
        <f t="shared" ca="1" si="700"/>
        <v>0</v>
      </c>
      <c r="CW904" s="824">
        <f t="shared" ca="1" si="700"/>
        <v>0</v>
      </c>
      <c r="CX904" s="824">
        <f t="shared" ca="1" si="700"/>
        <v>0</v>
      </c>
      <c r="CY904" s="824">
        <f t="shared" ca="1" si="700"/>
        <v>0</v>
      </c>
      <c r="CZ904" s="824">
        <f t="shared" ca="1" si="700"/>
        <v>0</v>
      </c>
      <c r="DA904" s="824">
        <f t="shared" ca="1" si="701"/>
        <v>0</v>
      </c>
      <c r="DB904" s="824">
        <f t="shared" ca="1" si="701"/>
        <v>0</v>
      </c>
      <c r="DC904" s="824">
        <f t="shared" ca="1" si="701"/>
        <v>0</v>
      </c>
      <c r="DD904" s="824">
        <f t="shared" ca="1" si="701"/>
        <v>0</v>
      </c>
      <c r="DE904" s="824">
        <f t="shared" ca="1" si="701"/>
        <v>0</v>
      </c>
      <c r="DF904" s="824">
        <f t="shared" ca="1" si="701"/>
        <v>0</v>
      </c>
      <c r="DG904" s="824">
        <f t="shared" ca="1" si="701"/>
        <v>0</v>
      </c>
      <c r="DH904" s="824">
        <f t="shared" ca="1" si="701"/>
        <v>0</v>
      </c>
      <c r="DI904" s="824">
        <f t="shared" ca="1" si="701"/>
        <v>0</v>
      </c>
      <c r="DJ904" s="824">
        <f t="shared" ca="1" si="701"/>
        <v>0</v>
      </c>
      <c r="DK904" s="824">
        <f t="shared" ca="1" si="701"/>
        <v>0</v>
      </c>
      <c r="DL904" s="824">
        <f t="shared" ca="1" si="701"/>
        <v>0</v>
      </c>
    </row>
    <row r="905" spans="2:116" ht="12" thickBot="1" x14ac:dyDescent="0.3">
      <c r="B905" s="1673"/>
      <c r="C905" s="1680"/>
      <c r="D905" s="15" t="s">
        <v>126</v>
      </c>
      <c r="E905" s="165"/>
      <c r="F905" s="116">
        <f ca="1">SUBTOTAL(109,'3.5 I&amp;W'!$X$52)</f>
        <v>0</v>
      </c>
      <c r="G905" s="116">
        <f ca="1">SUBTOTAL(109,'3.5 I&amp;W'!$Y$52)</f>
        <v>0</v>
      </c>
      <c r="H905" s="116">
        <f ca="1">SUBTOTAL(109,'3.5 I&amp;W'!$AD$52)</f>
        <v>0</v>
      </c>
      <c r="I905" s="116">
        <f ca="1">SUBTOTAL(109,'3.5 I&amp;W'!$AE$52)</f>
        <v>0</v>
      </c>
      <c r="J905" s="116"/>
      <c r="K905" s="116"/>
      <c r="L905" s="116"/>
      <c r="M905" s="116">
        <f ca="1">SUBTOTAL(109,'3.5 I&amp;W'!$AI$52)</f>
        <v>0</v>
      </c>
      <c r="N905" s="156">
        <f t="shared" ca="1" si="677"/>
        <v>0</v>
      </c>
      <c r="O905" s="116">
        <f ca="1">SUBTOTAL(109,'3.5 I&amp;W'!$S$52)</f>
        <v>0</v>
      </c>
      <c r="P905" s="30">
        <f t="shared" ca="1" si="680"/>
        <v>0</v>
      </c>
      <c r="Q905" s="31">
        <f t="shared" ca="1" si="667"/>
        <v>0</v>
      </c>
      <c r="R905" s="31">
        <f t="shared" ca="1" si="668"/>
        <v>0</v>
      </c>
      <c r="S905" s="31">
        <f t="shared" ca="1" si="669"/>
        <v>0</v>
      </c>
      <c r="T905" s="32">
        <f t="shared" ca="1" si="670"/>
        <v>0</v>
      </c>
      <c r="U905" s="37">
        <f t="shared" ca="1" si="678"/>
        <v>0</v>
      </c>
      <c r="V905" s="40">
        <f t="shared" ca="1" si="671"/>
        <v>0</v>
      </c>
      <c r="W905" s="41">
        <f t="shared" ca="1" si="672"/>
        <v>0</v>
      </c>
      <c r="X905" s="43"/>
      <c r="Y905" s="46"/>
      <c r="Z905" s="126"/>
      <c r="AA905" s="136"/>
      <c r="AB905" s="131">
        <v>5</v>
      </c>
      <c r="AC905" s="168">
        <f ca="1">IF(AF904&lt;=1,0,'3.5 Fi&amp;Fo'!$I$25)</f>
        <v>46174.624633000763</v>
      </c>
      <c r="AD905" s="169">
        <f ca="1">IF(AF904&lt;=1,0,AF904*'3.5 Fi&amp;Fo'!$H$25)</f>
        <v>21182.795153143448</v>
      </c>
      <c r="AE905" s="169">
        <f t="shared" ca="1" si="681"/>
        <v>24991.829479857315</v>
      </c>
      <c r="AF905" s="170">
        <f t="shared" ca="1" si="682"/>
        <v>1034147.928177315</v>
      </c>
      <c r="AG905" s="168">
        <f>IF(AJ904&lt;=1,0,IF(AB905&lt;='3.5 Fi&amp;Fo'!$F$34,'3.5 Fi&amp;Fo'!$J$34,IF(AB905&lt;='3.5 Fi&amp;Fo'!$F$35,'3.5 Fi&amp;Fo'!$J$35,IF(AB905&lt;='3.5 Fi&amp;Fo'!$F$36,'3.5 Fi&amp;Fo'!$J$36,IF(AB905&lt;='3.5 Fi&amp;Fo'!$F$37,'3.5 Fi&amp;Fo'!$J$37,IF(AB905&lt;='3.5 Fi&amp;Fo'!$F$38,'3.5 Fi&amp;Fo'!$J$38,IF(AB905&lt;='3.5 Fi&amp;Fo'!$F$39,'3.5 Fi&amp;Fo'!$J$39,IF(AB905&lt;='3.5 Fi&amp;Fo'!$F$40,'3.5 Fi&amp;Fo'!$J$40))))))))</f>
        <v>28471.53</v>
      </c>
      <c r="AH905" s="203">
        <f>IF(AJ904&lt;=1,0,AJ904*IF(AB905&lt;='3.5 Fi&amp;Fo'!$F$34,'3.5 Fi&amp;Fo'!$I$34,IF(AB905&lt;='3.5 Fi&amp;Fo'!$F$35,'3.5 Fi&amp;Fo'!$I$35,IF(AB905&lt;='3.5 Fi&amp;Fo'!$F$38,'3.5 Fi&amp;Fo'!$I$38,IF(AB905&lt;='3.5 Fi&amp;Fo'!$F$39,'3.5 Fi&amp;Fo'!$I$39,IF(AB905&lt;='3.5 Fi&amp;Fo'!$F$40,'3.5 Fi&amp;Fo'!$I$40))))))</f>
        <v>28458.7936373925</v>
      </c>
      <c r="AI905" s="203">
        <f t="shared" si="683"/>
        <v>12.73636260749845</v>
      </c>
      <c r="AJ905" s="204">
        <f t="shared" si="684"/>
        <v>1897240.1727968927</v>
      </c>
      <c r="AK905" s="312">
        <f t="shared" ca="1" si="685"/>
        <v>-98776.460430888954</v>
      </c>
      <c r="AL905" s="169">
        <f>IF(AB905&lt;='3.5 Fi&amp;Fo'!$J$15,'3.5 Fi&amp;Fo'!$I$15,0)</f>
        <v>0</v>
      </c>
      <c r="AM905" s="169">
        <f t="shared" si="697"/>
        <v>24130.305797888199</v>
      </c>
      <c r="AN905" s="838">
        <f t="shared" si="702"/>
        <v>5</v>
      </c>
      <c r="AO905" s="844">
        <f t="shared" ca="1" si="686"/>
        <v>98776.460430888954</v>
      </c>
      <c r="AP905" s="839">
        <f ca="1">BS1005</f>
        <v>0</v>
      </c>
      <c r="AQ905" s="844">
        <f t="shared" si="687"/>
        <v>0</v>
      </c>
      <c r="AR905" s="839">
        <f t="shared" ca="1" si="703"/>
        <v>0</v>
      </c>
      <c r="AS905" s="839">
        <f t="shared" ca="1" si="698"/>
        <v>8438.4295136104447</v>
      </c>
      <c r="AT905" s="839">
        <f t="shared" ca="1" si="699"/>
        <v>9436.302013568793</v>
      </c>
      <c r="AU905" s="844">
        <f ca="1">'PV-Einspeisung'!AA276*-1</f>
        <v>-332.99275377929672</v>
      </c>
      <c r="AV905" s="844">
        <f>'PV-Einspeisung'!AE276*-1</f>
        <v>-1716.6498074999993</v>
      </c>
      <c r="AW905" s="839"/>
      <c r="AX905" s="839">
        <f t="shared" ca="1" si="704"/>
        <v>0</v>
      </c>
      <c r="AY905" s="841">
        <f t="shared" si="688"/>
        <v>5</v>
      </c>
      <c r="AZ905" s="842">
        <f t="shared" ca="1" si="705"/>
        <v>0</v>
      </c>
      <c r="BA905" s="842">
        <f t="shared" ca="1" si="706"/>
        <v>0</v>
      </c>
      <c r="BB905" s="842">
        <f t="shared" ca="1" si="707"/>
        <v>0</v>
      </c>
      <c r="BC905" s="842">
        <f t="shared" ca="1" si="708"/>
        <v>0</v>
      </c>
      <c r="BD905" s="842">
        <f t="shared" ca="1" si="709"/>
        <v>0</v>
      </c>
      <c r="BE905" s="842">
        <f t="shared" ca="1" si="710"/>
        <v>0</v>
      </c>
      <c r="BF905" s="842">
        <f t="shared" ca="1" si="711"/>
        <v>7126.8927803314527</v>
      </c>
      <c r="BG905" s="842">
        <f t="shared" ca="1" si="712"/>
        <v>2309.4092332373402</v>
      </c>
      <c r="BH905" s="858">
        <f t="shared" si="696"/>
        <v>5</v>
      </c>
      <c r="BI905" s="857">
        <f t="shared" ca="1" si="713"/>
        <v>3192.8213597896697</v>
      </c>
      <c r="BJ905" s="857">
        <f t="shared" ca="1" si="714"/>
        <v>5245.6081538207745</v>
      </c>
      <c r="BK905" s="859">
        <f ca="1">'PV-Einspeisung'!AB276*-1</f>
        <v>0</v>
      </c>
      <c r="BL905" s="824">
        <f t="shared" ca="1" si="673"/>
        <v>0</v>
      </c>
      <c r="BM905" s="824">
        <f t="shared" ca="1" si="674"/>
        <v>0</v>
      </c>
      <c r="BN905" s="824">
        <f t="shared" ca="1" si="675"/>
        <v>0</v>
      </c>
      <c r="BO905" s="824">
        <f t="shared" ca="1" si="679"/>
        <v>0</v>
      </c>
      <c r="BP905" s="824">
        <f t="shared" ca="1" si="679"/>
        <v>0</v>
      </c>
      <c r="BQ905" s="824">
        <f t="shared" ca="1" si="679"/>
        <v>0</v>
      </c>
      <c r="BR905" s="824">
        <f t="shared" ca="1" si="679"/>
        <v>0</v>
      </c>
      <c r="BS905" s="824">
        <f t="shared" ca="1" si="679"/>
        <v>0</v>
      </c>
      <c r="BT905" s="824">
        <f t="shared" ca="1" si="679"/>
        <v>0</v>
      </c>
      <c r="BU905" s="824">
        <f t="shared" ca="1" si="679"/>
        <v>0</v>
      </c>
      <c r="BV905" s="824">
        <f t="shared" ca="1" si="679"/>
        <v>0</v>
      </c>
      <c r="BW905" s="824">
        <f t="shared" ca="1" si="679"/>
        <v>0</v>
      </c>
      <c r="BX905" s="824">
        <f t="shared" ca="1" si="679"/>
        <v>0</v>
      </c>
      <c r="BY905" s="824">
        <f t="shared" ca="1" si="679"/>
        <v>0</v>
      </c>
      <c r="BZ905" s="824">
        <f t="shared" ca="1" si="679"/>
        <v>0</v>
      </c>
      <c r="CA905" s="824">
        <f t="shared" ca="1" si="679"/>
        <v>0</v>
      </c>
      <c r="CB905" s="824">
        <f t="shared" ca="1" si="679"/>
        <v>0</v>
      </c>
      <c r="CC905" s="824">
        <f t="shared" ca="1" si="679"/>
        <v>0</v>
      </c>
      <c r="CD905" s="824">
        <f t="shared" ca="1" si="679"/>
        <v>0</v>
      </c>
      <c r="CE905" s="824">
        <f t="shared" ca="1" si="715"/>
        <v>0</v>
      </c>
      <c r="CF905" s="824">
        <f t="shared" ca="1" si="715"/>
        <v>0</v>
      </c>
      <c r="CG905" s="824">
        <f t="shared" ca="1" si="715"/>
        <v>0</v>
      </c>
      <c r="CH905" s="824">
        <f t="shared" ca="1" si="715"/>
        <v>0</v>
      </c>
      <c r="CI905" s="824">
        <f t="shared" ca="1" si="715"/>
        <v>0</v>
      </c>
      <c r="CJ905" s="824">
        <f t="shared" ca="1" si="715"/>
        <v>0</v>
      </c>
      <c r="CK905" s="824">
        <f t="shared" ca="1" si="715"/>
        <v>0</v>
      </c>
      <c r="CL905" s="824">
        <f t="shared" ca="1" si="715"/>
        <v>0</v>
      </c>
      <c r="CM905" s="824">
        <f t="shared" ca="1" si="715"/>
        <v>0</v>
      </c>
      <c r="CN905" s="824">
        <f t="shared" ca="1" si="715"/>
        <v>0</v>
      </c>
      <c r="CO905" s="824">
        <f t="shared" ca="1" si="715"/>
        <v>0</v>
      </c>
      <c r="CP905" s="824">
        <f t="shared" ca="1" si="715"/>
        <v>0</v>
      </c>
      <c r="CQ905" s="824">
        <f t="shared" ca="1" si="715"/>
        <v>0</v>
      </c>
      <c r="CR905" s="824">
        <f t="shared" ca="1" si="715"/>
        <v>0</v>
      </c>
      <c r="CS905" s="824">
        <f t="shared" ca="1" si="715"/>
        <v>0</v>
      </c>
      <c r="CT905" s="824">
        <f t="shared" ca="1" si="715"/>
        <v>0</v>
      </c>
      <c r="CU905" s="824">
        <f t="shared" ca="1" si="700"/>
        <v>0</v>
      </c>
      <c r="CV905" s="824">
        <f t="shared" ca="1" si="700"/>
        <v>0</v>
      </c>
      <c r="CW905" s="824">
        <f t="shared" ca="1" si="700"/>
        <v>0</v>
      </c>
      <c r="CX905" s="824">
        <f t="shared" ca="1" si="700"/>
        <v>0</v>
      </c>
      <c r="CY905" s="824">
        <f t="shared" ca="1" si="700"/>
        <v>0</v>
      </c>
      <c r="CZ905" s="824">
        <f t="shared" ca="1" si="700"/>
        <v>0</v>
      </c>
      <c r="DA905" s="824">
        <f t="shared" ca="1" si="701"/>
        <v>0</v>
      </c>
      <c r="DB905" s="824">
        <f t="shared" ca="1" si="701"/>
        <v>0</v>
      </c>
      <c r="DC905" s="824">
        <f t="shared" ca="1" si="701"/>
        <v>0</v>
      </c>
      <c r="DD905" s="824">
        <f t="shared" ca="1" si="701"/>
        <v>0</v>
      </c>
      <c r="DE905" s="824">
        <f t="shared" ca="1" si="701"/>
        <v>0</v>
      </c>
      <c r="DF905" s="824">
        <f t="shared" ca="1" si="701"/>
        <v>0</v>
      </c>
      <c r="DG905" s="824">
        <f t="shared" ca="1" si="701"/>
        <v>0</v>
      </c>
      <c r="DH905" s="824">
        <f t="shared" ca="1" si="701"/>
        <v>0</v>
      </c>
      <c r="DI905" s="824">
        <f t="shared" ca="1" si="701"/>
        <v>0</v>
      </c>
      <c r="DJ905" s="824">
        <f t="shared" ca="1" si="701"/>
        <v>0</v>
      </c>
      <c r="DK905" s="824">
        <f t="shared" ca="1" si="701"/>
        <v>0</v>
      </c>
      <c r="DL905" s="824">
        <f t="shared" ca="1" si="701"/>
        <v>0</v>
      </c>
    </row>
    <row r="906" spans="2:116" ht="12" thickBot="1" x14ac:dyDescent="0.3">
      <c r="B906" s="1673"/>
      <c r="C906" s="1680"/>
      <c r="D906" s="15" t="s">
        <v>127</v>
      </c>
      <c r="E906" s="116"/>
      <c r="F906" s="116">
        <f ca="1">SUBTOTAL(109,'3.5 I&amp;W'!$X$56)</f>
        <v>0</v>
      </c>
      <c r="G906" s="116">
        <f ca="1">SUBTOTAL(109,'3.5 I&amp;W'!$Y$56)</f>
        <v>0</v>
      </c>
      <c r="H906" s="116">
        <f ca="1">SUBTOTAL(109,'3.5 I&amp;W'!$AD$56)</f>
        <v>0</v>
      </c>
      <c r="I906" s="116">
        <f ca="1">SUBTOTAL(109,'3.5 I&amp;W'!$AE$56)</f>
        <v>0</v>
      </c>
      <c r="J906" s="116"/>
      <c r="K906" s="116"/>
      <c r="L906" s="116"/>
      <c r="M906" s="116">
        <f ca="1">SUBTOTAL(109,'3.5 I&amp;W'!$AI$56)</f>
        <v>0</v>
      </c>
      <c r="N906" s="156">
        <f t="shared" ca="1" si="677"/>
        <v>0</v>
      </c>
      <c r="O906" s="116">
        <f ca="1">SUBTOTAL(109,'3.5 I&amp;W'!$S$56)</f>
        <v>0</v>
      </c>
      <c r="P906" s="30">
        <f t="shared" ca="1" si="680"/>
        <v>0</v>
      </c>
      <c r="Q906" s="31">
        <f t="shared" ca="1" si="667"/>
        <v>0</v>
      </c>
      <c r="R906" s="31">
        <f t="shared" ca="1" si="668"/>
        <v>0</v>
      </c>
      <c r="S906" s="31">
        <f t="shared" ca="1" si="669"/>
        <v>0</v>
      </c>
      <c r="T906" s="32">
        <f t="shared" ca="1" si="670"/>
        <v>0</v>
      </c>
      <c r="U906" s="37">
        <f t="shared" ca="1" si="678"/>
        <v>0</v>
      </c>
      <c r="V906" s="40">
        <f t="shared" ca="1" si="671"/>
        <v>0</v>
      </c>
      <c r="W906" s="41">
        <f t="shared" ca="1" si="672"/>
        <v>0</v>
      </c>
      <c r="X906" s="43"/>
      <c r="Y906" s="46"/>
      <c r="Z906" s="126"/>
      <c r="AA906" s="136"/>
      <c r="AB906" s="131">
        <v>6</v>
      </c>
      <c r="AC906" s="168">
        <f ca="1">IF(AF905&lt;=1,0,'3.5 Fi&amp;Fo'!$I$25)</f>
        <v>46174.624633000763</v>
      </c>
      <c r="AD906" s="169">
        <f ca="1">IF(AF905&lt;=1,0,AF905*'3.5 Fi&amp;Fo'!$H$25)</f>
        <v>20682.958563546301</v>
      </c>
      <c r="AE906" s="169">
        <f t="shared" ca="1" si="681"/>
        <v>25491.666069454463</v>
      </c>
      <c r="AF906" s="170">
        <f t="shared" ca="1" si="682"/>
        <v>1008656.2621078605</v>
      </c>
      <c r="AG906" s="168">
        <f>IF(AJ905&lt;=1,0,IF(AB906&lt;='3.5 Fi&amp;Fo'!$F$34,'3.5 Fi&amp;Fo'!$J$34,IF(AB906&lt;='3.5 Fi&amp;Fo'!$F$35,'3.5 Fi&amp;Fo'!$J$35,IF(AB906&lt;='3.5 Fi&amp;Fo'!$F$36,'3.5 Fi&amp;Fo'!$J$36,IF(AB906&lt;='3.5 Fi&amp;Fo'!$F$37,'3.5 Fi&amp;Fo'!$J$37,IF(AB906&lt;='3.5 Fi&amp;Fo'!$F$38,'3.5 Fi&amp;Fo'!$J$38,IF(AB906&lt;='3.5 Fi&amp;Fo'!$F$39,'3.5 Fi&amp;Fo'!$J$39,IF(AB906&lt;='3.5 Fi&amp;Fo'!$F$40,'3.5 Fi&amp;Fo'!$J$40))))))))</f>
        <v>47444.55</v>
      </c>
      <c r="AH906" s="203">
        <f>IF(AJ905&lt;=1,0,AJ905*IF(AB906&lt;='3.5 Fi&amp;Fo'!$F$34,'3.5 Fi&amp;Fo'!$I$34,IF(AB906&lt;='3.5 Fi&amp;Fo'!$F$35,'3.5 Fi&amp;Fo'!$I$35,IF(AB906&lt;='3.5 Fi&amp;Fo'!$F$38,'3.5 Fi&amp;Fo'!$I$38,IF(AB906&lt;='3.5 Fi&amp;Fo'!$F$39,'3.5 Fi&amp;Fo'!$I$39,IF(AB906&lt;='3.5 Fi&amp;Fo'!$F$40,'3.5 Fi&amp;Fo'!$I$40))))))</f>
        <v>47431.004319922322</v>
      </c>
      <c r="AI906" s="203">
        <f t="shared" si="683"/>
        <v>13.545680077681027</v>
      </c>
      <c r="AJ906" s="204">
        <f t="shared" si="684"/>
        <v>1897226.627116815</v>
      </c>
      <c r="AK906" s="312">
        <f t="shared" ca="1" si="685"/>
        <v>-118232.08654684669</v>
      </c>
      <c r="AL906" s="169">
        <f>IF(AB906&lt;='3.5 Fi&amp;Fo'!$J$15,'3.5 Fi&amp;Fo'!$I$15,0)</f>
        <v>0</v>
      </c>
      <c r="AM906" s="169">
        <f t="shared" si="697"/>
        <v>24612.911913845921</v>
      </c>
      <c r="AN906" s="838">
        <f t="shared" si="702"/>
        <v>6</v>
      </c>
      <c r="AO906" s="844">
        <f t="shared" ca="1" si="686"/>
        <v>118232.08654684669</v>
      </c>
      <c r="AP906" s="839">
        <f ca="1">BT1005</f>
        <v>0</v>
      </c>
      <c r="AQ906" s="844">
        <f t="shared" si="687"/>
        <v>0</v>
      </c>
      <c r="AR906" s="839">
        <f t="shared" ca="1" si="703"/>
        <v>0</v>
      </c>
      <c r="AS906" s="839">
        <f t="shared" ca="1" si="698"/>
        <v>8573.444385828212</v>
      </c>
      <c r="AT906" s="839">
        <f t="shared" ca="1" si="699"/>
        <v>9695.303656240385</v>
      </c>
      <c r="AU906" s="844">
        <f ca="1">'PV-Einspeisung'!AA277*-1</f>
        <v>-341.31757262377914</v>
      </c>
      <c r="AV906" s="844">
        <f>'PV-Einspeisung'!AE277*-1</f>
        <v>-1759.566052687499</v>
      </c>
      <c r="AW906" s="839"/>
      <c r="AX906" s="839">
        <f t="shared" ca="1" si="704"/>
        <v>0</v>
      </c>
      <c r="AY906" s="841">
        <f t="shared" si="688"/>
        <v>6</v>
      </c>
      <c r="AZ906" s="842">
        <f t="shared" ca="1" si="705"/>
        <v>0</v>
      </c>
      <c r="BA906" s="842">
        <f t="shared" ca="1" si="706"/>
        <v>0</v>
      </c>
      <c r="BB906" s="842">
        <f t="shared" ca="1" si="707"/>
        <v>0</v>
      </c>
      <c r="BC906" s="842">
        <f t="shared" ca="1" si="708"/>
        <v>0</v>
      </c>
      <c r="BD906" s="842">
        <f t="shared" ca="1" si="709"/>
        <v>0</v>
      </c>
      <c r="BE906" s="842">
        <f t="shared" ca="1" si="710"/>
        <v>0</v>
      </c>
      <c r="BF906" s="842">
        <f t="shared" ca="1" si="711"/>
        <v>7305.0650998397387</v>
      </c>
      <c r="BG906" s="842">
        <f t="shared" ca="1" si="712"/>
        <v>2390.2385564006468</v>
      </c>
      <c r="BH906" s="858">
        <f t="shared" si="696"/>
        <v>6</v>
      </c>
      <c r="BI906" s="857">
        <f t="shared" ca="1" si="713"/>
        <v>3243.9065015463043</v>
      </c>
      <c r="BJ906" s="857">
        <f t="shared" ca="1" si="714"/>
        <v>5329.5378842819073</v>
      </c>
      <c r="BK906" s="859">
        <f ca="1">'PV-Einspeisung'!AB277*-1</f>
        <v>0</v>
      </c>
      <c r="BL906" s="824">
        <f t="shared" ca="1" si="673"/>
        <v>0</v>
      </c>
      <c r="BM906" s="824">
        <f t="shared" ca="1" si="674"/>
        <v>0</v>
      </c>
      <c r="BN906" s="824">
        <f t="shared" ca="1" si="675"/>
        <v>0</v>
      </c>
      <c r="BO906" s="824">
        <f t="shared" ca="1" si="679"/>
        <v>0</v>
      </c>
      <c r="BP906" s="824">
        <f t="shared" ca="1" si="679"/>
        <v>0</v>
      </c>
      <c r="BQ906" s="824">
        <f t="shared" ca="1" si="679"/>
        <v>0</v>
      </c>
      <c r="BR906" s="824">
        <f t="shared" ca="1" si="679"/>
        <v>0</v>
      </c>
      <c r="BS906" s="824">
        <f t="shared" ca="1" si="679"/>
        <v>0</v>
      </c>
      <c r="BT906" s="824">
        <f t="shared" ca="1" si="679"/>
        <v>0</v>
      </c>
      <c r="BU906" s="824">
        <f t="shared" ca="1" si="679"/>
        <v>0</v>
      </c>
      <c r="BV906" s="824">
        <f t="shared" ca="1" si="679"/>
        <v>0</v>
      </c>
      <c r="BW906" s="824">
        <f t="shared" ca="1" si="679"/>
        <v>0</v>
      </c>
      <c r="BX906" s="824">
        <f t="shared" ca="1" si="679"/>
        <v>0</v>
      </c>
      <c r="BY906" s="824">
        <f t="shared" ca="1" si="679"/>
        <v>0</v>
      </c>
      <c r="BZ906" s="824">
        <f t="shared" ca="1" si="679"/>
        <v>0</v>
      </c>
      <c r="CA906" s="824">
        <f t="shared" ca="1" si="679"/>
        <v>0</v>
      </c>
      <c r="CB906" s="824">
        <f t="shared" ca="1" si="679"/>
        <v>0</v>
      </c>
      <c r="CC906" s="824">
        <f t="shared" ca="1" si="679"/>
        <v>0</v>
      </c>
      <c r="CD906" s="824">
        <f t="shared" ca="1" si="679"/>
        <v>0</v>
      </c>
      <c r="CE906" s="824">
        <f t="shared" ca="1" si="715"/>
        <v>0</v>
      </c>
      <c r="CF906" s="824">
        <f t="shared" ca="1" si="715"/>
        <v>0</v>
      </c>
      <c r="CG906" s="824">
        <f t="shared" ca="1" si="715"/>
        <v>0</v>
      </c>
      <c r="CH906" s="824">
        <f t="shared" ca="1" si="715"/>
        <v>0</v>
      </c>
      <c r="CI906" s="824">
        <f t="shared" ca="1" si="715"/>
        <v>0</v>
      </c>
      <c r="CJ906" s="824">
        <f t="shared" ca="1" si="715"/>
        <v>0</v>
      </c>
      <c r="CK906" s="824">
        <f t="shared" ca="1" si="715"/>
        <v>0</v>
      </c>
      <c r="CL906" s="824">
        <f t="shared" ca="1" si="715"/>
        <v>0</v>
      </c>
      <c r="CM906" s="824">
        <f t="shared" ca="1" si="715"/>
        <v>0</v>
      </c>
      <c r="CN906" s="824">
        <f t="shared" ca="1" si="715"/>
        <v>0</v>
      </c>
      <c r="CO906" s="824">
        <f t="shared" ca="1" si="715"/>
        <v>0</v>
      </c>
      <c r="CP906" s="824">
        <f t="shared" ca="1" si="715"/>
        <v>0</v>
      </c>
      <c r="CQ906" s="824">
        <f t="shared" ca="1" si="715"/>
        <v>0</v>
      </c>
      <c r="CR906" s="824">
        <f t="shared" ca="1" si="715"/>
        <v>0</v>
      </c>
      <c r="CS906" s="824">
        <f t="shared" ca="1" si="715"/>
        <v>0</v>
      </c>
      <c r="CT906" s="824">
        <f t="shared" ca="1" si="715"/>
        <v>0</v>
      </c>
      <c r="CU906" s="824">
        <f t="shared" ca="1" si="700"/>
        <v>0</v>
      </c>
      <c r="CV906" s="824">
        <f t="shared" ca="1" si="700"/>
        <v>0</v>
      </c>
      <c r="CW906" s="824">
        <f t="shared" ca="1" si="700"/>
        <v>0</v>
      </c>
      <c r="CX906" s="824">
        <f t="shared" ca="1" si="700"/>
        <v>0</v>
      </c>
      <c r="CY906" s="824">
        <f t="shared" ca="1" si="700"/>
        <v>0</v>
      </c>
      <c r="CZ906" s="824">
        <f t="shared" ca="1" si="700"/>
        <v>0</v>
      </c>
      <c r="DA906" s="824">
        <f t="shared" ca="1" si="701"/>
        <v>0</v>
      </c>
      <c r="DB906" s="824">
        <f t="shared" ca="1" si="701"/>
        <v>0</v>
      </c>
      <c r="DC906" s="824">
        <f t="shared" ca="1" si="701"/>
        <v>0</v>
      </c>
      <c r="DD906" s="824">
        <f t="shared" ca="1" si="701"/>
        <v>0</v>
      </c>
      <c r="DE906" s="824">
        <f t="shared" ca="1" si="701"/>
        <v>0</v>
      </c>
      <c r="DF906" s="824">
        <f t="shared" ca="1" si="701"/>
        <v>0</v>
      </c>
      <c r="DG906" s="824">
        <f t="shared" ca="1" si="701"/>
        <v>0</v>
      </c>
      <c r="DH906" s="824">
        <f t="shared" ca="1" si="701"/>
        <v>0</v>
      </c>
      <c r="DI906" s="824">
        <f t="shared" ca="1" si="701"/>
        <v>0</v>
      </c>
      <c r="DJ906" s="824">
        <f t="shared" ca="1" si="701"/>
        <v>0</v>
      </c>
      <c r="DK906" s="824">
        <f t="shared" ca="1" si="701"/>
        <v>0</v>
      </c>
      <c r="DL906" s="824">
        <f t="shared" ca="1" si="701"/>
        <v>0</v>
      </c>
    </row>
    <row r="907" spans="2:116" ht="12" thickBot="1" x14ac:dyDescent="0.3">
      <c r="B907" s="1673"/>
      <c r="C907" s="1680"/>
      <c r="D907" s="15" t="s">
        <v>127</v>
      </c>
      <c r="E907" s="165"/>
      <c r="F907" s="116">
        <f ca="1">SUBTOTAL(109,'3.5 I&amp;W'!$X$57)</f>
        <v>0</v>
      </c>
      <c r="G907" s="116">
        <f ca="1">SUBTOTAL(109,'3.5 I&amp;W'!$Y$57)</f>
        <v>0</v>
      </c>
      <c r="H907" s="116">
        <f ca="1">SUBTOTAL(109,'3.5 I&amp;W'!$AD$57)</f>
        <v>0</v>
      </c>
      <c r="I907" s="116">
        <f ca="1">SUBTOTAL(109,'3.5 I&amp;W'!$AE$57)</f>
        <v>0</v>
      </c>
      <c r="J907" s="116"/>
      <c r="K907" s="116"/>
      <c r="L907" s="116"/>
      <c r="M907" s="116">
        <f ca="1">SUBTOTAL(109,'3.5 I&amp;W'!$AI$57)</f>
        <v>0</v>
      </c>
      <c r="N907" s="156">
        <f t="shared" ca="1" si="677"/>
        <v>0</v>
      </c>
      <c r="O907" s="116">
        <f ca="1">SUBTOTAL(109,'3.5 I&amp;W'!$S$57)</f>
        <v>0</v>
      </c>
      <c r="P907" s="30">
        <f t="shared" ca="1" si="680"/>
        <v>0</v>
      </c>
      <c r="Q907" s="31">
        <f t="shared" ca="1" si="667"/>
        <v>0</v>
      </c>
      <c r="R907" s="31">
        <f t="shared" ca="1" si="668"/>
        <v>0</v>
      </c>
      <c r="S907" s="31">
        <f t="shared" ca="1" si="669"/>
        <v>0</v>
      </c>
      <c r="T907" s="32">
        <f t="shared" ca="1" si="670"/>
        <v>0</v>
      </c>
      <c r="U907" s="37">
        <f t="shared" ca="1" si="678"/>
        <v>0</v>
      </c>
      <c r="V907" s="40">
        <f t="shared" ca="1" si="671"/>
        <v>0</v>
      </c>
      <c r="W907" s="41">
        <f t="shared" ca="1" si="672"/>
        <v>0</v>
      </c>
      <c r="X907" s="43"/>
      <c r="Y907" s="46"/>
      <c r="Z907" s="126"/>
      <c r="AA907" s="136"/>
      <c r="AB907" s="131">
        <v>7</v>
      </c>
      <c r="AC907" s="168">
        <f ca="1">IF(AF906&lt;=1,0,'3.5 Fi&amp;Fo'!$I$25)</f>
        <v>46174.624633000763</v>
      </c>
      <c r="AD907" s="169">
        <f ca="1">IF(AF906&lt;=1,0,AF906*'3.5 Fi&amp;Fo'!$H$25)</f>
        <v>20173.12524215721</v>
      </c>
      <c r="AE907" s="169">
        <f t="shared" ca="1" si="681"/>
        <v>26001.499390843554</v>
      </c>
      <c r="AF907" s="170">
        <f t="shared" ca="1" si="682"/>
        <v>982654.76271701697</v>
      </c>
      <c r="AG907" s="168">
        <f>IF(AJ906&lt;=1,0,IF(AB907&lt;='3.5 Fi&amp;Fo'!$F$34,'3.5 Fi&amp;Fo'!$J$34,IF(AB907&lt;='3.5 Fi&amp;Fo'!$F$35,'3.5 Fi&amp;Fo'!$J$35,IF(AB907&lt;='3.5 Fi&amp;Fo'!$F$36,'3.5 Fi&amp;Fo'!$J$36,IF(AB907&lt;='3.5 Fi&amp;Fo'!$F$37,'3.5 Fi&amp;Fo'!$J$37,IF(AB907&lt;='3.5 Fi&amp;Fo'!$F$38,'3.5 Fi&amp;Fo'!$J$38,IF(AB907&lt;='3.5 Fi&amp;Fo'!$F$39,'3.5 Fi&amp;Fo'!$J$39,IF(AB907&lt;='3.5 Fi&amp;Fo'!$F$40,'3.5 Fi&amp;Fo'!$J$40))))))))</f>
        <v>47444.55</v>
      </c>
      <c r="AH907" s="203">
        <f>IF(AJ906&lt;=1,0,AJ906*IF(AB907&lt;='3.5 Fi&amp;Fo'!$F$34,'3.5 Fi&amp;Fo'!$I$34,IF(AB907&lt;='3.5 Fi&amp;Fo'!$F$35,'3.5 Fi&amp;Fo'!$I$35,IF(AB907&lt;='3.5 Fi&amp;Fo'!$F$38,'3.5 Fi&amp;Fo'!$I$38,IF(AB907&lt;='3.5 Fi&amp;Fo'!$F$39,'3.5 Fi&amp;Fo'!$I$39,IF(AB907&lt;='3.5 Fi&amp;Fo'!$F$40,'3.5 Fi&amp;Fo'!$I$40))))))</f>
        <v>47430.665677920377</v>
      </c>
      <c r="AI907" s="203">
        <f t="shared" si="683"/>
        <v>13.884322079626145</v>
      </c>
      <c r="AJ907" s="204">
        <f t="shared" si="684"/>
        <v>1897212.7427947354</v>
      </c>
      <c r="AK907" s="312">
        <f t="shared" ca="1" si="685"/>
        <v>-118724.34478512316</v>
      </c>
      <c r="AL907" s="169">
        <f>IF(AB907&lt;='3.5 Fi&amp;Fo'!$J$15,'3.5 Fi&amp;Fo'!$I$15,0)</f>
        <v>0</v>
      </c>
      <c r="AM907" s="169">
        <f t="shared" si="697"/>
        <v>25105.170152122388</v>
      </c>
      <c r="AN907" s="838">
        <f t="shared" si="702"/>
        <v>7</v>
      </c>
      <c r="AO907" s="844">
        <f t="shared" ca="1" si="686"/>
        <v>118724.34478512316</v>
      </c>
      <c r="AP907" s="839">
        <f ca="1">BU1005</f>
        <v>0</v>
      </c>
      <c r="AQ907" s="844">
        <f t="shared" si="687"/>
        <v>0</v>
      </c>
      <c r="AR907" s="839">
        <f t="shared" ca="1" si="703"/>
        <v>0</v>
      </c>
      <c r="AS907" s="839">
        <f t="shared" ca="1" si="698"/>
        <v>8710.6194960014636</v>
      </c>
      <c r="AT907" s="839">
        <f t="shared" ca="1" si="699"/>
        <v>9961.5886332104001</v>
      </c>
      <c r="AU907" s="844">
        <f ca="1">'PV-Einspeisung'!AA278*-1</f>
        <v>-349.85051193937358</v>
      </c>
      <c r="AV907" s="844">
        <f>'PV-Einspeisung'!AE278*-1</f>
        <v>-1803.5552040046862</v>
      </c>
      <c r="AW907" s="839"/>
      <c r="AX907" s="839">
        <f t="shared" ca="1" si="704"/>
        <v>0</v>
      </c>
      <c r="AY907" s="841">
        <f t="shared" si="688"/>
        <v>7</v>
      </c>
      <c r="AZ907" s="842">
        <f t="shared" ca="1" si="705"/>
        <v>0</v>
      </c>
      <c r="BA907" s="842">
        <f t="shared" ca="1" si="706"/>
        <v>0</v>
      </c>
      <c r="BB907" s="842">
        <f t="shared" ca="1" si="707"/>
        <v>0</v>
      </c>
      <c r="BC907" s="842">
        <f t="shared" ca="1" si="708"/>
        <v>0</v>
      </c>
      <c r="BD907" s="842">
        <f t="shared" ca="1" si="709"/>
        <v>0</v>
      </c>
      <c r="BE907" s="842">
        <f t="shared" ca="1" si="710"/>
        <v>0</v>
      </c>
      <c r="BF907" s="842">
        <f t="shared" ca="1" si="711"/>
        <v>7487.6917273357312</v>
      </c>
      <c r="BG907" s="842">
        <f t="shared" ca="1" si="712"/>
        <v>2473.8969058746693</v>
      </c>
      <c r="BH907" s="858">
        <f t="shared" si="696"/>
        <v>7</v>
      </c>
      <c r="BI907" s="857">
        <f t="shared" ca="1" si="713"/>
        <v>3295.8090055710454</v>
      </c>
      <c r="BJ907" s="857">
        <f t="shared" ca="1" si="714"/>
        <v>5414.8104904304182</v>
      </c>
      <c r="BK907" s="859">
        <f ca="1">'PV-Einspeisung'!AB278*-1</f>
        <v>0</v>
      </c>
      <c r="BL907" s="824">
        <f t="shared" ca="1" si="673"/>
        <v>0</v>
      </c>
      <c r="BM907" s="824">
        <f t="shared" ca="1" si="674"/>
        <v>0</v>
      </c>
      <c r="BN907" s="824">
        <f t="shared" ca="1" si="675"/>
        <v>0</v>
      </c>
      <c r="BO907" s="824">
        <f t="shared" ca="1" si="679"/>
        <v>0</v>
      </c>
      <c r="BP907" s="824">
        <f t="shared" ca="1" si="679"/>
        <v>0</v>
      </c>
      <c r="BQ907" s="824">
        <f t="shared" ca="1" si="679"/>
        <v>0</v>
      </c>
      <c r="BR907" s="824">
        <f t="shared" ca="1" si="679"/>
        <v>0</v>
      </c>
      <c r="BS907" s="824">
        <f t="shared" ca="1" si="679"/>
        <v>0</v>
      </c>
      <c r="BT907" s="824">
        <f t="shared" ca="1" si="679"/>
        <v>0</v>
      </c>
      <c r="BU907" s="824">
        <f t="shared" ca="1" si="679"/>
        <v>0</v>
      </c>
      <c r="BV907" s="824">
        <f t="shared" ca="1" si="679"/>
        <v>0</v>
      </c>
      <c r="BW907" s="824">
        <f t="shared" ca="1" si="679"/>
        <v>0</v>
      </c>
      <c r="BX907" s="824">
        <f t="shared" ca="1" si="679"/>
        <v>0</v>
      </c>
      <c r="BY907" s="824">
        <f t="shared" ca="1" si="679"/>
        <v>0</v>
      </c>
      <c r="BZ907" s="824">
        <f t="shared" ca="1" si="679"/>
        <v>0</v>
      </c>
      <c r="CA907" s="824">
        <f t="shared" ca="1" si="679"/>
        <v>0</v>
      </c>
      <c r="CB907" s="824">
        <f t="shared" ca="1" si="679"/>
        <v>0</v>
      </c>
      <c r="CC907" s="824">
        <f t="shared" ca="1" si="679"/>
        <v>0</v>
      </c>
      <c r="CD907" s="824">
        <f t="shared" ca="1" si="679"/>
        <v>0</v>
      </c>
      <c r="CE907" s="824">
        <f t="shared" ca="1" si="715"/>
        <v>0</v>
      </c>
      <c r="CF907" s="824">
        <f t="shared" ca="1" si="715"/>
        <v>0</v>
      </c>
      <c r="CG907" s="824">
        <f t="shared" ca="1" si="715"/>
        <v>0</v>
      </c>
      <c r="CH907" s="824">
        <f t="shared" ca="1" si="715"/>
        <v>0</v>
      </c>
      <c r="CI907" s="824">
        <f t="shared" ca="1" si="715"/>
        <v>0</v>
      </c>
      <c r="CJ907" s="824">
        <f t="shared" ca="1" si="715"/>
        <v>0</v>
      </c>
      <c r="CK907" s="824">
        <f t="shared" ca="1" si="715"/>
        <v>0</v>
      </c>
      <c r="CL907" s="824">
        <f t="shared" ca="1" si="715"/>
        <v>0</v>
      </c>
      <c r="CM907" s="824">
        <f t="shared" ca="1" si="715"/>
        <v>0</v>
      </c>
      <c r="CN907" s="824">
        <f t="shared" ca="1" si="715"/>
        <v>0</v>
      </c>
      <c r="CO907" s="824">
        <f t="shared" ca="1" si="715"/>
        <v>0</v>
      </c>
      <c r="CP907" s="824">
        <f t="shared" ca="1" si="715"/>
        <v>0</v>
      </c>
      <c r="CQ907" s="824">
        <f t="shared" ca="1" si="715"/>
        <v>0</v>
      </c>
      <c r="CR907" s="824">
        <f t="shared" ca="1" si="715"/>
        <v>0</v>
      </c>
      <c r="CS907" s="824">
        <f t="shared" ca="1" si="715"/>
        <v>0</v>
      </c>
      <c r="CT907" s="824">
        <f t="shared" ca="1" si="715"/>
        <v>0</v>
      </c>
      <c r="CU907" s="824">
        <f t="shared" ca="1" si="700"/>
        <v>0</v>
      </c>
      <c r="CV907" s="824">
        <f t="shared" ca="1" si="700"/>
        <v>0</v>
      </c>
      <c r="CW907" s="824">
        <f t="shared" ca="1" si="700"/>
        <v>0</v>
      </c>
      <c r="CX907" s="824">
        <f t="shared" ca="1" si="700"/>
        <v>0</v>
      </c>
      <c r="CY907" s="824">
        <f t="shared" ca="1" si="700"/>
        <v>0</v>
      </c>
      <c r="CZ907" s="824">
        <f t="shared" ca="1" si="700"/>
        <v>0</v>
      </c>
      <c r="DA907" s="824">
        <f t="shared" ca="1" si="701"/>
        <v>0</v>
      </c>
      <c r="DB907" s="824">
        <f t="shared" ca="1" si="701"/>
        <v>0</v>
      </c>
      <c r="DC907" s="824">
        <f t="shared" ca="1" si="701"/>
        <v>0</v>
      </c>
      <c r="DD907" s="824">
        <f t="shared" ca="1" si="701"/>
        <v>0</v>
      </c>
      <c r="DE907" s="824">
        <f t="shared" ca="1" si="701"/>
        <v>0</v>
      </c>
      <c r="DF907" s="824">
        <f t="shared" ca="1" si="701"/>
        <v>0</v>
      </c>
      <c r="DG907" s="824">
        <f t="shared" ca="1" si="701"/>
        <v>0</v>
      </c>
      <c r="DH907" s="824">
        <f t="shared" ca="1" si="701"/>
        <v>0</v>
      </c>
      <c r="DI907" s="824">
        <f t="shared" ca="1" si="701"/>
        <v>0</v>
      </c>
      <c r="DJ907" s="824">
        <f t="shared" ca="1" si="701"/>
        <v>0</v>
      </c>
      <c r="DK907" s="824">
        <f t="shared" ca="1" si="701"/>
        <v>0</v>
      </c>
      <c r="DL907" s="824">
        <f t="shared" ca="1" si="701"/>
        <v>0</v>
      </c>
    </row>
    <row r="908" spans="2:116" ht="12" thickBot="1" x14ac:dyDescent="0.3">
      <c r="B908" s="1673"/>
      <c r="C908" s="1680"/>
      <c r="D908" s="15" t="s">
        <v>127</v>
      </c>
      <c r="E908" s="116"/>
      <c r="F908" s="116">
        <f ca="1">SUBTOTAL(109,'3.5 I&amp;W'!$X$58)</f>
        <v>0</v>
      </c>
      <c r="G908" s="116">
        <f ca="1">SUBTOTAL(109,'3.5 I&amp;W'!$Y$58)</f>
        <v>0</v>
      </c>
      <c r="H908" s="116">
        <f ca="1">SUBTOTAL(109,'3.5 I&amp;W'!$AD$58)</f>
        <v>0</v>
      </c>
      <c r="I908" s="116">
        <f ca="1">SUBTOTAL(109,'3.5 I&amp;W'!$AE$58)</f>
        <v>0</v>
      </c>
      <c r="J908" s="116"/>
      <c r="K908" s="116"/>
      <c r="L908" s="116"/>
      <c r="M908" s="116">
        <f ca="1">SUBTOTAL(109,'3.5 I&amp;W'!$AI$58)</f>
        <v>0</v>
      </c>
      <c r="N908" s="156">
        <f t="shared" ca="1" si="677"/>
        <v>0</v>
      </c>
      <c r="O908" s="116">
        <f ca="1">SUBTOTAL(109,'3.5 I&amp;W'!$S$58)</f>
        <v>0</v>
      </c>
      <c r="P908" s="30">
        <f t="shared" ca="1" si="680"/>
        <v>0</v>
      </c>
      <c r="Q908" s="31">
        <f t="shared" ca="1" si="667"/>
        <v>0</v>
      </c>
      <c r="R908" s="31">
        <f t="shared" ca="1" si="668"/>
        <v>0</v>
      </c>
      <c r="S908" s="31">
        <f t="shared" ca="1" si="669"/>
        <v>0</v>
      </c>
      <c r="T908" s="32">
        <f t="shared" ca="1" si="670"/>
        <v>0</v>
      </c>
      <c r="U908" s="37">
        <f t="shared" ca="1" si="678"/>
        <v>0</v>
      </c>
      <c r="V908" s="40">
        <f t="shared" ca="1" si="671"/>
        <v>0</v>
      </c>
      <c r="W908" s="41">
        <f t="shared" ca="1" si="672"/>
        <v>0</v>
      </c>
      <c r="X908" s="43"/>
      <c r="Y908" s="46"/>
      <c r="Z908" s="126"/>
      <c r="AA908" s="136"/>
      <c r="AB908" s="131">
        <v>8</v>
      </c>
      <c r="AC908" s="168">
        <f ca="1">IF(AF907&lt;=1,0,'3.5 Fi&amp;Fo'!$I$25)</f>
        <v>46174.624633000763</v>
      </c>
      <c r="AD908" s="169">
        <f ca="1">IF(AF907&lt;=1,0,AF907*'3.5 Fi&amp;Fo'!$H$25)</f>
        <v>19653.09525434034</v>
      </c>
      <c r="AE908" s="169">
        <f t="shared" ca="1" si="681"/>
        <v>26521.529378660423</v>
      </c>
      <c r="AF908" s="170">
        <f t="shared" ca="1" si="682"/>
        <v>956133.2333383566</v>
      </c>
      <c r="AG908" s="168">
        <f>IF(AJ907&lt;=1,0,IF(AB908&lt;='3.5 Fi&amp;Fo'!$F$34,'3.5 Fi&amp;Fo'!$J$34,IF(AB908&lt;='3.5 Fi&amp;Fo'!$F$35,'3.5 Fi&amp;Fo'!$J$35,IF(AB908&lt;='3.5 Fi&amp;Fo'!$F$36,'3.5 Fi&amp;Fo'!$J$36,IF(AB908&lt;='3.5 Fi&amp;Fo'!$F$37,'3.5 Fi&amp;Fo'!$J$37,IF(AB908&lt;='3.5 Fi&amp;Fo'!$F$38,'3.5 Fi&amp;Fo'!$J$38,IF(AB908&lt;='3.5 Fi&amp;Fo'!$F$39,'3.5 Fi&amp;Fo'!$J$39,IF(AB908&lt;='3.5 Fi&amp;Fo'!$F$40,'3.5 Fi&amp;Fo'!$J$40))))))))</f>
        <v>47444.55</v>
      </c>
      <c r="AH908" s="203">
        <f>IF(AJ907&lt;=1,0,AJ907*IF(AB908&lt;='3.5 Fi&amp;Fo'!$F$34,'3.5 Fi&amp;Fo'!$I$34,IF(AB908&lt;='3.5 Fi&amp;Fo'!$F$35,'3.5 Fi&amp;Fo'!$I$35,IF(AB908&lt;='3.5 Fi&amp;Fo'!$F$38,'3.5 Fi&amp;Fo'!$I$38,IF(AB908&lt;='3.5 Fi&amp;Fo'!$F$39,'3.5 Fi&amp;Fo'!$I$39,IF(AB908&lt;='3.5 Fi&amp;Fo'!$F$40,'3.5 Fi&amp;Fo'!$I$40))))))</f>
        <v>47430.318569868388</v>
      </c>
      <c r="AI908" s="203">
        <f t="shared" si="683"/>
        <v>14.231430131614616</v>
      </c>
      <c r="AJ908" s="204">
        <f t="shared" si="684"/>
        <v>1897198.5113646036</v>
      </c>
      <c r="AK908" s="312">
        <f t="shared" ca="1" si="685"/>
        <v>-119226.44818816616</v>
      </c>
      <c r="AL908" s="169">
        <f>IF(AB908&lt;='3.5 Fi&amp;Fo'!$J$15,'3.5 Fi&amp;Fo'!$I$15,0)</f>
        <v>0</v>
      </c>
      <c r="AM908" s="169">
        <f t="shared" si="697"/>
        <v>25607.27355516539</v>
      </c>
      <c r="AN908" s="838">
        <f t="shared" si="702"/>
        <v>8</v>
      </c>
      <c r="AO908" s="844">
        <f t="shared" ca="1" si="686"/>
        <v>119226.44818816616</v>
      </c>
      <c r="AP908" s="839">
        <f ca="1">BV1005</f>
        <v>0</v>
      </c>
      <c r="AQ908" s="844">
        <f t="shared" si="687"/>
        <v>0</v>
      </c>
      <c r="AR908" s="839">
        <f t="shared" ca="1" si="703"/>
        <v>0</v>
      </c>
      <c r="AS908" s="839">
        <f t="shared" ca="1" si="698"/>
        <v>8849.9894079374862</v>
      </c>
      <c r="AT908" s="839">
        <f t="shared" ca="1" si="699"/>
        <v>10235.367318099406</v>
      </c>
      <c r="AU908" s="844">
        <f ca="1">'PV-Einspeisung'!AA279*-1</f>
        <v>-358.59677473785791</v>
      </c>
      <c r="AV908" s="844">
        <f>'PV-Einspeisung'!AE279*-1</f>
        <v>-1848.6440841048031</v>
      </c>
      <c r="AW908" s="839"/>
      <c r="AX908" s="839">
        <f t="shared" ca="1" si="704"/>
        <v>0</v>
      </c>
      <c r="AY908" s="841">
        <f t="shared" si="688"/>
        <v>8</v>
      </c>
      <c r="AZ908" s="842">
        <f t="shared" ca="1" si="705"/>
        <v>0</v>
      </c>
      <c r="BA908" s="842">
        <f t="shared" ca="1" si="706"/>
        <v>0</v>
      </c>
      <c r="BB908" s="842">
        <f t="shared" ca="1" si="707"/>
        <v>0</v>
      </c>
      <c r="BC908" s="842">
        <f t="shared" ca="1" si="708"/>
        <v>0</v>
      </c>
      <c r="BD908" s="842">
        <f t="shared" ca="1" si="709"/>
        <v>0</v>
      </c>
      <c r="BE908" s="842">
        <f t="shared" ca="1" si="710"/>
        <v>0</v>
      </c>
      <c r="BF908" s="842">
        <f t="shared" ca="1" si="711"/>
        <v>7674.8840205191236</v>
      </c>
      <c r="BG908" s="842">
        <f t="shared" ca="1" si="712"/>
        <v>2560.4832975802824</v>
      </c>
      <c r="BH908" s="858">
        <f t="shared" si="696"/>
        <v>8</v>
      </c>
      <c r="BI908" s="857">
        <f t="shared" ca="1" si="713"/>
        <v>3348.5419496601821</v>
      </c>
      <c r="BJ908" s="857">
        <f t="shared" ca="1" si="714"/>
        <v>5501.4474582773046</v>
      </c>
      <c r="BK908" s="859">
        <f ca="1">'PV-Einspeisung'!AB279*-1</f>
        <v>0</v>
      </c>
      <c r="BL908" s="824">
        <f t="shared" ca="1" si="673"/>
        <v>0</v>
      </c>
      <c r="BM908" s="824">
        <f t="shared" ca="1" si="674"/>
        <v>0</v>
      </c>
      <c r="BN908" s="824">
        <f t="shared" ca="1" si="675"/>
        <v>0</v>
      </c>
      <c r="BO908" s="824">
        <f t="shared" ca="1" si="679"/>
        <v>0</v>
      </c>
      <c r="BP908" s="824">
        <f t="shared" ca="1" si="679"/>
        <v>0</v>
      </c>
      <c r="BQ908" s="824">
        <f t="shared" ca="1" si="679"/>
        <v>0</v>
      </c>
      <c r="BR908" s="824">
        <f t="shared" ca="1" si="679"/>
        <v>0</v>
      </c>
      <c r="BS908" s="824">
        <f t="shared" ca="1" si="679"/>
        <v>0</v>
      </c>
      <c r="BT908" s="824">
        <f t="shared" ca="1" si="679"/>
        <v>0</v>
      </c>
      <c r="BU908" s="824">
        <f t="shared" ca="1" si="679"/>
        <v>0</v>
      </c>
      <c r="BV908" s="824">
        <f t="shared" ca="1" si="679"/>
        <v>0</v>
      </c>
      <c r="BW908" s="824">
        <f t="shared" ca="1" si="679"/>
        <v>0</v>
      </c>
      <c r="BX908" s="824">
        <f t="shared" ca="1" si="679"/>
        <v>0</v>
      </c>
      <c r="BY908" s="824">
        <f t="shared" ca="1" si="679"/>
        <v>0</v>
      </c>
      <c r="BZ908" s="824">
        <f t="shared" ca="1" si="679"/>
        <v>0</v>
      </c>
      <c r="CA908" s="824">
        <f t="shared" ca="1" si="679"/>
        <v>0</v>
      </c>
      <c r="CB908" s="824">
        <f t="shared" ca="1" si="679"/>
        <v>0</v>
      </c>
      <c r="CC908" s="824">
        <f t="shared" ca="1" si="679"/>
        <v>0</v>
      </c>
      <c r="CD908" s="824">
        <f t="shared" ca="1" si="679"/>
        <v>0</v>
      </c>
      <c r="CE908" s="824">
        <f t="shared" ca="1" si="715"/>
        <v>0</v>
      </c>
      <c r="CF908" s="824">
        <f t="shared" ca="1" si="715"/>
        <v>0</v>
      </c>
      <c r="CG908" s="824">
        <f t="shared" ca="1" si="715"/>
        <v>0</v>
      </c>
      <c r="CH908" s="824">
        <f t="shared" ca="1" si="715"/>
        <v>0</v>
      </c>
      <c r="CI908" s="824">
        <f t="shared" ca="1" si="715"/>
        <v>0</v>
      </c>
      <c r="CJ908" s="824">
        <f t="shared" ca="1" si="715"/>
        <v>0</v>
      </c>
      <c r="CK908" s="824">
        <f t="shared" ca="1" si="715"/>
        <v>0</v>
      </c>
      <c r="CL908" s="824">
        <f t="shared" ca="1" si="715"/>
        <v>0</v>
      </c>
      <c r="CM908" s="824">
        <f t="shared" ca="1" si="715"/>
        <v>0</v>
      </c>
      <c r="CN908" s="824">
        <f t="shared" ca="1" si="715"/>
        <v>0</v>
      </c>
      <c r="CO908" s="824">
        <f t="shared" ca="1" si="715"/>
        <v>0</v>
      </c>
      <c r="CP908" s="824">
        <f t="shared" ca="1" si="715"/>
        <v>0</v>
      </c>
      <c r="CQ908" s="824">
        <f t="shared" ca="1" si="715"/>
        <v>0</v>
      </c>
      <c r="CR908" s="824">
        <f t="shared" ca="1" si="715"/>
        <v>0</v>
      </c>
      <c r="CS908" s="824">
        <f t="shared" ca="1" si="715"/>
        <v>0</v>
      </c>
      <c r="CT908" s="824">
        <f t="shared" ca="1" si="715"/>
        <v>0</v>
      </c>
      <c r="CU908" s="824">
        <f t="shared" ca="1" si="700"/>
        <v>0</v>
      </c>
      <c r="CV908" s="824">
        <f t="shared" ca="1" si="700"/>
        <v>0</v>
      </c>
      <c r="CW908" s="824">
        <f t="shared" ca="1" si="700"/>
        <v>0</v>
      </c>
      <c r="CX908" s="824">
        <f t="shared" ca="1" si="700"/>
        <v>0</v>
      </c>
      <c r="CY908" s="824">
        <f t="shared" ca="1" si="700"/>
        <v>0</v>
      </c>
      <c r="CZ908" s="824">
        <f t="shared" ca="1" si="700"/>
        <v>0</v>
      </c>
      <c r="DA908" s="824">
        <f t="shared" ca="1" si="701"/>
        <v>0</v>
      </c>
      <c r="DB908" s="824">
        <f t="shared" ca="1" si="701"/>
        <v>0</v>
      </c>
      <c r="DC908" s="824">
        <f t="shared" ca="1" si="701"/>
        <v>0</v>
      </c>
      <c r="DD908" s="824">
        <f t="shared" ca="1" si="701"/>
        <v>0</v>
      </c>
      <c r="DE908" s="824">
        <f t="shared" ca="1" si="701"/>
        <v>0</v>
      </c>
      <c r="DF908" s="824">
        <f t="shared" ca="1" si="701"/>
        <v>0</v>
      </c>
      <c r="DG908" s="824">
        <f t="shared" ca="1" si="701"/>
        <v>0</v>
      </c>
      <c r="DH908" s="824">
        <f t="shared" ca="1" si="701"/>
        <v>0</v>
      </c>
      <c r="DI908" s="824">
        <f t="shared" ca="1" si="701"/>
        <v>0</v>
      </c>
      <c r="DJ908" s="824">
        <f t="shared" ca="1" si="701"/>
        <v>0</v>
      </c>
      <c r="DK908" s="824">
        <f t="shared" ca="1" si="701"/>
        <v>0</v>
      </c>
      <c r="DL908" s="824">
        <f t="shared" ca="1" si="701"/>
        <v>0</v>
      </c>
    </row>
    <row r="909" spans="2:116" ht="12" thickBot="1" x14ac:dyDescent="0.3">
      <c r="B909" s="1673"/>
      <c r="C909" s="1680"/>
      <c r="D909" s="15" t="s">
        <v>128</v>
      </c>
      <c r="E909" s="165"/>
      <c r="F909" s="116">
        <f ca="1">SUBTOTAL(109,'3.5 I&amp;W'!$X$61)</f>
        <v>0</v>
      </c>
      <c r="G909" s="116">
        <f ca="1">SUBTOTAL(109,'3.5 I&amp;W'!$Y$61)</f>
        <v>0</v>
      </c>
      <c r="H909" s="116">
        <f ca="1">SUBTOTAL(109,'3.5 I&amp;W'!$AD$61)</f>
        <v>0</v>
      </c>
      <c r="I909" s="116">
        <f ca="1">SUBTOTAL(109,'3.5 I&amp;W'!$AE$61)</f>
        <v>0</v>
      </c>
      <c r="J909" s="116"/>
      <c r="K909" s="116"/>
      <c r="L909" s="116"/>
      <c r="M909" s="116">
        <f ca="1">SUBTOTAL(109,'3.5 I&amp;W'!$AI$61)</f>
        <v>0</v>
      </c>
      <c r="N909" s="156">
        <f t="shared" ca="1" si="677"/>
        <v>0</v>
      </c>
      <c r="O909" s="116">
        <f ca="1">SUBTOTAL(109,'3.5 I&amp;W'!$S$61)</f>
        <v>0</v>
      </c>
      <c r="P909" s="30">
        <f t="shared" ca="1" si="680"/>
        <v>0</v>
      </c>
      <c r="Q909" s="31">
        <f t="shared" ca="1" si="667"/>
        <v>0</v>
      </c>
      <c r="R909" s="31">
        <f t="shared" ca="1" si="668"/>
        <v>0</v>
      </c>
      <c r="S909" s="31">
        <f t="shared" ca="1" si="669"/>
        <v>0</v>
      </c>
      <c r="T909" s="32">
        <f t="shared" ca="1" si="670"/>
        <v>0</v>
      </c>
      <c r="U909" s="37">
        <f t="shared" ca="1" si="678"/>
        <v>0</v>
      </c>
      <c r="V909" s="40">
        <f t="shared" ca="1" si="671"/>
        <v>0</v>
      </c>
      <c r="W909" s="41">
        <f t="shared" ca="1" si="672"/>
        <v>0</v>
      </c>
      <c r="X909" s="43"/>
      <c r="Y909" s="46"/>
      <c r="Z909" s="126"/>
      <c r="AA909" s="136"/>
      <c r="AB909" s="131">
        <v>9</v>
      </c>
      <c r="AC909" s="168">
        <f ca="1">IF(AF908&lt;=1,0,'3.5 Fi&amp;Fo'!$I$25)</f>
        <v>46174.624633000763</v>
      </c>
      <c r="AD909" s="169">
        <f ca="1">IF(AF908&lt;=1,0,AF908*'3.5 Fi&amp;Fo'!$H$25)</f>
        <v>19122.664666767134</v>
      </c>
      <c r="AE909" s="169">
        <f t="shared" ca="1" si="681"/>
        <v>27051.95996623363</v>
      </c>
      <c r="AF909" s="170">
        <f t="shared" ca="1" si="682"/>
        <v>929081.27337212302</v>
      </c>
      <c r="AG909" s="168">
        <f>IF(AJ908&lt;=1,0,IF(AB909&lt;='3.5 Fi&amp;Fo'!$F$34,'3.5 Fi&amp;Fo'!$J$34,IF(AB909&lt;='3.5 Fi&amp;Fo'!$F$35,'3.5 Fi&amp;Fo'!$J$35,IF(AB909&lt;='3.5 Fi&amp;Fo'!$F$36,'3.5 Fi&amp;Fo'!$J$36,IF(AB909&lt;='3.5 Fi&amp;Fo'!$F$37,'3.5 Fi&amp;Fo'!$J$37,IF(AB909&lt;='3.5 Fi&amp;Fo'!$F$38,'3.5 Fi&amp;Fo'!$J$38,IF(AB909&lt;='3.5 Fi&amp;Fo'!$F$39,'3.5 Fi&amp;Fo'!$J$39,IF(AB909&lt;='3.5 Fi&amp;Fo'!$F$40,'3.5 Fi&amp;Fo'!$J$40))))))))</f>
        <v>47444.55</v>
      </c>
      <c r="AH909" s="203">
        <f>IF(AJ908&lt;=1,0,AJ908*IF(AB909&lt;='3.5 Fi&amp;Fo'!$F$34,'3.5 Fi&amp;Fo'!$I$34,IF(AB909&lt;='3.5 Fi&amp;Fo'!$F$35,'3.5 Fi&amp;Fo'!$I$35,IF(AB909&lt;='3.5 Fi&amp;Fo'!$F$38,'3.5 Fi&amp;Fo'!$I$38,IF(AB909&lt;='3.5 Fi&amp;Fo'!$F$39,'3.5 Fi&amp;Fo'!$I$39,IF(AB909&lt;='3.5 Fi&amp;Fo'!$F$40,'3.5 Fi&amp;Fo'!$I$40))))))</f>
        <v>47429.962784115094</v>
      </c>
      <c r="AI909" s="203">
        <f t="shared" si="683"/>
        <v>14.587215884908801</v>
      </c>
      <c r="AJ909" s="204">
        <f t="shared" si="684"/>
        <v>1897183.9241487188</v>
      </c>
      <c r="AK909" s="312">
        <f t="shared" ca="1" si="685"/>
        <v>-119738.59365926942</v>
      </c>
      <c r="AL909" s="169">
        <f>IF(AB909&lt;='3.5 Fi&amp;Fo'!$J$15,'3.5 Fi&amp;Fo'!$I$15,0)</f>
        <v>0</v>
      </c>
      <c r="AM909" s="169">
        <f t="shared" si="697"/>
        <v>26119.419026268646</v>
      </c>
      <c r="AN909" s="838">
        <f t="shared" si="702"/>
        <v>9</v>
      </c>
      <c r="AO909" s="844">
        <f t="shared" ca="1" si="686"/>
        <v>119738.59365926942</v>
      </c>
      <c r="AP909" s="839">
        <f ca="1">BW1005</f>
        <v>0</v>
      </c>
      <c r="AQ909" s="844">
        <f t="shared" si="687"/>
        <v>0</v>
      </c>
      <c r="AR909" s="839">
        <f t="shared" ca="1" si="703"/>
        <v>0</v>
      </c>
      <c r="AS909" s="839">
        <f t="shared" ca="1" si="698"/>
        <v>8991.5892384644867</v>
      </c>
      <c r="AT909" s="839">
        <f t="shared" ca="1" si="699"/>
        <v>10516.856334027692</v>
      </c>
      <c r="AU909" s="844">
        <f ca="1">'PV-Einspeisung'!AA280*-1</f>
        <v>-367.56169410630429</v>
      </c>
      <c r="AV909" s="844">
        <f>'PV-Einspeisung'!AE280*-1</f>
        <v>-1894.8601862074233</v>
      </c>
      <c r="AW909" s="839"/>
      <c r="AX909" s="839">
        <f t="shared" ca="1" si="704"/>
        <v>0</v>
      </c>
      <c r="AY909" s="841">
        <f t="shared" si="688"/>
        <v>9</v>
      </c>
      <c r="AZ909" s="842">
        <f t="shared" ca="1" si="705"/>
        <v>0</v>
      </c>
      <c r="BA909" s="842">
        <f t="shared" ca="1" si="706"/>
        <v>0</v>
      </c>
      <c r="BB909" s="842">
        <f t="shared" ca="1" si="707"/>
        <v>0</v>
      </c>
      <c r="BC909" s="842">
        <f t="shared" ca="1" si="708"/>
        <v>0</v>
      </c>
      <c r="BD909" s="842">
        <f t="shared" ca="1" si="709"/>
        <v>0</v>
      </c>
      <c r="BE909" s="842">
        <f t="shared" ca="1" si="710"/>
        <v>0</v>
      </c>
      <c r="BF909" s="842">
        <f t="shared" ca="1" si="711"/>
        <v>7866.756121032101</v>
      </c>
      <c r="BG909" s="842">
        <f t="shared" ca="1" si="712"/>
        <v>2650.1002129955923</v>
      </c>
      <c r="BH909" s="858">
        <f t="shared" si="696"/>
        <v>9</v>
      </c>
      <c r="BI909" s="857">
        <f t="shared" ca="1" si="713"/>
        <v>3402.1186208547451</v>
      </c>
      <c r="BJ909" s="857">
        <f t="shared" ca="1" si="714"/>
        <v>5589.4706176097416</v>
      </c>
      <c r="BK909" s="859">
        <f ca="1">'PV-Einspeisung'!AB280*-1</f>
        <v>0</v>
      </c>
      <c r="BL909" s="824">
        <f t="shared" ca="1" si="673"/>
        <v>0</v>
      </c>
      <c r="BM909" s="824">
        <f t="shared" ca="1" si="674"/>
        <v>0</v>
      </c>
      <c r="BN909" s="824">
        <f t="shared" ca="1" si="675"/>
        <v>0</v>
      </c>
      <c r="BO909" s="824">
        <f t="shared" ca="1" si="679"/>
        <v>0</v>
      </c>
      <c r="BP909" s="824">
        <f t="shared" ca="1" si="679"/>
        <v>0</v>
      </c>
      <c r="BQ909" s="824">
        <f t="shared" ca="1" si="679"/>
        <v>0</v>
      </c>
      <c r="BR909" s="824">
        <f t="shared" ca="1" si="679"/>
        <v>0</v>
      </c>
      <c r="BS909" s="824">
        <f t="shared" ca="1" si="679"/>
        <v>0</v>
      </c>
      <c r="BT909" s="824">
        <f t="shared" ca="1" si="679"/>
        <v>0</v>
      </c>
      <c r="BU909" s="824">
        <f t="shared" ca="1" si="679"/>
        <v>0</v>
      </c>
      <c r="BV909" s="824">
        <f t="shared" ca="1" si="679"/>
        <v>0</v>
      </c>
      <c r="BW909" s="824">
        <f t="shared" ca="1" si="679"/>
        <v>0</v>
      </c>
      <c r="BX909" s="824">
        <f t="shared" ca="1" si="679"/>
        <v>0</v>
      </c>
      <c r="BY909" s="824">
        <f t="shared" ca="1" si="679"/>
        <v>0</v>
      </c>
      <c r="BZ909" s="824">
        <f t="shared" ca="1" si="679"/>
        <v>0</v>
      </c>
      <c r="CA909" s="824">
        <f t="shared" ca="1" si="679"/>
        <v>0</v>
      </c>
      <c r="CB909" s="824">
        <f t="shared" ca="1" si="679"/>
        <v>0</v>
      </c>
      <c r="CC909" s="824">
        <f t="shared" ca="1" si="679"/>
        <v>0</v>
      </c>
      <c r="CD909" s="824">
        <f t="shared" ca="1" si="679"/>
        <v>0</v>
      </c>
      <c r="CE909" s="824">
        <f t="shared" ca="1" si="715"/>
        <v>0</v>
      </c>
      <c r="CF909" s="824">
        <f t="shared" ca="1" si="715"/>
        <v>0</v>
      </c>
      <c r="CG909" s="824">
        <f t="shared" ca="1" si="715"/>
        <v>0</v>
      </c>
      <c r="CH909" s="824">
        <f t="shared" ca="1" si="715"/>
        <v>0</v>
      </c>
      <c r="CI909" s="824">
        <f t="shared" ca="1" si="715"/>
        <v>0</v>
      </c>
      <c r="CJ909" s="824">
        <f t="shared" ca="1" si="715"/>
        <v>0</v>
      </c>
      <c r="CK909" s="824">
        <f t="shared" ca="1" si="715"/>
        <v>0</v>
      </c>
      <c r="CL909" s="824">
        <f t="shared" ca="1" si="715"/>
        <v>0</v>
      </c>
      <c r="CM909" s="824">
        <f t="shared" ca="1" si="715"/>
        <v>0</v>
      </c>
      <c r="CN909" s="824">
        <f t="shared" ca="1" si="715"/>
        <v>0</v>
      </c>
      <c r="CO909" s="824">
        <f t="shared" ca="1" si="715"/>
        <v>0</v>
      </c>
      <c r="CP909" s="824">
        <f t="shared" ca="1" si="715"/>
        <v>0</v>
      </c>
      <c r="CQ909" s="824">
        <f t="shared" ca="1" si="715"/>
        <v>0</v>
      </c>
      <c r="CR909" s="824">
        <f t="shared" ca="1" si="715"/>
        <v>0</v>
      </c>
      <c r="CS909" s="824">
        <f t="shared" ca="1" si="715"/>
        <v>0</v>
      </c>
      <c r="CT909" s="824">
        <f t="shared" ca="1" si="715"/>
        <v>0</v>
      </c>
      <c r="CU909" s="824">
        <f t="shared" ca="1" si="700"/>
        <v>0</v>
      </c>
      <c r="CV909" s="824">
        <f t="shared" ca="1" si="700"/>
        <v>0</v>
      </c>
      <c r="CW909" s="824">
        <f t="shared" ca="1" si="700"/>
        <v>0</v>
      </c>
      <c r="CX909" s="824">
        <f t="shared" ca="1" si="700"/>
        <v>0</v>
      </c>
      <c r="CY909" s="824">
        <f t="shared" ca="1" si="700"/>
        <v>0</v>
      </c>
      <c r="CZ909" s="824">
        <f t="shared" ca="1" si="700"/>
        <v>0</v>
      </c>
      <c r="DA909" s="824">
        <f t="shared" ca="1" si="701"/>
        <v>0</v>
      </c>
      <c r="DB909" s="824">
        <f t="shared" ca="1" si="701"/>
        <v>0</v>
      </c>
      <c r="DC909" s="824">
        <f t="shared" ca="1" si="701"/>
        <v>0</v>
      </c>
      <c r="DD909" s="824">
        <f t="shared" ca="1" si="701"/>
        <v>0</v>
      </c>
      <c r="DE909" s="824">
        <f t="shared" ca="1" si="701"/>
        <v>0</v>
      </c>
      <c r="DF909" s="824">
        <f t="shared" ca="1" si="701"/>
        <v>0</v>
      </c>
      <c r="DG909" s="824">
        <f t="shared" ca="1" si="701"/>
        <v>0</v>
      </c>
      <c r="DH909" s="824">
        <f t="shared" ca="1" si="701"/>
        <v>0</v>
      </c>
      <c r="DI909" s="824">
        <f t="shared" ca="1" si="701"/>
        <v>0</v>
      </c>
      <c r="DJ909" s="824">
        <f t="shared" ca="1" si="701"/>
        <v>0</v>
      </c>
      <c r="DK909" s="824">
        <f t="shared" ca="1" si="701"/>
        <v>0</v>
      </c>
      <c r="DL909" s="824">
        <f t="shared" ca="1" si="701"/>
        <v>0</v>
      </c>
    </row>
    <row r="910" spans="2:116" ht="12" thickBot="1" x14ac:dyDescent="0.3">
      <c r="B910" s="1673"/>
      <c r="C910" s="1680"/>
      <c r="D910" s="15" t="s">
        <v>128</v>
      </c>
      <c r="E910" s="116"/>
      <c r="F910" s="116">
        <f ca="1">SUBTOTAL(109,'3.5 I&amp;W'!$X$62)</f>
        <v>0</v>
      </c>
      <c r="G910" s="116">
        <f ca="1">SUBTOTAL(109,'3.5 I&amp;W'!$Y$62)</f>
        <v>0</v>
      </c>
      <c r="H910" s="116">
        <f ca="1">SUBTOTAL(109,'3.5 I&amp;W'!$AD$62)</f>
        <v>0</v>
      </c>
      <c r="I910" s="116">
        <f ca="1">SUBTOTAL(109,'3.5 I&amp;W'!$AE$62)</f>
        <v>0</v>
      </c>
      <c r="J910" s="116"/>
      <c r="K910" s="116"/>
      <c r="L910" s="116"/>
      <c r="M910" s="116">
        <f ca="1">SUBTOTAL(109,'3.5 I&amp;W'!$AI$62)</f>
        <v>0</v>
      </c>
      <c r="N910" s="156">
        <f t="shared" ca="1" si="677"/>
        <v>0</v>
      </c>
      <c r="O910" s="116">
        <f ca="1">SUBTOTAL(109,'3.5 I&amp;W'!$S$62)</f>
        <v>0</v>
      </c>
      <c r="P910" s="30">
        <f t="shared" ca="1" si="680"/>
        <v>0</v>
      </c>
      <c r="Q910" s="31">
        <f t="shared" ca="1" si="667"/>
        <v>0</v>
      </c>
      <c r="R910" s="31">
        <f t="shared" ca="1" si="668"/>
        <v>0</v>
      </c>
      <c r="S910" s="31">
        <f t="shared" ca="1" si="669"/>
        <v>0</v>
      </c>
      <c r="T910" s="32">
        <f t="shared" ca="1" si="670"/>
        <v>0</v>
      </c>
      <c r="U910" s="37">
        <f t="shared" ca="1" si="678"/>
        <v>0</v>
      </c>
      <c r="V910" s="40">
        <f t="shared" ca="1" si="671"/>
        <v>0</v>
      </c>
      <c r="W910" s="41">
        <f t="shared" ca="1" si="672"/>
        <v>0</v>
      </c>
      <c r="X910" s="43"/>
      <c r="Y910" s="46"/>
      <c r="Z910" s="126"/>
      <c r="AA910" s="136"/>
      <c r="AB910" s="131">
        <v>10</v>
      </c>
      <c r="AC910" s="168">
        <f ca="1">IF(AF909&lt;=1,0,'3.5 Fi&amp;Fo'!$I$25)</f>
        <v>46174.624633000763</v>
      </c>
      <c r="AD910" s="169">
        <f ca="1">IF(AF909&lt;=1,0,AF909*'3.5 Fi&amp;Fo'!$H$25)</f>
        <v>18581.62546744246</v>
      </c>
      <c r="AE910" s="169">
        <f t="shared" ca="1" si="681"/>
        <v>27592.999165558304</v>
      </c>
      <c r="AF910" s="170">
        <f t="shared" ca="1" si="682"/>
        <v>901488.27420656476</v>
      </c>
      <c r="AG910" s="168">
        <f>IF(AJ909&lt;=1,0,IF(AB910&lt;='3.5 Fi&amp;Fo'!$F$34,'3.5 Fi&amp;Fo'!$J$34,IF(AB910&lt;='3.5 Fi&amp;Fo'!$F$35,'3.5 Fi&amp;Fo'!$J$35,IF(AB910&lt;='3.5 Fi&amp;Fo'!$F$36,'3.5 Fi&amp;Fo'!$J$36,IF(AB910&lt;='3.5 Fi&amp;Fo'!$F$37,'3.5 Fi&amp;Fo'!$J$37,IF(AB910&lt;='3.5 Fi&amp;Fo'!$F$38,'3.5 Fi&amp;Fo'!$J$38,IF(AB910&lt;='3.5 Fi&amp;Fo'!$F$39,'3.5 Fi&amp;Fo'!$J$39,IF(AB910&lt;='3.5 Fi&amp;Fo'!$F$40,'3.5 Fi&amp;Fo'!$J$40))))))))</f>
        <v>47444.55</v>
      </c>
      <c r="AH910" s="203">
        <f>IF(AJ909&lt;=1,0,AJ909*IF(AB910&lt;='3.5 Fi&amp;Fo'!$F$34,'3.5 Fi&amp;Fo'!$I$34,IF(AB910&lt;='3.5 Fi&amp;Fo'!$F$35,'3.5 Fi&amp;Fo'!$I$35,IF(AB910&lt;='3.5 Fi&amp;Fo'!$F$38,'3.5 Fi&amp;Fo'!$I$38,IF(AB910&lt;='3.5 Fi&amp;Fo'!$F$39,'3.5 Fi&amp;Fo'!$I$39,IF(AB910&lt;='3.5 Fi&amp;Fo'!$F$40,'3.5 Fi&amp;Fo'!$I$40))))))</f>
        <v>47429.598103717974</v>
      </c>
      <c r="AI910" s="203">
        <f t="shared" si="683"/>
        <v>14.951896282029338</v>
      </c>
      <c r="AJ910" s="204">
        <f t="shared" si="684"/>
        <v>1897168.9722524369</v>
      </c>
      <c r="AK910" s="312">
        <f t="shared" ca="1" si="685"/>
        <v>-120260.98203979459</v>
      </c>
      <c r="AL910" s="169">
        <f>IF(AB910&lt;='3.5 Fi&amp;Fo'!$J$15,'3.5 Fi&amp;Fo'!$I$15,0)</f>
        <v>0</v>
      </c>
      <c r="AM910" s="169">
        <f t="shared" si="697"/>
        <v>26641.807406793814</v>
      </c>
      <c r="AN910" s="838">
        <f t="shared" si="702"/>
        <v>10</v>
      </c>
      <c r="AO910" s="844">
        <f t="shared" ca="1" si="686"/>
        <v>120260.98203979459</v>
      </c>
      <c r="AP910" s="839">
        <f ca="1">BX1005</f>
        <v>0</v>
      </c>
      <c r="AQ910" s="844">
        <f t="shared" si="687"/>
        <v>0</v>
      </c>
      <c r="AR910" s="839">
        <f t="shared" ca="1" si="703"/>
        <v>0</v>
      </c>
      <c r="AS910" s="839">
        <f t="shared" ca="1" si="698"/>
        <v>9135.4546662799185</v>
      </c>
      <c r="AT910" s="839">
        <f t="shared" ca="1" si="699"/>
        <v>10806.278744508341</v>
      </c>
      <c r="AU910" s="844">
        <f ca="1">'PV-Einspeisung'!AA281*-1</f>
        <v>-376.75073645896185</v>
      </c>
      <c r="AV910" s="844">
        <f>'PV-Einspeisung'!AE281*-1</f>
        <v>-1942.2316908626085</v>
      </c>
      <c r="AW910" s="839"/>
      <c r="AX910" s="839">
        <f t="shared" ca="1" si="704"/>
        <v>0</v>
      </c>
      <c r="AY910" s="841">
        <f t="shared" si="688"/>
        <v>10</v>
      </c>
      <c r="AZ910" s="842">
        <f t="shared" ca="1" si="705"/>
        <v>0</v>
      </c>
      <c r="BA910" s="842">
        <f t="shared" ca="1" si="706"/>
        <v>0</v>
      </c>
      <c r="BB910" s="842">
        <f t="shared" ca="1" si="707"/>
        <v>0</v>
      </c>
      <c r="BC910" s="842">
        <f t="shared" ca="1" si="708"/>
        <v>0</v>
      </c>
      <c r="BD910" s="842">
        <f t="shared" ca="1" si="709"/>
        <v>0</v>
      </c>
      <c r="BE910" s="842">
        <f t="shared" ca="1" si="710"/>
        <v>0</v>
      </c>
      <c r="BF910" s="842">
        <f t="shared" ca="1" si="711"/>
        <v>8063.4250240579031</v>
      </c>
      <c r="BG910" s="842">
        <f t="shared" ca="1" si="712"/>
        <v>2742.8537204504378</v>
      </c>
      <c r="BH910" s="858">
        <f t="shared" si="696"/>
        <v>10</v>
      </c>
      <c r="BI910" s="857">
        <f t="shared" ca="1" si="713"/>
        <v>3456.5525187884209</v>
      </c>
      <c r="BJ910" s="857">
        <f t="shared" ca="1" si="714"/>
        <v>5678.9021474914971</v>
      </c>
      <c r="BK910" s="859">
        <f ca="1">'PV-Einspeisung'!AB281*-1</f>
        <v>0</v>
      </c>
      <c r="BL910" s="824">
        <f t="shared" ca="1" si="673"/>
        <v>0</v>
      </c>
      <c r="BM910" s="824">
        <f t="shared" ca="1" si="674"/>
        <v>0</v>
      </c>
      <c r="BN910" s="824">
        <f t="shared" ca="1" si="675"/>
        <v>0</v>
      </c>
      <c r="BO910" s="824">
        <f t="shared" ca="1" si="679"/>
        <v>0</v>
      </c>
      <c r="BP910" s="824">
        <f t="shared" ca="1" si="679"/>
        <v>0</v>
      </c>
      <c r="BQ910" s="824">
        <f t="shared" ca="1" si="679"/>
        <v>0</v>
      </c>
      <c r="BR910" s="824">
        <f t="shared" ca="1" si="679"/>
        <v>0</v>
      </c>
      <c r="BS910" s="824">
        <f t="shared" ca="1" si="679"/>
        <v>0</v>
      </c>
      <c r="BT910" s="824">
        <f t="shared" ca="1" si="679"/>
        <v>0</v>
      </c>
      <c r="BU910" s="824">
        <f t="shared" ca="1" si="679"/>
        <v>0</v>
      </c>
      <c r="BV910" s="824">
        <f t="shared" ca="1" si="679"/>
        <v>0</v>
      </c>
      <c r="BW910" s="824">
        <f t="shared" ca="1" si="679"/>
        <v>0</v>
      </c>
      <c r="BX910" s="824">
        <f t="shared" ca="1" si="679"/>
        <v>0</v>
      </c>
      <c r="BY910" s="824">
        <f t="shared" ca="1" si="679"/>
        <v>0</v>
      </c>
      <c r="BZ910" s="824">
        <f t="shared" ca="1" si="679"/>
        <v>0</v>
      </c>
      <c r="CA910" s="824">
        <f t="shared" ca="1" si="679"/>
        <v>0</v>
      </c>
      <c r="CB910" s="824">
        <f t="shared" ca="1" si="679"/>
        <v>0</v>
      </c>
      <c r="CC910" s="824">
        <f t="shared" ca="1" si="679"/>
        <v>0</v>
      </c>
      <c r="CD910" s="824">
        <f t="shared" ca="1" si="679"/>
        <v>0</v>
      </c>
      <c r="CE910" s="824">
        <f t="shared" ca="1" si="715"/>
        <v>0</v>
      </c>
      <c r="CF910" s="824">
        <f t="shared" ca="1" si="715"/>
        <v>0</v>
      </c>
      <c r="CG910" s="824">
        <f t="shared" ca="1" si="715"/>
        <v>0</v>
      </c>
      <c r="CH910" s="824">
        <f t="shared" ca="1" si="715"/>
        <v>0</v>
      </c>
      <c r="CI910" s="824">
        <f t="shared" ca="1" si="715"/>
        <v>0</v>
      </c>
      <c r="CJ910" s="824">
        <f t="shared" ca="1" si="715"/>
        <v>0</v>
      </c>
      <c r="CK910" s="824">
        <f t="shared" ca="1" si="715"/>
        <v>0</v>
      </c>
      <c r="CL910" s="824">
        <f t="shared" ca="1" si="715"/>
        <v>0</v>
      </c>
      <c r="CM910" s="824">
        <f t="shared" ca="1" si="715"/>
        <v>0</v>
      </c>
      <c r="CN910" s="824">
        <f t="shared" ca="1" si="715"/>
        <v>0</v>
      </c>
      <c r="CO910" s="824">
        <f t="shared" ca="1" si="715"/>
        <v>0</v>
      </c>
      <c r="CP910" s="824">
        <f t="shared" ca="1" si="715"/>
        <v>0</v>
      </c>
      <c r="CQ910" s="824">
        <f t="shared" ca="1" si="715"/>
        <v>0</v>
      </c>
      <c r="CR910" s="824">
        <f t="shared" ca="1" si="715"/>
        <v>0</v>
      </c>
      <c r="CS910" s="824">
        <f t="shared" ca="1" si="715"/>
        <v>0</v>
      </c>
      <c r="CT910" s="824">
        <f t="shared" ca="1" si="715"/>
        <v>0</v>
      </c>
      <c r="CU910" s="824">
        <f t="shared" ca="1" si="700"/>
        <v>0</v>
      </c>
      <c r="CV910" s="824">
        <f t="shared" ca="1" si="700"/>
        <v>0</v>
      </c>
      <c r="CW910" s="824">
        <f t="shared" ca="1" si="700"/>
        <v>0</v>
      </c>
      <c r="CX910" s="824">
        <f t="shared" ca="1" si="700"/>
        <v>0</v>
      </c>
      <c r="CY910" s="824">
        <f t="shared" ca="1" si="700"/>
        <v>0</v>
      </c>
      <c r="CZ910" s="824">
        <f t="shared" ca="1" si="700"/>
        <v>0</v>
      </c>
      <c r="DA910" s="824">
        <f t="shared" ca="1" si="701"/>
        <v>0</v>
      </c>
      <c r="DB910" s="824">
        <f t="shared" ca="1" si="701"/>
        <v>0</v>
      </c>
      <c r="DC910" s="824">
        <f t="shared" ca="1" si="701"/>
        <v>0</v>
      </c>
      <c r="DD910" s="824">
        <f t="shared" ca="1" si="701"/>
        <v>0</v>
      </c>
      <c r="DE910" s="824">
        <f t="shared" ca="1" si="701"/>
        <v>0</v>
      </c>
      <c r="DF910" s="824">
        <f t="shared" ca="1" si="701"/>
        <v>0</v>
      </c>
      <c r="DG910" s="824">
        <f t="shared" ca="1" si="701"/>
        <v>0</v>
      </c>
      <c r="DH910" s="824">
        <f t="shared" ca="1" si="701"/>
        <v>0</v>
      </c>
      <c r="DI910" s="824">
        <f t="shared" ca="1" si="701"/>
        <v>0</v>
      </c>
      <c r="DJ910" s="824">
        <f t="shared" ca="1" si="701"/>
        <v>0</v>
      </c>
      <c r="DK910" s="824">
        <f t="shared" ca="1" si="701"/>
        <v>0</v>
      </c>
      <c r="DL910" s="824">
        <f t="shared" ca="1" si="701"/>
        <v>0</v>
      </c>
    </row>
    <row r="911" spans="2:116" ht="12" thickBot="1" x14ac:dyDescent="0.3">
      <c r="B911" s="1673"/>
      <c r="C911" s="1680"/>
      <c r="D911" s="15" t="s">
        <v>128</v>
      </c>
      <c r="E911" s="165"/>
      <c r="F911" s="116">
        <f ca="1">SUBTOTAL(109,'3.5 I&amp;W'!$X$63)</f>
        <v>0</v>
      </c>
      <c r="G911" s="116">
        <f ca="1">SUBTOTAL(109,'3.5 I&amp;W'!$Y$63)</f>
        <v>0</v>
      </c>
      <c r="H911" s="116">
        <f ca="1">SUBTOTAL(109,'3.5 I&amp;W'!$AD$63)</f>
        <v>0</v>
      </c>
      <c r="I911" s="116">
        <f ca="1">SUBTOTAL(109,'3.5 I&amp;W'!$AE$63)</f>
        <v>0</v>
      </c>
      <c r="J911" s="116"/>
      <c r="K911" s="116"/>
      <c r="L911" s="116"/>
      <c r="M911" s="116">
        <f ca="1">SUBTOTAL(109,'3.5 I&amp;W'!$AI$63)</f>
        <v>0</v>
      </c>
      <c r="N911" s="156">
        <f t="shared" ca="1" si="677"/>
        <v>0</v>
      </c>
      <c r="O911" s="116">
        <f ca="1">SUBTOTAL(109,'3.5 I&amp;W'!$S$63)</f>
        <v>0</v>
      </c>
      <c r="P911" s="30">
        <f t="shared" ca="1" si="680"/>
        <v>0</v>
      </c>
      <c r="Q911" s="31">
        <f t="shared" ca="1" si="667"/>
        <v>0</v>
      </c>
      <c r="R911" s="31">
        <f t="shared" ca="1" si="668"/>
        <v>0</v>
      </c>
      <c r="S911" s="31">
        <f t="shared" ca="1" si="669"/>
        <v>0</v>
      </c>
      <c r="T911" s="32">
        <f t="shared" ca="1" si="670"/>
        <v>0</v>
      </c>
      <c r="U911" s="37">
        <f t="shared" ca="1" si="678"/>
        <v>0</v>
      </c>
      <c r="V911" s="40">
        <f t="shared" ca="1" si="671"/>
        <v>0</v>
      </c>
      <c r="W911" s="41">
        <f t="shared" ca="1" si="672"/>
        <v>0</v>
      </c>
      <c r="X911" s="43"/>
      <c r="Y911" s="46"/>
      <c r="Z911" s="126"/>
      <c r="AA911" s="136"/>
      <c r="AB911" s="131">
        <v>11</v>
      </c>
      <c r="AC911" s="168">
        <f ca="1">IF(AF910&lt;=1,0,'3.5 Fi&amp;Fo'!$I$25)</f>
        <v>46174.624633000763</v>
      </c>
      <c r="AD911" s="169">
        <f ca="1">IF(AF910&lt;=1,0,AF910*'3.5 Fi&amp;Fo'!$H$25)</f>
        <v>18029.765484131294</v>
      </c>
      <c r="AE911" s="169">
        <f t="shared" ca="1" si="681"/>
        <v>28144.859148869469</v>
      </c>
      <c r="AF911" s="170">
        <f t="shared" ca="1" si="682"/>
        <v>873343.41505769524</v>
      </c>
      <c r="AG911" s="168">
        <f>IF(AJ910&lt;=1,0,IF(AB911&lt;='3.5 Fi&amp;Fo'!$F$34,'3.5 Fi&amp;Fo'!$J$34,IF(AB911&lt;='3.5 Fi&amp;Fo'!$F$35,'3.5 Fi&amp;Fo'!$J$35,IF(AB911&lt;='3.5 Fi&amp;Fo'!$F$36,'3.5 Fi&amp;Fo'!$J$36,IF(AB911&lt;='3.5 Fi&amp;Fo'!$F$37,'3.5 Fi&amp;Fo'!$J$37,IF(AB911&lt;='3.5 Fi&amp;Fo'!$F$38,'3.5 Fi&amp;Fo'!$J$38,IF(AB911&lt;='3.5 Fi&amp;Fo'!$F$39,'3.5 Fi&amp;Fo'!$J$39,IF(AB911&lt;='3.5 Fi&amp;Fo'!$F$40,'3.5 Fi&amp;Fo'!$J$40))))))))</f>
        <v>66417.570000000007</v>
      </c>
      <c r="AH911" s="203">
        <f>IF(AJ910&lt;=1,0,AJ910*IF(AB911&lt;='3.5 Fi&amp;Fo'!$F$34,'3.5 Fi&amp;Fo'!$I$34,IF(AB911&lt;='3.5 Fi&amp;Fo'!$F$35,'3.5 Fi&amp;Fo'!$I$35,IF(AB911&lt;='3.5 Fi&amp;Fo'!$F$38,'3.5 Fi&amp;Fo'!$I$38,IF(AB911&lt;='3.5 Fi&amp;Fo'!$F$39,'3.5 Fi&amp;Fo'!$I$39,IF(AB911&lt;='3.5 Fi&amp;Fo'!$F$40,'3.5 Fi&amp;Fo'!$I$40))))))</f>
        <v>104344.29347388403</v>
      </c>
      <c r="AI911" s="203">
        <f t="shared" si="683"/>
        <v>-37926.72347388402</v>
      </c>
      <c r="AJ911" s="204">
        <f t="shared" si="684"/>
        <v>1935095.6957263208</v>
      </c>
      <c r="AK911" s="312">
        <f t="shared" ca="1" si="685"/>
        <v>-139766.83818793041</v>
      </c>
      <c r="AL911" s="169">
        <f>IF(AB911&lt;='3.5 Fi&amp;Fo'!$J$15,'3.5 Fi&amp;Fo'!$I$15,0)</f>
        <v>0</v>
      </c>
      <c r="AM911" s="169">
        <f t="shared" si="697"/>
        <v>27174.643554929644</v>
      </c>
      <c r="AN911" s="838">
        <f t="shared" si="702"/>
        <v>11</v>
      </c>
      <c r="AO911" s="844">
        <f t="shared" ca="1" si="686"/>
        <v>139766.83818793041</v>
      </c>
      <c r="AP911" s="839">
        <f ca="1">BY1005</f>
        <v>0</v>
      </c>
      <c r="AQ911" s="844">
        <f t="shared" si="687"/>
        <v>0</v>
      </c>
      <c r="AR911" s="839">
        <f t="shared" ca="1" si="703"/>
        <v>0</v>
      </c>
      <c r="AS911" s="839">
        <f t="shared" ca="1" si="698"/>
        <v>9281.6219409403966</v>
      </c>
      <c r="AT911" s="839">
        <f t="shared" ca="1" si="699"/>
        <v>11103.864250325554</v>
      </c>
      <c r="AU911" s="844">
        <f ca="1">'PV-Einspeisung'!AA282*-1</f>
        <v>-386.16950487043584</v>
      </c>
      <c r="AV911" s="844">
        <f>'PV-Einspeisung'!AE282*-1</f>
        <v>-1990.7874831341737</v>
      </c>
      <c r="AW911" s="839"/>
      <c r="AX911" s="839">
        <f t="shared" ca="1" si="704"/>
        <v>0</v>
      </c>
      <c r="AY911" s="841">
        <f t="shared" si="688"/>
        <v>11</v>
      </c>
      <c r="AZ911" s="842">
        <f t="shared" ca="1" si="705"/>
        <v>0</v>
      </c>
      <c r="BA911" s="842">
        <f t="shared" ca="1" si="706"/>
        <v>0</v>
      </c>
      <c r="BB911" s="842">
        <f t="shared" ca="1" si="707"/>
        <v>0</v>
      </c>
      <c r="BC911" s="842">
        <f t="shared" ca="1" si="708"/>
        <v>0</v>
      </c>
      <c r="BD911" s="842">
        <f t="shared" ca="1" si="709"/>
        <v>0</v>
      </c>
      <c r="BE911" s="842">
        <f t="shared" ca="1" si="710"/>
        <v>0</v>
      </c>
      <c r="BF911" s="842">
        <f t="shared" ca="1" si="711"/>
        <v>8265.0106496593507</v>
      </c>
      <c r="BG911" s="842">
        <f t="shared" ca="1" si="712"/>
        <v>2838.853600666203</v>
      </c>
      <c r="BH911" s="858">
        <f t="shared" si="696"/>
        <v>11</v>
      </c>
      <c r="BI911" s="857">
        <f t="shared" ca="1" si="713"/>
        <v>3511.8573590890355</v>
      </c>
      <c r="BJ911" s="857">
        <f t="shared" ca="1" si="714"/>
        <v>5769.7645818513611</v>
      </c>
      <c r="BK911" s="859">
        <f ca="1">'PV-Einspeisung'!AB282*-1</f>
        <v>0</v>
      </c>
      <c r="BL911" s="824">
        <f t="shared" ca="1" si="673"/>
        <v>0</v>
      </c>
      <c r="BM911" s="824">
        <f t="shared" ca="1" si="674"/>
        <v>0</v>
      </c>
      <c r="BN911" s="824">
        <f t="shared" ca="1" si="675"/>
        <v>0</v>
      </c>
      <c r="BO911" s="824">
        <f t="shared" ca="1" si="679"/>
        <v>0</v>
      </c>
      <c r="BP911" s="824">
        <f t="shared" ca="1" si="679"/>
        <v>0</v>
      </c>
      <c r="BQ911" s="824">
        <f t="shared" ca="1" si="679"/>
        <v>0</v>
      </c>
      <c r="BR911" s="824">
        <f t="shared" ca="1" si="679"/>
        <v>0</v>
      </c>
      <c r="BS911" s="824">
        <f t="shared" ca="1" si="679"/>
        <v>0</v>
      </c>
      <c r="BT911" s="824">
        <f t="shared" ca="1" si="679"/>
        <v>0</v>
      </c>
      <c r="BU911" s="824">
        <f t="shared" ca="1" si="679"/>
        <v>0</v>
      </c>
      <c r="BV911" s="824">
        <f t="shared" ca="1" si="679"/>
        <v>0</v>
      </c>
      <c r="BW911" s="824">
        <f t="shared" ca="1" si="679"/>
        <v>0</v>
      </c>
      <c r="BX911" s="824">
        <f t="shared" ca="1" si="679"/>
        <v>0</v>
      </c>
      <c r="BY911" s="824">
        <f t="shared" ca="1" si="679"/>
        <v>0</v>
      </c>
      <c r="BZ911" s="824">
        <f t="shared" ca="1" si="679"/>
        <v>0</v>
      </c>
      <c r="CA911" s="824">
        <f t="shared" ca="1" si="679"/>
        <v>0</v>
      </c>
      <c r="CB911" s="824">
        <f t="shared" ca="1" si="679"/>
        <v>0</v>
      </c>
      <c r="CC911" s="824">
        <f t="shared" ca="1" si="679"/>
        <v>0</v>
      </c>
      <c r="CD911" s="824">
        <f t="shared" ca="1" si="679"/>
        <v>0</v>
      </c>
      <c r="CE911" s="824">
        <f t="shared" ca="1" si="715"/>
        <v>0</v>
      </c>
      <c r="CF911" s="824">
        <f t="shared" ca="1" si="715"/>
        <v>0</v>
      </c>
      <c r="CG911" s="824">
        <f t="shared" ca="1" si="715"/>
        <v>0</v>
      </c>
      <c r="CH911" s="824">
        <f t="shared" ca="1" si="715"/>
        <v>0</v>
      </c>
      <c r="CI911" s="824">
        <f t="shared" ca="1" si="715"/>
        <v>0</v>
      </c>
      <c r="CJ911" s="824">
        <f t="shared" ca="1" si="715"/>
        <v>0</v>
      </c>
      <c r="CK911" s="824">
        <f t="shared" ca="1" si="715"/>
        <v>0</v>
      </c>
      <c r="CL911" s="824">
        <f t="shared" ca="1" si="715"/>
        <v>0</v>
      </c>
      <c r="CM911" s="824">
        <f t="shared" ca="1" si="715"/>
        <v>0</v>
      </c>
      <c r="CN911" s="824">
        <f t="shared" ca="1" si="715"/>
        <v>0</v>
      </c>
      <c r="CO911" s="824">
        <f t="shared" ca="1" si="715"/>
        <v>0</v>
      </c>
      <c r="CP911" s="824">
        <f t="shared" ca="1" si="715"/>
        <v>0</v>
      </c>
      <c r="CQ911" s="824">
        <f t="shared" ca="1" si="715"/>
        <v>0</v>
      </c>
      <c r="CR911" s="824">
        <f t="shared" ca="1" si="715"/>
        <v>0</v>
      </c>
      <c r="CS911" s="824">
        <f t="shared" ca="1" si="715"/>
        <v>0</v>
      </c>
      <c r="CT911" s="824">
        <f t="shared" ca="1" si="715"/>
        <v>0</v>
      </c>
      <c r="CU911" s="824">
        <f t="shared" ca="1" si="700"/>
        <v>0</v>
      </c>
      <c r="CV911" s="824">
        <f t="shared" ca="1" si="700"/>
        <v>0</v>
      </c>
      <c r="CW911" s="824">
        <f t="shared" ca="1" si="700"/>
        <v>0</v>
      </c>
      <c r="CX911" s="824">
        <f t="shared" ca="1" si="700"/>
        <v>0</v>
      </c>
      <c r="CY911" s="824">
        <f t="shared" ca="1" si="700"/>
        <v>0</v>
      </c>
      <c r="CZ911" s="824">
        <f t="shared" ca="1" si="700"/>
        <v>0</v>
      </c>
      <c r="DA911" s="824">
        <f t="shared" ca="1" si="701"/>
        <v>0</v>
      </c>
      <c r="DB911" s="824">
        <f t="shared" ca="1" si="701"/>
        <v>0</v>
      </c>
      <c r="DC911" s="824">
        <f t="shared" ca="1" si="701"/>
        <v>0</v>
      </c>
      <c r="DD911" s="824">
        <f t="shared" ca="1" si="701"/>
        <v>0</v>
      </c>
      <c r="DE911" s="824">
        <f t="shared" ca="1" si="701"/>
        <v>0</v>
      </c>
      <c r="DF911" s="824">
        <f t="shared" ca="1" si="701"/>
        <v>0</v>
      </c>
      <c r="DG911" s="824">
        <f t="shared" ca="1" si="701"/>
        <v>0</v>
      </c>
      <c r="DH911" s="824">
        <f t="shared" ca="1" si="701"/>
        <v>0</v>
      </c>
      <c r="DI911" s="824">
        <f t="shared" ca="1" si="701"/>
        <v>0</v>
      </c>
      <c r="DJ911" s="824">
        <f t="shared" ca="1" si="701"/>
        <v>0</v>
      </c>
      <c r="DK911" s="824">
        <f t="shared" ca="1" si="701"/>
        <v>0</v>
      </c>
      <c r="DL911" s="824">
        <f t="shared" ca="1" si="701"/>
        <v>0</v>
      </c>
    </row>
    <row r="912" spans="2:116" ht="12" thickBot="1" x14ac:dyDescent="0.3">
      <c r="B912" s="1673"/>
      <c r="C912" s="1680"/>
      <c r="D912" s="15" t="s">
        <v>132</v>
      </c>
      <c r="E912" s="116"/>
      <c r="F912" s="116">
        <f ca="1">SUBTOTAL(109,'3.5 I&amp;W'!$X$66)</f>
        <v>0</v>
      </c>
      <c r="G912" s="116">
        <f ca="1">SUBTOTAL(109,'3.5 I&amp;W'!$Y$66)</f>
        <v>0</v>
      </c>
      <c r="H912" s="116">
        <f ca="1">SUBTOTAL(109,'3.5 I&amp;W'!$AD$66)</f>
        <v>0</v>
      </c>
      <c r="I912" s="116">
        <f ca="1">SUBTOTAL(109,'3.5 I&amp;W'!$AE$66)</f>
        <v>0</v>
      </c>
      <c r="J912" s="116"/>
      <c r="K912" s="116"/>
      <c r="L912" s="116"/>
      <c r="M912" s="116">
        <f ca="1">SUBTOTAL(109,'3.5 I&amp;W'!$AI$66)</f>
        <v>0</v>
      </c>
      <c r="N912" s="156">
        <f t="shared" ca="1" si="677"/>
        <v>0</v>
      </c>
      <c r="O912" s="116">
        <f ca="1">SUBTOTAL(109,'3.5 I&amp;W'!$S$66)</f>
        <v>0</v>
      </c>
      <c r="P912" s="30">
        <f t="shared" ca="1" si="680"/>
        <v>0</v>
      </c>
      <c r="Q912" s="31">
        <f t="shared" ca="1" si="667"/>
        <v>0</v>
      </c>
      <c r="R912" s="31">
        <f t="shared" ca="1" si="668"/>
        <v>0</v>
      </c>
      <c r="S912" s="31">
        <f t="shared" ca="1" si="669"/>
        <v>0</v>
      </c>
      <c r="T912" s="32">
        <f t="shared" ca="1" si="670"/>
        <v>0</v>
      </c>
      <c r="U912" s="37">
        <f t="shared" ca="1" si="678"/>
        <v>0</v>
      </c>
      <c r="V912" s="40">
        <f t="shared" ca="1" si="671"/>
        <v>0</v>
      </c>
      <c r="W912" s="41">
        <f t="shared" ca="1" si="672"/>
        <v>0</v>
      </c>
      <c r="X912" s="43"/>
      <c r="Y912" s="46"/>
      <c r="Z912" s="126"/>
      <c r="AA912" s="136"/>
      <c r="AB912" s="131">
        <v>12</v>
      </c>
      <c r="AC912" s="168">
        <f ca="1">IF(AF911&lt;=1,0,'3.5 Fi&amp;Fo'!$I$25)</f>
        <v>46174.624633000763</v>
      </c>
      <c r="AD912" s="169">
        <f ca="1">IF(AF911&lt;=1,0,AF911*'3.5 Fi&amp;Fo'!$H$25)</f>
        <v>17466.868301153903</v>
      </c>
      <c r="AE912" s="169">
        <f t="shared" ca="1" si="681"/>
        <v>28707.75633184686</v>
      </c>
      <c r="AF912" s="170">
        <f t="shared" ca="1" si="682"/>
        <v>844635.65872584842</v>
      </c>
      <c r="AG912" s="168">
        <f>IF(AJ911&lt;=1,0,IF(AB912&lt;='3.5 Fi&amp;Fo'!$F$34,'3.5 Fi&amp;Fo'!$J$34,IF(AB912&lt;='3.5 Fi&amp;Fo'!$F$35,'3.5 Fi&amp;Fo'!$J$35,IF(AB912&lt;='3.5 Fi&amp;Fo'!$F$36,'3.5 Fi&amp;Fo'!$J$36,IF(AB912&lt;='3.5 Fi&amp;Fo'!$F$37,'3.5 Fi&amp;Fo'!$J$37,IF(AB912&lt;='3.5 Fi&amp;Fo'!$F$38,'3.5 Fi&amp;Fo'!$J$38,IF(AB912&lt;='3.5 Fi&amp;Fo'!$F$39,'3.5 Fi&amp;Fo'!$J$39,IF(AB912&lt;='3.5 Fi&amp;Fo'!$F$40,'3.5 Fi&amp;Fo'!$J$40))))))))</f>
        <v>66417.570000000007</v>
      </c>
      <c r="AH912" s="203">
        <f>IF(AJ911&lt;=1,0,AJ911*IF(AB912&lt;='3.5 Fi&amp;Fo'!$F$34,'3.5 Fi&amp;Fo'!$I$34,IF(AB912&lt;='3.5 Fi&amp;Fo'!$F$35,'3.5 Fi&amp;Fo'!$I$35,IF(AB912&lt;='3.5 Fi&amp;Fo'!$F$38,'3.5 Fi&amp;Fo'!$I$38,IF(AB912&lt;='3.5 Fi&amp;Fo'!$F$39,'3.5 Fi&amp;Fo'!$I$39,IF(AB912&lt;='3.5 Fi&amp;Fo'!$F$40,'3.5 Fi&amp;Fo'!$I$40))))))</f>
        <v>106430.26326494764</v>
      </c>
      <c r="AI912" s="203">
        <f t="shared" si="683"/>
        <v>-40012.693264947637</v>
      </c>
      <c r="AJ912" s="204">
        <f t="shared" si="684"/>
        <v>1975108.3889912686</v>
      </c>
      <c r="AK912" s="312">
        <f t="shared" ca="1" si="685"/>
        <v>-140310.33105902933</v>
      </c>
      <c r="AL912" s="169">
        <f>IF(AB912&lt;='3.5 Fi&amp;Fo'!$J$15,'3.5 Fi&amp;Fo'!$I$15,0)</f>
        <v>0</v>
      </c>
      <c r="AM912" s="169">
        <f t="shared" si="697"/>
        <v>27718.136426028563</v>
      </c>
      <c r="AN912" s="838">
        <f t="shared" si="702"/>
        <v>12</v>
      </c>
      <c r="AO912" s="844">
        <f t="shared" ca="1" si="686"/>
        <v>140310.33105902933</v>
      </c>
      <c r="AP912" s="839">
        <f ca="1">BZ1005</f>
        <v>0</v>
      </c>
      <c r="AQ912" s="844">
        <f t="shared" si="687"/>
        <v>0</v>
      </c>
      <c r="AR912" s="839">
        <f t="shared" ca="1" si="703"/>
        <v>0</v>
      </c>
      <c r="AS912" s="839">
        <f t="shared" ca="1" si="698"/>
        <v>9430.127891995442</v>
      </c>
      <c r="AT912" s="839">
        <f t="shared" ca="1" si="699"/>
        <v>11409.849392590353</v>
      </c>
      <c r="AU912" s="844">
        <f ca="1">'PV-Einspeisung'!AA283*-1</f>
        <v>-395.82374249219669</v>
      </c>
      <c r="AV912" s="844">
        <f>'PV-Einspeisung'!AE283*-1</f>
        <v>-2040.557170212528</v>
      </c>
      <c r="AW912" s="839"/>
      <c r="AX912" s="839">
        <f t="shared" ca="1" si="704"/>
        <v>0</v>
      </c>
      <c r="AY912" s="841">
        <f t="shared" si="688"/>
        <v>12</v>
      </c>
      <c r="AZ912" s="842">
        <f t="shared" ca="1" si="705"/>
        <v>0</v>
      </c>
      <c r="BA912" s="842">
        <f t="shared" ca="1" si="706"/>
        <v>0</v>
      </c>
      <c r="BB912" s="842">
        <f t="shared" ca="1" si="707"/>
        <v>0</v>
      </c>
      <c r="BC912" s="842">
        <f t="shared" ca="1" si="708"/>
        <v>0</v>
      </c>
      <c r="BD912" s="842">
        <f t="shared" ca="1" si="709"/>
        <v>0</v>
      </c>
      <c r="BE912" s="842">
        <f t="shared" ca="1" si="710"/>
        <v>0</v>
      </c>
      <c r="BF912" s="842">
        <f t="shared" ca="1" si="711"/>
        <v>8471.6359159008334</v>
      </c>
      <c r="BG912" s="842">
        <f t="shared" ca="1" si="712"/>
        <v>2938.2134766895197</v>
      </c>
      <c r="BH912" s="858">
        <f t="shared" si="696"/>
        <v>12</v>
      </c>
      <c r="BI912" s="857">
        <f t="shared" ca="1" si="713"/>
        <v>3568.0470768344603</v>
      </c>
      <c r="BJ912" s="857">
        <f t="shared" ca="1" si="714"/>
        <v>5862.0808151609826</v>
      </c>
      <c r="BK912" s="859">
        <f ca="1">'PV-Einspeisung'!AB283*-1</f>
        <v>0</v>
      </c>
      <c r="BL912" s="824">
        <f t="shared" ca="1" si="673"/>
        <v>0</v>
      </c>
      <c r="BM912" s="824">
        <f t="shared" ca="1" si="674"/>
        <v>0</v>
      </c>
      <c r="BN912" s="824">
        <f t="shared" ca="1" si="675"/>
        <v>0</v>
      </c>
      <c r="BO912" s="824">
        <f t="shared" ca="1" si="679"/>
        <v>0</v>
      </c>
      <c r="BP912" s="824">
        <f t="shared" ca="1" si="679"/>
        <v>0</v>
      </c>
      <c r="BQ912" s="824">
        <f t="shared" ca="1" si="679"/>
        <v>0</v>
      </c>
      <c r="BR912" s="824">
        <f t="shared" ca="1" si="679"/>
        <v>0</v>
      </c>
      <c r="BS912" s="824">
        <f t="shared" ca="1" si="679"/>
        <v>0</v>
      </c>
      <c r="BT912" s="824">
        <f t="shared" ca="1" si="679"/>
        <v>0</v>
      </c>
      <c r="BU912" s="824">
        <f t="shared" ca="1" si="679"/>
        <v>0</v>
      </c>
      <c r="BV912" s="824">
        <f t="shared" ca="1" si="679"/>
        <v>0</v>
      </c>
      <c r="BW912" s="824">
        <f t="shared" ca="1" si="679"/>
        <v>0</v>
      </c>
      <c r="BX912" s="824">
        <f t="shared" ca="1" si="679"/>
        <v>0</v>
      </c>
      <c r="BY912" s="824">
        <f t="shared" ca="1" si="679"/>
        <v>0</v>
      </c>
      <c r="BZ912" s="824">
        <f t="shared" ca="1" si="679"/>
        <v>0</v>
      </c>
      <c r="CA912" s="824">
        <f t="shared" ca="1" si="679"/>
        <v>0</v>
      </c>
      <c r="CB912" s="824">
        <f t="shared" ca="1" si="679"/>
        <v>0</v>
      </c>
      <c r="CC912" s="824">
        <f t="shared" ca="1" si="679"/>
        <v>0</v>
      </c>
      <c r="CD912" s="824">
        <f t="shared" ca="1" si="679"/>
        <v>0</v>
      </c>
      <c r="CE912" s="824">
        <f t="shared" ca="1" si="715"/>
        <v>0</v>
      </c>
      <c r="CF912" s="824">
        <f t="shared" ca="1" si="715"/>
        <v>0</v>
      </c>
      <c r="CG912" s="824">
        <f t="shared" ca="1" si="715"/>
        <v>0</v>
      </c>
      <c r="CH912" s="824">
        <f t="shared" ca="1" si="715"/>
        <v>0</v>
      </c>
      <c r="CI912" s="824">
        <f t="shared" ca="1" si="715"/>
        <v>0</v>
      </c>
      <c r="CJ912" s="824">
        <f t="shared" ca="1" si="715"/>
        <v>0</v>
      </c>
      <c r="CK912" s="824">
        <f t="shared" ca="1" si="715"/>
        <v>0</v>
      </c>
      <c r="CL912" s="824">
        <f t="shared" ca="1" si="715"/>
        <v>0</v>
      </c>
      <c r="CM912" s="824">
        <f t="shared" ca="1" si="715"/>
        <v>0</v>
      </c>
      <c r="CN912" s="824">
        <f t="shared" ca="1" si="715"/>
        <v>0</v>
      </c>
      <c r="CO912" s="824">
        <f t="shared" ca="1" si="715"/>
        <v>0</v>
      </c>
      <c r="CP912" s="824">
        <f t="shared" ca="1" si="715"/>
        <v>0</v>
      </c>
      <c r="CQ912" s="824">
        <f t="shared" ca="1" si="715"/>
        <v>0</v>
      </c>
      <c r="CR912" s="824">
        <f t="shared" ca="1" si="715"/>
        <v>0</v>
      </c>
      <c r="CS912" s="824">
        <f t="shared" ca="1" si="715"/>
        <v>0</v>
      </c>
      <c r="CT912" s="824">
        <f t="shared" ca="1" si="715"/>
        <v>0</v>
      </c>
      <c r="CU912" s="824">
        <f t="shared" ca="1" si="700"/>
        <v>0</v>
      </c>
      <c r="CV912" s="824">
        <f t="shared" ca="1" si="700"/>
        <v>0</v>
      </c>
      <c r="CW912" s="824">
        <f t="shared" ca="1" si="700"/>
        <v>0</v>
      </c>
      <c r="CX912" s="824">
        <f t="shared" ca="1" si="700"/>
        <v>0</v>
      </c>
      <c r="CY912" s="824">
        <f t="shared" ca="1" si="700"/>
        <v>0</v>
      </c>
      <c r="CZ912" s="824">
        <f t="shared" ca="1" si="700"/>
        <v>0</v>
      </c>
      <c r="DA912" s="824">
        <f t="shared" ca="1" si="701"/>
        <v>0</v>
      </c>
      <c r="DB912" s="824">
        <f t="shared" ca="1" si="701"/>
        <v>0</v>
      </c>
      <c r="DC912" s="824">
        <f t="shared" ca="1" si="701"/>
        <v>0</v>
      </c>
      <c r="DD912" s="824">
        <f t="shared" ca="1" si="701"/>
        <v>0</v>
      </c>
      <c r="DE912" s="824">
        <f t="shared" ca="1" si="701"/>
        <v>0</v>
      </c>
      <c r="DF912" s="824">
        <f t="shared" ca="1" si="701"/>
        <v>0</v>
      </c>
      <c r="DG912" s="824">
        <f t="shared" ca="1" si="701"/>
        <v>0</v>
      </c>
      <c r="DH912" s="824">
        <f t="shared" ca="1" si="701"/>
        <v>0</v>
      </c>
      <c r="DI912" s="824">
        <f t="shared" ca="1" si="701"/>
        <v>0</v>
      </c>
      <c r="DJ912" s="824">
        <f t="shared" ca="1" si="701"/>
        <v>0</v>
      </c>
      <c r="DK912" s="824">
        <f t="shared" ca="1" si="701"/>
        <v>0</v>
      </c>
      <c r="DL912" s="824">
        <f t="shared" ca="1" si="701"/>
        <v>0</v>
      </c>
    </row>
    <row r="913" spans="2:116" ht="12" thickBot="1" x14ac:dyDescent="0.3">
      <c r="B913" s="1673"/>
      <c r="C913" s="1680"/>
      <c r="D913" s="15" t="s">
        <v>132</v>
      </c>
      <c r="E913" s="165"/>
      <c r="F913" s="116">
        <f ca="1">SUBTOTAL(109,'3.5 I&amp;W'!$X$67)</f>
        <v>0</v>
      </c>
      <c r="G913" s="116">
        <f ca="1">SUBTOTAL(109,'3.5 I&amp;W'!$Y$67)</f>
        <v>0</v>
      </c>
      <c r="H913" s="116">
        <f ca="1">SUBTOTAL(109,'3.5 I&amp;W'!$AD$67)</f>
        <v>0</v>
      </c>
      <c r="I913" s="116">
        <f ca="1">SUBTOTAL(109,'3.5 I&amp;W'!$AE$67)</f>
        <v>0</v>
      </c>
      <c r="J913" s="116"/>
      <c r="K913" s="116"/>
      <c r="L913" s="116"/>
      <c r="M913" s="116">
        <f ca="1">SUBTOTAL(109,'3.5 I&amp;W'!$AI$67)</f>
        <v>0</v>
      </c>
      <c r="N913" s="156">
        <f t="shared" ca="1" si="677"/>
        <v>0</v>
      </c>
      <c r="O913" s="116">
        <f ca="1">SUBTOTAL(109,'3.5 I&amp;W'!$S$67)</f>
        <v>0</v>
      </c>
      <c r="P913" s="30">
        <f t="shared" ca="1" si="680"/>
        <v>0</v>
      </c>
      <c r="Q913" s="31">
        <f t="shared" ca="1" si="667"/>
        <v>0</v>
      </c>
      <c r="R913" s="31">
        <f t="shared" ca="1" si="668"/>
        <v>0</v>
      </c>
      <c r="S913" s="31">
        <f t="shared" ca="1" si="669"/>
        <v>0</v>
      </c>
      <c r="T913" s="32">
        <f t="shared" ca="1" si="670"/>
        <v>0</v>
      </c>
      <c r="U913" s="37">
        <f t="shared" ca="1" si="678"/>
        <v>0</v>
      </c>
      <c r="V913" s="40">
        <f t="shared" ca="1" si="671"/>
        <v>0</v>
      </c>
      <c r="W913" s="41">
        <f t="shared" ca="1" si="672"/>
        <v>0</v>
      </c>
      <c r="X913" s="43"/>
      <c r="Y913" s="46"/>
      <c r="Z913" s="126"/>
      <c r="AA913" s="136"/>
      <c r="AB913" s="131">
        <v>13</v>
      </c>
      <c r="AC913" s="168">
        <f ca="1">IF(AF912&lt;=1,0,'3.5 Fi&amp;Fo'!$I$25)</f>
        <v>46174.624633000763</v>
      </c>
      <c r="AD913" s="169">
        <f ca="1">IF(AF912&lt;=1,0,AF912*'3.5 Fi&amp;Fo'!$H$25)</f>
        <v>16892.713174516968</v>
      </c>
      <c r="AE913" s="169">
        <f t="shared" ca="1" si="681"/>
        <v>29281.911458483795</v>
      </c>
      <c r="AF913" s="170">
        <f t="shared" ca="1" si="682"/>
        <v>815353.74726736464</v>
      </c>
      <c r="AG913" s="168">
        <f>IF(AJ912&lt;=1,0,IF(AB913&lt;='3.5 Fi&amp;Fo'!$F$34,'3.5 Fi&amp;Fo'!$J$34,IF(AB913&lt;='3.5 Fi&amp;Fo'!$F$35,'3.5 Fi&amp;Fo'!$J$35,IF(AB913&lt;='3.5 Fi&amp;Fo'!$F$36,'3.5 Fi&amp;Fo'!$J$36,IF(AB913&lt;='3.5 Fi&amp;Fo'!$F$37,'3.5 Fi&amp;Fo'!$J$37,IF(AB913&lt;='3.5 Fi&amp;Fo'!$F$38,'3.5 Fi&amp;Fo'!$J$38,IF(AB913&lt;='3.5 Fi&amp;Fo'!$F$39,'3.5 Fi&amp;Fo'!$J$39,IF(AB913&lt;='3.5 Fi&amp;Fo'!$F$40,'3.5 Fi&amp;Fo'!$J$40))))))))</f>
        <v>66417.570000000007</v>
      </c>
      <c r="AH913" s="203">
        <f>IF(AJ912&lt;=1,0,AJ912*IF(AB913&lt;='3.5 Fi&amp;Fo'!$F$34,'3.5 Fi&amp;Fo'!$I$34,IF(AB913&lt;='3.5 Fi&amp;Fo'!$F$35,'3.5 Fi&amp;Fo'!$I$35,IF(AB913&lt;='3.5 Fi&amp;Fo'!$F$38,'3.5 Fi&amp;Fo'!$I$38,IF(AB913&lt;='3.5 Fi&amp;Fo'!$F$39,'3.5 Fi&amp;Fo'!$I$39,IF(AB913&lt;='3.5 Fi&amp;Fo'!$F$40,'3.5 Fi&amp;Fo'!$I$40))))))</f>
        <v>108630.96139451978</v>
      </c>
      <c r="AI913" s="203">
        <f t="shared" si="683"/>
        <v>-42213.391394519771</v>
      </c>
      <c r="AJ913" s="204">
        <f t="shared" si="684"/>
        <v>2017321.7803857883</v>
      </c>
      <c r="AK913" s="312">
        <f t="shared" ca="1" si="685"/>
        <v>-140864.69378754962</v>
      </c>
      <c r="AL913" s="169">
        <f>IF(AB913&lt;='3.5 Fi&amp;Fo'!$J$15,'3.5 Fi&amp;Fo'!$I$15,0)</f>
        <v>0</v>
      </c>
      <c r="AM913" s="169">
        <f t="shared" si="697"/>
        <v>28272.499154548859</v>
      </c>
      <c r="AN913" s="838">
        <f t="shared" si="702"/>
        <v>13</v>
      </c>
      <c r="AO913" s="844">
        <f t="shared" ca="1" si="686"/>
        <v>140864.69378754962</v>
      </c>
      <c r="AP913" s="839">
        <f ca="1">CA1005</f>
        <v>0</v>
      </c>
      <c r="AQ913" s="844">
        <f t="shared" si="687"/>
        <v>0</v>
      </c>
      <c r="AR913" s="839">
        <f t="shared" ca="1" si="703"/>
        <v>0</v>
      </c>
      <c r="AS913" s="839">
        <f t="shared" ca="1" si="698"/>
        <v>9581.0099382673707</v>
      </c>
      <c r="AT913" s="839">
        <f t="shared" ca="1" si="699"/>
        <v>11724.477762172006</v>
      </c>
      <c r="AU913" s="844">
        <f ca="1">'PV-Einspeisung'!AA284*-1</f>
        <v>-405.71933605450153</v>
      </c>
      <c r="AV913" s="844">
        <f>'PV-Einspeisung'!AE284*-1</f>
        <v>-2091.5710994678411</v>
      </c>
      <c r="AW913" s="839"/>
      <c r="AX913" s="839">
        <f t="shared" ca="1" si="704"/>
        <v>0</v>
      </c>
      <c r="AY913" s="841">
        <f t="shared" si="688"/>
        <v>13</v>
      </c>
      <c r="AZ913" s="842">
        <f t="shared" ca="1" si="705"/>
        <v>0</v>
      </c>
      <c r="BA913" s="842">
        <f t="shared" ca="1" si="706"/>
        <v>0</v>
      </c>
      <c r="BB913" s="842">
        <f t="shared" ca="1" si="707"/>
        <v>0</v>
      </c>
      <c r="BC913" s="842">
        <f t="shared" ca="1" si="708"/>
        <v>0</v>
      </c>
      <c r="BD913" s="842">
        <f t="shared" ca="1" si="709"/>
        <v>0</v>
      </c>
      <c r="BE913" s="842">
        <f t="shared" ca="1" si="710"/>
        <v>0</v>
      </c>
      <c r="BF913" s="842">
        <f t="shared" ca="1" si="711"/>
        <v>8683.4268137983527</v>
      </c>
      <c r="BG913" s="842">
        <f t="shared" ca="1" si="712"/>
        <v>3041.0509483736528</v>
      </c>
      <c r="BH913" s="858">
        <f t="shared" si="696"/>
        <v>13</v>
      </c>
      <c r="BI913" s="857">
        <f t="shared" ca="1" si="713"/>
        <v>3625.1358300638117</v>
      </c>
      <c r="BJ913" s="857">
        <f t="shared" ca="1" si="714"/>
        <v>5955.8741082035585</v>
      </c>
      <c r="BK913" s="859">
        <f ca="1">'PV-Einspeisung'!AB284*-1</f>
        <v>0</v>
      </c>
      <c r="BL913" s="824">
        <f t="shared" ca="1" si="673"/>
        <v>0</v>
      </c>
      <c r="BM913" s="824">
        <f t="shared" ca="1" si="674"/>
        <v>0</v>
      </c>
      <c r="BN913" s="824">
        <f t="shared" ca="1" si="675"/>
        <v>0</v>
      </c>
      <c r="BO913" s="824">
        <f t="shared" ca="1" si="679"/>
        <v>0</v>
      </c>
      <c r="BP913" s="824">
        <f t="shared" ca="1" si="679"/>
        <v>0</v>
      </c>
      <c r="BQ913" s="824">
        <f t="shared" ca="1" si="679"/>
        <v>0</v>
      </c>
      <c r="BR913" s="824">
        <f t="shared" ca="1" si="679"/>
        <v>0</v>
      </c>
      <c r="BS913" s="824">
        <f t="shared" ca="1" si="679"/>
        <v>0</v>
      </c>
      <c r="BT913" s="824">
        <f t="shared" ca="1" si="679"/>
        <v>0</v>
      </c>
      <c r="BU913" s="824">
        <f t="shared" ca="1" si="679"/>
        <v>0</v>
      </c>
      <c r="BV913" s="824">
        <f t="shared" ca="1" si="679"/>
        <v>0</v>
      </c>
      <c r="BW913" s="824">
        <f t="shared" ca="1" si="679"/>
        <v>0</v>
      </c>
      <c r="BX913" s="824">
        <f t="shared" ca="1" si="679"/>
        <v>0</v>
      </c>
      <c r="BY913" s="824">
        <f t="shared" ca="1" si="679"/>
        <v>0</v>
      </c>
      <c r="BZ913" s="824">
        <f t="shared" ca="1" si="679"/>
        <v>0</v>
      </c>
      <c r="CA913" s="824">
        <f t="shared" ca="1" si="679"/>
        <v>0</v>
      </c>
      <c r="CB913" s="824">
        <f t="shared" ca="1" si="679"/>
        <v>0</v>
      </c>
      <c r="CC913" s="824">
        <f t="shared" ca="1" si="679"/>
        <v>0</v>
      </c>
      <c r="CD913" s="824">
        <f t="shared" ca="1" si="679"/>
        <v>0</v>
      </c>
      <c r="CE913" s="824">
        <f t="shared" ca="1" si="715"/>
        <v>0</v>
      </c>
      <c r="CF913" s="824">
        <f t="shared" ca="1" si="715"/>
        <v>0</v>
      </c>
      <c r="CG913" s="824">
        <f t="shared" ca="1" si="715"/>
        <v>0</v>
      </c>
      <c r="CH913" s="824">
        <f t="shared" ca="1" si="715"/>
        <v>0</v>
      </c>
      <c r="CI913" s="824">
        <f t="shared" ca="1" si="715"/>
        <v>0</v>
      </c>
      <c r="CJ913" s="824">
        <f t="shared" ca="1" si="715"/>
        <v>0</v>
      </c>
      <c r="CK913" s="824">
        <f t="shared" ca="1" si="715"/>
        <v>0</v>
      </c>
      <c r="CL913" s="824">
        <f t="shared" ca="1" si="715"/>
        <v>0</v>
      </c>
      <c r="CM913" s="824">
        <f t="shared" ca="1" si="715"/>
        <v>0</v>
      </c>
      <c r="CN913" s="824">
        <f t="shared" ca="1" si="715"/>
        <v>0</v>
      </c>
      <c r="CO913" s="824">
        <f t="shared" ca="1" si="715"/>
        <v>0</v>
      </c>
      <c r="CP913" s="824">
        <f t="shared" ca="1" si="715"/>
        <v>0</v>
      </c>
      <c r="CQ913" s="824">
        <f t="shared" ca="1" si="715"/>
        <v>0</v>
      </c>
      <c r="CR913" s="824">
        <f t="shared" ca="1" si="715"/>
        <v>0</v>
      </c>
      <c r="CS913" s="824">
        <f t="shared" ca="1" si="715"/>
        <v>0</v>
      </c>
      <c r="CT913" s="824">
        <f t="shared" ca="1" si="715"/>
        <v>0</v>
      </c>
      <c r="CU913" s="824">
        <f t="shared" ca="1" si="700"/>
        <v>0</v>
      </c>
      <c r="CV913" s="824">
        <f t="shared" ca="1" si="700"/>
        <v>0</v>
      </c>
      <c r="CW913" s="824">
        <f t="shared" ca="1" si="700"/>
        <v>0</v>
      </c>
      <c r="CX913" s="824">
        <f t="shared" ca="1" si="700"/>
        <v>0</v>
      </c>
      <c r="CY913" s="824">
        <f t="shared" ca="1" si="700"/>
        <v>0</v>
      </c>
      <c r="CZ913" s="824">
        <f t="shared" ca="1" si="700"/>
        <v>0</v>
      </c>
      <c r="DA913" s="824">
        <f t="shared" ca="1" si="701"/>
        <v>0</v>
      </c>
      <c r="DB913" s="824">
        <f t="shared" ca="1" si="701"/>
        <v>0</v>
      </c>
      <c r="DC913" s="824">
        <f t="shared" ca="1" si="701"/>
        <v>0</v>
      </c>
      <c r="DD913" s="824">
        <f t="shared" ca="1" si="701"/>
        <v>0</v>
      </c>
      <c r="DE913" s="824">
        <f t="shared" ca="1" si="701"/>
        <v>0</v>
      </c>
      <c r="DF913" s="824">
        <f t="shared" ca="1" si="701"/>
        <v>0</v>
      </c>
      <c r="DG913" s="824">
        <f t="shared" ca="1" si="701"/>
        <v>0</v>
      </c>
      <c r="DH913" s="824">
        <f t="shared" ca="1" si="701"/>
        <v>0</v>
      </c>
      <c r="DI913" s="824">
        <f t="shared" ca="1" si="701"/>
        <v>0</v>
      </c>
      <c r="DJ913" s="824">
        <f t="shared" ca="1" si="701"/>
        <v>0</v>
      </c>
      <c r="DK913" s="824">
        <f t="shared" ca="1" si="701"/>
        <v>0</v>
      </c>
      <c r="DL913" s="824">
        <f t="shared" ca="1" si="701"/>
        <v>0</v>
      </c>
    </row>
    <row r="914" spans="2:116" ht="12" thickBot="1" x14ac:dyDescent="0.3">
      <c r="B914" s="1673"/>
      <c r="C914" s="1680"/>
      <c r="D914" s="15" t="s">
        <v>323</v>
      </c>
      <c r="E914" s="116"/>
      <c r="F914" s="116">
        <f ca="1">SUBTOTAL(109,'3.5 I&amp;W'!$X$70)</f>
        <v>0</v>
      </c>
      <c r="G914" s="116">
        <f ca="1">SUBTOTAL(109,'3.5 I&amp;W'!$Y$70)</f>
        <v>0</v>
      </c>
      <c r="H914" s="116">
        <f ca="1">SUBTOTAL(109,'3.5 I&amp;W'!$AD$70)</f>
        <v>0</v>
      </c>
      <c r="I914" s="116">
        <f ca="1">SUBTOTAL(109,'3.5 I&amp;W'!$AE$70)</f>
        <v>0</v>
      </c>
      <c r="J914" s="116"/>
      <c r="K914" s="116"/>
      <c r="L914" s="116"/>
      <c r="M914" s="116">
        <f ca="1">SUBTOTAL(109,'3.5 I&amp;W'!$AI$70)</f>
        <v>100</v>
      </c>
      <c r="N914" s="156">
        <f t="shared" ca="1" si="677"/>
        <v>0</v>
      </c>
      <c r="O914" s="116">
        <f ca="1">SUBTOTAL(109,'3.5 I&amp;W'!$S$70)</f>
        <v>67231.199999999997</v>
      </c>
      <c r="P914" s="30">
        <f ca="1">IF(N914&gt;=1,O914*$G$158^(1*M914)/($G$157^(1*M914)),0)</f>
        <v>0</v>
      </c>
      <c r="Q914" s="31">
        <f ca="1">IF(N914&gt;=2,O914*$G$158^(2*M914)/($G$157^(2*M914)),0)</f>
        <v>0</v>
      </c>
      <c r="R914" s="31">
        <f ca="1">IF(N914&gt;=3,O914*$G$158^(3*M914)/($G$157^(3*M914)),0)</f>
        <v>0</v>
      </c>
      <c r="S914" s="31">
        <f ca="1">IF(N914&gt;=4,O914*$G$158^(4*M914)/($G$157^(4*M914)),0)</f>
        <v>0</v>
      </c>
      <c r="T914" s="32">
        <f ca="1">IF(N914&gt;=5,O914*$G$158^(5*M914)/($G$157^(5*M914)),0)</f>
        <v>0</v>
      </c>
      <c r="U914" s="37">
        <f t="shared" ca="1" si="678"/>
        <v>21851.346711533035</v>
      </c>
      <c r="V914" s="40">
        <f t="shared" ca="1" si="671"/>
        <v>0</v>
      </c>
      <c r="W914" s="41">
        <f t="shared" ca="1" si="672"/>
        <v>0</v>
      </c>
      <c r="X914" s="43"/>
      <c r="Y914" s="46"/>
      <c r="Z914" s="126"/>
      <c r="AA914" s="136"/>
      <c r="AB914" s="131">
        <v>14</v>
      </c>
      <c r="AC914" s="168">
        <f ca="1">IF(AF913&lt;=1,0,'3.5 Fi&amp;Fo'!$I$25)</f>
        <v>46174.624633000763</v>
      </c>
      <c r="AD914" s="169">
        <f ca="1">IF(AF913&lt;=1,0,AF913*'3.5 Fi&amp;Fo'!$H$25)</f>
        <v>16307.074945347293</v>
      </c>
      <c r="AE914" s="169">
        <f t="shared" ca="1" si="681"/>
        <v>29867.549687653471</v>
      </c>
      <c r="AF914" s="170">
        <f t="shared" ca="1" si="682"/>
        <v>785486.19757971121</v>
      </c>
      <c r="AG914" s="168">
        <f>IF(AJ913&lt;=1,0,IF(AB914&lt;='3.5 Fi&amp;Fo'!$F$34,'3.5 Fi&amp;Fo'!$J$34,IF(AB914&lt;='3.5 Fi&amp;Fo'!$F$35,'3.5 Fi&amp;Fo'!$J$35,IF(AB914&lt;='3.5 Fi&amp;Fo'!$F$36,'3.5 Fi&amp;Fo'!$J$36,IF(AB914&lt;='3.5 Fi&amp;Fo'!$F$37,'3.5 Fi&amp;Fo'!$J$37,IF(AB914&lt;='3.5 Fi&amp;Fo'!$F$38,'3.5 Fi&amp;Fo'!$J$38,IF(AB914&lt;='3.5 Fi&amp;Fo'!$F$39,'3.5 Fi&amp;Fo'!$J$39,IF(AB914&lt;='3.5 Fi&amp;Fo'!$F$40,'3.5 Fi&amp;Fo'!$J$40))))))))</f>
        <v>66417.570000000007</v>
      </c>
      <c r="AH914" s="203">
        <f>IF(AJ913&lt;=1,0,AJ913*IF(AB914&lt;='3.5 Fi&amp;Fo'!$F$34,'3.5 Fi&amp;Fo'!$I$34,IF(AB914&lt;='3.5 Fi&amp;Fo'!$F$35,'3.5 Fi&amp;Fo'!$I$35,IF(AB914&lt;='3.5 Fi&amp;Fo'!$F$38,'3.5 Fi&amp;Fo'!$I$38,IF(AB914&lt;='3.5 Fi&amp;Fo'!$F$39,'3.5 Fi&amp;Fo'!$I$39,IF(AB914&lt;='3.5 Fi&amp;Fo'!$F$40,'3.5 Fi&amp;Fo'!$I$40))))))</f>
        <v>110952.69792121835</v>
      </c>
      <c r="AI914" s="203">
        <f t="shared" si="683"/>
        <v>-44535.127921218344</v>
      </c>
      <c r="AJ914" s="204">
        <f t="shared" si="684"/>
        <v>2061856.9083070066</v>
      </c>
      <c r="AK914" s="312">
        <f t="shared" ca="1" si="685"/>
        <v>-141430.14377064095</v>
      </c>
      <c r="AL914" s="169">
        <f>IF(AB914&lt;='3.5 Fi&amp;Fo'!$J$15,'3.5 Fi&amp;Fo'!$I$15,0)</f>
        <v>0</v>
      </c>
      <c r="AM914" s="169">
        <f t="shared" si="697"/>
        <v>28837.949137640186</v>
      </c>
      <c r="AN914" s="838">
        <f t="shared" si="702"/>
        <v>14</v>
      </c>
      <c r="AO914" s="844">
        <f t="shared" ca="1" si="686"/>
        <v>141430.14377064095</v>
      </c>
      <c r="AP914" s="839">
        <f ca="1">CB1005</f>
        <v>0</v>
      </c>
      <c r="AQ914" s="844">
        <f t="shared" si="687"/>
        <v>0</v>
      </c>
      <c r="AR914" s="839">
        <f t="shared" ca="1" si="703"/>
        <v>0</v>
      </c>
      <c r="AS914" s="839">
        <f t="shared" ca="1" si="698"/>
        <v>9734.3060972796484</v>
      </c>
      <c r="AT914" s="839">
        <f t="shared" ca="1" si="699"/>
        <v>12048.000215710041</v>
      </c>
      <c r="AU914" s="844">
        <f ca="1">'PV-Einspeisung'!AA285*-1</f>
        <v>-415.86231945586405</v>
      </c>
      <c r="AV914" s="844">
        <f>'PV-Einspeisung'!AE285*-1</f>
        <v>-2143.8603769545371</v>
      </c>
      <c r="AW914" s="839"/>
      <c r="AX914" s="839">
        <f t="shared" ca="1" si="704"/>
        <v>0</v>
      </c>
      <c r="AY914" s="841">
        <f t="shared" si="688"/>
        <v>14</v>
      </c>
      <c r="AZ914" s="842">
        <f t="shared" ca="1" si="705"/>
        <v>0</v>
      </c>
      <c r="BA914" s="842">
        <f t="shared" ca="1" si="706"/>
        <v>0</v>
      </c>
      <c r="BB914" s="842">
        <f t="shared" ca="1" si="707"/>
        <v>0</v>
      </c>
      <c r="BC914" s="842">
        <f t="shared" ca="1" si="708"/>
        <v>0</v>
      </c>
      <c r="BD914" s="842">
        <f t="shared" ca="1" si="709"/>
        <v>0</v>
      </c>
      <c r="BE914" s="842">
        <f t="shared" ca="1" si="710"/>
        <v>0</v>
      </c>
      <c r="BF914" s="842">
        <f t="shared" ca="1" si="711"/>
        <v>8900.5124841433098</v>
      </c>
      <c r="BG914" s="842">
        <f t="shared" ca="1" si="712"/>
        <v>3147.4877315667304</v>
      </c>
      <c r="BH914" s="858">
        <f t="shared" si="696"/>
        <v>14</v>
      </c>
      <c r="BI914" s="857">
        <f t="shared" ca="1" si="713"/>
        <v>3683.1380033448327</v>
      </c>
      <c r="BJ914" s="857">
        <f t="shared" ca="1" si="714"/>
        <v>6051.1680939348153</v>
      </c>
      <c r="BK914" s="859">
        <f ca="1">'PV-Einspeisung'!AB285*-1</f>
        <v>0</v>
      </c>
      <c r="BL914" s="824">
        <f t="shared" ca="1" si="673"/>
        <v>100</v>
      </c>
      <c r="BM914" s="824">
        <f t="shared" ca="1" si="674"/>
        <v>0</v>
      </c>
      <c r="BN914" s="824">
        <f t="shared" ca="1" si="675"/>
        <v>67231.199999999997</v>
      </c>
      <c r="BO914" s="824">
        <f t="shared" ca="1" si="679"/>
        <v>0</v>
      </c>
      <c r="BP914" s="824">
        <f t="shared" ca="1" si="679"/>
        <v>0</v>
      </c>
      <c r="BQ914" s="824">
        <f t="shared" ca="1" si="679"/>
        <v>0</v>
      </c>
      <c r="BR914" s="824">
        <f t="shared" ca="1" si="679"/>
        <v>0</v>
      </c>
      <c r="BS914" s="824">
        <f t="shared" ca="1" si="679"/>
        <v>0</v>
      </c>
      <c r="BT914" s="824">
        <f t="shared" ca="1" si="679"/>
        <v>0</v>
      </c>
      <c r="BU914" s="824">
        <f t="shared" ca="1" si="679"/>
        <v>0</v>
      </c>
      <c r="BV914" s="824">
        <f t="shared" ca="1" si="679"/>
        <v>0</v>
      </c>
      <c r="BW914" s="824">
        <f t="shared" ca="1" si="679"/>
        <v>0</v>
      </c>
      <c r="BX914" s="824">
        <f t="shared" ca="1" si="679"/>
        <v>0</v>
      </c>
      <c r="BY914" s="824">
        <f t="shared" ca="1" si="679"/>
        <v>0</v>
      </c>
      <c r="BZ914" s="824">
        <f t="shared" ca="1" si="679"/>
        <v>0</v>
      </c>
      <c r="CA914" s="824">
        <f t="shared" ca="1" si="679"/>
        <v>0</v>
      </c>
      <c r="CB914" s="824">
        <f t="shared" ref="CB914:CQ914" ca="1" si="716">IF(OR(IF($BL914*1&lt;$BL$196,$BL914*1=CB$198,FALSE),IF($BL914*2&lt;$BL$196,$BL914*2=CB$198,FALSE),IF($BL914*3&lt;$BL$196,$BL914*3=CB$198,FALSE),IF($BL914*4&lt;$BL$196,$BL914*4=CB$198,FALSE),IF($BL914*5&lt;$BL$196,$BL914*5=CB$198,FALSE)),$BN914*$BM$196^CB$198,0)</f>
        <v>0</v>
      </c>
      <c r="CC914" s="824">
        <f t="shared" ca="1" si="716"/>
        <v>0</v>
      </c>
      <c r="CD914" s="824">
        <f t="shared" ca="1" si="716"/>
        <v>0</v>
      </c>
      <c r="CE914" s="824">
        <f t="shared" ca="1" si="716"/>
        <v>0</v>
      </c>
      <c r="CF914" s="824">
        <f t="shared" ca="1" si="716"/>
        <v>0</v>
      </c>
      <c r="CG914" s="824">
        <f t="shared" ca="1" si="716"/>
        <v>0</v>
      </c>
      <c r="CH914" s="824">
        <f t="shared" ca="1" si="716"/>
        <v>0</v>
      </c>
      <c r="CI914" s="824">
        <f t="shared" ca="1" si="716"/>
        <v>0</v>
      </c>
      <c r="CJ914" s="824">
        <f t="shared" ca="1" si="716"/>
        <v>0</v>
      </c>
      <c r="CK914" s="824">
        <f t="shared" ca="1" si="716"/>
        <v>0</v>
      </c>
      <c r="CL914" s="824">
        <f t="shared" ca="1" si="716"/>
        <v>0</v>
      </c>
      <c r="CM914" s="824">
        <f t="shared" ca="1" si="716"/>
        <v>0</v>
      </c>
      <c r="CN914" s="824">
        <f t="shared" ca="1" si="716"/>
        <v>0</v>
      </c>
      <c r="CO914" s="824">
        <f t="shared" ca="1" si="716"/>
        <v>0</v>
      </c>
      <c r="CP914" s="824">
        <f t="shared" ca="1" si="716"/>
        <v>0</v>
      </c>
      <c r="CQ914" s="824">
        <f t="shared" ca="1" si="716"/>
        <v>0</v>
      </c>
      <c r="CR914" s="824">
        <f t="shared" ca="1" si="715"/>
        <v>0</v>
      </c>
      <c r="CS914" s="824">
        <f t="shared" ca="1" si="715"/>
        <v>0</v>
      </c>
      <c r="CT914" s="824">
        <f t="shared" ca="1" si="715"/>
        <v>0</v>
      </c>
      <c r="CU914" s="824">
        <f t="shared" ca="1" si="700"/>
        <v>0</v>
      </c>
      <c r="CV914" s="824">
        <f t="shared" ca="1" si="700"/>
        <v>0</v>
      </c>
      <c r="CW914" s="824">
        <f t="shared" ca="1" si="700"/>
        <v>0</v>
      </c>
      <c r="CX914" s="824">
        <f t="shared" ca="1" si="700"/>
        <v>0</v>
      </c>
      <c r="CY914" s="824">
        <f t="shared" ca="1" si="700"/>
        <v>0</v>
      </c>
      <c r="CZ914" s="824">
        <f t="shared" ca="1" si="700"/>
        <v>0</v>
      </c>
      <c r="DA914" s="824">
        <f t="shared" ca="1" si="701"/>
        <v>0</v>
      </c>
      <c r="DB914" s="824">
        <f t="shared" ca="1" si="701"/>
        <v>0</v>
      </c>
      <c r="DC914" s="824">
        <f t="shared" ca="1" si="701"/>
        <v>0</v>
      </c>
      <c r="DD914" s="824">
        <f t="shared" ca="1" si="701"/>
        <v>0</v>
      </c>
      <c r="DE914" s="824">
        <f t="shared" ca="1" si="701"/>
        <v>0</v>
      </c>
      <c r="DF914" s="824">
        <f t="shared" ca="1" si="701"/>
        <v>0</v>
      </c>
      <c r="DG914" s="824">
        <f t="shared" ca="1" si="701"/>
        <v>0</v>
      </c>
      <c r="DH914" s="824">
        <f t="shared" ca="1" si="701"/>
        <v>0</v>
      </c>
      <c r="DI914" s="824">
        <f t="shared" ca="1" si="701"/>
        <v>0</v>
      </c>
      <c r="DJ914" s="824">
        <f t="shared" ca="1" si="701"/>
        <v>0</v>
      </c>
      <c r="DK914" s="824">
        <f t="shared" ca="1" si="701"/>
        <v>0</v>
      </c>
      <c r="DL914" s="824">
        <f t="shared" ca="1" si="701"/>
        <v>0</v>
      </c>
    </row>
    <row r="915" spans="2:116" ht="12" thickBot="1" x14ac:dyDescent="0.3">
      <c r="B915" s="1673"/>
      <c r="C915" s="1680"/>
      <c r="D915" s="15"/>
      <c r="E915" s="116"/>
      <c r="F915" s="116">
        <f ca="1">SUBTOTAL(109,'3.5 I&amp;W'!$X$71)</f>
        <v>0</v>
      </c>
      <c r="G915" s="116">
        <f ca="1">SUBTOTAL(109,'3.5 I&amp;W'!$Y$71)</f>
        <v>0</v>
      </c>
      <c r="H915" s="116">
        <f ca="1">SUBTOTAL(109,'3.5 I&amp;W'!$AD$71)</f>
        <v>0</v>
      </c>
      <c r="I915" s="116">
        <f ca="1">SUBTOTAL(109,'3.5 I&amp;W'!$AE$71)</f>
        <v>0</v>
      </c>
      <c r="J915" s="116"/>
      <c r="K915" s="116"/>
      <c r="L915" s="116"/>
      <c r="M915" s="116">
        <f ca="1">SUBTOTAL(109,'3.5 I&amp;W'!$AI$71)</f>
        <v>60</v>
      </c>
      <c r="N915" s="156">
        <f t="shared" ca="1" si="677"/>
        <v>0</v>
      </c>
      <c r="O915" s="116">
        <f ca="1">SUBTOTAL(109,'3.5 I&amp;W'!$S$71)</f>
        <v>13062.12</v>
      </c>
      <c r="P915" s="30">
        <f t="shared" ref="P915:P957" ca="1" si="717">IF(N915&gt;=1,O915*$G$158^(1*M915)/($G$157^(1*M915)),0)</f>
        <v>0</v>
      </c>
      <c r="Q915" s="31">
        <f t="shared" ref="Q915:Q957" ca="1" si="718">IF(N915&gt;=2,O915*$G$158^(2*M915)/($G$157^(2*M915)),0)</f>
        <v>0</v>
      </c>
      <c r="R915" s="31">
        <f t="shared" ref="R915:R957" ca="1" si="719">IF(N915&gt;=3,O915*$G$158^(3*M915)/($G$157^(3*M915)),0)</f>
        <v>0</v>
      </c>
      <c r="S915" s="31">
        <f t="shared" ref="S915:S957" ca="1" si="720">IF(N915&gt;=4,O915*$G$158^(4*M915)/($G$157^(4*M915)),0)</f>
        <v>0</v>
      </c>
      <c r="T915" s="32">
        <f t="shared" ref="T915:T957" ca="1" si="721">IF(N915&gt;=5,O915*$G$158^(5*M915)/($G$157^(5*M915)),0)</f>
        <v>0</v>
      </c>
      <c r="U915" s="37">
        <f t="shared" ca="1" si="678"/>
        <v>2721.4252870886439</v>
      </c>
      <c r="V915" s="40">
        <f t="shared" ca="1" si="671"/>
        <v>0</v>
      </c>
      <c r="W915" s="41">
        <f t="shared" ca="1" si="672"/>
        <v>0</v>
      </c>
      <c r="X915" s="43"/>
      <c r="Y915" s="46"/>
      <c r="Z915" s="126"/>
      <c r="AA915" s="136"/>
      <c r="AB915" s="131">
        <v>15</v>
      </c>
      <c r="AC915" s="168">
        <f ca="1">IF(AF914&lt;=1,0,'3.5 Fi&amp;Fo'!$I$25)</f>
        <v>46174.624633000763</v>
      </c>
      <c r="AD915" s="169">
        <f ca="1">IF(AF914&lt;=1,0,AF914*'3.5 Fi&amp;Fo'!$H$25)</f>
        <v>15709.723951594224</v>
      </c>
      <c r="AE915" s="169">
        <f t="shared" ca="1" si="681"/>
        <v>30464.90068140654</v>
      </c>
      <c r="AF915" s="170">
        <f t="shared" ca="1" si="682"/>
        <v>755021.29689830472</v>
      </c>
      <c r="AG915" s="168">
        <f>IF(AJ914&lt;=1,0,IF(AB915&lt;='3.5 Fi&amp;Fo'!$F$34,'3.5 Fi&amp;Fo'!$J$34,IF(AB915&lt;='3.5 Fi&amp;Fo'!$F$35,'3.5 Fi&amp;Fo'!$J$35,IF(AB915&lt;='3.5 Fi&amp;Fo'!$F$36,'3.5 Fi&amp;Fo'!$J$36,IF(AB915&lt;='3.5 Fi&amp;Fo'!$F$37,'3.5 Fi&amp;Fo'!$J$37,IF(AB915&lt;='3.5 Fi&amp;Fo'!$F$38,'3.5 Fi&amp;Fo'!$J$38,IF(AB915&lt;='3.5 Fi&amp;Fo'!$F$39,'3.5 Fi&amp;Fo'!$J$39,IF(AB915&lt;='3.5 Fi&amp;Fo'!$F$40,'3.5 Fi&amp;Fo'!$J$40))))))))</f>
        <v>66417.570000000007</v>
      </c>
      <c r="AH915" s="203">
        <f>IF(AJ914&lt;=1,0,AJ914*IF(AB915&lt;='3.5 Fi&amp;Fo'!$F$34,'3.5 Fi&amp;Fo'!$I$34,IF(AB915&lt;='3.5 Fi&amp;Fo'!$F$35,'3.5 Fi&amp;Fo'!$I$35,IF(AB915&lt;='3.5 Fi&amp;Fo'!$F$38,'3.5 Fi&amp;Fo'!$I$38,IF(AB915&lt;='3.5 Fi&amp;Fo'!$F$39,'3.5 Fi&amp;Fo'!$I$39,IF(AB915&lt;='3.5 Fi&amp;Fo'!$F$40,'3.5 Fi&amp;Fo'!$I$40))))))</f>
        <v>113402.12995688536</v>
      </c>
      <c r="AI915" s="203">
        <f t="shared" si="683"/>
        <v>-46984.55995688535</v>
      </c>
      <c r="AJ915" s="204">
        <f t="shared" si="684"/>
        <v>2108841.468263892</v>
      </c>
      <c r="AK915" s="312">
        <f t="shared" ca="1" si="685"/>
        <v>-142006.90275339293</v>
      </c>
      <c r="AL915" s="169">
        <f>IF(AB915&lt;='3.5 Fi&amp;Fo'!$J$15,'3.5 Fi&amp;Fo'!$I$15,0)</f>
        <v>0</v>
      </c>
      <c r="AM915" s="169">
        <f t="shared" si="697"/>
        <v>29414.70812039217</v>
      </c>
      <c r="AN915" s="838">
        <f t="shared" si="702"/>
        <v>15</v>
      </c>
      <c r="AO915" s="844">
        <f t="shared" ca="1" si="686"/>
        <v>142006.90275339293</v>
      </c>
      <c r="AP915" s="839">
        <f ca="1">CC1005</f>
        <v>34998.871915890384</v>
      </c>
      <c r="AQ915" s="844">
        <f t="shared" si="687"/>
        <v>0</v>
      </c>
      <c r="AR915" s="839">
        <f t="shared" ca="1" si="703"/>
        <v>0</v>
      </c>
      <c r="AS915" s="839">
        <f t="shared" ca="1" si="698"/>
        <v>9890.0549948361222</v>
      </c>
      <c r="AT915" s="839">
        <f t="shared" ca="1" si="699"/>
        <v>12380.675098418456</v>
      </c>
      <c r="AU915" s="844">
        <f ca="1">'PV-Einspeisung'!AA286*-1</f>
        <v>-426.2588774422606</v>
      </c>
      <c r="AV915" s="844">
        <f>'PV-Einspeisung'!AE286*-1</f>
        <v>-2197.4568863784002</v>
      </c>
      <c r="AW915" s="839"/>
      <c r="AX915" s="839">
        <f t="shared" ca="1" si="704"/>
        <v>0</v>
      </c>
      <c r="AY915" s="841">
        <f t="shared" si="688"/>
        <v>15</v>
      </c>
      <c r="AZ915" s="842">
        <f t="shared" ca="1" si="705"/>
        <v>0</v>
      </c>
      <c r="BA915" s="842">
        <f t="shared" ca="1" si="706"/>
        <v>0</v>
      </c>
      <c r="BB915" s="842">
        <f t="shared" ca="1" si="707"/>
        <v>0</v>
      </c>
      <c r="BC915" s="842">
        <f t="shared" ca="1" si="708"/>
        <v>0</v>
      </c>
      <c r="BD915" s="842">
        <f t="shared" ca="1" si="709"/>
        <v>0</v>
      </c>
      <c r="BE915" s="842">
        <f t="shared" ca="1" si="710"/>
        <v>0</v>
      </c>
      <c r="BF915" s="842">
        <f t="shared" ca="1" si="711"/>
        <v>9123.0252962468912</v>
      </c>
      <c r="BG915" s="842">
        <f t="shared" ca="1" si="712"/>
        <v>3257.6498021715656</v>
      </c>
      <c r="BH915" s="858">
        <f t="shared" si="696"/>
        <v>15</v>
      </c>
      <c r="BI915" s="857">
        <f t="shared" ca="1" si="713"/>
        <v>3742.0682113983498</v>
      </c>
      <c r="BJ915" s="857">
        <f t="shared" ca="1" si="714"/>
        <v>6147.9867834377728</v>
      </c>
      <c r="BK915" s="859">
        <f ca="1">'PV-Einspeisung'!AB286*-1</f>
        <v>0</v>
      </c>
      <c r="BL915" s="824">
        <f t="shared" ca="1" si="673"/>
        <v>60</v>
      </c>
      <c r="BM915" s="824">
        <f t="shared" ca="1" si="674"/>
        <v>0</v>
      </c>
      <c r="BN915" s="824">
        <f t="shared" ca="1" si="675"/>
        <v>13062.12</v>
      </c>
      <c r="BO915" s="824">
        <f t="shared" ref="BO915:CD930" ca="1" si="722">IF(OR(IF($BL915*1&lt;$BL$196,$BL915*1=BO$198,FALSE),IF($BL915*2&lt;$BL$196,$BL915*2=BO$198,FALSE),IF($BL915*3&lt;$BL$196,$BL915*3=BO$198,FALSE),IF($BL915*4&lt;$BL$196,$BL915*4=BO$198,FALSE),IF($BL915*5&lt;$BL$196,$BL915*5=BO$198,FALSE)),$BN915*$BM$196^BO$198,0)</f>
        <v>0</v>
      </c>
      <c r="BP915" s="824">
        <f t="shared" ca="1" si="722"/>
        <v>0</v>
      </c>
      <c r="BQ915" s="824">
        <f t="shared" ca="1" si="722"/>
        <v>0</v>
      </c>
      <c r="BR915" s="824">
        <f t="shared" ca="1" si="722"/>
        <v>0</v>
      </c>
      <c r="BS915" s="824">
        <f t="shared" ca="1" si="722"/>
        <v>0</v>
      </c>
      <c r="BT915" s="824">
        <f t="shared" ca="1" si="722"/>
        <v>0</v>
      </c>
      <c r="BU915" s="824">
        <f t="shared" ca="1" si="722"/>
        <v>0</v>
      </c>
      <c r="BV915" s="824">
        <f t="shared" ca="1" si="722"/>
        <v>0</v>
      </c>
      <c r="BW915" s="824">
        <f t="shared" ca="1" si="722"/>
        <v>0</v>
      </c>
      <c r="BX915" s="824">
        <f t="shared" ca="1" si="722"/>
        <v>0</v>
      </c>
      <c r="BY915" s="824">
        <f t="shared" ca="1" si="722"/>
        <v>0</v>
      </c>
      <c r="BZ915" s="824">
        <f t="shared" ca="1" si="722"/>
        <v>0</v>
      </c>
      <c r="CA915" s="824">
        <f t="shared" ca="1" si="722"/>
        <v>0</v>
      </c>
      <c r="CB915" s="824">
        <f t="shared" ca="1" si="722"/>
        <v>0</v>
      </c>
      <c r="CC915" s="824">
        <f t="shared" ca="1" si="722"/>
        <v>0</v>
      </c>
      <c r="CD915" s="824">
        <f t="shared" ca="1" si="722"/>
        <v>0</v>
      </c>
      <c r="CE915" s="824">
        <f t="shared" ca="1" si="715"/>
        <v>0</v>
      </c>
      <c r="CF915" s="824">
        <f t="shared" ca="1" si="715"/>
        <v>0</v>
      </c>
      <c r="CG915" s="824">
        <f t="shared" ca="1" si="715"/>
        <v>0</v>
      </c>
      <c r="CH915" s="824">
        <f t="shared" ca="1" si="715"/>
        <v>0</v>
      </c>
      <c r="CI915" s="824">
        <f t="shared" ca="1" si="715"/>
        <v>0</v>
      </c>
      <c r="CJ915" s="824">
        <f t="shared" ca="1" si="715"/>
        <v>0</v>
      </c>
      <c r="CK915" s="824">
        <f t="shared" ca="1" si="715"/>
        <v>0</v>
      </c>
      <c r="CL915" s="824">
        <f t="shared" ca="1" si="715"/>
        <v>0</v>
      </c>
      <c r="CM915" s="824">
        <f t="shared" ca="1" si="715"/>
        <v>0</v>
      </c>
      <c r="CN915" s="824">
        <f t="shared" ca="1" si="715"/>
        <v>0</v>
      </c>
      <c r="CO915" s="824">
        <f t="shared" ca="1" si="715"/>
        <v>0</v>
      </c>
      <c r="CP915" s="824">
        <f t="shared" ca="1" si="715"/>
        <v>0</v>
      </c>
      <c r="CQ915" s="824">
        <f t="shared" ca="1" si="715"/>
        <v>0</v>
      </c>
      <c r="CR915" s="824">
        <f t="shared" ca="1" si="715"/>
        <v>0</v>
      </c>
      <c r="CS915" s="824">
        <f t="shared" ca="1" si="715"/>
        <v>0</v>
      </c>
      <c r="CT915" s="824">
        <f t="shared" ca="1" si="715"/>
        <v>0</v>
      </c>
      <c r="CU915" s="824">
        <f t="shared" ca="1" si="700"/>
        <v>0</v>
      </c>
      <c r="CV915" s="824">
        <f t="shared" ca="1" si="700"/>
        <v>0</v>
      </c>
      <c r="CW915" s="824">
        <f t="shared" ca="1" si="700"/>
        <v>0</v>
      </c>
      <c r="CX915" s="824">
        <f t="shared" ca="1" si="700"/>
        <v>0</v>
      </c>
      <c r="CY915" s="824">
        <f t="shared" ca="1" si="700"/>
        <v>0</v>
      </c>
      <c r="CZ915" s="824">
        <f t="shared" ca="1" si="700"/>
        <v>0</v>
      </c>
      <c r="DA915" s="824">
        <f t="shared" ca="1" si="701"/>
        <v>0</v>
      </c>
      <c r="DB915" s="824">
        <f t="shared" ca="1" si="701"/>
        <v>0</v>
      </c>
      <c r="DC915" s="824">
        <f t="shared" ca="1" si="701"/>
        <v>0</v>
      </c>
      <c r="DD915" s="824">
        <f t="shared" ca="1" si="701"/>
        <v>0</v>
      </c>
      <c r="DE915" s="824">
        <f t="shared" ca="1" si="701"/>
        <v>0</v>
      </c>
      <c r="DF915" s="824">
        <f t="shared" ca="1" si="701"/>
        <v>0</v>
      </c>
      <c r="DG915" s="824">
        <f t="shared" ca="1" si="701"/>
        <v>0</v>
      </c>
      <c r="DH915" s="824">
        <f t="shared" ca="1" si="701"/>
        <v>0</v>
      </c>
      <c r="DI915" s="824">
        <f t="shared" ca="1" si="701"/>
        <v>0</v>
      </c>
      <c r="DJ915" s="824">
        <f t="shared" ca="1" si="701"/>
        <v>0</v>
      </c>
      <c r="DK915" s="824">
        <f t="shared" ca="1" si="701"/>
        <v>0</v>
      </c>
      <c r="DL915" s="824">
        <f t="shared" ca="1" si="701"/>
        <v>0</v>
      </c>
    </row>
    <row r="916" spans="2:116" ht="12" thickBot="1" x14ac:dyDescent="0.3">
      <c r="B916" s="1673"/>
      <c r="C916" s="1680"/>
      <c r="D916" s="15"/>
      <c r="E916" s="116"/>
      <c r="F916" s="116">
        <f ca="1">SUBTOTAL(109,'3.5 I&amp;W'!$X$72)</f>
        <v>0</v>
      </c>
      <c r="G916" s="116">
        <f ca="1">SUBTOTAL(109,'3.5 I&amp;W'!$Y$72)</f>
        <v>0</v>
      </c>
      <c r="H916" s="116">
        <f ca="1">SUBTOTAL(109,'3.5 I&amp;W'!$AD$72)</f>
        <v>0</v>
      </c>
      <c r="I916" s="116">
        <f ca="1">SUBTOTAL(109,'3.5 I&amp;W'!$AE$72)</f>
        <v>0</v>
      </c>
      <c r="J916" s="116"/>
      <c r="K916" s="116"/>
      <c r="L916" s="116"/>
      <c r="M916" s="116">
        <f ca="1">SUBTOTAL(109,'3.5 I&amp;W'!$AI$72)</f>
        <v>0</v>
      </c>
      <c r="N916" s="156">
        <f t="shared" ca="1" si="677"/>
        <v>0</v>
      </c>
      <c r="O916" s="116">
        <f ca="1">SUBTOTAL(109,'3.5 I&amp;W'!$S$72)</f>
        <v>0</v>
      </c>
      <c r="P916" s="30">
        <f t="shared" ca="1" si="717"/>
        <v>0</v>
      </c>
      <c r="Q916" s="31">
        <f t="shared" ca="1" si="718"/>
        <v>0</v>
      </c>
      <c r="R916" s="31">
        <f t="shared" ca="1" si="719"/>
        <v>0</v>
      </c>
      <c r="S916" s="31">
        <f t="shared" ca="1" si="720"/>
        <v>0</v>
      </c>
      <c r="T916" s="32">
        <f t="shared" ca="1" si="721"/>
        <v>0</v>
      </c>
      <c r="U916" s="37">
        <f t="shared" ca="1" si="678"/>
        <v>0</v>
      </c>
      <c r="V916" s="40">
        <f t="shared" ca="1" si="671"/>
        <v>0</v>
      </c>
      <c r="W916" s="41">
        <f t="shared" ca="1" si="672"/>
        <v>0</v>
      </c>
      <c r="X916" s="43"/>
      <c r="Y916" s="46"/>
      <c r="Z916" s="126"/>
      <c r="AA916" s="136"/>
      <c r="AB916" s="131">
        <v>16</v>
      </c>
      <c r="AC916" s="168">
        <f ca="1">IF(AF915&lt;=1,0,'3.5 Fi&amp;Fo'!$I$25)</f>
        <v>46174.624633000763</v>
      </c>
      <c r="AD916" s="169">
        <f ca="1">IF(AF915&lt;=1,0,AF915*'3.5 Fi&amp;Fo'!$H$25)</f>
        <v>15100.425937966094</v>
      </c>
      <c r="AE916" s="169">
        <f t="shared" ca="1" si="681"/>
        <v>31074.198695034669</v>
      </c>
      <c r="AF916" s="170">
        <f t="shared" ca="1" si="682"/>
        <v>723947.09820327</v>
      </c>
      <c r="AG916" s="168">
        <f>IF(AJ915&lt;=1,0,IF(AB916&lt;='3.5 Fi&amp;Fo'!$F$34,'3.5 Fi&amp;Fo'!$J$34,IF(AB916&lt;='3.5 Fi&amp;Fo'!$F$35,'3.5 Fi&amp;Fo'!$J$35,IF(AB916&lt;='3.5 Fi&amp;Fo'!$F$36,'3.5 Fi&amp;Fo'!$J$36,IF(AB916&lt;='3.5 Fi&amp;Fo'!$F$37,'3.5 Fi&amp;Fo'!$J$37,IF(AB916&lt;='3.5 Fi&amp;Fo'!$F$38,'3.5 Fi&amp;Fo'!$J$38,IF(AB916&lt;='3.5 Fi&amp;Fo'!$F$39,'3.5 Fi&amp;Fo'!$J$39,IF(AB916&lt;='3.5 Fi&amp;Fo'!$F$40,'3.5 Fi&amp;Fo'!$J$40))))))))</f>
        <v>85390.59</v>
      </c>
      <c r="AH916" s="203">
        <f>IF(AJ915&lt;=1,0,AJ915*IF(AB916&lt;='3.5 Fi&amp;Fo'!$F$34,'3.5 Fi&amp;Fo'!$I$34,IF(AB916&lt;='3.5 Fi&amp;Fo'!$F$35,'3.5 Fi&amp;Fo'!$I$35,IF(AB916&lt;='3.5 Fi&amp;Fo'!$F$38,'3.5 Fi&amp;Fo'!$I$38,IF(AB916&lt;='3.5 Fi&amp;Fo'!$F$39,'3.5 Fi&amp;Fo'!$I$39,IF(AB916&lt;='3.5 Fi&amp;Fo'!$F$40,'3.5 Fi&amp;Fo'!$I$40))))))</f>
        <v>115986.28075451405</v>
      </c>
      <c r="AI916" s="203">
        <f t="shared" si="683"/>
        <v>-30595.690754514057</v>
      </c>
      <c r="AJ916" s="204">
        <f t="shared" si="684"/>
        <v>2139437.1590184062</v>
      </c>
      <c r="AK916" s="312">
        <f t="shared" ca="1" si="685"/>
        <v>-161568.2169158016</v>
      </c>
      <c r="AL916" s="169">
        <f>IF(AB916&lt;='3.5 Fi&amp;Fo'!$J$15,'3.5 Fi&amp;Fo'!$I$15,0)</f>
        <v>0</v>
      </c>
      <c r="AM916" s="169">
        <f t="shared" si="697"/>
        <v>30003.002282800851</v>
      </c>
      <c r="AN916" s="838">
        <f t="shared" si="702"/>
        <v>16</v>
      </c>
      <c r="AO916" s="844">
        <f t="shared" ca="1" si="686"/>
        <v>161568.2169158016</v>
      </c>
      <c r="AP916" s="839">
        <f ca="1">CD1005</f>
        <v>0</v>
      </c>
      <c r="AQ916" s="844">
        <f t="shared" si="687"/>
        <v>0</v>
      </c>
      <c r="AR916" s="839">
        <f t="shared" ca="1" si="703"/>
        <v>0</v>
      </c>
      <c r="AS916" s="839">
        <f t="shared" ca="1" si="698"/>
        <v>10048.295874753501</v>
      </c>
      <c r="AT916" s="839">
        <f t="shared" ca="1" si="699"/>
        <v>12722.768473900633</v>
      </c>
      <c r="AU916" s="844">
        <f ca="1">'PV-Einspeisung'!AA287*-1</f>
        <v>-436.9153493783171</v>
      </c>
      <c r="AV916" s="844">
        <f>'PV-Einspeisung'!AE287*-1</f>
        <v>-2252.3933085378599</v>
      </c>
      <c r="AW916" s="839"/>
      <c r="AX916" s="839">
        <f t="shared" ca="1" si="704"/>
        <v>0</v>
      </c>
      <c r="AY916" s="841">
        <f t="shared" si="688"/>
        <v>16</v>
      </c>
      <c r="AZ916" s="842">
        <f t="shared" ca="1" si="705"/>
        <v>0</v>
      </c>
      <c r="BA916" s="842">
        <f t="shared" ca="1" si="706"/>
        <v>0</v>
      </c>
      <c r="BB916" s="842">
        <f t="shared" ca="1" si="707"/>
        <v>0</v>
      </c>
      <c r="BC916" s="842">
        <f t="shared" ca="1" si="708"/>
        <v>0</v>
      </c>
      <c r="BD916" s="842">
        <f t="shared" ca="1" si="709"/>
        <v>0</v>
      </c>
      <c r="BE916" s="842">
        <f t="shared" ca="1" si="710"/>
        <v>0</v>
      </c>
      <c r="BF916" s="842">
        <f t="shared" ca="1" si="711"/>
        <v>9351.1009286530625</v>
      </c>
      <c r="BG916" s="842">
        <f t="shared" ca="1" si="712"/>
        <v>3371.6675452475702</v>
      </c>
      <c r="BH916" s="858">
        <f t="shared" si="696"/>
        <v>16</v>
      </c>
      <c r="BI916" s="857">
        <f t="shared" ca="1" si="713"/>
        <v>3801.9413027807236</v>
      </c>
      <c r="BJ916" s="857">
        <f t="shared" ca="1" si="714"/>
        <v>6246.3545719727772</v>
      </c>
      <c r="BK916" s="859">
        <f ca="1">'PV-Einspeisung'!AB287*-1</f>
        <v>0</v>
      </c>
      <c r="BL916" s="824">
        <f t="shared" ca="1" si="673"/>
        <v>0</v>
      </c>
      <c r="BM916" s="824">
        <f t="shared" ca="1" si="674"/>
        <v>0</v>
      </c>
      <c r="BN916" s="824">
        <f t="shared" ca="1" si="675"/>
        <v>0</v>
      </c>
      <c r="BO916" s="824">
        <f t="shared" ca="1" si="722"/>
        <v>0</v>
      </c>
      <c r="BP916" s="824">
        <f t="shared" ca="1" si="722"/>
        <v>0</v>
      </c>
      <c r="BQ916" s="824">
        <f t="shared" ca="1" si="722"/>
        <v>0</v>
      </c>
      <c r="BR916" s="824">
        <f t="shared" ca="1" si="722"/>
        <v>0</v>
      </c>
      <c r="BS916" s="824">
        <f t="shared" ca="1" si="722"/>
        <v>0</v>
      </c>
      <c r="BT916" s="824">
        <f t="shared" ca="1" si="722"/>
        <v>0</v>
      </c>
      <c r="BU916" s="824">
        <f t="shared" ca="1" si="722"/>
        <v>0</v>
      </c>
      <c r="BV916" s="824">
        <f t="shared" ca="1" si="722"/>
        <v>0</v>
      </c>
      <c r="BW916" s="824">
        <f t="shared" ca="1" si="722"/>
        <v>0</v>
      </c>
      <c r="BX916" s="824">
        <f t="shared" ca="1" si="722"/>
        <v>0</v>
      </c>
      <c r="BY916" s="824">
        <f t="shared" ca="1" si="722"/>
        <v>0</v>
      </c>
      <c r="BZ916" s="824">
        <f t="shared" ca="1" si="722"/>
        <v>0</v>
      </c>
      <c r="CA916" s="824">
        <f t="shared" ca="1" si="722"/>
        <v>0</v>
      </c>
      <c r="CB916" s="824">
        <f t="shared" ca="1" si="722"/>
        <v>0</v>
      </c>
      <c r="CC916" s="824">
        <f t="shared" ca="1" si="722"/>
        <v>0</v>
      </c>
      <c r="CD916" s="824">
        <f t="shared" ca="1" si="722"/>
        <v>0</v>
      </c>
      <c r="CE916" s="824">
        <f t="shared" ca="1" si="715"/>
        <v>0</v>
      </c>
      <c r="CF916" s="824">
        <f t="shared" ca="1" si="715"/>
        <v>0</v>
      </c>
      <c r="CG916" s="824">
        <f t="shared" ca="1" si="715"/>
        <v>0</v>
      </c>
      <c r="CH916" s="824">
        <f t="shared" ca="1" si="715"/>
        <v>0</v>
      </c>
      <c r="CI916" s="824">
        <f t="shared" ca="1" si="715"/>
        <v>0</v>
      </c>
      <c r="CJ916" s="824">
        <f t="shared" ca="1" si="715"/>
        <v>0</v>
      </c>
      <c r="CK916" s="824">
        <f t="shared" ca="1" si="715"/>
        <v>0</v>
      </c>
      <c r="CL916" s="824">
        <f t="shared" ca="1" si="715"/>
        <v>0</v>
      </c>
      <c r="CM916" s="824">
        <f t="shared" ca="1" si="715"/>
        <v>0</v>
      </c>
      <c r="CN916" s="824">
        <f t="shared" ca="1" si="715"/>
        <v>0</v>
      </c>
      <c r="CO916" s="824">
        <f t="shared" ca="1" si="715"/>
        <v>0</v>
      </c>
      <c r="CP916" s="824">
        <f t="shared" ca="1" si="715"/>
        <v>0</v>
      </c>
      <c r="CQ916" s="824">
        <f t="shared" ca="1" si="715"/>
        <v>0</v>
      </c>
      <c r="CR916" s="824">
        <f t="shared" ca="1" si="715"/>
        <v>0</v>
      </c>
      <c r="CS916" s="824">
        <f t="shared" ca="1" si="715"/>
        <v>0</v>
      </c>
      <c r="CT916" s="824">
        <f t="shared" ca="1" si="715"/>
        <v>0</v>
      </c>
      <c r="CU916" s="824">
        <f t="shared" ca="1" si="700"/>
        <v>0</v>
      </c>
      <c r="CV916" s="824">
        <f t="shared" ca="1" si="700"/>
        <v>0</v>
      </c>
      <c r="CW916" s="824">
        <f t="shared" ca="1" si="700"/>
        <v>0</v>
      </c>
      <c r="CX916" s="824">
        <f t="shared" ca="1" si="700"/>
        <v>0</v>
      </c>
      <c r="CY916" s="824">
        <f t="shared" ca="1" si="700"/>
        <v>0</v>
      </c>
      <c r="CZ916" s="824">
        <f t="shared" ca="1" si="700"/>
        <v>0</v>
      </c>
      <c r="DA916" s="824">
        <f t="shared" ca="1" si="701"/>
        <v>0</v>
      </c>
      <c r="DB916" s="824">
        <f t="shared" ca="1" si="701"/>
        <v>0</v>
      </c>
      <c r="DC916" s="824">
        <f t="shared" ca="1" si="701"/>
        <v>0</v>
      </c>
      <c r="DD916" s="824">
        <f t="shared" ca="1" si="701"/>
        <v>0</v>
      </c>
      <c r="DE916" s="824">
        <f t="shared" ca="1" si="701"/>
        <v>0</v>
      </c>
      <c r="DF916" s="824">
        <f t="shared" ca="1" si="701"/>
        <v>0</v>
      </c>
      <c r="DG916" s="824">
        <f t="shared" ca="1" si="701"/>
        <v>0</v>
      </c>
      <c r="DH916" s="824">
        <f t="shared" ca="1" si="701"/>
        <v>0</v>
      </c>
      <c r="DI916" s="824">
        <f t="shared" ca="1" si="701"/>
        <v>0</v>
      </c>
      <c r="DJ916" s="824">
        <f t="shared" ca="1" si="701"/>
        <v>0</v>
      </c>
      <c r="DK916" s="824">
        <f t="shared" ca="1" si="701"/>
        <v>0</v>
      </c>
      <c r="DL916" s="824">
        <f t="shared" ca="1" si="701"/>
        <v>0</v>
      </c>
    </row>
    <row r="917" spans="2:116" ht="12" thickBot="1" x14ac:dyDescent="0.3">
      <c r="B917" s="1673"/>
      <c r="C917" s="1680"/>
      <c r="D917" s="15" t="s">
        <v>129</v>
      </c>
      <c r="E917" s="165"/>
      <c r="F917" s="116">
        <f ca="1">SUBTOTAL(109,'3.5 I&amp;W'!$X$76)</f>
        <v>0</v>
      </c>
      <c r="G917" s="116">
        <f ca="1">SUBTOTAL(109,'3.5 I&amp;W'!$Y$76)</f>
        <v>0</v>
      </c>
      <c r="H917" s="116">
        <f ca="1">SUBTOTAL(109,'3.5 I&amp;W'!$AD$76)</f>
        <v>0</v>
      </c>
      <c r="I917" s="116">
        <f ca="1">SUBTOTAL(109,'3.5 I&amp;W'!$AE$76)</f>
        <v>0</v>
      </c>
      <c r="J917" s="116"/>
      <c r="K917" s="116"/>
      <c r="L917" s="116"/>
      <c r="M917" s="116">
        <f ca="1">SUBTOTAL(109,'3.5 I&amp;W'!$AI$76)</f>
        <v>50</v>
      </c>
      <c r="N917" s="156">
        <f t="shared" ca="1" si="677"/>
        <v>0</v>
      </c>
      <c r="O917" s="116">
        <f ca="1">SUBTOTAL(109,'3.5 I&amp;W'!$S$76)</f>
        <v>91980</v>
      </c>
      <c r="P917" s="30">
        <f t="shared" ca="1" si="717"/>
        <v>0</v>
      </c>
      <c r="Q917" s="31">
        <f t="shared" ca="1" si="718"/>
        <v>0</v>
      </c>
      <c r="R917" s="31">
        <f t="shared" ca="1" si="719"/>
        <v>0</v>
      </c>
      <c r="S917" s="31">
        <f t="shared" ca="1" si="720"/>
        <v>0</v>
      </c>
      <c r="T917" s="32">
        <f t="shared" ca="1" si="721"/>
        <v>0</v>
      </c>
      <c r="U917" s="37">
        <f t="shared" ca="1" si="678"/>
        <v>13797.761963036452</v>
      </c>
      <c r="V917" s="40">
        <f t="shared" ca="1" si="671"/>
        <v>0</v>
      </c>
      <c r="W917" s="41">
        <f t="shared" ca="1" si="672"/>
        <v>0</v>
      </c>
      <c r="X917" s="43"/>
      <c r="Y917" s="46"/>
      <c r="Z917" s="126"/>
      <c r="AA917" s="136"/>
      <c r="AB917" s="131">
        <v>17</v>
      </c>
      <c r="AC917" s="168">
        <f ca="1">IF(AF916&lt;=1,0,'3.5 Fi&amp;Fo'!$I$25)</f>
        <v>46174.624633000763</v>
      </c>
      <c r="AD917" s="169">
        <f ca="1">IF(AF916&lt;=1,0,AF916*'3.5 Fi&amp;Fo'!$H$25)</f>
        <v>14478.9419640654</v>
      </c>
      <c r="AE917" s="169">
        <f t="shared" ca="1" si="681"/>
        <v>31695.682668935362</v>
      </c>
      <c r="AF917" s="170">
        <f t="shared" ca="1" si="682"/>
        <v>692251.41553433461</v>
      </c>
      <c r="AG917" s="168">
        <f>IF(AJ916&lt;=1,0,IF(AB917&lt;='3.5 Fi&amp;Fo'!$F$34,'3.5 Fi&amp;Fo'!$J$34,IF(AB917&lt;='3.5 Fi&amp;Fo'!$F$35,'3.5 Fi&amp;Fo'!$J$35,IF(AB917&lt;='3.5 Fi&amp;Fo'!$F$36,'3.5 Fi&amp;Fo'!$J$36,IF(AB917&lt;='3.5 Fi&amp;Fo'!$F$37,'3.5 Fi&amp;Fo'!$J$37,IF(AB917&lt;='3.5 Fi&amp;Fo'!$F$38,'3.5 Fi&amp;Fo'!$J$38,IF(AB917&lt;='3.5 Fi&amp;Fo'!$F$39,'3.5 Fi&amp;Fo'!$J$39,IF(AB917&lt;='3.5 Fi&amp;Fo'!$F$40,'3.5 Fi&amp;Fo'!$J$40))))))))</f>
        <v>85390.59</v>
      </c>
      <c r="AH917" s="203">
        <f>IF(AJ916&lt;=1,0,AJ916*IF(AB917&lt;='3.5 Fi&amp;Fo'!$F$34,'3.5 Fi&amp;Fo'!$I$34,IF(AB917&lt;='3.5 Fi&amp;Fo'!$F$35,'3.5 Fi&amp;Fo'!$I$35,IF(AB917&lt;='3.5 Fi&amp;Fo'!$F$38,'3.5 Fi&amp;Fo'!$I$38,IF(AB917&lt;='3.5 Fi&amp;Fo'!$F$39,'3.5 Fi&amp;Fo'!$I$39,IF(AB917&lt;='3.5 Fi&amp;Fo'!$F$40,'3.5 Fi&amp;Fo'!$I$40))))))</f>
        <v>117669.04374601234</v>
      </c>
      <c r="AI917" s="203">
        <f t="shared" si="683"/>
        <v>-32278.453746012339</v>
      </c>
      <c r="AJ917" s="204">
        <f t="shared" si="684"/>
        <v>2171715.6127644186</v>
      </c>
      <c r="AK917" s="312">
        <f t="shared" ca="1" si="685"/>
        <v>-162168.27696145765</v>
      </c>
      <c r="AL917" s="169">
        <f>IF(AB917&lt;='3.5 Fi&amp;Fo'!$J$15,'3.5 Fi&amp;Fo'!$I$15,0)</f>
        <v>0</v>
      </c>
      <c r="AM917" s="169">
        <f t="shared" si="697"/>
        <v>30603.062328456901</v>
      </c>
      <c r="AN917" s="838">
        <f t="shared" si="702"/>
        <v>17</v>
      </c>
      <c r="AO917" s="844">
        <f t="shared" ca="1" si="686"/>
        <v>162168.27696145765</v>
      </c>
      <c r="AP917" s="839">
        <f ca="1">CE1005</f>
        <v>0</v>
      </c>
      <c r="AQ917" s="844">
        <f t="shared" si="687"/>
        <v>0</v>
      </c>
      <c r="AR917" s="839">
        <f t="shared" ca="1" si="703"/>
        <v>0</v>
      </c>
      <c r="AS917" s="839">
        <f t="shared" ca="1" si="698"/>
        <v>10209.068608749558</v>
      </c>
      <c r="AT917" s="839">
        <f t="shared" ca="1" si="699"/>
        <v>13074.554361200622</v>
      </c>
      <c r="AU917" s="844">
        <f ca="1">'PV-Einspeisung'!AA288*-1</f>
        <v>-447.83823311277501</v>
      </c>
      <c r="AV917" s="844">
        <f>'PV-Einspeisung'!AE288*-1</f>
        <v>-2308.7031412513061</v>
      </c>
      <c r="AW917" s="839"/>
      <c r="AX917" s="839">
        <f t="shared" ca="1" si="704"/>
        <v>0</v>
      </c>
      <c r="AY917" s="841">
        <f t="shared" si="688"/>
        <v>17</v>
      </c>
      <c r="AZ917" s="842">
        <f t="shared" ca="1" si="705"/>
        <v>0</v>
      </c>
      <c r="BA917" s="842">
        <f t="shared" ca="1" si="706"/>
        <v>0</v>
      </c>
      <c r="BB917" s="842">
        <f t="shared" ca="1" si="707"/>
        <v>0</v>
      </c>
      <c r="BC917" s="842">
        <f t="shared" ca="1" si="708"/>
        <v>0</v>
      </c>
      <c r="BD917" s="842">
        <f t="shared" ca="1" si="709"/>
        <v>0</v>
      </c>
      <c r="BE917" s="842">
        <f t="shared" ca="1" si="710"/>
        <v>0</v>
      </c>
      <c r="BF917" s="842">
        <f t="shared" ca="1" si="711"/>
        <v>9584.8784518693883</v>
      </c>
      <c r="BG917" s="842">
        <f t="shared" ca="1" si="712"/>
        <v>3489.6759093312348</v>
      </c>
      <c r="BH917" s="858">
        <f t="shared" si="696"/>
        <v>17</v>
      </c>
      <c r="BI917" s="857">
        <f t="shared" ca="1" si="713"/>
        <v>3862.7723636252153</v>
      </c>
      <c r="BJ917" s="857">
        <f t="shared" ca="1" si="714"/>
        <v>6346.296245124342</v>
      </c>
      <c r="BK917" s="859">
        <f ca="1">'PV-Einspeisung'!AB288*-1</f>
        <v>0</v>
      </c>
      <c r="BL917" s="824">
        <f t="shared" ca="1" si="673"/>
        <v>50</v>
      </c>
      <c r="BM917" s="824">
        <f t="shared" ca="1" si="674"/>
        <v>0</v>
      </c>
      <c r="BN917" s="824">
        <f t="shared" ca="1" si="675"/>
        <v>91980</v>
      </c>
      <c r="BO917" s="824">
        <f t="shared" ca="1" si="722"/>
        <v>0</v>
      </c>
      <c r="BP917" s="824">
        <f t="shared" ca="1" si="722"/>
        <v>0</v>
      </c>
      <c r="BQ917" s="824">
        <f t="shared" ca="1" si="722"/>
        <v>0</v>
      </c>
      <c r="BR917" s="824">
        <f t="shared" ca="1" si="722"/>
        <v>0</v>
      </c>
      <c r="BS917" s="824">
        <f t="shared" ca="1" si="722"/>
        <v>0</v>
      </c>
      <c r="BT917" s="824">
        <f t="shared" ca="1" si="722"/>
        <v>0</v>
      </c>
      <c r="BU917" s="824">
        <f t="shared" ca="1" si="722"/>
        <v>0</v>
      </c>
      <c r="BV917" s="824">
        <f t="shared" ca="1" si="722"/>
        <v>0</v>
      </c>
      <c r="BW917" s="824">
        <f t="shared" ca="1" si="722"/>
        <v>0</v>
      </c>
      <c r="BX917" s="824">
        <f t="shared" ca="1" si="722"/>
        <v>0</v>
      </c>
      <c r="BY917" s="824">
        <f t="shared" ca="1" si="722"/>
        <v>0</v>
      </c>
      <c r="BZ917" s="824">
        <f t="shared" ca="1" si="722"/>
        <v>0</v>
      </c>
      <c r="CA917" s="824">
        <f t="shared" ca="1" si="722"/>
        <v>0</v>
      </c>
      <c r="CB917" s="824">
        <f t="shared" ca="1" si="722"/>
        <v>0</v>
      </c>
      <c r="CC917" s="824">
        <f t="shared" ca="1" si="722"/>
        <v>0</v>
      </c>
      <c r="CD917" s="824">
        <f t="shared" ca="1" si="722"/>
        <v>0</v>
      </c>
      <c r="CE917" s="824">
        <f t="shared" ca="1" si="715"/>
        <v>0</v>
      </c>
      <c r="CF917" s="824">
        <f t="shared" ca="1" si="715"/>
        <v>0</v>
      </c>
      <c r="CG917" s="824">
        <f t="shared" ca="1" si="715"/>
        <v>0</v>
      </c>
      <c r="CH917" s="824">
        <f t="shared" ca="1" si="715"/>
        <v>0</v>
      </c>
      <c r="CI917" s="824">
        <f t="shared" ca="1" si="715"/>
        <v>0</v>
      </c>
      <c r="CJ917" s="824">
        <f t="shared" ca="1" si="715"/>
        <v>0</v>
      </c>
      <c r="CK917" s="824">
        <f t="shared" ca="1" si="715"/>
        <v>0</v>
      </c>
      <c r="CL917" s="824">
        <f t="shared" ca="1" si="715"/>
        <v>0</v>
      </c>
      <c r="CM917" s="824">
        <f t="shared" ca="1" si="715"/>
        <v>0</v>
      </c>
      <c r="CN917" s="824">
        <f t="shared" ca="1" si="715"/>
        <v>0</v>
      </c>
      <c r="CO917" s="824">
        <f t="shared" ca="1" si="715"/>
        <v>0</v>
      </c>
      <c r="CP917" s="824">
        <f t="shared" ca="1" si="715"/>
        <v>0</v>
      </c>
      <c r="CQ917" s="824">
        <f t="shared" ca="1" si="715"/>
        <v>0</v>
      </c>
      <c r="CR917" s="824">
        <f t="shared" ca="1" si="715"/>
        <v>0</v>
      </c>
      <c r="CS917" s="824">
        <f t="shared" ca="1" si="715"/>
        <v>0</v>
      </c>
      <c r="CT917" s="824">
        <f t="shared" ca="1" si="715"/>
        <v>0</v>
      </c>
      <c r="CU917" s="824">
        <f t="shared" ca="1" si="700"/>
        <v>0</v>
      </c>
      <c r="CV917" s="824">
        <f t="shared" ca="1" si="700"/>
        <v>0</v>
      </c>
      <c r="CW917" s="824">
        <f t="shared" ca="1" si="700"/>
        <v>0</v>
      </c>
      <c r="CX917" s="824">
        <f t="shared" ca="1" si="700"/>
        <v>0</v>
      </c>
      <c r="CY917" s="824">
        <f t="shared" ca="1" si="700"/>
        <v>0</v>
      </c>
      <c r="CZ917" s="824">
        <f t="shared" ca="1" si="700"/>
        <v>0</v>
      </c>
      <c r="DA917" s="824">
        <f t="shared" ca="1" si="701"/>
        <v>0</v>
      </c>
      <c r="DB917" s="824">
        <f t="shared" ca="1" si="701"/>
        <v>0</v>
      </c>
      <c r="DC917" s="824">
        <f t="shared" ca="1" si="701"/>
        <v>0</v>
      </c>
      <c r="DD917" s="824">
        <f t="shared" ca="1" si="701"/>
        <v>0</v>
      </c>
      <c r="DE917" s="824">
        <f t="shared" ca="1" si="701"/>
        <v>0</v>
      </c>
      <c r="DF917" s="824">
        <f t="shared" ca="1" si="701"/>
        <v>0</v>
      </c>
      <c r="DG917" s="824">
        <f t="shared" ca="1" si="701"/>
        <v>0</v>
      </c>
      <c r="DH917" s="824">
        <f t="shared" ca="1" si="701"/>
        <v>0</v>
      </c>
      <c r="DI917" s="824">
        <f t="shared" ca="1" si="701"/>
        <v>0</v>
      </c>
      <c r="DJ917" s="824">
        <f t="shared" ca="1" si="701"/>
        <v>0</v>
      </c>
      <c r="DK917" s="824">
        <f t="shared" ca="1" si="701"/>
        <v>0</v>
      </c>
      <c r="DL917" s="824">
        <f t="shared" ca="1" si="701"/>
        <v>0</v>
      </c>
    </row>
    <row r="918" spans="2:116" ht="12" thickBot="1" x14ac:dyDescent="0.3">
      <c r="B918" s="1673"/>
      <c r="C918" s="1680"/>
      <c r="D918" s="15" t="s">
        <v>129</v>
      </c>
      <c r="E918" s="116"/>
      <c r="F918" s="116">
        <f ca="1">SUBTOTAL(109,'3.5 I&amp;W'!$X$77)</f>
        <v>0</v>
      </c>
      <c r="G918" s="116">
        <f ca="1">SUBTOTAL(109,'3.5 I&amp;W'!$Y$77)</f>
        <v>0</v>
      </c>
      <c r="H918" s="116">
        <f ca="1">SUBTOTAL(109,'3.5 I&amp;W'!$AD$77)</f>
        <v>0</v>
      </c>
      <c r="I918" s="116">
        <f ca="1">SUBTOTAL(109,'3.5 I&amp;W'!$AE$77)</f>
        <v>0</v>
      </c>
      <c r="J918" s="116"/>
      <c r="K918" s="116"/>
      <c r="L918" s="116"/>
      <c r="M918" s="116">
        <f ca="1">SUBTOTAL(109,'3.5 I&amp;W'!$AI$77)</f>
        <v>80</v>
      </c>
      <c r="N918" s="156">
        <f t="shared" ca="1" si="677"/>
        <v>0</v>
      </c>
      <c r="O918" s="116">
        <f ca="1">SUBTOTAL(109,'3.5 I&amp;W'!$S$77)</f>
        <v>14448</v>
      </c>
      <c r="P918" s="30">
        <f t="shared" ca="1" si="717"/>
        <v>0</v>
      </c>
      <c r="Q918" s="31">
        <f t="shared" ca="1" si="718"/>
        <v>0</v>
      </c>
      <c r="R918" s="31">
        <f t="shared" ca="1" si="719"/>
        <v>0</v>
      </c>
      <c r="S918" s="31">
        <f t="shared" ca="1" si="720"/>
        <v>0</v>
      </c>
      <c r="T918" s="32">
        <f t="shared" ca="1" si="721"/>
        <v>0</v>
      </c>
      <c r="U918" s="37">
        <f t="shared" ca="1" si="678"/>
        <v>4063.7244137710095</v>
      </c>
      <c r="V918" s="40">
        <f t="shared" ca="1" si="671"/>
        <v>0</v>
      </c>
      <c r="W918" s="41">
        <f t="shared" ca="1" si="672"/>
        <v>0</v>
      </c>
      <c r="X918" s="43"/>
      <c r="Y918" s="46"/>
      <c r="Z918" s="126"/>
      <c r="AA918" s="136"/>
      <c r="AB918" s="131">
        <v>18</v>
      </c>
      <c r="AC918" s="168">
        <f ca="1">IF(AF917&lt;=1,0,'3.5 Fi&amp;Fo'!$I$25)</f>
        <v>46174.624633000763</v>
      </c>
      <c r="AD918" s="169">
        <f ca="1">IF(AF917&lt;=1,0,AF917*'3.5 Fi&amp;Fo'!$H$25)</f>
        <v>13845.028310686692</v>
      </c>
      <c r="AE918" s="169">
        <f t="shared" ca="1" si="681"/>
        <v>32329.596322314072</v>
      </c>
      <c r="AF918" s="170">
        <f t="shared" ca="1" si="682"/>
        <v>659921.81921202049</v>
      </c>
      <c r="AG918" s="168">
        <f>IF(AJ917&lt;=1,0,IF(AB918&lt;='3.5 Fi&amp;Fo'!$F$34,'3.5 Fi&amp;Fo'!$J$34,IF(AB918&lt;='3.5 Fi&amp;Fo'!$F$35,'3.5 Fi&amp;Fo'!$J$35,IF(AB918&lt;='3.5 Fi&amp;Fo'!$F$36,'3.5 Fi&amp;Fo'!$J$36,IF(AB918&lt;='3.5 Fi&amp;Fo'!$F$37,'3.5 Fi&amp;Fo'!$J$37,IF(AB918&lt;='3.5 Fi&amp;Fo'!$F$38,'3.5 Fi&amp;Fo'!$J$38,IF(AB918&lt;='3.5 Fi&amp;Fo'!$F$39,'3.5 Fi&amp;Fo'!$J$39,IF(AB918&lt;='3.5 Fi&amp;Fo'!$F$40,'3.5 Fi&amp;Fo'!$J$40))))))))</f>
        <v>85390.59</v>
      </c>
      <c r="AH918" s="203">
        <f>IF(AJ917&lt;=1,0,AJ917*IF(AB918&lt;='3.5 Fi&amp;Fo'!$F$34,'3.5 Fi&amp;Fo'!$I$34,IF(AB918&lt;='3.5 Fi&amp;Fo'!$F$35,'3.5 Fi&amp;Fo'!$I$35,IF(AB918&lt;='3.5 Fi&amp;Fo'!$F$38,'3.5 Fi&amp;Fo'!$I$38,IF(AB918&lt;='3.5 Fi&amp;Fo'!$F$39,'3.5 Fi&amp;Fo'!$I$39,IF(AB918&lt;='3.5 Fi&amp;Fo'!$F$40,'3.5 Fi&amp;Fo'!$I$40))))))</f>
        <v>119444.35870204303</v>
      </c>
      <c r="AI918" s="203">
        <f t="shared" si="683"/>
        <v>-34053.768702043031</v>
      </c>
      <c r="AJ918" s="204">
        <f t="shared" si="684"/>
        <v>2205769.3814664618</v>
      </c>
      <c r="AK918" s="312">
        <f t="shared" ca="1" si="685"/>
        <v>-162780.33820802622</v>
      </c>
      <c r="AL918" s="169">
        <f>IF(AB918&lt;='3.5 Fi&amp;Fo'!$J$15,'3.5 Fi&amp;Fo'!$I$15,0)</f>
        <v>0</v>
      </c>
      <c r="AM918" s="169">
        <f t="shared" si="697"/>
        <v>31215.123575025471</v>
      </c>
      <c r="AN918" s="838">
        <f t="shared" si="702"/>
        <v>18</v>
      </c>
      <c r="AO918" s="844">
        <f t="shared" ca="1" si="686"/>
        <v>162780.33820802622</v>
      </c>
      <c r="AP918" s="839">
        <f ca="1">CF1005</f>
        <v>0</v>
      </c>
      <c r="AQ918" s="844">
        <f t="shared" si="687"/>
        <v>0</v>
      </c>
      <c r="AR918" s="839">
        <f t="shared" ca="1" si="703"/>
        <v>0</v>
      </c>
      <c r="AS918" s="839">
        <f t="shared" ca="1" si="698"/>
        <v>10372.413706489551</v>
      </c>
      <c r="AT918" s="839">
        <f t="shared" ca="1" si="699"/>
        <v>13436.31497932395</v>
      </c>
      <c r="AU918" s="844">
        <f ca="1">'PV-Einspeisung'!AA289*-1</f>
        <v>-459.03418894059439</v>
      </c>
      <c r="AV918" s="844">
        <f>'PV-Einspeisung'!AE289*-1</f>
        <v>-2366.4207197825885</v>
      </c>
      <c r="AW918" s="839"/>
      <c r="AX918" s="839">
        <f t="shared" ca="1" si="704"/>
        <v>0</v>
      </c>
      <c r="AY918" s="841">
        <f t="shared" si="688"/>
        <v>18</v>
      </c>
      <c r="AZ918" s="842">
        <f t="shared" ca="1" si="705"/>
        <v>0</v>
      </c>
      <c r="BA918" s="842">
        <f t="shared" ca="1" si="706"/>
        <v>0</v>
      </c>
      <c r="BB918" s="842">
        <f t="shared" ca="1" si="707"/>
        <v>0</v>
      </c>
      <c r="BC918" s="842">
        <f t="shared" ca="1" si="708"/>
        <v>0</v>
      </c>
      <c r="BD918" s="842">
        <f t="shared" ca="1" si="709"/>
        <v>0</v>
      </c>
      <c r="BE918" s="842">
        <f t="shared" ca="1" si="710"/>
        <v>0</v>
      </c>
      <c r="BF918" s="842">
        <f t="shared" ca="1" si="711"/>
        <v>9824.5004131661226</v>
      </c>
      <c r="BG918" s="842">
        <f t="shared" ca="1" si="712"/>
        <v>3611.8145661578278</v>
      </c>
      <c r="BH918" s="858">
        <f t="shared" si="696"/>
        <v>18</v>
      </c>
      <c r="BI918" s="857">
        <f t="shared" ca="1" si="713"/>
        <v>3924.576721443219</v>
      </c>
      <c r="BJ918" s="857">
        <f t="shared" ca="1" si="714"/>
        <v>6447.8369850463314</v>
      </c>
      <c r="BK918" s="859">
        <f ca="1">'PV-Einspeisung'!AB289*-1</f>
        <v>0</v>
      </c>
      <c r="BL918" s="824">
        <f t="shared" ca="1" si="673"/>
        <v>80</v>
      </c>
      <c r="BM918" s="824">
        <f t="shared" ca="1" si="674"/>
        <v>0</v>
      </c>
      <c r="BN918" s="824">
        <f t="shared" ca="1" si="675"/>
        <v>14448</v>
      </c>
      <c r="BO918" s="824">
        <f t="shared" ca="1" si="722"/>
        <v>0</v>
      </c>
      <c r="BP918" s="824">
        <f t="shared" ca="1" si="722"/>
        <v>0</v>
      </c>
      <c r="BQ918" s="824">
        <f t="shared" ca="1" si="722"/>
        <v>0</v>
      </c>
      <c r="BR918" s="824">
        <f t="shared" ca="1" si="722"/>
        <v>0</v>
      </c>
      <c r="BS918" s="824">
        <f t="shared" ca="1" si="722"/>
        <v>0</v>
      </c>
      <c r="BT918" s="824">
        <f t="shared" ca="1" si="722"/>
        <v>0</v>
      </c>
      <c r="BU918" s="824">
        <f t="shared" ca="1" si="722"/>
        <v>0</v>
      </c>
      <c r="BV918" s="824">
        <f t="shared" ca="1" si="722"/>
        <v>0</v>
      </c>
      <c r="BW918" s="824">
        <f t="shared" ca="1" si="722"/>
        <v>0</v>
      </c>
      <c r="BX918" s="824">
        <f t="shared" ca="1" si="722"/>
        <v>0</v>
      </c>
      <c r="BY918" s="824">
        <f t="shared" ca="1" si="722"/>
        <v>0</v>
      </c>
      <c r="BZ918" s="824">
        <f t="shared" ca="1" si="722"/>
        <v>0</v>
      </c>
      <c r="CA918" s="824">
        <f t="shared" ca="1" si="722"/>
        <v>0</v>
      </c>
      <c r="CB918" s="824">
        <f t="shared" ca="1" si="722"/>
        <v>0</v>
      </c>
      <c r="CC918" s="824">
        <f t="shared" ca="1" si="722"/>
        <v>0</v>
      </c>
      <c r="CD918" s="824">
        <f t="shared" ca="1" si="722"/>
        <v>0</v>
      </c>
      <c r="CE918" s="824">
        <f t="shared" ca="1" si="715"/>
        <v>0</v>
      </c>
      <c r="CF918" s="824">
        <f t="shared" ca="1" si="715"/>
        <v>0</v>
      </c>
      <c r="CG918" s="824">
        <f t="shared" ca="1" si="715"/>
        <v>0</v>
      </c>
      <c r="CH918" s="824">
        <f t="shared" ca="1" si="715"/>
        <v>0</v>
      </c>
      <c r="CI918" s="824">
        <f t="shared" ca="1" si="715"/>
        <v>0</v>
      </c>
      <c r="CJ918" s="824">
        <f t="shared" ca="1" si="715"/>
        <v>0</v>
      </c>
      <c r="CK918" s="824">
        <f t="shared" ca="1" si="715"/>
        <v>0</v>
      </c>
      <c r="CL918" s="824">
        <f t="shared" ca="1" si="715"/>
        <v>0</v>
      </c>
      <c r="CM918" s="824">
        <f t="shared" ca="1" si="715"/>
        <v>0</v>
      </c>
      <c r="CN918" s="824">
        <f t="shared" ca="1" si="715"/>
        <v>0</v>
      </c>
      <c r="CO918" s="824">
        <f t="shared" ca="1" si="715"/>
        <v>0</v>
      </c>
      <c r="CP918" s="824">
        <f t="shared" ca="1" si="715"/>
        <v>0</v>
      </c>
      <c r="CQ918" s="824">
        <f t="shared" ca="1" si="715"/>
        <v>0</v>
      </c>
      <c r="CR918" s="824">
        <f t="shared" ca="1" si="715"/>
        <v>0</v>
      </c>
      <c r="CS918" s="824">
        <f t="shared" ca="1" si="715"/>
        <v>0</v>
      </c>
      <c r="CT918" s="824">
        <f t="shared" ca="1" si="715"/>
        <v>0</v>
      </c>
      <c r="CU918" s="824">
        <f t="shared" ca="1" si="700"/>
        <v>0</v>
      </c>
      <c r="CV918" s="824">
        <f t="shared" ca="1" si="700"/>
        <v>0</v>
      </c>
      <c r="CW918" s="824">
        <f t="shared" ca="1" si="700"/>
        <v>0</v>
      </c>
      <c r="CX918" s="824">
        <f t="shared" ca="1" si="700"/>
        <v>0</v>
      </c>
      <c r="CY918" s="824">
        <f t="shared" ca="1" si="700"/>
        <v>0</v>
      </c>
      <c r="CZ918" s="824">
        <f t="shared" ca="1" si="700"/>
        <v>0</v>
      </c>
      <c r="DA918" s="824">
        <f t="shared" ca="1" si="701"/>
        <v>0</v>
      </c>
      <c r="DB918" s="824">
        <f t="shared" ca="1" si="701"/>
        <v>0</v>
      </c>
      <c r="DC918" s="824">
        <f t="shared" ca="1" si="701"/>
        <v>0</v>
      </c>
      <c r="DD918" s="824">
        <f t="shared" ca="1" si="701"/>
        <v>0</v>
      </c>
      <c r="DE918" s="824">
        <f t="shared" ca="1" si="701"/>
        <v>0</v>
      </c>
      <c r="DF918" s="824">
        <f t="shared" ca="1" si="701"/>
        <v>0</v>
      </c>
      <c r="DG918" s="824">
        <f t="shared" ca="1" si="701"/>
        <v>0</v>
      </c>
      <c r="DH918" s="824">
        <f t="shared" ca="1" si="701"/>
        <v>0</v>
      </c>
      <c r="DI918" s="824">
        <f t="shared" ca="1" si="701"/>
        <v>0</v>
      </c>
      <c r="DJ918" s="824">
        <f t="shared" ca="1" si="701"/>
        <v>0</v>
      </c>
      <c r="DK918" s="824">
        <f t="shared" ca="1" si="701"/>
        <v>0</v>
      </c>
      <c r="DL918" s="824">
        <f t="shared" ca="1" si="701"/>
        <v>0</v>
      </c>
    </row>
    <row r="919" spans="2:116" ht="12" thickBot="1" x14ac:dyDescent="0.3">
      <c r="B919" s="1673"/>
      <c r="C919" s="1680"/>
      <c r="D919" s="15" t="s">
        <v>129</v>
      </c>
      <c r="E919" s="165"/>
      <c r="F919" s="116">
        <f ca="1">SUBTOTAL(109,'3.5 I&amp;W'!$X$78)</f>
        <v>0</v>
      </c>
      <c r="G919" s="116">
        <f ca="1">SUBTOTAL(109,'3.5 I&amp;W'!$Y$78)</f>
        <v>0</v>
      </c>
      <c r="H919" s="116">
        <f ca="1">SUBTOTAL(109,'3.5 I&amp;W'!$AD$78)</f>
        <v>0</v>
      </c>
      <c r="I919" s="116">
        <f ca="1">SUBTOTAL(109,'3.5 I&amp;W'!$AE$78)</f>
        <v>0</v>
      </c>
      <c r="J919" s="116"/>
      <c r="K919" s="116"/>
      <c r="L919" s="116"/>
      <c r="M919" s="116">
        <f ca="1">SUBTOTAL(109,'3.5 I&amp;W'!$AI$78)</f>
        <v>100</v>
      </c>
      <c r="N919" s="156">
        <f t="shared" ca="1" si="677"/>
        <v>0</v>
      </c>
      <c r="O919" s="116">
        <f ca="1">SUBTOTAL(109,'3.5 I&amp;W'!$S$78)</f>
        <v>3055.2</v>
      </c>
      <c r="P919" s="30">
        <f t="shared" ca="1" si="717"/>
        <v>0</v>
      </c>
      <c r="Q919" s="31">
        <f t="shared" ca="1" si="718"/>
        <v>0</v>
      </c>
      <c r="R919" s="31">
        <f t="shared" ca="1" si="719"/>
        <v>0</v>
      </c>
      <c r="S919" s="31">
        <f t="shared" ca="1" si="720"/>
        <v>0</v>
      </c>
      <c r="T919" s="32">
        <f t="shared" ca="1" si="721"/>
        <v>0</v>
      </c>
      <c r="U919" s="37">
        <f t="shared" ca="1" si="678"/>
        <v>992.99483681796153</v>
      </c>
      <c r="V919" s="40">
        <f t="shared" ca="1" si="671"/>
        <v>0</v>
      </c>
      <c r="W919" s="41">
        <f t="shared" ca="1" si="672"/>
        <v>0</v>
      </c>
      <c r="X919" s="43"/>
      <c r="Y919" s="46"/>
      <c r="Z919" s="126"/>
      <c r="AA919" s="136"/>
      <c r="AB919" s="131">
        <v>19</v>
      </c>
      <c r="AC919" s="168">
        <f ca="1">IF(AF918&lt;=1,0,'3.5 Fi&amp;Fo'!$I$25)</f>
        <v>46174.624633000763</v>
      </c>
      <c r="AD919" s="169">
        <f ca="1">IF(AF918&lt;=1,0,AF918*'3.5 Fi&amp;Fo'!$H$25)</f>
        <v>13198.436384240411</v>
      </c>
      <c r="AE919" s="169">
        <f t="shared" ca="1" si="681"/>
        <v>32976.188248760351</v>
      </c>
      <c r="AF919" s="170">
        <f t="shared" ca="1" si="682"/>
        <v>626945.63096326019</v>
      </c>
      <c r="AG919" s="168">
        <f>IF(AJ918&lt;=1,0,IF(AB919&lt;='3.5 Fi&amp;Fo'!$F$34,'3.5 Fi&amp;Fo'!$J$34,IF(AB919&lt;='3.5 Fi&amp;Fo'!$F$35,'3.5 Fi&amp;Fo'!$J$35,IF(AB919&lt;='3.5 Fi&amp;Fo'!$F$36,'3.5 Fi&amp;Fo'!$J$36,IF(AB919&lt;='3.5 Fi&amp;Fo'!$F$37,'3.5 Fi&amp;Fo'!$J$37,IF(AB919&lt;='3.5 Fi&amp;Fo'!$F$38,'3.5 Fi&amp;Fo'!$J$38,IF(AB919&lt;='3.5 Fi&amp;Fo'!$F$39,'3.5 Fi&amp;Fo'!$J$39,IF(AB919&lt;='3.5 Fi&amp;Fo'!$F$40,'3.5 Fi&amp;Fo'!$J$40))))))))</f>
        <v>85390.59</v>
      </c>
      <c r="AH919" s="203">
        <f>IF(AJ918&lt;=1,0,AJ918*IF(AB919&lt;='3.5 Fi&amp;Fo'!$F$34,'3.5 Fi&amp;Fo'!$I$34,IF(AB919&lt;='3.5 Fi&amp;Fo'!$F$35,'3.5 Fi&amp;Fo'!$I$35,IF(AB919&lt;='3.5 Fi&amp;Fo'!$F$38,'3.5 Fi&amp;Fo'!$I$38,IF(AB919&lt;='3.5 Fi&amp;Fo'!$F$39,'3.5 Fi&amp;Fo'!$I$39,IF(AB919&lt;='3.5 Fi&amp;Fo'!$F$40,'3.5 Fi&amp;Fo'!$I$40))))))</f>
        <v>121317.3159806554</v>
      </c>
      <c r="AI919" s="203">
        <f t="shared" si="683"/>
        <v>-35926.725980655407</v>
      </c>
      <c r="AJ919" s="204">
        <f t="shared" si="684"/>
        <v>2241696.1074471171</v>
      </c>
      <c r="AK919" s="312">
        <f t="shared" ca="1" si="685"/>
        <v>-163404.64067952681</v>
      </c>
      <c r="AL919" s="169">
        <f>IF(AB919&lt;='3.5 Fi&amp;Fo'!$J$15,'3.5 Fi&amp;Fo'!$I$15,0)</f>
        <v>0</v>
      </c>
      <c r="AM919" s="169">
        <f t="shared" si="697"/>
        <v>31839.42604652606</v>
      </c>
      <c r="AN919" s="838">
        <f t="shared" si="702"/>
        <v>19</v>
      </c>
      <c r="AO919" s="844">
        <f t="shared" ca="1" si="686"/>
        <v>163404.64067952681</v>
      </c>
      <c r="AP919" s="839">
        <f ca="1">CG1005</f>
        <v>0</v>
      </c>
      <c r="AQ919" s="844">
        <f t="shared" si="687"/>
        <v>0</v>
      </c>
      <c r="AR919" s="839">
        <f t="shared" ca="1" si="703"/>
        <v>0</v>
      </c>
      <c r="AS919" s="839">
        <f t="shared" ca="1" si="698"/>
        <v>10538.372325793383</v>
      </c>
      <c r="AT919" s="839">
        <f t="shared" ca="1" si="699"/>
        <v>13808.340999468626</v>
      </c>
      <c r="AU919" s="844">
        <f ca="1">'PV-Einspeisung'!AA290*-1</f>
        <v>-470.51004366410922</v>
      </c>
      <c r="AV919" s="844">
        <f>'PV-Einspeisung'!AE290*-1</f>
        <v>-2425.5812377771531</v>
      </c>
      <c r="AW919" s="839"/>
      <c r="AX919" s="839">
        <f t="shared" ca="1" si="704"/>
        <v>0</v>
      </c>
      <c r="AY919" s="841">
        <f t="shared" si="688"/>
        <v>19</v>
      </c>
      <c r="AZ919" s="842">
        <f t="shared" ca="1" si="705"/>
        <v>0</v>
      </c>
      <c r="BA919" s="842">
        <f t="shared" ca="1" si="706"/>
        <v>0</v>
      </c>
      <c r="BB919" s="842">
        <f t="shared" ca="1" si="707"/>
        <v>0</v>
      </c>
      <c r="BC919" s="842">
        <f t="shared" ca="1" si="708"/>
        <v>0</v>
      </c>
      <c r="BD919" s="842">
        <f t="shared" ca="1" si="709"/>
        <v>0</v>
      </c>
      <c r="BE919" s="842">
        <f t="shared" ca="1" si="710"/>
        <v>0</v>
      </c>
      <c r="BF919" s="842">
        <f t="shared" ca="1" si="711"/>
        <v>10070.112923495275</v>
      </c>
      <c r="BG919" s="842">
        <f t="shared" ca="1" si="712"/>
        <v>3738.2280759733517</v>
      </c>
      <c r="BH919" s="858">
        <f t="shared" si="696"/>
        <v>19</v>
      </c>
      <c r="BI919" s="857">
        <f t="shared" ca="1" si="713"/>
        <v>3987.3699489863106</v>
      </c>
      <c r="BJ919" s="857">
        <f t="shared" ca="1" si="714"/>
        <v>6551.0023768070732</v>
      </c>
      <c r="BK919" s="859">
        <f ca="1">'PV-Einspeisung'!AB290*-1</f>
        <v>0</v>
      </c>
      <c r="BL919" s="824">
        <f t="shared" ca="1" si="673"/>
        <v>100</v>
      </c>
      <c r="BM919" s="824">
        <f t="shared" ca="1" si="674"/>
        <v>0</v>
      </c>
      <c r="BN919" s="824">
        <f t="shared" ca="1" si="675"/>
        <v>3055.2</v>
      </c>
      <c r="BO919" s="824">
        <f t="shared" ca="1" si="722"/>
        <v>0</v>
      </c>
      <c r="BP919" s="824">
        <f t="shared" ca="1" si="722"/>
        <v>0</v>
      </c>
      <c r="BQ919" s="824">
        <f t="shared" ca="1" si="722"/>
        <v>0</v>
      </c>
      <c r="BR919" s="824">
        <f t="shared" ca="1" si="722"/>
        <v>0</v>
      </c>
      <c r="BS919" s="824">
        <f t="shared" ca="1" si="722"/>
        <v>0</v>
      </c>
      <c r="BT919" s="824">
        <f t="shared" ca="1" si="722"/>
        <v>0</v>
      </c>
      <c r="BU919" s="824">
        <f t="shared" ca="1" si="722"/>
        <v>0</v>
      </c>
      <c r="BV919" s="824">
        <f t="shared" ca="1" si="722"/>
        <v>0</v>
      </c>
      <c r="BW919" s="824">
        <f t="shared" ca="1" si="722"/>
        <v>0</v>
      </c>
      <c r="BX919" s="824">
        <f t="shared" ca="1" si="722"/>
        <v>0</v>
      </c>
      <c r="BY919" s="824">
        <f t="shared" ca="1" si="722"/>
        <v>0</v>
      </c>
      <c r="BZ919" s="824">
        <f t="shared" ca="1" si="722"/>
        <v>0</v>
      </c>
      <c r="CA919" s="824">
        <f t="shared" ca="1" si="722"/>
        <v>0</v>
      </c>
      <c r="CB919" s="824">
        <f t="shared" ca="1" si="722"/>
        <v>0</v>
      </c>
      <c r="CC919" s="824">
        <f t="shared" ca="1" si="722"/>
        <v>0</v>
      </c>
      <c r="CD919" s="824">
        <f t="shared" ca="1" si="722"/>
        <v>0</v>
      </c>
      <c r="CE919" s="824">
        <f t="shared" ca="1" si="715"/>
        <v>0</v>
      </c>
      <c r="CF919" s="824">
        <f t="shared" ca="1" si="715"/>
        <v>0</v>
      </c>
      <c r="CG919" s="824">
        <f t="shared" ca="1" si="715"/>
        <v>0</v>
      </c>
      <c r="CH919" s="824">
        <f t="shared" ca="1" si="715"/>
        <v>0</v>
      </c>
      <c r="CI919" s="824">
        <f t="shared" ca="1" si="715"/>
        <v>0</v>
      </c>
      <c r="CJ919" s="824">
        <f t="shared" ca="1" si="715"/>
        <v>0</v>
      </c>
      <c r="CK919" s="824">
        <f t="shared" ca="1" si="715"/>
        <v>0</v>
      </c>
      <c r="CL919" s="824">
        <f t="shared" ca="1" si="715"/>
        <v>0</v>
      </c>
      <c r="CM919" s="824">
        <f t="shared" ca="1" si="715"/>
        <v>0</v>
      </c>
      <c r="CN919" s="824">
        <f t="shared" ca="1" si="715"/>
        <v>0</v>
      </c>
      <c r="CO919" s="824">
        <f t="shared" ca="1" si="715"/>
        <v>0</v>
      </c>
      <c r="CP919" s="824">
        <f t="shared" ca="1" si="715"/>
        <v>0</v>
      </c>
      <c r="CQ919" s="824">
        <f t="shared" ref="CQ919:DF947" ca="1" si="723">IF(OR(IF($BL919*1&lt;$BL$196,$BL919*1=CQ$198,FALSE),IF($BL919*2&lt;$BL$196,$BL919*2=CQ$198,FALSE),IF($BL919*3&lt;$BL$196,$BL919*3=CQ$198,FALSE),IF($BL919*4&lt;$BL$196,$BL919*4=CQ$198,FALSE),IF($BL919*5&lt;$BL$196,$BL919*5=CQ$198,FALSE)),$BN919*$BM$196^CQ$198,0)</f>
        <v>0</v>
      </c>
      <c r="CR919" s="824">
        <f t="shared" ca="1" si="723"/>
        <v>0</v>
      </c>
      <c r="CS919" s="824">
        <f t="shared" ca="1" si="723"/>
        <v>0</v>
      </c>
      <c r="CT919" s="824">
        <f t="shared" ca="1" si="723"/>
        <v>0</v>
      </c>
      <c r="CU919" s="824">
        <f t="shared" ca="1" si="700"/>
        <v>0</v>
      </c>
      <c r="CV919" s="824">
        <f t="shared" ca="1" si="700"/>
        <v>0</v>
      </c>
      <c r="CW919" s="824">
        <f t="shared" ca="1" si="700"/>
        <v>0</v>
      </c>
      <c r="CX919" s="824">
        <f t="shared" ca="1" si="700"/>
        <v>0</v>
      </c>
      <c r="CY919" s="824">
        <f t="shared" ca="1" si="700"/>
        <v>0</v>
      </c>
      <c r="CZ919" s="824">
        <f t="shared" ca="1" si="700"/>
        <v>0</v>
      </c>
      <c r="DA919" s="824">
        <f t="shared" ca="1" si="701"/>
        <v>0</v>
      </c>
      <c r="DB919" s="824">
        <f t="shared" ca="1" si="701"/>
        <v>0</v>
      </c>
      <c r="DC919" s="824">
        <f t="shared" ca="1" si="701"/>
        <v>0</v>
      </c>
      <c r="DD919" s="824">
        <f t="shared" ca="1" si="701"/>
        <v>0</v>
      </c>
      <c r="DE919" s="824">
        <f t="shared" ca="1" si="701"/>
        <v>0</v>
      </c>
      <c r="DF919" s="824">
        <f t="shared" ca="1" si="701"/>
        <v>0</v>
      </c>
      <c r="DG919" s="824">
        <f t="shared" ca="1" si="701"/>
        <v>0</v>
      </c>
      <c r="DH919" s="824">
        <f t="shared" ca="1" si="701"/>
        <v>0</v>
      </c>
      <c r="DI919" s="824">
        <f t="shared" ca="1" si="701"/>
        <v>0</v>
      </c>
      <c r="DJ919" s="824">
        <f t="shared" ca="1" si="701"/>
        <v>0</v>
      </c>
      <c r="DK919" s="824">
        <f t="shared" ca="1" si="701"/>
        <v>0</v>
      </c>
      <c r="DL919" s="824">
        <f t="shared" ca="1" si="701"/>
        <v>0</v>
      </c>
    </row>
    <row r="920" spans="2:116" ht="12" thickBot="1" x14ac:dyDescent="0.3">
      <c r="B920" s="1673"/>
      <c r="C920" s="1680"/>
      <c r="D920" s="15" t="s">
        <v>129</v>
      </c>
      <c r="E920" s="116"/>
      <c r="F920" s="116">
        <f ca="1">SUBTOTAL(109,'3.5 I&amp;W'!$X$79)</f>
        <v>0</v>
      </c>
      <c r="G920" s="116">
        <f ca="1">SUBTOTAL(109,'3.5 I&amp;W'!$Y$79)</f>
        <v>0</v>
      </c>
      <c r="H920" s="116">
        <f ca="1">SUBTOTAL(109,'3.5 I&amp;W'!$AD$79)</f>
        <v>0</v>
      </c>
      <c r="I920" s="116">
        <f ca="1">SUBTOTAL(109,'3.5 I&amp;W'!$AE$79)</f>
        <v>0</v>
      </c>
      <c r="J920" s="116"/>
      <c r="K920" s="116"/>
      <c r="L920" s="116"/>
      <c r="M920" s="116">
        <f ca="1">SUBTOTAL(109,'3.5 I&amp;W'!$AI$79)</f>
        <v>0</v>
      </c>
      <c r="N920" s="156">
        <f t="shared" ca="1" si="677"/>
        <v>0</v>
      </c>
      <c r="O920" s="116">
        <f ca="1">SUBTOTAL(109,'3.5 I&amp;W'!$S$79)</f>
        <v>0</v>
      </c>
      <c r="P920" s="30">
        <f t="shared" ca="1" si="717"/>
        <v>0</v>
      </c>
      <c r="Q920" s="31">
        <f t="shared" ca="1" si="718"/>
        <v>0</v>
      </c>
      <c r="R920" s="31">
        <f t="shared" ca="1" si="719"/>
        <v>0</v>
      </c>
      <c r="S920" s="31">
        <f t="shared" ca="1" si="720"/>
        <v>0</v>
      </c>
      <c r="T920" s="32">
        <f t="shared" ca="1" si="721"/>
        <v>0</v>
      </c>
      <c r="U920" s="37">
        <f t="shared" ca="1" si="678"/>
        <v>0</v>
      </c>
      <c r="V920" s="40">
        <f t="shared" ca="1" si="671"/>
        <v>0</v>
      </c>
      <c r="W920" s="41">
        <f t="shared" ca="1" si="672"/>
        <v>0</v>
      </c>
      <c r="X920" s="43"/>
      <c r="Y920" s="46"/>
      <c r="Z920" s="126"/>
      <c r="AA920" s="136"/>
      <c r="AB920" s="131">
        <v>20</v>
      </c>
      <c r="AC920" s="168">
        <f ca="1">IF(AF919&lt;=1,0,'3.5 Fi&amp;Fo'!$I$25)</f>
        <v>46174.624633000763</v>
      </c>
      <c r="AD920" s="169">
        <f ca="1">IF(AF919&lt;=1,0,AF919*'3.5 Fi&amp;Fo'!$H$25)</f>
        <v>12538.912619265204</v>
      </c>
      <c r="AE920" s="169">
        <f t="shared" ca="1" si="681"/>
        <v>33635.71201373556</v>
      </c>
      <c r="AF920" s="170">
        <f t="shared" ca="1" si="682"/>
        <v>593309.91894952464</v>
      </c>
      <c r="AG920" s="168">
        <f>IF(AJ919&lt;=1,0,IF(AB920&lt;='3.5 Fi&amp;Fo'!$F$34,'3.5 Fi&amp;Fo'!$J$34,IF(AB920&lt;='3.5 Fi&amp;Fo'!$F$35,'3.5 Fi&amp;Fo'!$J$35,IF(AB920&lt;='3.5 Fi&amp;Fo'!$F$36,'3.5 Fi&amp;Fo'!$J$36,IF(AB920&lt;='3.5 Fi&amp;Fo'!$F$37,'3.5 Fi&amp;Fo'!$J$37,IF(AB920&lt;='3.5 Fi&amp;Fo'!$F$38,'3.5 Fi&amp;Fo'!$J$38,IF(AB920&lt;='3.5 Fi&amp;Fo'!$F$39,'3.5 Fi&amp;Fo'!$J$39,IF(AB920&lt;='3.5 Fi&amp;Fo'!$F$40,'3.5 Fi&amp;Fo'!$J$40))))))))</f>
        <v>85390.59</v>
      </c>
      <c r="AH920" s="203">
        <f>IF(AJ919&lt;=1,0,AJ919*IF(AB920&lt;='3.5 Fi&amp;Fo'!$F$34,'3.5 Fi&amp;Fo'!$I$34,IF(AB920&lt;='3.5 Fi&amp;Fo'!$F$35,'3.5 Fi&amp;Fo'!$I$35,IF(AB920&lt;='3.5 Fi&amp;Fo'!$F$38,'3.5 Fi&amp;Fo'!$I$38,IF(AB920&lt;='3.5 Fi&amp;Fo'!$F$39,'3.5 Fi&amp;Fo'!$I$39,IF(AB920&lt;='3.5 Fi&amp;Fo'!$F$40,'3.5 Fi&amp;Fo'!$I$40))))))</f>
        <v>123293.28590959145</v>
      </c>
      <c r="AI920" s="203">
        <f t="shared" si="683"/>
        <v>-37902.69590959145</v>
      </c>
      <c r="AJ920" s="204">
        <f t="shared" si="684"/>
        <v>2279598.8033567085</v>
      </c>
      <c r="AK920" s="312">
        <f t="shared" ca="1" si="685"/>
        <v>-164041.42920045785</v>
      </c>
      <c r="AL920" s="169">
        <f>IF(AB920&lt;='3.5 Fi&amp;Fo'!$J$15,'3.5 Fi&amp;Fo'!$I$15,0)</f>
        <v>0</v>
      </c>
      <c r="AM920" s="169">
        <f t="shared" si="697"/>
        <v>32476.214567457093</v>
      </c>
      <c r="AN920" s="838">
        <f t="shared" si="702"/>
        <v>20</v>
      </c>
      <c r="AO920" s="844">
        <f t="shared" ca="1" si="686"/>
        <v>164041.42920045785</v>
      </c>
      <c r="AP920" s="839">
        <f ca="1">CH1005</f>
        <v>32983.937103226628</v>
      </c>
      <c r="AQ920" s="844">
        <f t="shared" si="687"/>
        <v>0</v>
      </c>
      <c r="AR920" s="839">
        <f t="shared" ca="1" si="703"/>
        <v>0</v>
      </c>
      <c r="AS920" s="839">
        <f t="shared" ca="1" si="698"/>
        <v>10706.986283006079</v>
      </c>
      <c r="AT920" s="839">
        <f t="shared" ca="1" si="699"/>
        <v>14190.931805215076</v>
      </c>
      <c r="AU920" s="844">
        <f ca="1">'PV-Einspeisung'!AA291*-1</f>
        <v>-482.27279475571191</v>
      </c>
      <c r="AV920" s="844">
        <f>'PV-Einspeisung'!AE291*-1</f>
        <v>-2486.2207687215819</v>
      </c>
      <c r="AW920" s="839"/>
      <c r="AX920" s="839">
        <f t="shared" ca="1" si="704"/>
        <v>0</v>
      </c>
      <c r="AY920" s="841">
        <f t="shared" si="688"/>
        <v>20</v>
      </c>
      <c r="AZ920" s="842">
        <f t="shared" ca="1" si="705"/>
        <v>0</v>
      </c>
      <c r="BA920" s="842">
        <f t="shared" ca="1" si="706"/>
        <v>0</v>
      </c>
      <c r="BB920" s="842">
        <f t="shared" ca="1" si="707"/>
        <v>0</v>
      </c>
      <c r="BC920" s="842">
        <f t="shared" ca="1" si="708"/>
        <v>0</v>
      </c>
      <c r="BD920" s="842">
        <f t="shared" ca="1" si="709"/>
        <v>0</v>
      </c>
      <c r="BE920" s="842">
        <f t="shared" ca="1" si="710"/>
        <v>0</v>
      </c>
      <c r="BF920" s="842">
        <f t="shared" ca="1" si="711"/>
        <v>10321.865746582656</v>
      </c>
      <c r="BG920" s="842">
        <f t="shared" ca="1" si="712"/>
        <v>3869.0660586324188</v>
      </c>
      <c r="BH920" s="858">
        <f t="shared" si="696"/>
        <v>20</v>
      </c>
      <c r="BI920" s="857">
        <f t="shared" ca="1" si="713"/>
        <v>4051.1678681700919</v>
      </c>
      <c r="BJ920" s="857">
        <f t="shared" ca="1" si="714"/>
        <v>6655.8184148359869</v>
      </c>
      <c r="BK920" s="859">
        <f ca="1">'PV-Einspeisung'!AB291*-1</f>
        <v>0</v>
      </c>
      <c r="BL920" s="824">
        <f t="shared" ca="1" si="673"/>
        <v>0</v>
      </c>
      <c r="BM920" s="824">
        <f t="shared" ca="1" si="674"/>
        <v>0</v>
      </c>
      <c r="BN920" s="824">
        <f t="shared" ca="1" si="675"/>
        <v>0</v>
      </c>
      <c r="BO920" s="824">
        <f t="shared" ca="1" si="722"/>
        <v>0</v>
      </c>
      <c r="BP920" s="824">
        <f t="shared" ca="1" si="722"/>
        <v>0</v>
      </c>
      <c r="BQ920" s="824">
        <f t="shared" ca="1" si="722"/>
        <v>0</v>
      </c>
      <c r="BR920" s="824">
        <f t="shared" ca="1" si="722"/>
        <v>0</v>
      </c>
      <c r="BS920" s="824">
        <f t="shared" ca="1" si="722"/>
        <v>0</v>
      </c>
      <c r="BT920" s="824">
        <f t="shared" ca="1" si="722"/>
        <v>0</v>
      </c>
      <c r="BU920" s="824">
        <f t="shared" ca="1" si="722"/>
        <v>0</v>
      </c>
      <c r="BV920" s="824">
        <f t="shared" ca="1" si="722"/>
        <v>0</v>
      </c>
      <c r="BW920" s="824">
        <f t="shared" ca="1" si="722"/>
        <v>0</v>
      </c>
      <c r="BX920" s="824">
        <f t="shared" ca="1" si="722"/>
        <v>0</v>
      </c>
      <c r="BY920" s="824">
        <f t="shared" ca="1" si="722"/>
        <v>0</v>
      </c>
      <c r="BZ920" s="824">
        <f t="shared" ca="1" si="722"/>
        <v>0</v>
      </c>
      <c r="CA920" s="824">
        <f t="shared" ca="1" si="722"/>
        <v>0</v>
      </c>
      <c r="CB920" s="824">
        <f t="shared" ca="1" si="722"/>
        <v>0</v>
      </c>
      <c r="CC920" s="824">
        <f t="shared" ca="1" si="722"/>
        <v>0</v>
      </c>
      <c r="CD920" s="824">
        <f t="shared" ca="1" si="722"/>
        <v>0</v>
      </c>
      <c r="CE920" s="824">
        <f t="shared" ref="CE920:CS929" ca="1" si="724">IF(OR(IF($BL920*1&lt;$BL$196,$BL920*1=CE$198,FALSE),IF($BL920*2&lt;$BL$196,$BL920*2=CE$198,FALSE),IF($BL920*3&lt;$BL$196,$BL920*3=CE$198,FALSE),IF($BL920*4&lt;$BL$196,$BL920*4=CE$198,FALSE),IF($BL920*5&lt;$BL$196,$BL920*5=CE$198,FALSE)),$BN920*$BM$196^CE$198,0)</f>
        <v>0</v>
      </c>
      <c r="CF920" s="824">
        <f t="shared" ca="1" si="724"/>
        <v>0</v>
      </c>
      <c r="CG920" s="824">
        <f t="shared" ca="1" si="724"/>
        <v>0</v>
      </c>
      <c r="CH920" s="824">
        <f t="shared" ca="1" si="724"/>
        <v>0</v>
      </c>
      <c r="CI920" s="824">
        <f t="shared" ca="1" si="724"/>
        <v>0</v>
      </c>
      <c r="CJ920" s="824">
        <f t="shared" ca="1" si="724"/>
        <v>0</v>
      </c>
      <c r="CK920" s="824">
        <f t="shared" ca="1" si="724"/>
        <v>0</v>
      </c>
      <c r="CL920" s="824">
        <f t="shared" ca="1" si="724"/>
        <v>0</v>
      </c>
      <c r="CM920" s="824">
        <f t="shared" ca="1" si="724"/>
        <v>0</v>
      </c>
      <c r="CN920" s="824">
        <f t="shared" ca="1" si="724"/>
        <v>0</v>
      </c>
      <c r="CO920" s="824">
        <f t="shared" ca="1" si="724"/>
        <v>0</v>
      </c>
      <c r="CP920" s="824">
        <f t="shared" ca="1" si="724"/>
        <v>0</v>
      </c>
      <c r="CQ920" s="824">
        <f t="shared" ca="1" si="724"/>
        <v>0</v>
      </c>
      <c r="CR920" s="824">
        <f t="shared" ca="1" si="724"/>
        <v>0</v>
      </c>
      <c r="CS920" s="824">
        <f t="shared" ca="1" si="724"/>
        <v>0</v>
      </c>
      <c r="CT920" s="824">
        <f t="shared" ca="1" si="723"/>
        <v>0</v>
      </c>
      <c r="CU920" s="824">
        <f t="shared" ca="1" si="700"/>
        <v>0</v>
      </c>
      <c r="CV920" s="824">
        <f t="shared" ca="1" si="700"/>
        <v>0</v>
      </c>
      <c r="CW920" s="824">
        <f t="shared" ca="1" si="700"/>
        <v>0</v>
      </c>
      <c r="CX920" s="824">
        <f t="shared" ca="1" si="700"/>
        <v>0</v>
      </c>
      <c r="CY920" s="824">
        <f t="shared" ca="1" si="700"/>
        <v>0</v>
      </c>
      <c r="CZ920" s="824">
        <f t="shared" ca="1" si="700"/>
        <v>0</v>
      </c>
      <c r="DA920" s="824">
        <f t="shared" ca="1" si="701"/>
        <v>0</v>
      </c>
      <c r="DB920" s="824">
        <f t="shared" ca="1" si="701"/>
        <v>0</v>
      </c>
      <c r="DC920" s="824">
        <f t="shared" ca="1" si="701"/>
        <v>0</v>
      </c>
      <c r="DD920" s="824">
        <f t="shared" ca="1" si="701"/>
        <v>0</v>
      </c>
      <c r="DE920" s="824">
        <f t="shared" ca="1" si="701"/>
        <v>0</v>
      </c>
      <c r="DF920" s="824">
        <f t="shared" ca="1" si="701"/>
        <v>0</v>
      </c>
      <c r="DG920" s="824">
        <f t="shared" ca="1" si="701"/>
        <v>0</v>
      </c>
      <c r="DH920" s="824">
        <f t="shared" ca="1" si="701"/>
        <v>0</v>
      </c>
      <c r="DI920" s="824">
        <f t="shared" ca="1" si="701"/>
        <v>0</v>
      </c>
      <c r="DJ920" s="824">
        <f t="shared" ca="1" si="701"/>
        <v>0</v>
      </c>
      <c r="DK920" s="824">
        <f t="shared" ca="1" si="701"/>
        <v>0</v>
      </c>
      <c r="DL920" s="824">
        <f t="shared" ca="1" si="701"/>
        <v>0</v>
      </c>
    </row>
    <row r="921" spans="2:116" ht="12" thickBot="1" x14ac:dyDescent="0.3">
      <c r="B921" s="1673"/>
      <c r="C921" s="1680"/>
      <c r="D921" s="15" t="s">
        <v>129</v>
      </c>
      <c r="E921" s="165"/>
      <c r="F921" s="116">
        <f ca="1">SUBTOTAL(109,'3.5 I&amp;W'!$X$80)</f>
        <v>0</v>
      </c>
      <c r="G921" s="116">
        <f ca="1">SUBTOTAL(109,'3.5 I&amp;W'!$Y$80)</f>
        <v>0</v>
      </c>
      <c r="H921" s="116">
        <f ca="1">SUBTOTAL(109,'3.5 I&amp;W'!$AD$80)</f>
        <v>0</v>
      </c>
      <c r="I921" s="116">
        <f ca="1">SUBTOTAL(109,'3.5 I&amp;W'!$AE$80)</f>
        <v>0</v>
      </c>
      <c r="J921" s="116"/>
      <c r="K921" s="116"/>
      <c r="L921" s="116"/>
      <c r="M921" s="116">
        <f ca="1">SUBTOTAL(109,'3.5 I&amp;W'!$AI$80)</f>
        <v>0</v>
      </c>
      <c r="N921" s="156">
        <f t="shared" ca="1" si="677"/>
        <v>0</v>
      </c>
      <c r="O921" s="116">
        <f ca="1">SUBTOTAL(109,'3.5 I&amp;W'!$S$80)</f>
        <v>0</v>
      </c>
      <c r="P921" s="30">
        <f t="shared" ca="1" si="717"/>
        <v>0</v>
      </c>
      <c r="Q921" s="31">
        <f t="shared" ca="1" si="718"/>
        <v>0</v>
      </c>
      <c r="R921" s="31">
        <f t="shared" ca="1" si="719"/>
        <v>0</v>
      </c>
      <c r="S921" s="31">
        <f t="shared" ca="1" si="720"/>
        <v>0</v>
      </c>
      <c r="T921" s="32">
        <f t="shared" ca="1" si="721"/>
        <v>0</v>
      </c>
      <c r="U921" s="37">
        <f t="shared" ca="1" si="678"/>
        <v>0</v>
      </c>
      <c r="V921" s="40">
        <f t="shared" ca="1" si="671"/>
        <v>0</v>
      </c>
      <c r="W921" s="41">
        <f t="shared" ca="1" si="672"/>
        <v>0</v>
      </c>
      <c r="X921" s="43"/>
      <c r="Y921" s="46"/>
      <c r="Z921" s="126"/>
      <c r="AA921" s="136"/>
      <c r="AB921" s="131">
        <v>21</v>
      </c>
      <c r="AC921" s="168">
        <f ca="1">IF(AF920&lt;=1,0,'3.5 Fi&amp;Fo'!$I$25)</f>
        <v>46174.624633000763</v>
      </c>
      <c r="AD921" s="169">
        <f ca="1">IF(AF920&lt;=1,0,AF920*'3.5 Fi&amp;Fo'!$H$25)</f>
        <v>11866.198378990493</v>
      </c>
      <c r="AE921" s="169">
        <f t="shared" ca="1" si="681"/>
        <v>34308.426254010272</v>
      </c>
      <c r="AF921" s="170">
        <f t="shared" ca="1" si="682"/>
        <v>559001.49269551435</v>
      </c>
      <c r="AG921" s="168">
        <f>IF(AJ920&lt;=1,0,IF(AB921&lt;='3.5 Fi&amp;Fo'!$F$34,'3.5 Fi&amp;Fo'!$J$34,IF(AB921&lt;='3.5 Fi&amp;Fo'!$F$35,'3.5 Fi&amp;Fo'!$J$35,IF(AB921&lt;='3.5 Fi&amp;Fo'!$F$36,'3.5 Fi&amp;Fo'!$J$36,IF(AB921&lt;='3.5 Fi&amp;Fo'!$F$37,'3.5 Fi&amp;Fo'!$J$37,IF(AB921&lt;='3.5 Fi&amp;Fo'!$F$38,'3.5 Fi&amp;Fo'!$J$38,IF(AB921&lt;='3.5 Fi&amp;Fo'!$F$39,'3.5 Fi&amp;Fo'!$J$39,IF(AB921&lt;='3.5 Fi&amp;Fo'!$F$40,'3.5 Fi&amp;Fo'!$J$40))))))))</f>
        <v>104363.61</v>
      </c>
      <c r="AH921" s="203">
        <f>IF(AJ920&lt;=1,0,AJ920*IF(AB921&lt;='3.5 Fi&amp;Fo'!$F$34,'3.5 Fi&amp;Fo'!$I$34,IF(AB921&lt;='3.5 Fi&amp;Fo'!$F$35,'3.5 Fi&amp;Fo'!$I$35,IF(AB921&lt;='3.5 Fi&amp;Fo'!$F$38,'3.5 Fi&amp;Fo'!$I$38,IF(AB921&lt;='3.5 Fi&amp;Fo'!$F$39,'3.5 Fi&amp;Fo'!$I$39,IF(AB921&lt;='3.5 Fi&amp;Fo'!$F$40,'3.5 Fi&amp;Fo'!$I$40))))))</f>
        <v>125377.93418461896</v>
      </c>
      <c r="AI921" s="203">
        <f t="shared" si="683"/>
        <v>-21014.324184618963</v>
      </c>
      <c r="AJ921" s="204">
        <f t="shared" si="684"/>
        <v>2300613.1275413274</v>
      </c>
      <c r="AK921" s="312">
        <f t="shared" ca="1" si="685"/>
        <v>-183663.97349180651</v>
      </c>
      <c r="AL921" s="169">
        <f>IF(AB921&lt;='3.5 Fi&amp;Fo'!$J$15,'3.5 Fi&amp;Fo'!$I$15,0)</f>
        <v>0</v>
      </c>
      <c r="AM921" s="169">
        <f t="shared" si="697"/>
        <v>33125.738858805737</v>
      </c>
      <c r="AN921" s="838">
        <f t="shared" si="702"/>
        <v>21</v>
      </c>
      <c r="AO921" s="844">
        <f t="shared" ca="1" si="686"/>
        <v>183663.97349180651</v>
      </c>
      <c r="AP921" s="839">
        <f ca="1">CI1005</f>
        <v>0</v>
      </c>
      <c r="AQ921" s="844">
        <f t="shared" si="687"/>
        <v>0</v>
      </c>
      <c r="AR921" s="839">
        <f t="shared" ca="1" si="703"/>
        <v>0</v>
      </c>
      <c r="AS921" s="839">
        <f t="shared" ca="1" si="698"/>
        <v>10878.298063534177</v>
      </c>
      <c r="AT921" s="839">
        <f t="shared" ca="1" si="699"/>
        <v>14584.395760931775</v>
      </c>
      <c r="AU921" s="844">
        <f ca="1">'PV-Einspeisung'!AA292*-1</f>
        <v>-494.32961462460474</v>
      </c>
      <c r="AV921" s="844">
        <f>'PV-Einspeisung'!AE292*-1</f>
        <v>-2548.3762879396209</v>
      </c>
      <c r="AW921" s="839"/>
      <c r="AX921" s="839">
        <f t="shared" ca="1" si="704"/>
        <v>0</v>
      </c>
      <c r="AY921" s="841">
        <f t="shared" si="688"/>
        <v>21</v>
      </c>
      <c r="AZ921" s="842">
        <f t="shared" ca="1" si="705"/>
        <v>0</v>
      </c>
      <c r="BA921" s="842">
        <f t="shared" ca="1" si="706"/>
        <v>0</v>
      </c>
      <c r="BB921" s="842">
        <f t="shared" ca="1" si="707"/>
        <v>0</v>
      </c>
      <c r="BC921" s="842">
        <f t="shared" ca="1" si="708"/>
        <v>0</v>
      </c>
      <c r="BD921" s="842">
        <f t="shared" ca="1" si="709"/>
        <v>0</v>
      </c>
      <c r="BE921" s="842">
        <f t="shared" ca="1" si="710"/>
        <v>0</v>
      </c>
      <c r="BF921" s="842">
        <f t="shared" ca="1" si="711"/>
        <v>10579.912390247222</v>
      </c>
      <c r="BG921" s="842">
        <f t="shared" ca="1" si="712"/>
        <v>4004.4833706845534</v>
      </c>
      <c r="BH921" s="858">
        <f t="shared" si="696"/>
        <v>21</v>
      </c>
      <c r="BI921" s="857">
        <f t="shared" ca="1" si="713"/>
        <v>4115.9865540608134</v>
      </c>
      <c r="BJ921" s="857">
        <f t="shared" ca="1" si="714"/>
        <v>6762.311509473363</v>
      </c>
      <c r="BK921" s="859">
        <f ca="1">'PV-Einspeisung'!AB292*-1</f>
        <v>0</v>
      </c>
      <c r="BL921" s="824">
        <f t="shared" ca="1" si="673"/>
        <v>0</v>
      </c>
      <c r="BM921" s="824">
        <f t="shared" ca="1" si="674"/>
        <v>0</v>
      </c>
      <c r="BN921" s="824">
        <f t="shared" ca="1" si="675"/>
        <v>0</v>
      </c>
      <c r="BO921" s="824">
        <f t="shared" ca="1" si="722"/>
        <v>0</v>
      </c>
      <c r="BP921" s="824">
        <f t="shared" ca="1" si="722"/>
        <v>0</v>
      </c>
      <c r="BQ921" s="824">
        <f t="shared" ca="1" si="722"/>
        <v>0</v>
      </c>
      <c r="BR921" s="824">
        <f t="shared" ca="1" si="722"/>
        <v>0</v>
      </c>
      <c r="BS921" s="824">
        <f t="shared" ca="1" si="722"/>
        <v>0</v>
      </c>
      <c r="BT921" s="824">
        <f t="shared" ca="1" si="722"/>
        <v>0</v>
      </c>
      <c r="BU921" s="824">
        <f t="shared" ca="1" si="722"/>
        <v>0</v>
      </c>
      <c r="BV921" s="824">
        <f t="shared" ca="1" si="722"/>
        <v>0</v>
      </c>
      <c r="BW921" s="824">
        <f t="shared" ca="1" si="722"/>
        <v>0</v>
      </c>
      <c r="BX921" s="824">
        <f t="shared" ca="1" si="722"/>
        <v>0</v>
      </c>
      <c r="BY921" s="824">
        <f t="shared" ca="1" si="722"/>
        <v>0</v>
      </c>
      <c r="BZ921" s="824">
        <f t="shared" ca="1" si="722"/>
        <v>0</v>
      </c>
      <c r="CA921" s="824">
        <f t="shared" ca="1" si="722"/>
        <v>0</v>
      </c>
      <c r="CB921" s="824">
        <f t="shared" ca="1" si="722"/>
        <v>0</v>
      </c>
      <c r="CC921" s="824">
        <f t="shared" ca="1" si="722"/>
        <v>0</v>
      </c>
      <c r="CD921" s="824">
        <f t="shared" ca="1" si="722"/>
        <v>0</v>
      </c>
      <c r="CE921" s="824">
        <f t="shared" ca="1" si="724"/>
        <v>0</v>
      </c>
      <c r="CF921" s="824">
        <f t="shared" ca="1" si="724"/>
        <v>0</v>
      </c>
      <c r="CG921" s="824">
        <f t="shared" ca="1" si="724"/>
        <v>0</v>
      </c>
      <c r="CH921" s="824">
        <f t="shared" ca="1" si="724"/>
        <v>0</v>
      </c>
      <c r="CI921" s="824">
        <f t="shared" ca="1" si="724"/>
        <v>0</v>
      </c>
      <c r="CJ921" s="824">
        <f t="shared" ca="1" si="724"/>
        <v>0</v>
      </c>
      <c r="CK921" s="824">
        <f t="shared" ca="1" si="724"/>
        <v>0</v>
      </c>
      <c r="CL921" s="824">
        <f t="shared" ca="1" si="724"/>
        <v>0</v>
      </c>
      <c r="CM921" s="824">
        <f t="shared" ca="1" si="724"/>
        <v>0</v>
      </c>
      <c r="CN921" s="824">
        <f t="shared" ca="1" si="724"/>
        <v>0</v>
      </c>
      <c r="CO921" s="824">
        <f t="shared" ca="1" si="724"/>
        <v>0</v>
      </c>
      <c r="CP921" s="824">
        <f t="shared" ca="1" si="724"/>
        <v>0</v>
      </c>
      <c r="CQ921" s="824">
        <f t="shared" ca="1" si="724"/>
        <v>0</v>
      </c>
      <c r="CR921" s="824">
        <f t="shared" ca="1" si="724"/>
        <v>0</v>
      </c>
      <c r="CS921" s="824">
        <f t="shared" ca="1" si="724"/>
        <v>0</v>
      </c>
      <c r="CT921" s="824">
        <f t="shared" ca="1" si="723"/>
        <v>0</v>
      </c>
      <c r="CU921" s="824">
        <f t="shared" ca="1" si="700"/>
        <v>0</v>
      </c>
      <c r="CV921" s="824">
        <f t="shared" ca="1" si="700"/>
        <v>0</v>
      </c>
      <c r="CW921" s="824">
        <f t="shared" ca="1" si="700"/>
        <v>0</v>
      </c>
      <c r="CX921" s="824">
        <f t="shared" ca="1" si="700"/>
        <v>0</v>
      </c>
      <c r="CY921" s="824">
        <f t="shared" ca="1" si="700"/>
        <v>0</v>
      </c>
      <c r="CZ921" s="824">
        <f t="shared" ca="1" si="700"/>
        <v>0</v>
      </c>
      <c r="DA921" s="824">
        <f t="shared" ca="1" si="701"/>
        <v>0</v>
      </c>
      <c r="DB921" s="824">
        <f t="shared" ca="1" si="701"/>
        <v>0</v>
      </c>
      <c r="DC921" s="824">
        <f t="shared" ca="1" si="701"/>
        <v>0</v>
      </c>
      <c r="DD921" s="824">
        <f t="shared" ca="1" si="701"/>
        <v>0</v>
      </c>
      <c r="DE921" s="824">
        <f t="shared" ca="1" si="701"/>
        <v>0</v>
      </c>
      <c r="DF921" s="824">
        <f t="shared" ca="1" si="701"/>
        <v>0</v>
      </c>
      <c r="DG921" s="824">
        <f t="shared" ca="1" si="701"/>
        <v>0</v>
      </c>
      <c r="DH921" s="824">
        <f t="shared" ca="1" si="701"/>
        <v>0</v>
      </c>
      <c r="DI921" s="824">
        <f t="shared" ca="1" si="701"/>
        <v>0</v>
      </c>
      <c r="DJ921" s="824">
        <f t="shared" ca="1" si="701"/>
        <v>0</v>
      </c>
      <c r="DK921" s="824">
        <f t="shared" ca="1" si="701"/>
        <v>0</v>
      </c>
      <c r="DL921" s="824">
        <f t="shared" ca="1" si="701"/>
        <v>0</v>
      </c>
    </row>
    <row r="922" spans="2:116" ht="12" thickBot="1" x14ac:dyDescent="0.3">
      <c r="B922" s="1673"/>
      <c r="C922" s="1680"/>
      <c r="D922" s="15" t="s">
        <v>129</v>
      </c>
      <c r="E922" s="116"/>
      <c r="F922" s="116">
        <f ca="1">SUBTOTAL(109,'3.5 I&amp;W'!$X$81)</f>
        <v>0</v>
      </c>
      <c r="G922" s="116">
        <f ca="1">SUBTOTAL(109,'3.5 I&amp;W'!$Y$81)</f>
        <v>0</v>
      </c>
      <c r="H922" s="116">
        <f ca="1">SUBTOTAL(109,'3.5 I&amp;W'!$AD$81)</f>
        <v>0</v>
      </c>
      <c r="I922" s="116">
        <f ca="1">SUBTOTAL(109,'3.5 I&amp;W'!$AE$81)</f>
        <v>0</v>
      </c>
      <c r="J922" s="116"/>
      <c r="K922" s="116"/>
      <c r="L922" s="116"/>
      <c r="M922" s="116">
        <f ca="1">SUBTOTAL(109,'3.5 I&amp;W'!$AI$81)</f>
        <v>0</v>
      </c>
      <c r="N922" s="156">
        <f t="shared" ca="1" si="677"/>
        <v>0</v>
      </c>
      <c r="O922" s="116">
        <f ca="1">SUBTOTAL(109,'3.5 I&amp;W'!$S$81)</f>
        <v>0</v>
      </c>
      <c r="P922" s="30">
        <f t="shared" ca="1" si="717"/>
        <v>0</v>
      </c>
      <c r="Q922" s="31">
        <f t="shared" ca="1" si="718"/>
        <v>0</v>
      </c>
      <c r="R922" s="31">
        <f t="shared" ca="1" si="719"/>
        <v>0</v>
      </c>
      <c r="S922" s="31">
        <f t="shared" ca="1" si="720"/>
        <v>0</v>
      </c>
      <c r="T922" s="32">
        <f t="shared" ca="1" si="721"/>
        <v>0</v>
      </c>
      <c r="U922" s="37">
        <f t="shared" ca="1" si="678"/>
        <v>0</v>
      </c>
      <c r="V922" s="40">
        <f t="shared" ca="1" si="671"/>
        <v>0</v>
      </c>
      <c r="W922" s="41">
        <f t="shared" ca="1" si="672"/>
        <v>0</v>
      </c>
      <c r="X922" s="43"/>
      <c r="Y922" s="46"/>
      <c r="Z922" s="126"/>
      <c r="AA922" s="136"/>
      <c r="AB922" s="131">
        <v>22</v>
      </c>
      <c r="AC922" s="168">
        <f ca="1">IF(AF921&lt;=1,0,'3.5 Fi&amp;Fo'!$I$25)</f>
        <v>46174.624633000763</v>
      </c>
      <c r="AD922" s="169">
        <f ca="1">IF(AF921&lt;=1,0,AF921*'3.5 Fi&amp;Fo'!$H$25)</f>
        <v>11180.029853910288</v>
      </c>
      <c r="AE922" s="169">
        <f t="shared" ca="1" si="681"/>
        <v>34994.594779090476</v>
      </c>
      <c r="AF922" s="170">
        <f t="shared" ca="1" si="682"/>
        <v>524006.89791642386</v>
      </c>
      <c r="AG922" s="168">
        <f>IF(AJ921&lt;=1,0,IF(AB922&lt;='3.5 Fi&amp;Fo'!$F$34,'3.5 Fi&amp;Fo'!$J$34,IF(AB922&lt;='3.5 Fi&amp;Fo'!$F$35,'3.5 Fi&amp;Fo'!$J$35,IF(AB922&lt;='3.5 Fi&amp;Fo'!$F$36,'3.5 Fi&amp;Fo'!$J$36,IF(AB922&lt;='3.5 Fi&amp;Fo'!$F$37,'3.5 Fi&amp;Fo'!$J$37,IF(AB922&lt;='3.5 Fi&amp;Fo'!$F$38,'3.5 Fi&amp;Fo'!$J$38,IF(AB922&lt;='3.5 Fi&amp;Fo'!$F$39,'3.5 Fi&amp;Fo'!$J$39,IF(AB922&lt;='3.5 Fi&amp;Fo'!$F$40,'3.5 Fi&amp;Fo'!$J$40))))))))</f>
        <v>104363.61</v>
      </c>
      <c r="AH922" s="203">
        <f>IF(AJ921&lt;=1,0,AJ921*IF(AB922&lt;='3.5 Fi&amp;Fo'!$F$34,'3.5 Fi&amp;Fo'!$I$34,IF(AB922&lt;='3.5 Fi&amp;Fo'!$F$35,'3.5 Fi&amp;Fo'!$I$35,IF(AB922&lt;='3.5 Fi&amp;Fo'!$F$38,'3.5 Fi&amp;Fo'!$I$38,IF(AB922&lt;='3.5 Fi&amp;Fo'!$F$39,'3.5 Fi&amp;Fo'!$I$39,IF(AB922&lt;='3.5 Fi&amp;Fo'!$F$40,'3.5 Fi&amp;Fo'!$I$40))))))</f>
        <v>126533.72201477301</v>
      </c>
      <c r="AI922" s="203">
        <f t="shared" si="683"/>
        <v>-22170.112014773011</v>
      </c>
      <c r="AJ922" s="204">
        <f t="shared" si="684"/>
        <v>2322783.2395561002</v>
      </c>
      <c r="AK922" s="312">
        <f t="shared" ca="1" si="685"/>
        <v>-184326.48826898282</v>
      </c>
      <c r="AL922" s="169">
        <f>IF(AB922&lt;='3.5 Fi&amp;Fo'!$J$15,'3.5 Fi&amp;Fo'!$I$15,0)</f>
        <v>0</v>
      </c>
      <c r="AM922" s="169">
        <f t="shared" si="697"/>
        <v>33788.253635982051</v>
      </c>
      <c r="AN922" s="838">
        <f t="shared" si="702"/>
        <v>22</v>
      </c>
      <c r="AO922" s="844">
        <f t="shared" ca="1" si="686"/>
        <v>184326.48826898282</v>
      </c>
      <c r="AP922" s="839">
        <f ca="1">CJ1005</f>
        <v>0</v>
      </c>
      <c r="AQ922" s="844">
        <f t="shared" si="687"/>
        <v>0</v>
      </c>
      <c r="AR922" s="839">
        <f t="shared" ca="1" si="703"/>
        <v>0</v>
      </c>
      <c r="AS922" s="839">
        <f t="shared" ca="1" si="698"/>
        <v>11052.350832550725</v>
      </c>
      <c r="AT922" s="839">
        <f t="shared" ca="1" si="699"/>
        <v>14989.050488661915</v>
      </c>
      <c r="AU922" s="844">
        <f ca="1">'PV-Einspeisung'!AA293*-1</f>
        <v>-506.68785499021976</v>
      </c>
      <c r="AV922" s="844">
        <f>'PV-Einspeisung'!AE293*-1</f>
        <v>-2612.0856951381111</v>
      </c>
      <c r="AW922" s="839"/>
      <c r="AX922" s="839">
        <f t="shared" ca="1" si="704"/>
        <v>0</v>
      </c>
      <c r="AY922" s="841">
        <f t="shared" si="688"/>
        <v>22</v>
      </c>
      <c r="AZ922" s="842">
        <f t="shared" ca="1" si="705"/>
        <v>0</v>
      </c>
      <c r="BA922" s="842">
        <f t="shared" ca="1" si="706"/>
        <v>0</v>
      </c>
      <c r="BB922" s="842">
        <f t="shared" ca="1" si="707"/>
        <v>0</v>
      </c>
      <c r="BC922" s="842">
        <f t="shared" ca="1" si="708"/>
        <v>0</v>
      </c>
      <c r="BD922" s="842">
        <f t="shared" ca="1" si="709"/>
        <v>0</v>
      </c>
      <c r="BE922" s="842">
        <f t="shared" ca="1" si="710"/>
        <v>0</v>
      </c>
      <c r="BF922" s="842">
        <f t="shared" ca="1" si="711"/>
        <v>10844.410200003402</v>
      </c>
      <c r="BG922" s="842">
        <f t="shared" ca="1" si="712"/>
        <v>4144.6402886585129</v>
      </c>
      <c r="BH922" s="858">
        <f t="shared" si="696"/>
        <v>22</v>
      </c>
      <c r="BI922" s="857">
        <f t="shared" ca="1" si="713"/>
        <v>4181.8423389257869</v>
      </c>
      <c r="BJ922" s="857">
        <f t="shared" ca="1" si="714"/>
        <v>6870.5084936249368</v>
      </c>
      <c r="BK922" s="859">
        <f ca="1">'PV-Einspeisung'!AB293*-1</f>
        <v>0</v>
      </c>
      <c r="BL922" s="824">
        <f t="shared" ca="1" si="673"/>
        <v>0</v>
      </c>
      <c r="BM922" s="824">
        <f t="shared" ca="1" si="674"/>
        <v>0</v>
      </c>
      <c r="BN922" s="824">
        <f t="shared" ca="1" si="675"/>
        <v>0</v>
      </c>
      <c r="BO922" s="824">
        <f t="shared" ca="1" si="722"/>
        <v>0</v>
      </c>
      <c r="BP922" s="824">
        <f t="shared" ca="1" si="722"/>
        <v>0</v>
      </c>
      <c r="BQ922" s="824">
        <f t="shared" ca="1" si="722"/>
        <v>0</v>
      </c>
      <c r="BR922" s="824">
        <f t="shared" ca="1" si="722"/>
        <v>0</v>
      </c>
      <c r="BS922" s="824">
        <f t="shared" ca="1" si="722"/>
        <v>0</v>
      </c>
      <c r="BT922" s="824">
        <f t="shared" ca="1" si="722"/>
        <v>0</v>
      </c>
      <c r="BU922" s="824">
        <f t="shared" ca="1" si="722"/>
        <v>0</v>
      </c>
      <c r="BV922" s="824">
        <f t="shared" ca="1" si="722"/>
        <v>0</v>
      </c>
      <c r="BW922" s="824">
        <f t="shared" ca="1" si="722"/>
        <v>0</v>
      </c>
      <c r="BX922" s="824">
        <f t="shared" ca="1" si="722"/>
        <v>0</v>
      </c>
      <c r="BY922" s="824">
        <f t="shared" ca="1" si="722"/>
        <v>0</v>
      </c>
      <c r="BZ922" s="824">
        <f t="shared" ca="1" si="722"/>
        <v>0</v>
      </c>
      <c r="CA922" s="824">
        <f t="shared" ca="1" si="722"/>
        <v>0</v>
      </c>
      <c r="CB922" s="824">
        <f t="shared" ca="1" si="722"/>
        <v>0</v>
      </c>
      <c r="CC922" s="824">
        <f t="shared" ca="1" si="722"/>
        <v>0</v>
      </c>
      <c r="CD922" s="824">
        <f t="shared" ca="1" si="722"/>
        <v>0</v>
      </c>
      <c r="CE922" s="824">
        <f t="shared" ca="1" si="724"/>
        <v>0</v>
      </c>
      <c r="CF922" s="824">
        <f t="shared" ca="1" si="724"/>
        <v>0</v>
      </c>
      <c r="CG922" s="824">
        <f t="shared" ca="1" si="724"/>
        <v>0</v>
      </c>
      <c r="CH922" s="824">
        <f t="shared" ca="1" si="724"/>
        <v>0</v>
      </c>
      <c r="CI922" s="824">
        <f t="shared" ca="1" si="724"/>
        <v>0</v>
      </c>
      <c r="CJ922" s="824">
        <f t="shared" ca="1" si="724"/>
        <v>0</v>
      </c>
      <c r="CK922" s="824">
        <f t="shared" ca="1" si="724"/>
        <v>0</v>
      </c>
      <c r="CL922" s="824">
        <f t="shared" ca="1" si="724"/>
        <v>0</v>
      </c>
      <c r="CM922" s="824">
        <f t="shared" ca="1" si="724"/>
        <v>0</v>
      </c>
      <c r="CN922" s="824">
        <f t="shared" ca="1" si="724"/>
        <v>0</v>
      </c>
      <c r="CO922" s="824">
        <f t="shared" ca="1" si="724"/>
        <v>0</v>
      </c>
      <c r="CP922" s="824">
        <f t="shared" ca="1" si="724"/>
        <v>0</v>
      </c>
      <c r="CQ922" s="824">
        <f t="shared" ca="1" si="724"/>
        <v>0</v>
      </c>
      <c r="CR922" s="824">
        <f t="shared" ca="1" si="724"/>
        <v>0</v>
      </c>
      <c r="CS922" s="824">
        <f t="shared" ca="1" si="724"/>
        <v>0</v>
      </c>
      <c r="CT922" s="824">
        <f t="shared" ca="1" si="723"/>
        <v>0</v>
      </c>
      <c r="CU922" s="824">
        <f t="shared" ca="1" si="700"/>
        <v>0</v>
      </c>
      <c r="CV922" s="824">
        <f t="shared" ca="1" si="700"/>
        <v>0</v>
      </c>
      <c r="CW922" s="824">
        <f t="shared" ca="1" si="700"/>
        <v>0</v>
      </c>
      <c r="CX922" s="824">
        <f t="shared" ca="1" si="700"/>
        <v>0</v>
      </c>
      <c r="CY922" s="824">
        <f t="shared" ca="1" si="700"/>
        <v>0</v>
      </c>
      <c r="CZ922" s="824">
        <f t="shared" ca="1" si="700"/>
        <v>0</v>
      </c>
      <c r="DA922" s="824">
        <f t="shared" ca="1" si="701"/>
        <v>0</v>
      </c>
      <c r="DB922" s="824">
        <f t="shared" ca="1" si="701"/>
        <v>0</v>
      </c>
      <c r="DC922" s="824">
        <f t="shared" ca="1" si="701"/>
        <v>0</v>
      </c>
      <c r="DD922" s="824">
        <f t="shared" ca="1" si="701"/>
        <v>0</v>
      </c>
      <c r="DE922" s="824">
        <f t="shared" ca="1" si="701"/>
        <v>0</v>
      </c>
      <c r="DF922" s="824">
        <f t="shared" ca="1" si="701"/>
        <v>0</v>
      </c>
      <c r="DG922" s="824">
        <f t="shared" ca="1" si="701"/>
        <v>0</v>
      </c>
      <c r="DH922" s="824">
        <f t="shared" ca="1" si="701"/>
        <v>0</v>
      </c>
      <c r="DI922" s="824">
        <f t="shared" ca="1" si="701"/>
        <v>0</v>
      </c>
      <c r="DJ922" s="824">
        <f t="shared" ca="1" si="701"/>
        <v>0</v>
      </c>
      <c r="DK922" s="824">
        <f t="shared" ca="1" si="701"/>
        <v>0</v>
      </c>
      <c r="DL922" s="824">
        <f t="shared" ca="1" si="701"/>
        <v>0</v>
      </c>
    </row>
    <row r="923" spans="2:116" ht="12" thickBot="1" x14ac:dyDescent="0.3">
      <c r="B923" s="1673"/>
      <c r="C923" s="1680"/>
      <c r="D923" s="15" t="s">
        <v>130</v>
      </c>
      <c r="E923" s="165"/>
      <c r="F923" s="116">
        <f ca="1">SUBTOTAL(109,'3.5 I&amp;W'!$X$84)</f>
        <v>0</v>
      </c>
      <c r="G923" s="116">
        <f ca="1">SUBTOTAL(109,'3.5 I&amp;W'!$Y$84)</f>
        <v>0</v>
      </c>
      <c r="H923" s="116">
        <f ca="1">SUBTOTAL(109,'3.5 I&amp;W'!$AD$84)</f>
        <v>0</v>
      </c>
      <c r="I923" s="116">
        <f ca="1">SUBTOTAL(109,'3.5 I&amp;W'!$AE$84)</f>
        <v>0</v>
      </c>
      <c r="J923" s="116"/>
      <c r="K923" s="116"/>
      <c r="L923" s="116"/>
      <c r="M923" s="116">
        <f ca="1">SUBTOTAL(109,'3.5 I&amp;W'!$AI$84)</f>
        <v>15</v>
      </c>
      <c r="N923" s="156">
        <f t="shared" ca="1" si="677"/>
        <v>2</v>
      </c>
      <c r="O923" s="116">
        <f ca="1">SUBTOTAL(109,'3.5 I&amp;W'!$S$84)</f>
        <v>15085.44</v>
      </c>
      <c r="P923" s="30">
        <f t="shared" ca="1" si="717"/>
        <v>14222.011472518068</v>
      </c>
      <c r="Q923" s="31">
        <f t="shared" ca="1" si="718"/>
        <v>13408.00204199781</v>
      </c>
      <c r="R923" s="31">
        <f t="shared" ca="1" si="719"/>
        <v>0</v>
      </c>
      <c r="S923" s="31">
        <f t="shared" ca="1" si="720"/>
        <v>0</v>
      </c>
      <c r="T923" s="32">
        <f t="shared" ca="1" si="721"/>
        <v>0</v>
      </c>
      <c r="U923" s="37">
        <f t="shared" ca="1" si="678"/>
        <v>8096.0270317998957</v>
      </c>
      <c r="V923" s="40">
        <f t="shared" ca="1" si="671"/>
        <v>0</v>
      </c>
      <c r="W923" s="41">
        <f t="shared" ca="1" si="672"/>
        <v>0</v>
      </c>
      <c r="X923" s="43"/>
      <c r="Y923" s="46"/>
      <c r="Z923" s="126"/>
      <c r="AA923" s="136"/>
      <c r="AB923" s="131">
        <v>23</v>
      </c>
      <c r="AC923" s="168">
        <f ca="1">IF(AF922&lt;=1,0,'3.5 Fi&amp;Fo'!$I$25)</f>
        <v>46174.624633000763</v>
      </c>
      <c r="AD923" s="169">
        <f ca="1">IF(AF922&lt;=1,0,AF922*'3.5 Fi&amp;Fo'!$H$25)</f>
        <v>10480.137958328478</v>
      </c>
      <c r="AE923" s="169">
        <f t="shared" ca="1" si="681"/>
        <v>35694.486674672284</v>
      </c>
      <c r="AF923" s="170">
        <f t="shared" ca="1" si="682"/>
        <v>488312.41124175157</v>
      </c>
      <c r="AG923" s="168">
        <f>IF(AJ922&lt;=1,0,IF(AB923&lt;='3.5 Fi&amp;Fo'!$F$34,'3.5 Fi&amp;Fo'!$J$34,IF(AB923&lt;='3.5 Fi&amp;Fo'!$F$35,'3.5 Fi&amp;Fo'!$J$35,IF(AB923&lt;='3.5 Fi&amp;Fo'!$F$36,'3.5 Fi&amp;Fo'!$J$36,IF(AB923&lt;='3.5 Fi&amp;Fo'!$F$37,'3.5 Fi&amp;Fo'!$J$37,IF(AB923&lt;='3.5 Fi&amp;Fo'!$F$38,'3.5 Fi&amp;Fo'!$J$38,IF(AB923&lt;='3.5 Fi&amp;Fo'!$F$39,'3.5 Fi&amp;Fo'!$J$39,IF(AB923&lt;='3.5 Fi&amp;Fo'!$F$40,'3.5 Fi&amp;Fo'!$J$40))))))))</f>
        <v>104363.61</v>
      </c>
      <c r="AH923" s="203">
        <f>IF(AJ922&lt;=1,0,AJ922*IF(AB923&lt;='3.5 Fi&amp;Fo'!$F$34,'3.5 Fi&amp;Fo'!$I$34,IF(AB923&lt;='3.5 Fi&amp;Fo'!$F$35,'3.5 Fi&amp;Fo'!$I$35,IF(AB923&lt;='3.5 Fi&amp;Fo'!$F$38,'3.5 Fi&amp;Fo'!$I$38,IF(AB923&lt;='3.5 Fi&amp;Fo'!$F$39,'3.5 Fi&amp;Fo'!$I$39,IF(AB923&lt;='3.5 Fi&amp;Fo'!$F$40,'3.5 Fi&amp;Fo'!$I$40))))))</f>
        <v>127753.07817558551</v>
      </c>
      <c r="AI923" s="203">
        <f t="shared" si="683"/>
        <v>-23389.468175585513</v>
      </c>
      <c r="AJ923" s="204">
        <f t="shared" si="684"/>
        <v>2346172.7077316856</v>
      </c>
      <c r="AK923" s="312">
        <f t="shared" ca="1" si="685"/>
        <v>-185002.25334170225</v>
      </c>
      <c r="AL923" s="169">
        <f>IF(AB923&lt;='3.5 Fi&amp;Fo'!$J$15,'3.5 Fi&amp;Fo'!$I$15,0)</f>
        <v>0</v>
      </c>
      <c r="AM923" s="169">
        <f t="shared" si="697"/>
        <v>34464.018708701478</v>
      </c>
      <c r="AN923" s="838">
        <f t="shared" si="702"/>
        <v>23</v>
      </c>
      <c r="AO923" s="844">
        <f t="shared" ca="1" si="686"/>
        <v>185002.25334170225</v>
      </c>
      <c r="AP923" s="839">
        <f ca="1">CK1005</f>
        <v>0</v>
      </c>
      <c r="AQ923" s="844">
        <f t="shared" si="687"/>
        <v>0</v>
      </c>
      <c r="AR923" s="839">
        <f t="shared" ca="1" si="703"/>
        <v>0</v>
      </c>
      <c r="AS923" s="839">
        <f t="shared" ca="1" si="698"/>
        <v>11229.188445871536</v>
      </c>
      <c r="AT923" s="839">
        <f t="shared" ca="1" si="699"/>
        <v>15405.223153765046</v>
      </c>
      <c r="AU923" s="844">
        <f ca="1">'PV-Einspeisung'!AA294*-1</f>
        <v>-519.35505136497522</v>
      </c>
      <c r="AV923" s="844">
        <f>'PV-Einspeisung'!AE294*-1</f>
        <v>-2677.3878375165636</v>
      </c>
      <c r="AW923" s="839"/>
      <c r="AX923" s="839">
        <f t="shared" ca="1" si="704"/>
        <v>0</v>
      </c>
      <c r="AY923" s="841">
        <f t="shared" si="688"/>
        <v>23</v>
      </c>
      <c r="AZ923" s="842">
        <f t="shared" ca="1" si="705"/>
        <v>0</v>
      </c>
      <c r="BA923" s="842">
        <f t="shared" ca="1" si="706"/>
        <v>0</v>
      </c>
      <c r="BB923" s="842">
        <f t="shared" ca="1" si="707"/>
        <v>0</v>
      </c>
      <c r="BC923" s="842">
        <f t="shared" ca="1" si="708"/>
        <v>0</v>
      </c>
      <c r="BD923" s="842">
        <f t="shared" ca="1" si="709"/>
        <v>0</v>
      </c>
      <c r="BE923" s="842">
        <f t="shared" ca="1" si="710"/>
        <v>0</v>
      </c>
      <c r="BF923" s="842">
        <f t="shared" ca="1" si="711"/>
        <v>11115.520455003485</v>
      </c>
      <c r="BG923" s="842">
        <f t="shared" ca="1" si="712"/>
        <v>4289.7026987615609</v>
      </c>
      <c r="BH923" s="858">
        <f t="shared" si="696"/>
        <v>23</v>
      </c>
      <c r="BI923" s="857">
        <f t="shared" ca="1" si="713"/>
        <v>4248.7518163485993</v>
      </c>
      <c r="BJ923" s="857">
        <f t="shared" ca="1" si="714"/>
        <v>6980.4366295229356</v>
      </c>
      <c r="BK923" s="859">
        <f ca="1">'PV-Einspeisung'!AB294*-1</f>
        <v>0</v>
      </c>
      <c r="BL923" s="824">
        <f t="shared" ca="1" si="673"/>
        <v>15</v>
      </c>
      <c r="BM923" s="824">
        <f t="shared" ca="1" si="674"/>
        <v>2</v>
      </c>
      <c r="BN923" s="824">
        <f t="shared" ca="1" si="675"/>
        <v>15085.44</v>
      </c>
      <c r="BO923" s="824">
        <f t="shared" ca="1" si="722"/>
        <v>0</v>
      </c>
      <c r="BP923" s="824">
        <f t="shared" ca="1" si="722"/>
        <v>0</v>
      </c>
      <c r="BQ923" s="824">
        <f t="shared" ca="1" si="722"/>
        <v>0</v>
      </c>
      <c r="BR923" s="824">
        <f t="shared" ca="1" si="722"/>
        <v>0</v>
      </c>
      <c r="BS923" s="824">
        <f t="shared" ca="1" si="722"/>
        <v>0</v>
      </c>
      <c r="BT923" s="824">
        <f t="shared" ca="1" si="722"/>
        <v>0</v>
      </c>
      <c r="BU923" s="824">
        <f t="shared" ca="1" si="722"/>
        <v>0</v>
      </c>
      <c r="BV923" s="824">
        <f t="shared" ca="1" si="722"/>
        <v>0</v>
      </c>
      <c r="BW923" s="824">
        <f t="shared" ca="1" si="722"/>
        <v>0</v>
      </c>
      <c r="BX923" s="824">
        <f t="shared" ca="1" si="722"/>
        <v>0</v>
      </c>
      <c r="BY923" s="824">
        <f t="shared" ca="1" si="722"/>
        <v>0</v>
      </c>
      <c r="BZ923" s="824">
        <f t="shared" ca="1" si="722"/>
        <v>0</v>
      </c>
      <c r="CA923" s="824">
        <f t="shared" ca="1" si="722"/>
        <v>0</v>
      </c>
      <c r="CB923" s="824">
        <f t="shared" ca="1" si="722"/>
        <v>0</v>
      </c>
      <c r="CC923" s="824">
        <f t="shared" ca="1" si="722"/>
        <v>19140.954948144594</v>
      </c>
      <c r="CD923" s="824">
        <f t="shared" ca="1" si="722"/>
        <v>0</v>
      </c>
      <c r="CE923" s="824">
        <f t="shared" ca="1" si="724"/>
        <v>0</v>
      </c>
      <c r="CF923" s="824">
        <f t="shared" ca="1" si="724"/>
        <v>0</v>
      </c>
      <c r="CG923" s="824">
        <f t="shared" ca="1" si="724"/>
        <v>0</v>
      </c>
      <c r="CH923" s="824">
        <f t="shared" ca="1" si="724"/>
        <v>0</v>
      </c>
      <c r="CI923" s="824">
        <f t="shared" ca="1" si="724"/>
        <v>0</v>
      </c>
      <c r="CJ923" s="824">
        <f t="shared" ca="1" si="724"/>
        <v>0</v>
      </c>
      <c r="CK923" s="824">
        <f t="shared" ca="1" si="724"/>
        <v>0</v>
      </c>
      <c r="CL923" s="824">
        <f t="shared" ca="1" si="724"/>
        <v>0</v>
      </c>
      <c r="CM923" s="824">
        <f t="shared" ca="1" si="724"/>
        <v>0</v>
      </c>
      <c r="CN923" s="824">
        <f t="shared" ca="1" si="724"/>
        <v>0</v>
      </c>
      <c r="CO923" s="824">
        <f t="shared" ca="1" si="724"/>
        <v>0</v>
      </c>
      <c r="CP923" s="824">
        <f t="shared" ca="1" si="724"/>
        <v>0</v>
      </c>
      <c r="CQ923" s="824">
        <f t="shared" ca="1" si="724"/>
        <v>0</v>
      </c>
      <c r="CR923" s="824">
        <f t="shared" ca="1" si="724"/>
        <v>24286.739818454153</v>
      </c>
      <c r="CS923" s="824">
        <f t="shared" ca="1" si="724"/>
        <v>0</v>
      </c>
      <c r="CT923" s="824">
        <f t="shared" ca="1" si="723"/>
        <v>0</v>
      </c>
      <c r="CU923" s="824">
        <f t="shared" ca="1" si="700"/>
        <v>0</v>
      </c>
      <c r="CV923" s="824">
        <f t="shared" ca="1" si="700"/>
        <v>0</v>
      </c>
      <c r="CW923" s="824">
        <f t="shared" ca="1" si="700"/>
        <v>0</v>
      </c>
      <c r="CX923" s="824">
        <f t="shared" ca="1" si="700"/>
        <v>0</v>
      </c>
      <c r="CY923" s="824">
        <f t="shared" ca="1" si="700"/>
        <v>0</v>
      </c>
      <c r="CZ923" s="824">
        <f t="shared" ca="1" si="700"/>
        <v>0</v>
      </c>
      <c r="DA923" s="824">
        <f t="shared" ca="1" si="701"/>
        <v>0</v>
      </c>
      <c r="DB923" s="824">
        <f t="shared" ca="1" si="701"/>
        <v>0</v>
      </c>
      <c r="DC923" s="824">
        <f t="shared" ca="1" si="701"/>
        <v>0</v>
      </c>
      <c r="DD923" s="824">
        <f t="shared" ref="DD923:DL943" ca="1" si="725">IF(OR(IF($BL923*1&lt;$BL$196,$BL923*1=DD$198,FALSE),IF($BL923*2&lt;$BL$196,$BL923*2=DD$198,FALSE),IF($BL923*3&lt;$BL$196,$BL923*3=DD$198,FALSE),IF($BL923*4&lt;$BL$196,$BL923*4=DD$198,FALSE),IF($BL923*5&lt;$BL$196,$BL923*5=DD$198,FALSE)),$BN923*$BM$196^DD$198,0)</f>
        <v>0</v>
      </c>
      <c r="DE923" s="824">
        <f t="shared" ca="1" si="725"/>
        <v>0</v>
      </c>
      <c r="DF923" s="824">
        <f t="shared" ca="1" si="725"/>
        <v>0</v>
      </c>
      <c r="DG923" s="824">
        <f t="shared" ca="1" si="725"/>
        <v>0</v>
      </c>
      <c r="DH923" s="824">
        <f t="shared" ca="1" si="725"/>
        <v>0</v>
      </c>
      <c r="DI923" s="824">
        <f t="shared" ca="1" si="725"/>
        <v>0</v>
      </c>
      <c r="DJ923" s="824">
        <f t="shared" ca="1" si="725"/>
        <v>0</v>
      </c>
      <c r="DK923" s="824">
        <f t="shared" ca="1" si="725"/>
        <v>0</v>
      </c>
      <c r="DL923" s="824">
        <f t="shared" ca="1" si="725"/>
        <v>0</v>
      </c>
    </row>
    <row r="924" spans="2:116" ht="12" thickBot="1" x14ac:dyDescent="0.3">
      <c r="B924" s="1673"/>
      <c r="C924" s="1680"/>
      <c r="D924" s="15" t="s">
        <v>130</v>
      </c>
      <c r="E924" s="116"/>
      <c r="F924" s="116">
        <f ca="1">SUBTOTAL(109,'3.5 I&amp;W'!$X$85)</f>
        <v>0</v>
      </c>
      <c r="G924" s="116">
        <f ca="1">SUBTOTAL(109,'3.5 I&amp;W'!$Y$85)</f>
        <v>0</v>
      </c>
      <c r="H924" s="116">
        <f ca="1">SUBTOTAL(109,'3.5 I&amp;W'!$AD$85)</f>
        <v>0</v>
      </c>
      <c r="I924" s="116">
        <f ca="1">SUBTOTAL(109,'3.5 I&amp;W'!$AE$85)</f>
        <v>0</v>
      </c>
      <c r="J924" s="116"/>
      <c r="K924" s="116"/>
      <c r="L924" s="116"/>
      <c r="M924" s="116">
        <f ca="1">SUBTOTAL(109,'3.5 I&amp;W'!$AI$85)</f>
        <v>25</v>
      </c>
      <c r="N924" s="156">
        <f t="shared" ca="1" si="677"/>
        <v>1</v>
      </c>
      <c r="O924" s="116">
        <f ca="1">SUBTOTAL(109,'3.5 I&amp;W'!$S$85)</f>
        <v>2734.2</v>
      </c>
      <c r="P924" s="30">
        <f t="shared" ca="1" si="717"/>
        <v>2478.3844960159149</v>
      </c>
      <c r="Q924" s="31">
        <f t="shared" ca="1" si="718"/>
        <v>0</v>
      </c>
      <c r="R924" s="31">
        <f t="shared" ca="1" si="719"/>
        <v>0</v>
      </c>
      <c r="S924" s="31">
        <f t="shared" ca="1" si="720"/>
        <v>0</v>
      </c>
      <c r="T924" s="32">
        <f t="shared" ca="1" si="721"/>
        <v>0</v>
      </c>
      <c r="U924" s="37">
        <f t="shared" ca="1" si="678"/>
        <v>1219.8831046461596</v>
      </c>
      <c r="V924" s="40">
        <f t="shared" ca="1" si="671"/>
        <v>0</v>
      </c>
      <c r="W924" s="41">
        <f t="shared" ca="1" si="672"/>
        <v>0</v>
      </c>
      <c r="X924" s="43"/>
      <c r="Y924" s="46"/>
      <c r="Z924" s="126"/>
      <c r="AA924" s="136"/>
      <c r="AB924" s="131">
        <v>24</v>
      </c>
      <c r="AC924" s="168">
        <f ca="1">IF(AF923&lt;=1,0,'3.5 Fi&amp;Fo'!$I$25)</f>
        <v>46174.624633000763</v>
      </c>
      <c r="AD924" s="169">
        <f ca="1">IF(AF923&lt;=1,0,AF923*'3.5 Fi&amp;Fo'!$H$25)</f>
        <v>9766.2482248350316</v>
      </c>
      <c r="AE924" s="169">
        <f t="shared" ca="1" si="681"/>
        <v>36408.376408165728</v>
      </c>
      <c r="AF924" s="170">
        <f t="shared" ca="1" si="682"/>
        <v>451904.03483358584</v>
      </c>
      <c r="AG924" s="168">
        <f>IF(AJ923&lt;=1,0,IF(AB924&lt;='3.5 Fi&amp;Fo'!$F$34,'3.5 Fi&amp;Fo'!$J$34,IF(AB924&lt;='3.5 Fi&amp;Fo'!$F$35,'3.5 Fi&amp;Fo'!$J$35,IF(AB924&lt;='3.5 Fi&amp;Fo'!$F$36,'3.5 Fi&amp;Fo'!$J$36,IF(AB924&lt;='3.5 Fi&amp;Fo'!$F$37,'3.5 Fi&amp;Fo'!$J$37,IF(AB924&lt;='3.5 Fi&amp;Fo'!$F$38,'3.5 Fi&amp;Fo'!$J$38,IF(AB924&lt;='3.5 Fi&amp;Fo'!$F$39,'3.5 Fi&amp;Fo'!$J$39,IF(AB924&lt;='3.5 Fi&amp;Fo'!$F$40,'3.5 Fi&amp;Fo'!$J$40))))))))</f>
        <v>104363.61</v>
      </c>
      <c r="AH924" s="203">
        <f>IF(AJ923&lt;=1,0,AJ923*IF(AB924&lt;='3.5 Fi&amp;Fo'!$F$34,'3.5 Fi&amp;Fo'!$I$34,IF(AB924&lt;='3.5 Fi&amp;Fo'!$F$35,'3.5 Fi&amp;Fo'!$I$35,IF(AB924&lt;='3.5 Fi&amp;Fo'!$F$38,'3.5 Fi&amp;Fo'!$I$38,IF(AB924&lt;='3.5 Fi&amp;Fo'!$F$39,'3.5 Fi&amp;Fo'!$I$39,IF(AB924&lt;='3.5 Fi&amp;Fo'!$F$40,'3.5 Fi&amp;Fo'!$I$40))))))</f>
        <v>129039.4989252427</v>
      </c>
      <c r="AI924" s="203">
        <f t="shared" si="683"/>
        <v>-24675.888925242703</v>
      </c>
      <c r="AJ924" s="204">
        <f t="shared" si="684"/>
        <v>2370848.5966569283</v>
      </c>
      <c r="AK924" s="312">
        <f t="shared" ca="1" si="685"/>
        <v>-185691.53371587649</v>
      </c>
      <c r="AL924" s="169">
        <f>IF(AB924&lt;='3.5 Fi&amp;Fo'!$J$15,'3.5 Fi&amp;Fo'!$I$15,0)</f>
        <v>0</v>
      </c>
      <c r="AM924" s="169">
        <f t="shared" si="697"/>
        <v>35153.299082875717</v>
      </c>
      <c r="AN924" s="838">
        <f t="shared" si="702"/>
        <v>24</v>
      </c>
      <c r="AO924" s="844">
        <f t="shared" ca="1" si="686"/>
        <v>185691.53371587649</v>
      </c>
      <c r="AP924" s="839">
        <f ca="1">CL1005</f>
        <v>0</v>
      </c>
      <c r="AQ924" s="844">
        <f t="shared" si="687"/>
        <v>0</v>
      </c>
      <c r="AR924" s="839">
        <f t="shared" ca="1" si="703"/>
        <v>0</v>
      </c>
      <c r="AS924" s="839">
        <f t="shared" ca="1" si="698"/>
        <v>11408.85546100548</v>
      </c>
      <c r="AT924" s="839">
        <f t="shared" ca="1" si="699"/>
        <v>15833.250759596785</v>
      </c>
      <c r="AU924" s="844">
        <f ca="1">'PV-Einspeisung'!AA295*-1</f>
        <v>-532.33892764909956</v>
      </c>
      <c r="AV924" s="844">
        <f>'PV-Einspeisung'!AE295*-1</f>
        <v>-2744.3225334544782</v>
      </c>
      <c r="AW924" s="839"/>
      <c r="AX924" s="839">
        <f t="shared" ca="1" si="704"/>
        <v>0</v>
      </c>
      <c r="AY924" s="841">
        <f t="shared" si="688"/>
        <v>24</v>
      </c>
      <c r="AZ924" s="842">
        <f t="shared" ca="1" si="705"/>
        <v>0</v>
      </c>
      <c r="BA924" s="842">
        <f t="shared" ca="1" si="706"/>
        <v>0</v>
      </c>
      <c r="BB924" s="842">
        <f t="shared" ca="1" si="707"/>
        <v>0</v>
      </c>
      <c r="BC924" s="842">
        <f t="shared" ca="1" si="708"/>
        <v>0</v>
      </c>
      <c r="BD924" s="842">
        <f t="shared" ca="1" si="709"/>
        <v>0</v>
      </c>
      <c r="BE924" s="842">
        <f t="shared" ca="1" si="710"/>
        <v>0</v>
      </c>
      <c r="BF924" s="842">
        <f t="shared" ca="1" si="711"/>
        <v>11393.408466378571</v>
      </c>
      <c r="BG924" s="842">
        <f t="shared" ca="1" si="712"/>
        <v>4439.8422932182148</v>
      </c>
      <c r="BH924" s="858">
        <f t="shared" si="696"/>
        <v>24</v>
      </c>
      <c r="BI924" s="857">
        <f t="shared" ca="1" si="713"/>
        <v>4316.7318454101769</v>
      </c>
      <c r="BJ924" s="857">
        <f t="shared" ca="1" si="714"/>
        <v>7092.1236155953029</v>
      </c>
      <c r="BK924" s="859">
        <f ca="1">'PV-Einspeisung'!AB295*-1</f>
        <v>0</v>
      </c>
      <c r="BL924" s="824">
        <f t="shared" ca="1" si="673"/>
        <v>25</v>
      </c>
      <c r="BM924" s="824">
        <f t="shared" ca="1" si="674"/>
        <v>1</v>
      </c>
      <c r="BN924" s="824">
        <f t="shared" ca="1" si="675"/>
        <v>2734.2</v>
      </c>
      <c r="BO924" s="824">
        <f t="shared" ca="1" si="722"/>
        <v>0</v>
      </c>
      <c r="BP924" s="824">
        <f t="shared" ca="1" si="722"/>
        <v>0</v>
      </c>
      <c r="BQ924" s="824">
        <f t="shared" ca="1" si="722"/>
        <v>0</v>
      </c>
      <c r="BR924" s="824">
        <f t="shared" ca="1" si="722"/>
        <v>0</v>
      </c>
      <c r="BS924" s="824">
        <f t="shared" ca="1" si="722"/>
        <v>0</v>
      </c>
      <c r="BT924" s="824">
        <f t="shared" ca="1" si="722"/>
        <v>0</v>
      </c>
      <c r="BU924" s="824">
        <f t="shared" ca="1" si="722"/>
        <v>0</v>
      </c>
      <c r="BV924" s="824">
        <f t="shared" ca="1" si="722"/>
        <v>0</v>
      </c>
      <c r="BW924" s="824">
        <f t="shared" ca="1" si="722"/>
        <v>0</v>
      </c>
      <c r="BX924" s="824">
        <f t="shared" ca="1" si="722"/>
        <v>0</v>
      </c>
      <c r="BY924" s="824">
        <f t="shared" ca="1" si="722"/>
        <v>0</v>
      </c>
      <c r="BZ924" s="824">
        <f t="shared" ca="1" si="722"/>
        <v>0</v>
      </c>
      <c r="CA924" s="824">
        <f t="shared" ca="1" si="722"/>
        <v>0</v>
      </c>
      <c r="CB924" s="824">
        <f t="shared" ca="1" si="722"/>
        <v>0</v>
      </c>
      <c r="CC924" s="824">
        <f t="shared" ca="1" si="722"/>
        <v>0</v>
      </c>
      <c r="CD924" s="824">
        <f t="shared" ca="1" si="722"/>
        <v>0</v>
      </c>
      <c r="CE924" s="824">
        <f t="shared" ca="1" si="724"/>
        <v>0</v>
      </c>
      <c r="CF924" s="824">
        <f t="shared" ca="1" si="724"/>
        <v>0</v>
      </c>
      <c r="CG924" s="824">
        <f t="shared" ca="1" si="724"/>
        <v>0</v>
      </c>
      <c r="CH924" s="824">
        <f t="shared" ca="1" si="724"/>
        <v>0</v>
      </c>
      <c r="CI924" s="824">
        <f t="shared" ca="1" si="724"/>
        <v>0</v>
      </c>
      <c r="CJ924" s="824">
        <f t="shared" ca="1" si="724"/>
        <v>0</v>
      </c>
      <c r="CK924" s="824">
        <f t="shared" ca="1" si="724"/>
        <v>0</v>
      </c>
      <c r="CL924" s="824">
        <f t="shared" ca="1" si="724"/>
        <v>0</v>
      </c>
      <c r="CM924" s="824">
        <f t="shared" ca="1" si="724"/>
        <v>4066.0524607521575</v>
      </c>
      <c r="CN924" s="824">
        <f t="shared" ca="1" si="724"/>
        <v>0</v>
      </c>
      <c r="CO924" s="824">
        <f t="shared" ca="1" si="724"/>
        <v>0</v>
      </c>
      <c r="CP924" s="824">
        <f t="shared" ca="1" si="724"/>
        <v>0</v>
      </c>
      <c r="CQ924" s="824">
        <f t="shared" ca="1" si="724"/>
        <v>0</v>
      </c>
      <c r="CR924" s="824">
        <f t="shared" ca="1" si="724"/>
        <v>0</v>
      </c>
      <c r="CS924" s="824">
        <f t="shared" ca="1" si="724"/>
        <v>0</v>
      </c>
      <c r="CT924" s="824">
        <f t="shared" ca="1" si="723"/>
        <v>0</v>
      </c>
      <c r="CU924" s="824">
        <f t="shared" ca="1" si="700"/>
        <v>0</v>
      </c>
      <c r="CV924" s="824">
        <f t="shared" ca="1" si="700"/>
        <v>0</v>
      </c>
      <c r="CW924" s="824">
        <f t="shared" ca="1" si="700"/>
        <v>0</v>
      </c>
      <c r="CX924" s="824">
        <f t="shared" ca="1" si="700"/>
        <v>0</v>
      </c>
      <c r="CY924" s="824">
        <f t="shared" ca="1" si="700"/>
        <v>0</v>
      </c>
      <c r="CZ924" s="824">
        <f t="shared" ca="1" si="700"/>
        <v>0</v>
      </c>
      <c r="DA924" s="824">
        <f t="shared" ref="DA924:DL987" ca="1" si="726">IF(OR(IF($BL924*1&lt;$BL$196,$BL924*1=DA$198,FALSE),IF($BL924*2&lt;$BL$196,$BL924*2=DA$198,FALSE),IF($BL924*3&lt;$BL$196,$BL924*3=DA$198,FALSE),IF($BL924*4&lt;$BL$196,$BL924*4=DA$198,FALSE),IF($BL924*5&lt;$BL$196,$BL924*5=DA$198,FALSE)),$BN924*$BM$196^DA$198,0)</f>
        <v>0</v>
      </c>
      <c r="DB924" s="824">
        <f t="shared" ca="1" si="726"/>
        <v>0</v>
      </c>
      <c r="DC924" s="824">
        <f t="shared" ca="1" si="726"/>
        <v>0</v>
      </c>
      <c r="DD924" s="824">
        <f t="shared" ca="1" si="726"/>
        <v>0</v>
      </c>
      <c r="DE924" s="824">
        <f t="shared" ca="1" si="726"/>
        <v>0</v>
      </c>
      <c r="DF924" s="824">
        <f t="shared" ca="1" si="726"/>
        <v>0</v>
      </c>
      <c r="DG924" s="824">
        <f t="shared" ca="1" si="726"/>
        <v>0</v>
      </c>
      <c r="DH924" s="824">
        <f t="shared" ca="1" si="726"/>
        <v>0</v>
      </c>
      <c r="DI924" s="824">
        <f t="shared" ca="1" si="726"/>
        <v>0</v>
      </c>
      <c r="DJ924" s="824">
        <f t="shared" ca="1" si="726"/>
        <v>0</v>
      </c>
      <c r="DK924" s="824">
        <f t="shared" ca="1" si="725"/>
        <v>0</v>
      </c>
      <c r="DL924" s="824">
        <f t="shared" ca="1" si="725"/>
        <v>0</v>
      </c>
    </row>
    <row r="925" spans="2:116" ht="12" thickBot="1" x14ac:dyDescent="0.3">
      <c r="B925" s="1673"/>
      <c r="C925" s="1680"/>
      <c r="D925" s="15" t="s">
        <v>130</v>
      </c>
      <c r="E925" s="165"/>
      <c r="F925" s="116">
        <f ca="1">SUBTOTAL(109,'3.5 I&amp;W'!$X$86)</f>
        <v>0</v>
      </c>
      <c r="G925" s="116">
        <f ca="1">SUBTOTAL(109,'3.5 I&amp;W'!$Y$86)</f>
        <v>0</v>
      </c>
      <c r="H925" s="116">
        <f ca="1">SUBTOTAL(109,'3.5 I&amp;W'!$AD$86)</f>
        <v>0</v>
      </c>
      <c r="I925" s="116">
        <f ca="1">SUBTOTAL(109,'3.5 I&amp;W'!$AE$86)</f>
        <v>0</v>
      </c>
      <c r="J925" s="116"/>
      <c r="K925" s="116"/>
      <c r="L925" s="116"/>
      <c r="M925" s="116">
        <f ca="1">SUBTOTAL(109,'3.5 I&amp;W'!$AI$86)</f>
        <v>65</v>
      </c>
      <c r="N925" s="156">
        <f t="shared" ca="1" si="677"/>
        <v>0</v>
      </c>
      <c r="O925" s="116">
        <f ca="1">SUBTOTAL(109,'3.5 I&amp;W'!$S$86)</f>
        <v>50279.015999999996</v>
      </c>
      <c r="P925" s="30">
        <f t="shared" ca="1" si="717"/>
        <v>0</v>
      </c>
      <c r="Q925" s="31">
        <f t="shared" ca="1" si="718"/>
        <v>0</v>
      </c>
      <c r="R925" s="31">
        <f t="shared" ca="1" si="719"/>
        <v>0</v>
      </c>
      <c r="S925" s="31">
        <f t="shared" ca="1" si="720"/>
        <v>0</v>
      </c>
      <c r="T925" s="32">
        <f t="shared" ca="1" si="721"/>
        <v>0</v>
      </c>
      <c r="U925" s="37">
        <f t="shared" ca="1" si="678"/>
        <v>11603.490633477195</v>
      </c>
      <c r="V925" s="40">
        <f t="shared" ca="1" si="671"/>
        <v>0</v>
      </c>
      <c r="W925" s="41">
        <f t="shared" ca="1" si="672"/>
        <v>0</v>
      </c>
      <c r="X925" s="43"/>
      <c r="Y925" s="46"/>
      <c r="Z925" s="126"/>
      <c r="AA925" s="136"/>
      <c r="AB925" s="131">
        <v>25</v>
      </c>
      <c r="AC925" s="168">
        <f ca="1">IF(AF924&lt;=1,0,'3.5 Fi&amp;Fo'!$I$25)</f>
        <v>46174.624633000763</v>
      </c>
      <c r="AD925" s="169">
        <f ca="1">IF(AF924&lt;=1,0,AF924*'3.5 Fi&amp;Fo'!$H$25)</f>
        <v>9038.0806966717173</v>
      </c>
      <c r="AE925" s="169">
        <f t="shared" ca="1" si="681"/>
        <v>37136.54393632905</v>
      </c>
      <c r="AF925" s="170">
        <f t="shared" ca="1" si="682"/>
        <v>414767.49089725676</v>
      </c>
      <c r="AG925" s="168">
        <f>IF(AJ924&lt;=1,0,IF(AB925&lt;='3.5 Fi&amp;Fo'!$F$34,'3.5 Fi&amp;Fo'!$J$34,IF(AB925&lt;='3.5 Fi&amp;Fo'!$F$35,'3.5 Fi&amp;Fo'!$J$35,IF(AB925&lt;='3.5 Fi&amp;Fo'!$F$36,'3.5 Fi&amp;Fo'!$J$36,IF(AB925&lt;='3.5 Fi&amp;Fo'!$F$37,'3.5 Fi&amp;Fo'!$J$37,IF(AB925&lt;='3.5 Fi&amp;Fo'!$F$38,'3.5 Fi&amp;Fo'!$J$38,IF(AB925&lt;='3.5 Fi&amp;Fo'!$F$39,'3.5 Fi&amp;Fo'!$J$39,IF(AB925&lt;='3.5 Fi&amp;Fo'!$F$40,'3.5 Fi&amp;Fo'!$J$40))))))))</f>
        <v>104363.61</v>
      </c>
      <c r="AH925" s="203">
        <f>IF(AJ924&lt;=1,0,AJ924*IF(AB925&lt;='3.5 Fi&amp;Fo'!$F$34,'3.5 Fi&amp;Fo'!$I$34,IF(AB925&lt;='3.5 Fi&amp;Fo'!$F$35,'3.5 Fi&amp;Fo'!$I$35,IF(AB925&lt;='3.5 Fi&amp;Fo'!$F$38,'3.5 Fi&amp;Fo'!$I$38,IF(AB925&lt;='3.5 Fi&amp;Fo'!$F$39,'3.5 Fi&amp;Fo'!$I$39,IF(AB925&lt;='3.5 Fi&amp;Fo'!$F$40,'3.5 Fi&amp;Fo'!$I$40))))))</f>
        <v>130396.67281613106</v>
      </c>
      <c r="AI925" s="203">
        <f t="shared" si="683"/>
        <v>-26033.06281613106</v>
      </c>
      <c r="AJ925" s="204">
        <f t="shared" si="684"/>
        <v>2396881.6594730592</v>
      </c>
      <c r="AK925" s="312">
        <f t="shared" ca="1" si="685"/>
        <v>-186394.59969753397</v>
      </c>
      <c r="AL925" s="169">
        <f>IF(AB925&lt;='3.5 Fi&amp;Fo'!$J$15,'3.5 Fi&amp;Fo'!$I$15,0)</f>
        <v>0</v>
      </c>
      <c r="AM925" s="169">
        <f t="shared" si="697"/>
        <v>35856.365064533195</v>
      </c>
      <c r="AN925" s="838">
        <f t="shared" si="702"/>
        <v>25</v>
      </c>
      <c r="AO925" s="844">
        <f t="shared" ca="1" si="686"/>
        <v>186394.59969753397</v>
      </c>
      <c r="AP925" s="839">
        <f ca="1">CM1005</f>
        <v>105231.07945221136</v>
      </c>
      <c r="AQ925" s="844">
        <f t="shared" si="687"/>
        <v>0</v>
      </c>
      <c r="AR925" s="839">
        <f t="shared" ca="1" si="703"/>
        <v>0</v>
      </c>
      <c r="AS925" s="839">
        <f t="shared" ca="1" si="698"/>
        <v>11591.397148381568</v>
      </c>
      <c r="AT925" s="839">
        <f t="shared" ca="1" si="699"/>
        <v>16273.480451518886</v>
      </c>
      <c r="AU925" s="844">
        <f ca="1">'PV-Einspeisung'!AA296*-1</f>
        <v>-545.64740084032712</v>
      </c>
      <c r="AV925" s="844">
        <f>'PV-Einspeisung'!AE296*-1</f>
        <v>-2812.9305967908399</v>
      </c>
      <c r="AW925" s="839"/>
      <c r="AX925" s="839">
        <f t="shared" ca="1" si="704"/>
        <v>0</v>
      </c>
      <c r="AY925" s="841">
        <f t="shared" si="688"/>
        <v>25</v>
      </c>
      <c r="AZ925" s="842">
        <f t="shared" ca="1" si="705"/>
        <v>0</v>
      </c>
      <c r="BA925" s="842">
        <f t="shared" ca="1" si="706"/>
        <v>0</v>
      </c>
      <c r="BB925" s="842">
        <f t="shared" ca="1" si="707"/>
        <v>0</v>
      </c>
      <c r="BC925" s="842">
        <f t="shared" ca="1" si="708"/>
        <v>0</v>
      </c>
      <c r="BD925" s="842">
        <f t="shared" ca="1" si="709"/>
        <v>0</v>
      </c>
      <c r="BE925" s="842">
        <f t="shared" ca="1" si="710"/>
        <v>0</v>
      </c>
      <c r="BF925" s="842">
        <f t="shared" ca="1" si="711"/>
        <v>11678.243678038034</v>
      </c>
      <c r="BG925" s="842">
        <f t="shared" ca="1" si="712"/>
        <v>4595.2367734808522</v>
      </c>
      <c r="BH925" s="858">
        <f t="shared" si="696"/>
        <v>25</v>
      </c>
      <c r="BI925" s="857">
        <f t="shared" ca="1" si="713"/>
        <v>4385.7995549367397</v>
      </c>
      <c r="BJ925" s="857">
        <f t="shared" ca="1" si="714"/>
        <v>7205.5975934448279</v>
      </c>
      <c r="BK925" s="859">
        <f ca="1">'PV-Einspeisung'!AB296*-1</f>
        <v>0</v>
      </c>
      <c r="BL925" s="824">
        <f t="shared" ca="1" si="673"/>
        <v>65</v>
      </c>
      <c r="BM925" s="824">
        <f t="shared" ca="1" si="674"/>
        <v>0</v>
      </c>
      <c r="BN925" s="824">
        <f t="shared" ca="1" si="675"/>
        <v>50279.015999999996</v>
      </c>
      <c r="BO925" s="824">
        <f t="shared" ca="1" si="722"/>
        <v>0</v>
      </c>
      <c r="BP925" s="824">
        <f t="shared" ca="1" si="722"/>
        <v>0</v>
      </c>
      <c r="BQ925" s="824">
        <f t="shared" ca="1" si="722"/>
        <v>0</v>
      </c>
      <c r="BR925" s="824">
        <f t="shared" ca="1" si="722"/>
        <v>0</v>
      </c>
      <c r="BS925" s="824">
        <f t="shared" ca="1" si="722"/>
        <v>0</v>
      </c>
      <c r="BT925" s="824">
        <f t="shared" ca="1" si="722"/>
        <v>0</v>
      </c>
      <c r="BU925" s="824">
        <f t="shared" ca="1" si="722"/>
        <v>0</v>
      </c>
      <c r="BV925" s="824">
        <f t="shared" ca="1" si="722"/>
        <v>0</v>
      </c>
      <c r="BW925" s="824">
        <f t="shared" ca="1" si="722"/>
        <v>0</v>
      </c>
      <c r="BX925" s="824">
        <f t="shared" ca="1" si="722"/>
        <v>0</v>
      </c>
      <c r="BY925" s="824">
        <f t="shared" ca="1" si="722"/>
        <v>0</v>
      </c>
      <c r="BZ925" s="824">
        <f t="shared" ca="1" si="722"/>
        <v>0</v>
      </c>
      <c r="CA925" s="824">
        <f t="shared" ca="1" si="722"/>
        <v>0</v>
      </c>
      <c r="CB925" s="824">
        <f t="shared" ca="1" si="722"/>
        <v>0</v>
      </c>
      <c r="CC925" s="824">
        <f t="shared" ca="1" si="722"/>
        <v>0</v>
      </c>
      <c r="CD925" s="824">
        <f t="shared" ca="1" si="722"/>
        <v>0</v>
      </c>
      <c r="CE925" s="824">
        <f t="shared" ca="1" si="724"/>
        <v>0</v>
      </c>
      <c r="CF925" s="824">
        <f t="shared" ca="1" si="724"/>
        <v>0</v>
      </c>
      <c r="CG925" s="824">
        <f t="shared" ca="1" si="724"/>
        <v>0</v>
      </c>
      <c r="CH925" s="824">
        <f t="shared" ca="1" si="724"/>
        <v>0</v>
      </c>
      <c r="CI925" s="824">
        <f t="shared" ca="1" si="724"/>
        <v>0</v>
      </c>
      <c r="CJ925" s="824">
        <f t="shared" ca="1" si="724"/>
        <v>0</v>
      </c>
      <c r="CK925" s="824">
        <f t="shared" ca="1" si="724"/>
        <v>0</v>
      </c>
      <c r="CL925" s="824">
        <f t="shared" ca="1" si="724"/>
        <v>0</v>
      </c>
      <c r="CM925" s="824">
        <f t="shared" ca="1" si="724"/>
        <v>0</v>
      </c>
      <c r="CN925" s="824">
        <f t="shared" ca="1" si="724"/>
        <v>0</v>
      </c>
      <c r="CO925" s="824">
        <f t="shared" ca="1" si="724"/>
        <v>0</v>
      </c>
      <c r="CP925" s="824">
        <f t="shared" ca="1" si="724"/>
        <v>0</v>
      </c>
      <c r="CQ925" s="824">
        <f t="shared" ca="1" si="724"/>
        <v>0</v>
      </c>
      <c r="CR925" s="824">
        <f t="shared" ca="1" si="724"/>
        <v>0</v>
      </c>
      <c r="CS925" s="824">
        <f t="shared" ca="1" si="724"/>
        <v>0</v>
      </c>
      <c r="CT925" s="824">
        <f t="shared" ca="1" si="723"/>
        <v>0</v>
      </c>
      <c r="CU925" s="824">
        <f t="shared" ca="1" si="700"/>
        <v>0</v>
      </c>
      <c r="CV925" s="824">
        <f t="shared" ca="1" si="700"/>
        <v>0</v>
      </c>
      <c r="CW925" s="824">
        <f t="shared" ca="1" si="700"/>
        <v>0</v>
      </c>
      <c r="CX925" s="824">
        <f t="shared" ca="1" si="700"/>
        <v>0</v>
      </c>
      <c r="CY925" s="824">
        <f t="shared" ca="1" si="700"/>
        <v>0</v>
      </c>
      <c r="CZ925" s="824">
        <f t="shared" ca="1" si="700"/>
        <v>0</v>
      </c>
      <c r="DA925" s="824">
        <f t="shared" ca="1" si="726"/>
        <v>0</v>
      </c>
      <c r="DB925" s="824">
        <f t="shared" ca="1" si="726"/>
        <v>0</v>
      </c>
      <c r="DC925" s="824">
        <f t="shared" ca="1" si="726"/>
        <v>0</v>
      </c>
      <c r="DD925" s="824">
        <f t="shared" ca="1" si="726"/>
        <v>0</v>
      </c>
      <c r="DE925" s="824">
        <f t="shared" ca="1" si="726"/>
        <v>0</v>
      </c>
      <c r="DF925" s="824">
        <f t="shared" ca="1" si="726"/>
        <v>0</v>
      </c>
      <c r="DG925" s="824">
        <f t="shared" ca="1" si="726"/>
        <v>0</v>
      </c>
      <c r="DH925" s="824">
        <f t="shared" ca="1" si="726"/>
        <v>0</v>
      </c>
      <c r="DI925" s="824">
        <f t="shared" ca="1" si="726"/>
        <v>0</v>
      </c>
      <c r="DJ925" s="824">
        <f t="shared" ca="1" si="726"/>
        <v>0</v>
      </c>
      <c r="DK925" s="824">
        <f t="shared" ca="1" si="725"/>
        <v>0</v>
      </c>
      <c r="DL925" s="824">
        <f t="shared" ca="1" si="725"/>
        <v>0</v>
      </c>
    </row>
    <row r="926" spans="2:116" ht="12" thickBot="1" x14ac:dyDescent="0.3">
      <c r="B926" s="1673"/>
      <c r="C926" s="1680"/>
      <c r="D926" s="15" t="s">
        <v>131</v>
      </c>
      <c r="E926" s="116"/>
      <c r="F926" s="116">
        <f ca="1">SUBTOTAL(109,'3.5 I&amp;W'!$X$89)</f>
        <v>0</v>
      </c>
      <c r="G926" s="116">
        <f ca="1">SUBTOTAL(109,'3.5 I&amp;W'!$Y$89)</f>
        <v>0</v>
      </c>
      <c r="H926" s="116">
        <f ca="1">SUBTOTAL(109,'3.5 I&amp;W'!$AD$89)</f>
        <v>0</v>
      </c>
      <c r="I926" s="116">
        <f ca="1">SUBTOTAL(109,'3.5 I&amp;W'!$AE$89)</f>
        <v>0</v>
      </c>
      <c r="J926" s="116"/>
      <c r="K926" s="116"/>
      <c r="L926" s="116"/>
      <c r="M926" s="116">
        <f ca="1">SUBTOTAL(109,'3.5 I&amp;W'!$AI$89)</f>
        <v>0</v>
      </c>
      <c r="N926" s="156">
        <f t="shared" ca="1" si="677"/>
        <v>0</v>
      </c>
      <c r="O926" s="116">
        <f ca="1">SUBTOTAL(109,'3.5 I&amp;W'!$S$89)</f>
        <v>0</v>
      </c>
      <c r="P926" s="30">
        <f t="shared" ca="1" si="717"/>
        <v>0</v>
      </c>
      <c r="Q926" s="31">
        <f t="shared" ca="1" si="718"/>
        <v>0</v>
      </c>
      <c r="R926" s="31">
        <f t="shared" ca="1" si="719"/>
        <v>0</v>
      </c>
      <c r="S926" s="31">
        <f t="shared" ca="1" si="720"/>
        <v>0</v>
      </c>
      <c r="T926" s="32">
        <f t="shared" ca="1" si="721"/>
        <v>0</v>
      </c>
      <c r="U926" s="37">
        <f t="shared" ca="1" si="678"/>
        <v>0</v>
      </c>
      <c r="V926" s="40">
        <f t="shared" ca="1" si="671"/>
        <v>0</v>
      </c>
      <c r="W926" s="41">
        <f t="shared" ca="1" si="672"/>
        <v>0</v>
      </c>
      <c r="X926" s="43"/>
      <c r="Y926" s="46"/>
      <c r="Z926" s="126"/>
      <c r="AA926" s="136"/>
      <c r="AB926" s="131">
        <v>26</v>
      </c>
      <c r="AC926" s="168">
        <f ca="1">IF(AF925&lt;=1,0,'3.5 Fi&amp;Fo'!$I$25)</f>
        <v>46174.624633000763</v>
      </c>
      <c r="AD926" s="169">
        <f ca="1">IF(AF925&lt;=1,0,AF925*'3.5 Fi&amp;Fo'!$H$25)</f>
        <v>8295.3498179451362</v>
      </c>
      <c r="AE926" s="169">
        <f t="shared" ca="1" si="681"/>
        <v>37879.274815055629</v>
      </c>
      <c r="AF926" s="170">
        <f t="shared" ca="1" si="682"/>
        <v>376888.21608220111</v>
      </c>
      <c r="AG926" s="168">
        <f>IF(AJ925&lt;=1,0,IF(AB926&lt;='3.5 Fi&amp;Fo'!$F$34,'3.5 Fi&amp;Fo'!$J$34,IF(AB926&lt;='3.5 Fi&amp;Fo'!$F$35,'3.5 Fi&amp;Fo'!$J$35,IF(AB926&lt;='3.5 Fi&amp;Fo'!$F$36,'3.5 Fi&amp;Fo'!$J$36,IF(AB926&lt;='3.5 Fi&amp;Fo'!$F$37,'3.5 Fi&amp;Fo'!$J$37,IF(AB926&lt;='3.5 Fi&amp;Fo'!$F$38,'3.5 Fi&amp;Fo'!$J$38,IF(AB926&lt;='3.5 Fi&amp;Fo'!$F$39,'3.5 Fi&amp;Fo'!$J$39,IF(AB926&lt;='3.5 Fi&amp;Fo'!$F$40,'3.5 Fi&amp;Fo'!$J$40))))))))</f>
        <v>113850.12</v>
      </c>
      <c r="AH926" s="203">
        <f>IF(AJ925&lt;=1,0,AJ925*IF(AB926&lt;='3.5 Fi&amp;Fo'!$F$34,'3.5 Fi&amp;Fo'!$I$34,IF(AB926&lt;='3.5 Fi&amp;Fo'!$F$35,'3.5 Fi&amp;Fo'!$I$35,IF(AB926&lt;='3.5 Fi&amp;Fo'!$F$38,'3.5 Fi&amp;Fo'!$I$38,IF(AB926&lt;='3.5 Fi&amp;Fo'!$F$39,'3.5 Fi&amp;Fo'!$I$39,IF(AB926&lt;='3.5 Fi&amp;Fo'!$F$40,'3.5 Fi&amp;Fo'!$I$40))))))</f>
        <v>143812.89956838355</v>
      </c>
      <c r="AI926" s="203">
        <f t="shared" si="683"/>
        <v>-29962.779568383557</v>
      </c>
      <c r="AJ926" s="204">
        <f t="shared" si="684"/>
        <v>2426844.4390414427</v>
      </c>
      <c r="AK926" s="312">
        <f t="shared" ca="1" si="685"/>
        <v>-196598.23699882481</v>
      </c>
      <c r="AL926" s="169">
        <f>IF(AB926&lt;='3.5 Fi&amp;Fo'!$J$15,'3.5 Fi&amp;Fo'!$I$15,0)</f>
        <v>0</v>
      </c>
      <c r="AM926" s="169">
        <f t="shared" si="697"/>
        <v>36573.492365824059</v>
      </c>
      <c r="AN926" s="838">
        <f t="shared" si="702"/>
        <v>26</v>
      </c>
      <c r="AO926" s="844">
        <f t="shared" ca="1" si="686"/>
        <v>196598.23699882481</v>
      </c>
      <c r="AP926" s="839">
        <f ca="1">CN1005</f>
        <v>0</v>
      </c>
      <c r="AQ926" s="844">
        <f t="shared" si="687"/>
        <v>0</v>
      </c>
      <c r="AR926" s="839">
        <f t="shared" ca="1" si="703"/>
        <v>0</v>
      </c>
      <c r="AS926" s="839">
        <f t="shared" ca="1" si="698"/>
        <v>11776.859502755673</v>
      </c>
      <c r="AT926" s="839">
        <f t="shared" ca="1" si="699"/>
        <v>16726.269830541663</v>
      </c>
      <c r="AU926" s="844">
        <f ca="1">'PV-Einspeisung'!AA297*-1</f>
        <v>-559.28858586133515</v>
      </c>
      <c r="AV926" s="844">
        <f>'PV-Einspeisung'!AE297*-1</f>
        <v>-2883.2538617106102</v>
      </c>
      <c r="AW926" s="839"/>
      <c r="AX926" s="839">
        <f t="shared" ca="1" si="704"/>
        <v>0</v>
      </c>
      <c r="AY926" s="841">
        <f t="shared" si="688"/>
        <v>26</v>
      </c>
      <c r="AZ926" s="842">
        <f t="shared" ca="1" si="705"/>
        <v>0</v>
      </c>
      <c r="BA926" s="842">
        <f t="shared" ca="1" si="706"/>
        <v>0</v>
      </c>
      <c r="BB926" s="842">
        <f t="shared" ca="1" si="707"/>
        <v>0</v>
      </c>
      <c r="BC926" s="842">
        <f t="shared" ca="1" si="708"/>
        <v>0</v>
      </c>
      <c r="BD926" s="842">
        <f t="shared" ca="1" si="709"/>
        <v>0</v>
      </c>
      <c r="BE926" s="842">
        <f t="shared" ca="1" si="710"/>
        <v>0</v>
      </c>
      <c r="BF926" s="842">
        <f t="shared" ca="1" si="711"/>
        <v>11970.199769988983</v>
      </c>
      <c r="BG926" s="842">
        <f t="shared" ca="1" si="712"/>
        <v>4756.0700605526818</v>
      </c>
      <c r="BH926" s="858">
        <f t="shared" si="696"/>
        <v>26</v>
      </c>
      <c r="BI926" s="857">
        <f t="shared" ca="1" si="713"/>
        <v>4455.9723478157275</v>
      </c>
      <c r="BJ926" s="857">
        <f t="shared" ca="1" si="714"/>
        <v>7320.8871549399455</v>
      </c>
      <c r="BK926" s="859">
        <f ca="1">'PV-Einspeisung'!AB297*-1</f>
        <v>0</v>
      </c>
      <c r="BL926" s="824">
        <f t="shared" ca="1" si="673"/>
        <v>0</v>
      </c>
      <c r="BM926" s="824">
        <f t="shared" ca="1" si="674"/>
        <v>0</v>
      </c>
      <c r="BN926" s="824">
        <f t="shared" ca="1" si="675"/>
        <v>0</v>
      </c>
      <c r="BO926" s="824">
        <f t="shared" ca="1" si="722"/>
        <v>0</v>
      </c>
      <c r="BP926" s="824">
        <f t="shared" ca="1" si="722"/>
        <v>0</v>
      </c>
      <c r="BQ926" s="824">
        <f t="shared" ca="1" si="722"/>
        <v>0</v>
      </c>
      <c r="BR926" s="824">
        <f t="shared" ca="1" si="722"/>
        <v>0</v>
      </c>
      <c r="BS926" s="824">
        <f t="shared" ca="1" si="722"/>
        <v>0</v>
      </c>
      <c r="BT926" s="824">
        <f t="shared" ca="1" si="722"/>
        <v>0</v>
      </c>
      <c r="BU926" s="824">
        <f t="shared" ca="1" si="722"/>
        <v>0</v>
      </c>
      <c r="BV926" s="824">
        <f t="shared" ca="1" si="722"/>
        <v>0</v>
      </c>
      <c r="BW926" s="824">
        <f t="shared" ca="1" si="722"/>
        <v>0</v>
      </c>
      <c r="BX926" s="824">
        <f t="shared" ca="1" si="722"/>
        <v>0</v>
      </c>
      <c r="BY926" s="824">
        <f t="shared" ca="1" si="722"/>
        <v>0</v>
      </c>
      <c r="BZ926" s="824">
        <f t="shared" ca="1" si="722"/>
        <v>0</v>
      </c>
      <c r="CA926" s="824">
        <f t="shared" ca="1" si="722"/>
        <v>0</v>
      </c>
      <c r="CB926" s="824">
        <f t="shared" ca="1" si="722"/>
        <v>0</v>
      </c>
      <c r="CC926" s="824">
        <f t="shared" ca="1" si="722"/>
        <v>0</v>
      </c>
      <c r="CD926" s="824">
        <f t="shared" ca="1" si="722"/>
        <v>0</v>
      </c>
      <c r="CE926" s="824">
        <f t="shared" ca="1" si="724"/>
        <v>0</v>
      </c>
      <c r="CF926" s="824">
        <f t="shared" ca="1" si="724"/>
        <v>0</v>
      </c>
      <c r="CG926" s="824">
        <f t="shared" ca="1" si="724"/>
        <v>0</v>
      </c>
      <c r="CH926" s="824">
        <f t="shared" ca="1" si="724"/>
        <v>0</v>
      </c>
      <c r="CI926" s="824">
        <f t="shared" ca="1" si="724"/>
        <v>0</v>
      </c>
      <c r="CJ926" s="824">
        <f t="shared" ca="1" si="724"/>
        <v>0</v>
      </c>
      <c r="CK926" s="824">
        <f t="shared" ca="1" si="724"/>
        <v>0</v>
      </c>
      <c r="CL926" s="824">
        <f t="shared" ca="1" si="724"/>
        <v>0</v>
      </c>
      <c r="CM926" s="824">
        <f t="shared" ca="1" si="724"/>
        <v>0</v>
      </c>
      <c r="CN926" s="824">
        <f t="shared" ca="1" si="724"/>
        <v>0</v>
      </c>
      <c r="CO926" s="824">
        <f t="shared" ca="1" si="724"/>
        <v>0</v>
      </c>
      <c r="CP926" s="824">
        <f t="shared" ca="1" si="724"/>
        <v>0</v>
      </c>
      <c r="CQ926" s="824">
        <f t="shared" ca="1" si="724"/>
        <v>0</v>
      </c>
      <c r="CR926" s="824">
        <f t="shared" ca="1" si="724"/>
        <v>0</v>
      </c>
      <c r="CS926" s="824">
        <f t="shared" ca="1" si="724"/>
        <v>0</v>
      </c>
      <c r="CT926" s="824">
        <f t="shared" ca="1" si="723"/>
        <v>0</v>
      </c>
      <c r="CU926" s="824">
        <f t="shared" ca="1" si="700"/>
        <v>0</v>
      </c>
      <c r="CV926" s="824">
        <f t="shared" ca="1" si="700"/>
        <v>0</v>
      </c>
      <c r="CW926" s="824">
        <f t="shared" ca="1" si="700"/>
        <v>0</v>
      </c>
      <c r="CX926" s="824">
        <f t="shared" ca="1" si="700"/>
        <v>0</v>
      </c>
      <c r="CY926" s="824">
        <f t="shared" ca="1" si="700"/>
        <v>0</v>
      </c>
      <c r="CZ926" s="824">
        <f t="shared" ca="1" si="700"/>
        <v>0</v>
      </c>
      <c r="DA926" s="824">
        <f t="shared" ca="1" si="726"/>
        <v>0</v>
      </c>
      <c r="DB926" s="824">
        <f t="shared" ca="1" si="726"/>
        <v>0</v>
      </c>
      <c r="DC926" s="824">
        <f t="shared" ca="1" si="726"/>
        <v>0</v>
      </c>
      <c r="DD926" s="824">
        <f t="shared" ca="1" si="726"/>
        <v>0</v>
      </c>
      <c r="DE926" s="824">
        <f t="shared" ca="1" si="726"/>
        <v>0</v>
      </c>
      <c r="DF926" s="824">
        <f t="shared" ca="1" si="726"/>
        <v>0</v>
      </c>
      <c r="DG926" s="824">
        <f t="shared" ca="1" si="726"/>
        <v>0</v>
      </c>
      <c r="DH926" s="824">
        <f t="shared" ca="1" si="726"/>
        <v>0</v>
      </c>
      <c r="DI926" s="824">
        <f t="shared" ca="1" si="726"/>
        <v>0</v>
      </c>
      <c r="DJ926" s="824">
        <f t="shared" ca="1" si="726"/>
        <v>0</v>
      </c>
      <c r="DK926" s="824">
        <f t="shared" ca="1" si="725"/>
        <v>0</v>
      </c>
      <c r="DL926" s="824">
        <f t="shared" ca="1" si="725"/>
        <v>0</v>
      </c>
    </row>
    <row r="927" spans="2:116" ht="12" thickBot="1" x14ac:dyDescent="0.3">
      <c r="B927" s="1673"/>
      <c r="C927" s="1680"/>
      <c r="D927" s="15" t="s">
        <v>131</v>
      </c>
      <c r="E927" s="165"/>
      <c r="F927" s="116">
        <f ca="1">SUBTOTAL(109,'3.5 I&amp;W'!$X$90)</f>
        <v>0</v>
      </c>
      <c r="G927" s="116">
        <f ca="1">SUBTOTAL(109,'3.5 I&amp;W'!$Y$90)</f>
        <v>0</v>
      </c>
      <c r="H927" s="116">
        <f ca="1">SUBTOTAL(109,'3.5 I&amp;W'!$AD$90)</f>
        <v>0</v>
      </c>
      <c r="I927" s="116">
        <f ca="1">SUBTOTAL(109,'3.5 I&amp;W'!$AE$90)</f>
        <v>0</v>
      </c>
      <c r="J927" s="116"/>
      <c r="K927" s="116"/>
      <c r="L927" s="116"/>
      <c r="M927" s="116">
        <f ca="1">SUBTOTAL(109,'3.5 I&amp;W'!$AI$90)</f>
        <v>0</v>
      </c>
      <c r="N927" s="156">
        <f t="shared" ca="1" si="677"/>
        <v>0</v>
      </c>
      <c r="O927" s="116">
        <f ca="1">SUBTOTAL(109,'3.5 I&amp;W'!$S$90)</f>
        <v>0</v>
      </c>
      <c r="P927" s="30">
        <f t="shared" ca="1" si="717"/>
        <v>0</v>
      </c>
      <c r="Q927" s="31">
        <f t="shared" ca="1" si="718"/>
        <v>0</v>
      </c>
      <c r="R927" s="31">
        <f t="shared" ca="1" si="719"/>
        <v>0</v>
      </c>
      <c r="S927" s="31">
        <f t="shared" ca="1" si="720"/>
        <v>0</v>
      </c>
      <c r="T927" s="32">
        <f t="shared" ca="1" si="721"/>
        <v>0</v>
      </c>
      <c r="U927" s="37">
        <f t="shared" ca="1" si="678"/>
        <v>0</v>
      </c>
      <c r="V927" s="40">
        <f t="shared" ca="1" si="671"/>
        <v>0</v>
      </c>
      <c r="W927" s="41">
        <f t="shared" ca="1" si="672"/>
        <v>0</v>
      </c>
      <c r="X927" s="43"/>
      <c r="Y927" s="46"/>
      <c r="Z927" s="126"/>
      <c r="AA927" s="136"/>
      <c r="AB927" s="131">
        <v>27</v>
      </c>
      <c r="AC927" s="168">
        <f ca="1">IF(AF926&lt;=1,0,'3.5 Fi&amp;Fo'!$I$25)</f>
        <v>46174.624633000763</v>
      </c>
      <c r="AD927" s="169">
        <f ca="1">IF(AF926&lt;=1,0,AF926*'3.5 Fi&amp;Fo'!$H$25)</f>
        <v>7537.7643216440219</v>
      </c>
      <c r="AE927" s="169">
        <f t="shared" ca="1" si="681"/>
        <v>38636.860311356744</v>
      </c>
      <c r="AF927" s="170">
        <f t="shared" ca="1" si="682"/>
        <v>338251.35577084438</v>
      </c>
      <c r="AG927" s="168">
        <f>IF(AJ926&lt;=1,0,IF(AB927&lt;='3.5 Fi&amp;Fo'!$F$34,'3.5 Fi&amp;Fo'!$J$34,IF(AB927&lt;='3.5 Fi&amp;Fo'!$F$35,'3.5 Fi&amp;Fo'!$J$35,IF(AB927&lt;='3.5 Fi&amp;Fo'!$F$36,'3.5 Fi&amp;Fo'!$J$36,IF(AB927&lt;='3.5 Fi&amp;Fo'!$F$37,'3.5 Fi&amp;Fo'!$J$37,IF(AB927&lt;='3.5 Fi&amp;Fo'!$F$38,'3.5 Fi&amp;Fo'!$J$38,IF(AB927&lt;='3.5 Fi&amp;Fo'!$F$39,'3.5 Fi&amp;Fo'!$J$39,IF(AB927&lt;='3.5 Fi&amp;Fo'!$F$40,'3.5 Fi&amp;Fo'!$J$40))))))))</f>
        <v>113850.12</v>
      </c>
      <c r="AH927" s="203">
        <f>IF(AJ926&lt;=1,0,AJ926*IF(AB927&lt;='3.5 Fi&amp;Fo'!$F$34,'3.5 Fi&amp;Fo'!$I$34,IF(AB927&lt;='3.5 Fi&amp;Fo'!$F$35,'3.5 Fi&amp;Fo'!$I$35,IF(AB927&lt;='3.5 Fi&amp;Fo'!$F$38,'3.5 Fi&amp;Fo'!$I$38,IF(AB927&lt;='3.5 Fi&amp;Fo'!$F$39,'3.5 Fi&amp;Fo'!$I$39,IF(AB927&lt;='3.5 Fi&amp;Fo'!$F$40,'3.5 Fi&amp;Fo'!$I$40))))))</f>
        <v>145610.66634248657</v>
      </c>
      <c r="AI927" s="203">
        <f t="shared" si="683"/>
        <v>-31760.546342486574</v>
      </c>
      <c r="AJ927" s="204">
        <f t="shared" si="684"/>
        <v>2458604.9853839292</v>
      </c>
      <c r="AK927" s="312">
        <f t="shared" ca="1" si="685"/>
        <v>-197329.70684614073</v>
      </c>
      <c r="AL927" s="169">
        <f>IF(AB927&lt;='3.5 Fi&amp;Fo'!$J$15,'3.5 Fi&amp;Fo'!$I$15,0)</f>
        <v>0</v>
      </c>
      <c r="AM927" s="169">
        <f t="shared" si="697"/>
        <v>37304.962213139981</v>
      </c>
      <c r="AN927" s="838">
        <f t="shared" si="702"/>
        <v>27</v>
      </c>
      <c r="AO927" s="844">
        <f t="shared" ca="1" si="686"/>
        <v>197329.70684614073</v>
      </c>
      <c r="AP927" s="839">
        <f ca="1">CO1005</f>
        <v>0</v>
      </c>
      <c r="AQ927" s="844">
        <f t="shared" si="687"/>
        <v>0</v>
      </c>
      <c r="AR927" s="839">
        <f t="shared" ca="1" si="703"/>
        <v>0</v>
      </c>
      <c r="AS927" s="839">
        <f t="shared" ca="1" si="698"/>
        <v>11965.289254799765</v>
      </c>
      <c r="AT927" s="839">
        <f t="shared" ca="1" si="699"/>
        <v>17191.987276910731</v>
      </c>
      <c r="AU927" s="844">
        <f ca="1">'PV-Einspeisung'!AA298*-1</f>
        <v>-573.27080050786856</v>
      </c>
      <c r="AV927" s="844">
        <f>'PV-Einspeisung'!AE298*-1</f>
        <v>-2955.3352082533752</v>
      </c>
      <c r="AW927" s="839"/>
      <c r="AX927" s="839">
        <f t="shared" ca="1" si="704"/>
        <v>0</v>
      </c>
      <c r="AY927" s="841">
        <f t="shared" si="688"/>
        <v>27</v>
      </c>
      <c r="AZ927" s="842">
        <f t="shared" ca="1" si="705"/>
        <v>0</v>
      </c>
      <c r="BA927" s="842">
        <f t="shared" ca="1" si="706"/>
        <v>0</v>
      </c>
      <c r="BB927" s="842">
        <f t="shared" ca="1" si="707"/>
        <v>0</v>
      </c>
      <c r="BC927" s="842">
        <f t="shared" ca="1" si="708"/>
        <v>0</v>
      </c>
      <c r="BD927" s="842">
        <f t="shared" ca="1" si="709"/>
        <v>0</v>
      </c>
      <c r="BE927" s="842">
        <f t="shared" ca="1" si="710"/>
        <v>0</v>
      </c>
      <c r="BF927" s="842">
        <f t="shared" ca="1" si="711"/>
        <v>12269.454764238708</v>
      </c>
      <c r="BG927" s="842">
        <f t="shared" ca="1" si="712"/>
        <v>4922.5325126720254</v>
      </c>
      <c r="BH927" s="858">
        <f t="shared" si="696"/>
        <v>27</v>
      </c>
      <c r="BI927" s="857">
        <f t="shared" ca="1" si="713"/>
        <v>4527.2679053807797</v>
      </c>
      <c r="BJ927" s="857">
        <f t="shared" ca="1" si="714"/>
        <v>7438.0213494189848</v>
      </c>
      <c r="BK927" s="859">
        <f ca="1">'PV-Einspeisung'!AB298*-1</f>
        <v>0</v>
      </c>
      <c r="BL927" s="824">
        <f t="shared" ca="1" si="673"/>
        <v>0</v>
      </c>
      <c r="BM927" s="824">
        <f t="shared" ca="1" si="674"/>
        <v>0</v>
      </c>
      <c r="BN927" s="824">
        <f t="shared" ca="1" si="675"/>
        <v>0</v>
      </c>
      <c r="BO927" s="824">
        <f t="shared" ca="1" si="722"/>
        <v>0</v>
      </c>
      <c r="BP927" s="824">
        <f t="shared" ca="1" si="722"/>
        <v>0</v>
      </c>
      <c r="BQ927" s="824">
        <f t="shared" ca="1" si="722"/>
        <v>0</v>
      </c>
      <c r="BR927" s="824">
        <f t="shared" ca="1" si="722"/>
        <v>0</v>
      </c>
      <c r="BS927" s="824">
        <f t="shared" ca="1" si="722"/>
        <v>0</v>
      </c>
      <c r="BT927" s="824">
        <f t="shared" ca="1" si="722"/>
        <v>0</v>
      </c>
      <c r="BU927" s="824">
        <f t="shared" ca="1" si="722"/>
        <v>0</v>
      </c>
      <c r="BV927" s="824">
        <f t="shared" ca="1" si="722"/>
        <v>0</v>
      </c>
      <c r="BW927" s="824">
        <f t="shared" ca="1" si="722"/>
        <v>0</v>
      </c>
      <c r="BX927" s="824">
        <f t="shared" ca="1" si="722"/>
        <v>0</v>
      </c>
      <c r="BY927" s="824">
        <f t="shared" ca="1" si="722"/>
        <v>0</v>
      </c>
      <c r="BZ927" s="824">
        <f t="shared" ca="1" si="722"/>
        <v>0</v>
      </c>
      <c r="CA927" s="824">
        <f t="shared" ca="1" si="722"/>
        <v>0</v>
      </c>
      <c r="CB927" s="824">
        <f t="shared" ca="1" si="722"/>
        <v>0</v>
      </c>
      <c r="CC927" s="824">
        <f t="shared" ca="1" si="722"/>
        <v>0</v>
      </c>
      <c r="CD927" s="824">
        <f t="shared" ca="1" si="722"/>
        <v>0</v>
      </c>
      <c r="CE927" s="824">
        <f t="shared" ca="1" si="724"/>
        <v>0</v>
      </c>
      <c r="CF927" s="824">
        <f t="shared" ca="1" si="724"/>
        <v>0</v>
      </c>
      <c r="CG927" s="824">
        <f t="shared" ca="1" si="724"/>
        <v>0</v>
      </c>
      <c r="CH927" s="824">
        <f t="shared" ca="1" si="724"/>
        <v>0</v>
      </c>
      <c r="CI927" s="824">
        <f t="shared" ca="1" si="724"/>
        <v>0</v>
      </c>
      <c r="CJ927" s="824">
        <f t="shared" ca="1" si="724"/>
        <v>0</v>
      </c>
      <c r="CK927" s="824">
        <f t="shared" ca="1" si="724"/>
        <v>0</v>
      </c>
      <c r="CL927" s="824">
        <f t="shared" ca="1" si="724"/>
        <v>0</v>
      </c>
      <c r="CM927" s="824">
        <f t="shared" ca="1" si="724"/>
        <v>0</v>
      </c>
      <c r="CN927" s="824">
        <f t="shared" ca="1" si="724"/>
        <v>0</v>
      </c>
      <c r="CO927" s="824">
        <f t="shared" ca="1" si="724"/>
        <v>0</v>
      </c>
      <c r="CP927" s="824">
        <f t="shared" ca="1" si="724"/>
        <v>0</v>
      </c>
      <c r="CQ927" s="824">
        <f t="shared" ca="1" si="724"/>
        <v>0</v>
      </c>
      <c r="CR927" s="824">
        <f t="shared" ca="1" si="724"/>
        <v>0</v>
      </c>
      <c r="CS927" s="824">
        <f t="shared" ca="1" si="724"/>
        <v>0</v>
      </c>
      <c r="CT927" s="824">
        <f t="shared" ca="1" si="723"/>
        <v>0</v>
      </c>
      <c r="CU927" s="824">
        <f t="shared" ca="1" si="700"/>
        <v>0</v>
      </c>
      <c r="CV927" s="824">
        <f t="shared" ca="1" si="700"/>
        <v>0</v>
      </c>
      <c r="CW927" s="824">
        <f t="shared" ca="1" si="700"/>
        <v>0</v>
      </c>
      <c r="CX927" s="824">
        <f t="shared" ca="1" si="700"/>
        <v>0</v>
      </c>
      <c r="CY927" s="824">
        <f t="shared" ca="1" si="700"/>
        <v>0</v>
      </c>
      <c r="CZ927" s="824">
        <f t="shared" ca="1" si="700"/>
        <v>0</v>
      </c>
      <c r="DA927" s="824">
        <f t="shared" ca="1" si="726"/>
        <v>0</v>
      </c>
      <c r="DB927" s="824">
        <f t="shared" ca="1" si="726"/>
        <v>0</v>
      </c>
      <c r="DC927" s="824">
        <f t="shared" ca="1" si="726"/>
        <v>0</v>
      </c>
      <c r="DD927" s="824">
        <f t="shared" ca="1" si="726"/>
        <v>0</v>
      </c>
      <c r="DE927" s="824">
        <f t="shared" ca="1" si="726"/>
        <v>0</v>
      </c>
      <c r="DF927" s="824">
        <f t="shared" ca="1" si="726"/>
        <v>0</v>
      </c>
      <c r="DG927" s="824">
        <f t="shared" ca="1" si="726"/>
        <v>0</v>
      </c>
      <c r="DH927" s="824">
        <f t="shared" ca="1" si="726"/>
        <v>0</v>
      </c>
      <c r="DI927" s="824">
        <f t="shared" ca="1" si="726"/>
        <v>0</v>
      </c>
      <c r="DJ927" s="824">
        <f t="shared" ca="1" si="726"/>
        <v>0</v>
      </c>
      <c r="DK927" s="824">
        <f t="shared" ca="1" si="725"/>
        <v>0</v>
      </c>
      <c r="DL927" s="824">
        <f t="shared" ca="1" si="725"/>
        <v>0</v>
      </c>
    </row>
    <row r="928" spans="2:116" ht="12" thickBot="1" x14ac:dyDescent="0.3">
      <c r="B928" s="1673"/>
      <c r="C928" s="1680"/>
      <c r="D928" s="15" t="s">
        <v>131</v>
      </c>
      <c r="E928" s="116"/>
      <c r="F928" s="116">
        <f ca="1">SUBTOTAL(109,'3.5 I&amp;W'!$X$91)</f>
        <v>0</v>
      </c>
      <c r="G928" s="116">
        <f ca="1">SUBTOTAL(109,'3.5 I&amp;W'!$Y$91)</f>
        <v>0</v>
      </c>
      <c r="H928" s="116">
        <f ca="1">SUBTOTAL(109,'3.5 I&amp;W'!$AD$91)</f>
        <v>0</v>
      </c>
      <c r="I928" s="116">
        <f ca="1">SUBTOTAL(109,'3.5 I&amp;W'!$AE$91)</f>
        <v>0</v>
      </c>
      <c r="J928" s="116"/>
      <c r="K928" s="116"/>
      <c r="L928" s="116"/>
      <c r="M928" s="116">
        <f ca="1">SUBTOTAL(109,'3.5 I&amp;W'!$AI$91)</f>
        <v>0</v>
      </c>
      <c r="N928" s="156">
        <f t="shared" ca="1" si="677"/>
        <v>0</v>
      </c>
      <c r="O928" s="116">
        <f ca="1">SUBTOTAL(109,'3.5 I&amp;W'!$S$91)</f>
        <v>0</v>
      </c>
      <c r="P928" s="30">
        <f t="shared" ca="1" si="717"/>
        <v>0</v>
      </c>
      <c r="Q928" s="31">
        <f t="shared" ca="1" si="718"/>
        <v>0</v>
      </c>
      <c r="R928" s="31">
        <f t="shared" ca="1" si="719"/>
        <v>0</v>
      </c>
      <c r="S928" s="31">
        <f t="shared" ca="1" si="720"/>
        <v>0</v>
      </c>
      <c r="T928" s="32">
        <f t="shared" ca="1" si="721"/>
        <v>0</v>
      </c>
      <c r="U928" s="37">
        <f t="shared" ca="1" si="678"/>
        <v>0</v>
      </c>
      <c r="V928" s="40">
        <f t="shared" ref="V928:V959" ca="1" si="727">G928*$I$169</f>
        <v>0</v>
      </c>
      <c r="W928" s="41">
        <f t="shared" ref="W928:W959" ca="1" si="728">(I928+J928)*$I$167</f>
        <v>0</v>
      </c>
      <c r="X928" s="43"/>
      <c r="Y928" s="46"/>
      <c r="Z928" s="126"/>
      <c r="AA928" s="136"/>
      <c r="AB928" s="131">
        <v>28</v>
      </c>
      <c r="AC928" s="168">
        <f ca="1">IF(AF927&lt;=1,0,'3.5 Fi&amp;Fo'!$I$25)</f>
        <v>46174.624633000763</v>
      </c>
      <c r="AD928" s="169">
        <f ca="1">IF(AF927&lt;=1,0,AF927*'3.5 Fi&amp;Fo'!$H$25)</f>
        <v>6765.0271154168877</v>
      </c>
      <c r="AE928" s="169">
        <f t="shared" ca="1" si="681"/>
        <v>39409.597517583876</v>
      </c>
      <c r="AF928" s="170">
        <f t="shared" ca="1" si="682"/>
        <v>298841.75825326052</v>
      </c>
      <c r="AG928" s="168">
        <f>IF(AJ927&lt;=1,0,IF(AB928&lt;='3.5 Fi&amp;Fo'!$F$34,'3.5 Fi&amp;Fo'!$J$34,IF(AB928&lt;='3.5 Fi&amp;Fo'!$F$35,'3.5 Fi&amp;Fo'!$J$35,IF(AB928&lt;='3.5 Fi&amp;Fo'!$F$36,'3.5 Fi&amp;Fo'!$J$36,IF(AB928&lt;='3.5 Fi&amp;Fo'!$F$37,'3.5 Fi&amp;Fo'!$J$37,IF(AB928&lt;='3.5 Fi&amp;Fo'!$F$38,'3.5 Fi&amp;Fo'!$J$38,IF(AB928&lt;='3.5 Fi&amp;Fo'!$F$39,'3.5 Fi&amp;Fo'!$J$39,IF(AB928&lt;='3.5 Fi&amp;Fo'!$F$40,'3.5 Fi&amp;Fo'!$J$40))))))))</f>
        <v>113850.12</v>
      </c>
      <c r="AH928" s="203">
        <f>IF(AJ927&lt;=1,0,AJ927*IF(AB928&lt;='3.5 Fi&amp;Fo'!$F$34,'3.5 Fi&amp;Fo'!$I$34,IF(AB928&lt;='3.5 Fi&amp;Fo'!$F$35,'3.5 Fi&amp;Fo'!$I$35,IF(AB928&lt;='3.5 Fi&amp;Fo'!$F$38,'3.5 Fi&amp;Fo'!$I$38,IF(AB928&lt;='3.5 Fi&amp;Fo'!$F$39,'3.5 Fi&amp;Fo'!$I$39,IF(AB928&lt;='3.5 Fi&amp;Fo'!$F$40,'3.5 Fi&amp;Fo'!$I$40))))))</f>
        <v>147516.29912303574</v>
      </c>
      <c r="AI928" s="203">
        <f t="shared" si="683"/>
        <v>-33666.179123035748</v>
      </c>
      <c r="AJ928" s="204">
        <f t="shared" si="684"/>
        <v>2492271.1645069649</v>
      </c>
      <c r="AK928" s="312">
        <f t="shared" ca="1" si="685"/>
        <v>-198075.80609040422</v>
      </c>
      <c r="AL928" s="169">
        <f>IF(AB928&lt;='3.5 Fi&amp;Fo'!$J$15,'3.5 Fi&amp;Fo'!$I$15,0)</f>
        <v>0</v>
      </c>
      <c r="AM928" s="169">
        <f t="shared" si="697"/>
        <v>38051.06145740347</v>
      </c>
      <c r="AN928" s="838">
        <f t="shared" si="702"/>
        <v>28</v>
      </c>
      <c r="AO928" s="844">
        <f t="shared" ca="1" si="686"/>
        <v>198075.80609040422</v>
      </c>
      <c r="AP928" s="839">
        <f ca="1">CP1005</f>
        <v>0</v>
      </c>
      <c r="AQ928" s="844">
        <f t="shared" si="687"/>
        <v>0</v>
      </c>
      <c r="AR928" s="839">
        <f t="shared" ca="1" si="703"/>
        <v>0</v>
      </c>
      <c r="AS928" s="839">
        <f t="shared" ca="1" si="698"/>
        <v>12156.733882876561</v>
      </c>
      <c r="AT928" s="839">
        <f t="shared" ca="1" si="699"/>
        <v>17671.012283960219</v>
      </c>
      <c r="AU928" s="844">
        <f ca="1">'PV-Einspeisung'!AA299*-1</f>
        <v>-587.60257052056522</v>
      </c>
      <c r="AV928" s="844">
        <f>'PV-Einspeisung'!AE299*-1</f>
        <v>-3029.2185884597093</v>
      </c>
      <c r="AW928" s="839"/>
      <c r="AX928" s="839">
        <f t="shared" ca="1" si="704"/>
        <v>0</v>
      </c>
      <c r="AY928" s="841">
        <f t="shared" si="688"/>
        <v>28</v>
      </c>
      <c r="AZ928" s="842">
        <f t="shared" ca="1" si="705"/>
        <v>0</v>
      </c>
      <c r="BA928" s="842">
        <f t="shared" ca="1" si="706"/>
        <v>0</v>
      </c>
      <c r="BB928" s="842">
        <f t="shared" ca="1" si="707"/>
        <v>0</v>
      </c>
      <c r="BC928" s="842">
        <f t="shared" ca="1" si="708"/>
        <v>0</v>
      </c>
      <c r="BD928" s="842">
        <f t="shared" ca="1" si="709"/>
        <v>0</v>
      </c>
      <c r="BE928" s="842">
        <f t="shared" ca="1" si="710"/>
        <v>0</v>
      </c>
      <c r="BF928" s="842">
        <f t="shared" ca="1" si="711"/>
        <v>12576.191133344675</v>
      </c>
      <c r="BG928" s="842">
        <f t="shared" ca="1" si="712"/>
        <v>5094.8211506155458</v>
      </c>
      <c r="BH928" s="858">
        <f t="shared" si="696"/>
        <v>28</v>
      </c>
      <c r="BI928" s="857">
        <f t="shared" ca="1" si="713"/>
        <v>4599.704191866872</v>
      </c>
      <c r="BJ928" s="857">
        <f t="shared" ca="1" si="714"/>
        <v>7557.0296910096886</v>
      </c>
      <c r="BK928" s="859">
        <f ca="1">'PV-Einspeisung'!AB299*-1</f>
        <v>0</v>
      </c>
      <c r="BL928" s="824">
        <f t="shared" ref="BL928:BL959" ca="1" si="729">M928</f>
        <v>0</v>
      </c>
      <c r="BM928" s="824">
        <f t="shared" ref="BM928:BM959" ca="1" si="730">N928</f>
        <v>0</v>
      </c>
      <c r="BN928" s="824">
        <f t="shared" ref="BN928:BN959" ca="1" si="731">O928</f>
        <v>0</v>
      </c>
      <c r="BO928" s="824">
        <f t="shared" ca="1" si="722"/>
        <v>0</v>
      </c>
      <c r="BP928" s="824">
        <f t="shared" ca="1" si="722"/>
        <v>0</v>
      </c>
      <c r="BQ928" s="824">
        <f t="shared" ca="1" si="722"/>
        <v>0</v>
      </c>
      <c r="BR928" s="824">
        <f t="shared" ca="1" si="722"/>
        <v>0</v>
      </c>
      <c r="BS928" s="824">
        <f t="shared" ca="1" si="722"/>
        <v>0</v>
      </c>
      <c r="BT928" s="824">
        <f t="shared" ca="1" si="722"/>
        <v>0</v>
      </c>
      <c r="BU928" s="824">
        <f t="shared" ca="1" si="722"/>
        <v>0</v>
      </c>
      <c r="BV928" s="824">
        <f t="shared" ca="1" si="722"/>
        <v>0</v>
      </c>
      <c r="BW928" s="824">
        <f t="shared" ca="1" si="722"/>
        <v>0</v>
      </c>
      <c r="BX928" s="824">
        <f t="shared" ca="1" si="722"/>
        <v>0</v>
      </c>
      <c r="BY928" s="824">
        <f t="shared" ca="1" si="722"/>
        <v>0</v>
      </c>
      <c r="BZ928" s="824">
        <f t="shared" ca="1" si="722"/>
        <v>0</v>
      </c>
      <c r="CA928" s="824">
        <f t="shared" ca="1" si="722"/>
        <v>0</v>
      </c>
      <c r="CB928" s="824">
        <f t="shared" ca="1" si="722"/>
        <v>0</v>
      </c>
      <c r="CC928" s="824">
        <f t="shared" ca="1" si="722"/>
        <v>0</v>
      </c>
      <c r="CD928" s="824">
        <f t="shared" ca="1" si="722"/>
        <v>0</v>
      </c>
      <c r="CE928" s="824">
        <f t="shared" ca="1" si="724"/>
        <v>0</v>
      </c>
      <c r="CF928" s="824">
        <f t="shared" ca="1" si="724"/>
        <v>0</v>
      </c>
      <c r="CG928" s="824">
        <f t="shared" ca="1" si="724"/>
        <v>0</v>
      </c>
      <c r="CH928" s="824">
        <f t="shared" ca="1" si="724"/>
        <v>0</v>
      </c>
      <c r="CI928" s="824">
        <f t="shared" ca="1" si="724"/>
        <v>0</v>
      </c>
      <c r="CJ928" s="824">
        <f t="shared" ca="1" si="724"/>
        <v>0</v>
      </c>
      <c r="CK928" s="824">
        <f t="shared" ca="1" si="724"/>
        <v>0</v>
      </c>
      <c r="CL928" s="824">
        <f t="shared" ca="1" si="724"/>
        <v>0</v>
      </c>
      <c r="CM928" s="824">
        <f t="shared" ca="1" si="724"/>
        <v>0</v>
      </c>
      <c r="CN928" s="824">
        <f t="shared" ca="1" si="724"/>
        <v>0</v>
      </c>
      <c r="CO928" s="824">
        <f t="shared" ca="1" si="724"/>
        <v>0</v>
      </c>
      <c r="CP928" s="824">
        <f t="shared" ca="1" si="724"/>
        <v>0</v>
      </c>
      <c r="CQ928" s="824">
        <f t="shared" ca="1" si="724"/>
        <v>0</v>
      </c>
      <c r="CR928" s="824">
        <f t="shared" ca="1" si="724"/>
        <v>0</v>
      </c>
      <c r="CS928" s="824">
        <f t="shared" ca="1" si="724"/>
        <v>0</v>
      </c>
      <c r="CT928" s="824">
        <f t="shared" ca="1" si="723"/>
        <v>0</v>
      </c>
      <c r="CU928" s="824">
        <f t="shared" ca="1" si="700"/>
        <v>0</v>
      </c>
      <c r="CV928" s="824">
        <f t="shared" ca="1" si="700"/>
        <v>0</v>
      </c>
      <c r="CW928" s="824">
        <f t="shared" ca="1" si="700"/>
        <v>0</v>
      </c>
      <c r="CX928" s="824">
        <f t="shared" ca="1" si="700"/>
        <v>0</v>
      </c>
      <c r="CY928" s="824">
        <f t="shared" ca="1" si="700"/>
        <v>0</v>
      </c>
      <c r="CZ928" s="824">
        <f t="shared" ca="1" si="700"/>
        <v>0</v>
      </c>
      <c r="DA928" s="824">
        <f t="shared" ca="1" si="726"/>
        <v>0</v>
      </c>
      <c r="DB928" s="824">
        <f t="shared" ca="1" si="726"/>
        <v>0</v>
      </c>
      <c r="DC928" s="824">
        <f t="shared" ca="1" si="726"/>
        <v>0</v>
      </c>
      <c r="DD928" s="824">
        <f t="shared" ca="1" si="726"/>
        <v>0</v>
      </c>
      <c r="DE928" s="824">
        <f t="shared" ca="1" si="726"/>
        <v>0</v>
      </c>
      <c r="DF928" s="824">
        <f t="shared" ca="1" si="726"/>
        <v>0</v>
      </c>
      <c r="DG928" s="824">
        <f t="shared" ca="1" si="726"/>
        <v>0</v>
      </c>
      <c r="DH928" s="824">
        <f t="shared" ca="1" si="726"/>
        <v>0</v>
      </c>
      <c r="DI928" s="824">
        <f t="shared" ca="1" si="726"/>
        <v>0</v>
      </c>
      <c r="DJ928" s="824">
        <f t="shared" ca="1" si="726"/>
        <v>0</v>
      </c>
      <c r="DK928" s="824">
        <f t="shared" ca="1" si="725"/>
        <v>0</v>
      </c>
      <c r="DL928" s="824">
        <f t="shared" ca="1" si="725"/>
        <v>0</v>
      </c>
    </row>
    <row r="929" spans="2:116" ht="12" thickBot="1" x14ac:dyDescent="0.3">
      <c r="B929" s="1673"/>
      <c r="C929" s="1680"/>
      <c r="D929" s="15" t="s">
        <v>263</v>
      </c>
      <c r="E929" s="165"/>
      <c r="F929" s="116">
        <f ca="1">SUBTOTAL(109,'3.5 I&amp;W'!$X$95)</f>
        <v>0</v>
      </c>
      <c r="G929" s="116">
        <f ca="1">SUBTOTAL(109,'3.5 I&amp;W'!$Y$95)</f>
        <v>0</v>
      </c>
      <c r="H929" s="116">
        <f ca="1">SUBTOTAL(109,'3.5 I&amp;W'!$AD$95)</f>
        <v>0</v>
      </c>
      <c r="I929" s="116">
        <f ca="1">SUBTOTAL(109,'3.5 I&amp;W'!$AE$95)</f>
        <v>0</v>
      </c>
      <c r="J929" s="116"/>
      <c r="K929" s="116"/>
      <c r="L929" s="116"/>
      <c r="M929" s="116">
        <f ca="1">SUBTOTAL(109,'3.5 I&amp;W'!$AI$95)</f>
        <v>0</v>
      </c>
      <c r="N929" s="156">
        <f t="shared" ca="1" si="677"/>
        <v>0</v>
      </c>
      <c r="O929" s="116">
        <f ca="1">SUBTOTAL(109,'3.5 I&amp;W'!$S$95)</f>
        <v>0</v>
      </c>
      <c r="P929" s="30">
        <f t="shared" ca="1" si="717"/>
        <v>0</v>
      </c>
      <c r="Q929" s="31">
        <f t="shared" ca="1" si="718"/>
        <v>0</v>
      </c>
      <c r="R929" s="31">
        <f t="shared" ca="1" si="719"/>
        <v>0</v>
      </c>
      <c r="S929" s="31">
        <f t="shared" ca="1" si="720"/>
        <v>0</v>
      </c>
      <c r="T929" s="32">
        <f t="shared" ca="1" si="721"/>
        <v>0</v>
      </c>
      <c r="U929" s="37">
        <f t="shared" ca="1" si="678"/>
        <v>0</v>
      </c>
      <c r="V929" s="40">
        <f t="shared" ca="1" si="727"/>
        <v>0</v>
      </c>
      <c r="W929" s="41">
        <f t="shared" ca="1" si="728"/>
        <v>0</v>
      </c>
      <c r="X929" s="43"/>
      <c r="Y929" s="46"/>
      <c r="Z929" s="126"/>
      <c r="AA929" s="136"/>
      <c r="AB929" s="131">
        <v>29</v>
      </c>
      <c r="AC929" s="168">
        <f ca="1">IF(AF928&lt;=1,0,'3.5 Fi&amp;Fo'!$I$25)</f>
        <v>46174.624633000763</v>
      </c>
      <c r="AD929" s="169">
        <f ca="1">IF(AF928&lt;=1,0,AF928*'3.5 Fi&amp;Fo'!$H$25)</f>
        <v>5976.8351650652103</v>
      </c>
      <c r="AE929" s="169">
        <f t="shared" ca="1" si="681"/>
        <v>40197.789467935552</v>
      </c>
      <c r="AF929" s="170">
        <f t="shared" ca="1" si="682"/>
        <v>258643.96878532495</v>
      </c>
      <c r="AG929" s="168">
        <f>IF(AJ928&lt;=1,0,IF(AB929&lt;='3.5 Fi&amp;Fo'!$F$34,'3.5 Fi&amp;Fo'!$J$34,IF(AB929&lt;='3.5 Fi&amp;Fo'!$F$35,'3.5 Fi&amp;Fo'!$J$35,IF(AB929&lt;='3.5 Fi&amp;Fo'!$F$36,'3.5 Fi&amp;Fo'!$J$36,IF(AB929&lt;='3.5 Fi&amp;Fo'!$F$37,'3.5 Fi&amp;Fo'!$J$37,IF(AB929&lt;='3.5 Fi&amp;Fo'!$F$38,'3.5 Fi&amp;Fo'!$J$38,IF(AB929&lt;='3.5 Fi&amp;Fo'!$F$39,'3.5 Fi&amp;Fo'!$J$39,IF(AB929&lt;='3.5 Fi&amp;Fo'!$F$40,'3.5 Fi&amp;Fo'!$J$40))))))))</f>
        <v>113850.12</v>
      </c>
      <c r="AH929" s="203">
        <f>IF(AJ928&lt;=1,0,AJ928*IF(AB929&lt;='3.5 Fi&amp;Fo'!$F$34,'3.5 Fi&amp;Fo'!$I$34,IF(AB929&lt;='3.5 Fi&amp;Fo'!$F$35,'3.5 Fi&amp;Fo'!$I$35,IF(AB929&lt;='3.5 Fi&amp;Fo'!$F$38,'3.5 Fi&amp;Fo'!$I$38,IF(AB929&lt;='3.5 Fi&amp;Fo'!$F$39,'3.5 Fi&amp;Fo'!$I$39,IF(AB929&lt;='3.5 Fi&amp;Fo'!$F$40,'3.5 Fi&amp;Fo'!$I$40))))))</f>
        <v>149536.26987041789</v>
      </c>
      <c r="AI929" s="203">
        <f t="shared" si="683"/>
        <v>-35686.149870417896</v>
      </c>
      <c r="AJ929" s="204">
        <f t="shared" si="684"/>
        <v>2527957.3143773829</v>
      </c>
      <c r="AK929" s="312">
        <f t="shared" ca="1" si="685"/>
        <v>-198836.82731955167</v>
      </c>
      <c r="AL929" s="169">
        <f>IF(AB929&lt;='3.5 Fi&amp;Fo'!$J$15,'3.5 Fi&amp;Fo'!$I$15,0)</f>
        <v>0</v>
      </c>
      <c r="AM929" s="169">
        <f t="shared" si="697"/>
        <v>38812.082686550915</v>
      </c>
      <c r="AN929" s="838">
        <f t="shared" si="702"/>
        <v>29</v>
      </c>
      <c r="AO929" s="844">
        <f t="shared" ca="1" si="686"/>
        <v>198836.82731955167</v>
      </c>
      <c r="AP929" s="839">
        <f ca="1">CQ1005</f>
        <v>0</v>
      </c>
      <c r="AQ929" s="844">
        <f t="shared" si="687"/>
        <v>0</v>
      </c>
      <c r="AR929" s="839">
        <f t="shared" ca="1" si="703"/>
        <v>0</v>
      </c>
      <c r="AS929" s="839">
        <f t="shared" ca="1" si="698"/>
        <v>12351.241625002585</v>
      </c>
      <c r="AT929" s="839">
        <f t="shared" ca="1" si="699"/>
        <v>18163.735802565381</v>
      </c>
      <c r="AU929" s="844">
        <f ca="1">'PV-Einspeisung'!AA300*-1</f>
        <v>-602.29263478357927</v>
      </c>
      <c r="AV929" s="844">
        <f>'PV-Einspeisung'!AE300*-1</f>
        <v>-3104.9490531712022</v>
      </c>
      <c r="AW929" s="839"/>
      <c r="AX929" s="839">
        <f t="shared" ca="1" si="704"/>
        <v>0</v>
      </c>
      <c r="AY929" s="841">
        <f t="shared" si="688"/>
        <v>29</v>
      </c>
      <c r="AZ929" s="842">
        <f t="shared" ca="1" si="705"/>
        <v>0</v>
      </c>
      <c r="BA929" s="842">
        <f t="shared" ca="1" si="706"/>
        <v>0</v>
      </c>
      <c r="BB929" s="842">
        <f t="shared" ca="1" si="707"/>
        <v>0</v>
      </c>
      <c r="BC929" s="842">
        <f t="shared" ca="1" si="708"/>
        <v>0</v>
      </c>
      <c r="BD929" s="842">
        <f t="shared" ca="1" si="709"/>
        <v>0</v>
      </c>
      <c r="BE929" s="842">
        <f t="shared" ca="1" si="710"/>
        <v>0</v>
      </c>
      <c r="BF929" s="842">
        <f t="shared" ca="1" si="711"/>
        <v>12890.595911678291</v>
      </c>
      <c r="BG929" s="842">
        <f t="shared" ca="1" si="712"/>
        <v>5273.1398908870897</v>
      </c>
      <c r="BH929" s="858">
        <f t="shared" si="696"/>
        <v>29</v>
      </c>
      <c r="BI929" s="857">
        <f t="shared" ca="1" si="713"/>
        <v>4673.2994589367418</v>
      </c>
      <c r="BJ929" s="857">
        <f t="shared" ca="1" si="714"/>
        <v>7677.9421660658436</v>
      </c>
      <c r="BK929" s="859">
        <f ca="1">'PV-Einspeisung'!AB300*-1</f>
        <v>0</v>
      </c>
      <c r="BL929" s="824">
        <f t="shared" ca="1" si="729"/>
        <v>0</v>
      </c>
      <c r="BM929" s="824">
        <f t="shared" ca="1" si="730"/>
        <v>0</v>
      </c>
      <c r="BN929" s="824">
        <f t="shared" ca="1" si="731"/>
        <v>0</v>
      </c>
      <c r="BO929" s="824">
        <f t="shared" ca="1" si="722"/>
        <v>0</v>
      </c>
      <c r="BP929" s="824">
        <f t="shared" ca="1" si="722"/>
        <v>0</v>
      </c>
      <c r="BQ929" s="824">
        <f t="shared" ca="1" si="722"/>
        <v>0</v>
      </c>
      <c r="BR929" s="824">
        <f t="shared" ca="1" si="722"/>
        <v>0</v>
      </c>
      <c r="BS929" s="824">
        <f t="shared" ca="1" si="722"/>
        <v>0</v>
      </c>
      <c r="BT929" s="824">
        <f t="shared" ca="1" si="722"/>
        <v>0</v>
      </c>
      <c r="BU929" s="824">
        <f t="shared" ca="1" si="722"/>
        <v>0</v>
      </c>
      <c r="BV929" s="824">
        <f t="shared" ca="1" si="722"/>
        <v>0</v>
      </c>
      <c r="BW929" s="824">
        <f t="shared" ca="1" si="722"/>
        <v>0</v>
      </c>
      <c r="BX929" s="824">
        <f t="shared" ca="1" si="722"/>
        <v>0</v>
      </c>
      <c r="BY929" s="824">
        <f t="shared" ca="1" si="722"/>
        <v>0</v>
      </c>
      <c r="BZ929" s="824">
        <f t="shared" ca="1" si="722"/>
        <v>0</v>
      </c>
      <c r="CA929" s="824">
        <f t="shared" ca="1" si="722"/>
        <v>0</v>
      </c>
      <c r="CB929" s="824">
        <f t="shared" ca="1" si="722"/>
        <v>0</v>
      </c>
      <c r="CC929" s="824">
        <f t="shared" ca="1" si="722"/>
        <v>0</v>
      </c>
      <c r="CD929" s="824">
        <f t="shared" ca="1" si="722"/>
        <v>0</v>
      </c>
      <c r="CE929" s="824">
        <f t="shared" ca="1" si="724"/>
        <v>0</v>
      </c>
      <c r="CF929" s="824">
        <f t="shared" ca="1" si="724"/>
        <v>0</v>
      </c>
      <c r="CG929" s="824">
        <f t="shared" ca="1" si="724"/>
        <v>0</v>
      </c>
      <c r="CH929" s="824">
        <f t="shared" ca="1" si="724"/>
        <v>0</v>
      </c>
      <c r="CI929" s="824">
        <f t="shared" ca="1" si="724"/>
        <v>0</v>
      </c>
      <c r="CJ929" s="824">
        <f t="shared" ca="1" si="724"/>
        <v>0</v>
      </c>
      <c r="CK929" s="824">
        <f t="shared" ca="1" si="724"/>
        <v>0</v>
      </c>
      <c r="CL929" s="824">
        <f t="shared" ca="1" si="724"/>
        <v>0</v>
      </c>
      <c r="CM929" s="824">
        <f t="shared" ca="1" si="724"/>
        <v>0</v>
      </c>
      <c r="CN929" s="824">
        <f t="shared" ca="1" si="724"/>
        <v>0</v>
      </c>
      <c r="CO929" s="824">
        <f t="shared" ca="1" si="724"/>
        <v>0</v>
      </c>
      <c r="CP929" s="824">
        <f t="shared" ca="1" si="724"/>
        <v>0</v>
      </c>
      <c r="CQ929" s="824">
        <f t="shared" ca="1" si="724"/>
        <v>0</v>
      </c>
      <c r="CR929" s="824">
        <f t="shared" ca="1" si="724"/>
        <v>0</v>
      </c>
      <c r="CS929" s="824">
        <f t="shared" ca="1" si="724"/>
        <v>0</v>
      </c>
      <c r="CT929" s="824">
        <f t="shared" ca="1" si="723"/>
        <v>0</v>
      </c>
      <c r="CU929" s="824">
        <f t="shared" ca="1" si="723"/>
        <v>0</v>
      </c>
      <c r="CV929" s="824">
        <f t="shared" ca="1" si="723"/>
        <v>0</v>
      </c>
      <c r="CW929" s="824">
        <f t="shared" ca="1" si="723"/>
        <v>0</v>
      </c>
      <c r="CX929" s="824">
        <f t="shared" ca="1" si="723"/>
        <v>0</v>
      </c>
      <c r="CY929" s="824">
        <f t="shared" ca="1" si="723"/>
        <v>0</v>
      </c>
      <c r="CZ929" s="824">
        <f t="shared" ca="1" si="723"/>
        <v>0</v>
      </c>
      <c r="DA929" s="824">
        <f t="shared" ca="1" si="723"/>
        <v>0</v>
      </c>
      <c r="DB929" s="824">
        <f t="shared" ca="1" si="723"/>
        <v>0</v>
      </c>
      <c r="DC929" s="824">
        <f t="shared" ca="1" si="723"/>
        <v>0</v>
      </c>
      <c r="DD929" s="824">
        <f t="shared" ca="1" si="723"/>
        <v>0</v>
      </c>
      <c r="DE929" s="824">
        <f t="shared" ca="1" si="723"/>
        <v>0</v>
      </c>
      <c r="DF929" s="824">
        <f t="shared" ca="1" si="723"/>
        <v>0</v>
      </c>
      <c r="DG929" s="824">
        <f t="shared" ca="1" si="726"/>
        <v>0</v>
      </c>
      <c r="DH929" s="824">
        <f t="shared" ca="1" si="726"/>
        <v>0</v>
      </c>
      <c r="DI929" s="824">
        <f t="shared" ca="1" si="726"/>
        <v>0</v>
      </c>
      <c r="DJ929" s="824">
        <f t="shared" ca="1" si="726"/>
        <v>0</v>
      </c>
      <c r="DK929" s="824">
        <f t="shared" ca="1" si="725"/>
        <v>0</v>
      </c>
      <c r="DL929" s="824">
        <f t="shared" ca="1" si="725"/>
        <v>0</v>
      </c>
    </row>
    <row r="930" spans="2:116" ht="12" thickBot="1" x14ac:dyDescent="0.3">
      <c r="B930" s="1673"/>
      <c r="C930" s="1680"/>
      <c r="D930" s="15" t="s">
        <v>263</v>
      </c>
      <c r="E930" s="116"/>
      <c r="F930" s="116">
        <f ca="1">SUBTOTAL(109,'3.5 I&amp;W'!$X$96)</f>
        <v>0</v>
      </c>
      <c r="G930" s="116">
        <f ca="1">SUBTOTAL(109,'3.5 I&amp;W'!$Y$96)</f>
        <v>0</v>
      </c>
      <c r="H930" s="116">
        <f ca="1">SUBTOTAL(109,'3.5 I&amp;W'!$AD$96)</f>
        <v>0</v>
      </c>
      <c r="I930" s="116">
        <f ca="1">SUBTOTAL(109,'3.5 I&amp;W'!$AE$96)</f>
        <v>0</v>
      </c>
      <c r="J930" s="116"/>
      <c r="K930" s="116"/>
      <c r="L930" s="116"/>
      <c r="M930" s="116">
        <f ca="1">SUBTOTAL(109,'3.5 I&amp;W'!$AI$96)</f>
        <v>0</v>
      </c>
      <c r="N930" s="156">
        <f t="shared" ca="1" si="677"/>
        <v>0</v>
      </c>
      <c r="O930" s="116">
        <f ca="1">SUBTOTAL(109,'3.5 I&amp;W'!$S$96)</f>
        <v>0</v>
      </c>
      <c r="P930" s="30">
        <f t="shared" ca="1" si="717"/>
        <v>0</v>
      </c>
      <c r="Q930" s="31">
        <f t="shared" ca="1" si="718"/>
        <v>0</v>
      </c>
      <c r="R930" s="31">
        <f t="shared" ca="1" si="719"/>
        <v>0</v>
      </c>
      <c r="S930" s="31">
        <f t="shared" ca="1" si="720"/>
        <v>0</v>
      </c>
      <c r="T930" s="32">
        <f t="shared" ca="1" si="721"/>
        <v>0</v>
      </c>
      <c r="U930" s="37">
        <f t="shared" ca="1" si="678"/>
        <v>0</v>
      </c>
      <c r="V930" s="40">
        <f t="shared" ca="1" si="727"/>
        <v>0</v>
      </c>
      <c r="W930" s="41">
        <f t="shared" ca="1" si="728"/>
        <v>0</v>
      </c>
      <c r="X930" s="43"/>
      <c r="Y930" s="46"/>
      <c r="Z930" s="126"/>
      <c r="AA930" s="136"/>
      <c r="AB930" s="131">
        <v>30</v>
      </c>
      <c r="AC930" s="168">
        <f ca="1">IF(AF929&lt;=1,0,'3.5 Fi&amp;Fo'!$I$25)</f>
        <v>46174.624633000763</v>
      </c>
      <c r="AD930" s="169">
        <f ca="1">IF(AF929&lt;=1,0,AF929*'3.5 Fi&amp;Fo'!$H$25)</f>
        <v>5172.8793757064986</v>
      </c>
      <c r="AE930" s="169">
        <f t="shared" ca="1" si="681"/>
        <v>41001.745257294264</v>
      </c>
      <c r="AF930" s="170">
        <f t="shared" ca="1" si="682"/>
        <v>217642.22352803068</v>
      </c>
      <c r="AG930" s="168">
        <f>IF(AJ929&lt;=1,0,IF(AB930&lt;='3.5 Fi&amp;Fo'!$F$34,'3.5 Fi&amp;Fo'!$J$34,IF(AB930&lt;='3.5 Fi&amp;Fo'!$F$35,'3.5 Fi&amp;Fo'!$J$35,IF(AB930&lt;='3.5 Fi&amp;Fo'!$F$36,'3.5 Fi&amp;Fo'!$J$36,IF(AB930&lt;='3.5 Fi&amp;Fo'!$F$37,'3.5 Fi&amp;Fo'!$J$37,IF(AB930&lt;='3.5 Fi&amp;Fo'!$F$38,'3.5 Fi&amp;Fo'!$J$38,IF(AB930&lt;='3.5 Fi&amp;Fo'!$F$39,'3.5 Fi&amp;Fo'!$J$39,IF(AB930&lt;='3.5 Fi&amp;Fo'!$F$40,'3.5 Fi&amp;Fo'!$J$40))))))))</f>
        <v>113850.12</v>
      </c>
      <c r="AH930" s="203">
        <f>IF(AJ929&lt;=1,0,AJ929*IF(AB930&lt;='3.5 Fi&amp;Fo'!$F$34,'3.5 Fi&amp;Fo'!$I$34,IF(AB930&lt;='3.5 Fi&amp;Fo'!$F$35,'3.5 Fi&amp;Fo'!$I$35,IF(AB930&lt;='3.5 Fi&amp;Fo'!$F$38,'3.5 Fi&amp;Fo'!$I$38,IF(AB930&lt;='3.5 Fi&amp;Fo'!$F$39,'3.5 Fi&amp;Fo'!$I$39,IF(AB930&lt;='3.5 Fi&amp;Fo'!$F$40,'3.5 Fi&amp;Fo'!$I$40))))))</f>
        <v>151677.43886264297</v>
      </c>
      <c r="AI930" s="203">
        <f t="shared" si="683"/>
        <v>-37827.318862642976</v>
      </c>
      <c r="AJ930" s="204">
        <f t="shared" si="684"/>
        <v>2565784.633240026</v>
      </c>
      <c r="AK930" s="312">
        <f t="shared" ca="1" si="685"/>
        <v>-199613.06897328323</v>
      </c>
      <c r="AL930" s="169">
        <f>IF(AB930&lt;='3.5 Fi&amp;Fo'!$J$15,'3.5 Fi&amp;Fo'!$I$15,0)</f>
        <v>0</v>
      </c>
      <c r="AM930" s="169">
        <f t="shared" si="697"/>
        <v>39588.324340282474</v>
      </c>
      <c r="AN930" s="838">
        <f t="shared" si="702"/>
        <v>30</v>
      </c>
      <c r="AO930" s="844">
        <f t="shared" ca="1" si="686"/>
        <v>199613.06897328323</v>
      </c>
      <c r="AP930" s="839">
        <f ca="1">CR1005</f>
        <v>194327.14782764448</v>
      </c>
      <c r="AQ930" s="844">
        <f t="shared" si="687"/>
        <v>0</v>
      </c>
      <c r="AR930" s="839">
        <f t="shared" ca="1" si="703"/>
        <v>0</v>
      </c>
      <c r="AS930" s="839">
        <f t="shared" ca="1" si="698"/>
        <v>12548.861491002626</v>
      </c>
      <c r="AT930" s="839">
        <f t="shared" ca="1" si="699"/>
        <v>18670.560596538384</v>
      </c>
      <c r="AU930" s="844">
        <f ca="1">'PV-Einspeisung'!AA301*-1</f>
        <v>-617.34995065316878</v>
      </c>
      <c r="AV930" s="844">
        <f>'PV-Einspeisung'!AE301*-1</f>
        <v>-3182.5727795004823</v>
      </c>
      <c r="AW930" s="839"/>
      <c r="AX930" s="839">
        <f t="shared" ca="1" si="704"/>
        <v>0</v>
      </c>
      <c r="AY930" s="841">
        <f t="shared" si="688"/>
        <v>30</v>
      </c>
      <c r="AZ930" s="842">
        <f t="shared" ca="1" si="705"/>
        <v>0</v>
      </c>
      <c r="BA930" s="842">
        <f t="shared" ca="1" si="706"/>
        <v>0</v>
      </c>
      <c r="BB930" s="842">
        <f t="shared" ca="1" si="707"/>
        <v>0</v>
      </c>
      <c r="BC930" s="842">
        <f t="shared" ca="1" si="708"/>
        <v>0</v>
      </c>
      <c r="BD930" s="842">
        <f t="shared" ca="1" si="709"/>
        <v>0</v>
      </c>
      <c r="BE930" s="842">
        <f t="shared" ca="1" si="710"/>
        <v>0</v>
      </c>
      <c r="BF930" s="842">
        <f t="shared" ca="1" si="711"/>
        <v>13212.860809470247</v>
      </c>
      <c r="BG930" s="842">
        <f t="shared" ca="1" si="712"/>
        <v>5457.6997870681371</v>
      </c>
      <c r="BH930" s="858">
        <f t="shared" si="696"/>
        <v>30</v>
      </c>
      <c r="BI930" s="857">
        <f t="shared" ca="1" si="713"/>
        <v>4748.0722502797298</v>
      </c>
      <c r="BJ930" s="857">
        <f t="shared" ca="1" si="714"/>
        <v>7800.7892407228974</v>
      </c>
      <c r="BK930" s="859">
        <f ca="1">'PV-Einspeisung'!AB301*-1</f>
        <v>0</v>
      </c>
      <c r="BL930" s="824">
        <f t="shared" ca="1" si="729"/>
        <v>0</v>
      </c>
      <c r="BM930" s="824">
        <f t="shared" ca="1" si="730"/>
        <v>0</v>
      </c>
      <c r="BN930" s="824">
        <f t="shared" ca="1" si="731"/>
        <v>0</v>
      </c>
      <c r="BO930" s="824">
        <f t="shared" ca="1" si="722"/>
        <v>0</v>
      </c>
      <c r="BP930" s="824">
        <f t="shared" ca="1" si="722"/>
        <v>0</v>
      </c>
      <c r="BQ930" s="824">
        <f t="shared" ca="1" si="722"/>
        <v>0</v>
      </c>
      <c r="BR930" s="824">
        <f t="shared" ca="1" si="722"/>
        <v>0</v>
      </c>
      <c r="BS930" s="824">
        <f t="shared" ca="1" si="722"/>
        <v>0</v>
      </c>
      <c r="BT930" s="824">
        <f t="shared" ca="1" si="722"/>
        <v>0</v>
      </c>
      <c r="BU930" s="824">
        <f t="shared" ca="1" si="722"/>
        <v>0</v>
      </c>
      <c r="BV930" s="824">
        <f t="shared" ca="1" si="722"/>
        <v>0</v>
      </c>
      <c r="BW930" s="824">
        <f t="shared" ca="1" si="722"/>
        <v>0</v>
      </c>
      <c r="BX930" s="824">
        <f t="shared" ca="1" si="722"/>
        <v>0</v>
      </c>
      <c r="BY930" s="824">
        <f t="shared" ca="1" si="722"/>
        <v>0</v>
      </c>
      <c r="BZ930" s="824">
        <f t="shared" ca="1" si="722"/>
        <v>0</v>
      </c>
      <c r="CA930" s="824">
        <f t="shared" ca="1" si="722"/>
        <v>0</v>
      </c>
      <c r="CB930" s="824">
        <f t="shared" ca="1" si="722"/>
        <v>0</v>
      </c>
      <c r="CC930" s="824">
        <f t="shared" ca="1" si="722"/>
        <v>0</v>
      </c>
      <c r="CD930" s="824">
        <f t="shared" ref="CD930:CS945" ca="1" si="732">IF(OR(IF($BL930*1&lt;$BL$196,$BL930*1=CD$198,FALSE),IF($BL930*2&lt;$BL$196,$BL930*2=CD$198,FALSE),IF($BL930*3&lt;$BL$196,$BL930*3=CD$198,FALSE),IF($BL930*4&lt;$BL$196,$BL930*4=CD$198,FALSE),IF($BL930*5&lt;$BL$196,$BL930*5=CD$198,FALSE)),$BN930*$BM$196^CD$198,0)</f>
        <v>0</v>
      </c>
      <c r="CE930" s="824">
        <f t="shared" ca="1" si="732"/>
        <v>0</v>
      </c>
      <c r="CF930" s="824">
        <f t="shared" ca="1" si="732"/>
        <v>0</v>
      </c>
      <c r="CG930" s="824">
        <f t="shared" ca="1" si="732"/>
        <v>0</v>
      </c>
      <c r="CH930" s="824">
        <f t="shared" ca="1" si="732"/>
        <v>0</v>
      </c>
      <c r="CI930" s="824">
        <f t="shared" ca="1" si="732"/>
        <v>0</v>
      </c>
      <c r="CJ930" s="824">
        <f t="shared" ca="1" si="732"/>
        <v>0</v>
      </c>
      <c r="CK930" s="824">
        <f t="shared" ca="1" si="732"/>
        <v>0</v>
      </c>
      <c r="CL930" s="824">
        <f t="shared" ca="1" si="732"/>
        <v>0</v>
      </c>
      <c r="CM930" s="824">
        <f t="shared" ca="1" si="732"/>
        <v>0</v>
      </c>
      <c r="CN930" s="824">
        <f t="shared" ca="1" si="732"/>
        <v>0</v>
      </c>
      <c r="CO930" s="824">
        <f t="shared" ca="1" si="732"/>
        <v>0</v>
      </c>
      <c r="CP930" s="824">
        <f t="shared" ca="1" si="732"/>
        <v>0</v>
      </c>
      <c r="CQ930" s="824">
        <f t="shared" ca="1" si="732"/>
        <v>0</v>
      </c>
      <c r="CR930" s="824">
        <f t="shared" ca="1" si="732"/>
        <v>0</v>
      </c>
      <c r="CS930" s="824">
        <f t="shared" ca="1" si="732"/>
        <v>0</v>
      </c>
      <c r="CT930" s="824">
        <f t="shared" ca="1" si="723"/>
        <v>0</v>
      </c>
      <c r="CU930" s="824">
        <f t="shared" ca="1" si="723"/>
        <v>0</v>
      </c>
      <c r="CV930" s="824">
        <f t="shared" ca="1" si="723"/>
        <v>0</v>
      </c>
      <c r="CW930" s="824">
        <f t="shared" ca="1" si="723"/>
        <v>0</v>
      </c>
      <c r="CX930" s="824">
        <f t="shared" ca="1" si="723"/>
        <v>0</v>
      </c>
      <c r="CY930" s="824">
        <f t="shared" ca="1" si="723"/>
        <v>0</v>
      </c>
      <c r="CZ930" s="824">
        <f t="shared" ca="1" si="723"/>
        <v>0</v>
      </c>
      <c r="DA930" s="824">
        <f t="shared" ca="1" si="723"/>
        <v>0</v>
      </c>
      <c r="DB930" s="824">
        <f t="shared" ca="1" si="723"/>
        <v>0</v>
      </c>
      <c r="DC930" s="824">
        <f t="shared" ca="1" si="723"/>
        <v>0</v>
      </c>
      <c r="DD930" s="824">
        <f t="shared" ca="1" si="723"/>
        <v>0</v>
      </c>
      <c r="DE930" s="824">
        <f t="shared" ca="1" si="723"/>
        <v>0</v>
      </c>
      <c r="DF930" s="824">
        <f t="shared" ca="1" si="723"/>
        <v>0</v>
      </c>
      <c r="DG930" s="824">
        <f t="shared" ca="1" si="726"/>
        <v>0</v>
      </c>
      <c r="DH930" s="824">
        <f t="shared" ca="1" si="726"/>
        <v>0</v>
      </c>
      <c r="DI930" s="824">
        <f t="shared" ca="1" si="726"/>
        <v>0</v>
      </c>
      <c r="DJ930" s="824">
        <f t="shared" ca="1" si="726"/>
        <v>0</v>
      </c>
      <c r="DK930" s="824">
        <f t="shared" ca="1" si="725"/>
        <v>0</v>
      </c>
      <c r="DL930" s="824">
        <f t="shared" ca="1" si="725"/>
        <v>0</v>
      </c>
    </row>
    <row r="931" spans="2:116" ht="12" thickBot="1" x14ac:dyDescent="0.3">
      <c r="B931" s="1673"/>
      <c r="C931" s="1680"/>
      <c r="D931" s="15" t="s">
        <v>263</v>
      </c>
      <c r="E931" s="165"/>
      <c r="F931" s="116">
        <f ca="1">SUBTOTAL(109,'3.5 I&amp;W'!$X$97)</f>
        <v>0</v>
      </c>
      <c r="G931" s="116">
        <f ca="1">SUBTOTAL(109,'3.5 I&amp;W'!$Y$97)</f>
        <v>0</v>
      </c>
      <c r="H931" s="116">
        <f ca="1">SUBTOTAL(109,'3.5 I&amp;W'!$AD$97)</f>
        <v>0</v>
      </c>
      <c r="I931" s="116">
        <f ca="1">SUBTOTAL(109,'3.5 I&amp;W'!$AE$97)</f>
        <v>0</v>
      </c>
      <c r="J931" s="116"/>
      <c r="K931" s="116"/>
      <c r="L931" s="116"/>
      <c r="M931" s="116">
        <f ca="1">SUBTOTAL(109,'3.5 I&amp;W'!$AI$97)</f>
        <v>0</v>
      </c>
      <c r="N931" s="156">
        <f t="shared" ca="1" si="677"/>
        <v>0</v>
      </c>
      <c r="O931" s="116">
        <f ca="1">SUBTOTAL(109,'3.5 I&amp;W'!$S$97)</f>
        <v>0</v>
      </c>
      <c r="P931" s="30">
        <f t="shared" ca="1" si="717"/>
        <v>0</v>
      </c>
      <c r="Q931" s="31">
        <f t="shared" ca="1" si="718"/>
        <v>0</v>
      </c>
      <c r="R931" s="31">
        <f t="shared" ca="1" si="719"/>
        <v>0</v>
      </c>
      <c r="S931" s="31">
        <f t="shared" ca="1" si="720"/>
        <v>0</v>
      </c>
      <c r="T931" s="32">
        <f t="shared" ca="1" si="721"/>
        <v>0</v>
      </c>
      <c r="U931" s="37">
        <f t="shared" ca="1" si="678"/>
        <v>0</v>
      </c>
      <c r="V931" s="40">
        <f t="shared" ca="1" si="727"/>
        <v>0</v>
      </c>
      <c r="W931" s="41">
        <f t="shared" ca="1" si="728"/>
        <v>0</v>
      </c>
      <c r="X931" s="43"/>
      <c r="Y931" s="46"/>
      <c r="Z931" s="126"/>
      <c r="AA931" s="136"/>
      <c r="AB931" s="131">
        <v>31</v>
      </c>
      <c r="AC931" s="168">
        <f ca="1">IF(AF930&lt;=1,0,'3.5 Fi&amp;Fo'!$I$25)</f>
        <v>46174.624633000763</v>
      </c>
      <c r="AD931" s="169">
        <f ca="1">IF(AF930&lt;=1,0,AF930*'3.5 Fi&amp;Fo'!$H$25)</f>
        <v>4352.8444705606134</v>
      </c>
      <c r="AE931" s="169">
        <f t="shared" ca="1" si="681"/>
        <v>41821.780162440147</v>
      </c>
      <c r="AF931" s="170">
        <f t="shared" ca="1" si="682"/>
        <v>175820.44336559053</v>
      </c>
      <c r="AG931" s="168">
        <f>IF(AJ930&lt;=1,0,IF(AB931&lt;='3.5 Fi&amp;Fo'!$F$34,'3.5 Fi&amp;Fo'!$J$34,IF(AB931&lt;='3.5 Fi&amp;Fo'!$F$35,'3.5 Fi&amp;Fo'!$J$35,IF(AB931&lt;='3.5 Fi&amp;Fo'!$F$36,'3.5 Fi&amp;Fo'!$J$36,IF(AB931&lt;='3.5 Fi&amp;Fo'!$F$37,'3.5 Fi&amp;Fo'!$J$37,IF(AB931&lt;='3.5 Fi&amp;Fo'!$F$38,'3.5 Fi&amp;Fo'!$J$38,IF(AB931&lt;='3.5 Fi&amp;Fo'!$F$39,'3.5 Fi&amp;Fo'!$J$39,IF(AB931&lt;='3.5 Fi&amp;Fo'!$F$40,'3.5 Fi&amp;Fo'!$J$40))))))))</f>
        <v>123336.63</v>
      </c>
      <c r="AH931" s="203">
        <f>IF(AJ930&lt;=1,0,AJ930*IF(AB931&lt;='3.5 Fi&amp;Fo'!$F$34,'3.5 Fi&amp;Fo'!$I$34,IF(AB931&lt;='3.5 Fi&amp;Fo'!$F$35,'3.5 Fi&amp;Fo'!$I$35,IF(AB931&lt;='3.5 Fi&amp;Fo'!$F$38,'3.5 Fi&amp;Fo'!$I$38,IF(AB931&lt;='3.5 Fi&amp;Fo'!$F$39,'3.5 Fi&amp;Fo'!$I$39,IF(AB931&lt;='3.5 Fi&amp;Fo'!$F$40,'3.5 Fi&amp;Fo'!$I$40))))))</f>
        <v>166776.00116060171</v>
      </c>
      <c r="AI931" s="203">
        <f t="shared" si="683"/>
        <v>-43439.371160601702</v>
      </c>
      <c r="AJ931" s="204">
        <f t="shared" si="684"/>
        <v>2609224.0044006277</v>
      </c>
      <c r="AK931" s="312">
        <f t="shared" ca="1" si="685"/>
        <v>-209891.34546008817</v>
      </c>
      <c r="AL931" s="169">
        <f>IF(AB931&lt;='3.5 Fi&amp;Fo'!$J$15,'3.5 Fi&amp;Fo'!$I$15,0)</f>
        <v>0</v>
      </c>
      <c r="AM931" s="169">
        <f t="shared" si="697"/>
        <v>40380.090827087406</v>
      </c>
      <c r="AN931" s="838">
        <f t="shared" si="702"/>
        <v>31</v>
      </c>
      <c r="AO931" s="844">
        <f t="shared" ca="1" si="686"/>
        <v>209891.34546008817</v>
      </c>
      <c r="AP931" s="839">
        <f ca="1">CS1005</f>
        <v>0</v>
      </c>
      <c r="AQ931" s="844">
        <f t="shared" si="687"/>
        <v>0</v>
      </c>
      <c r="AR931" s="839">
        <f t="shared" ca="1" si="703"/>
        <v>0</v>
      </c>
      <c r="AS931" s="839">
        <f t="shared" ca="1" si="698"/>
        <v>12749.64327485867</v>
      </c>
      <c r="AT931" s="839">
        <f t="shared" ca="1" si="699"/>
        <v>19191.901609322522</v>
      </c>
      <c r="AU931" s="844">
        <f ca="1">'PV-Einspeisung'!AA302*-1</f>
        <v>-632.78369941949791</v>
      </c>
      <c r="AV931" s="844">
        <f>'PV-Einspeisung'!AE302*-1</f>
        <v>-3262.1370989879938</v>
      </c>
      <c r="AW931" s="839"/>
      <c r="AX931" s="839">
        <f t="shared" ca="1" si="704"/>
        <v>0</v>
      </c>
      <c r="AY931" s="841">
        <f t="shared" si="688"/>
        <v>31</v>
      </c>
      <c r="AZ931" s="842">
        <f t="shared" ca="1" si="705"/>
        <v>0</v>
      </c>
      <c r="BA931" s="842">
        <f t="shared" ca="1" si="706"/>
        <v>0</v>
      </c>
      <c r="BB931" s="842">
        <f t="shared" ca="1" si="707"/>
        <v>0</v>
      </c>
      <c r="BC931" s="842">
        <f t="shared" ca="1" si="708"/>
        <v>0</v>
      </c>
      <c r="BD931" s="842">
        <f t="shared" ca="1" si="709"/>
        <v>0</v>
      </c>
      <c r="BE931" s="842">
        <f t="shared" ca="1" si="710"/>
        <v>0</v>
      </c>
      <c r="BF931" s="842">
        <f t="shared" ca="1" si="711"/>
        <v>13543.182329707002</v>
      </c>
      <c r="BG931" s="842">
        <f t="shared" ca="1" si="712"/>
        <v>5648.7192796155214</v>
      </c>
      <c r="BH931" s="858">
        <f t="shared" si="696"/>
        <v>31</v>
      </c>
      <c r="BI931" s="857">
        <f t="shared" ca="1" si="713"/>
        <v>4824.0414062842056</v>
      </c>
      <c r="BJ931" s="857">
        <f t="shared" ca="1" si="714"/>
        <v>7925.6018685744639</v>
      </c>
      <c r="BK931" s="859">
        <f ca="1">'PV-Einspeisung'!AB302*-1</f>
        <v>0</v>
      </c>
      <c r="BL931" s="824">
        <f t="shared" ca="1" si="729"/>
        <v>0</v>
      </c>
      <c r="BM931" s="824">
        <f t="shared" ca="1" si="730"/>
        <v>0</v>
      </c>
      <c r="BN931" s="824">
        <f t="shared" ca="1" si="731"/>
        <v>0</v>
      </c>
      <c r="BO931" s="824">
        <f t="shared" ref="BO931:CD946" ca="1" si="733">IF(OR(IF($BL931*1&lt;$BL$196,$BL931*1=BO$198,FALSE),IF($BL931*2&lt;$BL$196,$BL931*2=BO$198,FALSE),IF($BL931*3&lt;$BL$196,$BL931*3=BO$198,FALSE),IF($BL931*4&lt;$BL$196,$BL931*4=BO$198,FALSE),IF($BL931*5&lt;$BL$196,$BL931*5=BO$198,FALSE)),$BN931*$BM$196^BO$198,0)</f>
        <v>0</v>
      </c>
      <c r="BP931" s="824">
        <f t="shared" ca="1" si="733"/>
        <v>0</v>
      </c>
      <c r="BQ931" s="824">
        <f t="shared" ca="1" si="733"/>
        <v>0</v>
      </c>
      <c r="BR931" s="824">
        <f t="shared" ca="1" si="733"/>
        <v>0</v>
      </c>
      <c r="BS931" s="824">
        <f t="shared" ca="1" si="733"/>
        <v>0</v>
      </c>
      <c r="BT931" s="824">
        <f t="shared" ca="1" si="733"/>
        <v>0</v>
      </c>
      <c r="BU931" s="824">
        <f t="shared" ca="1" si="733"/>
        <v>0</v>
      </c>
      <c r="BV931" s="824">
        <f t="shared" ca="1" si="733"/>
        <v>0</v>
      </c>
      <c r="BW931" s="824">
        <f t="shared" ca="1" si="733"/>
        <v>0</v>
      </c>
      <c r="BX931" s="824">
        <f t="shared" ca="1" si="733"/>
        <v>0</v>
      </c>
      <c r="BY931" s="824">
        <f t="shared" ca="1" si="733"/>
        <v>0</v>
      </c>
      <c r="BZ931" s="824">
        <f t="shared" ca="1" si="733"/>
        <v>0</v>
      </c>
      <c r="CA931" s="824">
        <f t="shared" ca="1" si="733"/>
        <v>0</v>
      </c>
      <c r="CB931" s="824">
        <f t="shared" ca="1" si="733"/>
        <v>0</v>
      </c>
      <c r="CC931" s="824">
        <f t="shared" ca="1" si="733"/>
        <v>0</v>
      </c>
      <c r="CD931" s="824">
        <f t="shared" ca="1" si="733"/>
        <v>0</v>
      </c>
      <c r="CE931" s="824">
        <f t="shared" ca="1" si="732"/>
        <v>0</v>
      </c>
      <c r="CF931" s="824">
        <f t="shared" ca="1" si="732"/>
        <v>0</v>
      </c>
      <c r="CG931" s="824">
        <f t="shared" ca="1" si="732"/>
        <v>0</v>
      </c>
      <c r="CH931" s="824">
        <f t="shared" ca="1" si="732"/>
        <v>0</v>
      </c>
      <c r="CI931" s="824">
        <f t="shared" ca="1" si="732"/>
        <v>0</v>
      </c>
      <c r="CJ931" s="824">
        <f t="shared" ca="1" si="732"/>
        <v>0</v>
      </c>
      <c r="CK931" s="824">
        <f t="shared" ca="1" si="732"/>
        <v>0</v>
      </c>
      <c r="CL931" s="824">
        <f t="shared" ca="1" si="732"/>
        <v>0</v>
      </c>
      <c r="CM931" s="824">
        <f t="shared" ca="1" si="732"/>
        <v>0</v>
      </c>
      <c r="CN931" s="824">
        <f t="shared" ca="1" si="732"/>
        <v>0</v>
      </c>
      <c r="CO931" s="824">
        <f t="shared" ca="1" si="732"/>
        <v>0</v>
      </c>
      <c r="CP931" s="824">
        <f t="shared" ca="1" si="732"/>
        <v>0</v>
      </c>
      <c r="CQ931" s="824">
        <f t="shared" ca="1" si="732"/>
        <v>0</v>
      </c>
      <c r="CR931" s="824">
        <f t="shared" ca="1" si="732"/>
        <v>0</v>
      </c>
      <c r="CS931" s="824">
        <f t="shared" ca="1" si="732"/>
        <v>0</v>
      </c>
      <c r="CT931" s="824">
        <f t="shared" ca="1" si="723"/>
        <v>0</v>
      </c>
      <c r="CU931" s="824">
        <f t="shared" ca="1" si="723"/>
        <v>0</v>
      </c>
      <c r="CV931" s="824">
        <f t="shared" ca="1" si="723"/>
        <v>0</v>
      </c>
      <c r="CW931" s="824">
        <f t="shared" ca="1" si="723"/>
        <v>0</v>
      </c>
      <c r="CX931" s="824">
        <f t="shared" ca="1" si="723"/>
        <v>0</v>
      </c>
      <c r="CY931" s="824">
        <f t="shared" ca="1" si="723"/>
        <v>0</v>
      </c>
      <c r="CZ931" s="824">
        <f t="shared" ca="1" si="723"/>
        <v>0</v>
      </c>
      <c r="DA931" s="824">
        <f t="shared" ca="1" si="723"/>
        <v>0</v>
      </c>
      <c r="DB931" s="824">
        <f t="shared" ca="1" si="723"/>
        <v>0</v>
      </c>
      <c r="DC931" s="824">
        <f t="shared" ca="1" si="723"/>
        <v>0</v>
      </c>
      <c r="DD931" s="824">
        <f t="shared" ca="1" si="723"/>
        <v>0</v>
      </c>
      <c r="DE931" s="824">
        <f t="shared" ca="1" si="723"/>
        <v>0</v>
      </c>
      <c r="DF931" s="824">
        <f t="shared" ca="1" si="723"/>
        <v>0</v>
      </c>
      <c r="DG931" s="824">
        <f t="shared" ca="1" si="726"/>
        <v>0</v>
      </c>
      <c r="DH931" s="824">
        <f t="shared" ca="1" si="726"/>
        <v>0</v>
      </c>
      <c r="DI931" s="824">
        <f t="shared" ca="1" si="726"/>
        <v>0</v>
      </c>
      <c r="DJ931" s="824">
        <f t="shared" ca="1" si="726"/>
        <v>0</v>
      </c>
      <c r="DK931" s="824">
        <f t="shared" ca="1" si="725"/>
        <v>0</v>
      </c>
      <c r="DL931" s="824">
        <f t="shared" ca="1" si="725"/>
        <v>0</v>
      </c>
    </row>
    <row r="932" spans="2:116" ht="12" thickBot="1" x14ac:dyDescent="0.3">
      <c r="B932" s="1673"/>
      <c r="C932" s="1680"/>
      <c r="D932" s="15" t="s">
        <v>174</v>
      </c>
      <c r="E932" s="116"/>
      <c r="F932" s="116">
        <f ca="1">SUBTOTAL(109,'3.5 I&amp;W'!$X$100)</f>
        <v>0</v>
      </c>
      <c r="G932" s="116">
        <f ca="1">SUBTOTAL(109,'3.5 I&amp;W'!$Y$100)</f>
        <v>0</v>
      </c>
      <c r="H932" s="116">
        <f ca="1">SUBTOTAL(109,'3.5 I&amp;W'!$AD$100)</f>
        <v>0</v>
      </c>
      <c r="I932" s="116">
        <f ca="1">SUBTOTAL(109,'3.5 I&amp;W'!$AE$100)</f>
        <v>0</v>
      </c>
      <c r="J932" s="116"/>
      <c r="K932" s="116"/>
      <c r="L932" s="116"/>
      <c r="M932" s="116">
        <f ca="1">SUBTOTAL(109,'3.5 I&amp;W'!$AI$100)</f>
        <v>0</v>
      </c>
      <c r="N932" s="156">
        <f t="shared" ca="1" si="677"/>
        <v>0</v>
      </c>
      <c r="O932" s="116">
        <f ca="1">SUBTOTAL(109,'3.5 I&amp;W'!$S$100)</f>
        <v>0</v>
      </c>
      <c r="P932" s="30">
        <f t="shared" ca="1" si="717"/>
        <v>0</v>
      </c>
      <c r="Q932" s="31">
        <f t="shared" ca="1" si="718"/>
        <v>0</v>
      </c>
      <c r="R932" s="31">
        <f t="shared" ca="1" si="719"/>
        <v>0</v>
      </c>
      <c r="S932" s="31">
        <f t="shared" ca="1" si="720"/>
        <v>0</v>
      </c>
      <c r="T932" s="32">
        <f t="shared" ca="1" si="721"/>
        <v>0</v>
      </c>
      <c r="U932" s="37">
        <f t="shared" ca="1" si="678"/>
        <v>0</v>
      </c>
      <c r="V932" s="40">
        <f t="shared" ca="1" si="727"/>
        <v>0</v>
      </c>
      <c r="W932" s="41">
        <f t="shared" ca="1" si="728"/>
        <v>0</v>
      </c>
      <c r="X932" s="43"/>
      <c r="Y932" s="46"/>
      <c r="Z932" s="126"/>
      <c r="AA932" s="136"/>
      <c r="AB932" s="131">
        <v>32</v>
      </c>
      <c r="AC932" s="168">
        <f ca="1">IF(AF931&lt;=1,0,'3.5 Fi&amp;Fo'!$I$25)</f>
        <v>46174.624633000763</v>
      </c>
      <c r="AD932" s="169">
        <f ca="1">IF(AF931&lt;=1,0,AF931*'3.5 Fi&amp;Fo'!$H$25)</f>
        <v>3516.4088673118108</v>
      </c>
      <c r="AE932" s="169">
        <f t="shared" ca="1" si="681"/>
        <v>42658.215765688954</v>
      </c>
      <c r="AF932" s="170">
        <f t="shared" ca="1" si="682"/>
        <v>133162.22759990158</v>
      </c>
      <c r="AG932" s="168">
        <f>IF(AJ931&lt;=1,0,IF(AB932&lt;='3.5 Fi&amp;Fo'!$F$34,'3.5 Fi&amp;Fo'!$J$34,IF(AB932&lt;='3.5 Fi&amp;Fo'!$F$35,'3.5 Fi&amp;Fo'!$J$35,IF(AB932&lt;='3.5 Fi&amp;Fo'!$F$36,'3.5 Fi&amp;Fo'!$J$36,IF(AB932&lt;='3.5 Fi&amp;Fo'!$F$37,'3.5 Fi&amp;Fo'!$J$37,IF(AB932&lt;='3.5 Fi&amp;Fo'!$F$38,'3.5 Fi&amp;Fo'!$J$38,IF(AB932&lt;='3.5 Fi&amp;Fo'!$F$39,'3.5 Fi&amp;Fo'!$J$39,IF(AB932&lt;='3.5 Fi&amp;Fo'!$F$40,'3.5 Fi&amp;Fo'!$J$40))))))))</f>
        <v>123336.63</v>
      </c>
      <c r="AH932" s="203">
        <f>IF(AJ931&lt;=1,0,AJ931*IF(AB932&lt;='3.5 Fi&amp;Fo'!$F$34,'3.5 Fi&amp;Fo'!$I$34,IF(AB932&lt;='3.5 Fi&amp;Fo'!$F$35,'3.5 Fi&amp;Fo'!$I$35,IF(AB932&lt;='3.5 Fi&amp;Fo'!$F$38,'3.5 Fi&amp;Fo'!$I$38,IF(AB932&lt;='3.5 Fi&amp;Fo'!$F$39,'3.5 Fi&amp;Fo'!$I$39,IF(AB932&lt;='3.5 Fi&amp;Fo'!$F$40,'3.5 Fi&amp;Fo'!$I$40))))))</f>
        <v>169599.5602860408</v>
      </c>
      <c r="AI932" s="203">
        <f t="shared" si="683"/>
        <v>-46262.930286040792</v>
      </c>
      <c r="AJ932" s="204">
        <f t="shared" si="684"/>
        <v>2655486.9346866687</v>
      </c>
      <c r="AK932" s="312">
        <f t="shared" ca="1" si="685"/>
        <v>-210698.94727663085</v>
      </c>
      <c r="AL932" s="169">
        <f>IF(AB932&lt;='3.5 Fi&amp;Fo'!$J$15,'3.5 Fi&amp;Fo'!$I$15,0)</f>
        <v>0</v>
      </c>
      <c r="AM932" s="169">
        <f t="shared" si="697"/>
        <v>41187.692643630086</v>
      </c>
      <c r="AN932" s="838">
        <f t="shared" si="702"/>
        <v>32</v>
      </c>
      <c r="AO932" s="844">
        <f t="shared" ca="1" si="686"/>
        <v>210698.94727663085</v>
      </c>
      <c r="AP932" s="839">
        <f ca="1">CT1005</f>
        <v>0</v>
      </c>
      <c r="AQ932" s="844">
        <f t="shared" si="687"/>
        <v>0</v>
      </c>
      <c r="AR932" s="839">
        <f t="shared" ca="1" si="703"/>
        <v>0</v>
      </c>
      <c r="AS932" s="839">
        <f t="shared" ca="1" si="698"/>
        <v>12953.637567256408</v>
      </c>
      <c r="AT932" s="839">
        <f t="shared" ca="1" si="699"/>
        <v>19728.186342351742</v>
      </c>
      <c r="AU932" s="844">
        <f ca="1">'PV-Einspeisung'!AA303*-1</f>
        <v>-648.60329190498533</v>
      </c>
      <c r="AV932" s="844">
        <f>'PV-Einspeisung'!AE303*-1</f>
        <v>-3343.690526462693</v>
      </c>
      <c r="AW932" s="839"/>
      <c r="AX932" s="839">
        <f t="shared" ca="1" si="704"/>
        <v>0</v>
      </c>
      <c r="AY932" s="841">
        <f t="shared" si="688"/>
        <v>32</v>
      </c>
      <c r="AZ932" s="842">
        <f t="shared" ca="1" si="705"/>
        <v>0</v>
      </c>
      <c r="BA932" s="842">
        <f t="shared" ca="1" si="706"/>
        <v>0</v>
      </c>
      <c r="BB932" s="842">
        <f t="shared" ca="1" si="707"/>
        <v>0</v>
      </c>
      <c r="BC932" s="842">
        <f t="shared" ca="1" si="708"/>
        <v>0</v>
      </c>
      <c r="BD932" s="842">
        <f t="shared" ca="1" si="709"/>
        <v>0</v>
      </c>
      <c r="BE932" s="842">
        <f t="shared" ca="1" si="710"/>
        <v>0</v>
      </c>
      <c r="BF932" s="842">
        <f t="shared" ca="1" si="711"/>
        <v>13881.761887949677</v>
      </c>
      <c r="BG932" s="842">
        <f t="shared" ca="1" si="712"/>
        <v>5846.4244544020639</v>
      </c>
      <c r="BH932" s="858">
        <f t="shared" si="696"/>
        <v>32</v>
      </c>
      <c r="BI932" s="857">
        <f t="shared" ca="1" si="713"/>
        <v>4901.2260687847529</v>
      </c>
      <c r="BJ932" s="857">
        <f t="shared" ca="1" si="714"/>
        <v>8052.4114984716552</v>
      </c>
      <c r="BK932" s="859">
        <f ca="1">'PV-Einspeisung'!AB303*-1</f>
        <v>0</v>
      </c>
      <c r="BL932" s="824">
        <f t="shared" ca="1" si="729"/>
        <v>0</v>
      </c>
      <c r="BM932" s="824">
        <f t="shared" ca="1" si="730"/>
        <v>0</v>
      </c>
      <c r="BN932" s="824">
        <f t="shared" ca="1" si="731"/>
        <v>0</v>
      </c>
      <c r="BO932" s="824">
        <f t="shared" ca="1" si="733"/>
        <v>0</v>
      </c>
      <c r="BP932" s="824">
        <f t="shared" ca="1" si="733"/>
        <v>0</v>
      </c>
      <c r="BQ932" s="824">
        <f t="shared" ca="1" si="733"/>
        <v>0</v>
      </c>
      <c r="BR932" s="824">
        <f t="shared" ca="1" si="733"/>
        <v>0</v>
      </c>
      <c r="BS932" s="824">
        <f t="shared" ca="1" si="733"/>
        <v>0</v>
      </c>
      <c r="BT932" s="824">
        <f t="shared" ca="1" si="733"/>
        <v>0</v>
      </c>
      <c r="BU932" s="824">
        <f t="shared" ca="1" si="733"/>
        <v>0</v>
      </c>
      <c r="BV932" s="824">
        <f t="shared" ca="1" si="733"/>
        <v>0</v>
      </c>
      <c r="BW932" s="824">
        <f t="shared" ca="1" si="733"/>
        <v>0</v>
      </c>
      <c r="BX932" s="824">
        <f t="shared" ca="1" si="733"/>
        <v>0</v>
      </c>
      <c r="BY932" s="824">
        <f t="shared" ca="1" si="733"/>
        <v>0</v>
      </c>
      <c r="BZ932" s="824">
        <f t="shared" ca="1" si="733"/>
        <v>0</v>
      </c>
      <c r="CA932" s="824">
        <f t="shared" ca="1" si="733"/>
        <v>0</v>
      </c>
      <c r="CB932" s="824">
        <f t="shared" ca="1" si="733"/>
        <v>0</v>
      </c>
      <c r="CC932" s="824">
        <f t="shared" ca="1" si="733"/>
        <v>0</v>
      </c>
      <c r="CD932" s="824">
        <f t="shared" ca="1" si="733"/>
        <v>0</v>
      </c>
      <c r="CE932" s="824">
        <f t="shared" ca="1" si="732"/>
        <v>0</v>
      </c>
      <c r="CF932" s="824">
        <f t="shared" ca="1" si="732"/>
        <v>0</v>
      </c>
      <c r="CG932" s="824">
        <f t="shared" ca="1" si="732"/>
        <v>0</v>
      </c>
      <c r="CH932" s="824">
        <f t="shared" ca="1" si="732"/>
        <v>0</v>
      </c>
      <c r="CI932" s="824">
        <f t="shared" ca="1" si="732"/>
        <v>0</v>
      </c>
      <c r="CJ932" s="824">
        <f t="shared" ca="1" si="732"/>
        <v>0</v>
      </c>
      <c r="CK932" s="824">
        <f t="shared" ca="1" si="732"/>
        <v>0</v>
      </c>
      <c r="CL932" s="824">
        <f t="shared" ca="1" si="732"/>
        <v>0</v>
      </c>
      <c r="CM932" s="824">
        <f t="shared" ca="1" si="732"/>
        <v>0</v>
      </c>
      <c r="CN932" s="824">
        <f t="shared" ca="1" si="732"/>
        <v>0</v>
      </c>
      <c r="CO932" s="824">
        <f t="shared" ca="1" si="732"/>
        <v>0</v>
      </c>
      <c r="CP932" s="824">
        <f t="shared" ca="1" si="732"/>
        <v>0</v>
      </c>
      <c r="CQ932" s="824">
        <f t="shared" ca="1" si="732"/>
        <v>0</v>
      </c>
      <c r="CR932" s="824">
        <f t="shared" ca="1" si="732"/>
        <v>0</v>
      </c>
      <c r="CS932" s="824">
        <f t="shared" ca="1" si="732"/>
        <v>0</v>
      </c>
      <c r="CT932" s="824">
        <f t="shared" ca="1" si="723"/>
        <v>0</v>
      </c>
      <c r="CU932" s="824">
        <f t="shared" ca="1" si="723"/>
        <v>0</v>
      </c>
      <c r="CV932" s="824">
        <f t="shared" ca="1" si="723"/>
        <v>0</v>
      </c>
      <c r="CW932" s="824">
        <f t="shared" ca="1" si="723"/>
        <v>0</v>
      </c>
      <c r="CX932" s="824">
        <f t="shared" ca="1" si="723"/>
        <v>0</v>
      </c>
      <c r="CY932" s="824">
        <f t="shared" ca="1" si="723"/>
        <v>0</v>
      </c>
      <c r="CZ932" s="824">
        <f t="shared" ca="1" si="723"/>
        <v>0</v>
      </c>
      <c r="DA932" s="824">
        <f t="shared" ca="1" si="723"/>
        <v>0</v>
      </c>
      <c r="DB932" s="824">
        <f t="shared" ca="1" si="723"/>
        <v>0</v>
      </c>
      <c r="DC932" s="824">
        <f t="shared" ca="1" si="723"/>
        <v>0</v>
      </c>
      <c r="DD932" s="824">
        <f t="shared" ca="1" si="723"/>
        <v>0</v>
      </c>
      <c r="DE932" s="824">
        <f t="shared" ca="1" si="723"/>
        <v>0</v>
      </c>
      <c r="DF932" s="824">
        <f t="shared" ca="1" si="723"/>
        <v>0</v>
      </c>
      <c r="DG932" s="824">
        <f t="shared" ca="1" si="726"/>
        <v>0</v>
      </c>
      <c r="DH932" s="824">
        <f t="shared" ca="1" si="726"/>
        <v>0</v>
      </c>
      <c r="DI932" s="824">
        <f t="shared" ca="1" si="726"/>
        <v>0</v>
      </c>
      <c r="DJ932" s="824">
        <f t="shared" ca="1" si="726"/>
        <v>0</v>
      </c>
      <c r="DK932" s="824">
        <f t="shared" ca="1" si="725"/>
        <v>0</v>
      </c>
      <c r="DL932" s="824">
        <f t="shared" ca="1" si="725"/>
        <v>0</v>
      </c>
    </row>
    <row r="933" spans="2:116" ht="12" thickBot="1" x14ac:dyDescent="0.3">
      <c r="B933" s="1673"/>
      <c r="C933" s="1680"/>
      <c r="D933" s="15" t="s">
        <v>174</v>
      </c>
      <c r="E933" s="165"/>
      <c r="F933" s="116">
        <f ca="1">SUBTOTAL(109,'3.5 I&amp;W'!$X$101)</f>
        <v>0</v>
      </c>
      <c r="G933" s="116">
        <f ca="1">SUBTOTAL(109,'3.5 I&amp;W'!$Y$101)</f>
        <v>0</v>
      </c>
      <c r="H933" s="116">
        <f ca="1">SUBTOTAL(109,'3.5 I&amp;W'!$AD$101)</f>
        <v>0</v>
      </c>
      <c r="I933" s="116">
        <f ca="1">SUBTOTAL(109,'3.5 I&amp;W'!$AE$101)</f>
        <v>0</v>
      </c>
      <c r="J933" s="116"/>
      <c r="K933" s="116"/>
      <c r="L933" s="116"/>
      <c r="M933" s="116">
        <f ca="1">SUBTOTAL(109,'3.5 I&amp;W'!$AI$101)</f>
        <v>0</v>
      </c>
      <c r="N933" s="156">
        <f t="shared" ca="1" si="677"/>
        <v>0</v>
      </c>
      <c r="O933" s="116">
        <f ca="1">SUBTOTAL(109,'3.5 I&amp;W'!$S$101)</f>
        <v>0</v>
      </c>
      <c r="P933" s="30">
        <f t="shared" ca="1" si="717"/>
        <v>0</v>
      </c>
      <c r="Q933" s="31">
        <f t="shared" ca="1" si="718"/>
        <v>0</v>
      </c>
      <c r="R933" s="31">
        <f t="shared" ca="1" si="719"/>
        <v>0</v>
      </c>
      <c r="S933" s="31">
        <f t="shared" ca="1" si="720"/>
        <v>0</v>
      </c>
      <c r="T933" s="32">
        <f t="shared" ca="1" si="721"/>
        <v>0</v>
      </c>
      <c r="U933" s="37">
        <f t="shared" ca="1" si="678"/>
        <v>0</v>
      </c>
      <c r="V933" s="40">
        <f t="shared" ca="1" si="727"/>
        <v>0</v>
      </c>
      <c r="W933" s="41">
        <f t="shared" ca="1" si="728"/>
        <v>0</v>
      </c>
      <c r="X933" s="43"/>
      <c r="Y933" s="46"/>
      <c r="Z933" s="126"/>
      <c r="AA933" s="136"/>
      <c r="AB933" s="131">
        <v>33</v>
      </c>
      <c r="AC933" s="168">
        <f ca="1">IF(AF932&lt;=1,0,'3.5 Fi&amp;Fo'!$I$25)</f>
        <v>46174.624633000763</v>
      </c>
      <c r="AD933" s="169">
        <f ca="1">IF(AF932&lt;=1,0,AF932*'3.5 Fi&amp;Fo'!$H$25)</f>
        <v>2663.2445519980315</v>
      </c>
      <c r="AE933" s="169">
        <f t="shared" ca="1" si="681"/>
        <v>43511.380081002731</v>
      </c>
      <c r="AF933" s="170">
        <f t="shared" ca="1" si="682"/>
        <v>89650.847518898852</v>
      </c>
      <c r="AG933" s="168">
        <f>IF(AJ932&lt;=1,0,IF(AB933&lt;='3.5 Fi&amp;Fo'!$F$34,'3.5 Fi&amp;Fo'!$J$34,IF(AB933&lt;='3.5 Fi&amp;Fo'!$F$35,'3.5 Fi&amp;Fo'!$J$35,IF(AB933&lt;='3.5 Fi&amp;Fo'!$F$36,'3.5 Fi&amp;Fo'!$J$36,IF(AB933&lt;='3.5 Fi&amp;Fo'!$F$37,'3.5 Fi&amp;Fo'!$J$37,IF(AB933&lt;='3.5 Fi&amp;Fo'!$F$38,'3.5 Fi&amp;Fo'!$J$38,IF(AB933&lt;='3.5 Fi&amp;Fo'!$F$39,'3.5 Fi&amp;Fo'!$J$39,IF(AB933&lt;='3.5 Fi&amp;Fo'!$F$40,'3.5 Fi&amp;Fo'!$J$40))))))))</f>
        <v>123336.63</v>
      </c>
      <c r="AH933" s="203">
        <f>IF(AJ932&lt;=1,0,AJ932*IF(AB933&lt;='3.5 Fi&amp;Fo'!$F$34,'3.5 Fi&amp;Fo'!$I$34,IF(AB933&lt;='3.5 Fi&amp;Fo'!$F$35,'3.5 Fi&amp;Fo'!$I$35,IF(AB933&lt;='3.5 Fi&amp;Fo'!$F$38,'3.5 Fi&amp;Fo'!$I$38,IF(AB933&lt;='3.5 Fi&amp;Fo'!$F$39,'3.5 Fi&amp;Fo'!$I$39,IF(AB933&lt;='3.5 Fi&amp;Fo'!$F$40,'3.5 Fi&amp;Fo'!$I$40))))))</f>
        <v>172606.65075463348</v>
      </c>
      <c r="AI933" s="203">
        <f t="shared" ref="AI933:AI950" si="734">AG933-AH933</f>
        <v>-49270.020754633471</v>
      </c>
      <c r="AJ933" s="204">
        <f t="shared" si="684"/>
        <v>2704756.9554413022</v>
      </c>
      <c r="AK933" s="312">
        <f t="shared" ref="AK933:AK950" ca="1" si="735">-AC933-AG933+AL933-AM933</f>
        <v>-211522.70112950326</v>
      </c>
      <c r="AL933" s="169">
        <f>IF(AB933&lt;='3.5 Fi&amp;Fo'!$J$15,'3.5 Fi&amp;Fo'!$I$15,0)</f>
        <v>0</v>
      </c>
      <c r="AM933" s="169">
        <f t="shared" si="697"/>
        <v>42011.446496502496</v>
      </c>
      <c r="AN933" s="838">
        <f t="shared" si="702"/>
        <v>33</v>
      </c>
      <c r="AO933" s="844">
        <f t="shared" ca="1" si="686"/>
        <v>211522.70112950326</v>
      </c>
      <c r="AP933" s="839">
        <f ca="1">CU1005</f>
        <v>0</v>
      </c>
      <c r="AQ933" s="844">
        <f t="shared" si="687"/>
        <v>0</v>
      </c>
      <c r="AR933" s="839">
        <f t="shared" ca="1" si="703"/>
        <v>0</v>
      </c>
      <c r="AS933" s="839">
        <f t="shared" ca="1" si="698"/>
        <v>13160.89576833251</v>
      </c>
      <c r="AT933" s="839">
        <f t="shared" ca="1" si="699"/>
        <v>20279.855245454553</v>
      </c>
      <c r="AU933" s="844">
        <f ca="1">'PV-Einspeisung'!AA304*-1</f>
        <v>-664.8183742026099</v>
      </c>
      <c r="AV933" s="844">
        <f>'PV-Einspeisung'!AE304*-1</f>
        <v>-3427.2827896242602</v>
      </c>
      <c r="AW933" s="839"/>
      <c r="AX933" s="839">
        <f t="shared" ca="1" si="704"/>
        <v>0</v>
      </c>
      <c r="AY933" s="841">
        <f t="shared" si="688"/>
        <v>33</v>
      </c>
      <c r="AZ933" s="842">
        <f t="shared" ca="1" si="705"/>
        <v>0</v>
      </c>
      <c r="BA933" s="842">
        <f t="shared" ca="1" si="706"/>
        <v>0</v>
      </c>
      <c r="BB933" s="842">
        <f t="shared" ca="1" si="707"/>
        <v>0</v>
      </c>
      <c r="BC933" s="842">
        <f t="shared" ca="1" si="708"/>
        <v>0</v>
      </c>
      <c r="BD933" s="842">
        <f t="shared" ca="1" si="709"/>
        <v>0</v>
      </c>
      <c r="BE933" s="842">
        <f t="shared" ca="1" si="710"/>
        <v>0</v>
      </c>
      <c r="BF933" s="842">
        <f t="shared" ca="1" si="711"/>
        <v>14228.805935148417</v>
      </c>
      <c r="BG933" s="842">
        <f t="shared" ca="1" si="712"/>
        <v>6051.0493103061353</v>
      </c>
      <c r="BH933" s="858">
        <f t="shared" si="696"/>
        <v>33</v>
      </c>
      <c r="BI933" s="857">
        <f t="shared" ca="1" si="713"/>
        <v>4979.6456858853089</v>
      </c>
      <c r="BJ933" s="857">
        <f t="shared" ca="1" si="714"/>
        <v>8181.2500824472017</v>
      </c>
      <c r="BK933" s="859">
        <f ca="1">'PV-Einspeisung'!AB304*-1</f>
        <v>0</v>
      </c>
      <c r="BL933" s="824">
        <f t="shared" ca="1" si="729"/>
        <v>0</v>
      </c>
      <c r="BM933" s="824">
        <f t="shared" ca="1" si="730"/>
        <v>0</v>
      </c>
      <c r="BN933" s="824">
        <f t="shared" ca="1" si="731"/>
        <v>0</v>
      </c>
      <c r="BO933" s="824">
        <f t="shared" ca="1" si="733"/>
        <v>0</v>
      </c>
      <c r="BP933" s="824">
        <f t="shared" ca="1" si="733"/>
        <v>0</v>
      </c>
      <c r="BQ933" s="824">
        <f t="shared" ca="1" si="733"/>
        <v>0</v>
      </c>
      <c r="BR933" s="824">
        <f t="shared" ca="1" si="733"/>
        <v>0</v>
      </c>
      <c r="BS933" s="824">
        <f t="shared" ca="1" si="733"/>
        <v>0</v>
      </c>
      <c r="BT933" s="824">
        <f t="shared" ca="1" si="733"/>
        <v>0</v>
      </c>
      <c r="BU933" s="824">
        <f t="shared" ca="1" si="733"/>
        <v>0</v>
      </c>
      <c r="BV933" s="824">
        <f t="shared" ca="1" si="733"/>
        <v>0</v>
      </c>
      <c r="BW933" s="824">
        <f t="shared" ca="1" si="733"/>
        <v>0</v>
      </c>
      <c r="BX933" s="824">
        <f t="shared" ca="1" si="733"/>
        <v>0</v>
      </c>
      <c r="BY933" s="824">
        <f t="shared" ca="1" si="733"/>
        <v>0</v>
      </c>
      <c r="BZ933" s="824">
        <f t="shared" ca="1" si="733"/>
        <v>0</v>
      </c>
      <c r="CA933" s="824">
        <f t="shared" ca="1" si="733"/>
        <v>0</v>
      </c>
      <c r="CB933" s="824">
        <f t="shared" ca="1" si="733"/>
        <v>0</v>
      </c>
      <c r="CC933" s="824">
        <f t="shared" ca="1" si="733"/>
        <v>0</v>
      </c>
      <c r="CD933" s="824">
        <f t="shared" ca="1" si="733"/>
        <v>0</v>
      </c>
      <c r="CE933" s="824">
        <f t="shared" ca="1" si="732"/>
        <v>0</v>
      </c>
      <c r="CF933" s="824">
        <f t="shared" ca="1" si="732"/>
        <v>0</v>
      </c>
      <c r="CG933" s="824">
        <f t="shared" ca="1" si="732"/>
        <v>0</v>
      </c>
      <c r="CH933" s="824">
        <f t="shared" ca="1" si="732"/>
        <v>0</v>
      </c>
      <c r="CI933" s="824">
        <f t="shared" ca="1" si="732"/>
        <v>0</v>
      </c>
      <c r="CJ933" s="824">
        <f t="shared" ca="1" si="732"/>
        <v>0</v>
      </c>
      <c r="CK933" s="824">
        <f t="shared" ca="1" si="732"/>
        <v>0</v>
      </c>
      <c r="CL933" s="824">
        <f t="shared" ca="1" si="732"/>
        <v>0</v>
      </c>
      <c r="CM933" s="824">
        <f t="shared" ca="1" si="732"/>
        <v>0</v>
      </c>
      <c r="CN933" s="824">
        <f t="shared" ca="1" si="732"/>
        <v>0</v>
      </c>
      <c r="CO933" s="824">
        <f t="shared" ca="1" si="732"/>
        <v>0</v>
      </c>
      <c r="CP933" s="824">
        <f t="shared" ca="1" si="732"/>
        <v>0</v>
      </c>
      <c r="CQ933" s="824">
        <f t="shared" ca="1" si="732"/>
        <v>0</v>
      </c>
      <c r="CR933" s="824">
        <f t="shared" ca="1" si="732"/>
        <v>0</v>
      </c>
      <c r="CS933" s="824">
        <f t="shared" ca="1" si="732"/>
        <v>0</v>
      </c>
      <c r="CT933" s="824">
        <f t="shared" ca="1" si="723"/>
        <v>0</v>
      </c>
      <c r="CU933" s="824">
        <f t="shared" ca="1" si="723"/>
        <v>0</v>
      </c>
      <c r="CV933" s="824">
        <f t="shared" ca="1" si="723"/>
        <v>0</v>
      </c>
      <c r="CW933" s="824">
        <f t="shared" ca="1" si="723"/>
        <v>0</v>
      </c>
      <c r="CX933" s="824">
        <f t="shared" ca="1" si="723"/>
        <v>0</v>
      </c>
      <c r="CY933" s="824">
        <f t="shared" ca="1" si="723"/>
        <v>0</v>
      </c>
      <c r="CZ933" s="824">
        <f t="shared" ca="1" si="723"/>
        <v>0</v>
      </c>
      <c r="DA933" s="824">
        <f t="shared" ca="1" si="723"/>
        <v>0</v>
      </c>
      <c r="DB933" s="824">
        <f t="shared" ca="1" si="723"/>
        <v>0</v>
      </c>
      <c r="DC933" s="824">
        <f t="shared" ca="1" si="723"/>
        <v>0</v>
      </c>
      <c r="DD933" s="824">
        <f t="shared" ca="1" si="723"/>
        <v>0</v>
      </c>
      <c r="DE933" s="824">
        <f t="shared" ca="1" si="723"/>
        <v>0</v>
      </c>
      <c r="DF933" s="824">
        <f t="shared" ca="1" si="723"/>
        <v>0</v>
      </c>
      <c r="DG933" s="824">
        <f t="shared" ca="1" si="726"/>
        <v>0</v>
      </c>
      <c r="DH933" s="824">
        <f t="shared" ca="1" si="726"/>
        <v>0</v>
      </c>
      <c r="DI933" s="824">
        <f t="shared" ca="1" si="726"/>
        <v>0</v>
      </c>
      <c r="DJ933" s="824">
        <f t="shared" ca="1" si="726"/>
        <v>0</v>
      </c>
      <c r="DK933" s="824">
        <f t="shared" ca="1" si="725"/>
        <v>0</v>
      </c>
      <c r="DL933" s="824">
        <f t="shared" ca="1" si="725"/>
        <v>0</v>
      </c>
    </row>
    <row r="934" spans="2:116" ht="12" thickBot="1" x14ac:dyDescent="0.3">
      <c r="B934" s="1673"/>
      <c r="C934" s="1680"/>
      <c r="D934" s="15" t="s">
        <v>264</v>
      </c>
      <c r="E934" s="116"/>
      <c r="F934" s="116">
        <f ca="1">SUBTOTAL(109,'3.5 I&amp;W'!$X$104)</f>
        <v>0</v>
      </c>
      <c r="G934" s="116">
        <f ca="1">SUBTOTAL(109,'3.5 I&amp;W'!$Y$104)</f>
        <v>0</v>
      </c>
      <c r="H934" s="116">
        <f ca="1">SUBTOTAL(109,'3.5 I&amp;W'!$AD$104)</f>
        <v>0</v>
      </c>
      <c r="I934" s="116">
        <f ca="1">SUBTOTAL(109,'3.5 I&amp;W'!$AE$104)</f>
        <v>0</v>
      </c>
      <c r="J934" s="116"/>
      <c r="K934" s="116"/>
      <c r="L934" s="116"/>
      <c r="M934" s="116">
        <f ca="1">SUBTOTAL(109,'3.5 I&amp;W'!$AI$104)</f>
        <v>50</v>
      </c>
      <c r="N934" s="156">
        <f t="shared" ca="1" si="677"/>
        <v>0</v>
      </c>
      <c r="O934" s="116">
        <f ca="1">SUBTOTAL(109,'3.5 I&amp;W'!$S$104)</f>
        <v>141152.4</v>
      </c>
      <c r="P934" s="30">
        <f t="shared" ca="1" si="717"/>
        <v>0</v>
      </c>
      <c r="Q934" s="31">
        <f t="shared" ca="1" si="718"/>
        <v>0</v>
      </c>
      <c r="R934" s="31">
        <f t="shared" ca="1" si="719"/>
        <v>0</v>
      </c>
      <c r="S934" s="31">
        <f t="shared" ca="1" si="720"/>
        <v>0</v>
      </c>
      <c r="T934" s="32">
        <f t="shared" ca="1" si="721"/>
        <v>0</v>
      </c>
      <c r="U934" s="37">
        <f t="shared" ca="1" si="678"/>
        <v>21174.029307581066</v>
      </c>
      <c r="V934" s="40">
        <f t="shared" ca="1" si="727"/>
        <v>0</v>
      </c>
      <c r="W934" s="41">
        <f t="shared" ca="1" si="728"/>
        <v>0</v>
      </c>
      <c r="X934" s="43"/>
      <c r="Y934" s="46"/>
      <c r="Z934" s="126"/>
      <c r="AA934" s="136"/>
      <c r="AB934" s="131">
        <v>34</v>
      </c>
      <c r="AC934" s="168">
        <f ca="1">IF(AF933&lt;=1,0,'3.5 Fi&amp;Fo'!$I$25)</f>
        <v>46174.624633000763</v>
      </c>
      <c r="AD934" s="169">
        <f ca="1">IF(AF933&lt;=1,0,AF933*'3.5 Fi&amp;Fo'!$H$25)</f>
        <v>1793.0169503779771</v>
      </c>
      <c r="AE934" s="169">
        <f t="shared" ca="1" si="681"/>
        <v>44381.607682622787</v>
      </c>
      <c r="AF934" s="170">
        <f t="shared" ca="1" si="682"/>
        <v>45269.239836276065</v>
      </c>
      <c r="AG934" s="168">
        <f>IF(AJ933&lt;=1,0,IF(AB934&lt;='3.5 Fi&amp;Fo'!$F$34,'3.5 Fi&amp;Fo'!$J$34,IF(AB934&lt;='3.5 Fi&amp;Fo'!$F$35,'3.5 Fi&amp;Fo'!$J$35,IF(AB934&lt;='3.5 Fi&amp;Fo'!$F$36,'3.5 Fi&amp;Fo'!$J$36,IF(AB934&lt;='3.5 Fi&amp;Fo'!$F$37,'3.5 Fi&amp;Fo'!$J$37,IF(AB934&lt;='3.5 Fi&amp;Fo'!$F$38,'3.5 Fi&amp;Fo'!$J$38,IF(AB934&lt;='3.5 Fi&amp;Fo'!$F$39,'3.5 Fi&amp;Fo'!$J$39,IF(AB934&lt;='3.5 Fi&amp;Fo'!$F$40,'3.5 Fi&amp;Fo'!$J$40))))))))</f>
        <v>123336.63</v>
      </c>
      <c r="AH934" s="203">
        <f>IF(AJ933&lt;=1,0,AJ933*IF(AB934&lt;='3.5 Fi&amp;Fo'!$F$34,'3.5 Fi&amp;Fo'!$I$34,IF(AB934&lt;='3.5 Fi&amp;Fo'!$F$35,'3.5 Fi&amp;Fo'!$I$35,IF(AB934&lt;='3.5 Fi&amp;Fo'!$F$38,'3.5 Fi&amp;Fo'!$I$38,IF(AB934&lt;='3.5 Fi&amp;Fo'!$F$39,'3.5 Fi&amp;Fo'!$I$39,IF(AB934&lt;='3.5 Fi&amp;Fo'!$F$40,'3.5 Fi&amp;Fo'!$I$40))))))</f>
        <v>175809.20210368466</v>
      </c>
      <c r="AI934" s="203">
        <f t="shared" si="734"/>
        <v>-52472.572103684652</v>
      </c>
      <c r="AJ934" s="204">
        <f t="shared" si="684"/>
        <v>2757229.5275449869</v>
      </c>
      <c r="AK934" s="312">
        <f t="shared" ca="1" si="735"/>
        <v>-212362.93005943269</v>
      </c>
      <c r="AL934" s="169">
        <f>IF(AB934&lt;='3.5 Fi&amp;Fo'!$J$15,'3.5 Fi&amp;Fo'!$I$15,0)</f>
        <v>0</v>
      </c>
      <c r="AM934" s="169">
        <f t="shared" si="697"/>
        <v>42851.675426431932</v>
      </c>
      <c r="AN934" s="838">
        <f t="shared" si="702"/>
        <v>34</v>
      </c>
      <c r="AO934" s="844">
        <f t="shared" ca="1" si="686"/>
        <v>212362.93005943269</v>
      </c>
      <c r="AP934" s="839">
        <f ca="1">CV1005</f>
        <v>0</v>
      </c>
      <c r="AQ934" s="844">
        <f t="shared" si="687"/>
        <v>0</v>
      </c>
      <c r="AR934" s="839">
        <f t="shared" ca="1" si="703"/>
        <v>0</v>
      </c>
      <c r="AS934" s="839">
        <f t="shared" ca="1" si="698"/>
        <v>13371.470100625831</v>
      </c>
      <c r="AT934" s="839">
        <f t="shared" ca="1" si="699"/>
        <v>20847.362119693975</v>
      </c>
      <c r="AU934" s="844">
        <f ca="1">'PV-Einspeisung'!AA305*-1</f>
        <v>-681.43883355767503</v>
      </c>
      <c r="AV934" s="844">
        <f>'PV-Einspeisung'!AE305*-1</f>
        <v>-3512.9648593648667</v>
      </c>
      <c r="AW934" s="839"/>
      <c r="AX934" s="839">
        <f t="shared" ca="1" si="704"/>
        <v>0</v>
      </c>
      <c r="AY934" s="841">
        <f t="shared" si="688"/>
        <v>34</v>
      </c>
      <c r="AZ934" s="842">
        <f t="shared" ca="1" si="705"/>
        <v>0</v>
      </c>
      <c r="BA934" s="842">
        <f t="shared" ca="1" si="706"/>
        <v>0</v>
      </c>
      <c r="BB934" s="842">
        <f t="shared" ca="1" si="707"/>
        <v>0</v>
      </c>
      <c r="BC934" s="842">
        <f t="shared" ca="1" si="708"/>
        <v>0</v>
      </c>
      <c r="BD934" s="842">
        <f t="shared" ca="1" si="709"/>
        <v>0</v>
      </c>
      <c r="BE934" s="842">
        <f t="shared" ca="1" si="710"/>
        <v>0</v>
      </c>
      <c r="BF934" s="842">
        <f t="shared" ca="1" si="711"/>
        <v>14584.526083527126</v>
      </c>
      <c r="BG934" s="842">
        <f t="shared" ca="1" si="712"/>
        <v>6262.8360361668492</v>
      </c>
      <c r="BH934" s="858">
        <f t="shared" si="696"/>
        <v>34</v>
      </c>
      <c r="BI934" s="857">
        <f t="shared" ca="1" si="713"/>
        <v>5059.320016859474</v>
      </c>
      <c r="BJ934" s="857">
        <f t="shared" ca="1" si="714"/>
        <v>8312.1500837663571</v>
      </c>
      <c r="BK934" s="859">
        <f ca="1">'PV-Einspeisung'!AB305*-1</f>
        <v>0</v>
      </c>
      <c r="BL934" s="824">
        <f t="shared" ca="1" si="729"/>
        <v>50</v>
      </c>
      <c r="BM934" s="824">
        <f t="shared" ca="1" si="730"/>
        <v>0</v>
      </c>
      <c r="BN934" s="824">
        <f t="shared" ca="1" si="731"/>
        <v>141152.4</v>
      </c>
      <c r="BO934" s="824">
        <f t="shared" ca="1" si="733"/>
        <v>0</v>
      </c>
      <c r="BP934" s="824">
        <f t="shared" ca="1" si="733"/>
        <v>0</v>
      </c>
      <c r="BQ934" s="824">
        <f t="shared" ca="1" si="733"/>
        <v>0</v>
      </c>
      <c r="BR934" s="824">
        <f t="shared" ca="1" si="733"/>
        <v>0</v>
      </c>
      <c r="BS934" s="824">
        <f t="shared" ca="1" si="733"/>
        <v>0</v>
      </c>
      <c r="BT934" s="824">
        <f t="shared" ca="1" si="733"/>
        <v>0</v>
      </c>
      <c r="BU934" s="824">
        <f t="shared" ca="1" si="733"/>
        <v>0</v>
      </c>
      <c r="BV934" s="824">
        <f t="shared" ca="1" si="733"/>
        <v>0</v>
      </c>
      <c r="BW934" s="824">
        <f t="shared" ca="1" si="733"/>
        <v>0</v>
      </c>
      <c r="BX934" s="824">
        <f t="shared" ca="1" si="733"/>
        <v>0</v>
      </c>
      <c r="BY934" s="824">
        <f t="shared" ca="1" si="733"/>
        <v>0</v>
      </c>
      <c r="BZ934" s="824">
        <f t="shared" ca="1" si="733"/>
        <v>0</v>
      </c>
      <c r="CA934" s="824">
        <f t="shared" ca="1" si="733"/>
        <v>0</v>
      </c>
      <c r="CB934" s="824">
        <f t="shared" ca="1" si="733"/>
        <v>0</v>
      </c>
      <c r="CC934" s="824">
        <f t="shared" ca="1" si="733"/>
        <v>0</v>
      </c>
      <c r="CD934" s="824">
        <f t="shared" ca="1" si="733"/>
        <v>0</v>
      </c>
      <c r="CE934" s="824">
        <f t="shared" ca="1" si="732"/>
        <v>0</v>
      </c>
      <c r="CF934" s="824">
        <f t="shared" ca="1" si="732"/>
        <v>0</v>
      </c>
      <c r="CG934" s="824">
        <f t="shared" ca="1" si="732"/>
        <v>0</v>
      </c>
      <c r="CH934" s="824">
        <f t="shared" ca="1" si="732"/>
        <v>0</v>
      </c>
      <c r="CI934" s="824">
        <f t="shared" ca="1" si="732"/>
        <v>0</v>
      </c>
      <c r="CJ934" s="824">
        <f t="shared" ca="1" si="732"/>
        <v>0</v>
      </c>
      <c r="CK934" s="824">
        <f t="shared" ca="1" si="732"/>
        <v>0</v>
      </c>
      <c r="CL934" s="824">
        <f t="shared" ca="1" si="732"/>
        <v>0</v>
      </c>
      <c r="CM934" s="824">
        <f t="shared" ca="1" si="732"/>
        <v>0</v>
      </c>
      <c r="CN934" s="824">
        <f t="shared" ca="1" si="732"/>
        <v>0</v>
      </c>
      <c r="CO934" s="824">
        <f t="shared" ca="1" si="732"/>
        <v>0</v>
      </c>
      <c r="CP934" s="824">
        <f t="shared" ca="1" si="732"/>
        <v>0</v>
      </c>
      <c r="CQ934" s="824">
        <f t="shared" ca="1" si="732"/>
        <v>0</v>
      </c>
      <c r="CR934" s="824">
        <f t="shared" ca="1" si="732"/>
        <v>0</v>
      </c>
      <c r="CS934" s="824">
        <f t="shared" ca="1" si="732"/>
        <v>0</v>
      </c>
      <c r="CT934" s="824">
        <f t="shared" ca="1" si="723"/>
        <v>0</v>
      </c>
      <c r="CU934" s="824">
        <f t="shared" ca="1" si="723"/>
        <v>0</v>
      </c>
      <c r="CV934" s="824">
        <f t="shared" ca="1" si="723"/>
        <v>0</v>
      </c>
      <c r="CW934" s="824">
        <f t="shared" ca="1" si="723"/>
        <v>0</v>
      </c>
      <c r="CX934" s="824">
        <f t="shared" ca="1" si="723"/>
        <v>0</v>
      </c>
      <c r="CY934" s="824">
        <f t="shared" ca="1" si="723"/>
        <v>0</v>
      </c>
      <c r="CZ934" s="824">
        <f t="shared" ca="1" si="723"/>
        <v>0</v>
      </c>
      <c r="DA934" s="824">
        <f t="shared" ca="1" si="723"/>
        <v>0</v>
      </c>
      <c r="DB934" s="824">
        <f t="shared" ca="1" si="723"/>
        <v>0</v>
      </c>
      <c r="DC934" s="824">
        <f t="shared" ca="1" si="723"/>
        <v>0</v>
      </c>
      <c r="DD934" s="824">
        <f t="shared" ca="1" si="723"/>
        <v>0</v>
      </c>
      <c r="DE934" s="824">
        <f t="shared" ca="1" si="723"/>
        <v>0</v>
      </c>
      <c r="DF934" s="824">
        <f t="shared" ca="1" si="723"/>
        <v>0</v>
      </c>
      <c r="DG934" s="824">
        <f t="shared" ca="1" si="726"/>
        <v>0</v>
      </c>
      <c r="DH934" s="824">
        <f t="shared" ca="1" si="726"/>
        <v>0</v>
      </c>
      <c r="DI934" s="824">
        <f t="shared" ca="1" si="726"/>
        <v>0</v>
      </c>
      <c r="DJ934" s="824">
        <f t="shared" ca="1" si="726"/>
        <v>0</v>
      </c>
      <c r="DK934" s="824">
        <f t="shared" ca="1" si="725"/>
        <v>0</v>
      </c>
      <c r="DL934" s="824">
        <f t="shared" ca="1" si="725"/>
        <v>0</v>
      </c>
    </row>
    <row r="935" spans="2:116" ht="12" thickBot="1" x14ac:dyDescent="0.3">
      <c r="B935" s="1673"/>
      <c r="C935" s="1680"/>
      <c r="D935" s="15" t="s">
        <v>264</v>
      </c>
      <c r="E935" s="165"/>
      <c r="F935" s="116">
        <f ca="1">SUBTOTAL(109,'3.5 I&amp;W'!$X$105)</f>
        <v>0</v>
      </c>
      <c r="G935" s="116">
        <f ca="1">SUBTOTAL(109,'3.5 I&amp;W'!$Y$105)</f>
        <v>0</v>
      </c>
      <c r="H935" s="116">
        <f ca="1">SUBTOTAL(109,'3.5 I&amp;W'!$AD$105)</f>
        <v>0</v>
      </c>
      <c r="I935" s="116">
        <f ca="1">SUBTOTAL(109,'3.5 I&amp;W'!$AE$105)</f>
        <v>0</v>
      </c>
      <c r="J935" s="116"/>
      <c r="K935" s="116"/>
      <c r="L935" s="116"/>
      <c r="M935" s="116">
        <f ca="1">SUBTOTAL(109,'3.5 I&amp;W'!$AI$105)</f>
        <v>0</v>
      </c>
      <c r="N935" s="156">
        <f t="shared" ca="1" si="677"/>
        <v>0</v>
      </c>
      <c r="O935" s="116">
        <f ca="1">SUBTOTAL(109,'3.5 I&amp;W'!$S$105)</f>
        <v>0</v>
      </c>
      <c r="P935" s="30">
        <f t="shared" ca="1" si="717"/>
        <v>0</v>
      </c>
      <c r="Q935" s="31">
        <f t="shared" ca="1" si="718"/>
        <v>0</v>
      </c>
      <c r="R935" s="31">
        <f t="shared" ca="1" si="719"/>
        <v>0</v>
      </c>
      <c r="S935" s="31">
        <f t="shared" ca="1" si="720"/>
        <v>0</v>
      </c>
      <c r="T935" s="32">
        <f t="shared" ca="1" si="721"/>
        <v>0</v>
      </c>
      <c r="U935" s="37">
        <f t="shared" ca="1" si="678"/>
        <v>0</v>
      </c>
      <c r="V935" s="40">
        <f t="shared" ca="1" si="727"/>
        <v>0</v>
      </c>
      <c r="W935" s="41">
        <f t="shared" ca="1" si="728"/>
        <v>0</v>
      </c>
      <c r="X935" s="43"/>
      <c r="Y935" s="46"/>
      <c r="Z935" s="126"/>
      <c r="AA935" s="136"/>
      <c r="AB935" s="131">
        <v>35</v>
      </c>
      <c r="AC935" s="168">
        <f ca="1">IF(AF934&lt;=1,0,'3.5 Fi&amp;Fo'!$I$25)</f>
        <v>46174.624633000763</v>
      </c>
      <c r="AD935" s="169">
        <f ca="1">IF(AF934&lt;=1,0,AF934*'3.5 Fi&amp;Fo'!$H$25)</f>
        <v>905.38479672552137</v>
      </c>
      <c r="AE935" s="169">
        <f t="shared" ca="1" si="681"/>
        <v>45269.239836275243</v>
      </c>
      <c r="AF935" s="170">
        <f t="shared" ca="1" si="682"/>
        <v>8.2218321040272713E-10</v>
      </c>
      <c r="AG935" s="168">
        <f>IF(AJ934&lt;=1,0,IF(AB935&lt;='3.5 Fi&amp;Fo'!$F$34,'3.5 Fi&amp;Fo'!$J$34,IF(AB935&lt;='3.5 Fi&amp;Fo'!$F$35,'3.5 Fi&amp;Fo'!$J$35,IF(AB935&lt;='3.5 Fi&amp;Fo'!$F$36,'3.5 Fi&amp;Fo'!$J$36,IF(AB935&lt;='3.5 Fi&amp;Fo'!$F$37,'3.5 Fi&amp;Fo'!$J$37,IF(AB935&lt;='3.5 Fi&amp;Fo'!$F$38,'3.5 Fi&amp;Fo'!$J$38,IF(AB935&lt;='3.5 Fi&amp;Fo'!$F$39,'3.5 Fi&amp;Fo'!$J$39,IF(AB935&lt;='3.5 Fi&amp;Fo'!$F$40,'3.5 Fi&amp;Fo'!$J$40))))))))</f>
        <v>123336.63</v>
      </c>
      <c r="AH935" s="203">
        <f>IF(AJ934&lt;=1,0,AJ934*IF(AB935&lt;='3.5 Fi&amp;Fo'!$F$34,'3.5 Fi&amp;Fo'!$I$34,IF(AB935&lt;='3.5 Fi&amp;Fo'!$F$35,'3.5 Fi&amp;Fo'!$I$35,IF(AB935&lt;='3.5 Fi&amp;Fo'!$F$38,'3.5 Fi&amp;Fo'!$I$38,IF(AB935&lt;='3.5 Fi&amp;Fo'!$F$39,'3.5 Fi&amp;Fo'!$I$39,IF(AB935&lt;='3.5 Fi&amp;Fo'!$F$40,'3.5 Fi&amp;Fo'!$I$40))))))</f>
        <v>179219.91929042415</v>
      </c>
      <c r="AI935" s="203">
        <f t="shared" si="734"/>
        <v>-55883.289290424145</v>
      </c>
      <c r="AJ935" s="204">
        <f t="shared" si="684"/>
        <v>2813112.8168354109</v>
      </c>
      <c r="AK935" s="312">
        <f t="shared" ca="1" si="735"/>
        <v>-213219.96356796165</v>
      </c>
      <c r="AL935" s="169">
        <f>IF(AB935&lt;='3.5 Fi&amp;Fo'!$J$15,'3.5 Fi&amp;Fo'!$I$15,0)</f>
        <v>0</v>
      </c>
      <c r="AM935" s="169">
        <f t="shared" si="697"/>
        <v>43708.708934960887</v>
      </c>
      <c r="AN935" s="838">
        <f t="shared" si="702"/>
        <v>35</v>
      </c>
      <c r="AO935" s="844">
        <f t="shared" ca="1" si="686"/>
        <v>213219.96356796165</v>
      </c>
      <c r="AP935" s="839">
        <f ca="1">CW1005</f>
        <v>0</v>
      </c>
      <c r="AQ935" s="844">
        <f t="shared" ca="1" si="687"/>
        <v>-1795703.4679559416</v>
      </c>
      <c r="AR935" s="839">
        <f t="shared" ca="1" si="703"/>
        <v>0</v>
      </c>
      <c r="AS935" s="839">
        <f t="shared" ca="1" si="698"/>
        <v>13585.413622235845</v>
      </c>
      <c r="AT935" s="839">
        <f t="shared" ca="1" si="699"/>
        <v>21431.17453304799</v>
      </c>
      <c r="AU935" s="844">
        <f ca="1">'PV-Einspeisung'!AA306*-1</f>
        <v>-698.47480439661683</v>
      </c>
      <c r="AV935" s="844">
        <f>'PV-Einspeisung'!AE306*-1</f>
        <v>-3600.7889808489881</v>
      </c>
      <c r="AW935" s="839"/>
      <c r="AX935" s="839">
        <f t="shared" ca="1" si="704"/>
        <v>0</v>
      </c>
      <c r="AY935" s="841">
        <f t="shared" si="688"/>
        <v>35</v>
      </c>
      <c r="AZ935" s="842">
        <f t="shared" ca="1" si="705"/>
        <v>0</v>
      </c>
      <c r="BA935" s="842">
        <f t="shared" ca="1" si="706"/>
        <v>0</v>
      </c>
      <c r="BB935" s="842">
        <f t="shared" ca="1" si="707"/>
        <v>0</v>
      </c>
      <c r="BC935" s="842">
        <f t="shared" ca="1" si="708"/>
        <v>0</v>
      </c>
      <c r="BD935" s="842">
        <f t="shared" ca="1" si="709"/>
        <v>0</v>
      </c>
      <c r="BE935" s="842">
        <f t="shared" ca="1" si="710"/>
        <v>0</v>
      </c>
      <c r="BF935" s="842">
        <f t="shared" ca="1" si="711"/>
        <v>14949.139235615303</v>
      </c>
      <c r="BG935" s="842">
        <f t="shared" ca="1" si="712"/>
        <v>6482.0352974326888</v>
      </c>
      <c r="BH935" s="858">
        <f t="shared" si="696"/>
        <v>35</v>
      </c>
      <c r="BI935" s="857">
        <f t="shared" ca="1" si="713"/>
        <v>5140.2691371292258</v>
      </c>
      <c r="BJ935" s="857">
        <f t="shared" ca="1" si="714"/>
        <v>8445.144485106619</v>
      </c>
      <c r="BK935" s="859">
        <f ca="1">'PV-Einspeisung'!AB306*-1</f>
        <v>0</v>
      </c>
      <c r="BL935" s="824">
        <f t="shared" ca="1" si="729"/>
        <v>0</v>
      </c>
      <c r="BM935" s="824">
        <f t="shared" ca="1" si="730"/>
        <v>0</v>
      </c>
      <c r="BN935" s="824">
        <f t="shared" ca="1" si="731"/>
        <v>0</v>
      </c>
      <c r="BO935" s="824">
        <f t="shared" ca="1" si="733"/>
        <v>0</v>
      </c>
      <c r="BP935" s="824">
        <f t="shared" ca="1" si="733"/>
        <v>0</v>
      </c>
      <c r="BQ935" s="824">
        <f t="shared" ca="1" si="733"/>
        <v>0</v>
      </c>
      <c r="BR935" s="824">
        <f t="shared" ca="1" si="733"/>
        <v>0</v>
      </c>
      <c r="BS935" s="824">
        <f t="shared" ca="1" si="733"/>
        <v>0</v>
      </c>
      <c r="BT935" s="824">
        <f t="shared" ca="1" si="733"/>
        <v>0</v>
      </c>
      <c r="BU935" s="824">
        <f t="shared" ca="1" si="733"/>
        <v>0</v>
      </c>
      <c r="BV935" s="824">
        <f t="shared" ca="1" si="733"/>
        <v>0</v>
      </c>
      <c r="BW935" s="824">
        <f t="shared" ca="1" si="733"/>
        <v>0</v>
      </c>
      <c r="BX935" s="824">
        <f t="shared" ca="1" si="733"/>
        <v>0</v>
      </c>
      <c r="BY935" s="824">
        <f t="shared" ca="1" si="733"/>
        <v>0</v>
      </c>
      <c r="BZ935" s="824">
        <f t="shared" ca="1" si="733"/>
        <v>0</v>
      </c>
      <c r="CA935" s="824">
        <f t="shared" ca="1" si="733"/>
        <v>0</v>
      </c>
      <c r="CB935" s="824">
        <f t="shared" ca="1" si="733"/>
        <v>0</v>
      </c>
      <c r="CC935" s="824">
        <f t="shared" ca="1" si="733"/>
        <v>0</v>
      </c>
      <c r="CD935" s="824">
        <f t="shared" ca="1" si="733"/>
        <v>0</v>
      </c>
      <c r="CE935" s="824">
        <f t="shared" ca="1" si="732"/>
        <v>0</v>
      </c>
      <c r="CF935" s="824">
        <f t="shared" ca="1" si="732"/>
        <v>0</v>
      </c>
      <c r="CG935" s="824">
        <f t="shared" ca="1" si="732"/>
        <v>0</v>
      </c>
      <c r="CH935" s="824">
        <f t="shared" ca="1" si="732"/>
        <v>0</v>
      </c>
      <c r="CI935" s="824">
        <f t="shared" ca="1" si="732"/>
        <v>0</v>
      </c>
      <c r="CJ935" s="824">
        <f t="shared" ca="1" si="732"/>
        <v>0</v>
      </c>
      <c r="CK935" s="824">
        <f t="shared" ca="1" si="732"/>
        <v>0</v>
      </c>
      <c r="CL935" s="824">
        <f t="shared" ca="1" si="732"/>
        <v>0</v>
      </c>
      <c r="CM935" s="824">
        <f t="shared" ca="1" si="732"/>
        <v>0</v>
      </c>
      <c r="CN935" s="824">
        <f t="shared" ca="1" si="732"/>
        <v>0</v>
      </c>
      <c r="CO935" s="824">
        <f t="shared" ca="1" si="732"/>
        <v>0</v>
      </c>
      <c r="CP935" s="824">
        <f t="shared" ca="1" si="732"/>
        <v>0</v>
      </c>
      <c r="CQ935" s="824">
        <f t="shared" ca="1" si="732"/>
        <v>0</v>
      </c>
      <c r="CR935" s="824">
        <f t="shared" ca="1" si="732"/>
        <v>0</v>
      </c>
      <c r="CS935" s="824">
        <f t="shared" ca="1" si="732"/>
        <v>0</v>
      </c>
      <c r="CT935" s="824">
        <f t="shared" ca="1" si="723"/>
        <v>0</v>
      </c>
      <c r="CU935" s="824">
        <f t="shared" ca="1" si="723"/>
        <v>0</v>
      </c>
      <c r="CV935" s="824">
        <f t="shared" ca="1" si="723"/>
        <v>0</v>
      </c>
      <c r="CW935" s="824">
        <f t="shared" ca="1" si="723"/>
        <v>0</v>
      </c>
      <c r="CX935" s="824">
        <f t="shared" ca="1" si="723"/>
        <v>0</v>
      </c>
      <c r="CY935" s="824">
        <f t="shared" ca="1" si="723"/>
        <v>0</v>
      </c>
      <c r="CZ935" s="824">
        <f t="shared" ca="1" si="723"/>
        <v>0</v>
      </c>
      <c r="DA935" s="824">
        <f t="shared" ca="1" si="723"/>
        <v>0</v>
      </c>
      <c r="DB935" s="824">
        <f t="shared" ca="1" si="723"/>
        <v>0</v>
      </c>
      <c r="DC935" s="824">
        <f t="shared" ca="1" si="723"/>
        <v>0</v>
      </c>
      <c r="DD935" s="824">
        <f t="shared" ca="1" si="723"/>
        <v>0</v>
      </c>
      <c r="DE935" s="824">
        <f t="shared" ca="1" si="723"/>
        <v>0</v>
      </c>
      <c r="DF935" s="824">
        <f t="shared" ca="1" si="723"/>
        <v>0</v>
      </c>
      <c r="DG935" s="824">
        <f t="shared" ca="1" si="726"/>
        <v>0</v>
      </c>
      <c r="DH935" s="824">
        <f t="shared" ca="1" si="726"/>
        <v>0</v>
      </c>
      <c r="DI935" s="824">
        <f t="shared" ca="1" si="726"/>
        <v>0</v>
      </c>
      <c r="DJ935" s="824">
        <f t="shared" ca="1" si="726"/>
        <v>0</v>
      </c>
      <c r="DK935" s="824">
        <f t="shared" ca="1" si="725"/>
        <v>0</v>
      </c>
      <c r="DL935" s="824">
        <f t="shared" ca="1" si="725"/>
        <v>0</v>
      </c>
    </row>
    <row r="936" spans="2:116" ht="12" thickBot="1" x14ac:dyDescent="0.3">
      <c r="B936" s="1673"/>
      <c r="C936" s="1680"/>
      <c r="D936" s="15" t="s">
        <v>264</v>
      </c>
      <c r="E936" s="116"/>
      <c r="F936" s="116">
        <f ca="1">SUBTOTAL(109,'3.5 I&amp;W'!$X$106)</f>
        <v>0</v>
      </c>
      <c r="G936" s="116">
        <f ca="1">SUBTOTAL(109,'3.5 I&amp;W'!$Y$106)</f>
        <v>0</v>
      </c>
      <c r="H936" s="116">
        <f ca="1">SUBTOTAL(109,'3.5 I&amp;W'!$AD$106)</f>
        <v>0</v>
      </c>
      <c r="I936" s="116">
        <f ca="1">SUBTOTAL(109,'3.5 I&amp;W'!$AE$106)</f>
        <v>0</v>
      </c>
      <c r="J936" s="116"/>
      <c r="K936" s="116"/>
      <c r="L936" s="116"/>
      <c r="M936" s="116">
        <f ca="1">SUBTOTAL(109,'3.5 I&amp;W'!$AI$106)</f>
        <v>0</v>
      </c>
      <c r="N936" s="156">
        <f t="shared" ca="1" si="677"/>
        <v>0</v>
      </c>
      <c r="O936" s="116">
        <f ca="1">SUBTOTAL(109,'3.5 I&amp;W'!$S$106)</f>
        <v>0</v>
      </c>
      <c r="P936" s="30">
        <f t="shared" ca="1" si="717"/>
        <v>0</v>
      </c>
      <c r="Q936" s="31">
        <f t="shared" ca="1" si="718"/>
        <v>0</v>
      </c>
      <c r="R936" s="31">
        <f t="shared" ca="1" si="719"/>
        <v>0</v>
      </c>
      <c r="S936" s="31">
        <f t="shared" ca="1" si="720"/>
        <v>0</v>
      </c>
      <c r="T936" s="32">
        <f t="shared" ca="1" si="721"/>
        <v>0</v>
      </c>
      <c r="U936" s="37">
        <f t="shared" ca="1" si="678"/>
        <v>0</v>
      </c>
      <c r="V936" s="40">
        <f t="shared" ca="1" si="727"/>
        <v>0</v>
      </c>
      <c r="W936" s="41">
        <f t="shared" ca="1" si="728"/>
        <v>0</v>
      </c>
      <c r="X936" s="43"/>
      <c r="Y936" s="46"/>
      <c r="Z936" s="126"/>
      <c r="AA936" s="136"/>
      <c r="AB936" s="131">
        <v>36</v>
      </c>
      <c r="AC936" s="168">
        <f ca="1">IF(AF935&lt;=1,0,'3.5 Fi&amp;Fo'!$I$25)</f>
        <v>0</v>
      </c>
      <c r="AD936" s="169">
        <f ca="1">IF(AF935&lt;=1,0,AF935*'3.5 Fi&amp;Fo'!$H$25)</f>
        <v>0</v>
      </c>
      <c r="AE936" s="169">
        <f t="shared" ca="1" si="681"/>
        <v>0</v>
      </c>
      <c r="AF936" s="170">
        <f t="shared" ca="1" si="682"/>
        <v>8.2218321040272713E-10</v>
      </c>
      <c r="AG936" s="168" t="b">
        <f>IF(AJ935&lt;=1,0,IF(AB936&lt;='3.5 Fi&amp;Fo'!$F$34,'3.5 Fi&amp;Fo'!$J$34,IF(AB936&lt;='3.5 Fi&amp;Fo'!$F$35,'3.5 Fi&amp;Fo'!$J$35,IF(AB936&lt;='3.5 Fi&amp;Fo'!$F$36,'3.5 Fi&amp;Fo'!$J$36,IF(AB936&lt;='3.5 Fi&amp;Fo'!$F$37,'3.5 Fi&amp;Fo'!$J$37,IF(AB936&lt;='3.5 Fi&amp;Fo'!$F$38,'3.5 Fi&amp;Fo'!$J$38,IF(AB936&lt;='3.5 Fi&amp;Fo'!$F$39,'3.5 Fi&amp;Fo'!$J$39,IF(AB936&lt;='3.5 Fi&amp;Fo'!$F$40,'3.5 Fi&amp;Fo'!$J$40))))))))</f>
        <v>0</v>
      </c>
      <c r="AH936" s="203">
        <f>IF(AJ935&lt;=1,0,AJ935*IF(AB936&lt;='3.5 Fi&amp;Fo'!$F$34,'3.5 Fi&amp;Fo'!$I$34,IF(AB936&lt;='3.5 Fi&amp;Fo'!$F$35,'3.5 Fi&amp;Fo'!$I$35,IF(AB936&lt;='3.5 Fi&amp;Fo'!$F$38,'3.5 Fi&amp;Fo'!$I$38,IF(AB936&lt;='3.5 Fi&amp;Fo'!$F$39,'3.5 Fi&amp;Fo'!$I$39,IF(AB936&lt;='3.5 Fi&amp;Fo'!$F$40,'3.5 Fi&amp;Fo'!$I$40))))))</f>
        <v>0</v>
      </c>
      <c r="AI936" s="203">
        <f t="shared" si="734"/>
        <v>0</v>
      </c>
      <c r="AJ936" s="204">
        <f t="shared" si="684"/>
        <v>2813112.8168354109</v>
      </c>
      <c r="AK936" s="312">
        <f t="shared" ca="1" si="735"/>
        <v>0</v>
      </c>
      <c r="AL936" s="169">
        <f>IF(AB936&lt;='3.5 Fi&amp;Fo'!$J$15,'3.5 Fi&amp;Fo'!$I$15,0)</f>
        <v>0</v>
      </c>
      <c r="AM936" s="169">
        <f t="shared" si="697"/>
        <v>0</v>
      </c>
      <c r="AN936" s="838" t="str">
        <f t="shared" si="702"/>
        <v/>
      </c>
      <c r="AO936" s="844">
        <f t="shared" ca="1" si="686"/>
        <v>0</v>
      </c>
      <c r="AP936" s="839">
        <f ca="1">CX1005</f>
        <v>0</v>
      </c>
      <c r="AQ936" s="844">
        <f t="shared" si="687"/>
        <v>0</v>
      </c>
      <c r="AR936" s="839" t="str">
        <f t="shared" si="703"/>
        <v/>
      </c>
      <c r="AS936" s="839">
        <f t="shared" si="698"/>
        <v>0</v>
      </c>
      <c r="AT936" s="839">
        <f t="shared" si="699"/>
        <v>0</v>
      </c>
      <c r="AU936" s="844">
        <f>'PV-Einspeisung'!AA307*-1</f>
        <v>0</v>
      </c>
      <c r="AV936" s="844">
        <f>'PV-Einspeisung'!AE307*-1</f>
        <v>0</v>
      </c>
      <c r="AW936" s="839"/>
      <c r="AX936" s="839" t="str">
        <f t="shared" si="704"/>
        <v/>
      </c>
      <c r="AY936" s="841" t="str">
        <f t="shared" si="688"/>
        <v/>
      </c>
      <c r="AZ936" s="842" t="str">
        <f t="shared" si="705"/>
        <v/>
      </c>
      <c r="BA936" s="842" t="str">
        <f t="shared" si="706"/>
        <v/>
      </c>
      <c r="BB936" s="842" t="str">
        <f t="shared" si="707"/>
        <v/>
      </c>
      <c r="BC936" s="842" t="str">
        <f t="shared" si="708"/>
        <v/>
      </c>
      <c r="BD936" s="842" t="str">
        <f t="shared" si="709"/>
        <v/>
      </c>
      <c r="BE936" s="842" t="str">
        <f t="shared" si="710"/>
        <v/>
      </c>
      <c r="BF936" s="842" t="str">
        <f t="shared" si="711"/>
        <v/>
      </c>
      <c r="BG936" s="842" t="str">
        <f t="shared" si="712"/>
        <v/>
      </c>
      <c r="BH936" s="858" t="str">
        <f t="shared" si="696"/>
        <v/>
      </c>
      <c r="BI936" s="857" t="str">
        <f t="shared" si="713"/>
        <v/>
      </c>
      <c r="BJ936" s="857" t="str">
        <f t="shared" si="714"/>
        <v/>
      </c>
      <c r="BK936" s="859">
        <f>'PV-Einspeisung'!AB307*-1</f>
        <v>0</v>
      </c>
      <c r="BL936" s="824">
        <f t="shared" ca="1" si="729"/>
        <v>0</v>
      </c>
      <c r="BM936" s="824">
        <f t="shared" ca="1" si="730"/>
        <v>0</v>
      </c>
      <c r="BN936" s="824">
        <f t="shared" ca="1" si="731"/>
        <v>0</v>
      </c>
      <c r="BO936" s="824">
        <f t="shared" ca="1" si="733"/>
        <v>0</v>
      </c>
      <c r="BP936" s="824">
        <f t="shared" ca="1" si="733"/>
        <v>0</v>
      </c>
      <c r="BQ936" s="824">
        <f t="shared" ca="1" si="733"/>
        <v>0</v>
      </c>
      <c r="BR936" s="824">
        <f t="shared" ca="1" si="733"/>
        <v>0</v>
      </c>
      <c r="BS936" s="824">
        <f t="shared" ca="1" si="733"/>
        <v>0</v>
      </c>
      <c r="BT936" s="824">
        <f t="shared" ca="1" si="733"/>
        <v>0</v>
      </c>
      <c r="BU936" s="824">
        <f t="shared" ca="1" si="733"/>
        <v>0</v>
      </c>
      <c r="BV936" s="824">
        <f t="shared" ca="1" si="733"/>
        <v>0</v>
      </c>
      <c r="BW936" s="824">
        <f t="shared" ca="1" si="733"/>
        <v>0</v>
      </c>
      <c r="BX936" s="824">
        <f t="shared" ca="1" si="733"/>
        <v>0</v>
      </c>
      <c r="BY936" s="824">
        <f t="shared" ca="1" si="733"/>
        <v>0</v>
      </c>
      <c r="BZ936" s="824">
        <f t="shared" ca="1" si="733"/>
        <v>0</v>
      </c>
      <c r="CA936" s="824">
        <f t="shared" ca="1" si="733"/>
        <v>0</v>
      </c>
      <c r="CB936" s="824">
        <f t="shared" ca="1" si="733"/>
        <v>0</v>
      </c>
      <c r="CC936" s="824">
        <f t="shared" ca="1" si="733"/>
        <v>0</v>
      </c>
      <c r="CD936" s="824">
        <f t="shared" ca="1" si="733"/>
        <v>0</v>
      </c>
      <c r="CE936" s="824">
        <f t="shared" ca="1" si="732"/>
        <v>0</v>
      </c>
      <c r="CF936" s="824">
        <f t="shared" ca="1" si="732"/>
        <v>0</v>
      </c>
      <c r="CG936" s="824">
        <f t="shared" ca="1" si="732"/>
        <v>0</v>
      </c>
      <c r="CH936" s="824">
        <f t="shared" ca="1" si="732"/>
        <v>0</v>
      </c>
      <c r="CI936" s="824">
        <f t="shared" ca="1" si="732"/>
        <v>0</v>
      </c>
      <c r="CJ936" s="824">
        <f t="shared" ca="1" si="732"/>
        <v>0</v>
      </c>
      <c r="CK936" s="824">
        <f t="shared" ca="1" si="732"/>
        <v>0</v>
      </c>
      <c r="CL936" s="824">
        <f t="shared" ca="1" si="732"/>
        <v>0</v>
      </c>
      <c r="CM936" s="824">
        <f t="shared" ca="1" si="732"/>
        <v>0</v>
      </c>
      <c r="CN936" s="824">
        <f t="shared" ca="1" si="732"/>
        <v>0</v>
      </c>
      <c r="CO936" s="824">
        <f t="shared" ca="1" si="732"/>
        <v>0</v>
      </c>
      <c r="CP936" s="824">
        <f t="shared" ca="1" si="732"/>
        <v>0</v>
      </c>
      <c r="CQ936" s="824">
        <f t="shared" ca="1" si="732"/>
        <v>0</v>
      </c>
      <c r="CR936" s="824">
        <f t="shared" ca="1" si="732"/>
        <v>0</v>
      </c>
      <c r="CS936" s="824">
        <f t="shared" ca="1" si="732"/>
        <v>0</v>
      </c>
      <c r="CT936" s="824">
        <f t="shared" ca="1" si="723"/>
        <v>0</v>
      </c>
      <c r="CU936" s="824">
        <f t="shared" ca="1" si="723"/>
        <v>0</v>
      </c>
      <c r="CV936" s="824">
        <f t="shared" ca="1" si="723"/>
        <v>0</v>
      </c>
      <c r="CW936" s="824">
        <f t="shared" ca="1" si="723"/>
        <v>0</v>
      </c>
      <c r="CX936" s="824">
        <f t="shared" ca="1" si="723"/>
        <v>0</v>
      </c>
      <c r="CY936" s="824">
        <f t="shared" ca="1" si="723"/>
        <v>0</v>
      </c>
      <c r="CZ936" s="824">
        <f t="shared" ca="1" si="723"/>
        <v>0</v>
      </c>
      <c r="DA936" s="824">
        <f t="shared" ca="1" si="723"/>
        <v>0</v>
      </c>
      <c r="DB936" s="824">
        <f t="shared" ca="1" si="723"/>
        <v>0</v>
      </c>
      <c r="DC936" s="824">
        <f t="shared" ca="1" si="723"/>
        <v>0</v>
      </c>
      <c r="DD936" s="824">
        <f t="shared" ca="1" si="723"/>
        <v>0</v>
      </c>
      <c r="DE936" s="824">
        <f t="shared" ca="1" si="723"/>
        <v>0</v>
      </c>
      <c r="DF936" s="824">
        <f t="shared" ca="1" si="723"/>
        <v>0</v>
      </c>
      <c r="DG936" s="824">
        <f t="shared" ca="1" si="726"/>
        <v>0</v>
      </c>
      <c r="DH936" s="824">
        <f t="shared" ca="1" si="726"/>
        <v>0</v>
      </c>
      <c r="DI936" s="824">
        <f t="shared" ca="1" si="726"/>
        <v>0</v>
      </c>
      <c r="DJ936" s="824">
        <f t="shared" ca="1" si="726"/>
        <v>0</v>
      </c>
      <c r="DK936" s="824">
        <f t="shared" ca="1" si="725"/>
        <v>0</v>
      </c>
      <c r="DL936" s="824">
        <f t="shared" ca="1" si="725"/>
        <v>0</v>
      </c>
    </row>
    <row r="937" spans="2:116" ht="12" thickBot="1" x14ac:dyDescent="0.3">
      <c r="B937" s="1673"/>
      <c r="C937" s="1680"/>
      <c r="D937" s="15" t="s">
        <v>264</v>
      </c>
      <c r="E937" s="165"/>
      <c r="F937" s="116">
        <f ca="1">SUBTOTAL(109,'3.5 I&amp;W'!$X$107)</f>
        <v>0</v>
      </c>
      <c r="G937" s="116">
        <f ca="1">SUBTOTAL(109,'3.5 I&amp;W'!$Y$107)</f>
        <v>0</v>
      </c>
      <c r="H937" s="116">
        <f ca="1">SUBTOTAL(109,'3.5 I&amp;W'!$AD$107)</f>
        <v>0</v>
      </c>
      <c r="I937" s="116">
        <f ca="1">SUBTOTAL(109,'3.5 I&amp;W'!$AE$107)</f>
        <v>0</v>
      </c>
      <c r="J937" s="116"/>
      <c r="K937" s="116"/>
      <c r="L937" s="116"/>
      <c r="M937" s="116">
        <f ca="1">SUBTOTAL(109,'3.5 I&amp;W'!$AI$107)</f>
        <v>0</v>
      </c>
      <c r="N937" s="156">
        <f t="shared" ca="1" si="677"/>
        <v>0</v>
      </c>
      <c r="O937" s="116">
        <f ca="1">SUBTOTAL(109,'3.5 I&amp;W'!$S$107)</f>
        <v>0</v>
      </c>
      <c r="P937" s="30">
        <f t="shared" ca="1" si="717"/>
        <v>0</v>
      </c>
      <c r="Q937" s="31">
        <f t="shared" ca="1" si="718"/>
        <v>0</v>
      </c>
      <c r="R937" s="31">
        <f t="shared" ca="1" si="719"/>
        <v>0</v>
      </c>
      <c r="S937" s="31">
        <f t="shared" ca="1" si="720"/>
        <v>0</v>
      </c>
      <c r="T937" s="32">
        <f t="shared" ca="1" si="721"/>
        <v>0</v>
      </c>
      <c r="U937" s="37">
        <f t="shared" ca="1" si="678"/>
        <v>0</v>
      </c>
      <c r="V937" s="40">
        <f t="shared" ca="1" si="727"/>
        <v>0</v>
      </c>
      <c r="W937" s="41">
        <f t="shared" ca="1" si="728"/>
        <v>0</v>
      </c>
      <c r="X937" s="43"/>
      <c r="Y937" s="46"/>
      <c r="Z937" s="126"/>
      <c r="AA937" s="136"/>
      <c r="AB937" s="131">
        <v>37</v>
      </c>
      <c r="AC937" s="168">
        <f ca="1">IF(AF936&lt;=1,0,'3.5 Fi&amp;Fo'!$I$25)</f>
        <v>0</v>
      </c>
      <c r="AD937" s="169">
        <f ca="1">IF(AF936&lt;=1,0,AF936*'3.5 Fi&amp;Fo'!$H$25)</f>
        <v>0</v>
      </c>
      <c r="AE937" s="169">
        <f t="shared" ca="1" si="681"/>
        <v>0</v>
      </c>
      <c r="AF937" s="170">
        <f t="shared" ca="1" si="682"/>
        <v>8.2218321040272713E-10</v>
      </c>
      <c r="AG937" s="168" t="b">
        <f>IF(AJ936&lt;=1,0,IF(AB937&lt;='3.5 Fi&amp;Fo'!$F$34,'3.5 Fi&amp;Fo'!$J$34,IF(AB937&lt;='3.5 Fi&amp;Fo'!$F$35,'3.5 Fi&amp;Fo'!$J$35,IF(AB937&lt;='3.5 Fi&amp;Fo'!$F$36,'3.5 Fi&amp;Fo'!$J$36,IF(AB937&lt;='3.5 Fi&amp;Fo'!$F$37,'3.5 Fi&amp;Fo'!$J$37,IF(AB937&lt;='3.5 Fi&amp;Fo'!$F$38,'3.5 Fi&amp;Fo'!$J$38,IF(AB937&lt;='3.5 Fi&amp;Fo'!$F$39,'3.5 Fi&amp;Fo'!$J$39,IF(AB937&lt;='3.5 Fi&amp;Fo'!$F$40,'3.5 Fi&amp;Fo'!$J$40))))))))</f>
        <v>0</v>
      </c>
      <c r="AH937" s="203">
        <f>IF(AJ936&lt;=1,0,AJ936*IF(AB937&lt;='3.5 Fi&amp;Fo'!$F$34,'3.5 Fi&amp;Fo'!$I$34,IF(AB937&lt;='3.5 Fi&amp;Fo'!$F$35,'3.5 Fi&amp;Fo'!$I$35,IF(AB937&lt;='3.5 Fi&amp;Fo'!$F$38,'3.5 Fi&amp;Fo'!$I$38,IF(AB937&lt;='3.5 Fi&amp;Fo'!$F$39,'3.5 Fi&amp;Fo'!$I$39,IF(AB937&lt;='3.5 Fi&amp;Fo'!$F$40,'3.5 Fi&amp;Fo'!$I$40))))))</f>
        <v>0</v>
      </c>
      <c r="AI937" s="203">
        <f t="shared" si="734"/>
        <v>0</v>
      </c>
      <c r="AJ937" s="204">
        <f t="shared" si="684"/>
        <v>2813112.8168354109</v>
      </c>
      <c r="AK937" s="312">
        <f t="shared" ca="1" si="735"/>
        <v>0</v>
      </c>
      <c r="AL937" s="169">
        <f>IF(AB937&lt;='3.5 Fi&amp;Fo'!$J$15,'3.5 Fi&amp;Fo'!$I$15,0)</f>
        <v>0</v>
      </c>
      <c r="AM937" s="169">
        <f t="shared" si="697"/>
        <v>0</v>
      </c>
      <c r="AN937" s="838" t="str">
        <f t="shared" si="702"/>
        <v/>
      </c>
      <c r="AO937" s="844">
        <f t="shared" ca="1" si="686"/>
        <v>0</v>
      </c>
      <c r="AP937" s="839">
        <f ca="1">CY1005</f>
        <v>0</v>
      </c>
      <c r="AQ937" s="844">
        <f t="shared" si="687"/>
        <v>0</v>
      </c>
      <c r="AR937" s="839" t="str">
        <f t="shared" si="703"/>
        <v/>
      </c>
      <c r="AS937" s="839">
        <f t="shared" si="698"/>
        <v>0</v>
      </c>
      <c r="AT937" s="839">
        <f t="shared" si="699"/>
        <v>0</v>
      </c>
      <c r="AU937" s="844">
        <f>'PV-Einspeisung'!AA308*-1</f>
        <v>0</v>
      </c>
      <c r="AV937" s="844">
        <f>'PV-Einspeisung'!AE308*-1</f>
        <v>0</v>
      </c>
      <c r="AW937" s="839"/>
      <c r="AX937" s="839" t="str">
        <f t="shared" si="704"/>
        <v/>
      </c>
      <c r="AY937" s="841" t="str">
        <f t="shared" si="688"/>
        <v/>
      </c>
      <c r="AZ937" s="842" t="str">
        <f t="shared" si="705"/>
        <v/>
      </c>
      <c r="BA937" s="842" t="str">
        <f t="shared" si="706"/>
        <v/>
      </c>
      <c r="BB937" s="842" t="str">
        <f t="shared" si="707"/>
        <v/>
      </c>
      <c r="BC937" s="842" t="str">
        <f t="shared" si="708"/>
        <v/>
      </c>
      <c r="BD937" s="842" t="str">
        <f t="shared" si="709"/>
        <v/>
      </c>
      <c r="BE937" s="842" t="str">
        <f t="shared" si="710"/>
        <v/>
      </c>
      <c r="BF937" s="842" t="str">
        <f t="shared" si="711"/>
        <v/>
      </c>
      <c r="BG937" s="842" t="str">
        <f t="shared" si="712"/>
        <v/>
      </c>
      <c r="BH937" s="858" t="str">
        <f t="shared" si="696"/>
        <v/>
      </c>
      <c r="BI937" s="857" t="str">
        <f t="shared" si="713"/>
        <v/>
      </c>
      <c r="BJ937" s="857" t="str">
        <f t="shared" si="714"/>
        <v/>
      </c>
      <c r="BK937" s="859">
        <f>'PV-Einspeisung'!AB308*-1</f>
        <v>0</v>
      </c>
      <c r="BL937" s="824">
        <f t="shared" ca="1" si="729"/>
        <v>0</v>
      </c>
      <c r="BM937" s="824">
        <f t="shared" ca="1" si="730"/>
        <v>0</v>
      </c>
      <c r="BN937" s="824">
        <f t="shared" ca="1" si="731"/>
        <v>0</v>
      </c>
      <c r="BO937" s="824">
        <f t="shared" ca="1" si="733"/>
        <v>0</v>
      </c>
      <c r="BP937" s="824">
        <f t="shared" ca="1" si="733"/>
        <v>0</v>
      </c>
      <c r="BQ937" s="824">
        <f t="shared" ca="1" si="733"/>
        <v>0</v>
      </c>
      <c r="BR937" s="824">
        <f t="shared" ca="1" si="733"/>
        <v>0</v>
      </c>
      <c r="BS937" s="824">
        <f t="shared" ca="1" si="733"/>
        <v>0</v>
      </c>
      <c r="BT937" s="824">
        <f t="shared" ca="1" si="733"/>
        <v>0</v>
      </c>
      <c r="BU937" s="824">
        <f t="shared" ca="1" si="733"/>
        <v>0</v>
      </c>
      <c r="BV937" s="824">
        <f t="shared" ca="1" si="733"/>
        <v>0</v>
      </c>
      <c r="BW937" s="824">
        <f t="shared" ca="1" si="733"/>
        <v>0</v>
      </c>
      <c r="BX937" s="824">
        <f t="shared" ca="1" si="733"/>
        <v>0</v>
      </c>
      <c r="BY937" s="824">
        <f t="shared" ca="1" si="733"/>
        <v>0</v>
      </c>
      <c r="BZ937" s="824">
        <f t="shared" ca="1" si="733"/>
        <v>0</v>
      </c>
      <c r="CA937" s="824">
        <f t="shared" ca="1" si="733"/>
        <v>0</v>
      </c>
      <c r="CB937" s="824">
        <f t="shared" ca="1" si="733"/>
        <v>0</v>
      </c>
      <c r="CC937" s="824">
        <f t="shared" ca="1" si="733"/>
        <v>0</v>
      </c>
      <c r="CD937" s="824">
        <f t="shared" ca="1" si="733"/>
        <v>0</v>
      </c>
      <c r="CE937" s="824">
        <f t="shared" ca="1" si="732"/>
        <v>0</v>
      </c>
      <c r="CF937" s="824">
        <f t="shared" ca="1" si="732"/>
        <v>0</v>
      </c>
      <c r="CG937" s="824">
        <f t="shared" ca="1" si="732"/>
        <v>0</v>
      </c>
      <c r="CH937" s="824">
        <f t="shared" ca="1" si="732"/>
        <v>0</v>
      </c>
      <c r="CI937" s="824">
        <f t="shared" ca="1" si="732"/>
        <v>0</v>
      </c>
      <c r="CJ937" s="824">
        <f t="shared" ca="1" si="732"/>
        <v>0</v>
      </c>
      <c r="CK937" s="824">
        <f t="shared" ca="1" si="732"/>
        <v>0</v>
      </c>
      <c r="CL937" s="824">
        <f t="shared" ca="1" si="732"/>
        <v>0</v>
      </c>
      <c r="CM937" s="824">
        <f t="shared" ca="1" si="732"/>
        <v>0</v>
      </c>
      <c r="CN937" s="824">
        <f t="shared" ca="1" si="732"/>
        <v>0</v>
      </c>
      <c r="CO937" s="824">
        <f t="shared" ca="1" si="732"/>
        <v>0</v>
      </c>
      <c r="CP937" s="824">
        <f t="shared" ca="1" si="732"/>
        <v>0</v>
      </c>
      <c r="CQ937" s="824">
        <f t="shared" ca="1" si="732"/>
        <v>0</v>
      </c>
      <c r="CR937" s="824">
        <f t="shared" ca="1" si="732"/>
        <v>0</v>
      </c>
      <c r="CS937" s="824">
        <f t="shared" ca="1" si="732"/>
        <v>0</v>
      </c>
      <c r="CT937" s="824">
        <f t="shared" ca="1" si="723"/>
        <v>0</v>
      </c>
      <c r="CU937" s="824">
        <f t="shared" ca="1" si="723"/>
        <v>0</v>
      </c>
      <c r="CV937" s="824">
        <f t="shared" ca="1" si="723"/>
        <v>0</v>
      </c>
      <c r="CW937" s="824">
        <f t="shared" ca="1" si="723"/>
        <v>0</v>
      </c>
      <c r="CX937" s="824">
        <f t="shared" ca="1" si="723"/>
        <v>0</v>
      </c>
      <c r="CY937" s="824">
        <f t="shared" ca="1" si="723"/>
        <v>0</v>
      </c>
      <c r="CZ937" s="824">
        <f t="shared" ca="1" si="723"/>
        <v>0</v>
      </c>
      <c r="DA937" s="824">
        <f t="shared" ca="1" si="723"/>
        <v>0</v>
      </c>
      <c r="DB937" s="824">
        <f t="shared" ca="1" si="723"/>
        <v>0</v>
      </c>
      <c r="DC937" s="824">
        <f t="shared" ca="1" si="723"/>
        <v>0</v>
      </c>
      <c r="DD937" s="824">
        <f t="shared" ca="1" si="723"/>
        <v>0</v>
      </c>
      <c r="DE937" s="824">
        <f t="shared" ca="1" si="723"/>
        <v>0</v>
      </c>
      <c r="DF937" s="824">
        <f t="shared" ca="1" si="723"/>
        <v>0</v>
      </c>
      <c r="DG937" s="824">
        <f t="shared" ca="1" si="726"/>
        <v>0</v>
      </c>
      <c r="DH937" s="824">
        <f t="shared" ca="1" si="726"/>
        <v>0</v>
      </c>
      <c r="DI937" s="824">
        <f t="shared" ca="1" si="726"/>
        <v>0</v>
      </c>
      <c r="DJ937" s="824">
        <f t="shared" ca="1" si="726"/>
        <v>0</v>
      </c>
      <c r="DK937" s="824">
        <f t="shared" ca="1" si="725"/>
        <v>0</v>
      </c>
      <c r="DL937" s="824">
        <f t="shared" ca="1" si="725"/>
        <v>0</v>
      </c>
    </row>
    <row r="938" spans="2:116" ht="12" thickBot="1" x14ac:dyDescent="0.3">
      <c r="B938" s="1673"/>
      <c r="C938" s="1680"/>
      <c r="D938" s="15" t="s">
        <v>264</v>
      </c>
      <c r="E938" s="116"/>
      <c r="F938" s="116">
        <f ca="1">SUBTOTAL(109,'3.5 I&amp;W'!$X$108)</f>
        <v>0</v>
      </c>
      <c r="G938" s="116">
        <f ca="1">SUBTOTAL(109,'3.5 I&amp;W'!$Y$108)</f>
        <v>0</v>
      </c>
      <c r="H938" s="116">
        <f ca="1">SUBTOTAL(109,'3.5 I&amp;W'!$AD$108)</f>
        <v>0</v>
      </c>
      <c r="I938" s="116">
        <f ca="1">SUBTOTAL(109,'3.5 I&amp;W'!$AE$108)</f>
        <v>0</v>
      </c>
      <c r="J938" s="116"/>
      <c r="K938" s="116"/>
      <c r="L938" s="116"/>
      <c r="M938" s="116">
        <f ca="1">SUBTOTAL(109,'3.5 I&amp;W'!$AI$108)</f>
        <v>0</v>
      </c>
      <c r="N938" s="156">
        <f t="shared" ca="1" si="677"/>
        <v>0</v>
      </c>
      <c r="O938" s="116">
        <f ca="1">SUBTOTAL(109,'3.5 I&amp;W'!$S$108)</f>
        <v>0</v>
      </c>
      <c r="P938" s="30">
        <f t="shared" ca="1" si="717"/>
        <v>0</v>
      </c>
      <c r="Q938" s="31">
        <f t="shared" ca="1" si="718"/>
        <v>0</v>
      </c>
      <c r="R938" s="31">
        <f t="shared" ca="1" si="719"/>
        <v>0</v>
      </c>
      <c r="S938" s="31">
        <f t="shared" ca="1" si="720"/>
        <v>0</v>
      </c>
      <c r="T938" s="32">
        <f t="shared" ca="1" si="721"/>
        <v>0</v>
      </c>
      <c r="U938" s="37">
        <f t="shared" ca="1" si="678"/>
        <v>0</v>
      </c>
      <c r="V938" s="40">
        <f t="shared" ca="1" si="727"/>
        <v>0</v>
      </c>
      <c r="W938" s="41">
        <f t="shared" ca="1" si="728"/>
        <v>0</v>
      </c>
      <c r="X938" s="43"/>
      <c r="Y938" s="46"/>
      <c r="Z938" s="126"/>
      <c r="AA938" s="136"/>
      <c r="AB938" s="131">
        <v>38</v>
      </c>
      <c r="AC938" s="168">
        <f ca="1">IF(AF937&lt;=1,0,'3.5 Fi&amp;Fo'!$I$25)</f>
        <v>0</v>
      </c>
      <c r="AD938" s="169">
        <f ca="1">IF(AF937&lt;=1,0,AF937*'3.5 Fi&amp;Fo'!$H$25)</f>
        <v>0</v>
      </c>
      <c r="AE938" s="169">
        <f t="shared" ca="1" si="681"/>
        <v>0</v>
      </c>
      <c r="AF938" s="170">
        <f t="shared" ca="1" si="682"/>
        <v>8.2218321040272713E-10</v>
      </c>
      <c r="AG938" s="168" t="b">
        <f>IF(AJ937&lt;=1,0,IF(AB938&lt;='3.5 Fi&amp;Fo'!$F$34,'3.5 Fi&amp;Fo'!$J$34,IF(AB938&lt;='3.5 Fi&amp;Fo'!$F$35,'3.5 Fi&amp;Fo'!$J$35,IF(AB938&lt;='3.5 Fi&amp;Fo'!$F$36,'3.5 Fi&amp;Fo'!$J$36,IF(AB938&lt;='3.5 Fi&amp;Fo'!$F$37,'3.5 Fi&amp;Fo'!$J$37,IF(AB938&lt;='3.5 Fi&amp;Fo'!$F$38,'3.5 Fi&amp;Fo'!$J$38,IF(AB938&lt;='3.5 Fi&amp;Fo'!$F$39,'3.5 Fi&amp;Fo'!$J$39,IF(AB938&lt;='3.5 Fi&amp;Fo'!$F$40,'3.5 Fi&amp;Fo'!$J$40))))))))</f>
        <v>0</v>
      </c>
      <c r="AH938" s="203">
        <f>IF(AJ937&lt;=1,0,AJ937*IF(AB938&lt;='3.5 Fi&amp;Fo'!$F$34,'3.5 Fi&amp;Fo'!$I$34,IF(AB938&lt;='3.5 Fi&amp;Fo'!$F$35,'3.5 Fi&amp;Fo'!$I$35,IF(AB938&lt;='3.5 Fi&amp;Fo'!$F$38,'3.5 Fi&amp;Fo'!$I$38,IF(AB938&lt;='3.5 Fi&amp;Fo'!$F$39,'3.5 Fi&amp;Fo'!$I$39,IF(AB938&lt;='3.5 Fi&amp;Fo'!$F$40,'3.5 Fi&amp;Fo'!$I$40))))))</f>
        <v>0</v>
      </c>
      <c r="AI938" s="203">
        <f t="shared" si="734"/>
        <v>0</v>
      </c>
      <c r="AJ938" s="204">
        <f t="shared" si="684"/>
        <v>2813112.8168354109</v>
      </c>
      <c r="AK938" s="312">
        <f t="shared" ca="1" si="735"/>
        <v>0</v>
      </c>
      <c r="AL938" s="169">
        <f>IF(AB938&lt;='3.5 Fi&amp;Fo'!$J$15,'3.5 Fi&amp;Fo'!$I$15,0)</f>
        <v>0</v>
      </c>
      <c r="AM938" s="169">
        <f t="shared" si="697"/>
        <v>0</v>
      </c>
      <c r="AN938" s="838" t="str">
        <f t="shared" si="702"/>
        <v/>
      </c>
      <c r="AO938" s="844">
        <f t="shared" ca="1" si="686"/>
        <v>0</v>
      </c>
      <c r="AP938" s="839">
        <f ca="1">CZ1005</f>
        <v>0</v>
      </c>
      <c r="AQ938" s="844">
        <f t="shared" si="687"/>
        <v>0</v>
      </c>
      <c r="AR938" s="839" t="str">
        <f t="shared" si="703"/>
        <v/>
      </c>
      <c r="AS938" s="839">
        <f t="shared" si="698"/>
        <v>0</v>
      </c>
      <c r="AT938" s="839">
        <f t="shared" si="699"/>
        <v>0</v>
      </c>
      <c r="AU938" s="844">
        <f>'PV-Einspeisung'!AA309*-1</f>
        <v>0</v>
      </c>
      <c r="AV938" s="844">
        <f>'PV-Einspeisung'!AE309*-1</f>
        <v>0</v>
      </c>
      <c r="AW938" s="839"/>
      <c r="AX938" s="839" t="str">
        <f t="shared" si="704"/>
        <v/>
      </c>
      <c r="AY938" s="841" t="str">
        <f t="shared" si="688"/>
        <v/>
      </c>
      <c r="AZ938" s="842" t="str">
        <f t="shared" si="705"/>
        <v/>
      </c>
      <c r="BA938" s="842" t="str">
        <f t="shared" si="706"/>
        <v/>
      </c>
      <c r="BB938" s="842" t="str">
        <f t="shared" si="707"/>
        <v/>
      </c>
      <c r="BC938" s="842" t="str">
        <f t="shared" si="708"/>
        <v/>
      </c>
      <c r="BD938" s="842" t="str">
        <f t="shared" si="709"/>
        <v/>
      </c>
      <c r="BE938" s="842" t="str">
        <f t="shared" si="710"/>
        <v/>
      </c>
      <c r="BF938" s="842" t="str">
        <f t="shared" si="711"/>
        <v/>
      </c>
      <c r="BG938" s="842" t="str">
        <f t="shared" si="712"/>
        <v/>
      </c>
      <c r="BH938" s="858" t="str">
        <f t="shared" si="696"/>
        <v/>
      </c>
      <c r="BI938" s="857" t="str">
        <f t="shared" si="713"/>
        <v/>
      </c>
      <c r="BJ938" s="857" t="str">
        <f t="shared" si="714"/>
        <v/>
      </c>
      <c r="BK938" s="859">
        <f>'PV-Einspeisung'!AB309*-1</f>
        <v>0</v>
      </c>
      <c r="BL938" s="824">
        <f t="shared" ca="1" si="729"/>
        <v>0</v>
      </c>
      <c r="BM938" s="824">
        <f t="shared" ca="1" si="730"/>
        <v>0</v>
      </c>
      <c r="BN938" s="824">
        <f t="shared" ca="1" si="731"/>
        <v>0</v>
      </c>
      <c r="BO938" s="824">
        <f t="shared" ca="1" si="733"/>
        <v>0</v>
      </c>
      <c r="BP938" s="824">
        <f t="shared" ca="1" si="733"/>
        <v>0</v>
      </c>
      <c r="BQ938" s="824">
        <f t="shared" ca="1" si="733"/>
        <v>0</v>
      </c>
      <c r="BR938" s="824">
        <f t="shared" ca="1" si="733"/>
        <v>0</v>
      </c>
      <c r="BS938" s="824">
        <f t="shared" ca="1" si="733"/>
        <v>0</v>
      </c>
      <c r="BT938" s="824">
        <f t="shared" ca="1" si="733"/>
        <v>0</v>
      </c>
      <c r="BU938" s="824">
        <f t="shared" ca="1" si="733"/>
        <v>0</v>
      </c>
      <c r="BV938" s="824">
        <f t="shared" ca="1" si="733"/>
        <v>0</v>
      </c>
      <c r="BW938" s="824">
        <f t="shared" ca="1" si="733"/>
        <v>0</v>
      </c>
      <c r="BX938" s="824">
        <f t="shared" ca="1" si="733"/>
        <v>0</v>
      </c>
      <c r="BY938" s="824">
        <f t="shared" ca="1" si="733"/>
        <v>0</v>
      </c>
      <c r="BZ938" s="824">
        <f t="shared" ca="1" si="733"/>
        <v>0</v>
      </c>
      <c r="CA938" s="824">
        <f t="shared" ca="1" si="733"/>
        <v>0</v>
      </c>
      <c r="CB938" s="824">
        <f t="shared" ca="1" si="733"/>
        <v>0</v>
      </c>
      <c r="CC938" s="824">
        <f t="shared" ca="1" si="733"/>
        <v>0</v>
      </c>
      <c r="CD938" s="824">
        <f t="shared" ca="1" si="733"/>
        <v>0</v>
      </c>
      <c r="CE938" s="824">
        <f t="shared" ca="1" si="732"/>
        <v>0</v>
      </c>
      <c r="CF938" s="824">
        <f t="shared" ca="1" si="732"/>
        <v>0</v>
      </c>
      <c r="CG938" s="824">
        <f t="shared" ca="1" si="732"/>
        <v>0</v>
      </c>
      <c r="CH938" s="824">
        <f t="shared" ca="1" si="732"/>
        <v>0</v>
      </c>
      <c r="CI938" s="824">
        <f t="shared" ca="1" si="732"/>
        <v>0</v>
      </c>
      <c r="CJ938" s="824">
        <f t="shared" ca="1" si="732"/>
        <v>0</v>
      </c>
      <c r="CK938" s="824">
        <f t="shared" ca="1" si="732"/>
        <v>0</v>
      </c>
      <c r="CL938" s="824">
        <f t="shared" ca="1" si="732"/>
        <v>0</v>
      </c>
      <c r="CM938" s="824">
        <f t="shared" ca="1" si="732"/>
        <v>0</v>
      </c>
      <c r="CN938" s="824">
        <f t="shared" ca="1" si="732"/>
        <v>0</v>
      </c>
      <c r="CO938" s="824">
        <f t="shared" ca="1" si="732"/>
        <v>0</v>
      </c>
      <c r="CP938" s="824">
        <f t="shared" ca="1" si="732"/>
        <v>0</v>
      </c>
      <c r="CQ938" s="824">
        <f t="shared" ca="1" si="732"/>
        <v>0</v>
      </c>
      <c r="CR938" s="824">
        <f t="shared" ca="1" si="732"/>
        <v>0</v>
      </c>
      <c r="CS938" s="824">
        <f t="shared" ca="1" si="732"/>
        <v>0</v>
      </c>
      <c r="CT938" s="824">
        <f t="shared" ca="1" si="723"/>
        <v>0</v>
      </c>
      <c r="CU938" s="824">
        <f t="shared" ca="1" si="723"/>
        <v>0</v>
      </c>
      <c r="CV938" s="824">
        <f t="shared" ca="1" si="723"/>
        <v>0</v>
      </c>
      <c r="CW938" s="824">
        <f t="shared" ca="1" si="723"/>
        <v>0</v>
      </c>
      <c r="CX938" s="824">
        <f t="shared" ca="1" si="723"/>
        <v>0</v>
      </c>
      <c r="CY938" s="824">
        <f t="shared" ca="1" si="723"/>
        <v>0</v>
      </c>
      <c r="CZ938" s="824">
        <f t="shared" ca="1" si="723"/>
        <v>0</v>
      </c>
      <c r="DA938" s="824">
        <f t="shared" ca="1" si="723"/>
        <v>0</v>
      </c>
      <c r="DB938" s="824">
        <f t="shared" ca="1" si="723"/>
        <v>0</v>
      </c>
      <c r="DC938" s="824">
        <f t="shared" ca="1" si="723"/>
        <v>0</v>
      </c>
      <c r="DD938" s="824">
        <f t="shared" ca="1" si="723"/>
        <v>0</v>
      </c>
      <c r="DE938" s="824">
        <f t="shared" ca="1" si="723"/>
        <v>0</v>
      </c>
      <c r="DF938" s="824">
        <f t="shared" ca="1" si="723"/>
        <v>0</v>
      </c>
      <c r="DG938" s="824">
        <f t="shared" ca="1" si="726"/>
        <v>0</v>
      </c>
      <c r="DH938" s="824">
        <f t="shared" ca="1" si="726"/>
        <v>0</v>
      </c>
      <c r="DI938" s="824">
        <f t="shared" ca="1" si="726"/>
        <v>0</v>
      </c>
      <c r="DJ938" s="824">
        <f t="shared" ca="1" si="726"/>
        <v>0</v>
      </c>
      <c r="DK938" s="824">
        <f t="shared" ca="1" si="725"/>
        <v>0</v>
      </c>
      <c r="DL938" s="824">
        <f t="shared" ca="1" si="725"/>
        <v>0</v>
      </c>
    </row>
    <row r="939" spans="2:116" ht="12" thickBot="1" x14ac:dyDescent="0.3">
      <c r="B939" s="1673"/>
      <c r="C939" s="1680"/>
      <c r="D939" s="15" t="s">
        <v>264</v>
      </c>
      <c r="E939" s="165"/>
      <c r="F939" s="116">
        <f ca="1">SUBTOTAL(109,'3.5 I&amp;W'!$X$109)</f>
        <v>0</v>
      </c>
      <c r="G939" s="116">
        <f ca="1">SUBTOTAL(109,'3.5 I&amp;W'!$Y$109)</f>
        <v>0</v>
      </c>
      <c r="H939" s="116">
        <f ca="1">SUBTOTAL(109,'3.5 I&amp;W'!$AD$109)</f>
        <v>0</v>
      </c>
      <c r="I939" s="116">
        <f ca="1">SUBTOTAL(109,'3.5 I&amp;W'!$AE$109)</f>
        <v>0</v>
      </c>
      <c r="J939" s="116"/>
      <c r="K939" s="116"/>
      <c r="L939" s="116"/>
      <c r="M939" s="116">
        <f ca="1">SUBTOTAL(109,'3.5 I&amp;W'!$AI$109)</f>
        <v>0</v>
      </c>
      <c r="N939" s="156">
        <f t="shared" ca="1" si="677"/>
        <v>0</v>
      </c>
      <c r="O939" s="116">
        <f ca="1">SUBTOTAL(109,'3.5 I&amp;W'!$S$109)</f>
        <v>0</v>
      </c>
      <c r="P939" s="30">
        <f t="shared" ca="1" si="717"/>
        <v>0</v>
      </c>
      <c r="Q939" s="31">
        <f t="shared" ca="1" si="718"/>
        <v>0</v>
      </c>
      <c r="R939" s="31">
        <f t="shared" ca="1" si="719"/>
        <v>0</v>
      </c>
      <c r="S939" s="31">
        <f t="shared" ca="1" si="720"/>
        <v>0</v>
      </c>
      <c r="T939" s="32">
        <f t="shared" ca="1" si="721"/>
        <v>0</v>
      </c>
      <c r="U939" s="37">
        <f t="shared" ca="1" si="678"/>
        <v>0</v>
      </c>
      <c r="V939" s="40">
        <f t="shared" ca="1" si="727"/>
        <v>0</v>
      </c>
      <c r="W939" s="41">
        <f t="shared" ca="1" si="728"/>
        <v>0</v>
      </c>
      <c r="X939" s="43"/>
      <c r="Y939" s="46"/>
      <c r="Z939" s="126"/>
      <c r="AA939" s="136"/>
      <c r="AB939" s="131">
        <v>39</v>
      </c>
      <c r="AC939" s="168">
        <f ca="1">IF(AF938&lt;=1,0,'3.5 Fi&amp;Fo'!$I$25)</f>
        <v>0</v>
      </c>
      <c r="AD939" s="169">
        <f ca="1">IF(AF938&lt;=1,0,AF938*'3.5 Fi&amp;Fo'!$H$25)</f>
        <v>0</v>
      </c>
      <c r="AE939" s="169">
        <f t="shared" ca="1" si="681"/>
        <v>0</v>
      </c>
      <c r="AF939" s="170">
        <f t="shared" ca="1" si="682"/>
        <v>8.2218321040272713E-10</v>
      </c>
      <c r="AG939" s="168" t="b">
        <f>IF(AJ938&lt;=1,0,IF(AB939&lt;='3.5 Fi&amp;Fo'!$F$34,'3.5 Fi&amp;Fo'!$J$34,IF(AB939&lt;='3.5 Fi&amp;Fo'!$F$35,'3.5 Fi&amp;Fo'!$J$35,IF(AB939&lt;='3.5 Fi&amp;Fo'!$F$36,'3.5 Fi&amp;Fo'!$J$36,IF(AB939&lt;='3.5 Fi&amp;Fo'!$F$37,'3.5 Fi&amp;Fo'!$J$37,IF(AB939&lt;='3.5 Fi&amp;Fo'!$F$38,'3.5 Fi&amp;Fo'!$J$38,IF(AB939&lt;='3.5 Fi&amp;Fo'!$F$39,'3.5 Fi&amp;Fo'!$J$39,IF(AB939&lt;='3.5 Fi&amp;Fo'!$F$40,'3.5 Fi&amp;Fo'!$J$40))))))))</f>
        <v>0</v>
      </c>
      <c r="AH939" s="203">
        <f>IF(AJ938&lt;=1,0,AJ938*IF(AB939&lt;='3.5 Fi&amp;Fo'!$F$34,'3.5 Fi&amp;Fo'!$I$34,IF(AB939&lt;='3.5 Fi&amp;Fo'!$F$35,'3.5 Fi&amp;Fo'!$I$35,IF(AB939&lt;='3.5 Fi&amp;Fo'!$F$38,'3.5 Fi&amp;Fo'!$I$38,IF(AB939&lt;='3.5 Fi&amp;Fo'!$F$39,'3.5 Fi&amp;Fo'!$I$39,IF(AB939&lt;='3.5 Fi&amp;Fo'!$F$40,'3.5 Fi&amp;Fo'!$I$40))))))</f>
        <v>0</v>
      </c>
      <c r="AI939" s="203">
        <f t="shared" si="734"/>
        <v>0</v>
      </c>
      <c r="AJ939" s="204">
        <f t="shared" si="684"/>
        <v>2813112.8168354109</v>
      </c>
      <c r="AK939" s="312">
        <f t="shared" ca="1" si="735"/>
        <v>0</v>
      </c>
      <c r="AL939" s="169">
        <f>IF(AB939&lt;='3.5 Fi&amp;Fo'!$J$15,'3.5 Fi&amp;Fo'!$I$15,0)</f>
        <v>0</v>
      </c>
      <c r="AM939" s="169">
        <f t="shared" si="697"/>
        <v>0</v>
      </c>
      <c r="AN939" s="838" t="str">
        <f t="shared" si="702"/>
        <v/>
      </c>
      <c r="AO939" s="844">
        <f t="shared" ca="1" si="686"/>
        <v>0</v>
      </c>
      <c r="AP939" s="839">
        <f ca="1">DA1005</f>
        <v>0</v>
      </c>
      <c r="AQ939" s="844">
        <f t="shared" si="687"/>
        <v>0</v>
      </c>
      <c r="AR939" s="839" t="str">
        <f t="shared" si="703"/>
        <v/>
      </c>
      <c r="AS939" s="839">
        <f t="shared" si="698"/>
        <v>0</v>
      </c>
      <c r="AT939" s="839">
        <f t="shared" si="699"/>
        <v>0</v>
      </c>
      <c r="AU939" s="844">
        <f>'PV-Einspeisung'!AA310*-1</f>
        <v>0</v>
      </c>
      <c r="AV939" s="844">
        <f>'PV-Einspeisung'!AE310*-1</f>
        <v>0</v>
      </c>
      <c r="AW939" s="839"/>
      <c r="AX939" s="839" t="str">
        <f t="shared" si="704"/>
        <v/>
      </c>
      <c r="AY939" s="841" t="str">
        <f t="shared" si="688"/>
        <v/>
      </c>
      <c r="AZ939" s="842" t="str">
        <f t="shared" si="705"/>
        <v/>
      </c>
      <c r="BA939" s="842" t="str">
        <f t="shared" si="706"/>
        <v/>
      </c>
      <c r="BB939" s="842" t="str">
        <f t="shared" si="707"/>
        <v/>
      </c>
      <c r="BC939" s="842" t="str">
        <f t="shared" si="708"/>
        <v/>
      </c>
      <c r="BD939" s="842" t="str">
        <f t="shared" si="709"/>
        <v/>
      </c>
      <c r="BE939" s="842" t="str">
        <f t="shared" si="710"/>
        <v/>
      </c>
      <c r="BF939" s="842" t="str">
        <f t="shared" si="711"/>
        <v/>
      </c>
      <c r="BG939" s="842" t="str">
        <f t="shared" si="712"/>
        <v/>
      </c>
      <c r="BH939" s="858" t="str">
        <f t="shared" si="696"/>
        <v/>
      </c>
      <c r="BI939" s="857" t="str">
        <f t="shared" si="713"/>
        <v/>
      </c>
      <c r="BJ939" s="857" t="str">
        <f t="shared" si="714"/>
        <v/>
      </c>
      <c r="BK939" s="859">
        <f>'PV-Einspeisung'!AB310*-1</f>
        <v>0</v>
      </c>
      <c r="BL939" s="824">
        <f t="shared" ca="1" si="729"/>
        <v>0</v>
      </c>
      <c r="BM939" s="824">
        <f t="shared" ca="1" si="730"/>
        <v>0</v>
      </c>
      <c r="BN939" s="824">
        <f t="shared" ca="1" si="731"/>
        <v>0</v>
      </c>
      <c r="BO939" s="824">
        <f t="shared" ca="1" si="733"/>
        <v>0</v>
      </c>
      <c r="BP939" s="824">
        <f t="shared" ca="1" si="733"/>
        <v>0</v>
      </c>
      <c r="BQ939" s="824">
        <f t="shared" ca="1" si="733"/>
        <v>0</v>
      </c>
      <c r="BR939" s="824">
        <f t="shared" ca="1" si="733"/>
        <v>0</v>
      </c>
      <c r="BS939" s="824">
        <f t="shared" ca="1" si="733"/>
        <v>0</v>
      </c>
      <c r="BT939" s="824">
        <f t="shared" ca="1" si="733"/>
        <v>0</v>
      </c>
      <c r="BU939" s="824">
        <f t="shared" ca="1" si="733"/>
        <v>0</v>
      </c>
      <c r="BV939" s="824">
        <f t="shared" ca="1" si="733"/>
        <v>0</v>
      </c>
      <c r="BW939" s="824">
        <f t="shared" ca="1" si="733"/>
        <v>0</v>
      </c>
      <c r="BX939" s="824">
        <f t="shared" ca="1" si="733"/>
        <v>0</v>
      </c>
      <c r="BY939" s="824">
        <f t="shared" ca="1" si="733"/>
        <v>0</v>
      </c>
      <c r="BZ939" s="824">
        <f t="shared" ca="1" si="733"/>
        <v>0</v>
      </c>
      <c r="CA939" s="824">
        <f t="shared" ca="1" si="733"/>
        <v>0</v>
      </c>
      <c r="CB939" s="824">
        <f t="shared" ca="1" si="733"/>
        <v>0</v>
      </c>
      <c r="CC939" s="824">
        <f t="shared" ca="1" si="733"/>
        <v>0</v>
      </c>
      <c r="CD939" s="824">
        <f t="shared" ca="1" si="733"/>
        <v>0</v>
      </c>
      <c r="CE939" s="824">
        <f t="shared" ca="1" si="732"/>
        <v>0</v>
      </c>
      <c r="CF939" s="824">
        <f t="shared" ca="1" si="732"/>
        <v>0</v>
      </c>
      <c r="CG939" s="824">
        <f t="shared" ca="1" si="732"/>
        <v>0</v>
      </c>
      <c r="CH939" s="824">
        <f t="shared" ca="1" si="732"/>
        <v>0</v>
      </c>
      <c r="CI939" s="824">
        <f t="shared" ca="1" si="732"/>
        <v>0</v>
      </c>
      <c r="CJ939" s="824">
        <f t="shared" ca="1" si="732"/>
        <v>0</v>
      </c>
      <c r="CK939" s="824">
        <f t="shared" ca="1" si="732"/>
        <v>0</v>
      </c>
      <c r="CL939" s="824">
        <f t="shared" ca="1" si="732"/>
        <v>0</v>
      </c>
      <c r="CM939" s="824">
        <f t="shared" ca="1" si="732"/>
        <v>0</v>
      </c>
      <c r="CN939" s="824">
        <f t="shared" ca="1" si="732"/>
        <v>0</v>
      </c>
      <c r="CO939" s="824">
        <f t="shared" ca="1" si="732"/>
        <v>0</v>
      </c>
      <c r="CP939" s="824">
        <f t="shared" ca="1" si="732"/>
        <v>0</v>
      </c>
      <c r="CQ939" s="824">
        <f t="shared" ca="1" si="732"/>
        <v>0</v>
      </c>
      <c r="CR939" s="824">
        <f t="shared" ca="1" si="732"/>
        <v>0</v>
      </c>
      <c r="CS939" s="824">
        <f t="shared" ca="1" si="732"/>
        <v>0</v>
      </c>
      <c r="CT939" s="824">
        <f t="shared" ca="1" si="723"/>
        <v>0</v>
      </c>
      <c r="CU939" s="824">
        <f t="shared" ca="1" si="723"/>
        <v>0</v>
      </c>
      <c r="CV939" s="824">
        <f t="shared" ca="1" si="723"/>
        <v>0</v>
      </c>
      <c r="CW939" s="824">
        <f t="shared" ca="1" si="723"/>
        <v>0</v>
      </c>
      <c r="CX939" s="824">
        <f t="shared" ca="1" si="723"/>
        <v>0</v>
      </c>
      <c r="CY939" s="824">
        <f t="shared" ca="1" si="723"/>
        <v>0</v>
      </c>
      <c r="CZ939" s="824">
        <f t="shared" ca="1" si="723"/>
        <v>0</v>
      </c>
      <c r="DA939" s="824">
        <f t="shared" ca="1" si="723"/>
        <v>0</v>
      </c>
      <c r="DB939" s="824">
        <f t="shared" ca="1" si="723"/>
        <v>0</v>
      </c>
      <c r="DC939" s="824">
        <f t="shared" ca="1" si="723"/>
        <v>0</v>
      </c>
      <c r="DD939" s="824">
        <f t="shared" ca="1" si="723"/>
        <v>0</v>
      </c>
      <c r="DE939" s="824">
        <f t="shared" ca="1" si="723"/>
        <v>0</v>
      </c>
      <c r="DF939" s="824">
        <f t="shared" ca="1" si="723"/>
        <v>0</v>
      </c>
      <c r="DG939" s="824">
        <f t="shared" ca="1" si="726"/>
        <v>0</v>
      </c>
      <c r="DH939" s="824">
        <f t="shared" ca="1" si="726"/>
        <v>0</v>
      </c>
      <c r="DI939" s="824">
        <f t="shared" ca="1" si="726"/>
        <v>0</v>
      </c>
      <c r="DJ939" s="824">
        <f t="shared" ca="1" si="726"/>
        <v>0</v>
      </c>
      <c r="DK939" s="824">
        <f t="shared" ca="1" si="725"/>
        <v>0</v>
      </c>
      <c r="DL939" s="824">
        <f t="shared" ca="1" si="725"/>
        <v>0</v>
      </c>
    </row>
    <row r="940" spans="2:116" ht="12" thickBot="1" x14ac:dyDescent="0.3">
      <c r="B940" s="1673"/>
      <c r="C940" s="1680"/>
      <c r="D940" s="15" t="s">
        <v>264</v>
      </c>
      <c r="E940" s="116"/>
      <c r="F940" s="116">
        <f ca="1">SUBTOTAL(109,'3.5 I&amp;W'!$X$110)</f>
        <v>0</v>
      </c>
      <c r="G940" s="116">
        <f ca="1">SUBTOTAL(109,'3.5 I&amp;W'!$Y$110)</f>
        <v>0</v>
      </c>
      <c r="H940" s="116">
        <f ca="1">SUBTOTAL(109,'3.5 I&amp;W'!$AD$110)</f>
        <v>0</v>
      </c>
      <c r="I940" s="116">
        <f ca="1">SUBTOTAL(109,'3.5 I&amp;W'!$AE$110)</f>
        <v>0</v>
      </c>
      <c r="J940" s="116"/>
      <c r="K940" s="116"/>
      <c r="L940" s="116"/>
      <c r="M940" s="116">
        <f ca="1">SUBTOTAL(109,'3.5 I&amp;W'!$AI$110)</f>
        <v>0</v>
      </c>
      <c r="N940" s="156">
        <f t="shared" ca="1" si="677"/>
        <v>0</v>
      </c>
      <c r="O940" s="116">
        <f ca="1">SUBTOTAL(109,'3.5 I&amp;W'!$S$110)</f>
        <v>0</v>
      </c>
      <c r="P940" s="30">
        <f t="shared" ca="1" si="717"/>
        <v>0</v>
      </c>
      <c r="Q940" s="31">
        <f t="shared" ca="1" si="718"/>
        <v>0</v>
      </c>
      <c r="R940" s="31">
        <f t="shared" ca="1" si="719"/>
        <v>0</v>
      </c>
      <c r="S940" s="31">
        <f t="shared" ca="1" si="720"/>
        <v>0</v>
      </c>
      <c r="T940" s="32">
        <f t="shared" ca="1" si="721"/>
        <v>0</v>
      </c>
      <c r="U940" s="37">
        <f t="shared" ca="1" si="678"/>
        <v>0</v>
      </c>
      <c r="V940" s="40">
        <f t="shared" ca="1" si="727"/>
        <v>0</v>
      </c>
      <c r="W940" s="41">
        <f t="shared" ca="1" si="728"/>
        <v>0</v>
      </c>
      <c r="X940" s="43"/>
      <c r="Y940" s="46"/>
      <c r="Z940" s="126"/>
      <c r="AA940" s="136"/>
      <c r="AB940" s="131">
        <v>40</v>
      </c>
      <c r="AC940" s="168">
        <f ca="1">IF(AF939&lt;=1,0,'3.5 Fi&amp;Fo'!$I$25)</f>
        <v>0</v>
      </c>
      <c r="AD940" s="169">
        <f ca="1">IF(AF939&lt;=1,0,AF939*'3.5 Fi&amp;Fo'!$H$25)</f>
        <v>0</v>
      </c>
      <c r="AE940" s="169">
        <f t="shared" ca="1" si="681"/>
        <v>0</v>
      </c>
      <c r="AF940" s="170">
        <f t="shared" ca="1" si="682"/>
        <v>8.2218321040272713E-10</v>
      </c>
      <c r="AG940" s="168" t="b">
        <f>IF(AJ939&lt;=1,0,IF(AB940&lt;='3.5 Fi&amp;Fo'!$F$34,'3.5 Fi&amp;Fo'!$J$34,IF(AB940&lt;='3.5 Fi&amp;Fo'!$F$35,'3.5 Fi&amp;Fo'!$J$35,IF(AB940&lt;='3.5 Fi&amp;Fo'!$F$36,'3.5 Fi&amp;Fo'!$J$36,IF(AB940&lt;='3.5 Fi&amp;Fo'!$F$37,'3.5 Fi&amp;Fo'!$J$37,IF(AB940&lt;='3.5 Fi&amp;Fo'!$F$38,'3.5 Fi&amp;Fo'!$J$38,IF(AB940&lt;='3.5 Fi&amp;Fo'!$F$39,'3.5 Fi&amp;Fo'!$J$39,IF(AB940&lt;='3.5 Fi&amp;Fo'!$F$40,'3.5 Fi&amp;Fo'!$J$40))))))))</f>
        <v>0</v>
      </c>
      <c r="AH940" s="203">
        <f>IF(AJ939&lt;=1,0,AJ939*IF(AB940&lt;='3.5 Fi&amp;Fo'!$F$34,'3.5 Fi&amp;Fo'!$I$34,IF(AB940&lt;='3.5 Fi&amp;Fo'!$F$35,'3.5 Fi&amp;Fo'!$I$35,IF(AB940&lt;='3.5 Fi&amp;Fo'!$F$38,'3.5 Fi&amp;Fo'!$I$38,IF(AB940&lt;='3.5 Fi&amp;Fo'!$F$39,'3.5 Fi&amp;Fo'!$I$39,IF(AB940&lt;='3.5 Fi&amp;Fo'!$F$40,'3.5 Fi&amp;Fo'!$I$40))))))</f>
        <v>0</v>
      </c>
      <c r="AI940" s="203">
        <f t="shared" si="734"/>
        <v>0</v>
      </c>
      <c r="AJ940" s="204">
        <f t="shared" si="684"/>
        <v>2813112.8168354109</v>
      </c>
      <c r="AK940" s="312">
        <f t="shared" ca="1" si="735"/>
        <v>0</v>
      </c>
      <c r="AL940" s="169">
        <f>IF(AB940&lt;='3.5 Fi&amp;Fo'!$J$15,'3.5 Fi&amp;Fo'!$I$15,0)</f>
        <v>0</v>
      </c>
      <c r="AM940" s="169">
        <f t="shared" si="697"/>
        <v>0</v>
      </c>
      <c r="AN940" s="838" t="str">
        <f t="shared" si="702"/>
        <v/>
      </c>
      <c r="AO940" s="844">
        <f t="shared" ca="1" si="686"/>
        <v>0</v>
      </c>
      <c r="AP940" s="839">
        <f ca="1">DB1005</f>
        <v>0</v>
      </c>
      <c r="AQ940" s="844">
        <f t="shared" si="687"/>
        <v>0</v>
      </c>
      <c r="AR940" s="839" t="str">
        <f t="shared" si="703"/>
        <v/>
      </c>
      <c r="AS940" s="839">
        <f t="shared" si="698"/>
        <v>0</v>
      </c>
      <c r="AT940" s="839">
        <f t="shared" si="699"/>
        <v>0</v>
      </c>
      <c r="AU940" s="844">
        <f>'PV-Einspeisung'!AA311*-1</f>
        <v>0</v>
      </c>
      <c r="AV940" s="844">
        <f>'PV-Einspeisung'!AE311*-1</f>
        <v>0</v>
      </c>
      <c r="AW940" s="839"/>
      <c r="AX940" s="839" t="str">
        <f t="shared" si="704"/>
        <v/>
      </c>
      <c r="AY940" s="841" t="str">
        <f t="shared" si="688"/>
        <v/>
      </c>
      <c r="AZ940" s="842" t="str">
        <f t="shared" si="705"/>
        <v/>
      </c>
      <c r="BA940" s="842" t="str">
        <f t="shared" si="706"/>
        <v/>
      </c>
      <c r="BB940" s="842" t="str">
        <f t="shared" si="707"/>
        <v/>
      </c>
      <c r="BC940" s="842" t="str">
        <f t="shared" si="708"/>
        <v/>
      </c>
      <c r="BD940" s="842" t="str">
        <f t="shared" si="709"/>
        <v/>
      </c>
      <c r="BE940" s="842" t="str">
        <f t="shared" si="710"/>
        <v/>
      </c>
      <c r="BF940" s="842" t="str">
        <f t="shared" si="711"/>
        <v/>
      </c>
      <c r="BG940" s="842" t="str">
        <f t="shared" si="712"/>
        <v/>
      </c>
      <c r="BH940" s="858" t="str">
        <f t="shared" si="696"/>
        <v/>
      </c>
      <c r="BI940" s="857" t="str">
        <f t="shared" si="713"/>
        <v/>
      </c>
      <c r="BJ940" s="857" t="str">
        <f t="shared" si="714"/>
        <v/>
      </c>
      <c r="BK940" s="859">
        <f>'PV-Einspeisung'!AB311*-1</f>
        <v>0</v>
      </c>
      <c r="BL940" s="824">
        <f t="shared" ca="1" si="729"/>
        <v>0</v>
      </c>
      <c r="BM940" s="824">
        <f t="shared" ca="1" si="730"/>
        <v>0</v>
      </c>
      <c r="BN940" s="824">
        <f t="shared" ca="1" si="731"/>
        <v>0</v>
      </c>
      <c r="BO940" s="824">
        <f t="shared" ca="1" si="733"/>
        <v>0</v>
      </c>
      <c r="BP940" s="824">
        <f t="shared" ca="1" si="733"/>
        <v>0</v>
      </c>
      <c r="BQ940" s="824">
        <f t="shared" ca="1" si="733"/>
        <v>0</v>
      </c>
      <c r="BR940" s="824">
        <f t="shared" ca="1" si="733"/>
        <v>0</v>
      </c>
      <c r="BS940" s="824">
        <f t="shared" ca="1" si="733"/>
        <v>0</v>
      </c>
      <c r="BT940" s="824">
        <f t="shared" ca="1" si="733"/>
        <v>0</v>
      </c>
      <c r="BU940" s="824">
        <f t="shared" ca="1" si="733"/>
        <v>0</v>
      </c>
      <c r="BV940" s="824">
        <f t="shared" ca="1" si="733"/>
        <v>0</v>
      </c>
      <c r="BW940" s="824">
        <f t="shared" ca="1" si="733"/>
        <v>0</v>
      </c>
      <c r="BX940" s="824">
        <f t="shared" ca="1" si="733"/>
        <v>0</v>
      </c>
      <c r="BY940" s="824">
        <f t="shared" ca="1" si="733"/>
        <v>0</v>
      </c>
      <c r="BZ940" s="824">
        <f t="shared" ca="1" si="733"/>
        <v>0</v>
      </c>
      <c r="CA940" s="824">
        <f t="shared" ca="1" si="733"/>
        <v>0</v>
      </c>
      <c r="CB940" s="824">
        <f t="shared" ca="1" si="733"/>
        <v>0</v>
      </c>
      <c r="CC940" s="824">
        <f t="shared" ca="1" si="733"/>
        <v>0</v>
      </c>
      <c r="CD940" s="824">
        <f t="shared" ca="1" si="733"/>
        <v>0</v>
      </c>
      <c r="CE940" s="824">
        <f t="shared" ca="1" si="732"/>
        <v>0</v>
      </c>
      <c r="CF940" s="824">
        <f t="shared" ca="1" si="732"/>
        <v>0</v>
      </c>
      <c r="CG940" s="824">
        <f t="shared" ca="1" si="732"/>
        <v>0</v>
      </c>
      <c r="CH940" s="824">
        <f t="shared" ca="1" si="732"/>
        <v>0</v>
      </c>
      <c r="CI940" s="824">
        <f t="shared" ca="1" si="732"/>
        <v>0</v>
      </c>
      <c r="CJ940" s="824">
        <f t="shared" ca="1" si="732"/>
        <v>0</v>
      </c>
      <c r="CK940" s="824">
        <f t="shared" ca="1" si="732"/>
        <v>0</v>
      </c>
      <c r="CL940" s="824">
        <f t="shared" ca="1" si="732"/>
        <v>0</v>
      </c>
      <c r="CM940" s="824">
        <f t="shared" ca="1" si="732"/>
        <v>0</v>
      </c>
      <c r="CN940" s="824">
        <f t="shared" ca="1" si="732"/>
        <v>0</v>
      </c>
      <c r="CO940" s="824">
        <f t="shared" ca="1" si="732"/>
        <v>0</v>
      </c>
      <c r="CP940" s="824">
        <f t="shared" ca="1" si="732"/>
        <v>0</v>
      </c>
      <c r="CQ940" s="824">
        <f t="shared" ca="1" si="732"/>
        <v>0</v>
      </c>
      <c r="CR940" s="824">
        <f t="shared" ca="1" si="732"/>
        <v>0</v>
      </c>
      <c r="CS940" s="824">
        <f t="shared" ca="1" si="732"/>
        <v>0</v>
      </c>
      <c r="CT940" s="824">
        <f t="shared" ca="1" si="723"/>
        <v>0</v>
      </c>
      <c r="CU940" s="824">
        <f t="shared" ca="1" si="723"/>
        <v>0</v>
      </c>
      <c r="CV940" s="824">
        <f t="shared" ca="1" si="723"/>
        <v>0</v>
      </c>
      <c r="CW940" s="824">
        <f t="shared" ca="1" si="723"/>
        <v>0</v>
      </c>
      <c r="CX940" s="824">
        <f t="shared" ca="1" si="723"/>
        <v>0</v>
      </c>
      <c r="CY940" s="824">
        <f t="shared" ca="1" si="723"/>
        <v>0</v>
      </c>
      <c r="CZ940" s="824">
        <f t="shared" ca="1" si="723"/>
        <v>0</v>
      </c>
      <c r="DA940" s="824">
        <f t="shared" ca="1" si="723"/>
        <v>0</v>
      </c>
      <c r="DB940" s="824">
        <f t="shared" ca="1" si="723"/>
        <v>0</v>
      </c>
      <c r="DC940" s="824">
        <f t="shared" ca="1" si="723"/>
        <v>0</v>
      </c>
      <c r="DD940" s="824">
        <f t="shared" ca="1" si="723"/>
        <v>0</v>
      </c>
      <c r="DE940" s="824">
        <f t="shared" ca="1" si="723"/>
        <v>0</v>
      </c>
      <c r="DF940" s="824">
        <f t="shared" ca="1" si="723"/>
        <v>0</v>
      </c>
      <c r="DG940" s="824">
        <f t="shared" ca="1" si="726"/>
        <v>0</v>
      </c>
      <c r="DH940" s="824">
        <f t="shared" ca="1" si="726"/>
        <v>0</v>
      </c>
      <c r="DI940" s="824">
        <f t="shared" ca="1" si="726"/>
        <v>0</v>
      </c>
      <c r="DJ940" s="824">
        <f t="shared" ca="1" si="726"/>
        <v>0</v>
      </c>
      <c r="DK940" s="824">
        <f t="shared" ca="1" si="725"/>
        <v>0</v>
      </c>
      <c r="DL940" s="824">
        <f t="shared" ca="1" si="725"/>
        <v>0</v>
      </c>
    </row>
    <row r="941" spans="2:116" ht="12" thickBot="1" x14ac:dyDescent="0.3">
      <c r="B941" s="1673"/>
      <c r="C941" s="1680"/>
      <c r="D941" s="15" t="s">
        <v>51</v>
      </c>
      <c r="E941" s="165"/>
      <c r="F941" s="116">
        <f ca="1">SUBTOTAL(109,'3.5 I&amp;W'!$X$119)</f>
        <v>0</v>
      </c>
      <c r="G941" s="116">
        <f ca="1">SUBTOTAL(109,'3.5 I&amp;W'!$Y$119)</f>
        <v>0</v>
      </c>
      <c r="H941" s="116">
        <f ca="1">SUBTOTAL(109,'3.5 I&amp;W'!$AD$119)</f>
        <v>0</v>
      </c>
      <c r="I941" s="116">
        <f ca="1">SUBTOTAL(109,'3.5 I&amp;W'!$AE$119)</f>
        <v>0</v>
      </c>
      <c r="J941" s="116"/>
      <c r="K941" s="116"/>
      <c r="L941" s="116"/>
      <c r="M941" s="116">
        <f ca="1">SUBTOTAL(109,'3.5 I&amp;W'!$AI$119)</f>
        <v>0</v>
      </c>
      <c r="N941" s="156">
        <f t="shared" ca="1" si="677"/>
        <v>0</v>
      </c>
      <c r="O941" s="116">
        <f ca="1">SUBTOTAL(109,'3.5 I&amp;W'!$S$119)</f>
        <v>0</v>
      </c>
      <c r="P941" s="30">
        <f t="shared" ca="1" si="717"/>
        <v>0</v>
      </c>
      <c r="Q941" s="31">
        <f t="shared" ca="1" si="718"/>
        <v>0</v>
      </c>
      <c r="R941" s="31">
        <f t="shared" ca="1" si="719"/>
        <v>0</v>
      </c>
      <c r="S941" s="31">
        <f t="shared" ca="1" si="720"/>
        <v>0</v>
      </c>
      <c r="T941" s="32">
        <f t="shared" ca="1" si="721"/>
        <v>0</v>
      </c>
      <c r="U941" s="37">
        <f t="shared" ca="1" si="678"/>
        <v>0</v>
      </c>
      <c r="V941" s="40">
        <f t="shared" ca="1" si="727"/>
        <v>0</v>
      </c>
      <c r="W941" s="41">
        <f t="shared" ca="1" si="728"/>
        <v>0</v>
      </c>
      <c r="X941" s="43"/>
      <c r="Y941" s="46"/>
      <c r="Z941" s="126"/>
      <c r="AA941" s="136"/>
      <c r="AB941" s="131">
        <v>41</v>
      </c>
      <c r="AC941" s="168">
        <f ca="1">IF(AF940&lt;=1,0,'3.5 Fi&amp;Fo'!$I$25)</f>
        <v>0</v>
      </c>
      <c r="AD941" s="169">
        <f ca="1">IF(AF940&lt;=1,0,AF940*'3.5 Fi&amp;Fo'!$H$25)</f>
        <v>0</v>
      </c>
      <c r="AE941" s="169">
        <f t="shared" ca="1" si="681"/>
        <v>0</v>
      </c>
      <c r="AF941" s="170">
        <f t="shared" ca="1" si="682"/>
        <v>8.2218321040272713E-10</v>
      </c>
      <c r="AG941" s="168" t="b">
        <f>IF(AJ940&lt;=1,0,IF(AB941&lt;='3.5 Fi&amp;Fo'!$F$34,'3.5 Fi&amp;Fo'!$J$34,IF(AB941&lt;='3.5 Fi&amp;Fo'!$F$35,'3.5 Fi&amp;Fo'!$J$35,IF(AB941&lt;='3.5 Fi&amp;Fo'!$F$36,'3.5 Fi&amp;Fo'!$J$36,IF(AB941&lt;='3.5 Fi&amp;Fo'!$F$37,'3.5 Fi&amp;Fo'!$J$37,IF(AB941&lt;='3.5 Fi&amp;Fo'!$F$38,'3.5 Fi&amp;Fo'!$J$38,IF(AB941&lt;='3.5 Fi&amp;Fo'!$F$39,'3.5 Fi&amp;Fo'!$J$39,IF(AB941&lt;='3.5 Fi&amp;Fo'!$F$40,'3.5 Fi&amp;Fo'!$J$40))))))))</f>
        <v>0</v>
      </c>
      <c r="AH941" s="203">
        <f>IF(AJ940&lt;=1,0,AJ940*IF(AB941&lt;='3.5 Fi&amp;Fo'!$F$34,'3.5 Fi&amp;Fo'!$I$34,IF(AB941&lt;='3.5 Fi&amp;Fo'!$F$35,'3.5 Fi&amp;Fo'!$I$35,IF(AB941&lt;='3.5 Fi&amp;Fo'!$F$38,'3.5 Fi&amp;Fo'!$I$38,IF(AB941&lt;='3.5 Fi&amp;Fo'!$F$39,'3.5 Fi&amp;Fo'!$I$39,IF(AB941&lt;='3.5 Fi&amp;Fo'!$F$40,'3.5 Fi&amp;Fo'!$I$40))))))</f>
        <v>0</v>
      </c>
      <c r="AI941" s="203">
        <f t="shared" si="734"/>
        <v>0</v>
      </c>
      <c r="AJ941" s="204">
        <f t="shared" si="684"/>
        <v>2813112.8168354109</v>
      </c>
      <c r="AK941" s="312">
        <f t="shared" ca="1" si="735"/>
        <v>0</v>
      </c>
      <c r="AL941" s="169">
        <f>IF(AB941&lt;='3.5 Fi&amp;Fo'!$J$15,'3.5 Fi&amp;Fo'!$I$15,0)</f>
        <v>0</v>
      </c>
      <c r="AM941" s="169">
        <f t="shared" si="697"/>
        <v>0</v>
      </c>
      <c r="AN941" s="838" t="str">
        <f t="shared" si="702"/>
        <v/>
      </c>
      <c r="AO941" s="844">
        <f t="shared" ca="1" si="686"/>
        <v>0</v>
      </c>
      <c r="AP941" s="839">
        <f ca="1">DC1005</f>
        <v>0</v>
      </c>
      <c r="AQ941" s="844">
        <f t="shared" si="687"/>
        <v>0</v>
      </c>
      <c r="AR941" s="839" t="str">
        <f t="shared" si="703"/>
        <v/>
      </c>
      <c r="AS941" s="839">
        <f t="shared" si="698"/>
        <v>0</v>
      </c>
      <c r="AT941" s="839">
        <f t="shared" si="699"/>
        <v>0</v>
      </c>
      <c r="AU941" s="844">
        <f>'PV-Einspeisung'!AA312*-1</f>
        <v>0</v>
      </c>
      <c r="AV941" s="844">
        <f>'PV-Einspeisung'!AE312*-1</f>
        <v>0</v>
      </c>
      <c r="AW941" s="839"/>
      <c r="AX941" s="839" t="str">
        <f t="shared" si="704"/>
        <v/>
      </c>
      <c r="AY941" s="841" t="str">
        <f t="shared" si="688"/>
        <v/>
      </c>
      <c r="AZ941" s="842" t="str">
        <f>IF($AN941="","",AZ940*$AZ$201)</f>
        <v/>
      </c>
      <c r="BA941" s="842" t="str">
        <f t="shared" si="706"/>
        <v/>
      </c>
      <c r="BB941" s="842" t="str">
        <f t="shared" si="707"/>
        <v/>
      </c>
      <c r="BC941" s="842" t="str">
        <f t="shared" si="708"/>
        <v/>
      </c>
      <c r="BD941" s="842" t="str">
        <f t="shared" si="709"/>
        <v/>
      </c>
      <c r="BE941" s="842" t="str">
        <f t="shared" si="710"/>
        <v/>
      </c>
      <c r="BF941" s="842" t="str">
        <f t="shared" si="711"/>
        <v/>
      </c>
      <c r="BG941" s="842" t="str">
        <f t="shared" si="712"/>
        <v/>
      </c>
      <c r="BH941" s="858" t="str">
        <f t="shared" si="696"/>
        <v/>
      </c>
      <c r="BI941" s="857" t="str">
        <f t="shared" si="713"/>
        <v/>
      </c>
      <c r="BJ941" s="857" t="str">
        <f t="shared" si="714"/>
        <v/>
      </c>
      <c r="BK941" s="859">
        <f>'PV-Einspeisung'!AB312*-1</f>
        <v>0</v>
      </c>
      <c r="BL941" s="824">
        <f t="shared" ca="1" si="729"/>
        <v>0</v>
      </c>
      <c r="BM941" s="824">
        <f t="shared" ca="1" si="730"/>
        <v>0</v>
      </c>
      <c r="BN941" s="824">
        <f t="shared" ca="1" si="731"/>
        <v>0</v>
      </c>
      <c r="BO941" s="824">
        <f t="shared" ca="1" si="733"/>
        <v>0</v>
      </c>
      <c r="BP941" s="824">
        <f t="shared" ca="1" si="733"/>
        <v>0</v>
      </c>
      <c r="BQ941" s="824">
        <f t="shared" ca="1" si="733"/>
        <v>0</v>
      </c>
      <c r="BR941" s="824">
        <f t="shared" ca="1" si="733"/>
        <v>0</v>
      </c>
      <c r="BS941" s="824">
        <f t="shared" ca="1" si="733"/>
        <v>0</v>
      </c>
      <c r="BT941" s="824">
        <f t="shared" ca="1" si="733"/>
        <v>0</v>
      </c>
      <c r="BU941" s="824">
        <f t="shared" ca="1" si="733"/>
        <v>0</v>
      </c>
      <c r="BV941" s="824">
        <f t="shared" ca="1" si="733"/>
        <v>0</v>
      </c>
      <c r="BW941" s="824">
        <f t="shared" ca="1" si="733"/>
        <v>0</v>
      </c>
      <c r="BX941" s="824">
        <f t="shared" ca="1" si="733"/>
        <v>0</v>
      </c>
      <c r="BY941" s="824">
        <f t="shared" ca="1" si="733"/>
        <v>0</v>
      </c>
      <c r="BZ941" s="824">
        <f t="shared" ca="1" si="733"/>
        <v>0</v>
      </c>
      <c r="CA941" s="824">
        <f t="shared" ca="1" si="733"/>
        <v>0</v>
      </c>
      <c r="CB941" s="824">
        <f t="shared" ca="1" si="733"/>
        <v>0</v>
      </c>
      <c r="CC941" s="824">
        <f t="shared" ca="1" si="733"/>
        <v>0</v>
      </c>
      <c r="CD941" s="824">
        <f t="shared" ca="1" si="733"/>
        <v>0</v>
      </c>
      <c r="CE941" s="824">
        <f t="shared" ca="1" si="732"/>
        <v>0</v>
      </c>
      <c r="CF941" s="824">
        <f t="shared" ca="1" si="732"/>
        <v>0</v>
      </c>
      <c r="CG941" s="824">
        <f t="shared" ca="1" si="732"/>
        <v>0</v>
      </c>
      <c r="CH941" s="824">
        <f t="shared" ca="1" si="732"/>
        <v>0</v>
      </c>
      <c r="CI941" s="824">
        <f t="shared" ca="1" si="732"/>
        <v>0</v>
      </c>
      <c r="CJ941" s="824">
        <f t="shared" ca="1" si="732"/>
        <v>0</v>
      </c>
      <c r="CK941" s="824">
        <f t="shared" ca="1" si="732"/>
        <v>0</v>
      </c>
      <c r="CL941" s="824">
        <f t="shared" ca="1" si="732"/>
        <v>0</v>
      </c>
      <c r="CM941" s="824">
        <f t="shared" ca="1" si="732"/>
        <v>0</v>
      </c>
      <c r="CN941" s="824">
        <f t="shared" ca="1" si="732"/>
        <v>0</v>
      </c>
      <c r="CO941" s="824">
        <f t="shared" ca="1" si="732"/>
        <v>0</v>
      </c>
      <c r="CP941" s="824">
        <f t="shared" ca="1" si="732"/>
        <v>0</v>
      </c>
      <c r="CQ941" s="824">
        <f t="shared" ca="1" si="732"/>
        <v>0</v>
      </c>
      <c r="CR941" s="824">
        <f t="shared" ca="1" si="732"/>
        <v>0</v>
      </c>
      <c r="CS941" s="824">
        <f t="shared" ca="1" si="732"/>
        <v>0</v>
      </c>
      <c r="CT941" s="824">
        <f t="shared" ca="1" si="723"/>
        <v>0</v>
      </c>
      <c r="CU941" s="824">
        <f t="shared" ca="1" si="723"/>
        <v>0</v>
      </c>
      <c r="CV941" s="824">
        <f t="shared" ca="1" si="723"/>
        <v>0</v>
      </c>
      <c r="CW941" s="824">
        <f t="shared" ca="1" si="723"/>
        <v>0</v>
      </c>
      <c r="CX941" s="824">
        <f t="shared" ca="1" si="723"/>
        <v>0</v>
      </c>
      <c r="CY941" s="824">
        <f t="shared" ca="1" si="723"/>
        <v>0</v>
      </c>
      <c r="CZ941" s="824">
        <f t="shared" ca="1" si="723"/>
        <v>0</v>
      </c>
      <c r="DA941" s="824">
        <f t="shared" ca="1" si="723"/>
        <v>0</v>
      </c>
      <c r="DB941" s="824">
        <f t="shared" ca="1" si="723"/>
        <v>0</v>
      </c>
      <c r="DC941" s="824">
        <f t="shared" ca="1" si="723"/>
        <v>0</v>
      </c>
      <c r="DD941" s="824">
        <f t="shared" ca="1" si="723"/>
        <v>0</v>
      </c>
      <c r="DE941" s="824">
        <f t="shared" ca="1" si="723"/>
        <v>0</v>
      </c>
      <c r="DF941" s="824">
        <f t="shared" ca="1" si="723"/>
        <v>0</v>
      </c>
      <c r="DG941" s="824">
        <f t="shared" ca="1" si="726"/>
        <v>0</v>
      </c>
      <c r="DH941" s="824">
        <f t="shared" ca="1" si="726"/>
        <v>0</v>
      </c>
      <c r="DI941" s="824">
        <f t="shared" ca="1" si="726"/>
        <v>0</v>
      </c>
      <c r="DJ941" s="824">
        <f t="shared" ca="1" si="726"/>
        <v>0</v>
      </c>
      <c r="DK941" s="824">
        <f t="shared" ca="1" si="725"/>
        <v>0</v>
      </c>
      <c r="DL941" s="824">
        <f t="shared" ca="1" si="725"/>
        <v>0</v>
      </c>
    </row>
    <row r="942" spans="2:116" ht="12" thickBot="1" x14ac:dyDescent="0.3">
      <c r="B942" s="1673"/>
      <c r="C942" s="1680"/>
      <c r="D942" s="15" t="s">
        <v>51</v>
      </c>
      <c r="E942" s="116"/>
      <c r="F942" s="116">
        <f ca="1">SUBTOTAL(109,'3.5 I&amp;W'!$X$120)</f>
        <v>0</v>
      </c>
      <c r="G942" s="116">
        <f ca="1">SUBTOTAL(109,'3.5 I&amp;W'!$Y$120)</f>
        <v>0</v>
      </c>
      <c r="H942" s="116">
        <f ca="1">SUBTOTAL(109,'3.5 I&amp;W'!$AD$120)</f>
        <v>0</v>
      </c>
      <c r="I942" s="116">
        <f ca="1">SUBTOTAL(109,'3.5 I&amp;W'!$AE$120)</f>
        <v>0</v>
      </c>
      <c r="J942" s="116"/>
      <c r="K942" s="116"/>
      <c r="L942" s="116"/>
      <c r="M942" s="116">
        <f ca="1">SUBTOTAL(109,'3.5 I&amp;W'!$AI$120)</f>
        <v>0</v>
      </c>
      <c r="N942" s="156">
        <f t="shared" ca="1" si="677"/>
        <v>0</v>
      </c>
      <c r="O942" s="116">
        <f ca="1">SUBTOTAL(109,'3.5 I&amp;W'!$S$120)</f>
        <v>0</v>
      </c>
      <c r="P942" s="30">
        <f t="shared" ca="1" si="717"/>
        <v>0</v>
      </c>
      <c r="Q942" s="31">
        <f t="shared" ca="1" si="718"/>
        <v>0</v>
      </c>
      <c r="R942" s="31">
        <f t="shared" ca="1" si="719"/>
        <v>0</v>
      </c>
      <c r="S942" s="31">
        <f t="shared" ca="1" si="720"/>
        <v>0</v>
      </c>
      <c r="T942" s="32">
        <f t="shared" ca="1" si="721"/>
        <v>0</v>
      </c>
      <c r="U942" s="37">
        <f t="shared" ca="1" si="678"/>
        <v>0</v>
      </c>
      <c r="V942" s="40">
        <f t="shared" ca="1" si="727"/>
        <v>0</v>
      </c>
      <c r="W942" s="41">
        <f t="shared" ca="1" si="728"/>
        <v>0</v>
      </c>
      <c r="X942" s="43"/>
      <c r="Y942" s="46"/>
      <c r="Z942" s="126"/>
      <c r="AA942" s="136"/>
      <c r="AB942" s="131">
        <v>42</v>
      </c>
      <c r="AC942" s="168">
        <f ca="1">IF(AF941&lt;=1,0,'3.5 Fi&amp;Fo'!$I$25)</f>
        <v>0</v>
      </c>
      <c r="AD942" s="169">
        <f ca="1">IF(AF941&lt;=1,0,AF941*'3.5 Fi&amp;Fo'!$H$25)</f>
        <v>0</v>
      </c>
      <c r="AE942" s="169">
        <f t="shared" ca="1" si="681"/>
        <v>0</v>
      </c>
      <c r="AF942" s="170">
        <f t="shared" ca="1" si="682"/>
        <v>8.2218321040272713E-10</v>
      </c>
      <c r="AG942" s="168" t="b">
        <f>IF(AJ941&lt;=1,0,IF(AB942&lt;='3.5 Fi&amp;Fo'!$F$34,'3.5 Fi&amp;Fo'!$J$34,IF(AB942&lt;='3.5 Fi&amp;Fo'!$F$35,'3.5 Fi&amp;Fo'!$J$35,IF(AB942&lt;='3.5 Fi&amp;Fo'!$F$36,'3.5 Fi&amp;Fo'!$J$36,IF(AB942&lt;='3.5 Fi&amp;Fo'!$F$37,'3.5 Fi&amp;Fo'!$J$37,IF(AB942&lt;='3.5 Fi&amp;Fo'!$F$38,'3.5 Fi&amp;Fo'!$J$38,IF(AB942&lt;='3.5 Fi&amp;Fo'!$F$39,'3.5 Fi&amp;Fo'!$J$39,IF(AB942&lt;='3.5 Fi&amp;Fo'!$F$40,'3.5 Fi&amp;Fo'!$J$40))))))))</f>
        <v>0</v>
      </c>
      <c r="AH942" s="203">
        <f>IF(AJ941&lt;=1,0,AJ941*IF(AB942&lt;='3.5 Fi&amp;Fo'!$F$34,'3.5 Fi&amp;Fo'!$I$34,IF(AB942&lt;='3.5 Fi&amp;Fo'!$F$35,'3.5 Fi&amp;Fo'!$I$35,IF(AB942&lt;='3.5 Fi&amp;Fo'!$F$38,'3.5 Fi&amp;Fo'!$I$38,IF(AB942&lt;='3.5 Fi&amp;Fo'!$F$39,'3.5 Fi&amp;Fo'!$I$39,IF(AB942&lt;='3.5 Fi&amp;Fo'!$F$40,'3.5 Fi&amp;Fo'!$I$40))))))</f>
        <v>0</v>
      </c>
      <c r="AI942" s="203">
        <f t="shared" si="734"/>
        <v>0</v>
      </c>
      <c r="AJ942" s="204">
        <f t="shared" si="684"/>
        <v>2813112.8168354109</v>
      </c>
      <c r="AK942" s="312">
        <f t="shared" ca="1" si="735"/>
        <v>0</v>
      </c>
      <c r="AL942" s="169">
        <f>IF(AB942&lt;='3.5 Fi&amp;Fo'!$J$15,'3.5 Fi&amp;Fo'!$I$15,0)</f>
        <v>0</v>
      </c>
      <c r="AM942" s="169">
        <f t="shared" si="697"/>
        <v>0</v>
      </c>
      <c r="AN942" s="838" t="str">
        <f t="shared" si="702"/>
        <v/>
      </c>
      <c r="AO942" s="844">
        <f t="shared" ca="1" si="686"/>
        <v>0</v>
      </c>
      <c r="AP942" s="839">
        <f ca="1">DD1005</f>
        <v>0</v>
      </c>
      <c r="AQ942" s="844">
        <f t="shared" si="687"/>
        <v>0</v>
      </c>
      <c r="AR942" s="839" t="str">
        <f t="shared" si="703"/>
        <v/>
      </c>
      <c r="AS942" s="839">
        <f t="shared" si="698"/>
        <v>0</v>
      </c>
      <c r="AT942" s="839">
        <f t="shared" si="699"/>
        <v>0</v>
      </c>
      <c r="AU942" s="844">
        <f>'PV-Einspeisung'!AA313*-1</f>
        <v>0</v>
      </c>
      <c r="AV942" s="844">
        <f>'PV-Einspeisung'!AE313*-1</f>
        <v>0</v>
      </c>
      <c r="AW942" s="839"/>
      <c r="AX942" s="839" t="str">
        <f t="shared" si="704"/>
        <v/>
      </c>
      <c r="AY942" s="841" t="str">
        <f t="shared" si="688"/>
        <v/>
      </c>
      <c r="AZ942" s="842" t="str">
        <f t="shared" ref="AZ942:AZ950" si="736">IF($AN942="","",AZ941*$AZ$201)</f>
        <v/>
      </c>
      <c r="BA942" s="842" t="str">
        <f t="shared" si="706"/>
        <v/>
      </c>
      <c r="BB942" s="842" t="str">
        <f t="shared" si="707"/>
        <v/>
      </c>
      <c r="BC942" s="842" t="str">
        <f t="shared" si="708"/>
        <v/>
      </c>
      <c r="BD942" s="842" t="str">
        <f t="shared" si="709"/>
        <v/>
      </c>
      <c r="BE942" s="842" t="str">
        <f t="shared" si="710"/>
        <v/>
      </c>
      <c r="BF942" s="842" t="str">
        <f t="shared" si="711"/>
        <v/>
      </c>
      <c r="BG942" s="842" t="str">
        <f t="shared" si="712"/>
        <v/>
      </c>
      <c r="BH942" s="858" t="str">
        <f t="shared" si="696"/>
        <v/>
      </c>
      <c r="BI942" s="857" t="str">
        <f t="shared" si="713"/>
        <v/>
      </c>
      <c r="BJ942" s="857" t="str">
        <f t="shared" si="714"/>
        <v/>
      </c>
      <c r="BK942" s="859">
        <f>'PV-Einspeisung'!AB313*-1</f>
        <v>0</v>
      </c>
      <c r="BL942" s="824">
        <f t="shared" ca="1" si="729"/>
        <v>0</v>
      </c>
      <c r="BM942" s="824">
        <f t="shared" ca="1" si="730"/>
        <v>0</v>
      </c>
      <c r="BN942" s="824">
        <f t="shared" ca="1" si="731"/>
        <v>0</v>
      </c>
      <c r="BO942" s="824">
        <f t="shared" ca="1" si="733"/>
        <v>0</v>
      </c>
      <c r="BP942" s="824">
        <f t="shared" ca="1" si="733"/>
        <v>0</v>
      </c>
      <c r="BQ942" s="824">
        <f t="shared" ca="1" si="733"/>
        <v>0</v>
      </c>
      <c r="BR942" s="824">
        <f t="shared" ca="1" si="733"/>
        <v>0</v>
      </c>
      <c r="BS942" s="824">
        <f t="shared" ca="1" si="733"/>
        <v>0</v>
      </c>
      <c r="BT942" s="824">
        <f t="shared" ca="1" si="733"/>
        <v>0</v>
      </c>
      <c r="BU942" s="824">
        <f t="shared" ca="1" si="733"/>
        <v>0</v>
      </c>
      <c r="BV942" s="824">
        <f t="shared" ca="1" si="733"/>
        <v>0</v>
      </c>
      <c r="BW942" s="824">
        <f t="shared" ca="1" si="733"/>
        <v>0</v>
      </c>
      <c r="BX942" s="824">
        <f t="shared" ca="1" si="733"/>
        <v>0</v>
      </c>
      <c r="BY942" s="824">
        <f t="shared" ca="1" si="733"/>
        <v>0</v>
      </c>
      <c r="BZ942" s="824">
        <f t="shared" ca="1" si="733"/>
        <v>0</v>
      </c>
      <c r="CA942" s="824">
        <f t="shared" ca="1" si="733"/>
        <v>0</v>
      </c>
      <c r="CB942" s="824">
        <f t="shared" ca="1" si="733"/>
        <v>0</v>
      </c>
      <c r="CC942" s="824">
        <f t="shared" ca="1" si="733"/>
        <v>0</v>
      </c>
      <c r="CD942" s="824">
        <f t="shared" ca="1" si="733"/>
        <v>0</v>
      </c>
      <c r="CE942" s="824">
        <f t="shared" ca="1" si="732"/>
        <v>0</v>
      </c>
      <c r="CF942" s="824">
        <f t="shared" ca="1" si="732"/>
        <v>0</v>
      </c>
      <c r="CG942" s="824">
        <f t="shared" ca="1" si="732"/>
        <v>0</v>
      </c>
      <c r="CH942" s="824">
        <f t="shared" ca="1" si="732"/>
        <v>0</v>
      </c>
      <c r="CI942" s="824">
        <f t="shared" ca="1" si="732"/>
        <v>0</v>
      </c>
      <c r="CJ942" s="824">
        <f t="shared" ca="1" si="732"/>
        <v>0</v>
      </c>
      <c r="CK942" s="824">
        <f t="shared" ca="1" si="732"/>
        <v>0</v>
      </c>
      <c r="CL942" s="824">
        <f t="shared" ca="1" si="732"/>
        <v>0</v>
      </c>
      <c r="CM942" s="824">
        <f t="shared" ca="1" si="732"/>
        <v>0</v>
      </c>
      <c r="CN942" s="824">
        <f t="shared" ca="1" si="732"/>
        <v>0</v>
      </c>
      <c r="CO942" s="824">
        <f t="shared" ca="1" si="732"/>
        <v>0</v>
      </c>
      <c r="CP942" s="824">
        <f t="shared" ca="1" si="732"/>
        <v>0</v>
      </c>
      <c r="CQ942" s="824">
        <f t="shared" ca="1" si="732"/>
        <v>0</v>
      </c>
      <c r="CR942" s="824">
        <f t="shared" ca="1" si="732"/>
        <v>0</v>
      </c>
      <c r="CS942" s="824">
        <f t="shared" ca="1" si="732"/>
        <v>0</v>
      </c>
      <c r="CT942" s="824">
        <f t="shared" ca="1" si="723"/>
        <v>0</v>
      </c>
      <c r="CU942" s="824">
        <f t="shared" ca="1" si="723"/>
        <v>0</v>
      </c>
      <c r="CV942" s="824">
        <f t="shared" ca="1" si="723"/>
        <v>0</v>
      </c>
      <c r="CW942" s="824">
        <f t="shared" ca="1" si="723"/>
        <v>0</v>
      </c>
      <c r="CX942" s="824">
        <f t="shared" ca="1" si="723"/>
        <v>0</v>
      </c>
      <c r="CY942" s="824">
        <f t="shared" ca="1" si="723"/>
        <v>0</v>
      </c>
      <c r="CZ942" s="824">
        <f t="shared" ca="1" si="723"/>
        <v>0</v>
      </c>
      <c r="DA942" s="824">
        <f t="shared" ca="1" si="723"/>
        <v>0</v>
      </c>
      <c r="DB942" s="824">
        <f t="shared" ca="1" si="723"/>
        <v>0</v>
      </c>
      <c r="DC942" s="824">
        <f t="shared" ca="1" si="723"/>
        <v>0</v>
      </c>
      <c r="DD942" s="824">
        <f t="shared" ca="1" si="723"/>
        <v>0</v>
      </c>
      <c r="DE942" s="824">
        <f t="shared" ca="1" si="723"/>
        <v>0</v>
      </c>
      <c r="DF942" s="824">
        <f t="shared" ca="1" si="723"/>
        <v>0</v>
      </c>
      <c r="DG942" s="824">
        <f t="shared" ca="1" si="726"/>
        <v>0</v>
      </c>
      <c r="DH942" s="824">
        <f t="shared" ca="1" si="726"/>
        <v>0</v>
      </c>
      <c r="DI942" s="824">
        <f t="shared" ca="1" si="726"/>
        <v>0</v>
      </c>
      <c r="DJ942" s="824">
        <f t="shared" ca="1" si="726"/>
        <v>0</v>
      </c>
      <c r="DK942" s="824">
        <f t="shared" ca="1" si="725"/>
        <v>0</v>
      </c>
      <c r="DL942" s="824">
        <f t="shared" ca="1" si="725"/>
        <v>0</v>
      </c>
    </row>
    <row r="943" spans="2:116" ht="12" thickBot="1" x14ac:dyDescent="0.3">
      <c r="B943" s="1673"/>
      <c r="C943" s="1680"/>
      <c r="D943" s="15" t="s">
        <v>44</v>
      </c>
      <c r="E943" s="165"/>
      <c r="F943" s="116">
        <f ca="1">SUBTOTAL(109,'3.5 I&amp;W'!$X$128)</f>
        <v>0</v>
      </c>
      <c r="G943" s="116">
        <f ca="1">SUBTOTAL(109,'3.5 I&amp;W'!$Y$128)</f>
        <v>0</v>
      </c>
      <c r="H943" s="116">
        <f ca="1">SUBTOTAL(109,'3.5 I&amp;W'!$AD$128)</f>
        <v>5.0183241712477095E-2</v>
      </c>
      <c r="I943" s="116">
        <f ca="1">SUBTOTAL(109,'3.5 I&amp;W'!$AE$128)</f>
        <v>1205</v>
      </c>
      <c r="J943" s="116"/>
      <c r="K943" s="116"/>
      <c r="L943" s="116"/>
      <c r="M943" s="116">
        <f ca="1">SUBTOTAL(109,'3.5 I&amp;W'!$AI$128)</f>
        <v>20</v>
      </c>
      <c r="N943" s="156">
        <f t="shared" ca="1" si="677"/>
        <v>1</v>
      </c>
      <c r="O943" s="116">
        <f ca="1">SUBTOTAL(109,'3.5 I&amp;W'!$S$128)</f>
        <v>24012</v>
      </c>
      <c r="P943" s="30">
        <f t="shared" ca="1" si="717"/>
        <v>22197.244123510751</v>
      </c>
      <c r="Q943" s="31">
        <f t="shared" ca="1" si="718"/>
        <v>0</v>
      </c>
      <c r="R943" s="31">
        <f t="shared" ca="1" si="719"/>
        <v>0</v>
      </c>
      <c r="S943" s="31">
        <f t="shared" ca="1" si="720"/>
        <v>0</v>
      </c>
      <c r="T943" s="32">
        <f t="shared" ca="1" si="721"/>
        <v>0</v>
      </c>
      <c r="U943" s="37">
        <f t="shared" ca="1" si="678"/>
        <v>4123.2198372298963</v>
      </c>
      <c r="V943" s="40">
        <f t="shared" ca="1" si="727"/>
        <v>0</v>
      </c>
      <c r="W943" s="41">
        <f t="shared" ca="1" si="728"/>
        <v>38706.771123167651</v>
      </c>
      <c r="X943" s="43"/>
      <c r="Y943" s="46"/>
      <c r="Z943" s="126"/>
      <c r="AA943" s="136"/>
      <c r="AB943" s="131">
        <v>43</v>
      </c>
      <c r="AC943" s="168">
        <f ca="1">IF(AF942&lt;=1,0,'3.5 Fi&amp;Fo'!$I$25)</f>
        <v>0</v>
      </c>
      <c r="AD943" s="169">
        <f ca="1">IF(AF942&lt;=1,0,AF942*'3.5 Fi&amp;Fo'!$H$25)</f>
        <v>0</v>
      </c>
      <c r="AE943" s="169">
        <f t="shared" ca="1" si="681"/>
        <v>0</v>
      </c>
      <c r="AF943" s="170">
        <f t="shared" ca="1" si="682"/>
        <v>8.2218321040272713E-10</v>
      </c>
      <c r="AG943" s="168" t="b">
        <f>IF(AJ942&lt;=1,0,IF(AB943&lt;='3.5 Fi&amp;Fo'!$F$34,'3.5 Fi&amp;Fo'!$J$34,IF(AB943&lt;='3.5 Fi&amp;Fo'!$F$35,'3.5 Fi&amp;Fo'!$J$35,IF(AB943&lt;='3.5 Fi&amp;Fo'!$F$36,'3.5 Fi&amp;Fo'!$J$36,IF(AB943&lt;='3.5 Fi&amp;Fo'!$F$37,'3.5 Fi&amp;Fo'!$J$37,IF(AB943&lt;='3.5 Fi&amp;Fo'!$F$38,'3.5 Fi&amp;Fo'!$J$38,IF(AB943&lt;='3.5 Fi&amp;Fo'!$F$39,'3.5 Fi&amp;Fo'!$J$39,IF(AB943&lt;='3.5 Fi&amp;Fo'!$F$40,'3.5 Fi&amp;Fo'!$J$40))))))))</f>
        <v>0</v>
      </c>
      <c r="AH943" s="203">
        <f>IF(AJ942&lt;=1,0,AJ942*IF(AB943&lt;='3.5 Fi&amp;Fo'!$F$34,'3.5 Fi&amp;Fo'!$I$34,IF(AB943&lt;='3.5 Fi&amp;Fo'!$F$35,'3.5 Fi&amp;Fo'!$I$35,IF(AB943&lt;='3.5 Fi&amp;Fo'!$F$38,'3.5 Fi&amp;Fo'!$I$38,IF(AB943&lt;='3.5 Fi&amp;Fo'!$F$39,'3.5 Fi&amp;Fo'!$I$39,IF(AB943&lt;='3.5 Fi&amp;Fo'!$F$40,'3.5 Fi&amp;Fo'!$I$40))))))</f>
        <v>0</v>
      </c>
      <c r="AI943" s="203">
        <f t="shared" si="734"/>
        <v>0</v>
      </c>
      <c r="AJ943" s="204">
        <f t="shared" si="684"/>
        <v>2813112.8168354109</v>
      </c>
      <c r="AK943" s="312">
        <f t="shared" ca="1" si="735"/>
        <v>0</v>
      </c>
      <c r="AL943" s="169">
        <f>IF(AB943&lt;='3.5 Fi&amp;Fo'!$J$15,'3.5 Fi&amp;Fo'!$I$15,0)</f>
        <v>0</v>
      </c>
      <c r="AM943" s="169">
        <f t="shared" si="697"/>
        <v>0</v>
      </c>
      <c r="AN943" s="838" t="str">
        <f t="shared" si="702"/>
        <v/>
      </c>
      <c r="AO943" s="844">
        <f t="shared" ca="1" si="686"/>
        <v>0</v>
      </c>
      <c r="AP943" s="839">
        <f ca="1">DE1005</f>
        <v>0</v>
      </c>
      <c r="AQ943" s="844">
        <f t="shared" si="687"/>
        <v>0</v>
      </c>
      <c r="AR943" s="839" t="str">
        <f t="shared" si="703"/>
        <v/>
      </c>
      <c r="AS943" s="839">
        <f t="shared" si="698"/>
        <v>0</v>
      </c>
      <c r="AT943" s="839">
        <f t="shared" si="699"/>
        <v>0</v>
      </c>
      <c r="AU943" s="844">
        <f>'PV-Einspeisung'!AA314*-1</f>
        <v>0</v>
      </c>
      <c r="AV943" s="844">
        <f>'PV-Einspeisung'!AE314*-1</f>
        <v>0</v>
      </c>
      <c r="AW943" s="839"/>
      <c r="AX943" s="839" t="str">
        <f t="shared" si="704"/>
        <v/>
      </c>
      <c r="AY943" s="841" t="str">
        <f t="shared" si="688"/>
        <v/>
      </c>
      <c r="AZ943" s="842" t="str">
        <f t="shared" si="736"/>
        <v/>
      </c>
      <c r="BA943" s="842" t="str">
        <f t="shared" si="706"/>
        <v/>
      </c>
      <c r="BB943" s="842" t="str">
        <f t="shared" si="707"/>
        <v/>
      </c>
      <c r="BC943" s="842" t="str">
        <f t="shared" si="708"/>
        <v/>
      </c>
      <c r="BD943" s="842" t="str">
        <f t="shared" si="709"/>
        <v/>
      </c>
      <c r="BE943" s="842" t="str">
        <f t="shared" si="710"/>
        <v/>
      </c>
      <c r="BF943" s="842" t="str">
        <f t="shared" si="711"/>
        <v/>
      </c>
      <c r="BG943" s="842" t="str">
        <f t="shared" si="712"/>
        <v/>
      </c>
      <c r="BH943" s="858" t="str">
        <f t="shared" si="696"/>
        <v/>
      </c>
      <c r="BI943" s="857" t="str">
        <f t="shared" si="713"/>
        <v/>
      </c>
      <c r="BJ943" s="857" t="str">
        <f t="shared" si="714"/>
        <v/>
      </c>
      <c r="BK943" s="859">
        <f>'PV-Einspeisung'!AB314*-1</f>
        <v>0</v>
      </c>
      <c r="BL943" s="824">
        <f t="shared" ca="1" si="729"/>
        <v>20</v>
      </c>
      <c r="BM943" s="824">
        <f t="shared" ca="1" si="730"/>
        <v>1</v>
      </c>
      <c r="BN943" s="824">
        <f t="shared" ca="1" si="731"/>
        <v>24012</v>
      </c>
      <c r="BO943" s="824">
        <f t="shared" ca="1" si="733"/>
        <v>0</v>
      </c>
      <c r="BP943" s="824">
        <f t="shared" ca="1" si="733"/>
        <v>0</v>
      </c>
      <c r="BQ943" s="824">
        <f t="shared" ca="1" si="733"/>
        <v>0</v>
      </c>
      <c r="BR943" s="824">
        <f t="shared" ca="1" si="733"/>
        <v>0</v>
      </c>
      <c r="BS943" s="824">
        <f t="shared" ca="1" si="733"/>
        <v>0</v>
      </c>
      <c r="BT943" s="824">
        <f t="shared" ca="1" si="733"/>
        <v>0</v>
      </c>
      <c r="BU943" s="824">
        <f t="shared" ca="1" si="733"/>
        <v>0</v>
      </c>
      <c r="BV943" s="824">
        <f t="shared" ca="1" si="733"/>
        <v>0</v>
      </c>
      <c r="BW943" s="824">
        <f t="shared" ca="1" si="733"/>
        <v>0</v>
      </c>
      <c r="BX943" s="824">
        <f t="shared" ca="1" si="733"/>
        <v>0</v>
      </c>
      <c r="BY943" s="824">
        <f t="shared" ca="1" si="733"/>
        <v>0</v>
      </c>
      <c r="BZ943" s="824">
        <f t="shared" ca="1" si="733"/>
        <v>0</v>
      </c>
      <c r="CA943" s="824">
        <f t="shared" ca="1" si="733"/>
        <v>0</v>
      </c>
      <c r="CB943" s="824">
        <f t="shared" ca="1" si="733"/>
        <v>0</v>
      </c>
      <c r="CC943" s="824">
        <f t="shared" ca="1" si="733"/>
        <v>0</v>
      </c>
      <c r="CD943" s="824">
        <f t="shared" ca="1" si="733"/>
        <v>0</v>
      </c>
      <c r="CE943" s="824">
        <f t="shared" ca="1" si="732"/>
        <v>0</v>
      </c>
      <c r="CF943" s="824">
        <f t="shared" ca="1" si="732"/>
        <v>0</v>
      </c>
      <c r="CG943" s="824">
        <f t="shared" ca="1" si="732"/>
        <v>0</v>
      </c>
      <c r="CH943" s="824">
        <f t="shared" ca="1" si="732"/>
        <v>32983.937103226628</v>
      </c>
      <c r="CI943" s="824">
        <f t="shared" ca="1" si="732"/>
        <v>0</v>
      </c>
      <c r="CJ943" s="824">
        <f t="shared" ca="1" si="732"/>
        <v>0</v>
      </c>
      <c r="CK943" s="824">
        <f t="shared" ca="1" si="732"/>
        <v>0</v>
      </c>
      <c r="CL943" s="824">
        <f t="shared" ca="1" si="732"/>
        <v>0</v>
      </c>
      <c r="CM943" s="824">
        <f t="shared" ca="1" si="732"/>
        <v>0</v>
      </c>
      <c r="CN943" s="824">
        <f t="shared" ca="1" si="732"/>
        <v>0</v>
      </c>
      <c r="CO943" s="824">
        <f t="shared" ca="1" si="732"/>
        <v>0</v>
      </c>
      <c r="CP943" s="824">
        <f t="shared" ca="1" si="732"/>
        <v>0</v>
      </c>
      <c r="CQ943" s="824">
        <f t="shared" ca="1" si="732"/>
        <v>0</v>
      </c>
      <c r="CR943" s="824">
        <f t="shared" ca="1" si="732"/>
        <v>0</v>
      </c>
      <c r="CS943" s="824">
        <f t="shared" ca="1" si="732"/>
        <v>0</v>
      </c>
      <c r="CT943" s="824">
        <f t="shared" ca="1" si="723"/>
        <v>0</v>
      </c>
      <c r="CU943" s="824">
        <f t="shared" ca="1" si="723"/>
        <v>0</v>
      </c>
      <c r="CV943" s="824">
        <f t="shared" ca="1" si="723"/>
        <v>0</v>
      </c>
      <c r="CW943" s="824">
        <f t="shared" ca="1" si="723"/>
        <v>0</v>
      </c>
      <c r="CX943" s="824">
        <f t="shared" ca="1" si="723"/>
        <v>0</v>
      </c>
      <c r="CY943" s="824">
        <f t="shared" ca="1" si="723"/>
        <v>0</v>
      </c>
      <c r="CZ943" s="824">
        <f t="shared" ca="1" si="723"/>
        <v>0</v>
      </c>
      <c r="DA943" s="824">
        <f t="shared" ca="1" si="723"/>
        <v>0</v>
      </c>
      <c r="DB943" s="824">
        <f t="shared" ca="1" si="723"/>
        <v>0</v>
      </c>
      <c r="DC943" s="824">
        <f t="shared" ca="1" si="723"/>
        <v>0</v>
      </c>
      <c r="DD943" s="824">
        <f t="shared" ca="1" si="723"/>
        <v>0</v>
      </c>
      <c r="DE943" s="824">
        <f t="shared" ca="1" si="723"/>
        <v>0</v>
      </c>
      <c r="DF943" s="824">
        <f t="shared" ca="1" si="723"/>
        <v>0</v>
      </c>
      <c r="DG943" s="824">
        <f t="shared" ca="1" si="726"/>
        <v>0</v>
      </c>
      <c r="DH943" s="824">
        <f t="shared" ca="1" si="726"/>
        <v>0</v>
      </c>
      <c r="DI943" s="824">
        <f t="shared" ca="1" si="726"/>
        <v>0</v>
      </c>
      <c r="DJ943" s="824">
        <f t="shared" ca="1" si="726"/>
        <v>0</v>
      </c>
      <c r="DK943" s="824">
        <f t="shared" ca="1" si="725"/>
        <v>0</v>
      </c>
      <c r="DL943" s="824">
        <f t="shared" ca="1" si="725"/>
        <v>0</v>
      </c>
    </row>
    <row r="944" spans="2:116" ht="12" thickBot="1" x14ac:dyDescent="0.3">
      <c r="B944" s="1673"/>
      <c r="C944" s="1680"/>
      <c r="D944" s="15" t="s">
        <v>44</v>
      </c>
      <c r="E944" s="116"/>
      <c r="F944" s="116">
        <f ca="1">SUBTOTAL(109,'3.5 I&amp;W'!$X$129)</f>
        <v>0</v>
      </c>
      <c r="G944" s="116">
        <f ca="1">SUBTOTAL(109,'3.5 I&amp;W'!$Y$129)</f>
        <v>0</v>
      </c>
      <c r="H944" s="116">
        <f ca="1">SUBTOTAL(109,'3.5 I&amp;W'!$AD$129)</f>
        <v>0</v>
      </c>
      <c r="I944" s="116">
        <f ca="1">SUBTOTAL(109,'3.5 I&amp;W'!$AE$129)</f>
        <v>0</v>
      </c>
      <c r="J944" s="116"/>
      <c r="K944" s="116"/>
      <c r="L944" s="116"/>
      <c r="M944" s="116">
        <f ca="1">SUBTOTAL(109,'3.5 I&amp;W'!$AI$129)</f>
        <v>50</v>
      </c>
      <c r="N944" s="156">
        <f t="shared" ca="1" si="677"/>
        <v>0</v>
      </c>
      <c r="O944" s="116">
        <f ca="1">SUBTOTAL(109,'3.5 I&amp;W'!$S$129)</f>
        <v>82177.2</v>
      </c>
      <c r="P944" s="30">
        <f t="shared" ca="1" si="717"/>
        <v>0</v>
      </c>
      <c r="Q944" s="31">
        <f t="shared" ca="1" si="718"/>
        <v>0</v>
      </c>
      <c r="R944" s="31">
        <f t="shared" ca="1" si="719"/>
        <v>0</v>
      </c>
      <c r="S944" s="31">
        <f t="shared" ca="1" si="720"/>
        <v>0</v>
      </c>
      <c r="T944" s="32">
        <f t="shared" ca="1" si="721"/>
        <v>0</v>
      </c>
      <c r="U944" s="37">
        <f t="shared" ca="1" si="678"/>
        <v>12327.260756564896</v>
      </c>
      <c r="V944" s="40">
        <f t="shared" ca="1" si="727"/>
        <v>0</v>
      </c>
      <c r="W944" s="41">
        <f t="shared" ca="1" si="728"/>
        <v>0</v>
      </c>
      <c r="X944" s="43"/>
      <c r="Y944" s="46"/>
      <c r="Z944" s="126"/>
      <c r="AA944" s="136"/>
      <c r="AB944" s="131">
        <v>44</v>
      </c>
      <c r="AC944" s="168">
        <f ca="1">IF(AF943&lt;=1,0,'3.5 Fi&amp;Fo'!$I$25)</f>
        <v>0</v>
      </c>
      <c r="AD944" s="169">
        <f ca="1">IF(AF943&lt;=1,0,AF943*'3.5 Fi&amp;Fo'!$H$25)</f>
        <v>0</v>
      </c>
      <c r="AE944" s="169">
        <f t="shared" ca="1" si="681"/>
        <v>0</v>
      </c>
      <c r="AF944" s="170">
        <f t="shared" ca="1" si="682"/>
        <v>8.2218321040272713E-10</v>
      </c>
      <c r="AG944" s="168" t="b">
        <f>IF(AJ943&lt;=1,0,IF(AB944&lt;='3.5 Fi&amp;Fo'!$F$34,'3.5 Fi&amp;Fo'!$J$34,IF(AB944&lt;='3.5 Fi&amp;Fo'!$F$35,'3.5 Fi&amp;Fo'!$J$35,IF(AB944&lt;='3.5 Fi&amp;Fo'!$F$36,'3.5 Fi&amp;Fo'!$J$36,IF(AB944&lt;='3.5 Fi&amp;Fo'!$F$37,'3.5 Fi&amp;Fo'!$J$37,IF(AB944&lt;='3.5 Fi&amp;Fo'!$F$38,'3.5 Fi&amp;Fo'!$J$38,IF(AB944&lt;='3.5 Fi&amp;Fo'!$F$39,'3.5 Fi&amp;Fo'!$J$39,IF(AB944&lt;='3.5 Fi&amp;Fo'!$F$40,'3.5 Fi&amp;Fo'!$J$40))))))))</f>
        <v>0</v>
      </c>
      <c r="AH944" s="203">
        <f>IF(AJ943&lt;=1,0,AJ943*IF(AB944&lt;='3.5 Fi&amp;Fo'!$F$34,'3.5 Fi&amp;Fo'!$I$34,IF(AB944&lt;='3.5 Fi&amp;Fo'!$F$35,'3.5 Fi&amp;Fo'!$I$35,IF(AB944&lt;='3.5 Fi&amp;Fo'!$F$38,'3.5 Fi&amp;Fo'!$I$38,IF(AB944&lt;='3.5 Fi&amp;Fo'!$F$39,'3.5 Fi&amp;Fo'!$I$39,IF(AB944&lt;='3.5 Fi&amp;Fo'!$F$40,'3.5 Fi&amp;Fo'!$I$40))))))</f>
        <v>0</v>
      </c>
      <c r="AI944" s="203">
        <f t="shared" si="734"/>
        <v>0</v>
      </c>
      <c r="AJ944" s="204">
        <f t="shared" si="684"/>
        <v>2813112.8168354109</v>
      </c>
      <c r="AK944" s="312">
        <f t="shared" ca="1" si="735"/>
        <v>0</v>
      </c>
      <c r="AL944" s="169">
        <f>IF(AB944&lt;='3.5 Fi&amp;Fo'!$J$15,'3.5 Fi&amp;Fo'!$I$15,0)</f>
        <v>0</v>
      </c>
      <c r="AM944" s="169">
        <f t="shared" si="697"/>
        <v>0</v>
      </c>
      <c r="AN944" s="838" t="str">
        <f t="shared" si="702"/>
        <v/>
      </c>
      <c r="AO944" s="844">
        <f t="shared" ca="1" si="686"/>
        <v>0</v>
      </c>
      <c r="AP944" s="839">
        <f ca="1">DF1005</f>
        <v>0</v>
      </c>
      <c r="AQ944" s="844">
        <f t="shared" si="687"/>
        <v>0</v>
      </c>
      <c r="AR944" s="839" t="str">
        <f t="shared" si="703"/>
        <v/>
      </c>
      <c r="AS944" s="839">
        <f t="shared" si="698"/>
        <v>0</v>
      </c>
      <c r="AT944" s="839">
        <f t="shared" si="699"/>
        <v>0</v>
      </c>
      <c r="AU944" s="844">
        <f>'PV-Einspeisung'!AA315*-1</f>
        <v>0</v>
      </c>
      <c r="AV944" s="844">
        <f>'PV-Einspeisung'!AE315*-1</f>
        <v>0</v>
      </c>
      <c r="AW944" s="839"/>
      <c r="AX944" s="839" t="str">
        <f t="shared" si="704"/>
        <v/>
      </c>
      <c r="AY944" s="841" t="str">
        <f t="shared" si="688"/>
        <v/>
      </c>
      <c r="AZ944" s="842" t="str">
        <f t="shared" si="736"/>
        <v/>
      </c>
      <c r="BA944" s="842" t="str">
        <f t="shared" si="706"/>
        <v/>
      </c>
      <c r="BB944" s="842" t="str">
        <f t="shared" si="707"/>
        <v/>
      </c>
      <c r="BC944" s="842" t="str">
        <f t="shared" si="708"/>
        <v/>
      </c>
      <c r="BD944" s="842" t="str">
        <f t="shared" si="709"/>
        <v/>
      </c>
      <c r="BE944" s="842" t="str">
        <f t="shared" si="710"/>
        <v/>
      </c>
      <c r="BF944" s="842" t="str">
        <f t="shared" si="711"/>
        <v/>
      </c>
      <c r="BG944" s="842" t="str">
        <f t="shared" si="712"/>
        <v/>
      </c>
      <c r="BH944" s="858" t="str">
        <f t="shared" si="696"/>
        <v/>
      </c>
      <c r="BI944" s="857" t="str">
        <f t="shared" si="713"/>
        <v/>
      </c>
      <c r="BJ944" s="857" t="str">
        <f t="shared" si="714"/>
        <v/>
      </c>
      <c r="BK944" s="859">
        <f>'PV-Einspeisung'!AB315*-1</f>
        <v>0</v>
      </c>
      <c r="BL944" s="824">
        <f t="shared" ca="1" si="729"/>
        <v>50</v>
      </c>
      <c r="BM944" s="824">
        <f t="shared" ca="1" si="730"/>
        <v>0</v>
      </c>
      <c r="BN944" s="824">
        <f t="shared" ca="1" si="731"/>
        <v>82177.2</v>
      </c>
      <c r="BO944" s="824">
        <f t="shared" ca="1" si="733"/>
        <v>0</v>
      </c>
      <c r="BP944" s="824">
        <f t="shared" ca="1" si="733"/>
        <v>0</v>
      </c>
      <c r="BQ944" s="824">
        <f t="shared" ca="1" si="733"/>
        <v>0</v>
      </c>
      <c r="BR944" s="824">
        <f t="shared" ca="1" si="733"/>
        <v>0</v>
      </c>
      <c r="BS944" s="824">
        <f t="shared" ca="1" si="733"/>
        <v>0</v>
      </c>
      <c r="BT944" s="824">
        <f t="shared" ca="1" si="733"/>
        <v>0</v>
      </c>
      <c r="BU944" s="824">
        <f t="shared" ca="1" si="733"/>
        <v>0</v>
      </c>
      <c r="BV944" s="824">
        <f t="shared" ca="1" si="733"/>
        <v>0</v>
      </c>
      <c r="BW944" s="824">
        <f t="shared" ca="1" si="733"/>
        <v>0</v>
      </c>
      <c r="BX944" s="824">
        <f t="shared" ca="1" si="733"/>
        <v>0</v>
      </c>
      <c r="BY944" s="824">
        <f t="shared" ca="1" si="733"/>
        <v>0</v>
      </c>
      <c r="BZ944" s="824">
        <f t="shared" ca="1" si="733"/>
        <v>0</v>
      </c>
      <c r="CA944" s="824">
        <f t="shared" ca="1" si="733"/>
        <v>0</v>
      </c>
      <c r="CB944" s="824">
        <f t="shared" ca="1" si="733"/>
        <v>0</v>
      </c>
      <c r="CC944" s="824">
        <f t="shared" ca="1" si="733"/>
        <v>0</v>
      </c>
      <c r="CD944" s="824">
        <f t="shared" ca="1" si="733"/>
        <v>0</v>
      </c>
      <c r="CE944" s="824">
        <f t="shared" ca="1" si="732"/>
        <v>0</v>
      </c>
      <c r="CF944" s="824">
        <f t="shared" ca="1" si="732"/>
        <v>0</v>
      </c>
      <c r="CG944" s="824">
        <f t="shared" ca="1" si="732"/>
        <v>0</v>
      </c>
      <c r="CH944" s="824">
        <f t="shared" ca="1" si="732"/>
        <v>0</v>
      </c>
      <c r="CI944" s="824">
        <f t="shared" ca="1" si="732"/>
        <v>0</v>
      </c>
      <c r="CJ944" s="824">
        <f t="shared" ca="1" si="732"/>
        <v>0</v>
      </c>
      <c r="CK944" s="824">
        <f t="shared" ca="1" si="732"/>
        <v>0</v>
      </c>
      <c r="CL944" s="824">
        <f t="shared" ca="1" si="732"/>
        <v>0</v>
      </c>
      <c r="CM944" s="824">
        <f t="shared" ca="1" si="732"/>
        <v>0</v>
      </c>
      <c r="CN944" s="824">
        <f t="shared" ca="1" si="732"/>
        <v>0</v>
      </c>
      <c r="CO944" s="824">
        <f t="shared" ca="1" si="732"/>
        <v>0</v>
      </c>
      <c r="CP944" s="824">
        <f t="shared" ca="1" si="732"/>
        <v>0</v>
      </c>
      <c r="CQ944" s="824">
        <f t="shared" ca="1" si="732"/>
        <v>0</v>
      </c>
      <c r="CR944" s="824">
        <f t="shared" ca="1" si="732"/>
        <v>0</v>
      </c>
      <c r="CS944" s="824">
        <f t="shared" ca="1" si="732"/>
        <v>0</v>
      </c>
      <c r="CT944" s="824">
        <f t="shared" ca="1" si="723"/>
        <v>0</v>
      </c>
      <c r="CU944" s="824">
        <f t="shared" ca="1" si="723"/>
        <v>0</v>
      </c>
      <c r="CV944" s="824">
        <f t="shared" ca="1" si="723"/>
        <v>0</v>
      </c>
      <c r="CW944" s="824">
        <f t="shared" ca="1" si="723"/>
        <v>0</v>
      </c>
      <c r="CX944" s="824">
        <f t="shared" ca="1" si="723"/>
        <v>0</v>
      </c>
      <c r="CY944" s="824">
        <f t="shared" ca="1" si="723"/>
        <v>0</v>
      </c>
      <c r="CZ944" s="824">
        <f t="shared" ca="1" si="723"/>
        <v>0</v>
      </c>
      <c r="DA944" s="824">
        <f t="shared" ca="1" si="723"/>
        <v>0</v>
      </c>
      <c r="DB944" s="824">
        <f t="shared" ca="1" si="723"/>
        <v>0</v>
      </c>
      <c r="DC944" s="824">
        <f t="shared" ca="1" si="723"/>
        <v>0</v>
      </c>
      <c r="DD944" s="824">
        <f t="shared" ca="1" si="723"/>
        <v>0</v>
      </c>
      <c r="DE944" s="824">
        <f t="shared" ca="1" si="723"/>
        <v>0</v>
      </c>
      <c r="DF944" s="824">
        <f t="shared" ca="1" si="723"/>
        <v>0</v>
      </c>
      <c r="DG944" s="824">
        <f t="shared" ca="1" si="726"/>
        <v>0</v>
      </c>
      <c r="DH944" s="824">
        <f t="shared" ca="1" si="726"/>
        <v>0</v>
      </c>
      <c r="DI944" s="824">
        <f t="shared" ca="1" si="726"/>
        <v>0</v>
      </c>
      <c r="DJ944" s="824">
        <f t="shared" ca="1" si="726"/>
        <v>0</v>
      </c>
      <c r="DK944" s="824">
        <f t="shared" ca="1" si="726"/>
        <v>0</v>
      </c>
      <c r="DL944" s="824">
        <f t="shared" ca="1" si="726"/>
        <v>0</v>
      </c>
    </row>
    <row r="945" spans="2:116" ht="12" thickBot="1" x14ac:dyDescent="0.3">
      <c r="B945" s="1673"/>
      <c r="C945" s="1680"/>
      <c r="D945" s="15" t="s">
        <v>44</v>
      </c>
      <c r="E945" s="165"/>
      <c r="F945" s="116">
        <f ca="1">SUBTOTAL(109,'3.5 I&amp;W'!$X$130)</f>
        <v>0</v>
      </c>
      <c r="G945" s="116">
        <f ca="1">SUBTOTAL(109,'3.5 I&amp;W'!$Y$130)</f>
        <v>0</v>
      </c>
      <c r="H945" s="116">
        <f ca="1">SUBTOTAL(109,'3.5 I&amp;W'!$AD$130)</f>
        <v>9.4557873090481796E-3</v>
      </c>
      <c r="I945" s="116">
        <f ca="1">SUBTOTAL(109,'3.5 I&amp;W'!$AE$130)</f>
        <v>309</v>
      </c>
      <c r="J945" s="116"/>
      <c r="K945" s="116"/>
      <c r="L945" s="116"/>
      <c r="M945" s="116">
        <f ca="1">SUBTOTAL(109,'3.5 I&amp;W'!$AI$130)</f>
        <v>25</v>
      </c>
      <c r="N945" s="156">
        <f t="shared" ca="1" si="677"/>
        <v>1</v>
      </c>
      <c r="O945" s="116">
        <f ca="1">SUBTOTAL(109,'3.5 I&amp;W'!$S$130)</f>
        <v>32678.399999999998</v>
      </c>
      <c r="P945" s="30">
        <f t="shared" ca="1" si="717"/>
        <v>29620.964053326923</v>
      </c>
      <c r="Q945" s="31">
        <f t="shared" ca="1" si="718"/>
        <v>0</v>
      </c>
      <c r="R945" s="31">
        <f t="shared" ca="1" si="719"/>
        <v>0</v>
      </c>
      <c r="S945" s="31">
        <f t="shared" ca="1" si="720"/>
        <v>0</v>
      </c>
      <c r="T945" s="32">
        <f t="shared" ca="1" si="721"/>
        <v>0</v>
      </c>
      <c r="U945" s="37">
        <f t="shared" ca="1" si="678"/>
        <v>14579.704501085898</v>
      </c>
      <c r="V945" s="40">
        <f t="shared" ca="1" si="727"/>
        <v>0</v>
      </c>
      <c r="W945" s="41">
        <f t="shared" ca="1" si="728"/>
        <v>9925.6367444471398</v>
      </c>
      <c r="X945" s="43"/>
      <c r="Y945" s="46"/>
      <c r="Z945" s="126"/>
      <c r="AA945" s="136"/>
      <c r="AB945" s="131">
        <v>45</v>
      </c>
      <c r="AC945" s="168">
        <f ca="1">IF(AF944&lt;=1,0,'3.5 Fi&amp;Fo'!$I$25)</f>
        <v>0</v>
      </c>
      <c r="AD945" s="169">
        <f ca="1">IF(AF944&lt;=1,0,AF944*'3.5 Fi&amp;Fo'!$H$25)</f>
        <v>0</v>
      </c>
      <c r="AE945" s="169">
        <f t="shared" ca="1" si="681"/>
        <v>0</v>
      </c>
      <c r="AF945" s="170">
        <f t="shared" ca="1" si="682"/>
        <v>8.2218321040272713E-10</v>
      </c>
      <c r="AG945" s="168" t="b">
        <f>IF(AJ944&lt;=1,0,IF(AB945&lt;='3.5 Fi&amp;Fo'!$F$34,'3.5 Fi&amp;Fo'!$J$34,IF(AB945&lt;='3.5 Fi&amp;Fo'!$F$35,'3.5 Fi&amp;Fo'!$J$35,IF(AB945&lt;='3.5 Fi&amp;Fo'!$F$36,'3.5 Fi&amp;Fo'!$J$36,IF(AB945&lt;='3.5 Fi&amp;Fo'!$F$37,'3.5 Fi&amp;Fo'!$J$37,IF(AB945&lt;='3.5 Fi&amp;Fo'!$F$38,'3.5 Fi&amp;Fo'!$J$38,IF(AB945&lt;='3.5 Fi&amp;Fo'!$F$39,'3.5 Fi&amp;Fo'!$J$39,IF(AB945&lt;='3.5 Fi&amp;Fo'!$F$40,'3.5 Fi&amp;Fo'!$J$40))))))))</f>
        <v>0</v>
      </c>
      <c r="AH945" s="203">
        <f>IF(AJ944&lt;=1,0,AJ944*IF(AB945&lt;='3.5 Fi&amp;Fo'!$F$34,'3.5 Fi&amp;Fo'!$I$34,IF(AB945&lt;='3.5 Fi&amp;Fo'!$F$35,'3.5 Fi&amp;Fo'!$I$35,IF(AB945&lt;='3.5 Fi&amp;Fo'!$F$38,'3.5 Fi&amp;Fo'!$I$38,IF(AB945&lt;='3.5 Fi&amp;Fo'!$F$39,'3.5 Fi&amp;Fo'!$I$39,IF(AB945&lt;='3.5 Fi&amp;Fo'!$F$40,'3.5 Fi&amp;Fo'!$I$40))))))</f>
        <v>0</v>
      </c>
      <c r="AI945" s="203">
        <f t="shared" si="734"/>
        <v>0</v>
      </c>
      <c r="AJ945" s="204">
        <f t="shared" si="684"/>
        <v>2813112.8168354109</v>
      </c>
      <c r="AK945" s="312">
        <f t="shared" ca="1" si="735"/>
        <v>0</v>
      </c>
      <c r="AL945" s="169">
        <f>IF(AB945&lt;='3.5 Fi&amp;Fo'!$J$15,'3.5 Fi&amp;Fo'!$I$15,0)</f>
        <v>0</v>
      </c>
      <c r="AM945" s="169">
        <f t="shared" si="697"/>
        <v>0</v>
      </c>
      <c r="AN945" s="838" t="str">
        <f t="shared" si="702"/>
        <v/>
      </c>
      <c r="AO945" s="844">
        <f t="shared" ca="1" si="686"/>
        <v>0</v>
      </c>
      <c r="AP945" s="839">
        <f ca="1">DG1005</f>
        <v>0</v>
      </c>
      <c r="AQ945" s="844">
        <f t="shared" si="687"/>
        <v>0</v>
      </c>
      <c r="AR945" s="839" t="str">
        <f t="shared" si="703"/>
        <v/>
      </c>
      <c r="AS945" s="839">
        <f t="shared" si="698"/>
        <v>0</v>
      </c>
      <c r="AT945" s="839">
        <f t="shared" si="699"/>
        <v>0</v>
      </c>
      <c r="AU945" s="844">
        <f>'PV-Einspeisung'!AA316*-1</f>
        <v>0</v>
      </c>
      <c r="AV945" s="844">
        <f>'PV-Einspeisung'!AE316*-1</f>
        <v>0</v>
      </c>
      <c r="AW945" s="839"/>
      <c r="AX945" s="839" t="str">
        <f t="shared" si="704"/>
        <v/>
      </c>
      <c r="AY945" s="841" t="str">
        <f t="shared" si="688"/>
        <v/>
      </c>
      <c r="AZ945" s="842" t="str">
        <f t="shared" si="736"/>
        <v/>
      </c>
      <c r="BA945" s="842" t="str">
        <f t="shared" si="706"/>
        <v/>
      </c>
      <c r="BB945" s="842" t="str">
        <f t="shared" si="707"/>
        <v/>
      </c>
      <c r="BC945" s="842" t="str">
        <f t="shared" si="708"/>
        <v/>
      </c>
      <c r="BD945" s="842" t="str">
        <f t="shared" si="709"/>
        <v/>
      </c>
      <c r="BE945" s="842" t="str">
        <f t="shared" si="710"/>
        <v/>
      </c>
      <c r="BF945" s="842" t="str">
        <f t="shared" si="711"/>
        <v/>
      </c>
      <c r="BG945" s="842" t="str">
        <f t="shared" si="712"/>
        <v/>
      </c>
      <c r="BH945" s="858" t="str">
        <f t="shared" si="696"/>
        <v/>
      </c>
      <c r="BI945" s="857" t="str">
        <f t="shared" si="713"/>
        <v/>
      </c>
      <c r="BJ945" s="857" t="str">
        <f t="shared" si="714"/>
        <v/>
      </c>
      <c r="BK945" s="859">
        <f>'PV-Einspeisung'!AB316*-1</f>
        <v>0</v>
      </c>
      <c r="BL945" s="824">
        <f t="shared" ca="1" si="729"/>
        <v>25</v>
      </c>
      <c r="BM945" s="824">
        <f t="shared" ca="1" si="730"/>
        <v>1</v>
      </c>
      <c r="BN945" s="824">
        <f t="shared" ca="1" si="731"/>
        <v>32678.399999999998</v>
      </c>
      <c r="BO945" s="824">
        <f t="shared" ca="1" si="733"/>
        <v>0</v>
      </c>
      <c r="BP945" s="824">
        <f t="shared" ca="1" si="733"/>
        <v>0</v>
      </c>
      <c r="BQ945" s="824">
        <f t="shared" ca="1" si="733"/>
        <v>0</v>
      </c>
      <c r="BR945" s="824">
        <f t="shared" ca="1" si="733"/>
        <v>0</v>
      </c>
      <c r="BS945" s="824">
        <f t="shared" ca="1" si="733"/>
        <v>0</v>
      </c>
      <c r="BT945" s="824">
        <f t="shared" ca="1" si="733"/>
        <v>0</v>
      </c>
      <c r="BU945" s="824">
        <f t="shared" ca="1" si="733"/>
        <v>0</v>
      </c>
      <c r="BV945" s="824">
        <f t="shared" ca="1" si="733"/>
        <v>0</v>
      </c>
      <c r="BW945" s="824">
        <f t="shared" ca="1" si="733"/>
        <v>0</v>
      </c>
      <c r="BX945" s="824">
        <f t="shared" ca="1" si="733"/>
        <v>0</v>
      </c>
      <c r="BY945" s="824">
        <f t="shared" ca="1" si="733"/>
        <v>0</v>
      </c>
      <c r="BZ945" s="824">
        <f t="shared" ca="1" si="733"/>
        <v>0</v>
      </c>
      <c r="CA945" s="824">
        <f t="shared" ca="1" si="733"/>
        <v>0</v>
      </c>
      <c r="CB945" s="824">
        <f t="shared" ca="1" si="733"/>
        <v>0</v>
      </c>
      <c r="CC945" s="824">
        <f t="shared" ca="1" si="733"/>
        <v>0</v>
      </c>
      <c r="CD945" s="824">
        <f t="shared" ca="1" si="733"/>
        <v>0</v>
      </c>
      <c r="CE945" s="824">
        <f t="shared" ca="1" si="732"/>
        <v>0</v>
      </c>
      <c r="CF945" s="824">
        <f t="shared" ca="1" si="732"/>
        <v>0</v>
      </c>
      <c r="CG945" s="824">
        <f t="shared" ca="1" si="732"/>
        <v>0</v>
      </c>
      <c r="CH945" s="824">
        <f t="shared" ca="1" si="732"/>
        <v>0</v>
      </c>
      <c r="CI945" s="824">
        <f t="shared" ca="1" si="732"/>
        <v>0</v>
      </c>
      <c r="CJ945" s="824">
        <f t="shared" ca="1" si="732"/>
        <v>0</v>
      </c>
      <c r="CK945" s="824">
        <f t="shared" ca="1" si="732"/>
        <v>0</v>
      </c>
      <c r="CL945" s="824">
        <f t="shared" ca="1" si="732"/>
        <v>0</v>
      </c>
      <c r="CM945" s="824">
        <f t="shared" ca="1" si="732"/>
        <v>48596.331187712422</v>
      </c>
      <c r="CN945" s="824">
        <f t="shared" ca="1" si="732"/>
        <v>0</v>
      </c>
      <c r="CO945" s="824">
        <f t="shared" ca="1" si="732"/>
        <v>0</v>
      </c>
      <c r="CP945" s="824">
        <f t="shared" ca="1" si="732"/>
        <v>0</v>
      </c>
      <c r="CQ945" s="824">
        <f t="shared" ca="1" si="732"/>
        <v>0</v>
      </c>
      <c r="CR945" s="824">
        <f t="shared" ca="1" si="732"/>
        <v>0</v>
      </c>
      <c r="CS945" s="824">
        <f t="shared" ca="1" si="732"/>
        <v>0</v>
      </c>
      <c r="CT945" s="824">
        <f t="shared" ca="1" si="723"/>
        <v>0</v>
      </c>
      <c r="CU945" s="824">
        <f t="shared" ca="1" si="723"/>
        <v>0</v>
      </c>
      <c r="CV945" s="824">
        <f t="shared" ca="1" si="723"/>
        <v>0</v>
      </c>
      <c r="CW945" s="824">
        <f t="shared" ca="1" si="723"/>
        <v>0</v>
      </c>
      <c r="CX945" s="824">
        <f t="shared" ca="1" si="723"/>
        <v>0</v>
      </c>
      <c r="CY945" s="824">
        <f t="shared" ca="1" si="723"/>
        <v>0</v>
      </c>
      <c r="CZ945" s="824">
        <f t="shared" ca="1" si="723"/>
        <v>0</v>
      </c>
      <c r="DA945" s="824">
        <f t="shared" ca="1" si="723"/>
        <v>0</v>
      </c>
      <c r="DB945" s="824">
        <f t="shared" ca="1" si="723"/>
        <v>0</v>
      </c>
      <c r="DC945" s="824">
        <f t="shared" ca="1" si="723"/>
        <v>0</v>
      </c>
      <c r="DD945" s="824">
        <f t="shared" ca="1" si="723"/>
        <v>0</v>
      </c>
      <c r="DE945" s="824">
        <f t="shared" ca="1" si="723"/>
        <v>0</v>
      </c>
      <c r="DF945" s="824">
        <f t="shared" ca="1" si="723"/>
        <v>0</v>
      </c>
      <c r="DG945" s="824">
        <f t="shared" ca="1" si="726"/>
        <v>0</v>
      </c>
      <c r="DH945" s="824">
        <f t="shared" ca="1" si="726"/>
        <v>0</v>
      </c>
      <c r="DI945" s="824">
        <f t="shared" ca="1" si="726"/>
        <v>0</v>
      </c>
      <c r="DJ945" s="824">
        <f t="shared" ca="1" si="726"/>
        <v>0</v>
      </c>
      <c r="DK945" s="824">
        <f t="shared" ca="1" si="726"/>
        <v>0</v>
      </c>
      <c r="DL945" s="824">
        <f t="shared" ca="1" si="726"/>
        <v>0</v>
      </c>
    </row>
    <row r="946" spans="2:116" ht="12" thickBot="1" x14ac:dyDescent="0.3">
      <c r="B946" s="1673"/>
      <c r="C946" s="1680"/>
      <c r="D946" s="15" t="s">
        <v>44</v>
      </c>
      <c r="E946" s="116"/>
      <c r="F946" s="116">
        <f ca="1">SUBTOTAL(109,'3.5 I&amp;W'!$X$131)</f>
        <v>0</v>
      </c>
      <c r="G946" s="116">
        <f ca="1">SUBTOTAL(109,'3.5 I&amp;W'!$Y$131)</f>
        <v>0</v>
      </c>
      <c r="H946" s="116">
        <f ca="1">SUBTOTAL(109,'3.5 I&amp;W'!$AD$131)</f>
        <v>0</v>
      </c>
      <c r="I946" s="116">
        <f ca="1">SUBTOTAL(109,'3.5 I&amp;W'!$AE$131)</f>
        <v>0</v>
      </c>
      <c r="J946" s="116"/>
      <c r="K946" s="116"/>
      <c r="L946" s="116"/>
      <c r="M946" s="116">
        <f ca="1">SUBTOTAL(109,'3.5 I&amp;W'!$AI$131)</f>
        <v>50</v>
      </c>
      <c r="N946" s="156">
        <f t="shared" ca="1" si="677"/>
        <v>0</v>
      </c>
      <c r="O946" s="116">
        <f ca="1">SUBTOTAL(109,'3.5 I&amp;W'!$S$131)</f>
        <v>15134.4</v>
      </c>
      <c r="P946" s="30">
        <f t="shared" ca="1" si="717"/>
        <v>0</v>
      </c>
      <c r="Q946" s="31">
        <f t="shared" ca="1" si="718"/>
        <v>0</v>
      </c>
      <c r="R946" s="31">
        <f t="shared" ca="1" si="719"/>
        <v>0</v>
      </c>
      <c r="S946" s="31">
        <f t="shared" ca="1" si="720"/>
        <v>0</v>
      </c>
      <c r="T946" s="32">
        <f t="shared" ca="1" si="721"/>
        <v>0</v>
      </c>
      <c r="U946" s="37">
        <f t="shared" ca="1" si="678"/>
        <v>2270.2853734874848</v>
      </c>
      <c r="V946" s="40">
        <f t="shared" ca="1" si="727"/>
        <v>0</v>
      </c>
      <c r="W946" s="41">
        <f t="shared" ca="1" si="728"/>
        <v>0</v>
      </c>
      <c r="X946" s="43"/>
      <c r="Y946" s="46"/>
      <c r="Z946" s="126"/>
      <c r="AA946" s="136"/>
      <c r="AB946" s="131">
        <v>46</v>
      </c>
      <c r="AC946" s="168">
        <f ca="1">IF(AF945&lt;=1,0,'3.5 Fi&amp;Fo'!$I$25)</f>
        <v>0</v>
      </c>
      <c r="AD946" s="169">
        <f ca="1">IF(AF945&lt;=1,0,AF945*'3.5 Fi&amp;Fo'!$H$25)</f>
        <v>0</v>
      </c>
      <c r="AE946" s="169">
        <f t="shared" ca="1" si="681"/>
        <v>0</v>
      </c>
      <c r="AF946" s="170">
        <f t="shared" ca="1" si="682"/>
        <v>8.2218321040272713E-10</v>
      </c>
      <c r="AG946" s="168" t="b">
        <f>IF(AJ945&lt;=1,0,IF(AB946&lt;='3.5 Fi&amp;Fo'!$F$34,'3.5 Fi&amp;Fo'!$J$34,IF(AB946&lt;='3.5 Fi&amp;Fo'!$F$35,'3.5 Fi&amp;Fo'!$J$35,IF(AB946&lt;='3.5 Fi&amp;Fo'!$F$36,'3.5 Fi&amp;Fo'!$J$36,IF(AB946&lt;='3.5 Fi&amp;Fo'!$F$37,'3.5 Fi&amp;Fo'!$J$37,IF(AB946&lt;='3.5 Fi&amp;Fo'!$F$38,'3.5 Fi&amp;Fo'!$J$38,IF(AB946&lt;='3.5 Fi&amp;Fo'!$F$39,'3.5 Fi&amp;Fo'!$J$39,IF(AB946&lt;='3.5 Fi&amp;Fo'!$F$40,'3.5 Fi&amp;Fo'!$J$40))))))))</f>
        <v>0</v>
      </c>
      <c r="AH946" s="203">
        <f>IF(AJ945&lt;=1,0,AJ945*IF(AB946&lt;='3.5 Fi&amp;Fo'!$F$34,'3.5 Fi&amp;Fo'!$I$34,IF(AB946&lt;='3.5 Fi&amp;Fo'!$F$35,'3.5 Fi&amp;Fo'!$I$35,IF(AB946&lt;='3.5 Fi&amp;Fo'!$F$38,'3.5 Fi&amp;Fo'!$I$38,IF(AB946&lt;='3.5 Fi&amp;Fo'!$F$39,'3.5 Fi&amp;Fo'!$I$39,IF(AB946&lt;='3.5 Fi&amp;Fo'!$F$40,'3.5 Fi&amp;Fo'!$I$40))))))</f>
        <v>0</v>
      </c>
      <c r="AI946" s="203">
        <f t="shared" si="734"/>
        <v>0</v>
      </c>
      <c r="AJ946" s="204">
        <f t="shared" si="684"/>
        <v>2813112.8168354109</v>
      </c>
      <c r="AK946" s="312">
        <f t="shared" ca="1" si="735"/>
        <v>0</v>
      </c>
      <c r="AL946" s="169">
        <f>IF(AB946&lt;='3.5 Fi&amp;Fo'!$J$15,'3.5 Fi&amp;Fo'!$I$15,0)</f>
        <v>0</v>
      </c>
      <c r="AM946" s="169">
        <f t="shared" si="697"/>
        <v>0</v>
      </c>
      <c r="AN946" s="838" t="str">
        <f t="shared" si="702"/>
        <v/>
      </c>
      <c r="AO946" s="844">
        <f t="shared" ca="1" si="686"/>
        <v>0</v>
      </c>
      <c r="AP946" s="839">
        <f ca="1">DH1005</f>
        <v>0</v>
      </c>
      <c r="AQ946" s="844">
        <f t="shared" si="687"/>
        <v>0</v>
      </c>
      <c r="AR946" s="839" t="str">
        <f t="shared" si="703"/>
        <v/>
      </c>
      <c r="AS946" s="839">
        <f t="shared" si="698"/>
        <v>0</v>
      </c>
      <c r="AT946" s="839">
        <f t="shared" si="699"/>
        <v>0</v>
      </c>
      <c r="AU946" s="844">
        <f>'PV-Einspeisung'!AA317*-1</f>
        <v>0</v>
      </c>
      <c r="AV946" s="844">
        <f>'PV-Einspeisung'!AE317*-1</f>
        <v>0</v>
      </c>
      <c r="AW946" s="839"/>
      <c r="AX946" s="839" t="str">
        <f t="shared" si="704"/>
        <v/>
      </c>
      <c r="AY946" s="841" t="str">
        <f t="shared" si="688"/>
        <v/>
      </c>
      <c r="AZ946" s="842" t="str">
        <f t="shared" si="736"/>
        <v/>
      </c>
      <c r="BA946" s="842" t="str">
        <f t="shared" si="706"/>
        <v/>
      </c>
      <c r="BB946" s="842" t="str">
        <f t="shared" si="707"/>
        <v/>
      </c>
      <c r="BC946" s="842" t="str">
        <f t="shared" si="708"/>
        <v/>
      </c>
      <c r="BD946" s="842" t="str">
        <f t="shared" si="709"/>
        <v/>
      </c>
      <c r="BE946" s="842" t="str">
        <f t="shared" si="710"/>
        <v/>
      </c>
      <c r="BF946" s="842" t="str">
        <f t="shared" si="711"/>
        <v/>
      </c>
      <c r="BG946" s="842" t="str">
        <f t="shared" si="712"/>
        <v/>
      </c>
      <c r="BH946" s="858" t="str">
        <f t="shared" si="696"/>
        <v/>
      </c>
      <c r="BI946" s="857" t="str">
        <f t="shared" si="713"/>
        <v/>
      </c>
      <c r="BJ946" s="857" t="str">
        <f t="shared" si="714"/>
        <v/>
      </c>
      <c r="BK946" s="859">
        <f>'PV-Einspeisung'!AB317*-1</f>
        <v>0</v>
      </c>
      <c r="BL946" s="824">
        <f t="shared" ca="1" si="729"/>
        <v>50</v>
      </c>
      <c r="BM946" s="824">
        <f t="shared" ca="1" si="730"/>
        <v>0</v>
      </c>
      <c r="BN946" s="824">
        <f t="shared" ca="1" si="731"/>
        <v>15134.4</v>
      </c>
      <c r="BO946" s="824">
        <f t="shared" ca="1" si="733"/>
        <v>0</v>
      </c>
      <c r="BP946" s="824">
        <f t="shared" ca="1" si="733"/>
        <v>0</v>
      </c>
      <c r="BQ946" s="824">
        <f t="shared" ca="1" si="733"/>
        <v>0</v>
      </c>
      <c r="BR946" s="824">
        <f t="shared" ca="1" si="733"/>
        <v>0</v>
      </c>
      <c r="BS946" s="824">
        <f t="shared" ca="1" si="733"/>
        <v>0</v>
      </c>
      <c r="BT946" s="824">
        <f t="shared" ca="1" si="733"/>
        <v>0</v>
      </c>
      <c r="BU946" s="824">
        <f t="shared" ca="1" si="733"/>
        <v>0</v>
      </c>
      <c r="BV946" s="824">
        <f t="shared" ca="1" si="733"/>
        <v>0</v>
      </c>
      <c r="BW946" s="824">
        <f t="shared" ca="1" si="733"/>
        <v>0</v>
      </c>
      <c r="BX946" s="824">
        <f t="shared" ca="1" si="733"/>
        <v>0</v>
      </c>
      <c r="BY946" s="824">
        <f t="shared" ca="1" si="733"/>
        <v>0</v>
      </c>
      <c r="BZ946" s="824">
        <f t="shared" ca="1" si="733"/>
        <v>0</v>
      </c>
      <c r="CA946" s="824">
        <f t="shared" ca="1" si="733"/>
        <v>0</v>
      </c>
      <c r="CB946" s="824">
        <f t="shared" ca="1" si="733"/>
        <v>0</v>
      </c>
      <c r="CC946" s="824">
        <f t="shared" ca="1" si="733"/>
        <v>0</v>
      </c>
      <c r="CD946" s="824">
        <f t="shared" ref="CD946:CS961" ca="1" si="737">IF(OR(IF($BL946*1&lt;$BL$196,$BL946*1=CD$198,FALSE),IF($BL946*2&lt;$BL$196,$BL946*2=CD$198,FALSE),IF($BL946*3&lt;$BL$196,$BL946*3=CD$198,FALSE),IF($BL946*4&lt;$BL$196,$BL946*4=CD$198,FALSE),IF($BL946*5&lt;$BL$196,$BL946*5=CD$198,FALSE)),$BN946*$BM$196^CD$198,0)</f>
        <v>0</v>
      </c>
      <c r="CE946" s="824">
        <f t="shared" ca="1" si="737"/>
        <v>0</v>
      </c>
      <c r="CF946" s="824">
        <f t="shared" ca="1" si="737"/>
        <v>0</v>
      </c>
      <c r="CG946" s="824">
        <f t="shared" ca="1" si="737"/>
        <v>0</v>
      </c>
      <c r="CH946" s="824">
        <f t="shared" ca="1" si="737"/>
        <v>0</v>
      </c>
      <c r="CI946" s="824">
        <f t="shared" ca="1" si="737"/>
        <v>0</v>
      </c>
      <c r="CJ946" s="824">
        <f t="shared" ca="1" si="737"/>
        <v>0</v>
      </c>
      <c r="CK946" s="824">
        <f t="shared" ca="1" si="737"/>
        <v>0</v>
      </c>
      <c r="CL946" s="824">
        <f t="shared" ca="1" si="737"/>
        <v>0</v>
      </c>
      <c r="CM946" s="824">
        <f t="shared" ca="1" si="737"/>
        <v>0</v>
      </c>
      <c r="CN946" s="824">
        <f t="shared" ca="1" si="737"/>
        <v>0</v>
      </c>
      <c r="CO946" s="824">
        <f t="shared" ca="1" si="737"/>
        <v>0</v>
      </c>
      <c r="CP946" s="824">
        <f t="shared" ca="1" si="737"/>
        <v>0</v>
      </c>
      <c r="CQ946" s="824">
        <f t="shared" ca="1" si="737"/>
        <v>0</v>
      </c>
      <c r="CR946" s="824">
        <f t="shared" ca="1" si="737"/>
        <v>0</v>
      </c>
      <c r="CS946" s="824">
        <f t="shared" ca="1" si="737"/>
        <v>0</v>
      </c>
      <c r="CT946" s="824">
        <f t="shared" ca="1" si="723"/>
        <v>0</v>
      </c>
      <c r="CU946" s="824">
        <f t="shared" ca="1" si="723"/>
        <v>0</v>
      </c>
      <c r="CV946" s="824">
        <f t="shared" ca="1" si="723"/>
        <v>0</v>
      </c>
      <c r="CW946" s="824">
        <f t="shared" ca="1" si="723"/>
        <v>0</v>
      </c>
      <c r="CX946" s="824">
        <f t="shared" ca="1" si="723"/>
        <v>0</v>
      </c>
      <c r="CY946" s="824">
        <f t="shared" ca="1" si="723"/>
        <v>0</v>
      </c>
      <c r="CZ946" s="824">
        <f t="shared" ca="1" si="723"/>
        <v>0</v>
      </c>
      <c r="DA946" s="824">
        <f t="shared" ca="1" si="723"/>
        <v>0</v>
      </c>
      <c r="DB946" s="824">
        <f t="shared" ca="1" si="723"/>
        <v>0</v>
      </c>
      <c r="DC946" s="824">
        <f t="shared" ca="1" si="723"/>
        <v>0</v>
      </c>
      <c r="DD946" s="824">
        <f t="shared" ca="1" si="723"/>
        <v>0</v>
      </c>
      <c r="DE946" s="824">
        <f t="shared" ca="1" si="723"/>
        <v>0</v>
      </c>
      <c r="DF946" s="824">
        <f t="shared" ca="1" si="723"/>
        <v>0</v>
      </c>
      <c r="DG946" s="824">
        <f t="shared" ca="1" si="726"/>
        <v>0</v>
      </c>
      <c r="DH946" s="824">
        <f t="shared" ca="1" si="726"/>
        <v>0</v>
      </c>
      <c r="DI946" s="824">
        <f t="shared" ca="1" si="726"/>
        <v>0</v>
      </c>
      <c r="DJ946" s="824">
        <f t="shared" ca="1" si="726"/>
        <v>0</v>
      </c>
      <c r="DK946" s="824">
        <f t="shared" ca="1" si="726"/>
        <v>0</v>
      </c>
      <c r="DL946" s="824">
        <f t="shared" ca="1" si="726"/>
        <v>0</v>
      </c>
    </row>
    <row r="947" spans="2:116" ht="12" thickBot="1" x14ac:dyDescent="0.3">
      <c r="B947" s="1673"/>
      <c r="C947" s="1680"/>
      <c r="D947" s="15" t="s">
        <v>44</v>
      </c>
      <c r="E947" s="165"/>
      <c r="F947" s="116">
        <f ca="1">SUBTOTAL(109,'3.5 I&amp;W'!$X$132)</f>
        <v>0</v>
      </c>
      <c r="G947" s="116">
        <f ca="1">SUBTOTAL(109,'3.5 I&amp;W'!$Y$132)</f>
        <v>0</v>
      </c>
      <c r="H947" s="116">
        <f ca="1">SUBTOTAL(109,'3.5 I&amp;W'!$AD$132)</f>
        <v>0</v>
      </c>
      <c r="I947" s="116">
        <f ca="1">SUBTOTAL(109,'3.5 I&amp;W'!$AE$132)</f>
        <v>0</v>
      </c>
      <c r="J947" s="116"/>
      <c r="K947" s="116"/>
      <c r="L947" s="116"/>
      <c r="M947" s="116">
        <f ca="1">SUBTOTAL(109,'3.5 I&amp;W'!$AI$132)</f>
        <v>0</v>
      </c>
      <c r="N947" s="156">
        <f t="shared" ca="1" si="677"/>
        <v>0</v>
      </c>
      <c r="O947" s="116">
        <f ca="1">SUBTOTAL(109,'3.5 I&amp;W'!$S$132)</f>
        <v>0</v>
      </c>
      <c r="P947" s="30">
        <f t="shared" ca="1" si="717"/>
        <v>0</v>
      </c>
      <c r="Q947" s="31">
        <f t="shared" ca="1" si="718"/>
        <v>0</v>
      </c>
      <c r="R947" s="31">
        <f t="shared" ca="1" si="719"/>
        <v>0</v>
      </c>
      <c r="S947" s="31">
        <f t="shared" ca="1" si="720"/>
        <v>0</v>
      </c>
      <c r="T947" s="32">
        <f t="shared" ca="1" si="721"/>
        <v>0</v>
      </c>
      <c r="U947" s="37">
        <f t="shared" ca="1" si="678"/>
        <v>0</v>
      </c>
      <c r="V947" s="40">
        <f t="shared" ca="1" si="727"/>
        <v>0</v>
      </c>
      <c r="W947" s="41">
        <f t="shared" ca="1" si="728"/>
        <v>0</v>
      </c>
      <c r="X947" s="43"/>
      <c r="Y947" s="46"/>
      <c r="Z947" s="126"/>
      <c r="AA947" s="136"/>
      <c r="AB947" s="131">
        <v>47</v>
      </c>
      <c r="AC947" s="168">
        <f ca="1">IF(AF946&lt;=1,0,'3.5 Fi&amp;Fo'!$I$25)</f>
        <v>0</v>
      </c>
      <c r="AD947" s="169">
        <f ca="1">IF(AF946&lt;=1,0,AF946*'3.5 Fi&amp;Fo'!$H$25)</f>
        <v>0</v>
      </c>
      <c r="AE947" s="169">
        <f t="shared" ca="1" si="681"/>
        <v>0</v>
      </c>
      <c r="AF947" s="170">
        <f t="shared" ca="1" si="682"/>
        <v>8.2218321040272713E-10</v>
      </c>
      <c r="AG947" s="168" t="b">
        <f>IF(AJ946&lt;=1,0,IF(AB947&lt;='3.5 Fi&amp;Fo'!$F$34,'3.5 Fi&amp;Fo'!$J$34,IF(AB947&lt;='3.5 Fi&amp;Fo'!$F$35,'3.5 Fi&amp;Fo'!$J$35,IF(AB947&lt;='3.5 Fi&amp;Fo'!$F$36,'3.5 Fi&amp;Fo'!$J$36,IF(AB947&lt;='3.5 Fi&amp;Fo'!$F$37,'3.5 Fi&amp;Fo'!$J$37,IF(AB947&lt;='3.5 Fi&amp;Fo'!$F$38,'3.5 Fi&amp;Fo'!$J$38,IF(AB947&lt;='3.5 Fi&amp;Fo'!$F$39,'3.5 Fi&amp;Fo'!$J$39,IF(AB947&lt;='3.5 Fi&amp;Fo'!$F$40,'3.5 Fi&amp;Fo'!$J$40))))))))</f>
        <v>0</v>
      </c>
      <c r="AH947" s="203">
        <f>IF(AJ946&lt;=1,0,AJ946*IF(AB947&lt;='3.5 Fi&amp;Fo'!$F$34,'3.5 Fi&amp;Fo'!$I$34,IF(AB947&lt;='3.5 Fi&amp;Fo'!$F$35,'3.5 Fi&amp;Fo'!$I$35,IF(AB947&lt;='3.5 Fi&amp;Fo'!$F$38,'3.5 Fi&amp;Fo'!$I$38,IF(AB947&lt;='3.5 Fi&amp;Fo'!$F$39,'3.5 Fi&amp;Fo'!$I$39,IF(AB947&lt;='3.5 Fi&amp;Fo'!$F$40,'3.5 Fi&amp;Fo'!$I$40))))))</f>
        <v>0</v>
      </c>
      <c r="AI947" s="203">
        <f t="shared" si="734"/>
        <v>0</v>
      </c>
      <c r="AJ947" s="204">
        <f t="shared" si="684"/>
        <v>2813112.8168354109</v>
      </c>
      <c r="AK947" s="312">
        <f t="shared" ca="1" si="735"/>
        <v>0</v>
      </c>
      <c r="AL947" s="169">
        <f>IF(AB947&lt;='3.5 Fi&amp;Fo'!$J$15,'3.5 Fi&amp;Fo'!$I$15,0)</f>
        <v>0</v>
      </c>
      <c r="AM947" s="169">
        <f t="shared" si="697"/>
        <v>0</v>
      </c>
      <c r="AN947" s="838" t="str">
        <f t="shared" si="702"/>
        <v/>
      </c>
      <c r="AO947" s="844">
        <f t="shared" ca="1" si="686"/>
        <v>0</v>
      </c>
      <c r="AP947" s="839">
        <f ca="1">DI1005</f>
        <v>0</v>
      </c>
      <c r="AQ947" s="844">
        <f t="shared" si="687"/>
        <v>0</v>
      </c>
      <c r="AR947" s="839" t="str">
        <f t="shared" si="703"/>
        <v/>
      </c>
      <c r="AS947" s="839">
        <f t="shared" si="698"/>
        <v>0</v>
      </c>
      <c r="AT947" s="839">
        <f t="shared" si="699"/>
        <v>0</v>
      </c>
      <c r="AU947" s="844">
        <f>'PV-Einspeisung'!AA318*-1</f>
        <v>0</v>
      </c>
      <c r="AV947" s="844">
        <f>'PV-Einspeisung'!AE318*-1</f>
        <v>0</v>
      </c>
      <c r="AW947" s="839"/>
      <c r="AX947" s="839" t="str">
        <f t="shared" si="704"/>
        <v/>
      </c>
      <c r="AY947" s="841" t="str">
        <f t="shared" si="688"/>
        <v/>
      </c>
      <c r="AZ947" s="842" t="str">
        <f t="shared" si="736"/>
        <v/>
      </c>
      <c r="BA947" s="842" t="str">
        <f t="shared" si="706"/>
        <v/>
      </c>
      <c r="BB947" s="842" t="str">
        <f t="shared" si="707"/>
        <v/>
      </c>
      <c r="BC947" s="842" t="str">
        <f t="shared" si="708"/>
        <v/>
      </c>
      <c r="BD947" s="842" t="str">
        <f t="shared" si="709"/>
        <v/>
      </c>
      <c r="BE947" s="842" t="str">
        <f t="shared" si="710"/>
        <v/>
      </c>
      <c r="BF947" s="842" t="str">
        <f t="shared" si="711"/>
        <v/>
      </c>
      <c r="BG947" s="842" t="str">
        <f t="shared" si="712"/>
        <v/>
      </c>
      <c r="BH947" s="858" t="str">
        <f t="shared" si="696"/>
        <v/>
      </c>
      <c r="BI947" s="857" t="str">
        <f t="shared" si="713"/>
        <v/>
      </c>
      <c r="BJ947" s="857" t="str">
        <f t="shared" si="714"/>
        <v/>
      </c>
      <c r="BK947" s="859">
        <f>'PV-Einspeisung'!AB318*-1</f>
        <v>0</v>
      </c>
      <c r="BL947" s="824">
        <f t="shared" ca="1" si="729"/>
        <v>0</v>
      </c>
      <c r="BM947" s="824">
        <f t="shared" ca="1" si="730"/>
        <v>0</v>
      </c>
      <c r="BN947" s="824">
        <f t="shared" ca="1" si="731"/>
        <v>0</v>
      </c>
      <c r="BO947" s="824">
        <f t="shared" ref="BO947:CD962" ca="1" si="738">IF(OR(IF($BL947*1&lt;$BL$196,$BL947*1=BO$198,FALSE),IF($BL947*2&lt;$BL$196,$BL947*2=BO$198,FALSE),IF($BL947*3&lt;$BL$196,$BL947*3=BO$198,FALSE),IF($BL947*4&lt;$BL$196,$BL947*4=BO$198,FALSE),IF($BL947*5&lt;$BL$196,$BL947*5=BO$198,FALSE)),$BN947*$BM$196^BO$198,0)</f>
        <v>0</v>
      </c>
      <c r="BP947" s="824">
        <f t="shared" ca="1" si="738"/>
        <v>0</v>
      </c>
      <c r="BQ947" s="824">
        <f t="shared" ca="1" si="738"/>
        <v>0</v>
      </c>
      <c r="BR947" s="824">
        <f t="shared" ca="1" si="738"/>
        <v>0</v>
      </c>
      <c r="BS947" s="824">
        <f t="shared" ca="1" si="738"/>
        <v>0</v>
      </c>
      <c r="BT947" s="824">
        <f t="shared" ca="1" si="738"/>
        <v>0</v>
      </c>
      <c r="BU947" s="824">
        <f t="shared" ca="1" si="738"/>
        <v>0</v>
      </c>
      <c r="BV947" s="824">
        <f t="shared" ca="1" si="738"/>
        <v>0</v>
      </c>
      <c r="BW947" s="824">
        <f t="shared" ca="1" si="738"/>
        <v>0</v>
      </c>
      <c r="BX947" s="824">
        <f t="shared" ca="1" si="738"/>
        <v>0</v>
      </c>
      <c r="BY947" s="824">
        <f t="shared" ca="1" si="738"/>
        <v>0</v>
      </c>
      <c r="BZ947" s="824">
        <f t="shared" ca="1" si="738"/>
        <v>0</v>
      </c>
      <c r="CA947" s="824">
        <f t="shared" ca="1" si="738"/>
        <v>0</v>
      </c>
      <c r="CB947" s="824">
        <f t="shared" ca="1" si="738"/>
        <v>0</v>
      </c>
      <c r="CC947" s="824">
        <f t="shared" ca="1" si="738"/>
        <v>0</v>
      </c>
      <c r="CD947" s="824">
        <f t="shared" ca="1" si="738"/>
        <v>0</v>
      </c>
      <c r="CE947" s="824">
        <f t="shared" ca="1" si="737"/>
        <v>0</v>
      </c>
      <c r="CF947" s="824">
        <f t="shared" ca="1" si="737"/>
        <v>0</v>
      </c>
      <c r="CG947" s="824">
        <f t="shared" ca="1" si="737"/>
        <v>0</v>
      </c>
      <c r="CH947" s="824">
        <f t="shared" ca="1" si="737"/>
        <v>0</v>
      </c>
      <c r="CI947" s="824">
        <f t="shared" ca="1" si="737"/>
        <v>0</v>
      </c>
      <c r="CJ947" s="824">
        <f t="shared" ca="1" si="737"/>
        <v>0</v>
      </c>
      <c r="CK947" s="824">
        <f t="shared" ca="1" si="737"/>
        <v>0</v>
      </c>
      <c r="CL947" s="824">
        <f t="shared" ca="1" si="737"/>
        <v>0</v>
      </c>
      <c r="CM947" s="824">
        <f t="shared" ca="1" si="737"/>
        <v>0</v>
      </c>
      <c r="CN947" s="824">
        <f t="shared" ca="1" si="737"/>
        <v>0</v>
      </c>
      <c r="CO947" s="824">
        <f t="shared" ca="1" si="737"/>
        <v>0</v>
      </c>
      <c r="CP947" s="824">
        <f t="shared" ca="1" si="737"/>
        <v>0</v>
      </c>
      <c r="CQ947" s="824">
        <f t="shared" ca="1" si="737"/>
        <v>0</v>
      </c>
      <c r="CR947" s="824">
        <f t="shared" ca="1" si="737"/>
        <v>0</v>
      </c>
      <c r="CS947" s="824">
        <f t="shared" ca="1" si="737"/>
        <v>0</v>
      </c>
      <c r="CT947" s="824">
        <f t="shared" ca="1" si="723"/>
        <v>0</v>
      </c>
      <c r="CU947" s="824">
        <f t="shared" ca="1" si="723"/>
        <v>0</v>
      </c>
      <c r="CV947" s="824">
        <f t="shared" ca="1" si="723"/>
        <v>0</v>
      </c>
      <c r="CW947" s="824">
        <f t="shared" ca="1" si="723"/>
        <v>0</v>
      </c>
      <c r="CX947" s="824">
        <f t="shared" ca="1" si="723"/>
        <v>0</v>
      </c>
      <c r="CY947" s="824">
        <f t="shared" ca="1" si="723"/>
        <v>0</v>
      </c>
      <c r="CZ947" s="824">
        <f t="shared" ca="1" si="723"/>
        <v>0</v>
      </c>
      <c r="DA947" s="824">
        <f t="shared" ca="1" si="723"/>
        <v>0</v>
      </c>
      <c r="DB947" s="824">
        <f t="shared" ref="DB947:DI947" ca="1" si="739">IF(OR(IF($BL947*1&lt;$BL$196,$BL947*1=DB$198,FALSE),IF($BL947*2&lt;$BL$196,$BL947*2=DB$198,FALSE),IF($BL947*3&lt;$BL$196,$BL947*3=DB$198,FALSE),IF($BL947*4&lt;$BL$196,$BL947*4=DB$198,FALSE),IF($BL947*5&lt;$BL$196,$BL947*5=DB$198,FALSE)),$BN947*$BM$196^DB$198,0)</f>
        <v>0</v>
      </c>
      <c r="DC947" s="824">
        <f t="shared" ca="1" si="739"/>
        <v>0</v>
      </c>
      <c r="DD947" s="824">
        <f t="shared" ca="1" si="739"/>
        <v>0</v>
      </c>
      <c r="DE947" s="824">
        <f t="shared" ca="1" si="739"/>
        <v>0</v>
      </c>
      <c r="DF947" s="824">
        <f t="shared" ca="1" si="739"/>
        <v>0</v>
      </c>
      <c r="DG947" s="824">
        <f t="shared" ca="1" si="739"/>
        <v>0</v>
      </c>
      <c r="DH947" s="824">
        <f t="shared" ca="1" si="739"/>
        <v>0</v>
      </c>
      <c r="DI947" s="824">
        <f t="shared" ca="1" si="739"/>
        <v>0</v>
      </c>
      <c r="DJ947" s="824">
        <f t="shared" ca="1" si="726"/>
        <v>0</v>
      </c>
      <c r="DK947" s="824">
        <f t="shared" ca="1" si="726"/>
        <v>0</v>
      </c>
      <c r="DL947" s="824">
        <f t="shared" ca="1" si="726"/>
        <v>0</v>
      </c>
    </row>
    <row r="948" spans="2:116" ht="12" thickBot="1" x14ac:dyDescent="0.3">
      <c r="B948" s="1673"/>
      <c r="C948" s="1680"/>
      <c r="D948" s="15" t="s">
        <v>44</v>
      </c>
      <c r="E948" s="116"/>
      <c r="F948" s="116">
        <f ca="1">SUBTOTAL(109,'3.5 I&amp;W'!$X$133)</f>
        <v>0</v>
      </c>
      <c r="G948" s="116">
        <f ca="1">SUBTOTAL(109,'3.5 I&amp;W'!$Y$133)</f>
        <v>0</v>
      </c>
      <c r="H948" s="116">
        <f ca="1">SUBTOTAL(109,'3.5 I&amp;W'!$AD$133)</f>
        <v>0</v>
      </c>
      <c r="I948" s="116">
        <f ca="1">SUBTOTAL(109,'3.5 I&amp;W'!$AE$133)</f>
        <v>0</v>
      </c>
      <c r="J948" s="116"/>
      <c r="K948" s="116"/>
      <c r="L948" s="116"/>
      <c r="M948" s="116">
        <f ca="1">SUBTOTAL(109,'3.5 I&amp;W'!$AI$133)</f>
        <v>0</v>
      </c>
      <c r="N948" s="156">
        <f t="shared" ca="1" si="677"/>
        <v>0</v>
      </c>
      <c r="O948" s="116">
        <f ca="1">SUBTOTAL(109,'3.5 I&amp;W'!$S$133)</f>
        <v>0</v>
      </c>
      <c r="P948" s="30">
        <f t="shared" ca="1" si="717"/>
        <v>0</v>
      </c>
      <c r="Q948" s="31">
        <f t="shared" ca="1" si="718"/>
        <v>0</v>
      </c>
      <c r="R948" s="31">
        <f t="shared" ca="1" si="719"/>
        <v>0</v>
      </c>
      <c r="S948" s="31">
        <f t="shared" ca="1" si="720"/>
        <v>0</v>
      </c>
      <c r="T948" s="32">
        <f t="shared" ca="1" si="721"/>
        <v>0</v>
      </c>
      <c r="U948" s="37">
        <f t="shared" ca="1" si="678"/>
        <v>0</v>
      </c>
      <c r="V948" s="40">
        <f t="shared" ca="1" si="727"/>
        <v>0</v>
      </c>
      <c r="W948" s="41">
        <f t="shared" ca="1" si="728"/>
        <v>0</v>
      </c>
      <c r="X948" s="43"/>
      <c r="Y948" s="46"/>
      <c r="Z948" s="126"/>
      <c r="AA948" s="136"/>
      <c r="AB948" s="131">
        <v>48</v>
      </c>
      <c r="AC948" s="168">
        <f ca="1">IF(AF947&lt;=1,0,'3.5 Fi&amp;Fo'!$I$25)</f>
        <v>0</v>
      </c>
      <c r="AD948" s="169">
        <f ca="1">IF(AF947&lt;=1,0,AF947*'3.5 Fi&amp;Fo'!$H$25)</f>
        <v>0</v>
      </c>
      <c r="AE948" s="169">
        <f t="shared" ca="1" si="681"/>
        <v>0</v>
      </c>
      <c r="AF948" s="170">
        <f t="shared" ca="1" si="682"/>
        <v>8.2218321040272713E-10</v>
      </c>
      <c r="AG948" s="168" t="b">
        <f>IF(AJ947&lt;=1,0,IF(AB948&lt;='3.5 Fi&amp;Fo'!$F$34,'3.5 Fi&amp;Fo'!$J$34,IF(AB948&lt;='3.5 Fi&amp;Fo'!$F$35,'3.5 Fi&amp;Fo'!$J$35,IF(AB948&lt;='3.5 Fi&amp;Fo'!$F$36,'3.5 Fi&amp;Fo'!$J$36,IF(AB948&lt;='3.5 Fi&amp;Fo'!$F$37,'3.5 Fi&amp;Fo'!$J$37,IF(AB948&lt;='3.5 Fi&amp;Fo'!$F$38,'3.5 Fi&amp;Fo'!$J$38,IF(AB948&lt;='3.5 Fi&amp;Fo'!$F$39,'3.5 Fi&amp;Fo'!$J$39,IF(AB948&lt;='3.5 Fi&amp;Fo'!$F$40,'3.5 Fi&amp;Fo'!$J$40))))))))</f>
        <v>0</v>
      </c>
      <c r="AH948" s="203">
        <f>IF(AJ947&lt;=1,0,AJ947*IF(AB948&lt;='3.5 Fi&amp;Fo'!$F$34,'3.5 Fi&amp;Fo'!$I$34,IF(AB948&lt;='3.5 Fi&amp;Fo'!$F$35,'3.5 Fi&amp;Fo'!$I$35,IF(AB948&lt;='3.5 Fi&amp;Fo'!$F$38,'3.5 Fi&amp;Fo'!$I$38,IF(AB948&lt;='3.5 Fi&amp;Fo'!$F$39,'3.5 Fi&amp;Fo'!$I$39,IF(AB948&lt;='3.5 Fi&amp;Fo'!$F$40,'3.5 Fi&amp;Fo'!$I$40))))))</f>
        <v>0</v>
      </c>
      <c r="AI948" s="203">
        <f t="shared" si="734"/>
        <v>0</v>
      </c>
      <c r="AJ948" s="204">
        <f t="shared" si="684"/>
        <v>2813112.8168354109</v>
      </c>
      <c r="AK948" s="312">
        <f t="shared" ca="1" si="735"/>
        <v>0</v>
      </c>
      <c r="AL948" s="169">
        <f>IF(AB948&lt;='3.5 Fi&amp;Fo'!$J$15,'3.5 Fi&amp;Fo'!$I$15,0)</f>
        <v>0</v>
      </c>
      <c r="AM948" s="169">
        <f t="shared" si="697"/>
        <v>0</v>
      </c>
      <c r="AN948" s="838" t="str">
        <f t="shared" si="702"/>
        <v/>
      </c>
      <c r="AO948" s="844">
        <f t="shared" ca="1" si="686"/>
        <v>0</v>
      </c>
      <c r="AP948" s="839">
        <f ca="1">DJ1005</f>
        <v>0</v>
      </c>
      <c r="AQ948" s="844">
        <f t="shared" si="687"/>
        <v>0</v>
      </c>
      <c r="AR948" s="839" t="str">
        <f t="shared" si="703"/>
        <v/>
      </c>
      <c r="AS948" s="839">
        <f t="shared" si="698"/>
        <v>0</v>
      </c>
      <c r="AT948" s="839">
        <f t="shared" si="699"/>
        <v>0</v>
      </c>
      <c r="AU948" s="844">
        <f>'PV-Einspeisung'!AA319*-1</f>
        <v>0</v>
      </c>
      <c r="AV948" s="844">
        <f>'PV-Einspeisung'!AE319*-1</f>
        <v>0</v>
      </c>
      <c r="AW948" s="839"/>
      <c r="AX948" s="839" t="str">
        <f t="shared" si="704"/>
        <v/>
      </c>
      <c r="AY948" s="841" t="str">
        <f t="shared" si="688"/>
        <v/>
      </c>
      <c r="AZ948" s="842" t="str">
        <f t="shared" si="736"/>
        <v/>
      </c>
      <c r="BA948" s="842" t="str">
        <f t="shared" si="706"/>
        <v/>
      </c>
      <c r="BB948" s="842" t="str">
        <f t="shared" si="707"/>
        <v/>
      </c>
      <c r="BC948" s="842" t="str">
        <f t="shared" si="708"/>
        <v/>
      </c>
      <c r="BD948" s="842" t="str">
        <f t="shared" si="709"/>
        <v/>
      </c>
      <c r="BE948" s="842" t="str">
        <f t="shared" si="710"/>
        <v/>
      </c>
      <c r="BF948" s="842" t="str">
        <f t="shared" si="711"/>
        <v/>
      </c>
      <c r="BG948" s="842" t="str">
        <f t="shared" si="712"/>
        <v/>
      </c>
      <c r="BH948" s="858" t="str">
        <f t="shared" si="696"/>
        <v/>
      </c>
      <c r="BI948" s="857" t="str">
        <f t="shared" si="713"/>
        <v/>
      </c>
      <c r="BJ948" s="857" t="str">
        <f t="shared" si="714"/>
        <v/>
      </c>
      <c r="BK948" s="859">
        <f>'PV-Einspeisung'!AB319*-1</f>
        <v>0</v>
      </c>
      <c r="BL948" s="824">
        <f t="shared" ca="1" si="729"/>
        <v>0</v>
      </c>
      <c r="BM948" s="824">
        <f t="shared" ca="1" si="730"/>
        <v>0</v>
      </c>
      <c r="BN948" s="824">
        <f t="shared" ca="1" si="731"/>
        <v>0</v>
      </c>
      <c r="BO948" s="824">
        <f t="shared" ca="1" si="738"/>
        <v>0</v>
      </c>
      <c r="BP948" s="824">
        <f t="shared" ca="1" si="738"/>
        <v>0</v>
      </c>
      <c r="BQ948" s="824">
        <f t="shared" ca="1" si="738"/>
        <v>0</v>
      </c>
      <c r="BR948" s="824">
        <f t="shared" ca="1" si="738"/>
        <v>0</v>
      </c>
      <c r="BS948" s="824">
        <f t="shared" ca="1" si="738"/>
        <v>0</v>
      </c>
      <c r="BT948" s="824">
        <f t="shared" ca="1" si="738"/>
        <v>0</v>
      </c>
      <c r="BU948" s="824">
        <f t="shared" ca="1" si="738"/>
        <v>0</v>
      </c>
      <c r="BV948" s="824">
        <f t="shared" ca="1" si="738"/>
        <v>0</v>
      </c>
      <c r="BW948" s="824">
        <f t="shared" ca="1" si="738"/>
        <v>0</v>
      </c>
      <c r="BX948" s="824">
        <f t="shared" ca="1" si="738"/>
        <v>0</v>
      </c>
      <c r="BY948" s="824">
        <f t="shared" ca="1" si="738"/>
        <v>0</v>
      </c>
      <c r="BZ948" s="824">
        <f t="shared" ca="1" si="738"/>
        <v>0</v>
      </c>
      <c r="CA948" s="824">
        <f t="shared" ca="1" si="738"/>
        <v>0</v>
      </c>
      <c r="CB948" s="824">
        <f t="shared" ca="1" si="738"/>
        <v>0</v>
      </c>
      <c r="CC948" s="824">
        <f t="shared" ca="1" si="738"/>
        <v>0</v>
      </c>
      <c r="CD948" s="824">
        <f t="shared" ca="1" si="738"/>
        <v>0</v>
      </c>
      <c r="CE948" s="824">
        <f t="shared" ca="1" si="737"/>
        <v>0</v>
      </c>
      <c r="CF948" s="824">
        <f t="shared" ca="1" si="737"/>
        <v>0</v>
      </c>
      <c r="CG948" s="824">
        <f t="shared" ca="1" si="737"/>
        <v>0</v>
      </c>
      <c r="CH948" s="824">
        <f t="shared" ca="1" si="737"/>
        <v>0</v>
      </c>
      <c r="CI948" s="824">
        <f t="shared" ca="1" si="737"/>
        <v>0</v>
      </c>
      <c r="CJ948" s="824">
        <f t="shared" ca="1" si="737"/>
        <v>0</v>
      </c>
      <c r="CK948" s="824">
        <f t="shared" ca="1" si="737"/>
        <v>0</v>
      </c>
      <c r="CL948" s="824">
        <f t="shared" ca="1" si="737"/>
        <v>0</v>
      </c>
      <c r="CM948" s="824">
        <f t="shared" ca="1" si="737"/>
        <v>0</v>
      </c>
      <c r="CN948" s="824">
        <f t="shared" ca="1" si="737"/>
        <v>0</v>
      </c>
      <c r="CO948" s="824">
        <f t="shared" ca="1" si="737"/>
        <v>0</v>
      </c>
      <c r="CP948" s="824">
        <f t="shared" ca="1" si="737"/>
        <v>0</v>
      </c>
      <c r="CQ948" s="824">
        <f t="shared" ca="1" si="737"/>
        <v>0</v>
      </c>
      <c r="CR948" s="824">
        <f t="shared" ca="1" si="737"/>
        <v>0</v>
      </c>
      <c r="CS948" s="824">
        <f t="shared" ca="1" si="737"/>
        <v>0</v>
      </c>
      <c r="CT948" s="824">
        <f t="shared" ref="CT948:DI963" ca="1" si="740">IF(OR(IF($BL948*1&lt;$BL$196,$BL948*1=CT$198,FALSE),IF($BL948*2&lt;$BL$196,$BL948*2=CT$198,FALSE),IF($BL948*3&lt;$BL$196,$BL948*3=CT$198,FALSE),IF($BL948*4&lt;$BL$196,$BL948*4=CT$198,FALSE),IF($BL948*5&lt;$BL$196,$BL948*5=CT$198,FALSE)),$BN948*$BM$196^CT$198,0)</f>
        <v>0</v>
      </c>
      <c r="CU948" s="824">
        <f t="shared" ca="1" si="740"/>
        <v>0</v>
      </c>
      <c r="CV948" s="824">
        <f t="shared" ca="1" si="740"/>
        <v>0</v>
      </c>
      <c r="CW948" s="824">
        <f t="shared" ca="1" si="740"/>
        <v>0</v>
      </c>
      <c r="CX948" s="824">
        <f t="shared" ca="1" si="740"/>
        <v>0</v>
      </c>
      <c r="CY948" s="824">
        <f t="shared" ca="1" si="740"/>
        <v>0</v>
      </c>
      <c r="CZ948" s="824">
        <f t="shared" ca="1" si="740"/>
        <v>0</v>
      </c>
      <c r="DA948" s="824">
        <f t="shared" ca="1" si="740"/>
        <v>0</v>
      </c>
      <c r="DB948" s="824">
        <f t="shared" ca="1" si="740"/>
        <v>0</v>
      </c>
      <c r="DC948" s="824">
        <f t="shared" ca="1" si="740"/>
        <v>0</v>
      </c>
      <c r="DD948" s="824">
        <f t="shared" ca="1" si="740"/>
        <v>0</v>
      </c>
      <c r="DE948" s="824">
        <f t="shared" ca="1" si="740"/>
        <v>0</v>
      </c>
      <c r="DF948" s="824">
        <f t="shared" ca="1" si="740"/>
        <v>0</v>
      </c>
      <c r="DG948" s="824">
        <f t="shared" ca="1" si="740"/>
        <v>0</v>
      </c>
      <c r="DH948" s="824">
        <f t="shared" ca="1" si="740"/>
        <v>0</v>
      </c>
      <c r="DI948" s="824">
        <f t="shared" ca="1" si="740"/>
        <v>0</v>
      </c>
      <c r="DJ948" s="824">
        <f t="shared" ca="1" si="726"/>
        <v>0</v>
      </c>
      <c r="DK948" s="824">
        <f t="shared" ca="1" si="726"/>
        <v>0</v>
      </c>
      <c r="DL948" s="824">
        <f t="shared" ca="1" si="726"/>
        <v>0</v>
      </c>
    </row>
    <row r="949" spans="2:116" ht="12" thickBot="1" x14ac:dyDescent="0.3">
      <c r="B949" s="1673"/>
      <c r="C949" s="1680"/>
      <c r="D949" s="15" t="s">
        <v>42</v>
      </c>
      <c r="E949" s="165"/>
      <c r="F949" s="116">
        <f ca="1">SUBTOTAL(109,'3.5 I&amp;W'!$X$135)</f>
        <v>0</v>
      </c>
      <c r="G949" s="116">
        <f ca="1">SUBTOTAL(109,'3.5 I&amp;W'!$Y$135)</f>
        <v>0</v>
      </c>
      <c r="H949" s="116">
        <f ca="1">SUBTOTAL(109,'3.5 I&amp;W'!$AD$135)</f>
        <v>0</v>
      </c>
      <c r="I949" s="116">
        <f ca="1">SUBTOTAL(109,'3.5 I&amp;W'!$AE$135)</f>
        <v>0</v>
      </c>
      <c r="J949" s="116"/>
      <c r="K949" s="116"/>
      <c r="L949" s="116"/>
      <c r="M949" s="116">
        <f ca="1">SUBTOTAL(109,'3.5 I&amp;W'!$AI$135)</f>
        <v>50</v>
      </c>
      <c r="N949" s="156">
        <f t="shared" ca="1" si="677"/>
        <v>0</v>
      </c>
      <c r="O949" s="116">
        <f ca="1">SUBTOTAL(109,'3.5 I&amp;W'!$S$135)</f>
        <v>21526.475999999999</v>
      </c>
      <c r="P949" s="30">
        <f t="shared" ca="1" si="717"/>
        <v>0</v>
      </c>
      <c r="Q949" s="31">
        <f t="shared" ca="1" si="718"/>
        <v>0</v>
      </c>
      <c r="R949" s="31">
        <f t="shared" ca="1" si="719"/>
        <v>0</v>
      </c>
      <c r="S949" s="31">
        <f t="shared" ca="1" si="720"/>
        <v>0</v>
      </c>
      <c r="T949" s="32">
        <f t="shared" ca="1" si="721"/>
        <v>0</v>
      </c>
      <c r="U949" s="37">
        <f t="shared" ca="1" si="678"/>
        <v>3229.1497254948576</v>
      </c>
      <c r="V949" s="40">
        <f t="shared" ca="1" si="727"/>
        <v>0</v>
      </c>
      <c r="W949" s="41">
        <f t="shared" ca="1" si="728"/>
        <v>0</v>
      </c>
      <c r="X949" s="43"/>
      <c r="Y949" s="46"/>
      <c r="Z949" s="126"/>
      <c r="AA949" s="136"/>
      <c r="AB949" s="131">
        <v>49</v>
      </c>
      <c r="AC949" s="168">
        <f ca="1">IF(AF948&lt;=1,0,'3.5 Fi&amp;Fo'!$I$25)</f>
        <v>0</v>
      </c>
      <c r="AD949" s="169">
        <f ca="1">IF(AF948&lt;=1,0,AF948*'3.5 Fi&amp;Fo'!$H$25)</f>
        <v>0</v>
      </c>
      <c r="AE949" s="169">
        <f t="shared" ca="1" si="681"/>
        <v>0</v>
      </c>
      <c r="AF949" s="170">
        <f t="shared" ca="1" si="682"/>
        <v>8.2218321040272713E-10</v>
      </c>
      <c r="AG949" s="168" t="b">
        <f>IF(AJ948&lt;=1,0,IF(AB949&lt;='3.5 Fi&amp;Fo'!$F$34,'3.5 Fi&amp;Fo'!$J$34,IF(AB949&lt;='3.5 Fi&amp;Fo'!$F$35,'3.5 Fi&amp;Fo'!$J$35,IF(AB949&lt;='3.5 Fi&amp;Fo'!$F$36,'3.5 Fi&amp;Fo'!$J$36,IF(AB949&lt;='3.5 Fi&amp;Fo'!$F$37,'3.5 Fi&amp;Fo'!$J$37,IF(AB949&lt;='3.5 Fi&amp;Fo'!$F$38,'3.5 Fi&amp;Fo'!$J$38,IF(AB949&lt;='3.5 Fi&amp;Fo'!$F$39,'3.5 Fi&amp;Fo'!$J$39,IF(AB949&lt;='3.5 Fi&amp;Fo'!$F$40,'3.5 Fi&amp;Fo'!$J$40))))))))</f>
        <v>0</v>
      </c>
      <c r="AH949" s="203">
        <f>IF(AJ948&lt;=1,0,AJ948*IF(AB949&lt;='3.5 Fi&amp;Fo'!$F$34,'3.5 Fi&amp;Fo'!$I$34,IF(AB949&lt;='3.5 Fi&amp;Fo'!$F$35,'3.5 Fi&amp;Fo'!$I$35,IF(AB949&lt;='3.5 Fi&amp;Fo'!$F$38,'3.5 Fi&amp;Fo'!$I$38,IF(AB949&lt;='3.5 Fi&amp;Fo'!$F$39,'3.5 Fi&amp;Fo'!$I$39,IF(AB949&lt;='3.5 Fi&amp;Fo'!$F$40,'3.5 Fi&amp;Fo'!$I$40))))))</f>
        <v>0</v>
      </c>
      <c r="AI949" s="203">
        <f t="shared" si="734"/>
        <v>0</v>
      </c>
      <c r="AJ949" s="204">
        <f t="shared" si="684"/>
        <v>2813112.8168354109</v>
      </c>
      <c r="AK949" s="312">
        <f t="shared" ca="1" si="735"/>
        <v>0</v>
      </c>
      <c r="AL949" s="169">
        <f>IF(AB949&lt;='3.5 Fi&amp;Fo'!$J$15,'3.5 Fi&amp;Fo'!$I$15,0)</f>
        <v>0</v>
      </c>
      <c r="AM949" s="169">
        <f t="shared" si="697"/>
        <v>0</v>
      </c>
      <c r="AN949" s="838" t="str">
        <f t="shared" si="702"/>
        <v/>
      </c>
      <c r="AO949" s="844">
        <f t="shared" ca="1" si="686"/>
        <v>0</v>
      </c>
      <c r="AP949" s="839">
        <f ca="1">DK1005</f>
        <v>0</v>
      </c>
      <c r="AQ949" s="844">
        <f t="shared" si="687"/>
        <v>0</v>
      </c>
      <c r="AR949" s="839" t="str">
        <f t="shared" si="703"/>
        <v/>
      </c>
      <c r="AS949" s="839">
        <f t="shared" si="698"/>
        <v>0</v>
      </c>
      <c r="AT949" s="839">
        <f t="shared" si="699"/>
        <v>0</v>
      </c>
      <c r="AU949" s="844">
        <f>'PV-Einspeisung'!AA320*-1</f>
        <v>0</v>
      </c>
      <c r="AV949" s="844">
        <f>'PV-Einspeisung'!AE320*-1</f>
        <v>0</v>
      </c>
      <c r="AW949" s="839"/>
      <c r="AX949" s="839" t="str">
        <f t="shared" si="704"/>
        <v/>
      </c>
      <c r="AY949" s="841" t="str">
        <f t="shared" si="688"/>
        <v/>
      </c>
      <c r="AZ949" s="842" t="str">
        <f t="shared" si="736"/>
        <v/>
      </c>
      <c r="BA949" s="842" t="str">
        <f t="shared" si="706"/>
        <v/>
      </c>
      <c r="BB949" s="842" t="str">
        <f t="shared" si="707"/>
        <v/>
      </c>
      <c r="BC949" s="842" t="str">
        <f t="shared" si="708"/>
        <v/>
      </c>
      <c r="BD949" s="842" t="str">
        <f t="shared" si="709"/>
        <v/>
      </c>
      <c r="BE949" s="842" t="str">
        <f t="shared" si="710"/>
        <v/>
      </c>
      <c r="BF949" s="842" t="str">
        <f t="shared" si="711"/>
        <v/>
      </c>
      <c r="BG949" s="842" t="str">
        <f t="shared" si="712"/>
        <v/>
      </c>
      <c r="BH949" s="858" t="str">
        <f t="shared" si="696"/>
        <v/>
      </c>
      <c r="BI949" s="857" t="str">
        <f t="shared" si="713"/>
        <v/>
      </c>
      <c r="BJ949" s="857" t="str">
        <f t="shared" si="714"/>
        <v/>
      </c>
      <c r="BK949" s="859">
        <f>'PV-Einspeisung'!AB320*-1</f>
        <v>0</v>
      </c>
      <c r="BL949" s="824">
        <f t="shared" ca="1" si="729"/>
        <v>50</v>
      </c>
      <c r="BM949" s="824">
        <f t="shared" ca="1" si="730"/>
        <v>0</v>
      </c>
      <c r="BN949" s="824">
        <f t="shared" ca="1" si="731"/>
        <v>21526.475999999999</v>
      </c>
      <c r="BO949" s="824">
        <f t="shared" ca="1" si="738"/>
        <v>0</v>
      </c>
      <c r="BP949" s="824">
        <f t="shared" ca="1" si="738"/>
        <v>0</v>
      </c>
      <c r="BQ949" s="824">
        <f t="shared" ca="1" si="738"/>
        <v>0</v>
      </c>
      <c r="BR949" s="824">
        <f t="shared" ca="1" si="738"/>
        <v>0</v>
      </c>
      <c r="BS949" s="824">
        <f t="shared" ca="1" si="738"/>
        <v>0</v>
      </c>
      <c r="BT949" s="824">
        <f t="shared" ca="1" si="738"/>
        <v>0</v>
      </c>
      <c r="BU949" s="824">
        <f t="shared" ca="1" si="738"/>
        <v>0</v>
      </c>
      <c r="BV949" s="824">
        <f t="shared" ca="1" si="738"/>
        <v>0</v>
      </c>
      <c r="BW949" s="824">
        <f t="shared" ca="1" si="738"/>
        <v>0</v>
      </c>
      <c r="BX949" s="824">
        <f t="shared" ca="1" si="738"/>
        <v>0</v>
      </c>
      <c r="BY949" s="824">
        <f t="shared" ca="1" si="738"/>
        <v>0</v>
      </c>
      <c r="BZ949" s="824">
        <f t="shared" ca="1" si="738"/>
        <v>0</v>
      </c>
      <c r="CA949" s="824">
        <f t="shared" ca="1" si="738"/>
        <v>0</v>
      </c>
      <c r="CB949" s="824">
        <f t="shared" ca="1" si="738"/>
        <v>0</v>
      </c>
      <c r="CC949" s="824">
        <f t="shared" ca="1" si="738"/>
        <v>0</v>
      </c>
      <c r="CD949" s="824">
        <f t="shared" ca="1" si="738"/>
        <v>0</v>
      </c>
      <c r="CE949" s="824">
        <f t="shared" ca="1" si="737"/>
        <v>0</v>
      </c>
      <c r="CF949" s="824">
        <f t="shared" ca="1" si="737"/>
        <v>0</v>
      </c>
      <c r="CG949" s="824">
        <f t="shared" ca="1" si="737"/>
        <v>0</v>
      </c>
      <c r="CH949" s="824">
        <f t="shared" ca="1" si="737"/>
        <v>0</v>
      </c>
      <c r="CI949" s="824">
        <f t="shared" ca="1" si="737"/>
        <v>0</v>
      </c>
      <c r="CJ949" s="824">
        <f t="shared" ca="1" si="737"/>
        <v>0</v>
      </c>
      <c r="CK949" s="824">
        <f t="shared" ca="1" si="737"/>
        <v>0</v>
      </c>
      <c r="CL949" s="824">
        <f t="shared" ca="1" si="737"/>
        <v>0</v>
      </c>
      <c r="CM949" s="824">
        <f t="shared" ca="1" si="737"/>
        <v>0</v>
      </c>
      <c r="CN949" s="824">
        <f t="shared" ca="1" si="737"/>
        <v>0</v>
      </c>
      <c r="CO949" s="824">
        <f t="shared" ca="1" si="737"/>
        <v>0</v>
      </c>
      <c r="CP949" s="824">
        <f t="shared" ca="1" si="737"/>
        <v>0</v>
      </c>
      <c r="CQ949" s="824">
        <f t="shared" ca="1" si="737"/>
        <v>0</v>
      </c>
      <c r="CR949" s="824">
        <f t="shared" ca="1" si="737"/>
        <v>0</v>
      </c>
      <c r="CS949" s="824">
        <f t="shared" ca="1" si="737"/>
        <v>0</v>
      </c>
      <c r="CT949" s="824">
        <f t="shared" ca="1" si="740"/>
        <v>0</v>
      </c>
      <c r="CU949" s="824">
        <f t="shared" ca="1" si="740"/>
        <v>0</v>
      </c>
      <c r="CV949" s="824">
        <f t="shared" ca="1" si="740"/>
        <v>0</v>
      </c>
      <c r="CW949" s="824">
        <f t="shared" ca="1" si="740"/>
        <v>0</v>
      </c>
      <c r="CX949" s="824">
        <f t="shared" ca="1" si="740"/>
        <v>0</v>
      </c>
      <c r="CY949" s="824">
        <f t="shared" ca="1" si="740"/>
        <v>0</v>
      </c>
      <c r="CZ949" s="824">
        <f t="shared" ca="1" si="740"/>
        <v>0</v>
      </c>
      <c r="DA949" s="824">
        <f t="shared" ca="1" si="740"/>
        <v>0</v>
      </c>
      <c r="DB949" s="824">
        <f t="shared" ca="1" si="740"/>
        <v>0</v>
      </c>
      <c r="DC949" s="824">
        <f t="shared" ca="1" si="740"/>
        <v>0</v>
      </c>
      <c r="DD949" s="824">
        <f t="shared" ca="1" si="740"/>
        <v>0</v>
      </c>
      <c r="DE949" s="824">
        <f t="shared" ca="1" si="740"/>
        <v>0</v>
      </c>
      <c r="DF949" s="824">
        <f t="shared" ca="1" si="740"/>
        <v>0</v>
      </c>
      <c r="DG949" s="824">
        <f t="shared" ca="1" si="740"/>
        <v>0</v>
      </c>
      <c r="DH949" s="824">
        <f t="shared" ca="1" si="740"/>
        <v>0</v>
      </c>
      <c r="DI949" s="824">
        <f t="shared" ca="1" si="740"/>
        <v>0</v>
      </c>
      <c r="DJ949" s="824">
        <f t="shared" ca="1" si="726"/>
        <v>0</v>
      </c>
      <c r="DK949" s="824">
        <f t="shared" ca="1" si="726"/>
        <v>0</v>
      </c>
      <c r="DL949" s="824">
        <f t="shared" ca="1" si="726"/>
        <v>0</v>
      </c>
    </row>
    <row r="950" spans="2:116" ht="12" thickBot="1" x14ac:dyDescent="0.3">
      <c r="B950" s="1673"/>
      <c r="C950" s="1680"/>
      <c r="D950" s="15" t="s">
        <v>40</v>
      </c>
      <c r="E950" s="116"/>
      <c r="F950" s="116">
        <f ca="1">SUBTOTAL(109,'3.5 I&amp;W'!$X$138)</f>
        <v>0</v>
      </c>
      <c r="G950" s="116">
        <f ca="1">SUBTOTAL(109,'3.5 I&amp;W'!$Y$138)</f>
        <v>0</v>
      </c>
      <c r="H950" s="116">
        <f ca="1">SUBTOTAL(109,'3.5 I&amp;W'!$AD$138)</f>
        <v>0</v>
      </c>
      <c r="I950" s="116">
        <f ca="1">SUBTOTAL(109,'3.5 I&amp;W'!$AE$138)</f>
        <v>0</v>
      </c>
      <c r="J950" s="116"/>
      <c r="K950" s="116"/>
      <c r="L950" s="116"/>
      <c r="M950" s="116">
        <f ca="1">SUBTOTAL(109,'3.5 I&amp;W'!$AI$138)</f>
        <v>0</v>
      </c>
      <c r="N950" s="156">
        <f t="shared" ca="1" si="677"/>
        <v>0</v>
      </c>
      <c r="O950" s="116">
        <f ca="1">SUBTOTAL(109,'3.5 I&amp;W'!$S$138)</f>
        <v>0</v>
      </c>
      <c r="P950" s="30">
        <f t="shared" ca="1" si="717"/>
        <v>0</v>
      </c>
      <c r="Q950" s="31">
        <f t="shared" ca="1" si="718"/>
        <v>0</v>
      </c>
      <c r="R950" s="31">
        <f t="shared" ca="1" si="719"/>
        <v>0</v>
      </c>
      <c r="S950" s="31">
        <f t="shared" ca="1" si="720"/>
        <v>0</v>
      </c>
      <c r="T950" s="32">
        <f t="shared" ca="1" si="721"/>
        <v>0</v>
      </c>
      <c r="U950" s="37">
        <f t="shared" ca="1" si="678"/>
        <v>0</v>
      </c>
      <c r="V950" s="40">
        <f t="shared" ca="1" si="727"/>
        <v>0</v>
      </c>
      <c r="W950" s="41">
        <f t="shared" ca="1" si="728"/>
        <v>0</v>
      </c>
      <c r="X950" s="43"/>
      <c r="Y950" s="46"/>
      <c r="Z950" s="126"/>
      <c r="AA950" s="136"/>
      <c r="AB950" s="131">
        <v>50</v>
      </c>
      <c r="AC950" s="168">
        <f ca="1">IF(AF949&lt;=1,0,'3.5 Fi&amp;Fo'!$I$25)</f>
        <v>0</v>
      </c>
      <c r="AD950" s="169">
        <f ca="1">IF(AF949&lt;=1,0,AF949*'3.5 Fi&amp;Fo'!$H$25)</f>
        <v>0</v>
      </c>
      <c r="AE950" s="171">
        <f t="shared" ca="1" si="681"/>
        <v>0</v>
      </c>
      <c r="AF950" s="172">
        <f t="shared" ca="1" si="682"/>
        <v>8.2218321040272713E-10</v>
      </c>
      <c r="AG950" s="168" t="b">
        <f>IF(AJ949&lt;=1,0,IF(AB950&lt;='3.5 Fi&amp;Fo'!$F$34,'3.5 Fi&amp;Fo'!$J$34,IF(AB950&lt;='3.5 Fi&amp;Fo'!$F$35,'3.5 Fi&amp;Fo'!$J$35,IF(AB950&lt;='3.5 Fi&amp;Fo'!$F$36,'3.5 Fi&amp;Fo'!$J$36,IF(AB950&lt;='3.5 Fi&amp;Fo'!$F$37,'3.5 Fi&amp;Fo'!$J$37,IF(AB950&lt;='3.5 Fi&amp;Fo'!$F$38,'3.5 Fi&amp;Fo'!$J$38,IF(AB950&lt;='3.5 Fi&amp;Fo'!$F$39,'3.5 Fi&amp;Fo'!$J$39,IF(AB950&lt;='3.5 Fi&amp;Fo'!$F$40,'3.5 Fi&amp;Fo'!$J$40))))))))</f>
        <v>0</v>
      </c>
      <c r="AH950" s="205">
        <f>IF(AJ949&lt;=1,0,AJ949*IF(AB950&lt;='3.5 Fi&amp;Fo'!$F$34,'3.5 Fi&amp;Fo'!$I$34,IF(AB950&lt;='3.5 Fi&amp;Fo'!$F$35,'3.5 Fi&amp;Fo'!$I$35,IF(AB950&lt;='3.5 Fi&amp;Fo'!$F$38,'3.5 Fi&amp;Fo'!$I$38,IF(AB950&lt;='3.5 Fi&amp;Fo'!$F$39,'3.5 Fi&amp;Fo'!$I$39,IF(AB950&lt;='3.5 Fi&amp;Fo'!$F$40,'3.5 Fi&amp;Fo'!$I$40))))))</f>
        <v>0</v>
      </c>
      <c r="AI950" s="205">
        <f t="shared" si="734"/>
        <v>0</v>
      </c>
      <c r="AJ950" s="206">
        <f t="shared" si="684"/>
        <v>2813112.8168354109</v>
      </c>
      <c r="AK950" s="312">
        <f t="shared" ca="1" si="735"/>
        <v>0</v>
      </c>
      <c r="AL950" s="169">
        <f>IF(AB950&lt;='3.5 Fi&amp;Fo'!$J$15,'3.5 Fi&amp;Fo'!$I$15,0)</f>
        <v>0</v>
      </c>
      <c r="AM950" s="169">
        <f t="shared" si="697"/>
        <v>0</v>
      </c>
      <c r="AN950" s="838" t="str">
        <f t="shared" si="702"/>
        <v/>
      </c>
      <c r="AO950" s="844">
        <f t="shared" ca="1" si="686"/>
        <v>0</v>
      </c>
      <c r="AP950" s="839">
        <f ca="1">DL1005</f>
        <v>0</v>
      </c>
      <c r="AQ950" s="844">
        <f t="shared" si="687"/>
        <v>0</v>
      </c>
      <c r="AR950" s="839" t="str">
        <f t="shared" si="703"/>
        <v/>
      </c>
      <c r="AS950" s="839">
        <f t="shared" si="698"/>
        <v>0</v>
      </c>
      <c r="AT950" s="839">
        <f t="shared" si="699"/>
        <v>0</v>
      </c>
      <c r="AU950" s="844">
        <f>'PV-Einspeisung'!AA321*-1</f>
        <v>0</v>
      </c>
      <c r="AV950" s="844">
        <f>'PV-Einspeisung'!AE321*-1</f>
        <v>0</v>
      </c>
      <c r="AW950" s="839"/>
      <c r="AX950" s="839" t="str">
        <f t="shared" si="704"/>
        <v/>
      </c>
      <c r="AY950" s="841" t="str">
        <f t="shared" si="688"/>
        <v/>
      </c>
      <c r="AZ950" s="842" t="str">
        <f t="shared" si="736"/>
        <v/>
      </c>
      <c r="BA950" s="842" t="str">
        <f t="shared" si="706"/>
        <v/>
      </c>
      <c r="BB950" s="842" t="str">
        <f t="shared" si="707"/>
        <v/>
      </c>
      <c r="BC950" s="842" t="str">
        <f t="shared" si="708"/>
        <v/>
      </c>
      <c r="BD950" s="842" t="str">
        <f t="shared" si="709"/>
        <v/>
      </c>
      <c r="BE950" s="842" t="str">
        <f t="shared" si="710"/>
        <v/>
      </c>
      <c r="BF950" s="842" t="str">
        <f t="shared" si="711"/>
        <v/>
      </c>
      <c r="BG950" s="842" t="str">
        <f t="shared" si="712"/>
        <v/>
      </c>
      <c r="BH950" s="858" t="str">
        <f t="shared" si="696"/>
        <v/>
      </c>
      <c r="BI950" s="857" t="str">
        <f t="shared" si="713"/>
        <v/>
      </c>
      <c r="BJ950" s="857" t="str">
        <f t="shared" si="714"/>
        <v/>
      </c>
      <c r="BK950" s="859">
        <f>'PV-Einspeisung'!AB321*-1</f>
        <v>0</v>
      </c>
      <c r="BL950" s="824">
        <f t="shared" ca="1" si="729"/>
        <v>0</v>
      </c>
      <c r="BM950" s="824">
        <f t="shared" ca="1" si="730"/>
        <v>0</v>
      </c>
      <c r="BN950" s="824">
        <f t="shared" ca="1" si="731"/>
        <v>0</v>
      </c>
      <c r="BO950" s="824">
        <f t="shared" ca="1" si="738"/>
        <v>0</v>
      </c>
      <c r="BP950" s="824">
        <f t="shared" ca="1" si="738"/>
        <v>0</v>
      </c>
      <c r="BQ950" s="824">
        <f t="shared" ca="1" si="738"/>
        <v>0</v>
      </c>
      <c r="BR950" s="824">
        <f t="shared" ca="1" si="738"/>
        <v>0</v>
      </c>
      <c r="BS950" s="824">
        <f t="shared" ca="1" si="738"/>
        <v>0</v>
      </c>
      <c r="BT950" s="824">
        <f t="shared" ca="1" si="738"/>
        <v>0</v>
      </c>
      <c r="BU950" s="824">
        <f t="shared" ca="1" si="738"/>
        <v>0</v>
      </c>
      <c r="BV950" s="824">
        <f t="shared" ca="1" si="738"/>
        <v>0</v>
      </c>
      <c r="BW950" s="824">
        <f t="shared" ca="1" si="738"/>
        <v>0</v>
      </c>
      <c r="BX950" s="824">
        <f t="shared" ca="1" si="738"/>
        <v>0</v>
      </c>
      <c r="BY950" s="824">
        <f t="shared" ca="1" si="738"/>
        <v>0</v>
      </c>
      <c r="BZ950" s="824">
        <f t="shared" ca="1" si="738"/>
        <v>0</v>
      </c>
      <c r="CA950" s="824">
        <f t="shared" ca="1" si="738"/>
        <v>0</v>
      </c>
      <c r="CB950" s="824">
        <f t="shared" ca="1" si="738"/>
        <v>0</v>
      </c>
      <c r="CC950" s="824">
        <f t="shared" ca="1" si="738"/>
        <v>0</v>
      </c>
      <c r="CD950" s="824">
        <f t="shared" ca="1" si="738"/>
        <v>0</v>
      </c>
      <c r="CE950" s="824">
        <f t="shared" ca="1" si="737"/>
        <v>0</v>
      </c>
      <c r="CF950" s="824">
        <f t="shared" ca="1" si="737"/>
        <v>0</v>
      </c>
      <c r="CG950" s="824">
        <f t="shared" ca="1" si="737"/>
        <v>0</v>
      </c>
      <c r="CH950" s="824">
        <f t="shared" ca="1" si="737"/>
        <v>0</v>
      </c>
      <c r="CI950" s="824">
        <f t="shared" ca="1" si="737"/>
        <v>0</v>
      </c>
      <c r="CJ950" s="824">
        <f t="shared" ca="1" si="737"/>
        <v>0</v>
      </c>
      <c r="CK950" s="824">
        <f t="shared" ca="1" si="737"/>
        <v>0</v>
      </c>
      <c r="CL950" s="824">
        <f t="shared" ca="1" si="737"/>
        <v>0</v>
      </c>
      <c r="CM950" s="824">
        <f t="shared" ca="1" si="737"/>
        <v>0</v>
      </c>
      <c r="CN950" s="824">
        <f t="shared" ca="1" si="737"/>
        <v>0</v>
      </c>
      <c r="CO950" s="824">
        <f t="shared" ca="1" si="737"/>
        <v>0</v>
      </c>
      <c r="CP950" s="824">
        <f t="shared" ca="1" si="737"/>
        <v>0</v>
      </c>
      <c r="CQ950" s="824">
        <f t="shared" ca="1" si="737"/>
        <v>0</v>
      </c>
      <c r="CR950" s="824">
        <f t="shared" ca="1" si="737"/>
        <v>0</v>
      </c>
      <c r="CS950" s="824">
        <f t="shared" ca="1" si="737"/>
        <v>0</v>
      </c>
      <c r="CT950" s="824">
        <f t="shared" ca="1" si="740"/>
        <v>0</v>
      </c>
      <c r="CU950" s="824">
        <f t="shared" ca="1" si="740"/>
        <v>0</v>
      </c>
      <c r="CV950" s="824">
        <f t="shared" ca="1" si="740"/>
        <v>0</v>
      </c>
      <c r="CW950" s="824">
        <f t="shared" ca="1" si="740"/>
        <v>0</v>
      </c>
      <c r="CX950" s="824">
        <f t="shared" ca="1" si="740"/>
        <v>0</v>
      </c>
      <c r="CY950" s="824">
        <f t="shared" ca="1" si="740"/>
        <v>0</v>
      </c>
      <c r="CZ950" s="824">
        <f t="shared" ca="1" si="740"/>
        <v>0</v>
      </c>
      <c r="DA950" s="824">
        <f t="shared" ca="1" si="740"/>
        <v>0</v>
      </c>
      <c r="DB950" s="824">
        <f t="shared" ca="1" si="740"/>
        <v>0</v>
      </c>
      <c r="DC950" s="824">
        <f t="shared" ca="1" si="740"/>
        <v>0</v>
      </c>
      <c r="DD950" s="824">
        <f t="shared" ca="1" si="740"/>
        <v>0</v>
      </c>
      <c r="DE950" s="824">
        <f t="shared" ca="1" si="740"/>
        <v>0</v>
      </c>
      <c r="DF950" s="824">
        <f t="shared" ca="1" si="740"/>
        <v>0</v>
      </c>
      <c r="DG950" s="824">
        <f t="shared" ca="1" si="740"/>
        <v>0</v>
      </c>
      <c r="DH950" s="824">
        <f t="shared" ca="1" si="740"/>
        <v>0</v>
      </c>
      <c r="DI950" s="824">
        <f t="shared" ca="1" si="740"/>
        <v>0</v>
      </c>
      <c r="DJ950" s="824">
        <f t="shared" ca="1" si="726"/>
        <v>0</v>
      </c>
      <c r="DK950" s="824">
        <f t="shared" ca="1" si="726"/>
        <v>0</v>
      </c>
      <c r="DL950" s="824">
        <f t="shared" ca="1" si="726"/>
        <v>0</v>
      </c>
    </row>
    <row r="951" spans="2:116" ht="12" thickBot="1" x14ac:dyDescent="0.3">
      <c r="B951" s="1673"/>
      <c r="C951" s="1680"/>
      <c r="D951" s="15" t="s">
        <v>40</v>
      </c>
      <c r="E951" s="165"/>
      <c r="F951" s="116">
        <f ca="1">SUBTOTAL(109,'3.5 I&amp;W'!$X$139)</f>
        <v>0</v>
      </c>
      <c r="G951" s="116">
        <f ca="1">SUBTOTAL(109,'3.5 I&amp;W'!$Y$139)</f>
        <v>0</v>
      </c>
      <c r="H951" s="116">
        <f ca="1">SUBTOTAL(109,'3.5 I&amp;W'!$AD$139)</f>
        <v>0</v>
      </c>
      <c r="I951" s="116">
        <f ca="1">SUBTOTAL(109,'3.5 I&amp;W'!$AE$139)</f>
        <v>0</v>
      </c>
      <c r="J951" s="116"/>
      <c r="K951" s="116"/>
      <c r="L951" s="116"/>
      <c r="M951" s="116">
        <f ca="1">SUBTOTAL(109,'3.5 I&amp;W'!$AI$139)</f>
        <v>50</v>
      </c>
      <c r="N951" s="156">
        <f t="shared" ca="1" si="677"/>
        <v>0</v>
      </c>
      <c r="O951" s="116">
        <f ca="1">SUBTOTAL(109,'3.5 I&amp;W'!$S$139)</f>
        <v>40502.400000000001</v>
      </c>
      <c r="P951" s="30">
        <f t="shared" ca="1" si="717"/>
        <v>0</v>
      </c>
      <c r="Q951" s="31">
        <f t="shared" ca="1" si="718"/>
        <v>0</v>
      </c>
      <c r="R951" s="31">
        <f t="shared" ca="1" si="719"/>
        <v>0</v>
      </c>
      <c r="S951" s="31">
        <f t="shared" ca="1" si="720"/>
        <v>0</v>
      </c>
      <c r="T951" s="32">
        <f t="shared" ca="1" si="721"/>
        <v>0</v>
      </c>
      <c r="U951" s="37">
        <f t="shared" ca="1" si="678"/>
        <v>6075.6955221970811</v>
      </c>
      <c r="V951" s="40">
        <f t="shared" ca="1" si="727"/>
        <v>0</v>
      </c>
      <c r="W951" s="41">
        <f t="shared" ca="1" si="728"/>
        <v>0</v>
      </c>
      <c r="X951" s="43"/>
      <c r="Y951" s="46"/>
      <c r="Z951" s="126"/>
      <c r="AA951" s="136"/>
      <c r="BK951" s="59"/>
      <c r="BL951" s="824">
        <f t="shared" ca="1" si="729"/>
        <v>50</v>
      </c>
      <c r="BM951" s="824">
        <f t="shared" ca="1" si="730"/>
        <v>0</v>
      </c>
      <c r="BN951" s="824">
        <f t="shared" ca="1" si="731"/>
        <v>40502.400000000001</v>
      </c>
      <c r="BO951" s="824">
        <f t="shared" ca="1" si="738"/>
        <v>0</v>
      </c>
      <c r="BP951" s="824">
        <f t="shared" ca="1" si="738"/>
        <v>0</v>
      </c>
      <c r="BQ951" s="824">
        <f t="shared" ca="1" si="738"/>
        <v>0</v>
      </c>
      <c r="BR951" s="824">
        <f t="shared" ca="1" si="738"/>
        <v>0</v>
      </c>
      <c r="BS951" s="824">
        <f t="shared" ca="1" si="738"/>
        <v>0</v>
      </c>
      <c r="BT951" s="824">
        <f t="shared" ca="1" si="738"/>
        <v>0</v>
      </c>
      <c r="BU951" s="824">
        <f t="shared" ca="1" si="738"/>
        <v>0</v>
      </c>
      <c r="BV951" s="824">
        <f t="shared" ca="1" si="738"/>
        <v>0</v>
      </c>
      <c r="BW951" s="824">
        <f t="shared" ca="1" si="738"/>
        <v>0</v>
      </c>
      <c r="BX951" s="824">
        <f t="shared" ca="1" si="738"/>
        <v>0</v>
      </c>
      <c r="BY951" s="824">
        <f t="shared" ca="1" si="738"/>
        <v>0</v>
      </c>
      <c r="BZ951" s="824">
        <f t="shared" ca="1" si="738"/>
        <v>0</v>
      </c>
      <c r="CA951" s="824">
        <f t="shared" ca="1" si="738"/>
        <v>0</v>
      </c>
      <c r="CB951" s="824">
        <f t="shared" ca="1" si="738"/>
        <v>0</v>
      </c>
      <c r="CC951" s="824">
        <f t="shared" ca="1" si="738"/>
        <v>0</v>
      </c>
      <c r="CD951" s="824">
        <f t="shared" ca="1" si="738"/>
        <v>0</v>
      </c>
      <c r="CE951" s="824">
        <f t="shared" ca="1" si="737"/>
        <v>0</v>
      </c>
      <c r="CF951" s="824">
        <f t="shared" ca="1" si="737"/>
        <v>0</v>
      </c>
      <c r="CG951" s="824">
        <f t="shared" ca="1" si="737"/>
        <v>0</v>
      </c>
      <c r="CH951" s="824">
        <f t="shared" ca="1" si="737"/>
        <v>0</v>
      </c>
      <c r="CI951" s="824">
        <f t="shared" ca="1" si="737"/>
        <v>0</v>
      </c>
      <c r="CJ951" s="824">
        <f t="shared" ca="1" si="737"/>
        <v>0</v>
      </c>
      <c r="CK951" s="824">
        <f t="shared" ca="1" si="737"/>
        <v>0</v>
      </c>
      <c r="CL951" s="824">
        <f t="shared" ca="1" si="737"/>
        <v>0</v>
      </c>
      <c r="CM951" s="824">
        <f t="shared" ca="1" si="737"/>
        <v>0</v>
      </c>
      <c r="CN951" s="824">
        <f t="shared" ca="1" si="737"/>
        <v>0</v>
      </c>
      <c r="CO951" s="824">
        <f t="shared" ca="1" si="737"/>
        <v>0</v>
      </c>
      <c r="CP951" s="824">
        <f t="shared" ca="1" si="737"/>
        <v>0</v>
      </c>
      <c r="CQ951" s="824">
        <f t="shared" ca="1" si="737"/>
        <v>0</v>
      </c>
      <c r="CR951" s="824">
        <f t="shared" ca="1" si="737"/>
        <v>0</v>
      </c>
      <c r="CS951" s="824">
        <f t="shared" ca="1" si="737"/>
        <v>0</v>
      </c>
      <c r="CT951" s="824">
        <f t="shared" ca="1" si="740"/>
        <v>0</v>
      </c>
      <c r="CU951" s="824">
        <f t="shared" ca="1" si="740"/>
        <v>0</v>
      </c>
      <c r="CV951" s="824">
        <f t="shared" ca="1" si="740"/>
        <v>0</v>
      </c>
      <c r="CW951" s="824">
        <f t="shared" ca="1" si="740"/>
        <v>0</v>
      </c>
      <c r="CX951" s="824">
        <f t="shared" ca="1" si="740"/>
        <v>0</v>
      </c>
      <c r="CY951" s="824">
        <f t="shared" ca="1" si="740"/>
        <v>0</v>
      </c>
      <c r="CZ951" s="824">
        <f t="shared" ca="1" si="740"/>
        <v>0</v>
      </c>
      <c r="DA951" s="824">
        <f t="shared" ca="1" si="740"/>
        <v>0</v>
      </c>
      <c r="DB951" s="824">
        <f t="shared" ca="1" si="740"/>
        <v>0</v>
      </c>
      <c r="DC951" s="824">
        <f t="shared" ca="1" si="740"/>
        <v>0</v>
      </c>
      <c r="DD951" s="824">
        <f t="shared" ca="1" si="740"/>
        <v>0</v>
      </c>
      <c r="DE951" s="824">
        <f t="shared" ca="1" si="740"/>
        <v>0</v>
      </c>
      <c r="DF951" s="824">
        <f t="shared" ca="1" si="740"/>
        <v>0</v>
      </c>
      <c r="DG951" s="824">
        <f t="shared" ca="1" si="740"/>
        <v>0</v>
      </c>
      <c r="DH951" s="824">
        <f t="shared" ca="1" si="740"/>
        <v>0</v>
      </c>
      <c r="DI951" s="824">
        <f t="shared" ca="1" si="740"/>
        <v>0</v>
      </c>
      <c r="DJ951" s="824">
        <f t="shared" ca="1" si="726"/>
        <v>0</v>
      </c>
      <c r="DK951" s="824">
        <f t="shared" ca="1" si="726"/>
        <v>0</v>
      </c>
      <c r="DL951" s="824">
        <f t="shared" ca="1" si="726"/>
        <v>0</v>
      </c>
    </row>
    <row r="952" spans="2:116" ht="12" thickBot="1" x14ac:dyDescent="0.3">
      <c r="B952" s="1673"/>
      <c r="C952" s="1680"/>
      <c r="D952" s="15" t="s">
        <v>40</v>
      </c>
      <c r="E952" s="116"/>
      <c r="F952" s="116">
        <f ca="1">SUBTOTAL(109,'3.5 I&amp;W'!$X$140)</f>
        <v>0</v>
      </c>
      <c r="G952" s="116">
        <f ca="1">SUBTOTAL(109,'3.5 I&amp;W'!$Y$140)</f>
        <v>0</v>
      </c>
      <c r="H952" s="116">
        <f ca="1">SUBTOTAL(109,'3.5 I&amp;W'!$AD$140)</f>
        <v>0</v>
      </c>
      <c r="I952" s="116">
        <f ca="1">SUBTOTAL(109,'3.5 I&amp;W'!$AE$140)</f>
        <v>0</v>
      </c>
      <c r="J952" s="116"/>
      <c r="K952" s="116"/>
      <c r="L952" s="116"/>
      <c r="M952" s="116">
        <f ca="1">SUBTOTAL(109,'3.5 I&amp;W'!$AI$140)</f>
        <v>0</v>
      </c>
      <c r="N952" s="156">
        <f t="shared" ca="1" si="677"/>
        <v>0</v>
      </c>
      <c r="O952" s="116">
        <f ca="1">SUBTOTAL(109,'3.5 I&amp;W'!$S$140)</f>
        <v>0</v>
      </c>
      <c r="P952" s="30">
        <f t="shared" ca="1" si="717"/>
        <v>0</v>
      </c>
      <c r="Q952" s="31">
        <f t="shared" ca="1" si="718"/>
        <v>0</v>
      </c>
      <c r="R952" s="31">
        <f t="shared" ca="1" si="719"/>
        <v>0</v>
      </c>
      <c r="S952" s="31">
        <f t="shared" ca="1" si="720"/>
        <v>0</v>
      </c>
      <c r="T952" s="32">
        <f t="shared" ca="1" si="721"/>
        <v>0</v>
      </c>
      <c r="U952" s="37">
        <f t="shared" ca="1" si="678"/>
        <v>0</v>
      </c>
      <c r="V952" s="40">
        <f t="shared" ca="1" si="727"/>
        <v>0</v>
      </c>
      <c r="W952" s="41">
        <f t="shared" ca="1" si="728"/>
        <v>0</v>
      </c>
      <c r="X952" s="43"/>
      <c r="Y952" s="46"/>
      <c r="Z952" s="126"/>
      <c r="AA952" s="136"/>
      <c r="BK952" s="59"/>
      <c r="BL952" s="824">
        <f t="shared" ca="1" si="729"/>
        <v>0</v>
      </c>
      <c r="BM952" s="824">
        <f t="shared" ca="1" si="730"/>
        <v>0</v>
      </c>
      <c r="BN952" s="824">
        <f t="shared" ca="1" si="731"/>
        <v>0</v>
      </c>
      <c r="BO952" s="824">
        <f t="shared" ca="1" si="738"/>
        <v>0</v>
      </c>
      <c r="BP952" s="824">
        <f t="shared" ca="1" si="738"/>
        <v>0</v>
      </c>
      <c r="BQ952" s="824">
        <f t="shared" ca="1" si="738"/>
        <v>0</v>
      </c>
      <c r="BR952" s="824">
        <f t="shared" ca="1" si="738"/>
        <v>0</v>
      </c>
      <c r="BS952" s="824">
        <f t="shared" ca="1" si="738"/>
        <v>0</v>
      </c>
      <c r="BT952" s="824">
        <f t="shared" ca="1" si="738"/>
        <v>0</v>
      </c>
      <c r="BU952" s="824">
        <f t="shared" ca="1" si="738"/>
        <v>0</v>
      </c>
      <c r="BV952" s="824">
        <f t="shared" ca="1" si="738"/>
        <v>0</v>
      </c>
      <c r="BW952" s="824">
        <f t="shared" ca="1" si="738"/>
        <v>0</v>
      </c>
      <c r="BX952" s="824">
        <f t="shared" ca="1" si="738"/>
        <v>0</v>
      </c>
      <c r="BY952" s="824">
        <f t="shared" ca="1" si="738"/>
        <v>0</v>
      </c>
      <c r="BZ952" s="824">
        <f t="shared" ca="1" si="738"/>
        <v>0</v>
      </c>
      <c r="CA952" s="824">
        <f t="shared" ca="1" si="738"/>
        <v>0</v>
      </c>
      <c r="CB952" s="824">
        <f t="shared" ca="1" si="738"/>
        <v>0</v>
      </c>
      <c r="CC952" s="824">
        <f t="shared" ca="1" si="738"/>
        <v>0</v>
      </c>
      <c r="CD952" s="824">
        <f t="shared" ca="1" si="738"/>
        <v>0</v>
      </c>
      <c r="CE952" s="824">
        <f t="shared" ca="1" si="737"/>
        <v>0</v>
      </c>
      <c r="CF952" s="824">
        <f t="shared" ca="1" si="737"/>
        <v>0</v>
      </c>
      <c r="CG952" s="824">
        <f t="shared" ca="1" si="737"/>
        <v>0</v>
      </c>
      <c r="CH952" s="824">
        <f t="shared" ca="1" si="737"/>
        <v>0</v>
      </c>
      <c r="CI952" s="824">
        <f t="shared" ca="1" si="737"/>
        <v>0</v>
      </c>
      <c r="CJ952" s="824">
        <f t="shared" ca="1" si="737"/>
        <v>0</v>
      </c>
      <c r="CK952" s="824">
        <f t="shared" ca="1" si="737"/>
        <v>0</v>
      </c>
      <c r="CL952" s="824">
        <f t="shared" ca="1" si="737"/>
        <v>0</v>
      </c>
      <c r="CM952" s="824">
        <f t="shared" ca="1" si="737"/>
        <v>0</v>
      </c>
      <c r="CN952" s="824">
        <f t="shared" ca="1" si="737"/>
        <v>0</v>
      </c>
      <c r="CO952" s="824">
        <f t="shared" ca="1" si="737"/>
        <v>0</v>
      </c>
      <c r="CP952" s="824">
        <f t="shared" ca="1" si="737"/>
        <v>0</v>
      </c>
      <c r="CQ952" s="824">
        <f t="shared" ca="1" si="737"/>
        <v>0</v>
      </c>
      <c r="CR952" s="824">
        <f t="shared" ca="1" si="737"/>
        <v>0</v>
      </c>
      <c r="CS952" s="824">
        <f t="shared" ca="1" si="737"/>
        <v>0</v>
      </c>
      <c r="CT952" s="824">
        <f t="shared" ca="1" si="740"/>
        <v>0</v>
      </c>
      <c r="CU952" s="824">
        <f t="shared" ca="1" si="740"/>
        <v>0</v>
      </c>
      <c r="CV952" s="824">
        <f t="shared" ca="1" si="740"/>
        <v>0</v>
      </c>
      <c r="CW952" s="824">
        <f t="shared" ca="1" si="740"/>
        <v>0</v>
      </c>
      <c r="CX952" s="824">
        <f t="shared" ca="1" si="740"/>
        <v>0</v>
      </c>
      <c r="CY952" s="824">
        <f t="shared" ca="1" si="740"/>
        <v>0</v>
      </c>
      <c r="CZ952" s="824">
        <f t="shared" ca="1" si="740"/>
        <v>0</v>
      </c>
      <c r="DA952" s="824">
        <f t="shared" ca="1" si="740"/>
        <v>0</v>
      </c>
      <c r="DB952" s="824">
        <f t="shared" ca="1" si="740"/>
        <v>0</v>
      </c>
      <c r="DC952" s="824">
        <f t="shared" ca="1" si="740"/>
        <v>0</v>
      </c>
      <c r="DD952" s="824">
        <f t="shared" ca="1" si="740"/>
        <v>0</v>
      </c>
      <c r="DE952" s="824">
        <f t="shared" ca="1" si="740"/>
        <v>0</v>
      </c>
      <c r="DF952" s="824">
        <f t="shared" ca="1" si="740"/>
        <v>0</v>
      </c>
      <c r="DG952" s="824">
        <f t="shared" ca="1" si="740"/>
        <v>0</v>
      </c>
      <c r="DH952" s="824">
        <f t="shared" ca="1" si="740"/>
        <v>0</v>
      </c>
      <c r="DI952" s="824">
        <f t="shared" ca="1" si="740"/>
        <v>0</v>
      </c>
      <c r="DJ952" s="824">
        <f t="shared" ca="1" si="726"/>
        <v>0</v>
      </c>
      <c r="DK952" s="824">
        <f t="shared" ca="1" si="726"/>
        <v>0</v>
      </c>
      <c r="DL952" s="824">
        <f t="shared" ca="1" si="726"/>
        <v>0</v>
      </c>
    </row>
    <row r="953" spans="2:116" ht="12" thickBot="1" x14ac:dyDescent="0.3">
      <c r="B953" s="1673"/>
      <c r="C953" s="1680"/>
      <c r="D953" s="15" t="s">
        <v>40</v>
      </c>
      <c r="E953" s="165"/>
      <c r="F953" s="116">
        <f ca="1">SUBTOTAL(109,'3.5 I&amp;W'!$X$141)</f>
        <v>0</v>
      </c>
      <c r="G953" s="116">
        <f ca="1">SUBTOTAL(109,'3.5 I&amp;W'!$Y$141)</f>
        <v>0</v>
      </c>
      <c r="H953" s="116">
        <f ca="1">SUBTOTAL(109,'3.5 I&amp;W'!$AD$141)</f>
        <v>0</v>
      </c>
      <c r="I953" s="116">
        <f ca="1">SUBTOTAL(109,'3.5 I&amp;W'!$AE$141)</f>
        <v>0</v>
      </c>
      <c r="J953" s="116"/>
      <c r="K953" s="116"/>
      <c r="L953" s="116"/>
      <c r="M953" s="116">
        <f ca="1">SUBTOTAL(109,'3.5 I&amp;W'!$AI$141)</f>
        <v>0</v>
      </c>
      <c r="N953" s="156">
        <f t="shared" ca="1" si="677"/>
        <v>0</v>
      </c>
      <c r="O953" s="116">
        <f ca="1">SUBTOTAL(109,'3.5 I&amp;W'!$S$141)</f>
        <v>0</v>
      </c>
      <c r="P953" s="30">
        <f t="shared" ca="1" si="717"/>
        <v>0</v>
      </c>
      <c r="Q953" s="31">
        <f t="shared" ca="1" si="718"/>
        <v>0</v>
      </c>
      <c r="R953" s="31">
        <f t="shared" ca="1" si="719"/>
        <v>0</v>
      </c>
      <c r="S953" s="31">
        <f t="shared" ca="1" si="720"/>
        <v>0</v>
      </c>
      <c r="T953" s="32">
        <f t="shared" ca="1" si="721"/>
        <v>0</v>
      </c>
      <c r="U953" s="37">
        <f t="shared" ca="1" si="678"/>
        <v>0</v>
      </c>
      <c r="V953" s="40">
        <f t="shared" ca="1" si="727"/>
        <v>0</v>
      </c>
      <c r="W953" s="41">
        <f t="shared" ca="1" si="728"/>
        <v>0</v>
      </c>
      <c r="X953" s="43"/>
      <c r="Y953" s="46"/>
      <c r="Z953" s="126"/>
      <c r="AA953" s="136"/>
      <c r="AB953" s="87"/>
      <c r="AC953" s="87"/>
      <c r="AD953" s="87"/>
      <c r="AE953" s="87"/>
      <c r="AF953" s="87"/>
      <c r="AG953" s="90"/>
      <c r="AH953" s="87"/>
      <c r="AI953" s="87"/>
      <c r="AJ953" s="87"/>
      <c r="AK953" s="87"/>
      <c r="AL953" s="87"/>
      <c r="AM953" s="91"/>
      <c r="AN953" s="72"/>
      <c r="AO953" s="72"/>
      <c r="AP953" s="72"/>
      <c r="AQ953" s="72"/>
      <c r="AR953" s="72"/>
      <c r="AS953" s="72"/>
      <c r="AT953" s="72"/>
      <c r="AU953" s="72"/>
      <c r="AV953" s="72"/>
      <c r="AW953" s="72"/>
      <c r="AX953" s="72"/>
      <c r="AY953" s="72"/>
      <c r="AZ953" s="72"/>
      <c r="BA953" s="72"/>
      <c r="BB953" s="72"/>
      <c r="BC953" s="72"/>
      <c r="BD953" s="72"/>
      <c r="BE953" s="72"/>
      <c r="BF953" s="72"/>
      <c r="BG953" s="72"/>
      <c r="BH953" s="72"/>
      <c r="BI953" s="72"/>
      <c r="BJ953" s="72"/>
      <c r="BK953" s="3"/>
      <c r="BL953" s="824">
        <f t="shared" ca="1" si="729"/>
        <v>0</v>
      </c>
      <c r="BM953" s="824">
        <f t="shared" ca="1" si="730"/>
        <v>0</v>
      </c>
      <c r="BN953" s="824">
        <f t="shared" ca="1" si="731"/>
        <v>0</v>
      </c>
      <c r="BO953" s="824">
        <f t="shared" ca="1" si="738"/>
        <v>0</v>
      </c>
      <c r="BP953" s="824">
        <f t="shared" ca="1" si="738"/>
        <v>0</v>
      </c>
      <c r="BQ953" s="824">
        <f t="shared" ca="1" si="738"/>
        <v>0</v>
      </c>
      <c r="BR953" s="824">
        <f t="shared" ca="1" si="738"/>
        <v>0</v>
      </c>
      <c r="BS953" s="824">
        <f t="shared" ca="1" si="738"/>
        <v>0</v>
      </c>
      <c r="BT953" s="824">
        <f t="shared" ca="1" si="738"/>
        <v>0</v>
      </c>
      <c r="BU953" s="824">
        <f t="shared" ca="1" si="738"/>
        <v>0</v>
      </c>
      <c r="BV953" s="824">
        <f t="shared" ca="1" si="738"/>
        <v>0</v>
      </c>
      <c r="BW953" s="824">
        <f t="shared" ca="1" si="738"/>
        <v>0</v>
      </c>
      <c r="BX953" s="824">
        <f t="shared" ca="1" si="738"/>
        <v>0</v>
      </c>
      <c r="BY953" s="824">
        <f t="shared" ca="1" si="738"/>
        <v>0</v>
      </c>
      <c r="BZ953" s="824">
        <f t="shared" ca="1" si="738"/>
        <v>0</v>
      </c>
      <c r="CA953" s="824">
        <f t="shared" ca="1" si="738"/>
        <v>0</v>
      </c>
      <c r="CB953" s="824">
        <f t="shared" ca="1" si="738"/>
        <v>0</v>
      </c>
      <c r="CC953" s="824">
        <f t="shared" ca="1" si="738"/>
        <v>0</v>
      </c>
      <c r="CD953" s="824">
        <f t="shared" ca="1" si="738"/>
        <v>0</v>
      </c>
      <c r="CE953" s="824">
        <f t="shared" ca="1" si="737"/>
        <v>0</v>
      </c>
      <c r="CF953" s="824">
        <f t="shared" ca="1" si="737"/>
        <v>0</v>
      </c>
      <c r="CG953" s="824">
        <f t="shared" ca="1" si="737"/>
        <v>0</v>
      </c>
      <c r="CH953" s="824">
        <f t="shared" ca="1" si="737"/>
        <v>0</v>
      </c>
      <c r="CI953" s="824">
        <f t="shared" ca="1" si="737"/>
        <v>0</v>
      </c>
      <c r="CJ953" s="824">
        <f t="shared" ca="1" si="737"/>
        <v>0</v>
      </c>
      <c r="CK953" s="824">
        <f t="shared" ca="1" si="737"/>
        <v>0</v>
      </c>
      <c r="CL953" s="824">
        <f t="shared" ca="1" si="737"/>
        <v>0</v>
      </c>
      <c r="CM953" s="824">
        <f t="shared" ca="1" si="737"/>
        <v>0</v>
      </c>
      <c r="CN953" s="824">
        <f t="shared" ca="1" si="737"/>
        <v>0</v>
      </c>
      <c r="CO953" s="824">
        <f t="shared" ca="1" si="737"/>
        <v>0</v>
      </c>
      <c r="CP953" s="824">
        <f t="shared" ca="1" si="737"/>
        <v>0</v>
      </c>
      <c r="CQ953" s="824">
        <f t="shared" ca="1" si="737"/>
        <v>0</v>
      </c>
      <c r="CR953" s="824">
        <f t="shared" ca="1" si="737"/>
        <v>0</v>
      </c>
      <c r="CS953" s="824">
        <f t="shared" ca="1" si="737"/>
        <v>0</v>
      </c>
      <c r="CT953" s="824">
        <f t="shared" ca="1" si="740"/>
        <v>0</v>
      </c>
      <c r="CU953" s="824">
        <f t="shared" ca="1" si="740"/>
        <v>0</v>
      </c>
      <c r="CV953" s="824">
        <f t="shared" ca="1" si="740"/>
        <v>0</v>
      </c>
      <c r="CW953" s="824">
        <f t="shared" ca="1" si="740"/>
        <v>0</v>
      </c>
      <c r="CX953" s="824">
        <f t="shared" ca="1" si="740"/>
        <v>0</v>
      </c>
      <c r="CY953" s="824">
        <f t="shared" ca="1" si="740"/>
        <v>0</v>
      </c>
      <c r="CZ953" s="824">
        <f t="shared" ca="1" si="740"/>
        <v>0</v>
      </c>
      <c r="DA953" s="824">
        <f t="shared" ca="1" si="740"/>
        <v>0</v>
      </c>
      <c r="DB953" s="824">
        <f t="shared" ca="1" si="740"/>
        <v>0</v>
      </c>
      <c r="DC953" s="824">
        <f t="shared" ca="1" si="740"/>
        <v>0</v>
      </c>
      <c r="DD953" s="824">
        <f t="shared" ca="1" si="740"/>
        <v>0</v>
      </c>
      <c r="DE953" s="824">
        <f t="shared" ca="1" si="740"/>
        <v>0</v>
      </c>
      <c r="DF953" s="824">
        <f t="shared" ca="1" si="740"/>
        <v>0</v>
      </c>
      <c r="DG953" s="824">
        <f t="shared" ca="1" si="740"/>
        <v>0</v>
      </c>
      <c r="DH953" s="824">
        <f t="shared" ca="1" si="740"/>
        <v>0</v>
      </c>
      <c r="DI953" s="824">
        <f t="shared" ca="1" si="740"/>
        <v>0</v>
      </c>
      <c r="DJ953" s="824">
        <f t="shared" ca="1" si="726"/>
        <v>0</v>
      </c>
      <c r="DK953" s="824">
        <f t="shared" ca="1" si="726"/>
        <v>0</v>
      </c>
      <c r="DL953" s="824">
        <f t="shared" ca="1" si="726"/>
        <v>0</v>
      </c>
    </row>
    <row r="954" spans="2:116" ht="12" thickBot="1" x14ac:dyDescent="0.3">
      <c r="B954" s="1673"/>
      <c r="C954" s="1680"/>
      <c r="D954" s="15" t="s">
        <v>36</v>
      </c>
      <c r="E954" s="116"/>
      <c r="F954" s="116">
        <f ca="1">SUBTOTAL(109,'3.5 I&amp;W'!$X$145)</f>
        <v>0</v>
      </c>
      <c r="G954" s="116">
        <f ca="1">SUBTOTAL(109,'3.5 I&amp;W'!$Y$145)</f>
        <v>0</v>
      </c>
      <c r="H954" s="116">
        <f ca="1">SUBTOTAL(109,'3.5 I&amp;W'!$AD$145)</f>
        <v>0</v>
      </c>
      <c r="I954" s="116">
        <f ca="1">SUBTOTAL(109,'3.5 I&amp;W'!$AE$145)</f>
        <v>0</v>
      </c>
      <c r="J954" s="116"/>
      <c r="K954" s="116"/>
      <c r="L954" s="116"/>
      <c r="M954" s="116">
        <f ca="1">SUBTOTAL(109,'3.5 I&amp;W'!$AI$145)</f>
        <v>15</v>
      </c>
      <c r="N954" s="156">
        <f t="shared" ca="1" si="677"/>
        <v>2</v>
      </c>
      <c r="O954" s="116">
        <f ca="1">SUBTOTAL(109,'3.5 I&amp;W'!$S$145)</f>
        <v>9000</v>
      </c>
      <c r="P954" s="30">
        <f t="shared" ca="1" si="717"/>
        <v>8484.877023982237</v>
      </c>
      <c r="Q954" s="31">
        <f t="shared" ca="1" si="718"/>
        <v>7999.2375680112937</v>
      </c>
      <c r="R954" s="31">
        <f t="shared" ca="1" si="719"/>
        <v>0</v>
      </c>
      <c r="S954" s="31">
        <f t="shared" ca="1" si="720"/>
        <v>0</v>
      </c>
      <c r="T954" s="32">
        <f t="shared" ca="1" si="721"/>
        <v>0</v>
      </c>
      <c r="U954" s="37">
        <f t="shared" ca="1" si="678"/>
        <v>4830.1039469978377</v>
      </c>
      <c r="V954" s="40">
        <f t="shared" ca="1" si="727"/>
        <v>0</v>
      </c>
      <c r="W954" s="41">
        <f t="shared" ca="1" si="728"/>
        <v>0</v>
      </c>
      <c r="X954" s="43"/>
      <c r="Y954" s="46"/>
      <c r="Z954" s="126"/>
      <c r="AA954" s="136"/>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824">
        <f t="shared" ca="1" si="729"/>
        <v>15</v>
      </c>
      <c r="BM954" s="824">
        <f t="shared" ca="1" si="730"/>
        <v>2</v>
      </c>
      <c r="BN954" s="824">
        <f t="shared" ca="1" si="731"/>
        <v>9000</v>
      </c>
      <c r="BO954" s="824">
        <f t="shared" ca="1" si="738"/>
        <v>0</v>
      </c>
      <c r="BP954" s="824">
        <f t="shared" ca="1" si="738"/>
        <v>0</v>
      </c>
      <c r="BQ954" s="824">
        <f t="shared" ca="1" si="738"/>
        <v>0</v>
      </c>
      <c r="BR954" s="824">
        <f t="shared" ca="1" si="738"/>
        <v>0</v>
      </c>
      <c r="BS954" s="824">
        <f t="shared" ca="1" si="738"/>
        <v>0</v>
      </c>
      <c r="BT954" s="824">
        <f t="shared" ca="1" si="738"/>
        <v>0</v>
      </c>
      <c r="BU954" s="824">
        <f t="shared" ca="1" si="738"/>
        <v>0</v>
      </c>
      <c r="BV954" s="824">
        <f t="shared" ca="1" si="738"/>
        <v>0</v>
      </c>
      <c r="BW954" s="824">
        <f t="shared" ca="1" si="738"/>
        <v>0</v>
      </c>
      <c r="BX954" s="824">
        <f t="shared" ca="1" si="738"/>
        <v>0</v>
      </c>
      <c r="BY954" s="824">
        <f t="shared" ca="1" si="738"/>
        <v>0</v>
      </c>
      <c r="BZ954" s="824">
        <f t="shared" ca="1" si="738"/>
        <v>0</v>
      </c>
      <c r="CA954" s="824">
        <f t="shared" ca="1" si="738"/>
        <v>0</v>
      </c>
      <c r="CB954" s="824">
        <f t="shared" ca="1" si="738"/>
        <v>0</v>
      </c>
      <c r="CC954" s="824">
        <f t="shared" ca="1" si="738"/>
        <v>11419.527341151555</v>
      </c>
      <c r="CD954" s="824">
        <f t="shared" ca="1" si="738"/>
        <v>0</v>
      </c>
      <c r="CE954" s="824">
        <f t="shared" ca="1" si="737"/>
        <v>0</v>
      </c>
      <c r="CF954" s="824">
        <f t="shared" ca="1" si="737"/>
        <v>0</v>
      </c>
      <c r="CG954" s="824">
        <f t="shared" ca="1" si="737"/>
        <v>0</v>
      </c>
      <c r="CH954" s="824">
        <f t="shared" ca="1" si="737"/>
        <v>0</v>
      </c>
      <c r="CI954" s="824">
        <f t="shared" ca="1" si="737"/>
        <v>0</v>
      </c>
      <c r="CJ954" s="824">
        <f t="shared" ca="1" si="737"/>
        <v>0</v>
      </c>
      <c r="CK954" s="824">
        <f t="shared" ca="1" si="737"/>
        <v>0</v>
      </c>
      <c r="CL954" s="824">
        <f t="shared" ca="1" si="737"/>
        <v>0</v>
      </c>
      <c r="CM954" s="824">
        <f t="shared" ca="1" si="737"/>
        <v>0</v>
      </c>
      <c r="CN954" s="824">
        <f t="shared" ca="1" si="737"/>
        <v>0</v>
      </c>
      <c r="CO954" s="824">
        <f t="shared" ca="1" si="737"/>
        <v>0</v>
      </c>
      <c r="CP954" s="824">
        <f t="shared" ca="1" si="737"/>
        <v>0</v>
      </c>
      <c r="CQ954" s="824">
        <f t="shared" ca="1" si="737"/>
        <v>0</v>
      </c>
      <c r="CR954" s="824">
        <f t="shared" ca="1" si="737"/>
        <v>14489.511632811993</v>
      </c>
      <c r="CS954" s="824">
        <f t="shared" ca="1" si="737"/>
        <v>0</v>
      </c>
      <c r="CT954" s="824">
        <f t="shared" ca="1" si="740"/>
        <v>0</v>
      </c>
      <c r="CU954" s="824">
        <f t="shared" ca="1" si="740"/>
        <v>0</v>
      </c>
      <c r="CV954" s="824">
        <f t="shared" ca="1" si="740"/>
        <v>0</v>
      </c>
      <c r="CW954" s="824">
        <f t="shared" ca="1" si="740"/>
        <v>0</v>
      </c>
      <c r="CX954" s="824">
        <f t="shared" ca="1" si="740"/>
        <v>0</v>
      </c>
      <c r="CY954" s="824">
        <f t="shared" ca="1" si="740"/>
        <v>0</v>
      </c>
      <c r="CZ954" s="824">
        <f t="shared" ca="1" si="740"/>
        <v>0</v>
      </c>
      <c r="DA954" s="824">
        <f t="shared" ca="1" si="740"/>
        <v>0</v>
      </c>
      <c r="DB954" s="824">
        <f t="shared" ca="1" si="740"/>
        <v>0</v>
      </c>
      <c r="DC954" s="824">
        <f t="shared" ca="1" si="740"/>
        <v>0</v>
      </c>
      <c r="DD954" s="824">
        <f t="shared" ca="1" si="740"/>
        <v>0</v>
      </c>
      <c r="DE954" s="824">
        <f t="shared" ca="1" si="740"/>
        <v>0</v>
      </c>
      <c r="DF954" s="824">
        <f t="shared" ca="1" si="740"/>
        <v>0</v>
      </c>
      <c r="DG954" s="824">
        <f t="shared" ca="1" si="740"/>
        <v>0</v>
      </c>
      <c r="DH954" s="824">
        <f t="shared" ca="1" si="740"/>
        <v>0</v>
      </c>
      <c r="DI954" s="824">
        <f t="shared" ca="1" si="740"/>
        <v>0</v>
      </c>
      <c r="DJ954" s="824">
        <f t="shared" ca="1" si="726"/>
        <v>0</v>
      </c>
      <c r="DK954" s="824">
        <f t="shared" ca="1" si="726"/>
        <v>0</v>
      </c>
      <c r="DL954" s="824">
        <f t="shared" ca="1" si="726"/>
        <v>0</v>
      </c>
    </row>
    <row r="955" spans="2:116" ht="12" thickBot="1" x14ac:dyDescent="0.3">
      <c r="B955" s="1673"/>
      <c r="C955" s="1680"/>
      <c r="D955" s="15" t="s">
        <v>36</v>
      </c>
      <c r="E955" s="116"/>
      <c r="F955" s="116">
        <f ca="1">SUBTOTAL(109,'3.5 I&amp;W'!$X$146)</f>
        <v>0</v>
      </c>
      <c r="G955" s="116">
        <f ca="1">SUBTOTAL(109,'3.5 I&amp;W'!$Y$146)</f>
        <v>0</v>
      </c>
      <c r="H955" s="116">
        <f ca="1">SUBTOTAL(109,'3.5 I&amp;W'!$AD$146)</f>
        <v>1.6271121521486132E-2</v>
      </c>
      <c r="I955" s="116">
        <f ca="1">SUBTOTAL(109,'3.5 I&amp;W'!$AE$146)</f>
        <v>2209</v>
      </c>
      <c r="J955" s="116"/>
      <c r="K955" s="116"/>
      <c r="L955" s="116"/>
      <c r="M955" s="116">
        <f ca="1">SUBTOTAL(109,'3.5 I&amp;W'!$AI$146)</f>
        <v>50</v>
      </c>
      <c r="N955" s="156">
        <f t="shared" ca="1" si="677"/>
        <v>0</v>
      </c>
      <c r="O955" s="116">
        <f ca="1">SUBTOTAL(109,'3.5 I&amp;W'!$S$146)</f>
        <v>135762</v>
      </c>
      <c r="P955" s="30">
        <f t="shared" ca="1" si="717"/>
        <v>0</v>
      </c>
      <c r="Q955" s="31">
        <f t="shared" ca="1" si="718"/>
        <v>0</v>
      </c>
      <c r="R955" s="31">
        <f t="shared" ca="1" si="719"/>
        <v>0</v>
      </c>
      <c r="S955" s="31">
        <f t="shared" ca="1" si="720"/>
        <v>0</v>
      </c>
      <c r="T955" s="32">
        <f t="shared" ca="1" si="721"/>
        <v>0</v>
      </c>
      <c r="U955" s="37">
        <f t="shared" ca="1" si="678"/>
        <v>20365.424653465478</v>
      </c>
      <c r="V955" s="40">
        <f t="shared" ca="1" si="727"/>
        <v>0</v>
      </c>
      <c r="W955" s="41">
        <f t="shared" ca="1" si="728"/>
        <v>70957.060092180356</v>
      </c>
      <c r="X955" s="43"/>
      <c r="Y955" s="46"/>
      <c r="Z955" s="126"/>
      <c r="AA955" s="136"/>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824">
        <f t="shared" ca="1" si="729"/>
        <v>50</v>
      </c>
      <c r="BM955" s="824">
        <f t="shared" ca="1" si="730"/>
        <v>0</v>
      </c>
      <c r="BN955" s="824">
        <f t="shared" ca="1" si="731"/>
        <v>135762</v>
      </c>
      <c r="BO955" s="824">
        <f t="shared" ca="1" si="738"/>
        <v>0</v>
      </c>
      <c r="BP955" s="824">
        <f t="shared" ca="1" si="738"/>
        <v>0</v>
      </c>
      <c r="BQ955" s="824">
        <f t="shared" ca="1" si="738"/>
        <v>0</v>
      </c>
      <c r="BR955" s="824">
        <f t="shared" ca="1" si="738"/>
        <v>0</v>
      </c>
      <c r="BS955" s="824">
        <f t="shared" ca="1" si="738"/>
        <v>0</v>
      </c>
      <c r="BT955" s="824">
        <f t="shared" ca="1" si="738"/>
        <v>0</v>
      </c>
      <c r="BU955" s="824">
        <f t="shared" ca="1" si="738"/>
        <v>0</v>
      </c>
      <c r="BV955" s="824">
        <f t="shared" ca="1" si="738"/>
        <v>0</v>
      </c>
      <c r="BW955" s="824">
        <f t="shared" ca="1" si="738"/>
        <v>0</v>
      </c>
      <c r="BX955" s="824">
        <f t="shared" ca="1" si="738"/>
        <v>0</v>
      </c>
      <c r="BY955" s="824">
        <f t="shared" ca="1" si="738"/>
        <v>0</v>
      </c>
      <c r="BZ955" s="824">
        <f t="shared" ca="1" si="738"/>
        <v>0</v>
      </c>
      <c r="CA955" s="824">
        <f t="shared" ca="1" si="738"/>
        <v>0</v>
      </c>
      <c r="CB955" s="824">
        <f t="shared" ca="1" si="738"/>
        <v>0</v>
      </c>
      <c r="CC955" s="824">
        <f t="shared" ca="1" si="738"/>
        <v>0</v>
      </c>
      <c r="CD955" s="824">
        <f t="shared" ca="1" si="738"/>
        <v>0</v>
      </c>
      <c r="CE955" s="824">
        <f t="shared" ca="1" si="737"/>
        <v>0</v>
      </c>
      <c r="CF955" s="824">
        <f t="shared" ca="1" si="737"/>
        <v>0</v>
      </c>
      <c r="CG955" s="824">
        <f t="shared" ca="1" si="737"/>
        <v>0</v>
      </c>
      <c r="CH955" s="824">
        <f t="shared" ca="1" si="737"/>
        <v>0</v>
      </c>
      <c r="CI955" s="824">
        <f t="shared" ca="1" si="737"/>
        <v>0</v>
      </c>
      <c r="CJ955" s="824">
        <f t="shared" ca="1" si="737"/>
        <v>0</v>
      </c>
      <c r="CK955" s="824">
        <f t="shared" ca="1" si="737"/>
        <v>0</v>
      </c>
      <c r="CL955" s="824">
        <f t="shared" ca="1" si="737"/>
        <v>0</v>
      </c>
      <c r="CM955" s="824">
        <f t="shared" ca="1" si="737"/>
        <v>0</v>
      </c>
      <c r="CN955" s="824">
        <f t="shared" ca="1" si="737"/>
        <v>0</v>
      </c>
      <c r="CO955" s="824">
        <f t="shared" ca="1" si="737"/>
        <v>0</v>
      </c>
      <c r="CP955" s="824">
        <f t="shared" ca="1" si="737"/>
        <v>0</v>
      </c>
      <c r="CQ955" s="824">
        <f t="shared" ca="1" si="737"/>
        <v>0</v>
      </c>
      <c r="CR955" s="824">
        <f t="shared" ca="1" si="737"/>
        <v>0</v>
      </c>
      <c r="CS955" s="824">
        <f t="shared" ca="1" si="737"/>
        <v>0</v>
      </c>
      <c r="CT955" s="824">
        <f t="shared" ca="1" si="740"/>
        <v>0</v>
      </c>
      <c r="CU955" s="824">
        <f t="shared" ca="1" si="740"/>
        <v>0</v>
      </c>
      <c r="CV955" s="824">
        <f t="shared" ca="1" si="740"/>
        <v>0</v>
      </c>
      <c r="CW955" s="824">
        <f t="shared" ca="1" si="740"/>
        <v>0</v>
      </c>
      <c r="CX955" s="824">
        <f t="shared" ca="1" si="740"/>
        <v>0</v>
      </c>
      <c r="CY955" s="824">
        <f t="shared" ca="1" si="740"/>
        <v>0</v>
      </c>
      <c r="CZ955" s="824">
        <f t="shared" ca="1" si="740"/>
        <v>0</v>
      </c>
      <c r="DA955" s="824">
        <f t="shared" ca="1" si="740"/>
        <v>0</v>
      </c>
      <c r="DB955" s="824">
        <f t="shared" ca="1" si="740"/>
        <v>0</v>
      </c>
      <c r="DC955" s="824">
        <f t="shared" ca="1" si="740"/>
        <v>0</v>
      </c>
      <c r="DD955" s="824">
        <f t="shared" ca="1" si="740"/>
        <v>0</v>
      </c>
      <c r="DE955" s="824">
        <f t="shared" ca="1" si="740"/>
        <v>0</v>
      </c>
      <c r="DF955" s="824">
        <f t="shared" ca="1" si="740"/>
        <v>0</v>
      </c>
      <c r="DG955" s="824">
        <f t="shared" ca="1" si="740"/>
        <v>0</v>
      </c>
      <c r="DH955" s="824">
        <f t="shared" ca="1" si="740"/>
        <v>0</v>
      </c>
      <c r="DI955" s="824">
        <f t="shared" ca="1" si="740"/>
        <v>0</v>
      </c>
      <c r="DJ955" s="824">
        <f t="shared" ca="1" si="726"/>
        <v>0</v>
      </c>
      <c r="DK955" s="824">
        <f t="shared" ca="1" si="726"/>
        <v>0</v>
      </c>
      <c r="DL955" s="824">
        <f t="shared" ca="1" si="726"/>
        <v>0</v>
      </c>
    </row>
    <row r="956" spans="2:116" ht="12" thickBot="1" x14ac:dyDescent="0.3">
      <c r="B956" s="1673"/>
      <c r="C956" s="1680"/>
      <c r="D956" s="15" t="s">
        <v>194</v>
      </c>
      <c r="E956" s="165"/>
      <c r="F956" s="116">
        <f ca="1">SUBTOTAL(109,'3.5 I&amp;W'!$X$149)</f>
        <v>0</v>
      </c>
      <c r="G956" s="116">
        <f ca="1">SUBTOTAL(109,'3.5 I&amp;W'!$Y$149)</f>
        <v>0</v>
      </c>
      <c r="H956" s="116">
        <f ca="1">SUBTOTAL(109,'3.5 I&amp;W'!$AD$149)</f>
        <v>0</v>
      </c>
      <c r="I956" s="116">
        <f ca="1">SUBTOTAL(109,'3.5 I&amp;W'!$AE$149)</f>
        <v>0</v>
      </c>
      <c r="J956" s="116"/>
      <c r="K956" s="116"/>
      <c r="L956" s="116"/>
      <c r="M956" s="116">
        <f ca="1">SUBTOTAL(109,'3.5 I&amp;W'!$AI$149)</f>
        <v>0</v>
      </c>
      <c r="N956" s="156">
        <f t="shared" ca="1" si="677"/>
        <v>0</v>
      </c>
      <c r="O956" s="116">
        <f ca="1">SUBTOTAL(109,'3.5 I&amp;W'!$S$149)</f>
        <v>0</v>
      </c>
      <c r="P956" s="30">
        <f t="shared" ca="1" si="717"/>
        <v>0</v>
      </c>
      <c r="Q956" s="31">
        <f t="shared" ca="1" si="718"/>
        <v>0</v>
      </c>
      <c r="R956" s="31">
        <f t="shared" ca="1" si="719"/>
        <v>0</v>
      </c>
      <c r="S956" s="31">
        <f t="shared" ca="1" si="720"/>
        <v>0</v>
      </c>
      <c r="T956" s="32">
        <f t="shared" ca="1" si="721"/>
        <v>0</v>
      </c>
      <c r="U956" s="37">
        <f t="shared" ca="1" si="678"/>
        <v>0</v>
      </c>
      <c r="V956" s="40">
        <f t="shared" ca="1" si="727"/>
        <v>0</v>
      </c>
      <c r="W956" s="41">
        <f t="shared" ca="1" si="728"/>
        <v>0</v>
      </c>
      <c r="X956" s="43"/>
      <c r="Y956" s="46"/>
      <c r="Z956" s="126"/>
      <c r="AA956" s="136"/>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824">
        <f t="shared" ca="1" si="729"/>
        <v>0</v>
      </c>
      <c r="BM956" s="824">
        <f t="shared" ca="1" si="730"/>
        <v>0</v>
      </c>
      <c r="BN956" s="824">
        <f t="shared" ca="1" si="731"/>
        <v>0</v>
      </c>
      <c r="BO956" s="824">
        <f t="shared" ca="1" si="738"/>
        <v>0</v>
      </c>
      <c r="BP956" s="824">
        <f t="shared" ca="1" si="738"/>
        <v>0</v>
      </c>
      <c r="BQ956" s="824">
        <f t="shared" ca="1" si="738"/>
        <v>0</v>
      </c>
      <c r="BR956" s="824">
        <f t="shared" ca="1" si="738"/>
        <v>0</v>
      </c>
      <c r="BS956" s="824">
        <f t="shared" ca="1" si="738"/>
        <v>0</v>
      </c>
      <c r="BT956" s="824">
        <f t="shared" ca="1" si="738"/>
        <v>0</v>
      </c>
      <c r="BU956" s="824">
        <f t="shared" ca="1" si="738"/>
        <v>0</v>
      </c>
      <c r="BV956" s="824">
        <f t="shared" ca="1" si="738"/>
        <v>0</v>
      </c>
      <c r="BW956" s="824">
        <f t="shared" ca="1" si="738"/>
        <v>0</v>
      </c>
      <c r="BX956" s="824">
        <f t="shared" ca="1" si="738"/>
        <v>0</v>
      </c>
      <c r="BY956" s="824">
        <f t="shared" ca="1" si="738"/>
        <v>0</v>
      </c>
      <c r="BZ956" s="824">
        <f t="shared" ca="1" si="738"/>
        <v>0</v>
      </c>
      <c r="CA956" s="824">
        <f t="shared" ca="1" si="738"/>
        <v>0</v>
      </c>
      <c r="CB956" s="824">
        <f t="shared" ca="1" si="738"/>
        <v>0</v>
      </c>
      <c r="CC956" s="824">
        <f t="shared" ca="1" si="738"/>
        <v>0</v>
      </c>
      <c r="CD956" s="824">
        <f t="shared" ca="1" si="738"/>
        <v>0</v>
      </c>
      <c r="CE956" s="824">
        <f t="shared" ca="1" si="737"/>
        <v>0</v>
      </c>
      <c r="CF956" s="824">
        <f t="shared" ca="1" si="737"/>
        <v>0</v>
      </c>
      <c r="CG956" s="824">
        <f t="shared" ca="1" si="737"/>
        <v>0</v>
      </c>
      <c r="CH956" s="824">
        <f t="shared" ca="1" si="737"/>
        <v>0</v>
      </c>
      <c r="CI956" s="824">
        <f t="shared" ca="1" si="737"/>
        <v>0</v>
      </c>
      <c r="CJ956" s="824">
        <f t="shared" ca="1" si="737"/>
        <v>0</v>
      </c>
      <c r="CK956" s="824">
        <f t="shared" ca="1" si="737"/>
        <v>0</v>
      </c>
      <c r="CL956" s="824">
        <f t="shared" ca="1" si="737"/>
        <v>0</v>
      </c>
      <c r="CM956" s="824">
        <f t="shared" ca="1" si="737"/>
        <v>0</v>
      </c>
      <c r="CN956" s="824">
        <f t="shared" ca="1" si="737"/>
        <v>0</v>
      </c>
      <c r="CO956" s="824">
        <f t="shared" ca="1" si="737"/>
        <v>0</v>
      </c>
      <c r="CP956" s="824">
        <f t="shared" ca="1" si="737"/>
        <v>0</v>
      </c>
      <c r="CQ956" s="824">
        <f t="shared" ca="1" si="737"/>
        <v>0</v>
      </c>
      <c r="CR956" s="824">
        <f t="shared" ca="1" si="737"/>
        <v>0</v>
      </c>
      <c r="CS956" s="824">
        <f t="shared" ca="1" si="737"/>
        <v>0</v>
      </c>
      <c r="CT956" s="824">
        <f t="shared" ca="1" si="740"/>
        <v>0</v>
      </c>
      <c r="CU956" s="824">
        <f t="shared" ca="1" si="740"/>
        <v>0</v>
      </c>
      <c r="CV956" s="824">
        <f t="shared" ca="1" si="740"/>
        <v>0</v>
      </c>
      <c r="CW956" s="824">
        <f t="shared" ca="1" si="740"/>
        <v>0</v>
      </c>
      <c r="CX956" s="824">
        <f t="shared" ca="1" si="740"/>
        <v>0</v>
      </c>
      <c r="CY956" s="824">
        <f t="shared" ca="1" si="740"/>
        <v>0</v>
      </c>
      <c r="CZ956" s="824">
        <f t="shared" ca="1" si="740"/>
        <v>0</v>
      </c>
      <c r="DA956" s="824">
        <f t="shared" ca="1" si="740"/>
        <v>0</v>
      </c>
      <c r="DB956" s="824">
        <f t="shared" ca="1" si="740"/>
        <v>0</v>
      </c>
      <c r="DC956" s="824">
        <f t="shared" ca="1" si="740"/>
        <v>0</v>
      </c>
      <c r="DD956" s="824">
        <f t="shared" ca="1" si="740"/>
        <v>0</v>
      </c>
      <c r="DE956" s="824">
        <f t="shared" ca="1" si="740"/>
        <v>0</v>
      </c>
      <c r="DF956" s="824">
        <f t="shared" ca="1" si="740"/>
        <v>0</v>
      </c>
      <c r="DG956" s="824">
        <f t="shared" ca="1" si="740"/>
        <v>0</v>
      </c>
      <c r="DH956" s="824">
        <f t="shared" ca="1" si="740"/>
        <v>0</v>
      </c>
      <c r="DI956" s="824">
        <f t="shared" ca="1" si="740"/>
        <v>0</v>
      </c>
      <c r="DJ956" s="824">
        <f t="shared" ca="1" si="726"/>
        <v>0</v>
      </c>
      <c r="DK956" s="824">
        <f t="shared" ca="1" si="726"/>
        <v>0</v>
      </c>
      <c r="DL956" s="824">
        <f t="shared" ca="1" si="726"/>
        <v>0</v>
      </c>
    </row>
    <row r="957" spans="2:116" ht="12" thickBot="1" x14ac:dyDescent="0.3">
      <c r="B957" s="1673"/>
      <c r="C957" s="1680"/>
      <c r="D957" s="15" t="s">
        <v>194</v>
      </c>
      <c r="E957" s="165"/>
      <c r="F957" s="116">
        <f ca="1">SUBTOTAL(109,'3.5 I&amp;W'!$X$150)</f>
        <v>0</v>
      </c>
      <c r="G957" s="116">
        <f ca="1">SUBTOTAL(109,'3.5 I&amp;W'!$Y$150)</f>
        <v>0</v>
      </c>
      <c r="H957" s="116">
        <f ca="1">SUBTOTAL(109,'3.5 I&amp;W'!$AD$150)</f>
        <v>0</v>
      </c>
      <c r="I957" s="116">
        <f ca="1">SUBTOTAL(109,'3.5 I&amp;W'!$AE$150)</f>
        <v>0</v>
      </c>
      <c r="J957" s="116"/>
      <c r="K957" s="116"/>
      <c r="L957" s="116"/>
      <c r="M957" s="116">
        <f ca="1">SUBTOTAL(109,'3.5 I&amp;W'!$AI$150)</f>
        <v>0</v>
      </c>
      <c r="N957" s="156">
        <f t="shared" ca="1" si="677"/>
        <v>0</v>
      </c>
      <c r="O957" s="116">
        <f ca="1">SUBTOTAL(109,'3.5 I&amp;W'!$S$150)</f>
        <v>0</v>
      </c>
      <c r="P957" s="30">
        <f t="shared" ca="1" si="717"/>
        <v>0</v>
      </c>
      <c r="Q957" s="31">
        <f t="shared" ca="1" si="718"/>
        <v>0</v>
      </c>
      <c r="R957" s="31">
        <f t="shared" ca="1" si="719"/>
        <v>0</v>
      </c>
      <c r="S957" s="31">
        <f t="shared" ca="1" si="720"/>
        <v>0</v>
      </c>
      <c r="T957" s="32">
        <f t="shared" ca="1" si="721"/>
        <v>0</v>
      </c>
      <c r="U957" s="37">
        <f t="shared" ca="1" si="678"/>
        <v>0</v>
      </c>
      <c r="V957" s="40">
        <f t="shared" ca="1" si="727"/>
        <v>0</v>
      </c>
      <c r="W957" s="41">
        <f t="shared" ca="1" si="728"/>
        <v>0</v>
      </c>
      <c r="X957" s="43"/>
      <c r="Y957" s="46"/>
      <c r="Z957" s="126"/>
      <c r="AA957" s="136"/>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824">
        <f t="shared" ca="1" si="729"/>
        <v>0</v>
      </c>
      <c r="BM957" s="824">
        <f t="shared" ca="1" si="730"/>
        <v>0</v>
      </c>
      <c r="BN957" s="824">
        <f t="shared" ca="1" si="731"/>
        <v>0</v>
      </c>
      <c r="BO957" s="824">
        <f t="shared" ca="1" si="738"/>
        <v>0</v>
      </c>
      <c r="BP957" s="824">
        <f t="shared" ca="1" si="738"/>
        <v>0</v>
      </c>
      <c r="BQ957" s="824">
        <f t="shared" ca="1" si="738"/>
        <v>0</v>
      </c>
      <c r="BR957" s="824">
        <f t="shared" ca="1" si="738"/>
        <v>0</v>
      </c>
      <c r="BS957" s="824">
        <f t="shared" ca="1" si="738"/>
        <v>0</v>
      </c>
      <c r="BT957" s="824">
        <f t="shared" ca="1" si="738"/>
        <v>0</v>
      </c>
      <c r="BU957" s="824">
        <f t="shared" ca="1" si="738"/>
        <v>0</v>
      </c>
      <c r="BV957" s="824">
        <f t="shared" ca="1" si="738"/>
        <v>0</v>
      </c>
      <c r="BW957" s="824">
        <f t="shared" ca="1" si="738"/>
        <v>0</v>
      </c>
      <c r="BX957" s="824">
        <f t="shared" ca="1" si="738"/>
        <v>0</v>
      </c>
      <c r="BY957" s="824">
        <f t="shared" ca="1" si="738"/>
        <v>0</v>
      </c>
      <c r="BZ957" s="824">
        <f t="shared" ca="1" si="738"/>
        <v>0</v>
      </c>
      <c r="CA957" s="824">
        <f t="shared" ca="1" si="738"/>
        <v>0</v>
      </c>
      <c r="CB957" s="824">
        <f t="shared" ca="1" si="738"/>
        <v>0</v>
      </c>
      <c r="CC957" s="824">
        <f t="shared" ca="1" si="738"/>
        <v>0</v>
      </c>
      <c r="CD957" s="824">
        <f t="shared" ca="1" si="738"/>
        <v>0</v>
      </c>
      <c r="CE957" s="824">
        <f t="shared" ca="1" si="737"/>
        <v>0</v>
      </c>
      <c r="CF957" s="824">
        <f t="shared" ca="1" si="737"/>
        <v>0</v>
      </c>
      <c r="CG957" s="824">
        <f t="shared" ca="1" si="737"/>
        <v>0</v>
      </c>
      <c r="CH957" s="824">
        <f t="shared" ca="1" si="737"/>
        <v>0</v>
      </c>
      <c r="CI957" s="824">
        <f t="shared" ca="1" si="737"/>
        <v>0</v>
      </c>
      <c r="CJ957" s="824">
        <f t="shared" ca="1" si="737"/>
        <v>0</v>
      </c>
      <c r="CK957" s="824">
        <f t="shared" ca="1" si="737"/>
        <v>0</v>
      </c>
      <c r="CL957" s="824">
        <f t="shared" ca="1" si="737"/>
        <v>0</v>
      </c>
      <c r="CM957" s="824">
        <f t="shared" ca="1" si="737"/>
        <v>0</v>
      </c>
      <c r="CN957" s="824">
        <f t="shared" ca="1" si="737"/>
        <v>0</v>
      </c>
      <c r="CO957" s="824">
        <f t="shared" ca="1" si="737"/>
        <v>0</v>
      </c>
      <c r="CP957" s="824">
        <f t="shared" ca="1" si="737"/>
        <v>0</v>
      </c>
      <c r="CQ957" s="824">
        <f t="shared" ca="1" si="737"/>
        <v>0</v>
      </c>
      <c r="CR957" s="824">
        <f t="shared" ca="1" si="737"/>
        <v>0</v>
      </c>
      <c r="CS957" s="824">
        <f t="shared" ca="1" si="737"/>
        <v>0</v>
      </c>
      <c r="CT957" s="824">
        <f t="shared" ca="1" si="740"/>
        <v>0</v>
      </c>
      <c r="CU957" s="824">
        <f t="shared" ca="1" si="740"/>
        <v>0</v>
      </c>
      <c r="CV957" s="824">
        <f t="shared" ca="1" si="740"/>
        <v>0</v>
      </c>
      <c r="CW957" s="824">
        <f t="shared" ca="1" si="740"/>
        <v>0</v>
      </c>
      <c r="CX957" s="824">
        <f t="shared" ca="1" si="740"/>
        <v>0</v>
      </c>
      <c r="CY957" s="824">
        <f t="shared" ca="1" si="740"/>
        <v>0</v>
      </c>
      <c r="CZ957" s="824">
        <f t="shared" ca="1" si="740"/>
        <v>0</v>
      </c>
      <c r="DA957" s="824">
        <f t="shared" ca="1" si="740"/>
        <v>0</v>
      </c>
      <c r="DB957" s="824">
        <f t="shared" ca="1" si="740"/>
        <v>0</v>
      </c>
      <c r="DC957" s="824">
        <f t="shared" ca="1" si="740"/>
        <v>0</v>
      </c>
      <c r="DD957" s="824">
        <f t="shared" ca="1" si="740"/>
        <v>0</v>
      </c>
      <c r="DE957" s="824">
        <f t="shared" ca="1" si="740"/>
        <v>0</v>
      </c>
      <c r="DF957" s="824">
        <f t="shared" ca="1" si="740"/>
        <v>0</v>
      </c>
      <c r="DG957" s="824">
        <f t="shared" ca="1" si="740"/>
        <v>0</v>
      </c>
      <c r="DH957" s="824">
        <f t="shared" ca="1" si="740"/>
        <v>0</v>
      </c>
      <c r="DI957" s="824">
        <f t="shared" ca="1" si="740"/>
        <v>0</v>
      </c>
      <c r="DJ957" s="824">
        <f t="shared" ca="1" si="726"/>
        <v>0</v>
      </c>
      <c r="DK957" s="824">
        <f t="shared" ca="1" si="726"/>
        <v>0</v>
      </c>
      <c r="DL957" s="824">
        <f t="shared" ca="1" si="726"/>
        <v>0</v>
      </c>
    </row>
    <row r="958" spans="2:116" ht="12" thickBot="1" x14ac:dyDescent="0.3">
      <c r="B958" s="1673"/>
      <c r="C958" s="1680"/>
      <c r="D958" s="15" t="s">
        <v>307</v>
      </c>
      <c r="E958" s="116"/>
      <c r="F958" s="116">
        <f ca="1">SUBTOTAL(109,'3.5 I&amp;W'!$X$153)</f>
        <v>0</v>
      </c>
      <c r="G958" s="116">
        <f ca="1">SUBTOTAL(109,'3.5 I&amp;W'!$Y$153)</f>
        <v>0</v>
      </c>
      <c r="H958" s="116">
        <f ca="1">SUBTOTAL(109,'3.5 I&amp;W'!$AD$153)</f>
        <v>0</v>
      </c>
      <c r="I958" s="116">
        <f ca="1">SUBTOTAL(109,'3.5 I&amp;W'!$AE$153)</f>
        <v>0</v>
      </c>
      <c r="J958" s="116"/>
      <c r="K958" s="116"/>
      <c r="L958" s="116"/>
      <c r="M958" s="116">
        <f ca="1">SUBTOTAL(109,'3.5 I&amp;W'!$AI$153)</f>
        <v>0</v>
      </c>
      <c r="N958" s="156">
        <f t="shared" ca="1" si="677"/>
        <v>0</v>
      </c>
      <c r="O958" s="116">
        <f ca="1">SUBTOTAL(109,'3.5 I&amp;W'!$S$153)</f>
        <v>0</v>
      </c>
      <c r="P958" s="30">
        <f ca="1">IF(N958&gt;=1,O958*$G$158^(1*M958)/($G$157^(1*M958)),0)</f>
        <v>0</v>
      </c>
      <c r="Q958" s="31">
        <f ca="1">IF(N958&gt;=2,O958*$G$158^(2*M958)/($G$157^(2*M958)),0)</f>
        <v>0</v>
      </c>
      <c r="R958" s="31">
        <f ca="1">IF(N958&gt;=3,O958*$G$158^(3*M958)/($G$157^(3*M958)),0)</f>
        <v>0</v>
      </c>
      <c r="S958" s="31">
        <f ca="1">IF(N958&gt;=4,O958*$G$158^(4*M958)/($G$157^(4*M958)),0)</f>
        <v>0</v>
      </c>
      <c r="T958" s="32">
        <f ca="1">IF(N958&gt;=5,O958*$G$158^(5*M958)/($G$157^(5*M958)),0)</f>
        <v>0</v>
      </c>
      <c r="U958" s="37">
        <f t="shared" ca="1" si="678"/>
        <v>0</v>
      </c>
      <c r="V958" s="40">
        <f t="shared" ca="1" si="727"/>
        <v>0</v>
      </c>
      <c r="W958" s="41">
        <f t="shared" ca="1" si="728"/>
        <v>0</v>
      </c>
      <c r="X958" s="43"/>
      <c r="Y958" s="46"/>
      <c r="Z958" s="126"/>
      <c r="AA958" s="136"/>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824">
        <f t="shared" ca="1" si="729"/>
        <v>0</v>
      </c>
      <c r="BM958" s="824">
        <f t="shared" ca="1" si="730"/>
        <v>0</v>
      </c>
      <c r="BN958" s="824">
        <f t="shared" ca="1" si="731"/>
        <v>0</v>
      </c>
      <c r="BO958" s="824">
        <f t="shared" ca="1" si="738"/>
        <v>0</v>
      </c>
      <c r="BP958" s="824">
        <f t="shared" ca="1" si="738"/>
        <v>0</v>
      </c>
      <c r="BQ958" s="824">
        <f t="shared" ca="1" si="738"/>
        <v>0</v>
      </c>
      <c r="BR958" s="824">
        <f t="shared" ca="1" si="738"/>
        <v>0</v>
      </c>
      <c r="BS958" s="824">
        <f t="shared" ca="1" si="738"/>
        <v>0</v>
      </c>
      <c r="BT958" s="824">
        <f t="shared" ca="1" si="738"/>
        <v>0</v>
      </c>
      <c r="BU958" s="824">
        <f t="shared" ca="1" si="738"/>
        <v>0</v>
      </c>
      <c r="BV958" s="824">
        <f t="shared" ca="1" si="738"/>
        <v>0</v>
      </c>
      <c r="BW958" s="824">
        <f t="shared" ca="1" si="738"/>
        <v>0</v>
      </c>
      <c r="BX958" s="824">
        <f t="shared" ca="1" si="738"/>
        <v>0</v>
      </c>
      <c r="BY958" s="824">
        <f t="shared" ca="1" si="738"/>
        <v>0</v>
      </c>
      <c r="BZ958" s="824">
        <f t="shared" ca="1" si="738"/>
        <v>0</v>
      </c>
      <c r="CA958" s="824">
        <f t="shared" ca="1" si="738"/>
        <v>0</v>
      </c>
      <c r="CB958" s="824">
        <f t="shared" ca="1" si="738"/>
        <v>0</v>
      </c>
      <c r="CC958" s="824">
        <f t="shared" ca="1" si="738"/>
        <v>0</v>
      </c>
      <c r="CD958" s="824">
        <f t="shared" ca="1" si="738"/>
        <v>0</v>
      </c>
      <c r="CE958" s="824">
        <f t="shared" ca="1" si="737"/>
        <v>0</v>
      </c>
      <c r="CF958" s="824">
        <f t="shared" ca="1" si="737"/>
        <v>0</v>
      </c>
      <c r="CG958" s="824">
        <f t="shared" ca="1" si="737"/>
        <v>0</v>
      </c>
      <c r="CH958" s="824">
        <f t="shared" ca="1" si="737"/>
        <v>0</v>
      </c>
      <c r="CI958" s="824">
        <f t="shared" ca="1" si="737"/>
        <v>0</v>
      </c>
      <c r="CJ958" s="824">
        <f t="shared" ca="1" si="737"/>
        <v>0</v>
      </c>
      <c r="CK958" s="824">
        <f t="shared" ca="1" si="737"/>
        <v>0</v>
      </c>
      <c r="CL958" s="824">
        <f t="shared" ca="1" si="737"/>
        <v>0</v>
      </c>
      <c r="CM958" s="824">
        <f t="shared" ca="1" si="737"/>
        <v>0</v>
      </c>
      <c r="CN958" s="824">
        <f t="shared" ca="1" si="737"/>
        <v>0</v>
      </c>
      <c r="CO958" s="824">
        <f t="shared" ca="1" si="737"/>
        <v>0</v>
      </c>
      <c r="CP958" s="824">
        <f t="shared" ca="1" si="737"/>
        <v>0</v>
      </c>
      <c r="CQ958" s="824">
        <f t="shared" ca="1" si="737"/>
        <v>0</v>
      </c>
      <c r="CR958" s="824">
        <f t="shared" ca="1" si="737"/>
        <v>0</v>
      </c>
      <c r="CS958" s="824">
        <f t="shared" ca="1" si="737"/>
        <v>0</v>
      </c>
      <c r="CT958" s="824">
        <f t="shared" ca="1" si="740"/>
        <v>0</v>
      </c>
      <c r="CU958" s="824">
        <f t="shared" ca="1" si="740"/>
        <v>0</v>
      </c>
      <c r="CV958" s="824">
        <f t="shared" ca="1" si="740"/>
        <v>0</v>
      </c>
      <c r="CW958" s="824">
        <f t="shared" ca="1" si="740"/>
        <v>0</v>
      </c>
      <c r="CX958" s="824">
        <f t="shared" ca="1" si="740"/>
        <v>0</v>
      </c>
      <c r="CY958" s="824">
        <f t="shared" ca="1" si="740"/>
        <v>0</v>
      </c>
      <c r="CZ958" s="824">
        <f t="shared" ca="1" si="740"/>
        <v>0</v>
      </c>
      <c r="DA958" s="824">
        <f t="shared" ca="1" si="740"/>
        <v>0</v>
      </c>
      <c r="DB958" s="824">
        <f t="shared" ca="1" si="740"/>
        <v>0</v>
      </c>
      <c r="DC958" s="824">
        <f t="shared" ca="1" si="740"/>
        <v>0</v>
      </c>
      <c r="DD958" s="824">
        <f t="shared" ca="1" si="740"/>
        <v>0</v>
      </c>
      <c r="DE958" s="824">
        <f t="shared" ca="1" si="740"/>
        <v>0</v>
      </c>
      <c r="DF958" s="824">
        <f t="shared" ca="1" si="740"/>
        <v>0</v>
      </c>
      <c r="DG958" s="824">
        <f t="shared" ca="1" si="740"/>
        <v>0</v>
      </c>
      <c r="DH958" s="824">
        <f t="shared" ca="1" si="740"/>
        <v>0</v>
      </c>
      <c r="DI958" s="824">
        <f t="shared" ca="1" si="740"/>
        <v>0</v>
      </c>
      <c r="DJ958" s="824">
        <f t="shared" ca="1" si="726"/>
        <v>0</v>
      </c>
      <c r="DK958" s="824">
        <f t="shared" ca="1" si="726"/>
        <v>0</v>
      </c>
      <c r="DL958" s="824">
        <f t="shared" ca="1" si="726"/>
        <v>0</v>
      </c>
    </row>
    <row r="959" spans="2:116" ht="12" thickBot="1" x14ac:dyDescent="0.3">
      <c r="B959" s="1673"/>
      <c r="C959" s="1680"/>
      <c r="D959" s="15" t="s">
        <v>307</v>
      </c>
      <c r="E959" s="116"/>
      <c r="F959" s="116">
        <f ca="1">SUBTOTAL(109,'3.5 I&amp;W'!$X$154)</f>
        <v>0</v>
      </c>
      <c r="G959" s="116">
        <f ca="1">SUBTOTAL(109,'3.5 I&amp;W'!$Y$154)</f>
        <v>0</v>
      </c>
      <c r="H959" s="116">
        <f ca="1">SUBTOTAL(109,'3.5 I&amp;W'!$AD$154)</f>
        <v>0</v>
      </c>
      <c r="I959" s="116">
        <f ca="1">SUBTOTAL(109,'3.5 I&amp;W'!$AE$154)</f>
        <v>0</v>
      </c>
      <c r="J959" s="116"/>
      <c r="K959" s="116"/>
      <c r="L959" s="116"/>
      <c r="M959" s="116">
        <f ca="1">SUBTOTAL(109,'3.5 I&amp;W'!$AI$154)</f>
        <v>0</v>
      </c>
      <c r="N959" s="156">
        <f t="shared" ca="1" si="677"/>
        <v>0</v>
      </c>
      <c r="O959" s="116">
        <f ca="1">SUBTOTAL(109,'3.5 I&amp;W'!$S$154)</f>
        <v>0</v>
      </c>
      <c r="P959" s="30">
        <f ca="1">IF(N959&gt;=1,O959*$G$158^(1*M959)/($G$157^(1*M959)),0)</f>
        <v>0</v>
      </c>
      <c r="Q959" s="31">
        <f ca="1">IF(N959&gt;=2,O959*$G$158^(2*M959)/($G$157^(2*M959)),0)</f>
        <v>0</v>
      </c>
      <c r="R959" s="31">
        <f ca="1">IF(N959&gt;=3,O959*$G$158^(3*M959)/($G$157^(3*M959)),0)</f>
        <v>0</v>
      </c>
      <c r="S959" s="31">
        <f ca="1">IF(N959&gt;=4,O959*$G$158^(4*M959)/($G$157^(4*M959)),0)</f>
        <v>0</v>
      </c>
      <c r="T959" s="32">
        <f ca="1">IF(N959&gt;=5,O959*$G$158^(5*M959)/($G$157^(5*M959)),0)</f>
        <v>0</v>
      </c>
      <c r="U959" s="37">
        <f t="shared" ca="1" si="678"/>
        <v>0</v>
      </c>
      <c r="V959" s="40">
        <f t="shared" ca="1" si="727"/>
        <v>0</v>
      </c>
      <c r="W959" s="41">
        <f t="shared" ca="1" si="728"/>
        <v>0</v>
      </c>
      <c r="X959" s="43"/>
      <c r="Y959" s="46"/>
      <c r="Z959" s="126"/>
      <c r="AA959" s="136"/>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824">
        <f t="shared" ca="1" si="729"/>
        <v>0</v>
      </c>
      <c r="BM959" s="824">
        <f t="shared" ca="1" si="730"/>
        <v>0</v>
      </c>
      <c r="BN959" s="824">
        <f t="shared" ca="1" si="731"/>
        <v>0</v>
      </c>
      <c r="BO959" s="824">
        <f t="shared" ca="1" si="738"/>
        <v>0</v>
      </c>
      <c r="BP959" s="824">
        <f t="shared" ca="1" si="738"/>
        <v>0</v>
      </c>
      <c r="BQ959" s="824">
        <f t="shared" ca="1" si="738"/>
        <v>0</v>
      </c>
      <c r="BR959" s="824">
        <f t="shared" ca="1" si="738"/>
        <v>0</v>
      </c>
      <c r="BS959" s="824">
        <f t="shared" ca="1" si="738"/>
        <v>0</v>
      </c>
      <c r="BT959" s="824">
        <f t="shared" ca="1" si="738"/>
        <v>0</v>
      </c>
      <c r="BU959" s="824">
        <f t="shared" ca="1" si="738"/>
        <v>0</v>
      </c>
      <c r="BV959" s="824">
        <f t="shared" ca="1" si="738"/>
        <v>0</v>
      </c>
      <c r="BW959" s="824">
        <f t="shared" ca="1" si="738"/>
        <v>0</v>
      </c>
      <c r="BX959" s="824">
        <f t="shared" ca="1" si="738"/>
        <v>0</v>
      </c>
      <c r="BY959" s="824">
        <f t="shared" ca="1" si="738"/>
        <v>0</v>
      </c>
      <c r="BZ959" s="824">
        <f t="shared" ca="1" si="738"/>
        <v>0</v>
      </c>
      <c r="CA959" s="824">
        <f t="shared" ca="1" si="738"/>
        <v>0</v>
      </c>
      <c r="CB959" s="824">
        <f t="shared" ca="1" si="738"/>
        <v>0</v>
      </c>
      <c r="CC959" s="824">
        <f t="shared" ca="1" si="738"/>
        <v>0</v>
      </c>
      <c r="CD959" s="824">
        <f t="shared" ca="1" si="738"/>
        <v>0</v>
      </c>
      <c r="CE959" s="824">
        <f t="shared" ca="1" si="737"/>
        <v>0</v>
      </c>
      <c r="CF959" s="824">
        <f t="shared" ca="1" si="737"/>
        <v>0</v>
      </c>
      <c r="CG959" s="824">
        <f t="shared" ca="1" si="737"/>
        <v>0</v>
      </c>
      <c r="CH959" s="824">
        <f t="shared" ca="1" si="737"/>
        <v>0</v>
      </c>
      <c r="CI959" s="824">
        <f t="shared" ca="1" si="737"/>
        <v>0</v>
      </c>
      <c r="CJ959" s="824">
        <f t="shared" ca="1" si="737"/>
        <v>0</v>
      </c>
      <c r="CK959" s="824">
        <f t="shared" ca="1" si="737"/>
        <v>0</v>
      </c>
      <c r="CL959" s="824">
        <f t="shared" ca="1" si="737"/>
        <v>0</v>
      </c>
      <c r="CM959" s="824">
        <f t="shared" ca="1" si="737"/>
        <v>0</v>
      </c>
      <c r="CN959" s="824">
        <f t="shared" ca="1" si="737"/>
        <v>0</v>
      </c>
      <c r="CO959" s="824">
        <f t="shared" ca="1" si="737"/>
        <v>0</v>
      </c>
      <c r="CP959" s="824">
        <f t="shared" ca="1" si="737"/>
        <v>0</v>
      </c>
      <c r="CQ959" s="824">
        <f t="shared" ca="1" si="737"/>
        <v>0</v>
      </c>
      <c r="CR959" s="824">
        <f t="shared" ca="1" si="737"/>
        <v>0</v>
      </c>
      <c r="CS959" s="824">
        <f t="shared" ca="1" si="737"/>
        <v>0</v>
      </c>
      <c r="CT959" s="824">
        <f t="shared" ca="1" si="740"/>
        <v>0</v>
      </c>
      <c r="CU959" s="824">
        <f t="shared" ca="1" si="740"/>
        <v>0</v>
      </c>
      <c r="CV959" s="824">
        <f t="shared" ca="1" si="740"/>
        <v>0</v>
      </c>
      <c r="CW959" s="824">
        <f t="shared" ca="1" si="740"/>
        <v>0</v>
      </c>
      <c r="CX959" s="824">
        <f t="shared" ca="1" si="740"/>
        <v>0</v>
      </c>
      <c r="CY959" s="824">
        <f t="shared" ca="1" si="740"/>
        <v>0</v>
      </c>
      <c r="CZ959" s="824">
        <f t="shared" ca="1" si="740"/>
        <v>0</v>
      </c>
      <c r="DA959" s="824">
        <f t="shared" ca="1" si="740"/>
        <v>0</v>
      </c>
      <c r="DB959" s="824">
        <f t="shared" ca="1" si="740"/>
        <v>0</v>
      </c>
      <c r="DC959" s="824">
        <f t="shared" ca="1" si="740"/>
        <v>0</v>
      </c>
      <c r="DD959" s="824">
        <f t="shared" ca="1" si="740"/>
        <v>0</v>
      </c>
      <c r="DE959" s="824">
        <f t="shared" ca="1" si="740"/>
        <v>0</v>
      </c>
      <c r="DF959" s="824">
        <f t="shared" ca="1" si="740"/>
        <v>0</v>
      </c>
      <c r="DG959" s="824">
        <f t="shared" ca="1" si="740"/>
        <v>0</v>
      </c>
      <c r="DH959" s="824">
        <f t="shared" ca="1" si="740"/>
        <v>0</v>
      </c>
      <c r="DI959" s="824">
        <f t="shared" ca="1" si="740"/>
        <v>0</v>
      </c>
      <c r="DJ959" s="824">
        <f t="shared" ca="1" si="726"/>
        <v>0</v>
      </c>
      <c r="DK959" s="824">
        <f t="shared" ca="1" si="726"/>
        <v>0</v>
      </c>
      <c r="DL959" s="824">
        <f t="shared" ca="1" si="726"/>
        <v>0</v>
      </c>
    </row>
    <row r="960" spans="2:116" ht="12" thickBot="1" x14ac:dyDescent="0.3">
      <c r="B960" s="1673"/>
      <c r="C960" s="1680"/>
      <c r="D960" s="15" t="s">
        <v>31</v>
      </c>
      <c r="E960" s="165"/>
      <c r="F960" s="116">
        <f ca="1">SUBTOTAL(109,'3.5 I&amp;W'!$X$158)</f>
        <v>0</v>
      </c>
      <c r="G960" s="116">
        <f ca="1">SUBTOTAL(109,'3.5 I&amp;W'!$Y$158)</f>
        <v>0</v>
      </c>
      <c r="H960" s="116">
        <f>SUBTOTAL(109,'3.5 I&amp;W'!$AD$158)</f>
        <v>2.8587764436821039E-2</v>
      </c>
      <c r="I960" s="116">
        <f>SUBTOTAL(109,'3.5 I&amp;W'!$AE$158)</f>
        <v>100</v>
      </c>
      <c r="J960" s="116"/>
      <c r="K960" s="116"/>
      <c r="L960" s="116"/>
      <c r="M960" s="116">
        <f>SUBTOTAL(109,'3.5 I&amp;W'!$AI$158)</f>
        <v>15</v>
      </c>
      <c r="N960" s="156">
        <f t="shared" si="677"/>
        <v>2</v>
      </c>
      <c r="O960" s="116">
        <f>SUBTOTAL(109,'3.5 I&amp;W'!$S$158)</f>
        <v>3498</v>
      </c>
      <c r="P960" s="30">
        <f t="shared" ref="P960:P994" si="741">IF(N960&gt;=1,O960*$G$158^(1*M960)/($G$157^(1*M960)),0)</f>
        <v>3297.7888699877631</v>
      </c>
      <c r="Q960" s="31">
        <f t="shared" ref="Q960:Q994" si="742">IF(N960&gt;=2,O960*$G$158^(2*M960)/($G$157^(2*M960)),0)</f>
        <v>3109.0370014337227</v>
      </c>
      <c r="R960" s="31">
        <f t="shared" ref="R960:R994" si="743">IF(N960&gt;=3,O960*$G$158^(3*M960)/($G$157^(3*M960)),0)</f>
        <v>0</v>
      </c>
      <c r="S960" s="31">
        <f t="shared" ref="S960:S994" si="744">IF(N960&gt;=4,O960*$G$158^(4*M960)/($G$157^(4*M960)),0)</f>
        <v>0</v>
      </c>
      <c r="T960" s="32">
        <f t="shared" ref="T960:T994" si="745">IF(N960&gt;=5,O960*$G$158^(5*M960)/($G$157^(5*M960)),0)</f>
        <v>0</v>
      </c>
      <c r="U960" s="37">
        <f t="shared" si="678"/>
        <v>1877.3004007331594</v>
      </c>
      <c r="V960" s="40">
        <f t="shared" ref="V960:V993" ca="1" si="746">G960*$I$169</f>
        <v>0</v>
      </c>
      <c r="W960" s="41">
        <f t="shared" ref="W960:W993" si="747">(I960+J960)*$I$167</f>
        <v>3212.1801761964853</v>
      </c>
      <c r="X960" s="43"/>
      <c r="Y960" s="46"/>
      <c r="Z960" s="126"/>
      <c r="AA960" s="136"/>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824">
        <f t="shared" ref="BL960:BL991" si="748">M960</f>
        <v>15</v>
      </c>
      <c r="BM960" s="824">
        <f t="shared" ref="BM960:BM991" si="749">N960</f>
        <v>2</v>
      </c>
      <c r="BN960" s="824">
        <f t="shared" ref="BN960:BN991" si="750">O960</f>
        <v>3498</v>
      </c>
      <c r="BO960" s="824">
        <f t="shared" si="738"/>
        <v>0</v>
      </c>
      <c r="BP960" s="824">
        <f t="shared" si="738"/>
        <v>0</v>
      </c>
      <c r="BQ960" s="824">
        <f t="shared" si="738"/>
        <v>0</v>
      </c>
      <c r="BR960" s="824">
        <f t="shared" si="738"/>
        <v>0</v>
      </c>
      <c r="BS960" s="824">
        <f t="shared" si="738"/>
        <v>0</v>
      </c>
      <c r="BT960" s="824">
        <f t="shared" si="738"/>
        <v>0</v>
      </c>
      <c r="BU960" s="824">
        <f t="shared" si="738"/>
        <v>0</v>
      </c>
      <c r="BV960" s="824">
        <f t="shared" si="738"/>
        <v>0</v>
      </c>
      <c r="BW960" s="824">
        <f t="shared" si="738"/>
        <v>0</v>
      </c>
      <c r="BX960" s="824">
        <f t="shared" si="738"/>
        <v>0</v>
      </c>
      <c r="BY960" s="824">
        <f t="shared" si="738"/>
        <v>0</v>
      </c>
      <c r="BZ960" s="824">
        <f t="shared" si="738"/>
        <v>0</v>
      </c>
      <c r="CA960" s="824">
        <f t="shared" si="738"/>
        <v>0</v>
      </c>
      <c r="CB960" s="824">
        <f t="shared" si="738"/>
        <v>0</v>
      </c>
      <c r="CC960" s="824">
        <f t="shared" si="738"/>
        <v>4438.3896265942385</v>
      </c>
      <c r="CD960" s="824">
        <f t="shared" si="738"/>
        <v>0</v>
      </c>
      <c r="CE960" s="824">
        <f t="shared" si="737"/>
        <v>0</v>
      </c>
      <c r="CF960" s="824">
        <f t="shared" si="737"/>
        <v>0</v>
      </c>
      <c r="CG960" s="824">
        <f t="shared" si="737"/>
        <v>0</v>
      </c>
      <c r="CH960" s="824">
        <f t="shared" si="737"/>
        <v>0</v>
      </c>
      <c r="CI960" s="824">
        <f t="shared" si="737"/>
        <v>0</v>
      </c>
      <c r="CJ960" s="824">
        <f t="shared" si="737"/>
        <v>0</v>
      </c>
      <c r="CK960" s="824">
        <f t="shared" si="737"/>
        <v>0</v>
      </c>
      <c r="CL960" s="824">
        <f t="shared" si="737"/>
        <v>0</v>
      </c>
      <c r="CM960" s="824">
        <f t="shared" si="737"/>
        <v>0</v>
      </c>
      <c r="CN960" s="824">
        <f t="shared" si="737"/>
        <v>0</v>
      </c>
      <c r="CO960" s="824">
        <f t="shared" si="737"/>
        <v>0</v>
      </c>
      <c r="CP960" s="824">
        <f t="shared" si="737"/>
        <v>0</v>
      </c>
      <c r="CQ960" s="824">
        <f t="shared" si="737"/>
        <v>0</v>
      </c>
      <c r="CR960" s="824">
        <f t="shared" si="737"/>
        <v>5631.5901879529283</v>
      </c>
      <c r="CS960" s="824">
        <f t="shared" si="737"/>
        <v>0</v>
      </c>
      <c r="CT960" s="824">
        <f t="shared" si="740"/>
        <v>0</v>
      </c>
      <c r="CU960" s="824">
        <f t="shared" si="740"/>
        <v>0</v>
      </c>
      <c r="CV960" s="824">
        <f t="shared" si="740"/>
        <v>0</v>
      </c>
      <c r="CW960" s="824">
        <f t="shared" si="740"/>
        <v>0</v>
      </c>
      <c r="CX960" s="824">
        <f t="shared" si="740"/>
        <v>0</v>
      </c>
      <c r="CY960" s="824">
        <f t="shared" si="740"/>
        <v>0</v>
      </c>
      <c r="CZ960" s="824">
        <f t="shared" si="740"/>
        <v>0</v>
      </c>
      <c r="DA960" s="824">
        <f t="shared" si="740"/>
        <v>0</v>
      </c>
      <c r="DB960" s="824">
        <f t="shared" si="740"/>
        <v>0</v>
      </c>
      <c r="DC960" s="824">
        <f t="shared" si="740"/>
        <v>0</v>
      </c>
      <c r="DD960" s="824">
        <f t="shared" si="740"/>
        <v>0</v>
      </c>
      <c r="DE960" s="824">
        <f t="shared" si="740"/>
        <v>0</v>
      </c>
      <c r="DF960" s="824">
        <f t="shared" si="740"/>
        <v>0</v>
      </c>
      <c r="DG960" s="824">
        <f t="shared" si="740"/>
        <v>0</v>
      </c>
      <c r="DH960" s="824">
        <f t="shared" si="740"/>
        <v>0</v>
      </c>
      <c r="DI960" s="824">
        <f t="shared" si="740"/>
        <v>0</v>
      </c>
      <c r="DJ960" s="824">
        <f t="shared" si="726"/>
        <v>0</v>
      </c>
      <c r="DK960" s="824">
        <f t="shared" si="726"/>
        <v>0</v>
      </c>
      <c r="DL960" s="824">
        <f t="shared" si="726"/>
        <v>0</v>
      </c>
    </row>
    <row r="961" spans="2:116" ht="12" thickBot="1" x14ac:dyDescent="0.3">
      <c r="B961" s="1673"/>
      <c r="C961" s="1680"/>
      <c r="D961" s="15" t="s">
        <v>31</v>
      </c>
      <c r="E961" s="165"/>
      <c r="F961" s="116">
        <f ca="1">SUBTOTAL(109,'3.5 I&amp;W'!$X$159)</f>
        <v>0</v>
      </c>
      <c r="G961" s="116">
        <f ca="1">SUBTOTAL(109,'3.5 I&amp;W'!$Y$159)</f>
        <v>0</v>
      </c>
      <c r="H961" s="116">
        <f>SUBTOTAL(109,'3.5 I&amp;W'!$AD$159)</f>
        <v>1.5262855128133758E-2</v>
      </c>
      <c r="I961" s="116">
        <f>SUBTOTAL(109,'3.5 I&amp;W'!$AE$159)</f>
        <v>329</v>
      </c>
      <c r="J961" s="116"/>
      <c r="K961" s="116"/>
      <c r="L961" s="116"/>
      <c r="M961" s="116">
        <f>SUBTOTAL(109,'3.5 I&amp;W'!$AI$159)</f>
        <v>30</v>
      </c>
      <c r="N961" s="156">
        <f t="shared" ref="N961:N1002" si="751">IF(OR(M961=0,M961="",M961=$G$154),0,ROUNDDOWN($G$154/M961,0)+IF(MOD($G$154,M961)=0,-1))</f>
        <v>1</v>
      </c>
      <c r="O961" s="116">
        <f>SUBTOTAL(109,'3.5 I&amp;W'!$S$159)</f>
        <v>21555.599999999999</v>
      </c>
      <c r="P961" s="30">
        <f t="shared" ref="P961:P962" si="752">IF(N961&gt;=1,O961*$G$158^(1*M961)/($G$157^(1*M961)),0)</f>
        <v>19158.70725789158</v>
      </c>
      <c r="Q961" s="31">
        <f t="shared" ref="Q961:Q962" si="753">IF(N961&gt;=2,O961*$G$158^(2*M961)/($G$157^(2*M961)),0)</f>
        <v>0</v>
      </c>
      <c r="R961" s="31">
        <f t="shared" ref="R961:R962" si="754">IF(N961&gt;=3,O961*$G$158^(3*M961)/($G$157^(3*M961)),0)</f>
        <v>0</v>
      </c>
      <c r="S961" s="31">
        <f t="shared" ref="S961:S962" si="755">IF(N961&gt;=4,O961*$G$158^(4*M961)/($G$157^(4*M961)),0)</f>
        <v>0</v>
      </c>
      <c r="T961" s="32">
        <f t="shared" ref="T961:T962" si="756">IF(N961&gt;=5,O961*$G$158^(5*M961)/($G$157^(5*M961)),0)</f>
        <v>0</v>
      </c>
      <c r="U961" s="37">
        <f t="shared" ref="U961:U962" si="757">IF(M961=0,0,O961*$G$158^(N961*M961)*((N961+1)*M961-$G$154)/M961*(1/$G$157^$G$154))</f>
        <v>14460.526199987024</v>
      </c>
      <c r="V961" s="40">
        <f t="shared" ref="V961:V962" ca="1" si="758">G961*$I$169</f>
        <v>0</v>
      </c>
      <c r="W961" s="41">
        <f t="shared" ref="W961:W962" si="759">(I961+J961)*$I$167</f>
        <v>10568.072779686438</v>
      </c>
      <c r="X961" s="43"/>
      <c r="Y961" s="46"/>
      <c r="Z961" s="126"/>
      <c r="AA961" s="136"/>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824">
        <f t="shared" si="748"/>
        <v>30</v>
      </c>
      <c r="BM961" s="824">
        <f t="shared" si="749"/>
        <v>1</v>
      </c>
      <c r="BN961" s="824">
        <f t="shared" si="750"/>
        <v>21555.599999999999</v>
      </c>
      <c r="BO961" s="824">
        <f t="shared" si="738"/>
        <v>0</v>
      </c>
      <c r="BP961" s="824">
        <f t="shared" si="738"/>
        <v>0</v>
      </c>
      <c r="BQ961" s="824">
        <f t="shared" si="738"/>
        <v>0</v>
      </c>
      <c r="BR961" s="824">
        <f t="shared" si="738"/>
        <v>0</v>
      </c>
      <c r="BS961" s="824">
        <f t="shared" si="738"/>
        <v>0</v>
      </c>
      <c r="BT961" s="824">
        <f t="shared" si="738"/>
        <v>0</v>
      </c>
      <c r="BU961" s="824">
        <f t="shared" si="738"/>
        <v>0</v>
      </c>
      <c r="BV961" s="824">
        <f t="shared" si="738"/>
        <v>0</v>
      </c>
      <c r="BW961" s="824">
        <f t="shared" si="738"/>
        <v>0</v>
      </c>
      <c r="BX961" s="824">
        <f t="shared" si="738"/>
        <v>0</v>
      </c>
      <c r="BY961" s="824">
        <f t="shared" si="738"/>
        <v>0</v>
      </c>
      <c r="BZ961" s="824">
        <f t="shared" si="738"/>
        <v>0</v>
      </c>
      <c r="CA961" s="824">
        <f t="shared" si="738"/>
        <v>0</v>
      </c>
      <c r="CB961" s="824">
        <f t="shared" si="738"/>
        <v>0</v>
      </c>
      <c r="CC961" s="824">
        <f t="shared" si="738"/>
        <v>0</v>
      </c>
      <c r="CD961" s="824">
        <f t="shared" si="738"/>
        <v>0</v>
      </c>
      <c r="CE961" s="824">
        <f t="shared" si="737"/>
        <v>0</v>
      </c>
      <c r="CF961" s="824">
        <f t="shared" si="737"/>
        <v>0</v>
      </c>
      <c r="CG961" s="824">
        <f t="shared" si="737"/>
        <v>0</v>
      </c>
      <c r="CH961" s="824">
        <f t="shared" si="737"/>
        <v>0</v>
      </c>
      <c r="CI961" s="824">
        <f t="shared" si="737"/>
        <v>0</v>
      </c>
      <c r="CJ961" s="824">
        <f t="shared" si="737"/>
        <v>0</v>
      </c>
      <c r="CK961" s="824">
        <f t="shared" si="737"/>
        <v>0</v>
      </c>
      <c r="CL961" s="824">
        <f t="shared" si="737"/>
        <v>0</v>
      </c>
      <c r="CM961" s="824">
        <f t="shared" si="737"/>
        <v>0</v>
      </c>
      <c r="CN961" s="824">
        <f t="shared" si="737"/>
        <v>0</v>
      </c>
      <c r="CO961" s="824">
        <f t="shared" si="737"/>
        <v>0</v>
      </c>
      <c r="CP961" s="824">
        <f t="shared" si="737"/>
        <v>0</v>
      </c>
      <c r="CQ961" s="824">
        <f t="shared" si="737"/>
        <v>0</v>
      </c>
      <c r="CR961" s="824">
        <f t="shared" si="737"/>
        <v>34703.346328026906</v>
      </c>
      <c r="CS961" s="824">
        <f t="shared" si="737"/>
        <v>0</v>
      </c>
      <c r="CT961" s="824">
        <f t="shared" si="740"/>
        <v>0</v>
      </c>
      <c r="CU961" s="824">
        <f t="shared" si="740"/>
        <v>0</v>
      </c>
      <c r="CV961" s="824">
        <f t="shared" si="740"/>
        <v>0</v>
      </c>
      <c r="CW961" s="824">
        <f t="shared" si="740"/>
        <v>0</v>
      </c>
      <c r="CX961" s="824">
        <f t="shared" si="740"/>
        <v>0</v>
      </c>
      <c r="CY961" s="824">
        <f t="shared" si="740"/>
        <v>0</v>
      </c>
      <c r="CZ961" s="824">
        <f t="shared" si="740"/>
        <v>0</v>
      </c>
      <c r="DA961" s="824">
        <f t="shared" si="740"/>
        <v>0</v>
      </c>
      <c r="DB961" s="824">
        <f t="shared" si="740"/>
        <v>0</v>
      </c>
      <c r="DC961" s="824">
        <f t="shared" si="740"/>
        <v>0</v>
      </c>
      <c r="DD961" s="824">
        <f t="shared" si="740"/>
        <v>0</v>
      </c>
      <c r="DE961" s="824">
        <f t="shared" si="740"/>
        <v>0</v>
      </c>
      <c r="DF961" s="824">
        <f t="shared" si="740"/>
        <v>0</v>
      </c>
      <c r="DG961" s="824">
        <f t="shared" si="740"/>
        <v>0</v>
      </c>
      <c r="DH961" s="824">
        <f t="shared" si="740"/>
        <v>0</v>
      </c>
      <c r="DI961" s="824">
        <f t="shared" si="740"/>
        <v>0</v>
      </c>
      <c r="DJ961" s="824">
        <f t="shared" si="726"/>
        <v>0</v>
      </c>
      <c r="DK961" s="824">
        <f t="shared" si="726"/>
        <v>0</v>
      </c>
      <c r="DL961" s="824">
        <f t="shared" si="726"/>
        <v>0</v>
      </c>
    </row>
    <row r="962" spans="2:116" ht="12" thickBot="1" x14ac:dyDescent="0.3">
      <c r="B962" s="1673"/>
      <c r="C962" s="1680"/>
      <c r="D962" s="15" t="s">
        <v>31</v>
      </c>
      <c r="E962" s="165"/>
      <c r="F962" s="116">
        <f ca="1">SUBTOTAL(109,'3.5 I&amp;W'!$X$160)</f>
        <v>0</v>
      </c>
      <c r="G962" s="116">
        <f ca="1">SUBTOTAL(109,'3.5 I&amp;W'!$Y$160)</f>
        <v>0</v>
      </c>
      <c r="H962" s="116">
        <f ca="1">SUBTOTAL(109,'3.5 I&amp;W'!$AD$160)</f>
        <v>0</v>
      </c>
      <c r="I962" s="116">
        <f ca="1">SUBTOTAL(109,'3.5 I&amp;W'!$AE$160)</f>
        <v>0</v>
      </c>
      <c r="J962" s="116"/>
      <c r="K962" s="116"/>
      <c r="L962" s="116"/>
      <c r="M962" s="116">
        <f>SUBTOTAL(109,'3.5 I&amp;W'!$AI$160)</f>
        <v>50</v>
      </c>
      <c r="N962" s="156">
        <f t="shared" si="751"/>
        <v>0</v>
      </c>
      <c r="O962" s="116">
        <f>SUBTOTAL(109,'3.5 I&amp;W'!$S$160)</f>
        <v>14391.6</v>
      </c>
      <c r="P962" s="30">
        <f t="shared" si="752"/>
        <v>0</v>
      </c>
      <c r="Q962" s="31">
        <f t="shared" si="753"/>
        <v>0</v>
      </c>
      <c r="R962" s="31">
        <f t="shared" si="754"/>
        <v>0</v>
      </c>
      <c r="S962" s="31">
        <f t="shared" si="755"/>
        <v>0</v>
      </c>
      <c r="T962" s="32">
        <f t="shared" si="756"/>
        <v>0</v>
      </c>
      <c r="U962" s="37">
        <f t="shared" si="757"/>
        <v>2158.8592201264987</v>
      </c>
      <c r="V962" s="40">
        <f t="shared" ca="1" si="758"/>
        <v>0</v>
      </c>
      <c r="W962" s="41">
        <f t="shared" ca="1" si="759"/>
        <v>0</v>
      </c>
      <c r="X962" s="43"/>
      <c r="Y962" s="46"/>
      <c r="Z962" s="126"/>
      <c r="AA962" s="136"/>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824">
        <f t="shared" si="748"/>
        <v>50</v>
      </c>
      <c r="BM962" s="824">
        <f t="shared" si="749"/>
        <v>0</v>
      </c>
      <c r="BN962" s="824">
        <f t="shared" si="750"/>
        <v>14391.6</v>
      </c>
      <c r="BO962" s="824">
        <f t="shared" si="738"/>
        <v>0</v>
      </c>
      <c r="BP962" s="824">
        <f t="shared" si="738"/>
        <v>0</v>
      </c>
      <c r="BQ962" s="824">
        <f t="shared" si="738"/>
        <v>0</v>
      </c>
      <c r="BR962" s="824">
        <f t="shared" si="738"/>
        <v>0</v>
      </c>
      <c r="BS962" s="824">
        <f t="shared" si="738"/>
        <v>0</v>
      </c>
      <c r="BT962" s="824">
        <f t="shared" si="738"/>
        <v>0</v>
      </c>
      <c r="BU962" s="824">
        <f t="shared" si="738"/>
        <v>0</v>
      </c>
      <c r="BV962" s="824">
        <f t="shared" si="738"/>
        <v>0</v>
      </c>
      <c r="BW962" s="824">
        <f t="shared" si="738"/>
        <v>0</v>
      </c>
      <c r="BX962" s="824">
        <f t="shared" si="738"/>
        <v>0</v>
      </c>
      <c r="BY962" s="824">
        <f t="shared" si="738"/>
        <v>0</v>
      </c>
      <c r="BZ962" s="824">
        <f t="shared" si="738"/>
        <v>0</v>
      </c>
      <c r="CA962" s="824">
        <f t="shared" si="738"/>
        <v>0</v>
      </c>
      <c r="CB962" s="824">
        <f t="shared" si="738"/>
        <v>0</v>
      </c>
      <c r="CC962" s="824">
        <f t="shared" si="738"/>
        <v>0</v>
      </c>
      <c r="CD962" s="824">
        <f t="shared" ref="CD962:CS977" si="760">IF(OR(IF($BL962*1&lt;$BL$196,$BL962*1=CD$198,FALSE),IF($BL962*2&lt;$BL$196,$BL962*2=CD$198,FALSE),IF($BL962*3&lt;$BL$196,$BL962*3=CD$198,FALSE),IF($BL962*4&lt;$BL$196,$BL962*4=CD$198,FALSE),IF($BL962*5&lt;$BL$196,$BL962*5=CD$198,FALSE)),$BN962*$BM$196^CD$198,0)</f>
        <v>0</v>
      </c>
      <c r="CE962" s="824">
        <f t="shared" si="760"/>
        <v>0</v>
      </c>
      <c r="CF962" s="824">
        <f t="shared" si="760"/>
        <v>0</v>
      </c>
      <c r="CG962" s="824">
        <f t="shared" si="760"/>
        <v>0</v>
      </c>
      <c r="CH962" s="824">
        <f t="shared" si="760"/>
        <v>0</v>
      </c>
      <c r="CI962" s="824">
        <f t="shared" si="760"/>
        <v>0</v>
      </c>
      <c r="CJ962" s="824">
        <f t="shared" si="760"/>
        <v>0</v>
      </c>
      <c r="CK962" s="824">
        <f t="shared" si="760"/>
        <v>0</v>
      </c>
      <c r="CL962" s="824">
        <f t="shared" si="760"/>
        <v>0</v>
      </c>
      <c r="CM962" s="824">
        <f t="shared" si="760"/>
        <v>0</v>
      </c>
      <c r="CN962" s="824">
        <f t="shared" si="760"/>
        <v>0</v>
      </c>
      <c r="CO962" s="824">
        <f t="shared" si="760"/>
        <v>0</v>
      </c>
      <c r="CP962" s="824">
        <f t="shared" si="760"/>
        <v>0</v>
      </c>
      <c r="CQ962" s="824">
        <f t="shared" si="760"/>
        <v>0</v>
      </c>
      <c r="CR962" s="824">
        <f t="shared" si="760"/>
        <v>0</v>
      </c>
      <c r="CS962" s="824">
        <f t="shared" si="760"/>
        <v>0</v>
      </c>
      <c r="CT962" s="824">
        <f t="shared" si="740"/>
        <v>0</v>
      </c>
      <c r="CU962" s="824">
        <f t="shared" si="740"/>
        <v>0</v>
      </c>
      <c r="CV962" s="824">
        <f t="shared" si="740"/>
        <v>0</v>
      </c>
      <c r="CW962" s="824">
        <f t="shared" si="740"/>
        <v>0</v>
      </c>
      <c r="CX962" s="824">
        <f t="shared" si="740"/>
        <v>0</v>
      </c>
      <c r="CY962" s="824">
        <f t="shared" si="740"/>
        <v>0</v>
      </c>
      <c r="CZ962" s="824">
        <f t="shared" si="740"/>
        <v>0</v>
      </c>
      <c r="DA962" s="824">
        <f t="shared" si="740"/>
        <v>0</v>
      </c>
      <c r="DB962" s="824">
        <f t="shared" si="740"/>
        <v>0</v>
      </c>
      <c r="DC962" s="824">
        <f t="shared" si="740"/>
        <v>0</v>
      </c>
      <c r="DD962" s="824">
        <f t="shared" si="740"/>
        <v>0</v>
      </c>
      <c r="DE962" s="824">
        <f t="shared" si="740"/>
        <v>0</v>
      </c>
      <c r="DF962" s="824">
        <f t="shared" si="740"/>
        <v>0</v>
      </c>
      <c r="DG962" s="824">
        <f t="shared" si="740"/>
        <v>0</v>
      </c>
      <c r="DH962" s="824">
        <f t="shared" si="740"/>
        <v>0</v>
      </c>
      <c r="DI962" s="824">
        <f t="shared" si="740"/>
        <v>0</v>
      </c>
      <c r="DJ962" s="824">
        <f t="shared" si="726"/>
        <v>0</v>
      </c>
      <c r="DK962" s="824">
        <f t="shared" si="726"/>
        <v>0</v>
      </c>
      <c r="DL962" s="824">
        <f t="shared" si="726"/>
        <v>0</v>
      </c>
    </row>
    <row r="963" spans="2:116" ht="12" thickBot="1" x14ac:dyDescent="0.3">
      <c r="B963" s="1673"/>
      <c r="C963" s="1680"/>
      <c r="D963" s="15" t="s">
        <v>31</v>
      </c>
      <c r="E963" s="116"/>
      <c r="F963" s="116">
        <f ca="1">SUBTOTAL(109,'3.5 I&amp;W'!$X$161)</f>
        <v>0</v>
      </c>
      <c r="G963" s="116">
        <f ca="1">SUBTOTAL(109,'3.5 I&amp;W'!$Y$161)</f>
        <v>0</v>
      </c>
      <c r="H963" s="116">
        <f ca="1">SUBTOTAL(109,'3.5 I&amp;W'!$AD$161)</f>
        <v>0</v>
      </c>
      <c r="I963" s="116">
        <f ca="1">SUBTOTAL(109,'3.5 I&amp;W'!$AE$161)</f>
        <v>0</v>
      </c>
      <c r="J963" s="116"/>
      <c r="K963" s="116"/>
      <c r="L963" s="116"/>
      <c r="M963" s="116">
        <f ca="1">SUBTOTAL(109,'3.5 I&amp;W'!$AI$161)</f>
        <v>0</v>
      </c>
      <c r="N963" s="156">
        <f t="shared" ca="1" si="751"/>
        <v>0</v>
      </c>
      <c r="O963" s="116">
        <f ca="1">SUBTOTAL(109,'3.5 I&amp;W'!$S$161)</f>
        <v>0</v>
      </c>
      <c r="P963" s="30">
        <f t="shared" ca="1" si="741"/>
        <v>0</v>
      </c>
      <c r="Q963" s="31">
        <f t="shared" ca="1" si="742"/>
        <v>0</v>
      </c>
      <c r="R963" s="31">
        <f t="shared" ca="1" si="743"/>
        <v>0</v>
      </c>
      <c r="S963" s="31">
        <f t="shared" ca="1" si="744"/>
        <v>0</v>
      </c>
      <c r="T963" s="32">
        <f t="shared" ca="1" si="745"/>
        <v>0</v>
      </c>
      <c r="U963" s="37">
        <f t="shared" ca="1" si="678"/>
        <v>0</v>
      </c>
      <c r="V963" s="40">
        <f t="shared" ca="1" si="746"/>
        <v>0</v>
      </c>
      <c r="W963" s="41">
        <f t="shared" ca="1" si="747"/>
        <v>0</v>
      </c>
      <c r="X963" s="43"/>
      <c r="Y963" s="46"/>
      <c r="Z963" s="126"/>
      <c r="AA963" s="136"/>
      <c r="AB963" s="3"/>
      <c r="AC963" s="3"/>
      <c r="AD963" s="3"/>
      <c r="AE963" s="94"/>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824">
        <f t="shared" ca="1" si="748"/>
        <v>0</v>
      </c>
      <c r="BM963" s="824">
        <f t="shared" ca="1" si="749"/>
        <v>0</v>
      </c>
      <c r="BN963" s="824">
        <f t="shared" ca="1" si="750"/>
        <v>0</v>
      </c>
      <c r="BO963" s="824">
        <f t="shared" ref="BO963:CD978" ca="1" si="761">IF(OR(IF($BL963*1&lt;$BL$196,$BL963*1=BO$198,FALSE),IF($BL963*2&lt;$BL$196,$BL963*2=BO$198,FALSE),IF($BL963*3&lt;$BL$196,$BL963*3=BO$198,FALSE),IF($BL963*4&lt;$BL$196,$BL963*4=BO$198,FALSE),IF($BL963*5&lt;$BL$196,$BL963*5=BO$198,FALSE)),$BN963*$BM$196^BO$198,0)</f>
        <v>0</v>
      </c>
      <c r="BP963" s="824">
        <f t="shared" ca="1" si="761"/>
        <v>0</v>
      </c>
      <c r="BQ963" s="824">
        <f t="shared" ca="1" si="761"/>
        <v>0</v>
      </c>
      <c r="BR963" s="824">
        <f t="shared" ca="1" si="761"/>
        <v>0</v>
      </c>
      <c r="BS963" s="824">
        <f t="shared" ca="1" si="761"/>
        <v>0</v>
      </c>
      <c r="BT963" s="824">
        <f t="shared" ca="1" si="761"/>
        <v>0</v>
      </c>
      <c r="BU963" s="824">
        <f t="shared" ca="1" si="761"/>
        <v>0</v>
      </c>
      <c r="BV963" s="824">
        <f t="shared" ca="1" si="761"/>
        <v>0</v>
      </c>
      <c r="BW963" s="824">
        <f t="shared" ca="1" si="761"/>
        <v>0</v>
      </c>
      <c r="BX963" s="824">
        <f t="shared" ca="1" si="761"/>
        <v>0</v>
      </c>
      <c r="BY963" s="824">
        <f t="shared" ca="1" si="761"/>
        <v>0</v>
      </c>
      <c r="BZ963" s="824">
        <f t="shared" ca="1" si="761"/>
        <v>0</v>
      </c>
      <c r="CA963" s="824">
        <f t="shared" ca="1" si="761"/>
        <v>0</v>
      </c>
      <c r="CB963" s="824">
        <f t="shared" ca="1" si="761"/>
        <v>0</v>
      </c>
      <c r="CC963" s="824">
        <f t="shared" ca="1" si="761"/>
        <v>0</v>
      </c>
      <c r="CD963" s="824">
        <f t="shared" ca="1" si="761"/>
        <v>0</v>
      </c>
      <c r="CE963" s="824">
        <f t="shared" ca="1" si="760"/>
        <v>0</v>
      </c>
      <c r="CF963" s="824">
        <f t="shared" ca="1" si="760"/>
        <v>0</v>
      </c>
      <c r="CG963" s="824">
        <f t="shared" ca="1" si="760"/>
        <v>0</v>
      </c>
      <c r="CH963" s="824">
        <f t="shared" ca="1" si="760"/>
        <v>0</v>
      </c>
      <c r="CI963" s="824">
        <f t="shared" ca="1" si="760"/>
        <v>0</v>
      </c>
      <c r="CJ963" s="824">
        <f t="shared" ca="1" si="760"/>
        <v>0</v>
      </c>
      <c r="CK963" s="824">
        <f t="shared" ca="1" si="760"/>
        <v>0</v>
      </c>
      <c r="CL963" s="824">
        <f t="shared" ca="1" si="760"/>
        <v>0</v>
      </c>
      <c r="CM963" s="824">
        <f t="shared" ca="1" si="760"/>
        <v>0</v>
      </c>
      <c r="CN963" s="824">
        <f t="shared" ca="1" si="760"/>
        <v>0</v>
      </c>
      <c r="CO963" s="824">
        <f t="shared" ca="1" si="760"/>
        <v>0</v>
      </c>
      <c r="CP963" s="824">
        <f t="shared" ca="1" si="760"/>
        <v>0</v>
      </c>
      <c r="CQ963" s="824">
        <f t="shared" ca="1" si="760"/>
        <v>0</v>
      </c>
      <c r="CR963" s="824">
        <f t="shared" ca="1" si="760"/>
        <v>0</v>
      </c>
      <c r="CS963" s="824">
        <f t="shared" ca="1" si="760"/>
        <v>0</v>
      </c>
      <c r="CT963" s="824">
        <f t="shared" ca="1" si="740"/>
        <v>0</v>
      </c>
      <c r="CU963" s="824">
        <f t="shared" ca="1" si="740"/>
        <v>0</v>
      </c>
      <c r="CV963" s="824">
        <f t="shared" ca="1" si="740"/>
        <v>0</v>
      </c>
      <c r="CW963" s="824">
        <f t="shared" ca="1" si="740"/>
        <v>0</v>
      </c>
      <c r="CX963" s="824">
        <f t="shared" ca="1" si="740"/>
        <v>0</v>
      </c>
      <c r="CY963" s="824">
        <f t="shared" ca="1" si="740"/>
        <v>0</v>
      </c>
      <c r="CZ963" s="824">
        <f t="shared" ca="1" si="740"/>
        <v>0</v>
      </c>
      <c r="DA963" s="824">
        <f t="shared" ca="1" si="740"/>
        <v>0</v>
      </c>
      <c r="DB963" s="824">
        <f t="shared" ca="1" si="740"/>
        <v>0</v>
      </c>
      <c r="DC963" s="824">
        <f t="shared" ca="1" si="740"/>
        <v>0</v>
      </c>
      <c r="DD963" s="824">
        <f t="shared" ca="1" si="740"/>
        <v>0</v>
      </c>
      <c r="DE963" s="824">
        <f t="shared" ca="1" si="740"/>
        <v>0</v>
      </c>
      <c r="DF963" s="824">
        <f t="shared" ca="1" si="740"/>
        <v>0</v>
      </c>
      <c r="DG963" s="824">
        <f t="shared" ca="1" si="740"/>
        <v>0</v>
      </c>
      <c r="DH963" s="824">
        <f t="shared" ca="1" si="740"/>
        <v>0</v>
      </c>
      <c r="DI963" s="824">
        <f t="shared" ref="DI963" ca="1" si="762">IF(OR(IF($BL963*1&lt;$BL$196,$BL963*1=DI$198,FALSE),IF($BL963*2&lt;$BL$196,$BL963*2=DI$198,FALSE),IF($BL963*3&lt;$BL$196,$BL963*3=DI$198,FALSE),IF($BL963*4&lt;$BL$196,$BL963*4=DI$198,FALSE),IF($BL963*5&lt;$BL$196,$BL963*5=DI$198,FALSE)),$BN963*$BM$196^DI$198,0)</f>
        <v>0</v>
      </c>
      <c r="DJ963" s="824">
        <f t="shared" ca="1" si="726"/>
        <v>0</v>
      </c>
      <c r="DK963" s="824">
        <f t="shared" ca="1" si="726"/>
        <v>0</v>
      </c>
      <c r="DL963" s="824">
        <f t="shared" ca="1" si="726"/>
        <v>0</v>
      </c>
    </row>
    <row r="964" spans="2:116" ht="12" thickBot="1" x14ac:dyDescent="0.3">
      <c r="B964" s="1673"/>
      <c r="C964" s="1680"/>
      <c r="D964" s="15" t="s">
        <v>29</v>
      </c>
      <c r="E964" s="165"/>
      <c r="F964" s="116">
        <f ca="1">SUBTOTAL(109,'3.5 I&amp;W'!$X$163)</f>
        <v>0</v>
      </c>
      <c r="G964" s="116">
        <f ca="1">SUBTOTAL(109,'3.5 I&amp;W'!$Y$163)</f>
        <v>0</v>
      </c>
      <c r="H964" s="116">
        <f ca="1">SUBTOTAL(109,'3.5 I&amp;W'!$AD$163)</f>
        <v>0</v>
      </c>
      <c r="I964" s="116">
        <f ca="1">SUBTOTAL(109,'3.5 I&amp;W'!$AE$163)</f>
        <v>0</v>
      </c>
      <c r="J964" s="116"/>
      <c r="K964" s="116"/>
      <c r="L964" s="116"/>
      <c r="M964" s="116">
        <f ca="1">SUBTOTAL(109,'3.5 I&amp;W'!$AI$163)</f>
        <v>0</v>
      </c>
      <c r="N964" s="156">
        <f t="shared" ca="1" si="751"/>
        <v>0</v>
      </c>
      <c r="O964" s="116">
        <f ca="1">SUBTOTAL(109,'3.5 I&amp;W'!$S$163)</f>
        <v>0</v>
      </c>
      <c r="P964" s="30">
        <f t="shared" ca="1" si="741"/>
        <v>0</v>
      </c>
      <c r="Q964" s="31">
        <f t="shared" ca="1" si="742"/>
        <v>0</v>
      </c>
      <c r="R964" s="31">
        <f t="shared" ca="1" si="743"/>
        <v>0</v>
      </c>
      <c r="S964" s="31">
        <f t="shared" ca="1" si="744"/>
        <v>0</v>
      </c>
      <c r="T964" s="32">
        <f t="shared" ca="1" si="745"/>
        <v>0</v>
      </c>
      <c r="U964" s="37">
        <f t="shared" ca="1" si="678"/>
        <v>0</v>
      </c>
      <c r="V964" s="40">
        <f t="shared" ca="1" si="746"/>
        <v>0</v>
      </c>
      <c r="W964" s="41">
        <f t="shared" ca="1" si="747"/>
        <v>0</v>
      </c>
      <c r="X964" s="43"/>
      <c r="Y964" s="46"/>
      <c r="Z964" s="126"/>
      <c r="AA964" s="136"/>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824">
        <f t="shared" ca="1" si="748"/>
        <v>0</v>
      </c>
      <c r="BM964" s="824">
        <f t="shared" ca="1" si="749"/>
        <v>0</v>
      </c>
      <c r="BN964" s="824">
        <f t="shared" ca="1" si="750"/>
        <v>0</v>
      </c>
      <c r="BO964" s="824">
        <f t="shared" ca="1" si="761"/>
        <v>0</v>
      </c>
      <c r="BP964" s="824">
        <f t="shared" ca="1" si="761"/>
        <v>0</v>
      </c>
      <c r="BQ964" s="824">
        <f t="shared" ca="1" si="761"/>
        <v>0</v>
      </c>
      <c r="BR964" s="824">
        <f t="shared" ca="1" si="761"/>
        <v>0</v>
      </c>
      <c r="BS964" s="824">
        <f t="shared" ca="1" si="761"/>
        <v>0</v>
      </c>
      <c r="BT964" s="824">
        <f t="shared" ca="1" si="761"/>
        <v>0</v>
      </c>
      <c r="BU964" s="824">
        <f t="shared" ca="1" si="761"/>
        <v>0</v>
      </c>
      <c r="BV964" s="824">
        <f t="shared" ca="1" si="761"/>
        <v>0</v>
      </c>
      <c r="BW964" s="824">
        <f t="shared" ca="1" si="761"/>
        <v>0</v>
      </c>
      <c r="BX964" s="824">
        <f t="shared" ca="1" si="761"/>
        <v>0</v>
      </c>
      <c r="BY964" s="824">
        <f t="shared" ca="1" si="761"/>
        <v>0</v>
      </c>
      <c r="BZ964" s="824">
        <f t="shared" ca="1" si="761"/>
        <v>0</v>
      </c>
      <c r="CA964" s="824">
        <f t="shared" ca="1" si="761"/>
        <v>0</v>
      </c>
      <c r="CB964" s="824">
        <f t="shared" ca="1" si="761"/>
        <v>0</v>
      </c>
      <c r="CC964" s="824">
        <f t="shared" ca="1" si="761"/>
        <v>0</v>
      </c>
      <c r="CD964" s="824">
        <f t="shared" ca="1" si="761"/>
        <v>0</v>
      </c>
      <c r="CE964" s="824">
        <f t="shared" ca="1" si="760"/>
        <v>0</v>
      </c>
      <c r="CF964" s="824">
        <f t="shared" ca="1" si="760"/>
        <v>0</v>
      </c>
      <c r="CG964" s="824">
        <f t="shared" ca="1" si="760"/>
        <v>0</v>
      </c>
      <c r="CH964" s="824">
        <f t="shared" ca="1" si="760"/>
        <v>0</v>
      </c>
      <c r="CI964" s="824">
        <f t="shared" ca="1" si="760"/>
        <v>0</v>
      </c>
      <c r="CJ964" s="824">
        <f t="shared" ca="1" si="760"/>
        <v>0</v>
      </c>
      <c r="CK964" s="824">
        <f t="shared" ca="1" si="760"/>
        <v>0</v>
      </c>
      <c r="CL964" s="824">
        <f t="shared" ca="1" si="760"/>
        <v>0</v>
      </c>
      <c r="CM964" s="824">
        <f t="shared" ca="1" si="760"/>
        <v>0</v>
      </c>
      <c r="CN964" s="824">
        <f t="shared" ca="1" si="760"/>
        <v>0</v>
      </c>
      <c r="CO964" s="824">
        <f t="shared" ca="1" si="760"/>
        <v>0</v>
      </c>
      <c r="CP964" s="824">
        <f t="shared" ca="1" si="760"/>
        <v>0</v>
      </c>
      <c r="CQ964" s="824">
        <f t="shared" ca="1" si="760"/>
        <v>0</v>
      </c>
      <c r="CR964" s="824">
        <f t="shared" ca="1" si="760"/>
        <v>0</v>
      </c>
      <c r="CS964" s="824">
        <f t="shared" ca="1" si="760"/>
        <v>0</v>
      </c>
      <c r="CT964" s="824">
        <f t="shared" ref="CT964:DI979" ca="1" si="763">IF(OR(IF($BL964*1&lt;$BL$196,$BL964*1=CT$198,FALSE),IF($BL964*2&lt;$BL$196,$BL964*2=CT$198,FALSE),IF($BL964*3&lt;$BL$196,$BL964*3=CT$198,FALSE),IF($BL964*4&lt;$BL$196,$BL964*4=CT$198,FALSE),IF($BL964*5&lt;$BL$196,$BL964*5=CT$198,FALSE)),$BN964*$BM$196^CT$198,0)</f>
        <v>0</v>
      </c>
      <c r="CU964" s="824">
        <f t="shared" ca="1" si="763"/>
        <v>0</v>
      </c>
      <c r="CV964" s="824">
        <f t="shared" ca="1" si="763"/>
        <v>0</v>
      </c>
      <c r="CW964" s="824">
        <f t="shared" ca="1" si="763"/>
        <v>0</v>
      </c>
      <c r="CX964" s="824">
        <f t="shared" ca="1" si="763"/>
        <v>0</v>
      </c>
      <c r="CY964" s="824">
        <f t="shared" ca="1" si="763"/>
        <v>0</v>
      </c>
      <c r="CZ964" s="824">
        <f t="shared" ca="1" si="763"/>
        <v>0</v>
      </c>
      <c r="DA964" s="824">
        <f t="shared" ca="1" si="763"/>
        <v>0</v>
      </c>
      <c r="DB964" s="824">
        <f t="shared" ca="1" si="763"/>
        <v>0</v>
      </c>
      <c r="DC964" s="824">
        <f t="shared" ca="1" si="763"/>
        <v>0</v>
      </c>
      <c r="DD964" s="824">
        <f t="shared" ca="1" si="763"/>
        <v>0</v>
      </c>
      <c r="DE964" s="824">
        <f t="shared" ca="1" si="763"/>
        <v>0</v>
      </c>
      <c r="DF964" s="824">
        <f t="shared" ca="1" si="763"/>
        <v>0</v>
      </c>
      <c r="DG964" s="824">
        <f t="shared" ca="1" si="763"/>
        <v>0</v>
      </c>
      <c r="DH964" s="824">
        <f t="shared" ca="1" si="763"/>
        <v>0</v>
      </c>
      <c r="DI964" s="824">
        <f t="shared" ca="1" si="763"/>
        <v>0</v>
      </c>
      <c r="DJ964" s="824">
        <f t="shared" ca="1" si="726"/>
        <v>0</v>
      </c>
      <c r="DK964" s="824">
        <f t="shared" ca="1" si="726"/>
        <v>0</v>
      </c>
      <c r="DL964" s="824">
        <f t="shared" ca="1" si="726"/>
        <v>0</v>
      </c>
    </row>
    <row r="965" spans="2:116" ht="12" thickBot="1" x14ac:dyDescent="0.3">
      <c r="B965" s="1673"/>
      <c r="C965" s="1680"/>
      <c r="D965" s="15" t="s">
        <v>25</v>
      </c>
      <c r="E965" s="116"/>
      <c r="F965" s="116">
        <f ca="1">SUBTOTAL(109,'3.5 I&amp;W'!$X$167)</f>
        <v>0</v>
      </c>
      <c r="G965" s="116">
        <f ca="1">SUBTOTAL(109,'3.5 I&amp;W'!$Y$167)</f>
        <v>0</v>
      </c>
      <c r="H965" s="116">
        <f ca="1">SUBTOTAL(109,'3.5 I&amp;W'!$AD$167)</f>
        <v>0</v>
      </c>
      <c r="I965" s="116">
        <f ca="1">SUBTOTAL(109,'3.5 I&amp;W'!$AE$167)</f>
        <v>0</v>
      </c>
      <c r="J965" s="116"/>
      <c r="K965" s="116"/>
      <c r="L965" s="116"/>
      <c r="M965" s="116">
        <f ca="1">SUBTOTAL(109,'3.5 I&amp;W'!$AI$167)</f>
        <v>0</v>
      </c>
      <c r="N965" s="156">
        <f t="shared" ca="1" si="751"/>
        <v>0</v>
      </c>
      <c r="O965" s="116">
        <f ca="1">SUBTOTAL(109,'3.5 I&amp;W'!$S$167)</f>
        <v>0</v>
      </c>
      <c r="P965" s="30">
        <f t="shared" ca="1" si="741"/>
        <v>0</v>
      </c>
      <c r="Q965" s="31">
        <f t="shared" ca="1" si="742"/>
        <v>0</v>
      </c>
      <c r="R965" s="31">
        <f t="shared" ca="1" si="743"/>
        <v>0</v>
      </c>
      <c r="S965" s="31">
        <f t="shared" ca="1" si="744"/>
        <v>0</v>
      </c>
      <c r="T965" s="32">
        <f t="shared" ca="1" si="745"/>
        <v>0</v>
      </c>
      <c r="U965" s="37">
        <f t="shared" ca="1" si="678"/>
        <v>0</v>
      </c>
      <c r="V965" s="40">
        <f t="shared" ca="1" si="746"/>
        <v>0</v>
      </c>
      <c r="W965" s="41">
        <f t="shared" ca="1" si="747"/>
        <v>0</v>
      </c>
      <c r="X965" s="43"/>
      <c r="Y965" s="46"/>
      <c r="Z965" s="126"/>
      <c r="AA965" s="136"/>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824">
        <f t="shared" ca="1" si="748"/>
        <v>0</v>
      </c>
      <c r="BM965" s="824">
        <f t="shared" ca="1" si="749"/>
        <v>0</v>
      </c>
      <c r="BN965" s="824">
        <f t="shared" ca="1" si="750"/>
        <v>0</v>
      </c>
      <c r="BO965" s="824">
        <f t="shared" ca="1" si="761"/>
        <v>0</v>
      </c>
      <c r="BP965" s="824">
        <f t="shared" ca="1" si="761"/>
        <v>0</v>
      </c>
      <c r="BQ965" s="824">
        <f t="shared" ca="1" si="761"/>
        <v>0</v>
      </c>
      <c r="BR965" s="824">
        <f t="shared" ca="1" si="761"/>
        <v>0</v>
      </c>
      <c r="BS965" s="824">
        <f t="shared" ca="1" si="761"/>
        <v>0</v>
      </c>
      <c r="BT965" s="824">
        <f t="shared" ca="1" si="761"/>
        <v>0</v>
      </c>
      <c r="BU965" s="824">
        <f t="shared" ca="1" si="761"/>
        <v>0</v>
      </c>
      <c r="BV965" s="824">
        <f t="shared" ca="1" si="761"/>
        <v>0</v>
      </c>
      <c r="BW965" s="824">
        <f t="shared" ca="1" si="761"/>
        <v>0</v>
      </c>
      <c r="BX965" s="824">
        <f t="shared" ca="1" si="761"/>
        <v>0</v>
      </c>
      <c r="BY965" s="824">
        <f t="shared" ca="1" si="761"/>
        <v>0</v>
      </c>
      <c r="BZ965" s="824">
        <f t="shared" ca="1" si="761"/>
        <v>0</v>
      </c>
      <c r="CA965" s="824">
        <f t="shared" ca="1" si="761"/>
        <v>0</v>
      </c>
      <c r="CB965" s="824">
        <f t="shared" ca="1" si="761"/>
        <v>0</v>
      </c>
      <c r="CC965" s="824">
        <f t="shared" ca="1" si="761"/>
        <v>0</v>
      </c>
      <c r="CD965" s="824">
        <f t="shared" ca="1" si="761"/>
        <v>0</v>
      </c>
      <c r="CE965" s="824">
        <f t="shared" ca="1" si="760"/>
        <v>0</v>
      </c>
      <c r="CF965" s="824">
        <f t="shared" ca="1" si="760"/>
        <v>0</v>
      </c>
      <c r="CG965" s="824">
        <f t="shared" ca="1" si="760"/>
        <v>0</v>
      </c>
      <c r="CH965" s="824">
        <f t="shared" ca="1" si="760"/>
        <v>0</v>
      </c>
      <c r="CI965" s="824">
        <f t="shared" ca="1" si="760"/>
        <v>0</v>
      </c>
      <c r="CJ965" s="824">
        <f t="shared" ca="1" si="760"/>
        <v>0</v>
      </c>
      <c r="CK965" s="824">
        <f t="shared" ca="1" si="760"/>
        <v>0</v>
      </c>
      <c r="CL965" s="824">
        <f t="shared" ca="1" si="760"/>
        <v>0</v>
      </c>
      <c r="CM965" s="824">
        <f t="shared" ca="1" si="760"/>
        <v>0</v>
      </c>
      <c r="CN965" s="824">
        <f t="shared" ca="1" si="760"/>
        <v>0</v>
      </c>
      <c r="CO965" s="824">
        <f t="shared" ca="1" si="760"/>
        <v>0</v>
      </c>
      <c r="CP965" s="824">
        <f t="shared" ca="1" si="760"/>
        <v>0</v>
      </c>
      <c r="CQ965" s="824">
        <f t="shared" ca="1" si="760"/>
        <v>0</v>
      </c>
      <c r="CR965" s="824">
        <f t="shared" ca="1" si="760"/>
        <v>0</v>
      </c>
      <c r="CS965" s="824">
        <f t="shared" ca="1" si="760"/>
        <v>0</v>
      </c>
      <c r="CT965" s="824">
        <f t="shared" ca="1" si="763"/>
        <v>0</v>
      </c>
      <c r="CU965" s="824">
        <f t="shared" ca="1" si="763"/>
        <v>0</v>
      </c>
      <c r="CV965" s="824">
        <f t="shared" ca="1" si="763"/>
        <v>0</v>
      </c>
      <c r="CW965" s="824">
        <f t="shared" ca="1" si="763"/>
        <v>0</v>
      </c>
      <c r="CX965" s="824">
        <f t="shared" ca="1" si="763"/>
        <v>0</v>
      </c>
      <c r="CY965" s="824">
        <f t="shared" ca="1" si="763"/>
        <v>0</v>
      </c>
      <c r="CZ965" s="824">
        <f t="shared" ca="1" si="763"/>
        <v>0</v>
      </c>
      <c r="DA965" s="824">
        <f t="shared" ca="1" si="763"/>
        <v>0</v>
      </c>
      <c r="DB965" s="824">
        <f t="shared" ca="1" si="763"/>
        <v>0</v>
      </c>
      <c r="DC965" s="824">
        <f t="shared" ca="1" si="763"/>
        <v>0</v>
      </c>
      <c r="DD965" s="824">
        <f t="shared" ca="1" si="763"/>
        <v>0</v>
      </c>
      <c r="DE965" s="824">
        <f t="shared" ca="1" si="763"/>
        <v>0</v>
      </c>
      <c r="DF965" s="824">
        <f t="shared" ca="1" si="763"/>
        <v>0</v>
      </c>
      <c r="DG965" s="824">
        <f t="shared" ca="1" si="763"/>
        <v>0</v>
      </c>
      <c r="DH965" s="824">
        <f t="shared" ca="1" si="763"/>
        <v>0</v>
      </c>
      <c r="DI965" s="824">
        <f t="shared" ca="1" si="763"/>
        <v>0</v>
      </c>
      <c r="DJ965" s="824">
        <f t="shared" ca="1" si="726"/>
        <v>0</v>
      </c>
      <c r="DK965" s="824">
        <f t="shared" ca="1" si="726"/>
        <v>0</v>
      </c>
      <c r="DL965" s="824">
        <f t="shared" ca="1" si="726"/>
        <v>0</v>
      </c>
    </row>
    <row r="966" spans="2:116" ht="12" thickBot="1" x14ac:dyDescent="0.3">
      <c r="B966" s="1673"/>
      <c r="C966" s="1680"/>
      <c r="D966" s="15" t="s">
        <v>25</v>
      </c>
      <c r="E966" s="165"/>
      <c r="F966" s="116">
        <f ca="1">SUBTOTAL(109,'3.5 I&amp;W'!$X$168)</f>
        <v>0</v>
      </c>
      <c r="G966" s="116">
        <f ca="1">SUBTOTAL(109,'3.5 I&amp;W'!$Y$168)</f>
        <v>0</v>
      </c>
      <c r="H966" s="116">
        <f ca="1">SUBTOTAL(109,'3.5 I&amp;W'!$AD$168)</f>
        <v>0</v>
      </c>
      <c r="I966" s="116">
        <f ca="1">SUBTOTAL(109,'3.5 I&amp;W'!$AE$168)</f>
        <v>0</v>
      </c>
      <c r="J966" s="116"/>
      <c r="K966" s="116"/>
      <c r="L966" s="116"/>
      <c r="M966" s="116">
        <f ca="1">SUBTOTAL(109,'3.5 I&amp;W'!$AI$168)</f>
        <v>0</v>
      </c>
      <c r="N966" s="156">
        <f t="shared" ca="1" si="751"/>
        <v>0</v>
      </c>
      <c r="O966" s="116">
        <f ca="1">SUBTOTAL(109,'3.5 I&amp;W'!$S$168)</f>
        <v>0</v>
      </c>
      <c r="P966" s="30">
        <f t="shared" ca="1" si="741"/>
        <v>0</v>
      </c>
      <c r="Q966" s="31">
        <f t="shared" ca="1" si="742"/>
        <v>0</v>
      </c>
      <c r="R966" s="31">
        <f t="shared" ca="1" si="743"/>
        <v>0</v>
      </c>
      <c r="S966" s="31">
        <f t="shared" ca="1" si="744"/>
        <v>0</v>
      </c>
      <c r="T966" s="32">
        <f t="shared" ca="1" si="745"/>
        <v>0</v>
      </c>
      <c r="U966" s="37">
        <f t="shared" ca="1" si="678"/>
        <v>0</v>
      </c>
      <c r="V966" s="40">
        <f t="shared" ca="1" si="746"/>
        <v>0</v>
      </c>
      <c r="W966" s="41">
        <f t="shared" ca="1" si="747"/>
        <v>0</v>
      </c>
      <c r="X966" s="43"/>
      <c r="Y966" s="46"/>
      <c r="Z966" s="126"/>
      <c r="AA966" s="136"/>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824">
        <f t="shared" ca="1" si="748"/>
        <v>0</v>
      </c>
      <c r="BM966" s="824">
        <f t="shared" ca="1" si="749"/>
        <v>0</v>
      </c>
      <c r="BN966" s="824">
        <f t="shared" ca="1" si="750"/>
        <v>0</v>
      </c>
      <c r="BO966" s="824">
        <f t="shared" ca="1" si="761"/>
        <v>0</v>
      </c>
      <c r="BP966" s="824">
        <f t="shared" ca="1" si="761"/>
        <v>0</v>
      </c>
      <c r="BQ966" s="824">
        <f t="shared" ca="1" si="761"/>
        <v>0</v>
      </c>
      <c r="BR966" s="824">
        <f t="shared" ca="1" si="761"/>
        <v>0</v>
      </c>
      <c r="BS966" s="824">
        <f t="shared" ca="1" si="761"/>
        <v>0</v>
      </c>
      <c r="BT966" s="824">
        <f t="shared" ca="1" si="761"/>
        <v>0</v>
      </c>
      <c r="BU966" s="824">
        <f t="shared" ca="1" si="761"/>
        <v>0</v>
      </c>
      <c r="BV966" s="824">
        <f t="shared" ca="1" si="761"/>
        <v>0</v>
      </c>
      <c r="BW966" s="824">
        <f t="shared" ca="1" si="761"/>
        <v>0</v>
      </c>
      <c r="BX966" s="824">
        <f t="shared" ca="1" si="761"/>
        <v>0</v>
      </c>
      <c r="BY966" s="824">
        <f t="shared" ca="1" si="761"/>
        <v>0</v>
      </c>
      <c r="BZ966" s="824">
        <f t="shared" ca="1" si="761"/>
        <v>0</v>
      </c>
      <c r="CA966" s="824">
        <f t="shared" ca="1" si="761"/>
        <v>0</v>
      </c>
      <c r="CB966" s="824">
        <f t="shared" ca="1" si="761"/>
        <v>0</v>
      </c>
      <c r="CC966" s="824">
        <f t="shared" ca="1" si="761"/>
        <v>0</v>
      </c>
      <c r="CD966" s="824">
        <f t="shared" ca="1" si="761"/>
        <v>0</v>
      </c>
      <c r="CE966" s="824">
        <f t="shared" ca="1" si="760"/>
        <v>0</v>
      </c>
      <c r="CF966" s="824">
        <f t="shared" ca="1" si="760"/>
        <v>0</v>
      </c>
      <c r="CG966" s="824">
        <f t="shared" ca="1" si="760"/>
        <v>0</v>
      </c>
      <c r="CH966" s="824">
        <f t="shared" ca="1" si="760"/>
        <v>0</v>
      </c>
      <c r="CI966" s="824">
        <f t="shared" ca="1" si="760"/>
        <v>0</v>
      </c>
      <c r="CJ966" s="824">
        <f t="shared" ca="1" si="760"/>
        <v>0</v>
      </c>
      <c r="CK966" s="824">
        <f t="shared" ca="1" si="760"/>
        <v>0</v>
      </c>
      <c r="CL966" s="824">
        <f t="shared" ca="1" si="760"/>
        <v>0</v>
      </c>
      <c r="CM966" s="824">
        <f t="shared" ca="1" si="760"/>
        <v>0</v>
      </c>
      <c r="CN966" s="824">
        <f t="shared" ca="1" si="760"/>
        <v>0</v>
      </c>
      <c r="CO966" s="824">
        <f t="shared" ca="1" si="760"/>
        <v>0</v>
      </c>
      <c r="CP966" s="824">
        <f t="shared" ca="1" si="760"/>
        <v>0</v>
      </c>
      <c r="CQ966" s="824">
        <f t="shared" ca="1" si="760"/>
        <v>0</v>
      </c>
      <c r="CR966" s="824">
        <f t="shared" ca="1" si="760"/>
        <v>0</v>
      </c>
      <c r="CS966" s="824">
        <f t="shared" ca="1" si="760"/>
        <v>0</v>
      </c>
      <c r="CT966" s="824">
        <f t="shared" ca="1" si="763"/>
        <v>0</v>
      </c>
      <c r="CU966" s="824">
        <f t="shared" ca="1" si="763"/>
        <v>0</v>
      </c>
      <c r="CV966" s="824">
        <f t="shared" ca="1" si="763"/>
        <v>0</v>
      </c>
      <c r="CW966" s="824">
        <f t="shared" ca="1" si="763"/>
        <v>0</v>
      </c>
      <c r="CX966" s="824">
        <f t="shared" ca="1" si="763"/>
        <v>0</v>
      </c>
      <c r="CY966" s="824">
        <f t="shared" ca="1" si="763"/>
        <v>0</v>
      </c>
      <c r="CZ966" s="824">
        <f t="shared" ca="1" si="763"/>
        <v>0</v>
      </c>
      <c r="DA966" s="824">
        <f t="shared" ca="1" si="763"/>
        <v>0</v>
      </c>
      <c r="DB966" s="824">
        <f t="shared" ca="1" si="763"/>
        <v>0</v>
      </c>
      <c r="DC966" s="824">
        <f t="shared" ca="1" si="763"/>
        <v>0</v>
      </c>
      <c r="DD966" s="824">
        <f t="shared" ca="1" si="763"/>
        <v>0</v>
      </c>
      <c r="DE966" s="824">
        <f t="shared" ca="1" si="763"/>
        <v>0</v>
      </c>
      <c r="DF966" s="824">
        <f t="shared" ca="1" si="763"/>
        <v>0</v>
      </c>
      <c r="DG966" s="824">
        <f t="shared" ca="1" si="763"/>
        <v>0</v>
      </c>
      <c r="DH966" s="824">
        <f t="shared" ca="1" si="763"/>
        <v>0</v>
      </c>
      <c r="DI966" s="824">
        <f t="shared" ca="1" si="763"/>
        <v>0</v>
      </c>
      <c r="DJ966" s="824">
        <f t="shared" ca="1" si="726"/>
        <v>0</v>
      </c>
      <c r="DK966" s="824">
        <f t="shared" ca="1" si="726"/>
        <v>0</v>
      </c>
      <c r="DL966" s="824">
        <f t="shared" ca="1" si="726"/>
        <v>0</v>
      </c>
    </row>
    <row r="967" spans="2:116" ht="12" thickBot="1" x14ac:dyDescent="0.3">
      <c r="B967" s="1673"/>
      <c r="C967" s="1680"/>
      <c r="D967" s="15" t="s">
        <v>25</v>
      </c>
      <c r="E967" s="116"/>
      <c r="F967" s="116">
        <f ca="1">SUBTOTAL(109,'3.5 I&amp;W'!$X$169)</f>
        <v>0</v>
      </c>
      <c r="G967" s="116">
        <f ca="1">SUBTOTAL(109,'3.5 I&amp;W'!$Y$169)</f>
        <v>0</v>
      </c>
      <c r="H967" s="116">
        <f ca="1">SUBTOTAL(109,'3.5 I&amp;W'!$AD$169)</f>
        <v>0</v>
      </c>
      <c r="I967" s="116">
        <f ca="1">SUBTOTAL(109,'3.5 I&amp;W'!$AE$169)</f>
        <v>0</v>
      </c>
      <c r="J967" s="116"/>
      <c r="K967" s="116"/>
      <c r="L967" s="116"/>
      <c r="M967" s="116">
        <f ca="1">SUBTOTAL(109,'3.5 I&amp;W'!$AI$169)</f>
        <v>0</v>
      </c>
      <c r="N967" s="156">
        <f t="shared" ca="1" si="751"/>
        <v>0</v>
      </c>
      <c r="O967" s="116">
        <f ca="1">SUBTOTAL(109,'3.5 I&amp;W'!$S$169)</f>
        <v>0</v>
      </c>
      <c r="P967" s="30">
        <f t="shared" ca="1" si="741"/>
        <v>0</v>
      </c>
      <c r="Q967" s="31">
        <f t="shared" ca="1" si="742"/>
        <v>0</v>
      </c>
      <c r="R967" s="31">
        <f t="shared" ca="1" si="743"/>
        <v>0</v>
      </c>
      <c r="S967" s="31">
        <f t="shared" ca="1" si="744"/>
        <v>0</v>
      </c>
      <c r="T967" s="32">
        <f t="shared" ca="1" si="745"/>
        <v>0</v>
      </c>
      <c r="U967" s="37">
        <f t="shared" ca="1" si="678"/>
        <v>0</v>
      </c>
      <c r="V967" s="40">
        <f t="shared" ca="1" si="746"/>
        <v>0</v>
      </c>
      <c r="W967" s="41">
        <f t="shared" ca="1" si="747"/>
        <v>0</v>
      </c>
      <c r="X967" s="43"/>
      <c r="Y967" s="46"/>
      <c r="Z967" s="126"/>
      <c r="AA967" s="136"/>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824">
        <f t="shared" ca="1" si="748"/>
        <v>0</v>
      </c>
      <c r="BM967" s="824">
        <f t="shared" ca="1" si="749"/>
        <v>0</v>
      </c>
      <c r="BN967" s="824">
        <f t="shared" ca="1" si="750"/>
        <v>0</v>
      </c>
      <c r="BO967" s="824">
        <f t="shared" ca="1" si="761"/>
        <v>0</v>
      </c>
      <c r="BP967" s="824">
        <f t="shared" ca="1" si="761"/>
        <v>0</v>
      </c>
      <c r="BQ967" s="824">
        <f t="shared" ca="1" si="761"/>
        <v>0</v>
      </c>
      <c r="BR967" s="824">
        <f t="shared" ca="1" si="761"/>
        <v>0</v>
      </c>
      <c r="BS967" s="824">
        <f t="shared" ca="1" si="761"/>
        <v>0</v>
      </c>
      <c r="BT967" s="824">
        <f t="shared" ca="1" si="761"/>
        <v>0</v>
      </c>
      <c r="BU967" s="824">
        <f t="shared" ca="1" si="761"/>
        <v>0</v>
      </c>
      <c r="BV967" s="824">
        <f t="shared" ca="1" si="761"/>
        <v>0</v>
      </c>
      <c r="BW967" s="824">
        <f t="shared" ca="1" si="761"/>
        <v>0</v>
      </c>
      <c r="BX967" s="824">
        <f t="shared" ca="1" si="761"/>
        <v>0</v>
      </c>
      <c r="BY967" s="824">
        <f t="shared" ca="1" si="761"/>
        <v>0</v>
      </c>
      <c r="BZ967" s="824">
        <f t="shared" ca="1" si="761"/>
        <v>0</v>
      </c>
      <c r="CA967" s="824">
        <f t="shared" ca="1" si="761"/>
        <v>0</v>
      </c>
      <c r="CB967" s="824">
        <f t="shared" ca="1" si="761"/>
        <v>0</v>
      </c>
      <c r="CC967" s="824">
        <f t="shared" ca="1" si="761"/>
        <v>0</v>
      </c>
      <c r="CD967" s="824">
        <f t="shared" ca="1" si="761"/>
        <v>0</v>
      </c>
      <c r="CE967" s="824">
        <f t="shared" ca="1" si="760"/>
        <v>0</v>
      </c>
      <c r="CF967" s="824">
        <f t="shared" ca="1" si="760"/>
        <v>0</v>
      </c>
      <c r="CG967" s="824">
        <f t="shared" ca="1" si="760"/>
        <v>0</v>
      </c>
      <c r="CH967" s="824">
        <f t="shared" ca="1" si="760"/>
        <v>0</v>
      </c>
      <c r="CI967" s="824">
        <f t="shared" ca="1" si="760"/>
        <v>0</v>
      </c>
      <c r="CJ967" s="824">
        <f t="shared" ca="1" si="760"/>
        <v>0</v>
      </c>
      <c r="CK967" s="824">
        <f t="shared" ca="1" si="760"/>
        <v>0</v>
      </c>
      <c r="CL967" s="824">
        <f t="shared" ca="1" si="760"/>
        <v>0</v>
      </c>
      <c r="CM967" s="824">
        <f t="shared" ca="1" si="760"/>
        <v>0</v>
      </c>
      <c r="CN967" s="824">
        <f t="shared" ca="1" si="760"/>
        <v>0</v>
      </c>
      <c r="CO967" s="824">
        <f t="shared" ca="1" si="760"/>
        <v>0</v>
      </c>
      <c r="CP967" s="824">
        <f t="shared" ca="1" si="760"/>
        <v>0</v>
      </c>
      <c r="CQ967" s="824">
        <f t="shared" ca="1" si="760"/>
        <v>0</v>
      </c>
      <c r="CR967" s="824">
        <f t="shared" ca="1" si="760"/>
        <v>0</v>
      </c>
      <c r="CS967" s="824">
        <f t="shared" ca="1" si="760"/>
        <v>0</v>
      </c>
      <c r="CT967" s="824">
        <f t="shared" ca="1" si="763"/>
        <v>0</v>
      </c>
      <c r="CU967" s="824">
        <f t="shared" ca="1" si="763"/>
        <v>0</v>
      </c>
      <c r="CV967" s="824">
        <f t="shared" ca="1" si="763"/>
        <v>0</v>
      </c>
      <c r="CW967" s="824">
        <f t="shared" ca="1" si="763"/>
        <v>0</v>
      </c>
      <c r="CX967" s="824">
        <f t="shared" ca="1" si="763"/>
        <v>0</v>
      </c>
      <c r="CY967" s="824">
        <f t="shared" ca="1" si="763"/>
        <v>0</v>
      </c>
      <c r="CZ967" s="824">
        <f t="shared" ca="1" si="763"/>
        <v>0</v>
      </c>
      <c r="DA967" s="824">
        <f t="shared" ca="1" si="763"/>
        <v>0</v>
      </c>
      <c r="DB967" s="824">
        <f t="shared" ca="1" si="763"/>
        <v>0</v>
      </c>
      <c r="DC967" s="824">
        <f t="shared" ca="1" si="763"/>
        <v>0</v>
      </c>
      <c r="DD967" s="824">
        <f t="shared" ca="1" si="763"/>
        <v>0</v>
      </c>
      <c r="DE967" s="824">
        <f t="shared" ca="1" si="763"/>
        <v>0</v>
      </c>
      <c r="DF967" s="824">
        <f t="shared" ca="1" si="763"/>
        <v>0</v>
      </c>
      <c r="DG967" s="824">
        <f t="shared" ca="1" si="763"/>
        <v>0</v>
      </c>
      <c r="DH967" s="824">
        <f t="shared" ca="1" si="763"/>
        <v>0</v>
      </c>
      <c r="DI967" s="824">
        <f t="shared" ca="1" si="763"/>
        <v>0</v>
      </c>
      <c r="DJ967" s="824">
        <f t="shared" ca="1" si="726"/>
        <v>0</v>
      </c>
      <c r="DK967" s="824">
        <f t="shared" ca="1" si="726"/>
        <v>0</v>
      </c>
      <c r="DL967" s="824">
        <f t="shared" ca="1" si="726"/>
        <v>0</v>
      </c>
    </row>
    <row r="968" spans="2:116" ht="12" thickBot="1" x14ac:dyDescent="0.3">
      <c r="B968" s="1673"/>
      <c r="C968" s="1680"/>
      <c r="D968" s="15" t="s">
        <v>25</v>
      </c>
      <c r="E968" s="165"/>
      <c r="F968" s="116">
        <f ca="1">SUBTOTAL(109,'3.5 I&amp;W'!$X$170)</f>
        <v>0</v>
      </c>
      <c r="G968" s="116">
        <f ca="1">SUBTOTAL(109,'3.5 I&amp;W'!$Y$170)</f>
        <v>0</v>
      </c>
      <c r="H968" s="116">
        <f ca="1">SUBTOTAL(109,'3.5 I&amp;W'!$AD$170)</f>
        <v>0</v>
      </c>
      <c r="I968" s="116">
        <f ca="1">SUBTOTAL(109,'3.5 I&amp;W'!$AE$170)</f>
        <v>0</v>
      </c>
      <c r="J968" s="116"/>
      <c r="K968" s="116"/>
      <c r="L968" s="116"/>
      <c r="M968" s="116">
        <f ca="1">SUBTOTAL(109,'3.5 I&amp;W'!$AI$170)</f>
        <v>0</v>
      </c>
      <c r="N968" s="156">
        <f t="shared" ca="1" si="751"/>
        <v>0</v>
      </c>
      <c r="O968" s="116">
        <f ca="1">SUBTOTAL(109,'3.5 I&amp;W'!$S$170)</f>
        <v>0</v>
      </c>
      <c r="P968" s="30">
        <f t="shared" ca="1" si="741"/>
        <v>0</v>
      </c>
      <c r="Q968" s="31">
        <f t="shared" ca="1" si="742"/>
        <v>0</v>
      </c>
      <c r="R968" s="31">
        <f t="shared" ca="1" si="743"/>
        <v>0</v>
      </c>
      <c r="S968" s="31">
        <f t="shared" ca="1" si="744"/>
        <v>0</v>
      </c>
      <c r="T968" s="32">
        <f t="shared" ca="1" si="745"/>
        <v>0</v>
      </c>
      <c r="U968" s="37">
        <f t="shared" ref="U968:U994" ca="1" si="764">IF(M968=0,0,O968*$G$158^(N968*M968)*((N968+1)*M968-$G$154)/M968*(1/$G$157^$G$154))</f>
        <v>0</v>
      </c>
      <c r="V968" s="40">
        <f t="shared" ca="1" si="746"/>
        <v>0</v>
      </c>
      <c r="W968" s="41">
        <f t="shared" ca="1" si="747"/>
        <v>0</v>
      </c>
      <c r="X968" s="43"/>
      <c r="Y968" s="46"/>
      <c r="Z968" s="126"/>
      <c r="AA968" s="136"/>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824">
        <f t="shared" ca="1" si="748"/>
        <v>0</v>
      </c>
      <c r="BM968" s="824">
        <f t="shared" ca="1" si="749"/>
        <v>0</v>
      </c>
      <c r="BN968" s="824">
        <f t="shared" ca="1" si="750"/>
        <v>0</v>
      </c>
      <c r="BO968" s="824">
        <f t="shared" ca="1" si="761"/>
        <v>0</v>
      </c>
      <c r="BP968" s="824">
        <f t="shared" ca="1" si="761"/>
        <v>0</v>
      </c>
      <c r="BQ968" s="824">
        <f t="shared" ca="1" si="761"/>
        <v>0</v>
      </c>
      <c r="BR968" s="824">
        <f t="shared" ca="1" si="761"/>
        <v>0</v>
      </c>
      <c r="BS968" s="824">
        <f t="shared" ca="1" si="761"/>
        <v>0</v>
      </c>
      <c r="BT968" s="824">
        <f t="shared" ca="1" si="761"/>
        <v>0</v>
      </c>
      <c r="BU968" s="824">
        <f t="shared" ca="1" si="761"/>
        <v>0</v>
      </c>
      <c r="BV968" s="824">
        <f t="shared" ca="1" si="761"/>
        <v>0</v>
      </c>
      <c r="BW968" s="824">
        <f t="shared" ca="1" si="761"/>
        <v>0</v>
      </c>
      <c r="BX968" s="824">
        <f t="shared" ca="1" si="761"/>
        <v>0</v>
      </c>
      <c r="BY968" s="824">
        <f t="shared" ca="1" si="761"/>
        <v>0</v>
      </c>
      <c r="BZ968" s="824">
        <f t="shared" ca="1" si="761"/>
        <v>0</v>
      </c>
      <c r="CA968" s="824">
        <f t="shared" ca="1" si="761"/>
        <v>0</v>
      </c>
      <c r="CB968" s="824">
        <f t="shared" ca="1" si="761"/>
        <v>0</v>
      </c>
      <c r="CC968" s="824">
        <f t="shared" ca="1" si="761"/>
        <v>0</v>
      </c>
      <c r="CD968" s="824">
        <f t="shared" ca="1" si="761"/>
        <v>0</v>
      </c>
      <c r="CE968" s="824">
        <f t="shared" ca="1" si="760"/>
        <v>0</v>
      </c>
      <c r="CF968" s="824">
        <f t="shared" ca="1" si="760"/>
        <v>0</v>
      </c>
      <c r="CG968" s="824">
        <f t="shared" ca="1" si="760"/>
        <v>0</v>
      </c>
      <c r="CH968" s="824">
        <f t="shared" ca="1" si="760"/>
        <v>0</v>
      </c>
      <c r="CI968" s="824">
        <f t="shared" ca="1" si="760"/>
        <v>0</v>
      </c>
      <c r="CJ968" s="824">
        <f t="shared" ca="1" si="760"/>
        <v>0</v>
      </c>
      <c r="CK968" s="824">
        <f t="shared" ca="1" si="760"/>
        <v>0</v>
      </c>
      <c r="CL968" s="824">
        <f t="shared" ca="1" si="760"/>
        <v>0</v>
      </c>
      <c r="CM968" s="824">
        <f t="shared" ca="1" si="760"/>
        <v>0</v>
      </c>
      <c r="CN968" s="824">
        <f t="shared" ca="1" si="760"/>
        <v>0</v>
      </c>
      <c r="CO968" s="824">
        <f t="shared" ca="1" si="760"/>
        <v>0</v>
      </c>
      <c r="CP968" s="824">
        <f t="shared" ca="1" si="760"/>
        <v>0</v>
      </c>
      <c r="CQ968" s="824">
        <f t="shared" ca="1" si="760"/>
        <v>0</v>
      </c>
      <c r="CR968" s="824">
        <f t="shared" ca="1" si="760"/>
        <v>0</v>
      </c>
      <c r="CS968" s="824">
        <f t="shared" ca="1" si="760"/>
        <v>0</v>
      </c>
      <c r="CT968" s="824">
        <f t="shared" ca="1" si="763"/>
        <v>0</v>
      </c>
      <c r="CU968" s="824">
        <f t="shared" ca="1" si="763"/>
        <v>0</v>
      </c>
      <c r="CV968" s="824">
        <f t="shared" ca="1" si="763"/>
        <v>0</v>
      </c>
      <c r="CW968" s="824">
        <f t="shared" ca="1" si="763"/>
        <v>0</v>
      </c>
      <c r="CX968" s="824">
        <f t="shared" ca="1" si="763"/>
        <v>0</v>
      </c>
      <c r="CY968" s="824">
        <f t="shared" ca="1" si="763"/>
        <v>0</v>
      </c>
      <c r="CZ968" s="824">
        <f t="shared" ca="1" si="763"/>
        <v>0</v>
      </c>
      <c r="DA968" s="824">
        <f t="shared" ca="1" si="763"/>
        <v>0</v>
      </c>
      <c r="DB968" s="824">
        <f t="shared" ca="1" si="763"/>
        <v>0</v>
      </c>
      <c r="DC968" s="824">
        <f t="shared" ca="1" si="763"/>
        <v>0</v>
      </c>
      <c r="DD968" s="824">
        <f t="shared" ca="1" si="763"/>
        <v>0</v>
      </c>
      <c r="DE968" s="824">
        <f t="shared" ca="1" si="763"/>
        <v>0</v>
      </c>
      <c r="DF968" s="824">
        <f t="shared" ca="1" si="763"/>
        <v>0</v>
      </c>
      <c r="DG968" s="824">
        <f t="shared" ca="1" si="763"/>
        <v>0</v>
      </c>
      <c r="DH968" s="824">
        <f t="shared" ca="1" si="763"/>
        <v>0</v>
      </c>
      <c r="DI968" s="824">
        <f t="shared" ca="1" si="763"/>
        <v>0</v>
      </c>
      <c r="DJ968" s="824">
        <f t="shared" ca="1" si="726"/>
        <v>0</v>
      </c>
      <c r="DK968" s="824">
        <f t="shared" ca="1" si="726"/>
        <v>0</v>
      </c>
      <c r="DL968" s="824">
        <f t="shared" ca="1" si="726"/>
        <v>0</v>
      </c>
    </row>
    <row r="969" spans="2:116" ht="12" thickBot="1" x14ac:dyDescent="0.3">
      <c r="B969" s="1673"/>
      <c r="C969" s="1680"/>
      <c r="D969" s="15" t="s">
        <v>19</v>
      </c>
      <c r="E969" s="116"/>
      <c r="F969" s="116">
        <f ca="1">SUBTOTAL(109,'3.5 I&amp;W'!$X$178)</f>
        <v>0</v>
      </c>
      <c r="G969" s="116">
        <f ca="1">SUBTOTAL(109,'3.5 I&amp;W'!$Y$178)</f>
        <v>0</v>
      </c>
      <c r="H969" s="116">
        <f ca="1">SUBTOTAL(109,'3.5 I&amp;W'!$AD$178)</f>
        <v>0</v>
      </c>
      <c r="I969" s="116">
        <f ca="1">SUBTOTAL(109,'3.5 I&amp;W'!$AE$178)</f>
        <v>0</v>
      </c>
      <c r="J969" s="116"/>
      <c r="K969" s="116"/>
      <c r="L969" s="116"/>
      <c r="M969" s="116">
        <f ca="1">SUBTOTAL(109,'3.5 I&amp;W'!$AI$178)</f>
        <v>0</v>
      </c>
      <c r="N969" s="156">
        <f t="shared" ca="1" si="751"/>
        <v>0</v>
      </c>
      <c r="O969" s="116">
        <f ca="1">SUBTOTAL(109,'3.5 I&amp;W'!$S$178)</f>
        <v>0</v>
      </c>
      <c r="P969" s="30">
        <f t="shared" ca="1" si="741"/>
        <v>0</v>
      </c>
      <c r="Q969" s="31">
        <f t="shared" ca="1" si="742"/>
        <v>0</v>
      </c>
      <c r="R969" s="31">
        <f t="shared" ca="1" si="743"/>
        <v>0</v>
      </c>
      <c r="S969" s="31">
        <f t="shared" ca="1" si="744"/>
        <v>0</v>
      </c>
      <c r="T969" s="32">
        <f t="shared" ca="1" si="745"/>
        <v>0</v>
      </c>
      <c r="U969" s="37">
        <f t="shared" ca="1" si="764"/>
        <v>0</v>
      </c>
      <c r="V969" s="40">
        <f t="shared" ca="1" si="746"/>
        <v>0</v>
      </c>
      <c r="W969" s="41">
        <f t="shared" ca="1" si="747"/>
        <v>0</v>
      </c>
      <c r="X969" s="43"/>
      <c r="Y969" s="46"/>
      <c r="Z969" s="126"/>
      <c r="AA969" s="136"/>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824">
        <f t="shared" ca="1" si="748"/>
        <v>0</v>
      </c>
      <c r="BM969" s="824">
        <f t="shared" ca="1" si="749"/>
        <v>0</v>
      </c>
      <c r="BN969" s="824">
        <f t="shared" ca="1" si="750"/>
        <v>0</v>
      </c>
      <c r="BO969" s="824">
        <f t="shared" ca="1" si="761"/>
        <v>0</v>
      </c>
      <c r="BP969" s="824">
        <f t="shared" ca="1" si="761"/>
        <v>0</v>
      </c>
      <c r="BQ969" s="824">
        <f t="shared" ca="1" si="761"/>
        <v>0</v>
      </c>
      <c r="BR969" s="824">
        <f t="shared" ca="1" si="761"/>
        <v>0</v>
      </c>
      <c r="BS969" s="824">
        <f t="shared" ca="1" si="761"/>
        <v>0</v>
      </c>
      <c r="BT969" s="824">
        <f t="shared" ca="1" si="761"/>
        <v>0</v>
      </c>
      <c r="BU969" s="824">
        <f t="shared" ca="1" si="761"/>
        <v>0</v>
      </c>
      <c r="BV969" s="824">
        <f t="shared" ca="1" si="761"/>
        <v>0</v>
      </c>
      <c r="BW969" s="824">
        <f t="shared" ca="1" si="761"/>
        <v>0</v>
      </c>
      <c r="BX969" s="824">
        <f t="shared" ca="1" si="761"/>
        <v>0</v>
      </c>
      <c r="BY969" s="824">
        <f t="shared" ca="1" si="761"/>
        <v>0</v>
      </c>
      <c r="BZ969" s="824">
        <f t="shared" ca="1" si="761"/>
        <v>0</v>
      </c>
      <c r="CA969" s="824">
        <f t="shared" ca="1" si="761"/>
        <v>0</v>
      </c>
      <c r="CB969" s="824">
        <f t="shared" ca="1" si="761"/>
        <v>0</v>
      </c>
      <c r="CC969" s="824">
        <f t="shared" ca="1" si="761"/>
        <v>0</v>
      </c>
      <c r="CD969" s="824">
        <f t="shared" ca="1" si="761"/>
        <v>0</v>
      </c>
      <c r="CE969" s="824">
        <f t="shared" ca="1" si="760"/>
        <v>0</v>
      </c>
      <c r="CF969" s="824">
        <f t="shared" ca="1" si="760"/>
        <v>0</v>
      </c>
      <c r="CG969" s="824">
        <f t="shared" ca="1" si="760"/>
        <v>0</v>
      </c>
      <c r="CH969" s="824">
        <f t="shared" ca="1" si="760"/>
        <v>0</v>
      </c>
      <c r="CI969" s="824">
        <f t="shared" ca="1" si="760"/>
        <v>0</v>
      </c>
      <c r="CJ969" s="824">
        <f t="shared" ca="1" si="760"/>
        <v>0</v>
      </c>
      <c r="CK969" s="824">
        <f t="shared" ca="1" si="760"/>
        <v>0</v>
      </c>
      <c r="CL969" s="824">
        <f t="shared" ca="1" si="760"/>
        <v>0</v>
      </c>
      <c r="CM969" s="824">
        <f t="shared" ca="1" si="760"/>
        <v>0</v>
      </c>
      <c r="CN969" s="824">
        <f t="shared" ca="1" si="760"/>
        <v>0</v>
      </c>
      <c r="CO969" s="824">
        <f t="shared" ca="1" si="760"/>
        <v>0</v>
      </c>
      <c r="CP969" s="824">
        <f t="shared" ca="1" si="760"/>
        <v>0</v>
      </c>
      <c r="CQ969" s="824">
        <f t="shared" ca="1" si="760"/>
        <v>0</v>
      </c>
      <c r="CR969" s="824">
        <f t="shared" ca="1" si="760"/>
        <v>0</v>
      </c>
      <c r="CS969" s="824">
        <f t="shared" ca="1" si="760"/>
        <v>0</v>
      </c>
      <c r="CT969" s="824">
        <f t="shared" ca="1" si="763"/>
        <v>0</v>
      </c>
      <c r="CU969" s="824">
        <f t="shared" ca="1" si="763"/>
        <v>0</v>
      </c>
      <c r="CV969" s="824">
        <f t="shared" ca="1" si="763"/>
        <v>0</v>
      </c>
      <c r="CW969" s="824">
        <f t="shared" ca="1" si="763"/>
        <v>0</v>
      </c>
      <c r="CX969" s="824">
        <f t="shared" ca="1" si="763"/>
        <v>0</v>
      </c>
      <c r="CY969" s="824">
        <f t="shared" ca="1" si="763"/>
        <v>0</v>
      </c>
      <c r="CZ969" s="824">
        <f t="shared" ca="1" si="763"/>
        <v>0</v>
      </c>
      <c r="DA969" s="824">
        <f t="shared" ca="1" si="763"/>
        <v>0</v>
      </c>
      <c r="DB969" s="824">
        <f t="shared" ca="1" si="763"/>
        <v>0</v>
      </c>
      <c r="DC969" s="824">
        <f t="shared" ca="1" si="763"/>
        <v>0</v>
      </c>
      <c r="DD969" s="824">
        <f t="shared" ca="1" si="763"/>
        <v>0</v>
      </c>
      <c r="DE969" s="824">
        <f t="shared" ca="1" si="763"/>
        <v>0</v>
      </c>
      <c r="DF969" s="824">
        <f t="shared" ca="1" si="763"/>
        <v>0</v>
      </c>
      <c r="DG969" s="824">
        <f t="shared" ca="1" si="763"/>
        <v>0</v>
      </c>
      <c r="DH969" s="824">
        <f t="shared" ca="1" si="763"/>
        <v>0</v>
      </c>
      <c r="DI969" s="824">
        <f t="shared" ca="1" si="763"/>
        <v>0</v>
      </c>
      <c r="DJ969" s="824">
        <f t="shared" ca="1" si="726"/>
        <v>0</v>
      </c>
      <c r="DK969" s="824">
        <f t="shared" ca="1" si="726"/>
        <v>0</v>
      </c>
      <c r="DL969" s="824">
        <f t="shared" ca="1" si="726"/>
        <v>0</v>
      </c>
    </row>
    <row r="970" spans="2:116" ht="12" thickBot="1" x14ac:dyDescent="0.3">
      <c r="B970" s="1673"/>
      <c r="C970" s="1680"/>
      <c r="D970" s="15" t="s">
        <v>19</v>
      </c>
      <c r="E970" s="165"/>
      <c r="F970" s="116">
        <f ca="1">SUBTOTAL(109,'3.5 I&amp;W'!$X$179)</f>
        <v>0</v>
      </c>
      <c r="G970" s="116">
        <f ca="1">SUBTOTAL(109,'3.5 I&amp;W'!$Y$179)</f>
        <v>0</v>
      </c>
      <c r="H970" s="116">
        <f ca="1">SUBTOTAL(109,'3.5 I&amp;W'!$AD$179)</f>
        <v>0</v>
      </c>
      <c r="I970" s="116">
        <f ca="1">SUBTOTAL(109,'3.5 I&amp;W'!$AE$179)</f>
        <v>0</v>
      </c>
      <c r="J970" s="116"/>
      <c r="K970" s="116"/>
      <c r="L970" s="116"/>
      <c r="M970" s="116">
        <f ca="1">SUBTOTAL(109,'3.5 I&amp;W'!$AI$179)</f>
        <v>0</v>
      </c>
      <c r="N970" s="156">
        <f t="shared" ca="1" si="751"/>
        <v>0</v>
      </c>
      <c r="O970" s="116">
        <f ca="1">SUBTOTAL(109,'3.5 I&amp;W'!$S$179)</f>
        <v>0</v>
      </c>
      <c r="P970" s="30">
        <f t="shared" ca="1" si="741"/>
        <v>0</v>
      </c>
      <c r="Q970" s="31">
        <f t="shared" ca="1" si="742"/>
        <v>0</v>
      </c>
      <c r="R970" s="31">
        <f t="shared" ca="1" si="743"/>
        <v>0</v>
      </c>
      <c r="S970" s="31">
        <f t="shared" ca="1" si="744"/>
        <v>0</v>
      </c>
      <c r="T970" s="32">
        <f t="shared" ca="1" si="745"/>
        <v>0</v>
      </c>
      <c r="U970" s="37">
        <f t="shared" ca="1" si="764"/>
        <v>0</v>
      </c>
      <c r="V970" s="40">
        <f t="shared" ca="1" si="746"/>
        <v>0</v>
      </c>
      <c r="W970" s="41">
        <f t="shared" ca="1" si="747"/>
        <v>0</v>
      </c>
      <c r="X970" s="43"/>
      <c r="Y970" s="46"/>
      <c r="Z970" s="126"/>
      <c r="AA970" s="136"/>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824">
        <f t="shared" ca="1" si="748"/>
        <v>0</v>
      </c>
      <c r="BM970" s="824">
        <f t="shared" ca="1" si="749"/>
        <v>0</v>
      </c>
      <c r="BN970" s="824">
        <f t="shared" ca="1" si="750"/>
        <v>0</v>
      </c>
      <c r="BO970" s="824">
        <f t="shared" ca="1" si="761"/>
        <v>0</v>
      </c>
      <c r="BP970" s="824">
        <f t="shared" ca="1" si="761"/>
        <v>0</v>
      </c>
      <c r="BQ970" s="824">
        <f t="shared" ca="1" si="761"/>
        <v>0</v>
      </c>
      <c r="BR970" s="824">
        <f t="shared" ca="1" si="761"/>
        <v>0</v>
      </c>
      <c r="BS970" s="824">
        <f t="shared" ca="1" si="761"/>
        <v>0</v>
      </c>
      <c r="BT970" s="824">
        <f t="shared" ca="1" si="761"/>
        <v>0</v>
      </c>
      <c r="BU970" s="824">
        <f t="shared" ca="1" si="761"/>
        <v>0</v>
      </c>
      <c r="BV970" s="824">
        <f t="shared" ca="1" si="761"/>
        <v>0</v>
      </c>
      <c r="BW970" s="824">
        <f t="shared" ca="1" si="761"/>
        <v>0</v>
      </c>
      <c r="BX970" s="824">
        <f t="shared" ca="1" si="761"/>
        <v>0</v>
      </c>
      <c r="BY970" s="824">
        <f t="shared" ca="1" si="761"/>
        <v>0</v>
      </c>
      <c r="BZ970" s="824">
        <f t="shared" ca="1" si="761"/>
        <v>0</v>
      </c>
      <c r="CA970" s="824">
        <f t="shared" ca="1" si="761"/>
        <v>0</v>
      </c>
      <c r="CB970" s="824">
        <f t="shared" ca="1" si="761"/>
        <v>0</v>
      </c>
      <c r="CC970" s="824">
        <f t="shared" ca="1" si="761"/>
        <v>0</v>
      </c>
      <c r="CD970" s="824">
        <f t="shared" ca="1" si="761"/>
        <v>0</v>
      </c>
      <c r="CE970" s="824">
        <f t="shared" ca="1" si="760"/>
        <v>0</v>
      </c>
      <c r="CF970" s="824">
        <f t="shared" ca="1" si="760"/>
        <v>0</v>
      </c>
      <c r="CG970" s="824">
        <f t="shared" ca="1" si="760"/>
        <v>0</v>
      </c>
      <c r="CH970" s="824">
        <f t="shared" ca="1" si="760"/>
        <v>0</v>
      </c>
      <c r="CI970" s="824">
        <f t="shared" ca="1" si="760"/>
        <v>0</v>
      </c>
      <c r="CJ970" s="824">
        <f t="shared" ca="1" si="760"/>
        <v>0</v>
      </c>
      <c r="CK970" s="824">
        <f t="shared" ca="1" si="760"/>
        <v>0</v>
      </c>
      <c r="CL970" s="824">
        <f t="shared" ca="1" si="760"/>
        <v>0</v>
      </c>
      <c r="CM970" s="824">
        <f t="shared" ca="1" si="760"/>
        <v>0</v>
      </c>
      <c r="CN970" s="824">
        <f t="shared" ca="1" si="760"/>
        <v>0</v>
      </c>
      <c r="CO970" s="824">
        <f t="shared" ca="1" si="760"/>
        <v>0</v>
      </c>
      <c r="CP970" s="824">
        <f t="shared" ca="1" si="760"/>
        <v>0</v>
      </c>
      <c r="CQ970" s="824">
        <f t="shared" ca="1" si="760"/>
        <v>0</v>
      </c>
      <c r="CR970" s="824">
        <f t="shared" ca="1" si="760"/>
        <v>0</v>
      </c>
      <c r="CS970" s="824">
        <f t="shared" ca="1" si="760"/>
        <v>0</v>
      </c>
      <c r="CT970" s="824">
        <f t="shared" ca="1" si="763"/>
        <v>0</v>
      </c>
      <c r="CU970" s="824">
        <f t="shared" ca="1" si="763"/>
        <v>0</v>
      </c>
      <c r="CV970" s="824">
        <f t="shared" ca="1" si="763"/>
        <v>0</v>
      </c>
      <c r="CW970" s="824">
        <f t="shared" ca="1" si="763"/>
        <v>0</v>
      </c>
      <c r="CX970" s="824">
        <f t="shared" ca="1" si="763"/>
        <v>0</v>
      </c>
      <c r="CY970" s="824">
        <f t="shared" ca="1" si="763"/>
        <v>0</v>
      </c>
      <c r="CZ970" s="824">
        <f t="shared" ca="1" si="763"/>
        <v>0</v>
      </c>
      <c r="DA970" s="824">
        <f t="shared" ca="1" si="763"/>
        <v>0</v>
      </c>
      <c r="DB970" s="824">
        <f t="shared" ca="1" si="763"/>
        <v>0</v>
      </c>
      <c r="DC970" s="824">
        <f t="shared" ca="1" si="763"/>
        <v>0</v>
      </c>
      <c r="DD970" s="824">
        <f t="shared" ca="1" si="763"/>
        <v>0</v>
      </c>
      <c r="DE970" s="824">
        <f t="shared" ca="1" si="763"/>
        <v>0</v>
      </c>
      <c r="DF970" s="824">
        <f t="shared" ca="1" si="763"/>
        <v>0</v>
      </c>
      <c r="DG970" s="824">
        <f t="shared" ca="1" si="763"/>
        <v>0</v>
      </c>
      <c r="DH970" s="824">
        <f t="shared" ca="1" si="763"/>
        <v>0</v>
      </c>
      <c r="DI970" s="824">
        <f t="shared" ca="1" si="763"/>
        <v>0</v>
      </c>
      <c r="DJ970" s="824">
        <f t="shared" ca="1" si="726"/>
        <v>0</v>
      </c>
      <c r="DK970" s="824">
        <f t="shared" ca="1" si="726"/>
        <v>0</v>
      </c>
      <c r="DL970" s="824">
        <f t="shared" ca="1" si="726"/>
        <v>0</v>
      </c>
    </row>
    <row r="971" spans="2:116" ht="12" thickBot="1" x14ac:dyDescent="0.3">
      <c r="B971" s="1673"/>
      <c r="C971" s="1680"/>
      <c r="D971" s="15" t="s">
        <v>19</v>
      </c>
      <c r="E971" s="116"/>
      <c r="F971" s="116">
        <f ca="1">SUBTOTAL(109,'3.5 I&amp;W'!$X$180)</f>
        <v>0</v>
      </c>
      <c r="G971" s="116">
        <f ca="1">SUBTOTAL(109,'3.5 I&amp;W'!$Y$180)</f>
        <v>0</v>
      </c>
      <c r="H971" s="116">
        <f ca="1">SUBTOTAL(109,'3.5 I&amp;W'!$AD$180)</f>
        <v>0</v>
      </c>
      <c r="I971" s="116">
        <f ca="1">SUBTOTAL(109,'3.5 I&amp;W'!$AE$180)</f>
        <v>0</v>
      </c>
      <c r="J971" s="116"/>
      <c r="K971" s="116"/>
      <c r="L971" s="116"/>
      <c r="M971" s="116">
        <f ca="1">SUBTOTAL(109,'3.5 I&amp;W'!$AI$180)</f>
        <v>0</v>
      </c>
      <c r="N971" s="156">
        <f t="shared" ca="1" si="751"/>
        <v>0</v>
      </c>
      <c r="O971" s="116">
        <f ca="1">SUBTOTAL(109,'3.5 I&amp;W'!$S$180)</f>
        <v>0</v>
      </c>
      <c r="P971" s="30">
        <f t="shared" ca="1" si="741"/>
        <v>0</v>
      </c>
      <c r="Q971" s="31">
        <f t="shared" ca="1" si="742"/>
        <v>0</v>
      </c>
      <c r="R971" s="31">
        <f t="shared" ca="1" si="743"/>
        <v>0</v>
      </c>
      <c r="S971" s="31">
        <f t="shared" ca="1" si="744"/>
        <v>0</v>
      </c>
      <c r="T971" s="32">
        <f t="shared" ca="1" si="745"/>
        <v>0</v>
      </c>
      <c r="U971" s="37">
        <f t="shared" ca="1" si="764"/>
        <v>0</v>
      </c>
      <c r="V971" s="40">
        <f t="shared" ca="1" si="746"/>
        <v>0</v>
      </c>
      <c r="W971" s="41">
        <f t="shared" ca="1" si="747"/>
        <v>0</v>
      </c>
      <c r="X971" s="43"/>
      <c r="Y971" s="46"/>
      <c r="Z971" s="126"/>
      <c r="AA971" s="136"/>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824">
        <f t="shared" ca="1" si="748"/>
        <v>0</v>
      </c>
      <c r="BM971" s="824">
        <f t="shared" ca="1" si="749"/>
        <v>0</v>
      </c>
      <c r="BN971" s="824">
        <f t="shared" ca="1" si="750"/>
        <v>0</v>
      </c>
      <c r="BO971" s="824">
        <f t="shared" ca="1" si="761"/>
        <v>0</v>
      </c>
      <c r="BP971" s="824">
        <f t="shared" ca="1" si="761"/>
        <v>0</v>
      </c>
      <c r="BQ971" s="824">
        <f t="shared" ca="1" si="761"/>
        <v>0</v>
      </c>
      <c r="BR971" s="824">
        <f t="shared" ca="1" si="761"/>
        <v>0</v>
      </c>
      <c r="BS971" s="824">
        <f t="shared" ca="1" si="761"/>
        <v>0</v>
      </c>
      <c r="BT971" s="824">
        <f t="shared" ca="1" si="761"/>
        <v>0</v>
      </c>
      <c r="BU971" s="824">
        <f t="shared" ca="1" si="761"/>
        <v>0</v>
      </c>
      <c r="BV971" s="824">
        <f t="shared" ca="1" si="761"/>
        <v>0</v>
      </c>
      <c r="BW971" s="824">
        <f t="shared" ca="1" si="761"/>
        <v>0</v>
      </c>
      <c r="BX971" s="824">
        <f t="shared" ca="1" si="761"/>
        <v>0</v>
      </c>
      <c r="BY971" s="824">
        <f t="shared" ca="1" si="761"/>
        <v>0</v>
      </c>
      <c r="BZ971" s="824">
        <f t="shared" ca="1" si="761"/>
        <v>0</v>
      </c>
      <c r="CA971" s="824">
        <f t="shared" ca="1" si="761"/>
        <v>0</v>
      </c>
      <c r="CB971" s="824">
        <f t="shared" ca="1" si="761"/>
        <v>0</v>
      </c>
      <c r="CC971" s="824">
        <f t="shared" ca="1" si="761"/>
        <v>0</v>
      </c>
      <c r="CD971" s="824">
        <f t="shared" ca="1" si="761"/>
        <v>0</v>
      </c>
      <c r="CE971" s="824">
        <f t="shared" ca="1" si="760"/>
        <v>0</v>
      </c>
      <c r="CF971" s="824">
        <f t="shared" ca="1" si="760"/>
        <v>0</v>
      </c>
      <c r="CG971" s="824">
        <f t="shared" ca="1" si="760"/>
        <v>0</v>
      </c>
      <c r="CH971" s="824">
        <f t="shared" ca="1" si="760"/>
        <v>0</v>
      </c>
      <c r="CI971" s="824">
        <f t="shared" ca="1" si="760"/>
        <v>0</v>
      </c>
      <c r="CJ971" s="824">
        <f t="shared" ca="1" si="760"/>
        <v>0</v>
      </c>
      <c r="CK971" s="824">
        <f t="shared" ca="1" si="760"/>
        <v>0</v>
      </c>
      <c r="CL971" s="824">
        <f t="shared" ca="1" si="760"/>
        <v>0</v>
      </c>
      <c r="CM971" s="824">
        <f t="shared" ca="1" si="760"/>
        <v>0</v>
      </c>
      <c r="CN971" s="824">
        <f t="shared" ca="1" si="760"/>
        <v>0</v>
      </c>
      <c r="CO971" s="824">
        <f t="shared" ca="1" si="760"/>
        <v>0</v>
      </c>
      <c r="CP971" s="824">
        <f t="shared" ca="1" si="760"/>
        <v>0</v>
      </c>
      <c r="CQ971" s="824">
        <f t="shared" ca="1" si="760"/>
        <v>0</v>
      </c>
      <c r="CR971" s="824">
        <f t="shared" ca="1" si="760"/>
        <v>0</v>
      </c>
      <c r="CS971" s="824">
        <f t="shared" ca="1" si="760"/>
        <v>0</v>
      </c>
      <c r="CT971" s="824">
        <f t="shared" ca="1" si="763"/>
        <v>0</v>
      </c>
      <c r="CU971" s="824">
        <f t="shared" ca="1" si="763"/>
        <v>0</v>
      </c>
      <c r="CV971" s="824">
        <f t="shared" ca="1" si="763"/>
        <v>0</v>
      </c>
      <c r="CW971" s="824">
        <f t="shared" ca="1" si="763"/>
        <v>0</v>
      </c>
      <c r="CX971" s="824">
        <f t="shared" ca="1" si="763"/>
        <v>0</v>
      </c>
      <c r="CY971" s="824">
        <f t="shared" ca="1" si="763"/>
        <v>0</v>
      </c>
      <c r="CZ971" s="824">
        <f t="shared" ca="1" si="763"/>
        <v>0</v>
      </c>
      <c r="DA971" s="824">
        <f t="shared" ca="1" si="763"/>
        <v>0</v>
      </c>
      <c r="DB971" s="824">
        <f t="shared" ca="1" si="763"/>
        <v>0</v>
      </c>
      <c r="DC971" s="824">
        <f t="shared" ca="1" si="763"/>
        <v>0</v>
      </c>
      <c r="DD971" s="824">
        <f t="shared" ca="1" si="763"/>
        <v>0</v>
      </c>
      <c r="DE971" s="824">
        <f t="shared" ca="1" si="763"/>
        <v>0</v>
      </c>
      <c r="DF971" s="824">
        <f t="shared" ca="1" si="763"/>
        <v>0</v>
      </c>
      <c r="DG971" s="824">
        <f t="shared" ca="1" si="763"/>
        <v>0</v>
      </c>
      <c r="DH971" s="824">
        <f t="shared" ca="1" si="763"/>
        <v>0</v>
      </c>
      <c r="DI971" s="824">
        <f t="shared" ca="1" si="763"/>
        <v>0</v>
      </c>
      <c r="DJ971" s="824">
        <f t="shared" ca="1" si="726"/>
        <v>0</v>
      </c>
      <c r="DK971" s="824">
        <f t="shared" ca="1" si="726"/>
        <v>0</v>
      </c>
      <c r="DL971" s="824">
        <f t="shared" ca="1" si="726"/>
        <v>0</v>
      </c>
    </row>
    <row r="972" spans="2:116" ht="12" thickBot="1" x14ac:dyDescent="0.3">
      <c r="B972" s="1673"/>
      <c r="C972" s="1680"/>
      <c r="D972" s="15" t="s">
        <v>182</v>
      </c>
      <c r="E972" s="165"/>
      <c r="F972" s="116">
        <f ca="1">SUBTOTAL(109,'3.5 I&amp;W'!$X$184)</f>
        <v>0</v>
      </c>
      <c r="G972" s="116">
        <f ca="1">SUBTOTAL(109,'3.5 I&amp;W'!$Y$184)</f>
        <v>0</v>
      </c>
      <c r="H972" s="116">
        <f ca="1">SUBTOTAL(109,'3.5 I&amp;W'!$AD$184)</f>
        <v>0</v>
      </c>
      <c r="I972" s="116">
        <f ca="1">SUBTOTAL(109,'3.5 I&amp;W'!$AE$184)</f>
        <v>0</v>
      </c>
      <c r="J972" s="116"/>
      <c r="K972" s="116"/>
      <c r="L972" s="116"/>
      <c r="M972" s="116">
        <f ca="1">SUBTOTAL(109,'3.5 I&amp;W'!$AI$184)</f>
        <v>0</v>
      </c>
      <c r="N972" s="156">
        <f t="shared" ca="1" si="751"/>
        <v>0</v>
      </c>
      <c r="O972" s="116">
        <f ca="1">SUBTOTAL(109,'3.5 I&amp;W'!$S$184)</f>
        <v>0</v>
      </c>
      <c r="P972" s="30">
        <f t="shared" ca="1" si="741"/>
        <v>0</v>
      </c>
      <c r="Q972" s="31">
        <f t="shared" ca="1" si="742"/>
        <v>0</v>
      </c>
      <c r="R972" s="31">
        <f t="shared" ca="1" si="743"/>
        <v>0</v>
      </c>
      <c r="S972" s="31">
        <f t="shared" ca="1" si="744"/>
        <v>0</v>
      </c>
      <c r="T972" s="32">
        <f t="shared" ca="1" si="745"/>
        <v>0</v>
      </c>
      <c r="U972" s="37">
        <f t="shared" ca="1" si="764"/>
        <v>0</v>
      </c>
      <c r="V972" s="40">
        <f t="shared" ca="1" si="746"/>
        <v>0</v>
      </c>
      <c r="W972" s="41">
        <f t="shared" ca="1" si="747"/>
        <v>0</v>
      </c>
      <c r="X972" s="43"/>
      <c r="Y972" s="46"/>
      <c r="Z972" s="126"/>
      <c r="AA972" s="136"/>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824">
        <f t="shared" ca="1" si="748"/>
        <v>0</v>
      </c>
      <c r="BM972" s="824">
        <f t="shared" ca="1" si="749"/>
        <v>0</v>
      </c>
      <c r="BN972" s="824">
        <f t="shared" ca="1" si="750"/>
        <v>0</v>
      </c>
      <c r="BO972" s="824">
        <f t="shared" ca="1" si="761"/>
        <v>0</v>
      </c>
      <c r="BP972" s="824">
        <f t="shared" ca="1" si="761"/>
        <v>0</v>
      </c>
      <c r="BQ972" s="824">
        <f t="shared" ca="1" si="761"/>
        <v>0</v>
      </c>
      <c r="BR972" s="824">
        <f t="shared" ca="1" si="761"/>
        <v>0</v>
      </c>
      <c r="BS972" s="824">
        <f t="shared" ca="1" si="761"/>
        <v>0</v>
      </c>
      <c r="BT972" s="824">
        <f t="shared" ca="1" si="761"/>
        <v>0</v>
      </c>
      <c r="BU972" s="824">
        <f t="shared" ca="1" si="761"/>
        <v>0</v>
      </c>
      <c r="BV972" s="824">
        <f t="shared" ca="1" si="761"/>
        <v>0</v>
      </c>
      <c r="BW972" s="824">
        <f t="shared" ca="1" si="761"/>
        <v>0</v>
      </c>
      <c r="BX972" s="824">
        <f t="shared" ca="1" si="761"/>
        <v>0</v>
      </c>
      <c r="BY972" s="824">
        <f t="shared" ca="1" si="761"/>
        <v>0</v>
      </c>
      <c r="BZ972" s="824">
        <f t="shared" ca="1" si="761"/>
        <v>0</v>
      </c>
      <c r="CA972" s="824">
        <f t="shared" ca="1" si="761"/>
        <v>0</v>
      </c>
      <c r="CB972" s="824">
        <f t="shared" ca="1" si="761"/>
        <v>0</v>
      </c>
      <c r="CC972" s="824">
        <f t="shared" ca="1" si="761"/>
        <v>0</v>
      </c>
      <c r="CD972" s="824">
        <f t="shared" ca="1" si="761"/>
        <v>0</v>
      </c>
      <c r="CE972" s="824">
        <f t="shared" ca="1" si="760"/>
        <v>0</v>
      </c>
      <c r="CF972" s="824">
        <f t="shared" ca="1" si="760"/>
        <v>0</v>
      </c>
      <c r="CG972" s="824">
        <f t="shared" ca="1" si="760"/>
        <v>0</v>
      </c>
      <c r="CH972" s="824">
        <f t="shared" ca="1" si="760"/>
        <v>0</v>
      </c>
      <c r="CI972" s="824">
        <f t="shared" ca="1" si="760"/>
        <v>0</v>
      </c>
      <c r="CJ972" s="824">
        <f t="shared" ca="1" si="760"/>
        <v>0</v>
      </c>
      <c r="CK972" s="824">
        <f t="shared" ca="1" si="760"/>
        <v>0</v>
      </c>
      <c r="CL972" s="824">
        <f t="shared" ca="1" si="760"/>
        <v>0</v>
      </c>
      <c r="CM972" s="824">
        <f t="shared" ca="1" si="760"/>
        <v>0</v>
      </c>
      <c r="CN972" s="824">
        <f t="shared" ca="1" si="760"/>
        <v>0</v>
      </c>
      <c r="CO972" s="824">
        <f t="shared" ca="1" si="760"/>
        <v>0</v>
      </c>
      <c r="CP972" s="824">
        <f t="shared" ca="1" si="760"/>
        <v>0</v>
      </c>
      <c r="CQ972" s="824">
        <f t="shared" ca="1" si="760"/>
        <v>0</v>
      </c>
      <c r="CR972" s="824">
        <f t="shared" ca="1" si="760"/>
        <v>0</v>
      </c>
      <c r="CS972" s="824">
        <f t="shared" ca="1" si="760"/>
        <v>0</v>
      </c>
      <c r="CT972" s="824">
        <f t="shared" ca="1" si="763"/>
        <v>0</v>
      </c>
      <c r="CU972" s="824">
        <f t="shared" ca="1" si="763"/>
        <v>0</v>
      </c>
      <c r="CV972" s="824">
        <f t="shared" ca="1" si="763"/>
        <v>0</v>
      </c>
      <c r="CW972" s="824">
        <f t="shared" ca="1" si="763"/>
        <v>0</v>
      </c>
      <c r="CX972" s="824">
        <f t="shared" ca="1" si="763"/>
        <v>0</v>
      </c>
      <c r="CY972" s="824">
        <f t="shared" ca="1" si="763"/>
        <v>0</v>
      </c>
      <c r="CZ972" s="824">
        <f t="shared" ca="1" si="763"/>
        <v>0</v>
      </c>
      <c r="DA972" s="824">
        <f t="shared" ca="1" si="763"/>
        <v>0</v>
      </c>
      <c r="DB972" s="824">
        <f t="shared" ca="1" si="763"/>
        <v>0</v>
      </c>
      <c r="DC972" s="824">
        <f t="shared" ca="1" si="763"/>
        <v>0</v>
      </c>
      <c r="DD972" s="824">
        <f t="shared" ca="1" si="763"/>
        <v>0</v>
      </c>
      <c r="DE972" s="824">
        <f t="shared" ca="1" si="763"/>
        <v>0</v>
      </c>
      <c r="DF972" s="824">
        <f t="shared" ca="1" si="763"/>
        <v>0</v>
      </c>
      <c r="DG972" s="824">
        <f t="shared" ca="1" si="763"/>
        <v>0</v>
      </c>
      <c r="DH972" s="824">
        <f t="shared" ca="1" si="763"/>
        <v>0</v>
      </c>
      <c r="DI972" s="824">
        <f t="shared" ca="1" si="763"/>
        <v>0</v>
      </c>
      <c r="DJ972" s="824">
        <f t="shared" ca="1" si="726"/>
        <v>0</v>
      </c>
      <c r="DK972" s="824">
        <f t="shared" ca="1" si="726"/>
        <v>0</v>
      </c>
      <c r="DL972" s="824">
        <f t="shared" ca="1" si="726"/>
        <v>0</v>
      </c>
    </row>
    <row r="973" spans="2:116" ht="12" thickBot="1" x14ac:dyDescent="0.3">
      <c r="B973" s="1673"/>
      <c r="C973" s="1680"/>
      <c r="D973" s="15" t="s">
        <v>182</v>
      </c>
      <c r="E973" s="116"/>
      <c r="F973" s="116">
        <f ca="1">SUBTOTAL(109,'3.5 I&amp;W'!$X$185)</f>
        <v>0</v>
      </c>
      <c r="G973" s="116">
        <f ca="1">SUBTOTAL(109,'3.5 I&amp;W'!$Y$185)</f>
        <v>0</v>
      </c>
      <c r="H973" s="116">
        <f ca="1">SUBTOTAL(109,'3.5 I&amp;W'!$AD$185)</f>
        <v>0</v>
      </c>
      <c r="I973" s="116">
        <f ca="1">SUBTOTAL(109,'3.5 I&amp;W'!$AE$185)</f>
        <v>0</v>
      </c>
      <c r="J973" s="116"/>
      <c r="K973" s="116"/>
      <c r="L973" s="116"/>
      <c r="M973" s="116">
        <f ca="1">SUBTOTAL(109,'3.5 I&amp;W'!$AI$185)</f>
        <v>0</v>
      </c>
      <c r="N973" s="156">
        <f t="shared" ca="1" si="751"/>
        <v>0</v>
      </c>
      <c r="O973" s="116">
        <f ca="1">SUBTOTAL(109,'3.5 I&amp;W'!$S$185)</f>
        <v>0</v>
      </c>
      <c r="P973" s="30">
        <f t="shared" ca="1" si="741"/>
        <v>0</v>
      </c>
      <c r="Q973" s="31">
        <f t="shared" ca="1" si="742"/>
        <v>0</v>
      </c>
      <c r="R973" s="31">
        <f t="shared" ca="1" si="743"/>
        <v>0</v>
      </c>
      <c r="S973" s="31">
        <f t="shared" ca="1" si="744"/>
        <v>0</v>
      </c>
      <c r="T973" s="32">
        <f t="shared" ca="1" si="745"/>
        <v>0</v>
      </c>
      <c r="U973" s="37">
        <f t="shared" ca="1" si="764"/>
        <v>0</v>
      </c>
      <c r="V973" s="40">
        <f t="shared" ca="1" si="746"/>
        <v>0</v>
      </c>
      <c r="W973" s="41">
        <f t="shared" ca="1" si="747"/>
        <v>0</v>
      </c>
      <c r="X973" s="43"/>
      <c r="Y973" s="46"/>
      <c r="Z973" s="126"/>
      <c r="AA973" s="136"/>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824">
        <f t="shared" ca="1" si="748"/>
        <v>0</v>
      </c>
      <c r="BM973" s="824">
        <f t="shared" ca="1" si="749"/>
        <v>0</v>
      </c>
      <c r="BN973" s="824">
        <f t="shared" ca="1" si="750"/>
        <v>0</v>
      </c>
      <c r="BO973" s="824">
        <f t="shared" ca="1" si="761"/>
        <v>0</v>
      </c>
      <c r="BP973" s="824">
        <f t="shared" ca="1" si="761"/>
        <v>0</v>
      </c>
      <c r="BQ973" s="824">
        <f t="shared" ca="1" si="761"/>
        <v>0</v>
      </c>
      <c r="BR973" s="824">
        <f t="shared" ca="1" si="761"/>
        <v>0</v>
      </c>
      <c r="BS973" s="824">
        <f t="shared" ca="1" si="761"/>
        <v>0</v>
      </c>
      <c r="BT973" s="824">
        <f t="shared" ca="1" si="761"/>
        <v>0</v>
      </c>
      <c r="BU973" s="824">
        <f t="shared" ca="1" si="761"/>
        <v>0</v>
      </c>
      <c r="BV973" s="824">
        <f t="shared" ca="1" si="761"/>
        <v>0</v>
      </c>
      <c r="BW973" s="824">
        <f t="shared" ca="1" si="761"/>
        <v>0</v>
      </c>
      <c r="BX973" s="824">
        <f t="shared" ca="1" si="761"/>
        <v>0</v>
      </c>
      <c r="BY973" s="824">
        <f t="shared" ca="1" si="761"/>
        <v>0</v>
      </c>
      <c r="BZ973" s="824">
        <f t="shared" ca="1" si="761"/>
        <v>0</v>
      </c>
      <c r="CA973" s="824">
        <f t="shared" ca="1" si="761"/>
        <v>0</v>
      </c>
      <c r="CB973" s="824">
        <f t="shared" ca="1" si="761"/>
        <v>0</v>
      </c>
      <c r="CC973" s="824">
        <f t="shared" ca="1" si="761"/>
        <v>0</v>
      </c>
      <c r="CD973" s="824">
        <f t="shared" ca="1" si="761"/>
        <v>0</v>
      </c>
      <c r="CE973" s="824">
        <f t="shared" ca="1" si="760"/>
        <v>0</v>
      </c>
      <c r="CF973" s="824">
        <f t="shared" ca="1" si="760"/>
        <v>0</v>
      </c>
      <c r="CG973" s="824">
        <f t="shared" ca="1" si="760"/>
        <v>0</v>
      </c>
      <c r="CH973" s="824">
        <f t="shared" ca="1" si="760"/>
        <v>0</v>
      </c>
      <c r="CI973" s="824">
        <f t="shared" ca="1" si="760"/>
        <v>0</v>
      </c>
      <c r="CJ973" s="824">
        <f t="shared" ca="1" si="760"/>
        <v>0</v>
      </c>
      <c r="CK973" s="824">
        <f t="shared" ca="1" si="760"/>
        <v>0</v>
      </c>
      <c r="CL973" s="824">
        <f t="shared" ca="1" si="760"/>
        <v>0</v>
      </c>
      <c r="CM973" s="824">
        <f t="shared" ca="1" si="760"/>
        <v>0</v>
      </c>
      <c r="CN973" s="824">
        <f t="shared" ca="1" si="760"/>
        <v>0</v>
      </c>
      <c r="CO973" s="824">
        <f t="shared" ca="1" si="760"/>
        <v>0</v>
      </c>
      <c r="CP973" s="824">
        <f t="shared" ca="1" si="760"/>
        <v>0</v>
      </c>
      <c r="CQ973" s="824">
        <f t="shared" ca="1" si="760"/>
        <v>0</v>
      </c>
      <c r="CR973" s="824">
        <f t="shared" ca="1" si="760"/>
        <v>0</v>
      </c>
      <c r="CS973" s="824">
        <f t="shared" ca="1" si="760"/>
        <v>0</v>
      </c>
      <c r="CT973" s="824">
        <f t="shared" ca="1" si="763"/>
        <v>0</v>
      </c>
      <c r="CU973" s="824">
        <f t="shared" ca="1" si="763"/>
        <v>0</v>
      </c>
      <c r="CV973" s="824">
        <f t="shared" ca="1" si="763"/>
        <v>0</v>
      </c>
      <c r="CW973" s="824">
        <f t="shared" ca="1" si="763"/>
        <v>0</v>
      </c>
      <c r="CX973" s="824">
        <f t="shared" ca="1" si="763"/>
        <v>0</v>
      </c>
      <c r="CY973" s="824">
        <f t="shared" ca="1" si="763"/>
        <v>0</v>
      </c>
      <c r="CZ973" s="824">
        <f t="shared" ca="1" si="763"/>
        <v>0</v>
      </c>
      <c r="DA973" s="824">
        <f t="shared" ca="1" si="763"/>
        <v>0</v>
      </c>
      <c r="DB973" s="824">
        <f t="shared" ca="1" si="763"/>
        <v>0</v>
      </c>
      <c r="DC973" s="824">
        <f t="shared" ca="1" si="763"/>
        <v>0</v>
      </c>
      <c r="DD973" s="824">
        <f t="shared" ca="1" si="763"/>
        <v>0</v>
      </c>
      <c r="DE973" s="824">
        <f t="shared" ca="1" si="763"/>
        <v>0</v>
      </c>
      <c r="DF973" s="824">
        <f t="shared" ca="1" si="763"/>
        <v>0</v>
      </c>
      <c r="DG973" s="824">
        <f t="shared" ca="1" si="763"/>
        <v>0</v>
      </c>
      <c r="DH973" s="824">
        <f t="shared" ca="1" si="763"/>
        <v>0</v>
      </c>
      <c r="DI973" s="824">
        <f t="shared" ca="1" si="763"/>
        <v>0</v>
      </c>
      <c r="DJ973" s="824">
        <f t="shared" ca="1" si="726"/>
        <v>0</v>
      </c>
      <c r="DK973" s="824">
        <f t="shared" ca="1" si="726"/>
        <v>0</v>
      </c>
      <c r="DL973" s="824">
        <f t="shared" ca="1" si="726"/>
        <v>0</v>
      </c>
    </row>
    <row r="974" spans="2:116" ht="12" thickBot="1" x14ac:dyDescent="0.3">
      <c r="B974" s="1673"/>
      <c r="C974" s="1680"/>
      <c r="D974" s="15" t="s">
        <v>183</v>
      </c>
      <c r="E974" s="165"/>
      <c r="F974" s="116">
        <f ca="1">SUBTOTAL(109,'3.5 I&amp;W'!$X$188)</f>
        <v>0</v>
      </c>
      <c r="G974" s="116">
        <f ca="1">SUBTOTAL(109,'3.5 I&amp;W'!$Y$188)</f>
        <v>0</v>
      </c>
      <c r="H974" s="116">
        <f ca="1">SUBTOTAL(109,'3.5 I&amp;W'!$AD$188)</f>
        <v>2.4037706591677386E-3</v>
      </c>
      <c r="I974" s="116">
        <f ca="1">SUBTOTAL(109,'3.5 I&amp;W'!$AE$188)</f>
        <v>368</v>
      </c>
      <c r="J974" s="116"/>
      <c r="K974" s="116"/>
      <c r="L974" s="116"/>
      <c r="M974" s="116">
        <f ca="1">SUBTOTAL(109,'3.5 I&amp;W'!$AI$188)</f>
        <v>50</v>
      </c>
      <c r="N974" s="156">
        <f t="shared" ca="1" si="751"/>
        <v>0</v>
      </c>
      <c r="O974" s="116">
        <f ca="1">SUBTOTAL(109,'3.5 I&amp;W'!$S$188)</f>
        <v>153092.80799999999</v>
      </c>
      <c r="P974" s="30">
        <f t="shared" ca="1" si="741"/>
        <v>0</v>
      </c>
      <c r="Q974" s="31">
        <f t="shared" ca="1" si="742"/>
        <v>0</v>
      </c>
      <c r="R974" s="31">
        <f t="shared" ca="1" si="743"/>
        <v>0</v>
      </c>
      <c r="S974" s="31">
        <f t="shared" ca="1" si="744"/>
        <v>0</v>
      </c>
      <c r="T974" s="32">
        <f t="shared" ca="1" si="745"/>
        <v>0</v>
      </c>
      <c r="U974" s="37">
        <f t="shared" ca="1" si="764"/>
        <v>22965.18942201394</v>
      </c>
      <c r="V974" s="40">
        <f t="shared" ca="1" si="746"/>
        <v>0</v>
      </c>
      <c r="W974" s="41">
        <f t="shared" ca="1" si="747"/>
        <v>11820.823048403066</v>
      </c>
      <c r="X974" s="43"/>
      <c r="Y974" s="46"/>
      <c r="Z974" s="126"/>
      <c r="AA974" s="136"/>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824">
        <f t="shared" ca="1" si="748"/>
        <v>50</v>
      </c>
      <c r="BM974" s="824">
        <f t="shared" ca="1" si="749"/>
        <v>0</v>
      </c>
      <c r="BN974" s="824">
        <f t="shared" ca="1" si="750"/>
        <v>153092.80799999999</v>
      </c>
      <c r="BO974" s="824">
        <f t="shared" ca="1" si="761"/>
        <v>0</v>
      </c>
      <c r="BP974" s="824">
        <f t="shared" ca="1" si="761"/>
        <v>0</v>
      </c>
      <c r="BQ974" s="824">
        <f t="shared" ca="1" si="761"/>
        <v>0</v>
      </c>
      <c r="BR974" s="824">
        <f t="shared" ca="1" si="761"/>
        <v>0</v>
      </c>
      <c r="BS974" s="824">
        <f t="shared" ca="1" si="761"/>
        <v>0</v>
      </c>
      <c r="BT974" s="824">
        <f t="shared" ca="1" si="761"/>
        <v>0</v>
      </c>
      <c r="BU974" s="824">
        <f t="shared" ca="1" si="761"/>
        <v>0</v>
      </c>
      <c r="BV974" s="824">
        <f t="shared" ca="1" si="761"/>
        <v>0</v>
      </c>
      <c r="BW974" s="824">
        <f t="shared" ca="1" si="761"/>
        <v>0</v>
      </c>
      <c r="BX974" s="824">
        <f t="shared" ca="1" si="761"/>
        <v>0</v>
      </c>
      <c r="BY974" s="824">
        <f t="shared" ca="1" si="761"/>
        <v>0</v>
      </c>
      <c r="BZ974" s="824">
        <f t="shared" ca="1" si="761"/>
        <v>0</v>
      </c>
      <c r="CA974" s="824">
        <f t="shared" ca="1" si="761"/>
        <v>0</v>
      </c>
      <c r="CB974" s="824">
        <f t="shared" ca="1" si="761"/>
        <v>0</v>
      </c>
      <c r="CC974" s="824">
        <f t="shared" ca="1" si="761"/>
        <v>0</v>
      </c>
      <c r="CD974" s="824">
        <f t="shared" ca="1" si="761"/>
        <v>0</v>
      </c>
      <c r="CE974" s="824">
        <f t="shared" ca="1" si="760"/>
        <v>0</v>
      </c>
      <c r="CF974" s="824">
        <f t="shared" ca="1" si="760"/>
        <v>0</v>
      </c>
      <c r="CG974" s="824">
        <f t="shared" ca="1" si="760"/>
        <v>0</v>
      </c>
      <c r="CH974" s="824">
        <f t="shared" ca="1" si="760"/>
        <v>0</v>
      </c>
      <c r="CI974" s="824">
        <f t="shared" ca="1" si="760"/>
        <v>0</v>
      </c>
      <c r="CJ974" s="824">
        <f t="shared" ca="1" si="760"/>
        <v>0</v>
      </c>
      <c r="CK974" s="824">
        <f t="shared" ca="1" si="760"/>
        <v>0</v>
      </c>
      <c r="CL974" s="824">
        <f t="shared" ca="1" si="760"/>
        <v>0</v>
      </c>
      <c r="CM974" s="824">
        <f t="shared" ca="1" si="760"/>
        <v>0</v>
      </c>
      <c r="CN974" s="824">
        <f t="shared" ca="1" si="760"/>
        <v>0</v>
      </c>
      <c r="CO974" s="824">
        <f t="shared" ca="1" si="760"/>
        <v>0</v>
      </c>
      <c r="CP974" s="824">
        <f t="shared" ca="1" si="760"/>
        <v>0</v>
      </c>
      <c r="CQ974" s="824">
        <f t="shared" ca="1" si="760"/>
        <v>0</v>
      </c>
      <c r="CR974" s="824">
        <f t="shared" ca="1" si="760"/>
        <v>0</v>
      </c>
      <c r="CS974" s="824">
        <f t="shared" ca="1" si="760"/>
        <v>0</v>
      </c>
      <c r="CT974" s="824">
        <f t="shared" ca="1" si="763"/>
        <v>0</v>
      </c>
      <c r="CU974" s="824">
        <f t="shared" ca="1" si="763"/>
        <v>0</v>
      </c>
      <c r="CV974" s="824">
        <f t="shared" ca="1" si="763"/>
        <v>0</v>
      </c>
      <c r="CW974" s="824">
        <f t="shared" ca="1" si="763"/>
        <v>0</v>
      </c>
      <c r="CX974" s="824">
        <f t="shared" ca="1" si="763"/>
        <v>0</v>
      </c>
      <c r="CY974" s="824">
        <f t="shared" ca="1" si="763"/>
        <v>0</v>
      </c>
      <c r="CZ974" s="824">
        <f t="shared" ca="1" si="763"/>
        <v>0</v>
      </c>
      <c r="DA974" s="824">
        <f t="shared" ca="1" si="763"/>
        <v>0</v>
      </c>
      <c r="DB974" s="824">
        <f t="shared" ca="1" si="763"/>
        <v>0</v>
      </c>
      <c r="DC974" s="824">
        <f t="shared" ca="1" si="763"/>
        <v>0</v>
      </c>
      <c r="DD974" s="824">
        <f t="shared" ca="1" si="763"/>
        <v>0</v>
      </c>
      <c r="DE974" s="824">
        <f t="shared" ca="1" si="763"/>
        <v>0</v>
      </c>
      <c r="DF974" s="824">
        <f t="shared" ca="1" si="763"/>
        <v>0</v>
      </c>
      <c r="DG974" s="824">
        <f t="shared" ca="1" si="763"/>
        <v>0</v>
      </c>
      <c r="DH974" s="824">
        <f t="shared" ca="1" si="763"/>
        <v>0</v>
      </c>
      <c r="DI974" s="824">
        <f t="shared" ca="1" si="763"/>
        <v>0</v>
      </c>
      <c r="DJ974" s="824">
        <f t="shared" ca="1" si="726"/>
        <v>0</v>
      </c>
      <c r="DK974" s="824">
        <f t="shared" ca="1" si="726"/>
        <v>0</v>
      </c>
      <c r="DL974" s="824">
        <f t="shared" ca="1" si="726"/>
        <v>0</v>
      </c>
    </row>
    <row r="975" spans="2:116" ht="12" thickBot="1" x14ac:dyDescent="0.3">
      <c r="B975" s="1673"/>
      <c r="C975" s="1680"/>
      <c r="D975" s="15" t="s">
        <v>183</v>
      </c>
      <c r="E975" s="116"/>
      <c r="F975" s="116">
        <f ca="1">SUBTOTAL(109,'3.5 I&amp;W'!$X$189)</f>
        <v>0</v>
      </c>
      <c r="G975" s="116">
        <f ca="1">SUBTOTAL(109,'3.5 I&amp;W'!$Y$189)</f>
        <v>0</v>
      </c>
      <c r="H975" s="116">
        <f ca="1">SUBTOTAL(109,'3.5 I&amp;W'!$AD$189)</f>
        <v>0</v>
      </c>
      <c r="I975" s="116">
        <f ca="1">SUBTOTAL(109,'3.5 I&amp;W'!$AE$189)</f>
        <v>0</v>
      </c>
      <c r="J975" s="116"/>
      <c r="K975" s="116"/>
      <c r="L975" s="116"/>
      <c r="M975" s="116">
        <f ca="1">SUBTOTAL(109,'3.5 I&amp;W'!$AI$189)</f>
        <v>0</v>
      </c>
      <c r="N975" s="156">
        <f t="shared" ca="1" si="751"/>
        <v>0</v>
      </c>
      <c r="O975" s="116">
        <f ca="1">SUBTOTAL(109,'3.5 I&amp;W'!$S$189)</f>
        <v>0</v>
      </c>
      <c r="P975" s="30">
        <f t="shared" ca="1" si="741"/>
        <v>0</v>
      </c>
      <c r="Q975" s="31">
        <f t="shared" ca="1" si="742"/>
        <v>0</v>
      </c>
      <c r="R975" s="31">
        <f t="shared" ca="1" si="743"/>
        <v>0</v>
      </c>
      <c r="S975" s="31">
        <f t="shared" ca="1" si="744"/>
        <v>0</v>
      </c>
      <c r="T975" s="32">
        <f t="shared" ca="1" si="745"/>
        <v>0</v>
      </c>
      <c r="U975" s="37">
        <f t="shared" ca="1" si="764"/>
        <v>0</v>
      </c>
      <c r="V975" s="40">
        <f t="shared" ca="1" si="746"/>
        <v>0</v>
      </c>
      <c r="W975" s="41">
        <f t="shared" ca="1" si="747"/>
        <v>0</v>
      </c>
      <c r="X975" s="43"/>
      <c r="Y975" s="46"/>
      <c r="Z975" s="126"/>
      <c r="AA975" s="136"/>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824">
        <f t="shared" ca="1" si="748"/>
        <v>0</v>
      </c>
      <c r="BM975" s="824">
        <f t="shared" ca="1" si="749"/>
        <v>0</v>
      </c>
      <c r="BN975" s="824">
        <f t="shared" ca="1" si="750"/>
        <v>0</v>
      </c>
      <c r="BO975" s="824">
        <f t="shared" ca="1" si="761"/>
        <v>0</v>
      </c>
      <c r="BP975" s="824">
        <f t="shared" ca="1" si="761"/>
        <v>0</v>
      </c>
      <c r="BQ975" s="824">
        <f t="shared" ca="1" si="761"/>
        <v>0</v>
      </c>
      <c r="BR975" s="824">
        <f t="shared" ca="1" si="761"/>
        <v>0</v>
      </c>
      <c r="BS975" s="824">
        <f t="shared" ca="1" si="761"/>
        <v>0</v>
      </c>
      <c r="BT975" s="824">
        <f t="shared" ca="1" si="761"/>
        <v>0</v>
      </c>
      <c r="BU975" s="824">
        <f t="shared" ca="1" si="761"/>
        <v>0</v>
      </c>
      <c r="BV975" s="824">
        <f t="shared" ca="1" si="761"/>
        <v>0</v>
      </c>
      <c r="BW975" s="824">
        <f t="shared" ca="1" si="761"/>
        <v>0</v>
      </c>
      <c r="BX975" s="824">
        <f t="shared" ca="1" si="761"/>
        <v>0</v>
      </c>
      <c r="BY975" s="824">
        <f t="shared" ca="1" si="761"/>
        <v>0</v>
      </c>
      <c r="BZ975" s="824">
        <f t="shared" ca="1" si="761"/>
        <v>0</v>
      </c>
      <c r="CA975" s="824">
        <f t="shared" ca="1" si="761"/>
        <v>0</v>
      </c>
      <c r="CB975" s="824">
        <f t="shared" ca="1" si="761"/>
        <v>0</v>
      </c>
      <c r="CC975" s="824">
        <f t="shared" ca="1" si="761"/>
        <v>0</v>
      </c>
      <c r="CD975" s="824">
        <f t="shared" ca="1" si="761"/>
        <v>0</v>
      </c>
      <c r="CE975" s="824">
        <f t="shared" ca="1" si="760"/>
        <v>0</v>
      </c>
      <c r="CF975" s="824">
        <f t="shared" ca="1" si="760"/>
        <v>0</v>
      </c>
      <c r="CG975" s="824">
        <f t="shared" ca="1" si="760"/>
        <v>0</v>
      </c>
      <c r="CH975" s="824">
        <f t="shared" ca="1" si="760"/>
        <v>0</v>
      </c>
      <c r="CI975" s="824">
        <f t="shared" ca="1" si="760"/>
        <v>0</v>
      </c>
      <c r="CJ975" s="824">
        <f t="shared" ca="1" si="760"/>
        <v>0</v>
      </c>
      <c r="CK975" s="824">
        <f t="shared" ca="1" si="760"/>
        <v>0</v>
      </c>
      <c r="CL975" s="824">
        <f t="shared" ca="1" si="760"/>
        <v>0</v>
      </c>
      <c r="CM975" s="824">
        <f t="shared" ca="1" si="760"/>
        <v>0</v>
      </c>
      <c r="CN975" s="824">
        <f t="shared" ca="1" si="760"/>
        <v>0</v>
      </c>
      <c r="CO975" s="824">
        <f t="shared" ca="1" si="760"/>
        <v>0</v>
      </c>
      <c r="CP975" s="824">
        <f t="shared" ca="1" si="760"/>
        <v>0</v>
      </c>
      <c r="CQ975" s="824">
        <f t="shared" ca="1" si="760"/>
        <v>0</v>
      </c>
      <c r="CR975" s="824">
        <f t="shared" ca="1" si="760"/>
        <v>0</v>
      </c>
      <c r="CS975" s="824">
        <f t="shared" ca="1" si="760"/>
        <v>0</v>
      </c>
      <c r="CT975" s="824">
        <f t="shared" ca="1" si="763"/>
        <v>0</v>
      </c>
      <c r="CU975" s="824">
        <f t="shared" ca="1" si="763"/>
        <v>0</v>
      </c>
      <c r="CV975" s="824">
        <f t="shared" ca="1" si="763"/>
        <v>0</v>
      </c>
      <c r="CW975" s="824">
        <f t="shared" ca="1" si="763"/>
        <v>0</v>
      </c>
      <c r="CX975" s="824">
        <f t="shared" ca="1" si="763"/>
        <v>0</v>
      </c>
      <c r="CY975" s="824">
        <f t="shared" ca="1" si="763"/>
        <v>0</v>
      </c>
      <c r="CZ975" s="824">
        <f t="shared" ca="1" si="763"/>
        <v>0</v>
      </c>
      <c r="DA975" s="824">
        <f t="shared" ca="1" si="763"/>
        <v>0</v>
      </c>
      <c r="DB975" s="824">
        <f t="shared" ca="1" si="763"/>
        <v>0</v>
      </c>
      <c r="DC975" s="824">
        <f t="shared" ca="1" si="763"/>
        <v>0</v>
      </c>
      <c r="DD975" s="824">
        <f t="shared" ca="1" si="763"/>
        <v>0</v>
      </c>
      <c r="DE975" s="824">
        <f t="shared" ca="1" si="763"/>
        <v>0</v>
      </c>
      <c r="DF975" s="824">
        <f t="shared" ca="1" si="763"/>
        <v>0</v>
      </c>
      <c r="DG975" s="824">
        <f t="shared" ca="1" si="763"/>
        <v>0</v>
      </c>
      <c r="DH975" s="824">
        <f t="shared" ca="1" si="763"/>
        <v>0</v>
      </c>
      <c r="DI975" s="824">
        <f t="shared" ca="1" si="763"/>
        <v>0</v>
      </c>
      <c r="DJ975" s="824">
        <f t="shared" ca="1" si="726"/>
        <v>0</v>
      </c>
      <c r="DK975" s="824">
        <f t="shared" ca="1" si="726"/>
        <v>0</v>
      </c>
      <c r="DL975" s="824">
        <f t="shared" ca="1" si="726"/>
        <v>0</v>
      </c>
    </row>
    <row r="976" spans="2:116" ht="12" thickBot="1" x14ac:dyDescent="0.3">
      <c r="B976" s="1673"/>
      <c r="C976" s="1680"/>
      <c r="D976" s="15" t="s">
        <v>183</v>
      </c>
      <c r="E976" s="165"/>
      <c r="F976" s="116">
        <f ca="1">SUBTOTAL(109,'3.5 I&amp;W'!$X$190)</f>
        <v>0</v>
      </c>
      <c r="G976" s="116">
        <f ca="1">SUBTOTAL(109,'3.5 I&amp;W'!$Y$190)</f>
        <v>0</v>
      </c>
      <c r="H976" s="116">
        <f ca="1">SUBTOTAL(109,'3.5 I&amp;W'!$AD$190)</f>
        <v>0</v>
      </c>
      <c r="I976" s="116">
        <f ca="1">SUBTOTAL(109,'3.5 I&amp;W'!$AE$190)</f>
        <v>0</v>
      </c>
      <c r="J976" s="116"/>
      <c r="K976" s="116"/>
      <c r="L976" s="116"/>
      <c r="M976" s="116">
        <f ca="1">SUBTOTAL(109,'3.5 I&amp;W'!$AI$190)</f>
        <v>0</v>
      </c>
      <c r="N976" s="156">
        <f t="shared" ca="1" si="751"/>
        <v>0</v>
      </c>
      <c r="O976" s="116">
        <f ca="1">SUBTOTAL(109,'3.5 I&amp;W'!$S$190)</f>
        <v>0</v>
      </c>
      <c r="P976" s="30">
        <f t="shared" ca="1" si="741"/>
        <v>0</v>
      </c>
      <c r="Q976" s="31">
        <f t="shared" ca="1" si="742"/>
        <v>0</v>
      </c>
      <c r="R976" s="31">
        <f t="shared" ca="1" si="743"/>
        <v>0</v>
      </c>
      <c r="S976" s="31">
        <f t="shared" ca="1" si="744"/>
        <v>0</v>
      </c>
      <c r="T976" s="32">
        <f t="shared" ca="1" si="745"/>
        <v>0</v>
      </c>
      <c r="U976" s="37">
        <f t="shared" ca="1" si="764"/>
        <v>0</v>
      </c>
      <c r="V976" s="40">
        <f t="shared" ca="1" si="746"/>
        <v>0</v>
      </c>
      <c r="W976" s="41">
        <f t="shared" ca="1" si="747"/>
        <v>0</v>
      </c>
      <c r="X976" s="43"/>
      <c r="Y976" s="46"/>
      <c r="Z976" s="126"/>
      <c r="AA976" s="136"/>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824">
        <f t="shared" ca="1" si="748"/>
        <v>0</v>
      </c>
      <c r="BM976" s="824">
        <f t="shared" ca="1" si="749"/>
        <v>0</v>
      </c>
      <c r="BN976" s="824">
        <f t="shared" ca="1" si="750"/>
        <v>0</v>
      </c>
      <c r="BO976" s="824">
        <f t="shared" ca="1" si="761"/>
        <v>0</v>
      </c>
      <c r="BP976" s="824">
        <f t="shared" ca="1" si="761"/>
        <v>0</v>
      </c>
      <c r="BQ976" s="824">
        <f t="shared" ca="1" si="761"/>
        <v>0</v>
      </c>
      <c r="BR976" s="824">
        <f t="shared" ca="1" si="761"/>
        <v>0</v>
      </c>
      <c r="BS976" s="824">
        <f t="shared" ca="1" si="761"/>
        <v>0</v>
      </c>
      <c r="BT976" s="824">
        <f t="shared" ca="1" si="761"/>
        <v>0</v>
      </c>
      <c r="BU976" s="824">
        <f t="shared" ca="1" si="761"/>
        <v>0</v>
      </c>
      <c r="BV976" s="824">
        <f t="shared" ca="1" si="761"/>
        <v>0</v>
      </c>
      <c r="BW976" s="824">
        <f t="shared" ca="1" si="761"/>
        <v>0</v>
      </c>
      <c r="BX976" s="824">
        <f t="shared" ca="1" si="761"/>
        <v>0</v>
      </c>
      <c r="BY976" s="824">
        <f t="shared" ca="1" si="761"/>
        <v>0</v>
      </c>
      <c r="BZ976" s="824">
        <f t="shared" ca="1" si="761"/>
        <v>0</v>
      </c>
      <c r="CA976" s="824">
        <f t="shared" ca="1" si="761"/>
        <v>0</v>
      </c>
      <c r="CB976" s="824">
        <f t="shared" ca="1" si="761"/>
        <v>0</v>
      </c>
      <c r="CC976" s="824">
        <f t="shared" ca="1" si="761"/>
        <v>0</v>
      </c>
      <c r="CD976" s="824">
        <f t="shared" ca="1" si="761"/>
        <v>0</v>
      </c>
      <c r="CE976" s="824">
        <f t="shared" ca="1" si="760"/>
        <v>0</v>
      </c>
      <c r="CF976" s="824">
        <f t="shared" ca="1" si="760"/>
        <v>0</v>
      </c>
      <c r="CG976" s="824">
        <f t="shared" ca="1" si="760"/>
        <v>0</v>
      </c>
      <c r="CH976" s="824">
        <f t="shared" ca="1" si="760"/>
        <v>0</v>
      </c>
      <c r="CI976" s="824">
        <f t="shared" ca="1" si="760"/>
        <v>0</v>
      </c>
      <c r="CJ976" s="824">
        <f t="shared" ca="1" si="760"/>
        <v>0</v>
      </c>
      <c r="CK976" s="824">
        <f t="shared" ca="1" si="760"/>
        <v>0</v>
      </c>
      <c r="CL976" s="824">
        <f t="shared" ca="1" si="760"/>
        <v>0</v>
      </c>
      <c r="CM976" s="824">
        <f t="shared" ca="1" si="760"/>
        <v>0</v>
      </c>
      <c r="CN976" s="824">
        <f t="shared" ca="1" si="760"/>
        <v>0</v>
      </c>
      <c r="CO976" s="824">
        <f t="shared" ca="1" si="760"/>
        <v>0</v>
      </c>
      <c r="CP976" s="824">
        <f t="shared" ca="1" si="760"/>
        <v>0</v>
      </c>
      <c r="CQ976" s="824">
        <f t="shared" ca="1" si="760"/>
        <v>0</v>
      </c>
      <c r="CR976" s="824">
        <f t="shared" ca="1" si="760"/>
        <v>0</v>
      </c>
      <c r="CS976" s="824">
        <f t="shared" ca="1" si="760"/>
        <v>0</v>
      </c>
      <c r="CT976" s="824">
        <f t="shared" ca="1" si="763"/>
        <v>0</v>
      </c>
      <c r="CU976" s="824">
        <f t="shared" ca="1" si="763"/>
        <v>0</v>
      </c>
      <c r="CV976" s="824">
        <f t="shared" ca="1" si="763"/>
        <v>0</v>
      </c>
      <c r="CW976" s="824">
        <f t="shared" ca="1" si="763"/>
        <v>0</v>
      </c>
      <c r="CX976" s="824">
        <f t="shared" ca="1" si="763"/>
        <v>0</v>
      </c>
      <c r="CY976" s="824">
        <f t="shared" ca="1" si="763"/>
        <v>0</v>
      </c>
      <c r="CZ976" s="824">
        <f t="shared" ca="1" si="763"/>
        <v>0</v>
      </c>
      <c r="DA976" s="824">
        <f t="shared" ca="1" si="763"/>
        <v>0</v>
      </c>
      <c r="DB976" s="824">
        <f t="shared" ca="1" si="763"/>
        <v>0</v>
      </c>
      <c r="DC976" s="824">
        <f t="shared" ca="1" si="763"/>
        <v>0</v>
      </c>
      <c r="DD976" s="824">
        <f t="shared" ca="1" si="763"/>
        <v>0</v>
      </c>
      <c r="DE976" s="824">
        <f t="shared" ca="1" si="763"/>
        <v>0</v>
      </c>
      <c r="DF976" s="824">
        <f t="shared" ca="1" si="763"/>
        <v>0</v>
      </c>
      <c r="DG976" s="824">
        <f t="shared" ca="1" si="763"/>
        <v>0</v>
      </c>
      <c r="DH976" s="824">
        <f t="shared" ca="1" si="763"/>
        <v>0</v>
      </c>
      <c r="DI976" s="824">
        <f t="shared" ca="1" si="763"/>
        <v>0</v>
      </c>
      <c r="DJ976" s="824">
        <f t="shared" ca="1" si="726"/>
        <v>0</v>
      </c>
      <c r="DK976" s="824">
        <f t="shared" ca="1" si="726"/>
        <v>0</v>
      </c>
      <c r="DL976" s="824">
        <f t="shared" ca="1" si="726"/>
        <v>0</v>
      </c>
    </row>
    <row r="977" spans="2:116" ht="12" thickBot="1" x14ac:dyDescent="0.3">
      <c r="B977" s="1673"/>
      <c r="C977" s="1680"/>
      <c r="D977" s="15" t="s">
        <v>183</v>
      </c>
      <c r="E977" s="116"/>
      <c r="F977" s="116">
        <f ca="1">SUBTOTAL(109,'3.5 I&amp;W'!$X$191)</f>
        <v>0</v>
      </c>
      <c r="G977" s="116">
        <f ca="1">SUBTOTAL(109,'3.5 I&amp;W'!$Y$191)</f>
        <v>0</v>
      </c>
      <c r="H977" s="116">
        <f ca="1">SUBTOTAL(109,'3.5 I&amp;W'!$AD$191)</f>
        <v>0</v>
      </c>
      <c r="I977" s="116">
        <f ca="1">SUBTOTAL(109,'3.5 I&amp;W'!$AE$191)</f>
        <v>0</v>
      </c>
      <c r="J977" s="116"/>
      <c r="K977" s="116"/>
      <c r="L977" s="116"/>
      <c r="M977" s="116">
        <f ca="1">SUBTOTAL(109,'3.5 I&amp;W'!$AI$191)</f>
        <v>0</v>
      </c>
      <c r="N977" s="156">
        <f t="shared" ca="1" si="751"/>
        <v>0</v>
      </c>
      <c r="O977" s="116">
        <f ca="1">SUBTOTAL(109,'3.5 I&amp;W'!$S$191)</f>
        <v>0</v>
      </c>
      <c r="P977" s="30">
        <f t="shared" ca="1" si="741"/>
        <v>0</v>
      </c>
      <c r="Q977" s="31">
        <f t="shared" ca="1" si="742"/>
        <v>0</v>
      </c>
      <c r="R977" s="31">
        <f t="shared" ca="1" si="743"/>
        <v>0</v>
      </c>
      <c r="S977" s="31">
        <f t="shared" ca="1" si="744"/>
        <v>0</v>
      </c>
      <c r="T977" s="32">
        <f t="shared" ca="1" si="745"/>
        <v>0</v>
      </c>
      <c r="U977" s="37">
        <f t="shared" ca="1" si="764"/>
        <v>0</v>
      </c>
      <c r="V977" s="40">
        <f t="shared" ca="1" si="746"/>
        <v>0</v>
      </c>
      <c r="W977" s="41">
        <f t="shared" ca="1" si="747"/>
        <v>0</v>
      </c>
      <c r="X977" s="43"/>
      <c r="Y977" s="46"/>
      <c r="Z977" s="126"/>
      <c r="AA977" s="136"/>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824">
        <f t="shared" ca="1" si="748"/>
        <v>0</v>
      </c>
      <c r="BM977" s="824">
        <f t="shared" ca="1" si="749"/>
        <v>0</v>
      </c>
      <c r="BN977" s="824">
        <f t="shared" ca="1" si="750"/>
        <v>0</v>
      </c>
      <c r="BO977" s="824">
        <f t="shared" ca="1" si="761"/>
        <v>0</v>
      </c>
      <c r="BP977" s="824">
        <f t="shared" ca="1" si="761"/>
        <v>0</v>
      </c>
      <c r="BQ977" s="824">
        <f t="shared" ca="1" si="761"/>
        <v>0</v>
      </c>
      <c r="BR977" s="824">
        <f t="shared" ca="1" si="761"/>
        <v>0</v>
      </c>
      <c r="BS977" s="824">
        <f t="shared" ca="1" si="761"/>
        <v>0</v>
      </c>
      <c r="BT977" s="824">
        <f t="shared" ca="1" si="761"/>
        <v>0</v>
      </c>
      <c r="BU977" s="824">
        <f t="shared" ca="1" si="761"/>
        <v>0</v>
      </c>
      <c r="BV977" s="824">
        <f t="shared" ca="1" si="761"/>
        <v>0</v>
      </c>
      <c r="BW977" s="824">
        <f t="shared" ca="1" si="761"/>
        <v>0</v>
      </c>
      <c r="BX977" s="824">
        <f t="shared" ca="1" si="761"/>
        <v>0</v>
      </c>
      <c r="BY977" s="824">
        <f t="shared" ca="1" si="761"/>
        <v>0</v>
      </c>
      <c r="BZ977" s="824">
        <f t="shared" ca="1" si="761"/>
        <v>0</v>
      </c>
      <c r="CA977" s="824">
        <f t="shared" ca="1" si="761"/>
        <v>0</v>
      </c>
      <c r="CB977" s="824">
        <f t="shared" ca="1" si="761"/>
        <v>0</v>
      </c>
      <c r="CC977" s="824">
        <f t="shared" ca="1" si="761"/>
        <v>0</v>
      </c>
      <c r="CD977" s="824">
        <f t="shared" ca="1" si="761"/>
        <v>0</v>
      </c>
      <c r="CE977" s="824">
        <f t="shared" ca="1" si="760"/>
        <v>0</v>
      </c>
      <c r="CF977" s="824">
        <f t="shared" ca="1" si="760"/>
        <v>0</v>
      </c>
      <c r="CG977" s="824">
        <f t="shared" ca="1" si="760"/>
        <v>0</v>
      </c>
      <c r="CH977" s="824">
        <f t="shared" ca="1" si="760"/>
        <v>0</v>
      </c>
      <c r="CI977" s="824">
        <f t="shared" ca="1" si="760"/>
        <v>0</v>
      </c>
      <c r="CJ977" s="824">
        <f t="shared" ca="1" si="760"/>
        <v>0</v>
      </c>
      <c r="CK977" s="824">
        <f t="shared" ca="1" si="760"/>
        <v>0</v>
      </c>
      <c r="CL977" s="824">
        <f t="shared" ca="1" si="760"/>
        <v>0</v>
      </c>
      <c r="CM977" s="824">
        <f t="shared" ca="1" si="760"/>
        <v>0</v>
      </c>
      <c r="CN977" s="824">
        <f t="shared" ca="1" si="760"/>
        <v>0</v>
      </c>
      <c r="CO977" s="824">
        <f t="shared" ca="1" si="760"/>
        <v>0</v>
      </c>
      <c r="CP977" s="824">
        <f t="shared" ca="1" si="760"/>
        <v>0</v>
      </c>
      <c r="CQ977" s="824">
        <f t="shared" ca="1" si="760"/>
        <v>0</v>
      </c>
      <c r="CR977" s="824">
        <f t="shared" ca="1" si="760"/>
        <v>0</v>
      </c>
      <c r="CS977" s="824">
        <f t="shared" ca="1" si="760"/>
        <v>0</v>
      </c>
      <c r="CT977" s="824">
        <f t="shared" ca="1" si="763"/>
        <v>0</v>
      </c>
      <c r="CU977" s="824">
        <f t="shared" ca="1" si="763"/>
        <v>0</v>
      </c>
      <c r="CV977" s="824">
        <f t="shared" ca="1" si="763"/>
        <v>0</v>
      </c>
      <c r="CW977" s="824">
        <f t="shared" ca="1" si="763"/>
        <v>0</v>
      </c>
      <c r="CX977" s="824">
        <f t="shared" ca="1" si="763"/>
        <v>0</v>
      </c>
      <c r="CY977" s="824">
        <f t="shared" ca="1" si="763"/>
        <v>0</v>
      </c>
      <c r="CZ977" s="824">
        <f t="shared" ca="1" si="763"/>
        <v>0</v>
      </c>
      <c r="DA977" s="824">
        <f t="shared" ca="1" si="763"/>
        <v>0</v>
      </c>
      <c r="DB977" s="824">
        <f t="shared" ca="1" si="763"/>
        <v>0</v>
      </c>
      <c r="DC977" s="824">
        <f t="shared" ca="1" si="763"/>
        <v>0</v>
      </c>
      <c r="DD977" s="824">
        <f t="shared" ca="1" si="763"/>
        <v>0</v>
      </c>
      <c r="DE977" s="824">
        <f t="shared" ca="1" si="763"/>
        <v>0</v>
      </c>
      <c r="DF977" s="824">
        <f t="shared" ca="1" si="763"/>
        <v>0</v>
      </c>
      <c r="DG977" s="824">
        <f t="shared" ca="1" si="763"/>
        <v>0</v>
      </c>
      <c r="DH977" s="824">
        <f t="shared" ca="1" si="763"/>
        <v>0</v>
      </c>
      <c r="DI977" s="824">
        <f t="shared" ca="1" si="763"/>
        <v>0</v>
      </c>
      <c r="DJ977" s="824">
        <f t="shared" ca="1" si="726"/>
        <v>0</v>
      </c>
      <c r="DK977" s="824">
        <f t="shared" ca="1" si="726"/>
        <v>0</v>
      </c>
      <c r="DL977" s="824">
        <f t="shared" ca="1" si="726"/>
        <v>0</v>
      </c>
    </row>
    <row r="978" spans="2:116" ht="12" thickBot="1" x14ac:dyDescent="0.3">
      <c r="B978" s="1673"/>
      <c r="C978" s="1680"/>
      <c r="D978" s="15" t="s">
        <v>183</v>
      </c>
      <c r="E978" s="165"/>
      <c r="F978" s="116">
        <f ca="1">SUBTOTAL(109,'3.5 I&amp;W'!$X$192)</f>
        <v>0</v>
      </c>
      <c r="G978" s="116">
        <f ca="1">SUBTOTAL(109,'3.5 I&amp;W'!$Y$192)</f>
        <v>0</v>
      </c>
      <c r="H978" s="116">
        <f ca="1">SUBTOTAL(109,'3.5 I&amp;W'!$AD$192)</f>
        <v>0</v>
      </c>
      <c r="I978" s="116">
        <f ca="1">SUBTOTAL(109,'3.5 I&amp;W'!$AE$192)</f>
        <v>0</v>
      </c>
      <c r="J978" s="116"/>
      <c r="K978" s="116"/>
      <c r="L978" s="116"/>
      <c r="M978" s="116">
        <f ca="1">SUBTOTAL(109,'3.5 I&amp;W'!$AI$192)</f>
        <v>0</v>
      </c>
      <c r="N978" s="156">
        <f t="shared" ca="1" si="751"/>
        <v>0</v>
      </c>
      <c r="O978" s="116">
        <f ca="1">SUBTOTAL(109,'3.5 I&amp;W'!$S$192)</f>
        <v>0</v>
      </c>
      <c r="P978" s="30">
        <f t="shared" ca="1" si="741"/>
        <v>0</v>
      </c>
      <c r="Q978" s="31">
        <f t="shared" ca="1" si="742"/>
        <v>0</v>
      </c>
      <c r="R978" s="31">
        <f t="shared" ca="1" si="743"/>
        <v>0</v>
      </c>
      <c r="S978" s="31">
        <f t="shared" ca="1" si="744"/>
        <v>0</v>
      </c>
      <c r="T978" s="32">
        <f t="shared" ca="1" si="745"/>
        <v>0</v>
      </c>
      <c r="U978" s="37">
        <f t="shared" ca="1" si="764"/>
        <v>0</v>
      </c>
      <c r="V978" s="40">
        <f t="shared" ca="1" si="746"/>
        <v>0</v>
      </c>
      <c r="W978" s="41">
        <f t="shared" ca="1" si="747"/>
        <v>0</v>
      </c>
      <c r="X978" s="43"/>
      <c r="Y978" s="46"/>
      <c r="Z978" s="126"/>
      <c r="AA978" s="136"/>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824">
        <f t="shared" ca="1" si="748"/>
        <v>0</v>
      </c>
      <c r="BM978" s="824">
        <f t="shared" ca="1" si="749"/>
        <v>0</v>
      </c>
      <c r="BN978" s="824">
        <f t="shared" ca="1" si="750"/>
        <v>0</v>
      </c>
      <c r="BO978" s="824">
        <f t="shared" ca="1" si="761"/>
        <v>0</v>
      </c>
      <c r="BP978" s="824">
        <f t="shared" ca="1" si="761"/>
        <v>0</v>
      </c>
      <c r="BQ978" s="824">
        <f t="shared" ca="1" si="761"/>
        <v>0</v>
      </c>
      <c r="BR978" s="824">
        <f t="shared" ca="1" si="761"/>
        <v>0</v>
      </c>
      <c r="BS978" s="824">
        <f t="shared" ca="1" si="761"/>
        <v>0</v>
      </c>
      <c r="BT978" s="824">
        <f t="shared" ca="1" si="761"/>
        <v>0</v>
      </c>
      <c r="BU978" s="824">
        <f t="shared" ca="1" si="761"/>
        <v>0</v>
      </c>
      <c r="BV978" s="824">
        <f t="shared" ca="1" si="761"/>
        <v>0</v>
      </c>
      <c r="BW978" s="824">
        <f t="shared" ca="1" si="761"/>
        <v>0</v>
      </c>
      <c r="BX978" s="824">
        <f t="shared" ca="1" si="761"/>
        <v>0</v>
      </c>
      <c r="BY978" s="824">
        <f t="shared" ca="1" si="761"/>
        <v>0</v>
      </c>
      <c r="BZ978" s="824">
        <f t="shared" ca="1" si="761"/>
        <v>0</v>
      </c>
      <c r="CA978" s="824">
        <f t="shared" ca="1" si="761"/>
        <v>0</v>
      </c>
      <c r="CB978" s="824">
        <f t="shared" ca="1" si="761"/>
        <v>0</v>
      </c>
      <c r="CC978" s="824">
        <f t="shared" ca="1" si="761"/>
        <v>0</v>
      </c>
      <c r="CD978" s="824">
        <f t="shared" ref="CD978:CS993" ca="1" si="765">IF(OR(IF($BL978*1&lt;$BL$196,$BL978*1=CD$198,FALSE),IF($BL978*2&lt;$BL$196,$BL978*2=CD$198,FALSE),IF($BL978*3&lt;$BL$196,$BL978*3=CD$198,FALSE),IF($BL978*4&lt;$BL$196,$BL978*4=CD$198,FALSE),IF($BL978*5&lt;$BL$196,$BL978*5=CD$198,FALSE)),$BN978*$BM$196^CD$198,0)</f>
        <v>0</v>
      </c>
      <c r="CE978" s="824">
        <f t="shared" ca="1" si="765"/>
        <v>0</v>
      </c>
      <c r="CF978" s="824">
        <f t="shared" ca="1" si="765"/>
        <v>0</v>
      </c>
      <c r="CG978" s="824">
        <f t="shared" ca="1" si="765"/>
        <v>0</v>
      </c>
      <c r="CH978" s="824">
        <f t="shared" ca="1" si="765"/>
        <v>0</v>
      </c>
      <c r="CI978" s="824">
        <f t="shared" ca="1" si="765"/>
        <v>0</v>
      </c>
      <c r="CJ978" s="824">
        <f t="shared" ca="1" si="765"/>
        <v>0</v>
      </c>
      <c r="CK978" s="824">
        <f t="shared" ca="1" si="765"/>
        <v>0</v>
      </c>
      <c r="CL978" s="824">
        <f t="shared" ca="1" si="765"/>
        <v>0</v>
      </c>
      <c r="CM978" s="824">
        <f t="shared" ca="1" si="765"/>
        <v>0</v>
      </c>
      <c r="CN978" s="824">
        <f t="shared" ca="1" si="765"/>
        <v>0</v>
      </c>
      <c r="CO978" s="824">
        <f t="shared" ca="1" si="765"/>
        <v>0</v>
      </c>
      <c r="CP978" s="824">
        <f t="shared" ca="1" si="765"/>
        <v>0</v>
      </c>
      <c r="CQ978" s="824">
        <f t="shared" ca="1" si="765"/>
        <v>0</v>
      </c>
      <c r="CR978" s="824">
        <f t="shared" ca="1" si="765"/>
        <v>0</v>
      </c>
      <c r="CS978" s="824">
        <f t="shared" ca="1" si="765"/>
        <v>0</v>
      </c>
      <c r="CT978" s="824">
        <f t="shared" ca="1" si="763"/>
        <v>0</v>
      </c>
      <c r="CU978" s="824">
        <f t="shared" ca="1" si="763"/>
        <v>0</v>
      </c>
      <c r="CV978" s="824">
        <f t="shared" ca="1" si="763"/>
        <v>0</v>
      </c>
      <c r="CW978" s="824">
        <f t="shared" ca="1" si="763"/>
        <v>0</v>
      </c>
      <c r="CX978" s="824">
        <f t="shared" ca="1" si="763"/>
        <v>0</v>
      </c>
      <c r="CY978" s="824">
        <f t="shared" ca="1" si="763"/>
        <v>0</v>
      </c>
      <c r="CZ978" s="824">
        <f t="shared" ca="1" si="763"/>
        <v>0</v>
      </c>
      <c r="DA978" s="824">
        <f t="shared" ca="1" si="763"/>
        <v>0</v>
      </c>
      <c r="DB978" s="824">
        <f t="shared" ca="1" si="763"/>
        <v>0</v>
      </c>
      <c r="DC978" s="824">
        <f t="shared" ca="1" si="763"/>
        <v>0</v>
      </c>
      <c r="DD978" s="824">
        <f t="shared" ca="1" si="763"/>
        <v>0</v>
      </c>
      <c r="DE978" s="824">
        <f t="shared" ca="1" si="763"/>
        <v>0</v>
      </c>
      <c r="DF978" s="824">
        <f t="shared" ca="1" si="763"/>
        <v>0</v>
      </c>
      <c r="DG978" s="824">
        <f t="shared" ca="1" si="763"/>
        <v>0</v>
      </c>
      <c r="DH978" s="824">
        <f t="shared" ca="1" si="763"/>
        <v>0</v>
      </c>
      <c r="DI978" s="824">
        <f t="shared" ca="1" si="763"/>
        <v>0</v>
      </c>
      <c r="DJ978" s="824">
        <f t="shared" ca="1" si="726"/>
        <v>0</v>
      </c>
      <c r="DK978" s="824">
        <f t="shared" ca="1" si="726"/>
        <v>0</v>
      </c>
      <c r="DL978" s="824">
        <f t="shared" ca="1" si="726"/>
        <v>0</v>
      </c>
    </row>
    <row r="979" spans="2:116" ht="12" thickBot="1" x14ac:dyDescent="0.3">
      <c r="B979" s="1673"/>
      <c r="C979" s="1680"/>
      <c r="D979" s="15" t="s">
        <v>183</v>
      </c>
      <c r="E979" s="116"/>
      <c r="F979" s="116">
        <f ca="1">SUBTOTAL(109,'3.5 I&amp;W'!$X$193)</f>
        <v>0</v>
      </c>
      <c r="G979" s="116">
        <f ca="1">SUBTOTAL(109,'3.5 I&amp;W'!$Y$193)</f>
        <v>0</v>
      </c>
      <c r="H979" s="116">
        <f ca="1">SUBTOTAL(109,'3.5 I&amp;W'!$AD$193)</f>
        <v>0</v>
      </c>
      <c r="I979" s="116">
        <f ca="1">SUBTOTAL(109,'3.5 I&amp;W'!$AE$193)</f>
        <v>0</v>
      </c>
      <c r="J979" s="116"/>
      <c r="K979" s="116"/>
      <c r="L979" s="116"/>
      <c r="M979" s="116">
        <f ca="1">SUBTOTAL(109,'3.5 I&amp;W'!$AI$193)</f>
        <v>0</v>
      </c>
      <c r="N979" s="156">
        <f t="shared" ca="1" si="751"/>
        <v>0</v>
      </c>
      <c r="O979" s="116">
        <f ca="1">SUBTOTAL(109,'3.5 I&amp;W'!$S$193)</f>
        <v>0</v>
      </c>
      <c r="P979" s="30">
        <f t="shared" ca="1" si="741"/>
        <v>0</v>
      </c>
      <c r="Q979" s="31">
        <f t="shared" ca="1" si="742"/>
        <v>0</v>
      </c>
      <c r="R979" s="31">
        <f t="shared" ca="1" si="743"/>
        <v>0</v>
      </c>
      <c r="S979" s="31">
        <f t="shared" ca="1" si="744"/>
        <v>0</v>
      </c>
      <c r="T979" s="32">
        <f t="shared" ca="1" si="745"/>
        <v>0</v>
      </c>
      <c r="U979" s="37">
        <f t="shared" ca="1" si="764"/>
        <v>0</v>
      </c>
      <c r="V979" s="40">
        <f t="shared" ca="1" si="746"/>
        <v>0</v>
      </c>
      <c r="W979" s="41">
        <f t="shared" ca="1" si="747"/>
        <v>0</v>
      </c>
      <c r="X979" s="43"/>
      <c r="Y979" s="46"/>
      <c r="Z979" s="126"/>
      <c r="AA979" s="136"/>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824">
        <f t="shared" ca="1" si="748"/>
        <v>0</v>
      </c>
      <c r="BM979" s="824">
        <f t="shared" ca="1" si="749"/>
        <v>0</v>
      </c>
      <c r="BN979" s="824">
        <f t="shared" ca="1" si="750"/>
        <v>0</v>
      </c>
      <c r="BO979" s="824">
        <f t="shared" ref="BO979:CD994" ca="1" si="766">IF(OR(IF($BL979*1&lt;$BL$196,$BL979*1=BO$198,FALSE),IF($BL979*2&lt;$BL$196,$BL979*2=BO$198,FALSE),IF($BL979*3&lt;$BL$196,$BL979*3=BO$198,FALSE),IF($BL979*4&lt;$BL$196,$BL979*4=BO$198,FALSE),IF($BL979*5&lt;$BL$196,$BL979*5=BO$198,FALSE)),$BN979*$BM$196^BO$198,0)</f>
        <v>0</v>
      </c>
      <c r="BP979" s="824">
        <f t="shared" ca="1" si="766"/>
        <v>0</v>
      </c>
      <c r="BQ979" s="824">
        <f t="shared" ca="1" si="766"/>
        <v>0</v>
      </c>
      <c r="BR979" s="824">
        <f t="shared" ca="1" si="766"/>
        <v>0</v>
      </c>
      <c r="BS979" s="824">
        <f t="shared" ca="1" si="766"/>
        <v>0</v>
      </c>
      <c r="BT979" s="824">
        <f t="shared" ca="1" si="766"/>
        <v>0</v>
      </c>
      <c r="BU979" s="824">
        <f t="shared" ca="1" si="766"/>
        <v>0</v>
      </c>
      <c r="BV979" s="824">
        <f t="shared" ca="1" si="766"/>
        <v>0</v>
      </c>
      <c r="BW979" s="824">
        <f t="shared" ca="1" si="766"/>
        <v>0</v>
      </c>
      <c r="BX979" s="824">
        <f t="shared" ca="1" si="766"/>
        <v>0</v>
      </c>
      <c r="BY979" s="824">
        <f t="shared" ca="1" si="766"/>
        <v>0</v>
      </c>
      <c r="BZ979" s="824">
        <f t="shared" ca="1" si="766"/>
        <v>0</v>
      </c>
      <c r="CA979" s="824">
        <f t="shared" ca="1" si="766"/>
        <v>0</v>
      </c>
      <c r="CB979" s="824">
        <f t="shared" ca="1" si="766"/>
        <v>0</v>
      </c>
      <c r="CC979" s="824">
        <f t="shared" ca="1" si="766"/>
        <v>0</v>
      </c>
      <c r="CD979" s="824">
        <f t="shared" ca="1" si="766"/>
        <v>0</v>
      </c>
      <c r="CE979" s="824">
        <f t="shared" ca="1" si="765"/>
        <v>0</v>
      </c>
      <c r="CF979" s="824">
        <f t="shared" ca="1" si="765"/>
        <v>0</v>
      </c>
      <c r="CG979" s="824">
        <f t="shared" ca="1" si="765"/>
        <v>0</v>
      </c>
      <c r="CH979" s="824">
        <f t="shared" ca="1" si="765"/>
        <v>0</v>
      </c>
      <c r="CI979" s="824">
        <f t="shared" ca="1" si="765"/>
        <v>0</v>
      </c>
      <c r="CJ979" s="824">
        <f t="shared" ca="1" si="765"/>
        <v>0</v>
      </c>
      <c r="CK979" s="824">
        <f t="shared" ca="1" si="765"/>
        <v>0</v>
      </c>
      <c r="CL979" s="824">
        <f t="shared" ca="1" si="765"/>
        <v>0</v>
      </c>
      <c r="CM979" s="824">
        <f t="shared" ca="1" si="765"/>
        <v>0</v>
      </c>
      <c r="CN979" s="824">
        <f t="shared" ca="1" si="765"/>
        <v>0</v>
      </c>
      <c r="CO979" s="824">
        <f t="shared" ca="1" si="765"/>
        <v>0</v>
      </c>
      <c r="CP979" s="824">
        <f t="shared" ca="1" si="765"/>
        <v>0</v>
      </c>
      <c r="CQ979" s="824">
        <f t="shared" ca="1" si="765"/>
        <v>0</v>
      </c>
      <c r="CR979" s="824">
        <f t="shared" ca="1" si="765"/>
        <v>0</v>
      </c>
      <c r="CS979" s="824">
        <f t="shared" ca="1" si="765"/>
        <v>0</v>
      </c>
      <c r="CT979" s="824">
        <f t="shared" ca="1" si="763"/>
        <v>0</v>
      </c>
      <c r="CU979" s="824">
        <f t="shared" ca="1" si="763"/>
        <v>0</v>
      </c>
      <c r="CV979" s="824">
        <f t="shared" ca="1" si="763"/>
        <v>0</v>
      </c>
      <c r="CW979" s="824">
        <f t="shared" ca="1" si="763"/>
        <v>0</v>
      </c>
      <c r="CX979" s="824">
        <f t="shared" ca="1" si="763"/>
        <v>0</v>
      </c>
      <c r="CY979" s="824">
        <f t="shared" ca="1" si="763"/>
        <v>0</v>
      </c>
      <c r="CZ979" s="824">
        <f t="shared" ca="1" si="763"/>
        <v>0</v>
      </c>
      <c r="DA979" s="824">
        <f t="shared" ca="1" si="763"/>
        <v>0</v>
      </c>
      <c r="DB979" s="824">
        <f t="shared" ca="1" si="763"/>
        <v>0</v>
      </c>
      <c r="DC979" s="824">
        <f t="shared" ca="1" si="763"/>
        <v>0</v>
      </c>
      <c r="DD979" s="824">
        <f t="shared" ca="1" si="763"/>
        <v>0</v>
      </c>
      <c r="DE979" s="824">
        <f t="shared" ca="1" si="763"/>
        <v>0</v>
      </c>
      <c r="DF979" s="824">
        <f t="shared" ca="1" si="763"/>
        <v>0</v>
      </c>
      <c r="DG979" s="824">
        <f t="shared" ca="1" si="763"/>
        <v>0</v>
      </c>
      <c r="DH979" s="824">
        <f t="shared" ca="1" si="763"/>
        <v>0</v>
      </c>
      <c r="DI979" s="824">
        <f t="shared" ref="DI979" ca="1" si="767">IF(OR(IF($BL979*1&lt;$BL$196,$BL979*1=DI$198,FALSE),IF($BL979*2&lt;$BL$196,$BL979*2=DI$198,FALSE),IF($BL979*3&lt;$BL$196,$BL979*3=DI$198,FALSE),IF($BL979*4&lt;$BL$196,$BL979*4=DI$198,FALSE),IF($BL979*5&lt;$BL$196,$BL979*5=DI$198,FALSE)),$BN979*$BM$196^DI$198,0)</f>
        <v>0</v>
      </c>
      <c r="DJ979" s="824">
        <f t="shared" ca="1" si="726"/>
        <v>0</v>
      </c>
      <c r="DK979" s="824">
        <f t="shared" ca="1" si="726"/>
        <v>0</v>
      </c>
      <c r="DL979" s="824">
        <f t="shared" ca="1" si="726"/>
        <v>0</v>
      </c>
    </row>
    <row r="980" spans="2:116" ht="12" thickBot="1" x14ac:dyDescent="0.3">
      <c r="B980" s="1673"/>
      <c r="C980" s="1680"/>
      <c r="D980" s="15" t="s">
        <v>183</v>
      </c>
      <c r="E980" s="165"/>
      <c r="F980" s="116">
        <f ca="1">SUBTOTAL(109,'3.5 I&amp;W'!$X$194)</f>
        <v>0</v>
      </c>
      <c r="G980" s="116">
        <f ca="1">SUBTOTAL(109,'3.5 I&amp;W'!$Y$194)</f>
        <v>0</v>
      </c>
      <c r="H980" s="116">
        <f ca="1">SUBTOTAL(109,'3.5 I&amp;W'!$AD$194)</f>
        <v>0</v>
      </c>
      <c r="I980" s="116">
        <f ca="1">SUBTOTAL(109,'3.5 I&amp;W'!$AE$194)</f>
        <v>0</v>
      </c>
      <c r="J980" s="116"/>
      <c r="K980" s="116"/>
      <c r="L980" s="116"/>
      <c r="M980" s="116">
        <f ca="1">SUBTOTAL(109,'3.5 I&amp;W'!$AI$194)</f>
        <v>0</v>
      </c>
      <c r="N980" s="156">
        <f t="shared" ca="1" si="751"/>
        <v>0</v>
      </c>
      <c r="O980" s="116">
        <f ca="1">SUBTOTAL(109,'3.5 I&amp;W'!$S$194)</f>
        <v>0</v>
      </c>
      <c r="P980" s="30">
        <f t="shared" ca="1" si="741"/>
        <v>0</v>
      </c>
      <c r="Q980" s="31">
        <f t="shared" ca="1" si="742"/>
        <v>0</v>
      </c>
      <c r="R980" s="31">
        <f t="shared" ca="1" si="743"/>
        <v>0</v>
      </c>
      <c r="S980" s="31">
        <f t="shared" ca="1" si="744"/>
        <v>0</v>
      </c>
      <c r="T980" s="32">
        <f t="shared" ca="1" si="745"/>
        <v>0</v>
      </c>
      <c r="U980" s="37">
        <f t="shared" ca="1" si="764"/>
        <v>0</v>
      </c>
      <c r="V980" s="40">
        <f t="shared" ca="1" si="746"/>
        <v>0</v>
      </c>
      <c r="W980" s="41">
        <f t="shared" ca="1" si="747"/>
        <v>0</v>
      </c>
      <c r="X980" s="43"/>
      <c r="Y980" s="46"/>
      <c r="Z980" s="126"/>
      <c r="AA980" s="136"/>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824">
        <f t="shared" ca="1" si="748"/>
        <v>0</v>
      </c>
      <c r="BM980" s="824">
        <f t="shared" ca="1" si="749"/>
        <v>0</v>
      </c>
      <c r="BN980" s="824">
        <f t="shared" ca="1" si="750"/>
        <v>0</v>
      </c>
      <c r="BO980" s="824">
        <f t="shared" ca="1" si="766"/>
        <v>0</v>
      </c>
      <c r="BP980" s="824">
        <f t="shared" ca="1" si="766"/>
        <v>0</v>
      </c>
      <c r="BQ980" s="824">
        <f t="shared" ca="1" si="766"/>
        <v>0</v>
      </c>
      <c r="BR980" s="824">
        <f t="shared" ca="1" si="766"/>
        <v>0</v>
      </c>
      <c r="BS980" s="824">
        <f t="shared" ca="1" si="766"/>
        <v>0</v>
      </c>
      <c r="BT980" s="824">
        <f t="shared" ca="1" si="766"/>
        <v>0</v>
      </c>
      <c r="BU980" s="824">
        <f t="shared" ca="1" si="766"/>
        <v>0</v>
      </c>
      <c r="BV980" s="824">
        <f t="shared" ca="1" si="766"/>
        <v>0</v>
      </c>
      <c r="BW980" s="824">
        <f t="shared" ca="1" si="766"/>
        <v>0</v>
      </c>
      <c r="BX980" s="824">
        <f t="shared" ca="1" si="766"/>
        <v>0</v>
      </c>
      <c r="BY980" s="824">
        <f t="shared" ca="1" si="766"/>
        <v>0</v>
      </c>
      <c r="BZ980" s="824">
        <f t="shared" ca="1" si="766"/>
        <v>0</v>
      </c>
      <c r="CA980" s="824">
        <f t="shared" ca="1" si="766"/>
        <v>0</v>
      </c>
      <c r="CB980" s="824">
        <f t="shared" ca="1" si="766"/>
        <v>0</v>
      </c>
      <c r="CC980" s="824">
        <f t="shared" ca="1" si="766"/>
        <v>0</v>
      </c>
      <c r="CD980" s="824">
        <f t="shared" ca="1" si="766"/>
        <v>0</v>
      </c>
      <c r="CE980" s="824">
        <f t="shared" ca="1" si="765"/>
        <v>0</v>
      </c>
      <c r="CF980" s="824">
        <f t="shared" ca="1" si="765"/>
        <v>0</v>
      </c>
      <c r="CG980" s="824">
        <f t="shared" ca="1" si="765"/>
        <v>0</v>
      </c>
      <c r="CH980" s="824">
        <f t="shared" ca="1" si="765"/>
        <v>0</v>
      </c>
      <c r="CI980" s="824">
        <f t="shared" ca="1" si="765"/>
        <v>0</v>
      </c>
      <c r="CJ980" s="824">
        <f t="shared" ca="1" si="765"/>
        <v>0</v>
      </c>
      <c r="CK980" s="824">
        <f t="shared" ca="1" si="765"/>
        <v>0</v>
      </c>
      <c r="CL980" s="824">
        <f t="shared" ca="1" si="765"/>
        <v>0</v>
      </c>
      <c r="CM980" s="824">
        <f t="shared" ca="1" si="765"/>
        <v>0</v>
      </c>
      <c r="CN980" s="824">
        <f t="shared" ca="1" si="765"/>
        <v>0</v>
      </c>
      <c r="CO980" s="824">
        <f t="shared" ca="1" si="765"/>
        <v>0</v>
      </c>
      <c r="CP980" s="824">
        <f t="shared" ca="1" si="765"/>
        <v>0</v>
      </c>
      <c r="CQ980" s="824">
        <f t="shared" ca="1" si="765"/>
        <v>0</v>
      </c>
      <c r="CR980" s="824">
        <f t="shared" ca="1" si="765"/>
        <v>0</v>
      </c>
      <c r="CS980" s="824">
        <f t="shared" ca="1" si="765"/>
        <v>0</v>
      </c>
      <c r="CT980" s="824">
        <f t="shared" ref="CT980:DI995" ca="1" si="768">IF(OR(IF($BL980*1&lt;$BL$196,$BL980*1=CT$198,FALSE),IF($BL980*2&lt;$BL$196,$BL980*2=CT$198,FALSE),IF($BL980*3&lt;$BL$196,$BL980*3=CT$198,FALSE),IF($BL980*4&lt;$BL$196,$BL980*4=CT$198,FALSE),IF($BL980*5&lt;$BL$196,$BL980*5=CT$198,FALSE)),$BN980*$BM$196^CT$198,0)</f>
        <v>0</v>
      </c>
      <c r="CU980" s="824">
        <f t="shared" ca="1" si="768"/>
        <v>0</v>
      </c>
      <c r="CV980" s="824">
        <f t="shared" ca="1" si="768"/>
        <v>0</v>
      </c>
      <c r="CW980" s="824">
        <f t="shared" ca="1" si="768"/>
        <v>0</v>
      </c>
      <c r="CX980" s="824">
        <f t="shared" ca="1" si="768"/>
        <v>0</v>
      </c>
      <c r="CY980" s="824">
        <f t="shared" ca="1" si="768"/>
        <v>0</v>
      </c>
      <c r="CZ980" s="824">
        <f t="shared" ca="1" si="768"/>
        <v>0</v>
      </c>
      <c r="DA980" s="824">
        <f t="shared" ca="1" si="768"/>
        <v>0</v>
      </c>
      <c r="DB980" s="824">
        <f t="shared" ca="1" si="768"/>
        <v>0</v>
      </c>
      <c r="DC980" s="824">
        <f t="shared" ca="1" si="768"/>
        <v>0</v>
      </c>
      <c r="DD980" s="824">
        <f t="shared" ca="1" si="768"/>
        <v>0</v>
      </c>
      <c r="DE980" s="824">
        <f t="shared" ca="1" si="768"/>
        <v>0</v>
      </c>
      <c r="DF980" s="824">
        <f t="shared" ca="1" si="768"/>
        <v>0</v>
      </c>
      <c r="DG980" s="824">
        <f t="shared" ca="1" si="768"/>
        <v>0</v>
      </c>
      <c r="DH980" s="824">
        <f t="shared" ca="1" si="768"/>
        <v>0</v>
      </c>
      <c r="DI980" s="824">
        <f t="shared" ca="1" si="768"/>
        <v>0</v>
      </c>
      <c r="DJ980" s="824">
        <f t="shared" ca="1" si="726"/>
        <v>0</v>
      </c>
      <c r="DK980" s="824">
        <f t="shared" ca="1" si="726"/>
        <v>0</v>
      </c>
      <c r="DL980" s="824">
        <f t="shared" ca="1" si="726"/>
        <v>0</v>
      </c>
    </row>
    <row r="981" spans="2:116" ht="12" thickBot="1" x14ac:dyDescent="0.3">
      <c r="B981" s="1673"/>
      <c r="C981" s="1680"/>
      <c r="D981" s="15" t="s">
        <v>15</v>
      </c>
      <c r="E981" s="116"/>
      <c r="F981" s="116">
        <f ca="1">SUBTOTAL(109,'3.5 I&amp;W'!$X$197)</f>
        <v>0</v>
      </c>
      <c r="G981" s="116">
        <f ca="1">SUBTOTAL(109,'3.5 I&amp;W'!$Y$197)</f>
        <v>0</v>
      </c>
      <c r="H981" s="116">
        <f ca="1">SUBTOTAL(109,'3.5 I&amp;W'!$AD$197)</f>
        <v>1.0183990766515039E-2</v>
      </c>
      <c r="I981" s="116">
        <f ca="1">SUBTOTAL(109,'3.5 I&amp;W'!$AE$197)</f>
        <v>360</v>
      </c>
      <c r="J981" s="116"/>
      <c r="K981" s="116"/>
      <c r="L981" s="116"/>
      <c r="M981" s="116">
        <f ca="1">SUBTOTAL(109,'3.5 I&amp;W'!$AI$197)</f>
        <v>25</v>
      </c>
      <c r="N981" s="156">
        <f t="shared" ca="1" si="751"/>
        <v>1</v>
      </c>
      <c r="O981" s="116">
        <f ca="1">SUBTOTAL(109,'3.5 I&amp;W'!$S$197)</f>
        <v>35349.599999999999</v>
      </c>
      <c r="P981" s="30">
        <f t="shared" ca="1" si="741"/>
        <v>32042.242915794082</v>
      </c>
      <c r="Q981" s="31">
        <f t="shared" ca="1" si="742"/>
        <v>0</v>
      </c>
      <c r="R981" s="31">
        <f t="shared" ca="1" si="743"/>
        <v>0</v>
      </c>
      <c r="S981" s="31">
        <f t="shared" ca="1" si="744"/>
        <v>0</v>
      </c>
      <c r="T981" s="32">
        <f t="shared" ca="1" si="745"/>
        <v>0</v>
      </c>
      <c r="U981" s="37">
        <f t="shared" ca="1" si="764"/>
        <v>15771.479700095048</v>
      </c>
      <c r="V981" s="40">
        <f t="shared" ca="1" si="746"/>
        <v>0</v>
      </c>
      <c r="W981" s="41">
        <f t="shared" ca="1" si="747"/>
        <v>11563.848634307347</v>
      </c>
      <c r="X981" s="43"/>
      <c r="Y981" s="46"/>
      <c r="Z981" s="126"/>
      <c r="AA981" s="136"/>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824">
        <f t="shared" ca="1" si="748"/>
        <v>25</v>
      </c>
      <c r="BM981" s="824">
        <f t="shared" ca="1" si="749"/>
        <v>1</v>
      </c>
      <c r="BN981" s="824">
        <f t="shared" ca="1" si="750"/>
        <v>35349.599999999999</v>
      </c>
      <c r="BO981" s="824">
        <f t="shared" ca="1" si="766"/>
        <v>0</v>
      </c>
      <c r="BP981" s="824">
        <f t="shared" ca="1" si="766"/>
        <v>0</v>
      </c>
      <c r="BQ981" s="824">
        <f t="shared" ca="1" si="766"/>
        <v>0</v>
      </c>
      <c r="BR981" s="824">
        <f t="shared" ca="1" si="766"/>
        <v>0</v>
      </c>
      <c r="BS981" s="824">
        <f t="shared" ca="1" si="766"/>
        <v>0</v>
      </c>
      <c r="BT981" s="824">
        <f t="shared" ca="1" si="766"/>
        <v>0</v>
      </c>
      <c r="BU981" s="824">
        <f t="shared" ca="1" si="766"/>
        <v>0</v>
      </c>
      <c r="BV981" s="824">
        <f t="shared" ca="1" si="766"/>
        <v>0</v>
      </c>
      <c r="BW981" s="824">
        <f t="shared" ca="1" si="766"/>
        <v>0</v>
      </c>
      <c r="BX981" s="824">
        <f t="shared" ca="1" si="766"/>
        <v>0</v>
      </c>
      <c r="BY981" s="824">
        <f t="shared" ca="1" si="766"/>
        <v>0</v>
      </c>
      <c r="BZ981" s="824">
        <f t="shared" ca="1" si="766"/>
        <v>0</v>
      </c>
      <c r="CA981" s="824">
        <f t="shared" ca="1" si="766"/>
        <v>0</v>
      </c>
      <c r="CB981" s="824">
        <f t="shared" ca="1" si="766"/>
        <v>0</v>
      </c>
      <c r="CC981" s="824">
        <f t="shared" ca="1" si="766"/>
        <v>0</v>
      </c>
      <c r="CD981" s="824">
        <f t="shared" ca="1" si="766"/>
        <v>0</v>
      </c>
      <c r="CE981" s="824">
        <f t="shared" ca="1" si="765"/>
        <v>0</v>
      </c>
      <c r="CF981" s="824">
        <f t="shared" ca="1" si="765"/>
        <v>0</v>
      </c>
      <c r="CG981" s="824">
        <f t="shared" ca="1" si="765"/>
        <v>0</v>
      </c>
      <c r="CH981" s="824">
        <f t="shared" ca="1" si="765"/>
        <v>0</v>
      </c>
      <c r="CI981" s="824">
        <f t="shared" ca="1" si="765"/>
        <v>0</v>
      </c>
      <c r="CJ981" s="824">
        <f t="shared" ca="1" si="765"/>
        <v>0</v>
      </c>
      <c r="CK981" s="824">
        <f t="shared" ca="1" si="765"/>
        <v>0</v>
      </c>
      <c r="CL981" s="824">
        <f t="shared" ca="1" si="765"/>
        <v>0</v>
      </c>
      <c r="CM981" s="824">
        <f t="shared" ca="1" si="765"/>
        <v>52568.695803746785</v>
      </c>
      <c r="CN981" s="824">
        <f t="shared" ca="1" si="765"/>
        <v>0</v>
      </c>
      <c r="CO981" s="824">
        <f t="shared" ca="1" si="765"/>
        <v>0</v>
      </c>
      <c r="CP981" s="824">
        <f t="shared" ca="1" si="765"/>
        <v>0</v>
      </c>
      <c r="CQ981" s="824">
        <f t="shared" ca="1" si="765"/>
        <v>0</v>
      </c>
      <c r="CR981" s="824">
        <f t="shared" ca="1" si="765"/>
        <v>0</v>
      </c>
      <c r="CS981" s="824">
        <f t="shared" ca="1" si="765"/>
        <v>0</v>
      </c>
      <c r="CT981" s="824">
        <f t="shared" ca="1" si="768"/>
        <v>0</v>
      </c>
      <c r="CU981" s="824">
        <f t="shared" ca="1" si="768"/>
        <v>0</v>
      </c>
      <c r="CV981" s="824">
        <f t="shared" ca="1" si="768"/>
        <v>0</v>
      </c>
      <c r="CW981" s="824">
        <f t="shared" ca="1" si="768"/>
        <v>0</v>
      </c>
      <c r="CX981" s="824">
        <f t="shared" ca="1" si="768"/>
        <v>0</v>
      </c>
      <c r="CY981" s="824">
        <f t="shared" ca="1" si="768"/>
        <v>0</v>
      </c>
      <c r="CZ981" s="824">
        <f t="shared" ca="1" si="768"/>
        <v>0</v>
      </c>
      <c r="DA981" s="824">
        <f t="shared" ca="1" si="768"/>
        <v>0</v>
      </c>
      <c r="DB981" s="824">
        <f t="shared" ca="1" si="768"/>
        <v>0</v>
      </c>
      <c r="DC981" s="824">
        <f t="shared" ca="1" si="768"/>
        <v>0</v>
      </c>
      <c r="DD981" s="824">
        <f t="shared" ca="1" si="768"/>
        <v>0</v>
      </c>
      <c r="DE981" s="824">
        <f t="shared" ca="1" si="768"/>
        <v>0</v>
      </c>
      <c r="DF981" s="824">
        <f t="shared" ca="1" si="768"/>
        <v>0</v>
      </c>
      <c r="DG981" s="824">
        <f t="shared" ca="1" si="768"/>
        <v>0</v>
      </c>
      <c r="DH981" s="824">
        <f t="shared" ca="1" si="768"/>
        <v>0</v>
      </c>
      <c r="DI981" s="824">
        <f t="shared" ca="1" si="768"/>
        <v>0</v>
      </c>
      <c r="DJ981" s="824">
        <f t="shared" ca="1" si="726"/>
        <v>0</v>
      </c>
      <c r="DK981" s="824">
        <f t="shared" ca="1" si="726"/>
        <v>0</v>
      </c>
      <c r="DL981" s="824">
        <f t="shared" ca="1" si="726"/>
        <v>0</v>
      </c>
    </row>
    <row r="982" spans="2:116" ht="12" thickBot="1" x14ac:dyDescent="0.3">
      <c r="B982" s="1673"/>
      <c r="C982" s="1680"/>
      <c r="D982" s="15" t="s">
        <v>15</v>
      </c>
      <c r="E982" s="165"/>
      <c r="F982" s="116">
        <f ca="1">SUBTOTAL(109,'3.5 I&amp;W'!$X$198)</f>
        <v>0</v>
      </c>
      <c r="G982" s="116">
        <f ca="1">SUBTOTAL(109,'3.5 I&amp;W'!$Y$198)</f>
        <v>0</v>
      </c>
      <c r="H982" s="116">
        <f ca="1">SUBTOTAL(109,'3.5 I&amp;W'!$AD$198)</f>
        <v>0</v>
      </c>
      <c r="I982" s="116">
        <f ca="1">SUBTOTAL(109,'3.5 I&amp;W'!$AE$198)</f>
        <v>0</v>
      </c>
      <c r="J982" s="116"/>
      <c r="K982" s="116"/>
      <c r="L982" s="116"/>
      <c r="M982" s="116">
        <f ca="1">SUBTOTAL(109,'3.5 I&amp;W'!$AI$198)</f>
        <v>0</v>
      </c>
      <c r="N982" s="156">
        <f t="shared" ca="1" si="751"/>
        <v>0</v>
      </c>
      <c r="O982" s="116">
        <f ca="1">SUBTOTAL(109,'3.5 I&amp;W'!$S$198)</f>
        <v>0</v>
      </c>
      <c r="P982" s="30">
        <f t="shared" ca="1" si="741"/>
        <v>0</v>
      </c>
      <c r="Q982" s="31">
        <f t="shared" ca="1" si="742"/>
        <v>0</v>
      </c>
      <c r="R982" s="31">
        <f t="shared" ca="1" si="743"/>
        <v>0</v>
      </c>
      <c r="S982" s="31">
        <f t="shared" ca="1" si="744"/>
        <v>0</v>
      </c>
      <c r="T982" s="32">
        <f t="shared" ca="1" si="745"/>
        <v>0</v>
      </c>
      <c r="U982" s="37">
        <f t="shared" ca="1" si="764"/>
        <v>0</v>
      </c>
      <c r="V982" s="40">
        <f t="shared" ca="1" si="746"/>
        <v>0</v>
      </c>
      <c r="W982" s="41">
        <f t="shared" ca="1" si="747"/>
        <v>0</v>
      </c>
      <c r="X982" s="43"/>
      <c r="Y982" s="46"/>
      <c r="Z982" s="126"/>
      <c r="AA982" s="136"/>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824">
        <f t="shared" ca="1" si="748"/>
        <v>0</v>
      </c>
      <c r="BM982" s="824">
        <f t="shared" ca="1" si="749"/>
        <v>0</v>
      </c>
      <c r="BN982" s="824">
        <f t="shared" ca="1" si="750"/>
        <v>0</v>
      </c>
      <c r="BO982" s="824">
        <f t="shared" ca="1" si="766"/>
        <v>0</v>
      </c>
      <c r="BP982" s="824">
        <f t="shared" ca="1" si="766"/>
        <v>0</v>
      </c>
      <c r="BQ982" s="824">
        <f t="shared" ca="1" si="766"/>
        <v>0</v>
      </c>
      <c r="BR982" s="824">
        <f t="shared" ca="1" si="766"/>
        <v>0</v>
      </c>
      <c r="BS982" s="824">
        <f t="shared" ca="1" si="766"/>
        <v>0</v>
      </c>
      <c r="BT982" s="824">
        <f t="shared" ca="1" si="766"/>
        <v>0</v>
      </c>
      <c r="BU982" s="824">
        <f t="shared" ca="1" si="766"/>
        <v>0</v>
      </c>
      <c r="BV982" s="824">
        <f t="shared" ca="1" si="766"/>
        <v>0</v>
      </c>
      <c r="BW982" s="824">
        <f t="shared" ca="1" si="766"/>
        <v>0</v>
      </c>
      <c r="BX982" s="824">
        <f t="shared" ca="1" si="766"/>
        <v>0</v>
      </c>
      <c r="BY982" s="824">
        <f t="shared" ca="1" si="766"/>
        <v>0</v>
      </c>
      <c r="BZ982" s="824">
        <f t="shared" ca="1" si="766"/>
        <v>0</v>
      </c>
      <c r="CA982" s="824">
        <f t="shared" ca="1" si="766"/>
        <v>0</v>
      </c>
      <c r="CB982" s="824">
        <f t="shared" ca="1" si="766"/>
        <v>0</v>
      </c>
      <c r="CC982" s="824">
        <f t="shared" ca="1" si="766"/>
        <v>0</v>
      </c>
      <c r="CD982" s="824">
        <f t="shared" ca="1" si="766"/>
        <v>0</v>
      </c>
      <c r="CE982" s="824">
        <f t="shared" ca="1" si="765"/>
        <v>0</v>
      </c>
      <c r="CF982" s="824">
        <f t="shared" ca="1" si="765"/>
        <v>0</v>
      </c>
      <c r="CG982" s="824">
        <f t="shared" ca="1" si="765"/>
        <v>0</v>
      </c>
      <c r="CH982" s="824">
        <f t="shared" ca="1" si="765"/>
        <v>0</v>
      </c>
      <c r="CI982" s="824">
        <f t="shared" ca="1" si="765"/>
        <v>0</v>
      </c>
      <c r="CJ982" s="824">
        <f t="shared" ca="1" si="765"/>
        <v>0</v>
      </c>
      <c r="CK982" s="824">
        <f t="shared" ca="1" si="765"/>
        <v>0</v>
      </c>
      <c r="CL982" s="824">
        <f t="shared" ca="1" si="765"/>
        <v>0</v>
      </c>
      <c r="CM982" s="824">
        <f t="shared" ca="1" si="765"/>
        <v>0</v>
      </c>
      <c r="CN982" s="824">
        <f t="shared" ca="1" si="765"/>
        <v>0</v>
      </c>
      <c r="CO982" s="824">
        <f t="shared" ca="1" si="765"/>
        <v>0</v>
      </c>
      <c r="CP982" s="824">
        <f t="shared" ca="1" si="765"/>
        <v>0</v>
      </c>
      <c r="CQ982" s="824">
        <f t="shared" ca="1" si="765"/>
        <v>0</v>
      </c>
      <c r="CR982" s="824">
        <f t="shared" ca="1" si="765"/>
        <v>0</v>
      </c>
      <c r="CS982" s="824">
        <f t="shared" ca="1" si="765"/>
        <v>0</v>
      </c>
      <c r="CT982" s="824">
        <f t="shared" ca="1" si="768"/>
        <v>0</v>
      </c>
      <c r="CU982" s="824">
        <f t="shared" ca="1" si="768"/>
        <v>0</v>
      </c>
      <c r="CV982" s="824">
        <f t="shared" ca="1" si="768"/>
        <v>0</v>
      </c>
      <c r="CW982" s="824">
        <f t="shared" ca="1" si="768"/>
        <v>0</v>
      </c>
      <c r="CX982" s="824">
        <f t="shared" ca="1" si="768"/>
        <v>0</v>
      </c>
      <c r="CY982" s="824">
        <f t="shared" ca="1" si="768"/>
        <v>0</v>
      </c>
      <c r="CZ982" s="824">
        <f t="shared" ca="1" si="768"/>
        <v>0</v>
      </c>
      <c r="DA982" s="824">
        <f t="shared" ca="1" si="768"/>
        <v>0</v>
      </c>
      <c r="DB982" s="824">
        <f t="shared" ca="1" si="768"/>
        <v>0</v>
      </c>
      <c r="DC982" s="824">
        <f t="shared" ca="1" si="768"/>
        <v>0</v>
      </c>
      <c r="DD982" s="824">
        <f t="shared" ca="1" si="768"/>
        <v>0</v>
      </c>
      <c r="DE982" s="824">
        <f t="shared" ca="1" si="768"/>
        <v>0</v>
      </c>
      <c r="DF982" s="824">
        <f t="shared" ca="1" si="768"/>
        <v>0</v>
      </c>
      <c r="DG982" s="824">
        <f t="shared" ca="1" si="768"/>
        <v>0</v>
      </c>
      <c r="DH982" s="824">
        <f t="shared" ca="1" si="768"/>
        <v>0</v>
      </c>
      <c r="DI982" s="824">
        <f t="shared" ca="1" si="768"/>
        <v>0</v>
      </c>
      <c r="DJ982" s="824">
        <f t="shared" ca="1" si="726"/>
        <v>0</v>
      </c>
      <c r="DK982" s="824">
        <f t="shared" ca="1" si="726"/>
        <v>0</v>
      </c>
      <c r="DL982" s="824">
        <f t="shared" ca="1" si="726"/>
        <v>0</v>
      </c>
    </row>
    <row r="983" spans="2:116" ht="12" thickBot="1" x14ac:dyDescent="0.3">
      <c r="B983" s="1673"/>
      <c r="C983" s="1680"/>
      <c r="D983" s="15" t="s">
        <v>15</v>
      </c>
      <c r="E983" s="116"/>
      <c r="F983" s="116">
        <f ca="1">SUBTOTAL(109,'3.5 I&amp;W'!$X$199)</f>
        <v>0</v>
      </c>
      <c r="G983" s="116">
        <f ca="1">SUBTOTAL(109,'3.5 I&amp;W'!$Y$199)</f>
        <v>0</v>
      </c>
      <c r="H983" s="116">
        <f ca="1">SUBTOTAL(109,'3.5 I&amp;W'!$AD$199)</f>
        <v>0</v>
      </c>
      <c r="I983" s="116">
        <f ca="1">SUBTOTAL(109,'3.5 I&amp;W'!$AE$199)</f>
        <v>0</v>
      </c>
      <c r="J983" s="116"/>
      <c r="K983" s="116"/>
      <c r="L983" s="116"/>
      <c r="M983" s="116">
        <f ca="1">SUBTOTAL(109,'3.5 I&amp;W'!$AI$199)</f>
        <v>0</v>
      </c>
      <c r="N983" s="156">
        <f t="shared" ca="1" si="751"/>
        <v>0</v>
      </c>
      <c r="O983" s="116">
        <f ca="1">SUBTOTAL(109,'3.5 I&amp;W'!$S$199)</f>
        <v>0</v>
      </c>
      <c r="P983" s="30">
        <f t="shared" ca="1" si="741"/>
        <v>0</v>
      </c>
      <c r="Q983" s="31">
        <f t="shared" ca="1" si="742"/>
        <v>0</v>
      </c>
      <c r="R983" s="31">
        <f t="shared" ca="1" si="743"/>
        <v>0</v>
      </c>
      <c r="S983" s="31">
        <f t="shared" ca="1" si="744"/>
        <v>0</v>
      </c>
      <c r="T983" s="32">
        <f t="shared" ca="1" si="745"/>
        <v>0</v>
      </c>
      <c r="U983" s="37">
        <f t="shared" ca="1" si="764"/>
        <v>0</v>
      </c>
      <c r="V983" s="40">
        <f t="shared" ca="1" si="746"/>
        <v>0</v>
      </c>
      <c r="W983" s="41">
        <f t="shared" ca="1" si="747"/>
        <v>0</v>
      </c>
      <c r="X983" s="43"/>
      <c r="Y983" s="46"/>
      <c r="Z983" s="126"/>
      <c r="AA983" s="136"/>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824">
        <f t="shared" ca="1" si="748"/>
        <v>0</v>
      </c>
      <c r="BM983" s="824">
        <f t="shared" ca="1" si="749"/>
        <v>0</v>
      </c>
      <c r="BN983" s="824">
        <f t="shared" ca="1" si="750"/>
        <v>0</v>
      </c>
      <c r="BO983" s="824">
        <f t="shared" ca="1" si="766"/>
        <v>0</v>
      </c>
      <c r="BP983" s="824">
        <f t="shared" ca="1" si="766"/>
        <v>0</v>
      </c>
      <c r="BQ983" s="824">
        <f t="shared" ca="1" si="766"/>
        <v>0</v>
      </c>
      <c r="BR983" s="824">
        <f t="shared" ca="1" si="766"/>
        <v>0</v>
      </c>
      <c r="BS983" s="824">
        <f t="shared" ca="1" si="766"/>
        <v>0</v>
      </c>
      <c r="BT983" s="824">
        <f t="shared" ca="1" si="766"/>
        <v>0</v>
      </c>
      <c r="BU983" s="824">
        <f t="shared" ca="1" si="766"/>
        <v>0</v>
      </c>
      <c r="BV983" s="824">
        <f t="shared" ca="1" si="766"/>
        <v>0</v>
      </c>
      <c r="BW983" s="824">
        <f t="shared" ca="1" si="766"/>
        <v>0</v>
      </c>
      <c r="BX983" s="824">
        <f t="shared" ca="1" si="766"/>
        <v>0</v>
      </c>
      <c r="BY983" s="824">
        <f t="shared" ca="1" si="766"/>
        <v>0</v>
      </c>
      <c r="BZ983" s="824">
        <f t="shared" ca="1" si="766"/>
        <v>0</v>
      </c>
      <c r="CA983" s="824">
        <f t="shared" ca="1" si="766"/>
        <v>0</v>
      </c>
      <c r="CB983" s="824">
        <f t="shared" ca="1" si="766"/>
        <v>0</v>
      </c>
      <c r="CC983" s="824">
        <f t="shared" ca="1" si="766"/>
        <v>0</v>
      </c>
      <c r="CD983" s="824">
        <f t="shared" ca="1" si="766"/>
        <v>0</v>
      </c>
      <c r="CE983" s="824">
        <f t="shared" ca="1" si="765"/>
        <v>0</v>
      </c>
      <c r="CF983" s="824">
        <f t="shared" ca="1" si="765"/>
        <v>0</v>
      </c>
      <c r="CG983" s="824">
        <f t="shared" ca="1" si="765"/>
        <v>0</v>
      </c>
      <c r="CH983" s="824">
        <f t="shared" ca="1" si="765"/>
        <v>0</v>
      </c>
      <c r="CI983" s="824">
        <f t="shared" ca="1" si="765"/>
        <v>0</v>
      </c>
      <c r="CJ983" s="824">
        <f t="shared" ca="1" si="765"/>
        <v>0</v>
      </c>
      <c r="CK983" s="824">
        <f t="shared" ca="1" si="765"/>
        <v>0</v>
      </c>
      <c r="CL983" s="824">
        <f t="shared" ca="1" si="765"/>
        <v>0</v>
      </c>
      <c r="CM983" s="824">
        <f t="shared" ca="1" si="765"/>
        <v>0</v>
      </c>
      <c r="CN983" s="824">
        <f t="shared" ca="1" si="765"/>
        <v>0</v>
      </c>
      <c r="CO983" s="824">
        <f t="shared" ca="1" si="765"/>
        <v>0</v>
      </c>
      <c r="CP983" s="824">
        <f t="shared" ca="1" si="765"/>
        <v>0</v>
      </c>
      <c r="CQ983" s="824">
        <f t="shared" ca="1" si="765"/>
        <v>0</v>
      </c>
      <c r="CR983" s="824">
        <f t="shared" ca="1" si="765"/>
        <v>0</v>
      </c>
      <c r="CS983" s="824">
        <f t="shared" ca="1" si="765"/>
        <v>0</v>
      </c>
      <c r="CT983" s="824">
        <f t="shared" ca="1" si="768"/>
        <v>0</v>
      </c>
      <c r="CU983" s="824">
        <f t="shared" ca="1" si="768"/>
        <v>0</v>
      </c>
      <c r="CV983" s="824">
        <f t="shared" ca="1" si="768"/>
        <v>0</v>
      </c>
      <c r="CW983" s="824">
        <f t="shared" ca="1" si="768"/>
        <v>0</v>
      </c>
      <c r="CX983" s="824">
        <f t="shared" ca="1" si="768"/>
        <v>0</v>
      </c>
      <c r="CY983" s="824">
        <f t="shared" ca="1" si="768"/>
        <v>0</v>
      </c>
      <c r="CZ983" s="824">
        <f t="shared" ca="1" si="768"/>
        <v>0</v>
      </c>
      <c r="DA983" s="824">
        <f t="shared" ca="1" si="768"/>
        <v>0</v>
      </c>
      <c r="DB983" s="824">
        <f t="shared" ca="1" si="768"/>
        <v>0</v>
      </c>
      <c r="DC983" s="824">
        <f t="shared" ca="1" si="768"/>
        <v>0</v>
      </c>
      <c r="DD983" s="824">
        <f t="shared" ca="1" si="768"/>
        <v>0</v>
      </c>
      <c r="DE983" s="824">
        <f t="shared" ca="1" si="768"/>
        <v>0</v>
      </c>
      <c r="DF983" s="824">
        <f t="shared" ca="1" si="768"/>
        <v>0</v>
      </c>
      <c r="DG983" s="824">
        <f t="shared" ca="1" si="768"/>
        <v>0</v>
      </c>
      <c r="DH983" s="824">
        <f t="shared" ca="1" si="768"/>
        <v>0</v>
      </c>
      <c r="DI983" s="824">
        <f t="shared" ca="1" si="768"/>
        <v>0</v>
      </c>
      <c r="DJ983" s="824">
        <f t="shared" ca="1" si="726"/>
        <v>0</v>
      </c>
      <c r="DK983" s="824">
        <f t="shared" ca="1" si="726"/>
        <v>0</v>
      </c>
      <c r="DL983" s="824">
        <f t="shared" ca="1" si="726"/>
        <v>0</v>
      </c>
    </row>
    <row r="984" spans="2:116" ht="12" thickBot="1" x14ac:dyDescent="0.3">
      <c r="B984" s="1673"/>
      <c r="C984" s="1680"/>
      <c r="D984" s="15" t="s">
        <v>15</v>
      </c>
      <c r="E984" s="165"/>
      <c r="F984" s="116">
        <f ca="1">SUBTOTAL(109,'3.5 I&amp;W'!$X$200)</f>
        <v>0</v>
      </c>
      <c r="G984" s="116">
        <f ca="1">SUBTOTAL(109,'3.5 I&amp;W'!$Y$200)</f>
        <v>0</v>
      </c>
      <c r="H984" s="116">
        <f ca="1">SUBTOTAL(109,'3.5 I&amp;W'!$AD$200)</f>
        <v>0</v>
      </c>
      <c r="I984" s="116">
        <f ca="1">SUBTOTAL(109,'3.5 I&amp;W'!$AE$200)</f>
        <v>0</v>
      </c>
      <c r="J984" s="116"/>
      <c r="K984" s="116"/>
      <c r="L984" s="116"/>
      <c r="M984" s="116">
        <f ca="1">SUBTOTAL(109,'3.5 I&amp;W'!$AI$200)</f>
        <v>0</v>
      </c>
      <c r="N984" s="156">
        <f t="shared" ca="1" si="751"/>
        <v>0</v>
      </c>
      <c r="O984" s="116">
        <f ca="1">SUBTOTAL(109,'3.5 I&amp;W'!$S$200)</f>
        <v>0</v>
      </c>
      <c r="P984" s="30">
        <f t="shared" ca="1" si="741"/>
        <v>0</v>
      </c>
      <c r="Q984" s="31">
        <f t="shared" ca="1" si="742"/>
        <v>0</v>
      </c>
      <c r="R984" s="31">
        <f t="shared" ca="1" si="743"/>
        <v>0</v>
      </c>
      <c r="S984" s="31">
        <f t="shared" ca="1" si="744"/>
        <v>0</v>
      </c>
      <c r="T984" s="32">
        <f t="shared" ca="1" si="745"/>
        <v>0</v>
      </c>
      <c r="U984" s="37">
        <f t="shared" ca="1" si="764"/>
        <v>0</v>
      </c>
      <c r="V984" s="40">
        <f t="shared" ca="1" si="746"/>
        <v>0</v>
      </c>
      <c r="W984" s="41">
        <f t="shared" ca="1" si="747"/>
        <v>0</v>
      </c>
      <c r="X984" s="43"/>
      <c r="Y984" s="46"/>
      <c r="Z984" s="126"/>
      <c r="AA984" s="136"/>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824">
        <f t="shared" ca="1" si="748"/>
        <v>0</v>
      </c>
      <c r="BM984" s="824">
        <f t="shared" ca="1" si="749"/>
        <v>0</v>
      </c>
      <c r="BN984" s="824">
        <f t="shared" ca="1" si="750"/>
        <v>0</v>
      </c>
      <c r="BO984" s="824">
        <f t="shared" ca="1" si="766"/>
        <v>0</v>
      </c>
      <c r="BP984" s="824">
        <f t="shared" ca="1" si="766"/>
        <v>0</v>
      </c>
      <c r="BQ984" s="824">
        <f t="shared" ca="1" si="766"/>
        <v>0</v>
      </c>
      <c r="BR984" s="824">
        <f t="shared" ca="1" si="766"/>
        <v>0</v>
      </c>
      <c r="BS984" s="824">
        <f t="shared" ca="1" si="766"/>
        <v>0</v>
      </c>
      <c r="BT984" s="824">
        <f t="shared" ca="1" si="766"/>
        <v>0</v>
      </c>
      <c r="BU984" s="824">
        <f t="shared" ca="1" si="766"/>
        <v>0</v>
      </c>
      <c r="BV984" s="824">
        <f t="shared" ca="1" si="766"/>
        <v>0</v>
      </c>
      <c r="BW984" s="824">
        <f t="shared" ca="1" si="766"/>
        <v>0</v>
      </c>
      <c r="BX984" s="824">
        <f t="shared" ca="1" si="766"/>
        <v>0</v>
      </c>
      <c r="BY984" s="824">
        <f t="shared" ca="1" si="766"/>
        <v>0</v>
      </c>
      <c r="BZ984" s="824">
        <f t="shared" ca="1" si="766"/>
        <v>0</v>
      </c>
      <c r="CA984" s="824">
        <f t="shared" ca="1" si="766"/>
        <v>0</v>
      </c>
      <c r="CB984" s="824">
        <f t="shared" ca="1" si="766"/>
        <v>0</v>
      </c>
      <c r="CC984" s="824">
        <f t="shared" ca="1" si="766"/>
        <v>0</v>
      </c>
      <c r="CD984" s="824">
        <f t="shared" ca="1" si="766"/>
        <v>0</v>
      </c>
      <c r="CE984" s="824">
        <f t="shared" ca="1" si="765"/>
        <v>0</v>
      </c>
      <c r="CF984" s="824">
        <f t="shared" ca="1" si="765"/>
        <v>0</v>
      </c>
      <c r="CG984" s="824">
        <f t="shared" ca="1" si="765"/>
        <v>0</v>
      </c>
      <c r="CH984" s="824">
        <f t="shared" ca="1" si="765"/>
        <v>0</v>
      </c>
      <c r="CI984" s="824">
        <f t="shared" ca="1" si="765"/>
        <v>0</v>
      </c>
      <c r="CJ984" s="824">
        <f t="shared" ca="1" si="765"/>
        <v>0</v>
      </c>
      <c r="CK984" s="824">
        <f t="shared" ca="1" si="765"/>
        <v>0</v>
      </c>
      <c r="CL984" s="824">
        <f t="shared" ca="1" si="765"/>
        <v>0</v>
      </c>
      <c r="CM984" s="824">
        <f t="shared" ca="1" si="765"/>
        <v>0</v>
      </c>
      <c r="CN984" s="824">
        <f t="shared" ca="1" si="765"/>
        <v>0</v>
      </c>
      <c r="CO984" s="824">
        <f t="shared" ca="1" si="765"/>
        <v>0</v>
      </c>
      <c r="CP984" s="824">
        <f t="shared" ca="1" si="765"/>
        <v>0</v>
      </c>
      <c r="CQ984" s="824">
        <f t="shared" ca="1" si="765"/>
        <v>0</v>
      </c>
      <c r="CR984" s="824">
        <f t="shared" ca="1" si="765"/>
        <v>0</v>
      </c>
      <c r="CS984" s="824">
        <f t="shared" ca="1" si="765"/>
        <v>0</v>
      </c>
      <c r="CT984" s="824">
        <f t="shared" ca="1" si="768"/>
        <v>0</v>
      </c>
      <c r="CU984" s="824">
        <f t="shared" ca="1" si="768"/>
        <v>0</v>
      </c>
      <c r="CV984" s="824">
        <f t="shared" ca="1" si="768"/>
        <v>0</v>
      </c>
      <c r="CW984" s="824">
        <f t="shared" ca="1" si="768"/>
        <v>0</v>
      </c>
      <c r="CX984" s="824">
        <f t="shared" ca="1" si="768"/>
        <v>0</v>
      </c>
      <c r="CY984" s="824">
        <f t="shared" ca="1" si="768"/>
        <v>0</v>
      </c>
      <c r="CZ984" s="824">
        <f t="shared" ca="1" si="768"/>
        <v>0</v>
      </c>
      <c r="DA984" s="824">
        <f t="shared" ca="1" si="768"/>
        <v>0</v>
      </c>
      <c r="DB984" s="824">
        <f t="shared" ca="1" si="768"/>
        <v>0</v>
      </c>
      <c r="DC984" s="824">
        <f t="shared" ca="1" si="768"/>
        <v>0</v>
      </c>
      <c r="DD984" s="824">
        <f t="shared" ca="1" si="768"/>
        <v>0</v>
      </c>
      <c r="DE984" s="824">
        <f t="shared" ca="1" si="768"/>
        <v>0</v>
      </c>
      <c r="DF984" s="824">
        <f t="shared" ca="1" si="768"/>
        <v>0</v>
      </c>
      <c r="DG984" s="824">
        <f t="shared" ca="1" si="768"/>
        <v>0</v>
      </c>
      <c r="DH984" s="824">
        <f t="shared" ca="1" si="768"/>
        <v>0</v>
      </c>
      <c r="DI984" s="824">
        <f t="shared" ca="1" si="768"/>
        <v>0</v>
      </c>
      <c r="DJ984" s="824">
        <f t="shared" ca="1" si="726"/>
        <v>0</v>
      </c>
      <c r="DK984" s="824">
        <f t="shared" ca="1" si="726"/>
        <v>0</v>
      </c>
      <c r="DL984" s="824">
        <f t="shared" ca="1" si="726"/>
        <v>0</v>
      </c>
    </row>
    <row r="985" spans="2:116" ht="12" thickBot="1" x14ac:dyDescent="0.3">
      <c r="B985" s="1673"/>
      <c r="C985" s="1680"/>
      <c r="D985" s="15" t="s">
        <v>11</v>
      </c>
      <c r="E985" s="116"/>
      <c r="F985" s="116">
        <f ca="1">SUBTOTAL(109,'3.5 I&amp;W'!$X$207)</f>
        <v>0</v>
      </c>
      <c r="G985" s="116">
        <f ca="1">SUBTOTAL(109,'3.5 I&amp;W'!$Y$207)</f>
        <v>0</v>
      </c>
      <c r="H985" s="116">
        <f ca="1">SUBTOTAL(109,'3.5 I&amp;W'!$AD$207)</f>
        <v>0</v>
      </c>
      <c r="I985" s="116">
        <f ca="1">SUBTOTAL(109,'3.5 I&amp;W'!$AE$207)</f>
        <v>0</v>
      </c>
      <c r="J985" s="116"/>
      <c r="K985" s="116"/>
      <c r="L985" s="116"/>
      <c r="M985" s="116">
        <f ca="1">SUBTOTAL(109,'3.5 I&amp;W'!$AI$207)</f>
        <v>50</v>
      </c>
      <c r="N985" s="156">
        <f t="shared" ca="1" si="751"/>
        <v>0</v>
      </c>
      <c r="O985" s="116">
        <f ca="1">SUBTOTAL(109,'3.5 I&amp;W'!$S$207)</f>
        <v>164110.95600000001</v>
      </c>
      <c r="P985" s="30">
        <f t="shared" ca="1" si="741"/>
        <v>0</v>
      </c>
      <c r="Q985" s="31">
        <f t="shared" ca="1" si="742"/>
        <v>0</v>
      </c>
      <c r="R985" s="31">
        <f t="shared" ca="1" si="743"/>
        <v>0</v>
      </c>
      <c r="S985" s="31">
        <f t="shared" ca="1" si="744"/>
        <v>0</v>
      </c>
      <c r="T985" s="32">
        <f t="shared" ca="1" si="745"/>
        <v>0</v>
      </c>
      <c r="U985" s="37">
        <f t="shared" ca="1" si="764"/>
        <v>24618.002896437796</v>
      </c>
      <c r="V985" s="40">
        <f t="shared" ca="1" si="746"/>
        <v>0</v>
      </c>
      <c r="W985" s="41">
        <f t="shared" ca="1" si="747"/>
        <v>0</v>
      </c>
      <c r="X985" s="43"/>
      <c r="Y985" s="46"/>
      <c r="Z985" s="126"/>
      <c r="AA985" s="136"/>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824">
        <f t="shared" ca="1" si="748"/>
        <v>50</v>
      </c>
      <c r="BM985" s="824">
        <f t="shared" ca="1" si="749"/>
        <v>0</v>
      </c>
      <c r="BN985" s="824">
        <f t="shared" ca="1" si="750"/>
        <v>164110.95600000001</v>
      </c>
      <c r="BO985" s="824">
        <f t="shared" ca="1" si="766"/>
        <v>0</v>
      </c>
      <c r="BP985" s="824">
        <f t="shared" ca="1" si="766"/>
        <v>0</v>
      </c>
      <c r="BQ985" s="824">
        <f t="shared" ca="1" si="766"/>
        <v>0</v>
      </c>
      <c r="BR985" s="824">
        <f t="shared" ca="1" si="766"/>
        <v>0</v>
      </c>
      <c r="BS985" s="824">
        <f t="shared" ca="1" si="766"/>
        <v>0</v>
      </c>
      <c r="BT985" s="824">
        <f t="shared" ca="1" si="766"/>
        <v>0</v>
      </c>
      <c r="BU985" s="824">
        <f t="shared" ca="1" si="766"/>
        <v>0</v>
      </c>
      <c r="BV985" s="824">
        <f t="shared" ca="1" si="766"/>
        <v>0</v>
      </c>
      <c r="BW985" s="824">
        <f t="shared" ca="1" si="766"/>
        <v>0</v>
      </c>
      <c r="BX985" s="824">
        <f t="shared" ca="1" si="766"/>
        <v>0</v>
      </c>
      <c r="BY985" s="824">
        <f t="shared" ca="1" si="766"/>
        <v>0</v>
      </c>
      <c r="BZ985" s="824">
        <f t="shared" ca="1" si="766"/>
        <v>0</v>
      </c>
      <c r="CA985" s="824">
        <f t="shared" ca="1" si="766"/>
        <v>0</v>
      </c>
      <c r="CB985" s="824">
        <f t="shared" ca="1" si="766"/>
        <v>0</v>
      </c>
      <c r="CC985" s="824">
        <f t="shared" ca="1" si="766"/>
        <v>0</v>
      </c>
      <c r="CD985" s="824">
        <f t="shared" ca="1" si="766"/>
        <v>0</v>
      </c>
      <c r="CE985" s="824">
        <f t="shared" ca="1" si="765"/>
        <v>0</v>
      </c>
      <c r="CF985" s="824">
        <f t="shared" ca="1" si="765"/>
        <v>0</v>
      </c>
      <c r="CG985" s="824">
        <f t="shared" ca="1" si="765"/>
        <v>0</v>
      </c>
      <c r="CH985" s="824">
        <f t="shared" ca="1" si="765"/>
        <v>0</v>
      </c>
      <c r="CI985" s="824">
        <f t="shared" ca="1" si="765"/>
        <v>0</v>
      </c>
      <c r="CJ985" s="824">
        <f t="shared" ca="1" si="765"/>
        <v>0</v>
      </c>
      <c r="CK985" s="824">
        <f t="shared" ca="1" si="765"/>
        <v>0</v>
      </c>
      <c r="CL985" s="824">
        <f t="shared" ca="1" si="765"/>
        <v>0</v>
      </c>
      <c r="CM985" s="824">
        <f t="shared" ca="1" si="765"/>
        <v>0</v>
      </c>
      <c r="CN985" s="824">
        <f t="shared" ca="1" si="765"/>
        <v>0</v>
      </c>
      <c r="CO985" s="824">
        <f t="shared" ca="1" si="765"/>
        <v>0</v>
      </c>
      <c r="CP985" s="824">
        <f t="shared" ca="1" si="765"/>
        <v>0</v>
      </c>
      <c r="CQ985" s="824">
        <f t="shared" ca="1" si="765"/>
        <v>0</v>
      </c>
      <c r="CR985" s="824">
        <f t="shared" ca="1" si="765"/>
        <v>0</v>
      </c>
      <c r="CS985" s="824">
        <f t="shared" ca="1" si="765"/>
        <v>0</v>
      </c>
      <c r="CT985" s="824">
        <f t="shared" ca="1" si="768"/>
        <v>0</v>
      </c>
      <c r="CU985" s="824">
        <f t="shared" ca="1" si="768"/>
        <v>0</v>
      </c>
      <c r="CV985" s="824">
        <f t="shared" ca="1" si="768"/>
        <v>0</v>
      </c>
      <c r="CW985" s="824">
        <f t="shared" ca="1" si="768"/>
        <v>0</v>
      </c>
      <c r="CX985" s="824">
        <f t="shared" ca="1" si="768"/>
        <v>0</v>
      </c>
      <c r="CY985" s="824">
        <f t="shared" ca="1" si="768"/>
        <v>0</v>
      </c>
      <c r="CZ985" s="824">
        <f t="shared" ca="1" si="768"/>
        <v>0</v>
      </c>
      <c r="DA985" s="824">
        <f t="shared" ca="1" si="768"/>
        <v>0</v>
      </c>
      <c r="DB985" s="824">
        <f t="shared" ca="1" si="768"/>
        <v>0</v>
      </c>
      <c r="DC985" s="824">
        <f t="shared" ca="1" si="768"/>
        <v>0</v>
      </c>
      <c r="DD985" s="824">
        <f t="shared" ca="1" si="768"/>
        <v>0</v>
      </c>
      <c r="DE985" s="824">
        <f t="shared" ca="1" si="768"/>
        <v>0</v>
      </c>
      <c r="DF985" s="824">
        <f t="shared" ca="1" si="768"/>
        <v>0</v>
      </c>
      <c r="DG985" s="824">
        <f t="shared" ca="1" si="768"/>
        <v>0</v>
      </c>
      <c r="DH985" s="824">
        <f t="shared" ca="1" si="768"/>
        <v>0</v>
      </c>
      <c r="DI985" s="824">
        <f t="shared" ca="1" si="768"/>
        <v>0</v>
      </c>
      <c r="DJ985" s="824">
        <f t="shared" ca="1" si="726"/>
        <v>0</v>
      </c>
      <c r="DK985" s="824">
        <f t="shared" ca="1" si="726"/>
        <v>0</v>
      </c>
      <c r="DL985" s="824">
        <f t="shared" ca="1" si="726"/>
        <v>0</v>
      </c>
    </row>
    <row r="986" spans="2:116" ht="12" thickBot="1" x14ac:dyDescent="0.3">
      <c r="B986" s="1673"/>
      <c r="C986" s="1680"/>
      <c r="D986" s="15" t="s">
        <v>11</v>
      </c>
      <c r="E986" s="165"/>
      <c r="F986" s="116">
        <f ca="1">SUBTOTAL(109,'3.5 I&amp;W'!$X$208)</f>
        <v>0</v>
      </c>
      <c r="G986" s="116">
        <f ca="1">SUBTOTAL(109,'3.5 I&amp;W'!$Y$208)</f>
        <v>0</v>
      </c>
      <c r="H986" s="116">
        <f ca="1">SUBTOTAL(109,'3.5 I&amp;W'!$AD$208)</f>
        <v>0</v>
      </c>
      <c r="I986" s="116">
        <f ca="1">SUBTOTAL(109,'3.5 I&amp;W'!$AE$208)</f>
        <v>0</v>
      </c>
      <c r="J986" s="116"/>
      <c r="K986" s="116"/>
      <c r="L986" s="116"/>
      <c r="M986" s="116">
        <f ca="1">SUBTOTAL(109,'3.5 I&amp;W'!$AI$208)</f>
        <v>0</v>
      </c>
      <c r="N986" s="156">
        <f t="shared" ca="1" si="751"/>
        <v>0</v>
      </c>
      <c r="O986" s="116">
        <f ca="1">SUBTOTAL(109,'3.5 I&amp;W'!$S$208)</f>
        <v>0</v>
      </c>
      <c r="P986" s="30">
        <f t="shared" ca="1" si="741"/>
        <v>0</v>
      </c>
      <c r="Q986" s="31">
        <f t="shared" ca="1" si="742"/>
        <v>0</v>
      </c>
      <c r="R986" s="31">
        <f t="shared" ca="1" si="743"/>
        <v>0</v>
      </c>
      <c r="S986" s="31">
        <f t="shared" ca="1" si="744"/>
        <v>0</v>
      </c>
      <c r="T986" s="32">
        <f t="shared" ca="1" si="745"/>
        <v>0</v>
      </c>
      <c r="U986" s="37">
        <f t="shared" ca="1" si="764"/>
        <v>0</v>
      </c>
      <c r="V986" s="40">
        <f t="shared" ca="1" si="746"/>
        <v>0</v>
      </c>
      <c r="W986" s="41">
        <f t="shared" ca="1" si="747"/>
        <v>0</v>
      </c>
      <c r="X986" s="43"/>
      <c r="Y986" s="46"/>
      <c r="Z986" s="126"/>
      <c r="AA986" s="136"/>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824">
        <f t="shared" ca="1" si="748"/>
        <v>0</v>
      </c>
      <c r="BM986" s="824">
        <f t="shared" ca="1" si="749"/>
        <v>0</v>
      </c>
      <c r="BN986" s="824">
        <f t="shared" ca="1" si="750"/>
        <v>0</v>
      </c>
      <c r="BO986" s="824">
        <f t="shared" ca="1" si="766"/>
        <v>0</v>
      </c>
      <c r="BP986" s="824">
        <f t="shared" ca="1" si="766"/>
        <v>0</v>
      </c>
      <c r="BQ986" s="824">
        <f t="shared" ca="1" si="766"/>
        <v>0</v>
      </c>
      <c r="BR986" s="824">
        <f t="shared" ca="1" si="766"/>
        <v>0</v>
      </c>
      <c r="BS986" s="824">
        <f t="shared" ca="1" si="766"/>
        <v>0</v>
      </c>
      <c r="BT986" s="824">
        <f t="shared" ca="1" si="766"/>
        <v>0</v>
      </c>
      <c r="BU986" s="824">
        <f t="shared" ca="1" si="766"/>
        <v>0</v>
      </c>
      <c r="BV986" s="824">
        <f t="shared" ca="1" si="766"/>
        <v>0</v>
      </c>
      <c r="BW986" s="824">
        <f t="shared" ca="1" si="766"/>
        <v>0</v>
      </c>
      <c r="BX986" s="824">
        <f t="shared" ca="1" si="766"/>
        <v>0</v>
      </c>
      <c r="BY986" s="824">
        <f t="shared" ca="1" si="766"/>
        <v>0</v>
      </c>
      <c r="BZ986" s="824">
        <f t="shared" ca="1" si="766"/>
        <v>0</v>
      </c>
      <c r="CA986" s="824">
        <f t="shared" ca="1" si="766"/>
        <v>0</v>
      </c>
      <c r="CB986" s="824">
        <f t="shared" ca="1" si="766"/>
        <v>0</v>
      </c>
      <c r="CC986" s="824">
        <f t="shared" ca="1" si="766"/>
        <v>0</v>
      </c>
      <c r="CD986" s="824">
        <f t="shared" ca="1" si="766"/>
        <v>0</v>
      </c>
      <c r="CE986" s="824">
        <f t="shared" ca="1" si="765"/>
        <v>0</v>
      </c>
      <c r="CF986" s="824">
        <f t="shared" ca="1" si="765"/>
        <v>0</v>
      </c>
      <c r="CG986" s="824">
        <f t="shared" ca="1" si="765"/>
        <v>0</v>
      </c>
      <c r="CH986" s="824">
        <f t="shared" ca="1" si="765"/>
        <v>0</v>
      </c>
      <c r="CI986" s="824">
        <f t="shared" ca="1" si="765"/>
        <v>0</v>
      </c>
      <c r="CJ986" s="824">
        <f t="shared" ca="1" si="765"/>
        <v>0</v>
      </c>
      <c r="CK986" s="824">
        <f t="shared" ca="1" si="765"/>
        <v>0</v>
      </c>
      <c r="CL986" s="824">
        <f t="shared" ca="1" si="765"/>
        <v>0</v>
      </c>
      <c r="CM986" s="824">
        <f t="shared" ca="1" si="765"/>
        <v>0</v>
      </c>
      <c r="CN986" s="824">
        <f t="shared" ca="1" si="765"/>
        <v>0</v>
      </c>
      <c r="CO986" s="824">
        <f t="shared" ca="1" si="765"/>
        <v>0</v>
      </c>
      <c r="CP986" s="824">
        <f t="shared" ca="1" si="765"/>
        <v>0</v>
      </c>
      <c r="CQ986" s="824">
        <f t="shared" ca="1" si="765"/>
        <v>0</v>
      </c>
      <c r="CR986" s="824">
        <f t="shared" ca="1" si="765"/>
        <v>0</v>
      </c>
      <c r="CS986" s="824">
        <f t="shared" ca="1" si="765"/>
        <v>0</v>
      </c>
      <c r="CT986" s="824">
        <f t="shared" ca="1" si="768"/>
        <v>0</v>
      </c>
      <c r="CU986" s="824">
        <f t="shared" ca="1" si="768"/>
        <v>0</v>
      </c>
      <c r="CV986" s="824">
        <f t="shared" ca="1" si="768"/>
        <v>0</v>
      </c>
      <c r="CW986" s="824">
        <f t="shared" ca="1" si="768"/>
        <v>0</v>
      </c>
      <c r="CX986" s="824">
        <f t="shared" ca="1" si="768"/>
        <v>0</v>
      </c>
      <c r="CY986" s="824">
        <f t="shared" ca="1" si="768"/>
        <v>0</v>
      </c>
      <c r="CZ986" s="824">
        <f t="shared" ca="1" si="768"/>
        <v>0</v>
      </c>
      <c r="DA986" s="824">
        <f t="shared" ca="1" si="768"/>
        <v>0</v>
      </c>
      <c r="DB986" s="824">
        <f t="shared" ca="1" si="768"/>
        <v>0</v>
      </c>
      <c r="DC986" s="824">
        <f t="shared" ca="1" si="768"/>
        <v>0</v>
      </c>
      <c r="DD986" s="824">
        <f t="shared" ca="1" si="768"/>
        <v>0</v>
      </c>
      <c r="DE986" s="824">
        <f t="shared" ca="1" si="768"/>
        <v>0</v>
      </c>
      <c r="DF986" s="824">
        <f t="shared" ca="1" si="768"/>
        <v>0</v>
      </c>
      <c r="DG986" s="824">
        <f t="shared" ca="1" si="768"/>
        <v>0</v>
      </c>
      <c r="DH986" s="824">
        <f t="shared" ca="1" si="768"/>
        <v>0</v>
      </c>
      <c r="DI986" s="824">
        <f t="shared" ca="1" si="768"/>
        <v>0</v>
      </c>
      <c r="DJ986" s="824">
        <f t="shared" ca="1" si="726"/>
        <v>0</v>
      </c>
      <c r="DK986" s="824">
        <f t="shared" ca="1" si="726"/>
        <v>0</v>
      </c>
      <c r="DL986" s="824">
        <f t="shared" ca="1" si="726"/>
        <v>0</v>
      </c>
    </row>
    <row r="987" spans="2:116" ht="12" thickBot="1" x14ac:dyDescent="0.3">
      <c r="B987" s="1673"/>
      <c r="C987" s="1680"/>
      <c r="D987" s="15" t="s">
        <v>11</v>
      </c>
      <c r="E987" s="116"/>
      <c r="F987" s="116">
        <f ca="1">SUBTOTAL(109,'3.5 I&amp;W'!$X$209)</f>
        <v>0</v>
      </c>
      <c r="G987" s="116">
        <f ca="1">SUBTOTAL(109,'3.5 I&amp;W'!$Y$209)</f>
        <v>0</v>
      </c>
      <c r="H987" s="116">
        <f ca="1">SUBTOTAL(109,'3.5 I&amp;W'!$AD$209)</f>
        <v>0</v>
      </c>
      <c r="I987" s="116">
        <f ca="1">SUBTOTAL(109,'3.5 I&amp;W'!$AE$209)</f>
        <v>0</v>
      </c>
      <c r="J987" s="116"/>
      <c r="K987" s="116"/>
      <c r="L987" s="116"/>
      <c r="M987" s="116">
        <f ca="1">SUBTOTAL(109,'3.5 I&amp;W'!$AI$209)</f>
        <v>0</v>
      </c>
      <c r="N987" s="156">
        <f t="shared" ca="1" si="751"/>
        <v>0</v>
      </c>
      <c r="O987" s="116">
        <f ca="1">SUBTOTAL(109,'3.5 I&amp;W'!$S$209)</f>
        <v>0</v>
      </c>
      <c r="P987" s="30">
        <f t="shared" ca="1" si="741"/>
        <v>0</v>
      </c>
      <c r="Q987" s="31">
        <f t="shared" ca="1" si="742"/>
        <v>0</v>
      </c>
      <c r="R987" s="31">
        <f t="shared" ca="1" si="743"/>
        <v>0</v>
      </c>
      <c r="S987" s="31">
        <f t="shared" ca="1" si="744"/>
        <v>0</v>
      </c>
      <c r="T987" s="32">
        <f t="shared" ca="1" si="745"/>
        <v>0</v>
      </c>
      <c r="U987" s="37">
        <f t="shared" ca="1" si="764"/>
        <v>0</v>
      </c>
      <c r="V987" s="40">
        <f t="shared" ca="1" si="746"/>
        <v>0</v>
      </c>
      <c r="W987" s="41">
        <f t="shared" ca="1" si="747"/>
        <v>0</v>
      </c>
      <c r="X987" s="43"/>
      <c r="Y987" s="46"/>
      <c r="Z987" s="126"/>
      <c r="AA987" s="136"/>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824">
        <f t="shared" ca="1" si="748"/>
        <v>0</v>
      </c>
      <c r="BM987" s="824">
        <f t="shared" ca="1" si="749"/>
        <v>0</v>
      </c>
      <c r="BN987" s="824">
        <f t="shared" ca="1" si="750"/>
        <v>0</v>
      </c>
      <c r="BO987" s="824">
        <f t="shared" ca="1" si="766"/>
        <v>0</v>
      </c>
      <c r="BP987" s="824">
        <f t="shared" ca="1" si="766"/>
        <v>0</v>
      </c>
      <c r="BQ987" s="824">
        <f t="shared" ca="1" si="766"/>
        <v>0</v>
      </c>
      <c r="BR987" s="824">
        <f t="shared" ca="1" si="766"/>
        <v>0</v>
      </c>
      <c r="BS987" s="824">
        <f t="shared" ca="1" si="766"/>
        <v>0</v>
      </c>
      <c r="BT987" s="824">
        <f t="shared" ca="1" si="766"/>
        <v>0</v>
      </c>
      <c r="BU987" s="824">
        <f t="shared" ca="1" si="766"/>
        <v>0</v>
      </c>
      <c r="BV987" s="824">
        <f t="shared" ca="1" si="766"/>
        <v>0</v>
      </c>
      <c r="BW987" s="824">
        <f t="shared" ca="1" si="766"/>
        <v>0</v>
      </c>
      <c r="BX987" s="824">
        <f t="shared" ca="1" si="766"/>
        <v>0</v>
      </c>
      <c r="BY987" s="824">
        <f t="shared" ca="1" si="766"/>
        <v>0</v>
      </c>
      <c r="BZ987" s="824">
        <f t="shared" ca="1" si="766"/>
        <v>0</v>
      </c>
      <c r="CA987" s="824">
        <f t="shared" ca="1" si="766"/>
        <v>0</v>
      </c>
      <c r="CB987" s="824">
        <f t="shared" ca="1" si="766"/>
        <v>0</v>
      </c>
      <c r="CC987" s="824">
        <f t="shared" ca="1" si="766"/>
        <v>0</v>
      </c>
      <c r="CD987" s="824">
        <f t="shared" ca="1" si="766"/>
        <v>0</v>
      </c>
      <c r="CE987" s="824">
        <f t="shared" ca="1" si="765"/>
        <v>0</v>
      </c>
      <c r="CF987" s="824">
        <f t="shared" ca="1" si="765"/>
        <v>0</v>
      </c>
      <c r="CG987" s="824">
        <f t="shared" ca="1" si="765"/>
        <v>0</v>
      </c>
      <c r="CH987" s="824">
        <f t="shared" ca="1" si="765"/>
        <v>0</v>
      </c>
      <c r="CI987" s="824">
        <f t="shared" ca="1" si="765"/>
        <v>0</v>
      </c>
      <c r="CJ987" s="824">
        <f t="shared" ca="1" si="765"/>
        <v>0</v>
      </c>
      <c r="CK987" s="824">
        <f t="shared" ca="1" si="765"/>
        <v>0</v>
      </c>
      <c r="CL987" s="824">
        <f t="shared" ca="1" si="765"/>
        <v>0</v>
      </c>
      <c r="CM987" s="824">
        <f t="shared" ca="1" si="765"/>
        <v>0</v>
      </c>
      <c r="CN987" s="824">
        <f t="shared" ca="1" si="765"/>
        <v>0</v>
      </c>
      <c r="CO987" s="824">
        <f t="shared" ca="1" si="765"/>
        <v>0</v>
      </c>
      <c r="CP987" s="824">
        <f t="shared" ca="1" si="765"/>
        <v>0</v>
      </c>
      <c r="CQ987" s="824">
        <f t="shared" ca="1" si="765"/>
        <v>0</v>
      </c>
      <c r="CR987" s="824">
        <f t="shared" ca="1" si="765"/>
        <v>0</v>
      </c>
      <c r="CS987" s="824">
        <f t="shared" ca="1" si="765"/>
        <v>0</v>
      </c>
      <c r="CT987" s="824">
        <f t="shared" ca="1" si="768"/>
        <v>0</v>
      </c>
      <c r="CU987" s="824">
        <f t="shared" ca="1" si="768"/>
        <v>0</v>
      </c>
      <c r="CV987" s="824">
        <f t="shared" ca="1" si="768"/>
        <v>0</v>
      </c>
      <c r="CW987" s="824">
        <f t="shared" ca="1" si="768"/>
        <v>0</v>
      </c>
      <c r="CX987" s="824">
        <f t="shared" ca="1" si="768"/>
        <v>0</v>
      </c>
      <c r="CY987" s="824">
        <f t="shared" ca="1" si="768"/>
        <v>0</v>
      </c>
      <c r="CZ987" s="824">
        <f t="shared" ca="1" si="768"/>
        <v>0</v>
      </c>
      <c r="DA987" s="824">
        <f t="shared" ca="1" si="768"/>
        <v>0</v>
      </c>
      <c r="DB987" s="824">
        <f t="shared" ca="1" si="768"/>
        <v>0</v>
      </c>
      <c r="DC987" s="824">
        <f t="shared" ca="1" si="768"/>
        <v>0</v>
      </c>
      <c r="DD987" s="824">
        <f t="shared" ca="1" si="768"/>
        <v>0</v>
      </c>
      <c r="DE987" s="824">
        <f t="shared" ca="1" si="768"/>
        <v>0</v>
      </c>
      <c r="DF987" s="824">
        <f t="shared" ca="1" si="768"/>
        <v>0</v>
      </c>
      <c r="DG987" s="824">
        <f t="shared" ca="1" si="768"/>
        <v>0</v>
      </c>
      <c r="DH987" s="824">
        <f t="shared" ca="1" si="768"/>
        <v>0</v>
      </c>
      <c r="DI987" s="824">
        <f t="shared" ca="1" si="768"/>
        <v>0</v>
      </c>
      <c r="DJ987" s="824">
        <f t="shared" ca="1" si="726"/>
        <v>0</v>
      </c>
      <c r="DK987" s="824">
        <f t="shared" ca="1" si="726"/>
        <v>0</v>
      </c>
      <c r="DL987" s="824">
        <f t="shared" ca="1" si="726"/>
        <v>0</v>
      </c>
    </row>
    <row r="988" spans="2:116" ht="12" thickBot="1" x14ac:dyDescent="0.3">
      <c r="B988" s="1673"/>
      <c r="C988" s="1680"/>
      <c r="D988" s="15" t="s">
        <v>11</v>
      </c>
      <c r="E988" s="165"/>
      <c r="F988" s="116">
        <f ca="1">SUBTOTAL(109,'3.5 I&amp;W'!$X$210)</f>
        <v>0</v>
      </c>
      <c r="G988" s="116">
        <f ca="1">SUBTOTAL(109,'3.5 I&amp;W'!$Y$210)</f>
        <v>0</v>
      </c>
      <c r="H988" s="116">
        <f ca="1">SUBTOTAL(109,'3.5 I&amp;W'!$AD$210)</f>
        <v>0</v>
      </c>
      <c r="I988" s="116">
        <f ca="1">SUBTOTAL(109,'3.5 I&amp;W'!$AE$210)</f>
        <v>0</v>
      </c>
      <c r="J988" s="116"/>
      <c r="K988" s="116"/>
      <c r="L988" s="116"/>
      <c r="M988" s="116">
        <f ca="1">SUBTOTAL(109,'3.5 I&amp;W'!$AI$210)</f>
        <v>0</v>
      </c>
      <c r="N988" s="156">
        <f t="shared" ca="1" si="751"/>
        <v>0</v>
      </c>
      <c r="O988" s="116">
        <f ca="1">SUBTOTAL(109,'3.5 I&amp;W'!$S$210)</f>
        <v>0</v>
      </c>
      <c r="P988" s="30">
        <f t="shared" ca="1" si="741"/>
        <v>0</v>
      </c>
      <c r="Q988" s="31">
        <f t="shared" ca="1" si="742"/>
        <v>0</v>
      </c>
      <c r="R988" s="31">
        <f t="shared" ca="1" si="743"/>
        <v>0</v>
      </c>
      <c r="S988" s="31">
        <f t="shared" ca="1" si="744"/>
        <v>0</v>
      </c>
      <c r="T988" s="32">
        <f t="shared" ca="1" si="745"/>
        <v>0</v>
      </c>
      <c r="U988" s="37">
        <f t="shared" ca="1" si="764"/>
        <v>0</v>
      </c>
      <c r="V988" s="40">
        <f t="shared" ca="1" si="746"/>
        <v>0</v>
      </c>
      <c r="W988" s="41">
        <f t="shared" ca="1" si="747"/>
        <v>0</v>
      </c>
      <c r="X988" s="43"/>
      <c r="Y988" s="46"/>
      <c r="Z988" s="126"/>
      <c r="AA988" s="136"/>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824">
        <f t="shared" ca="1" si="748"/>
        <v>0</v>
      </c>
      <c r="BM988" s="824">
        <f t="shared" ca="1" si="749"/>
        <v>0</v>
      </c>
      <c r="BN988" s="824">
        <f t="shared" ca="1" si="750"/>
        <v>0</v>
      </c>
      <c r="BO988" s="824">
        <f t="shared" ca="1" si="766"/>
        <v>0</v>
      </c>
      <c r="BP988" s="824">
        <f t="shared" ca="1" si="766"/>
        <v>0</v>
      </c>
      <c r="BQ988" s="824">
        <f t="shared" ca="1" si="766"/>
        <v>0</v>
      </c>
      <c r="BR988" s="824">
        <f t="shared" ca="1" si="766"/>
        <v>0</v>
      </c>
      <c r="BS988" s="824">
        <f t="shared" ca="1" si="766"/>
        <v>0</v>
      </c>
      <c r="BT988" s="824">
        <f t="shared" ca="1" si="766"/>
        <v>0</v>
      </c>
      <c r="BU988" s="824">
        <f t="shared" ca="1" si="766"/>
        <v>0</v>
      </c>
      <c r="BV988" s="824">
        <f t="shared" ca="1" si="766"/>
        <v>0</v>
      </c>
      <c r="BW988" s="824">
        <f t="shared" ca="1" si="766"/>
        <v>0</v>
      </c>
      <c r="BX988" s="824">
        <f t="shared" ca="1" si="766"/>
        <v>0</v>
      </c>
      <c r="BY988" s="824">
        <f t="shared" ca="1" si="766"/>
        <v>0</v>
      </c>
      <c r="BZ988" s="824">
        <f t="shared" ca="1" si="766"/>
        <v>0</v>
      </c>
      <c r="CA988" s="824">
        <f t="shared" ca="1" si="766"/>
        <v>0</v>
      </c>
      <c r="CB988" s="824">
        <f t="shared" ca="1" si="766"/>
        <v>0</v>
      </c>
      <c r="CC988" s="824">
        <f t="shared" ca="1" si="766"/>
        <v>0</v>
      </c>
      <c r="CD988" s="824">
        <f t="shared" ca="1" si="766"/>
        <v>0</v>
      </c>
      <c r="CE988" s="824">
        <f t="shared" ca="1" si="765"/>
        <v>0</v>
      </c>
      <c r="CF988" s="824">
        <f t="shared" ca="1" si="765"/>
        <v>0</v>
      </c>
      <c r="CG988" s="824">
        <f t="shared" ca="1" si="765"/>
        <v>0</v>
      </c>
      <c r="CH988" s="824">
        <f t="shared" ca="1" si="765"/>
        <v>0</v>
      </c>
      <c r="CI988" s="824">
        <f t="shared" ca="1" si="765"/>
        <v>0</v>
      </c>
      <c r="CJ988" s="824">
        <f t="shared" ca="1" si="765"/>
        <v>0</v>
      </c>
      <c r="CK988" s="824">
        <f t="shared" ca="1" si="765"/>
        <v>0</v>
      </c>
      <c r="CL988" s="824">
        <f t="shared" ca="1" si="765"/>
        <v>0</v>
      </c>
      <c r="CM988" s="824">
        <f t="shared" ca="1" si="765"/>
        <v>0</v>
      </c>
      <c r="CN988" s="824">
        <f t="shared" ca="1" si="765"/>
        <v>0</v>
      </c>
      <c r="CO988" s="824">
        <f t="shared" ca="1" si="765"/>
        <v>0</v>
      </c>
      <c r="CP988" s="824">
        <f t="shared" ca="1" si="765"/>
        <v>0</v>
      </c>
      <c r="CQ988" s="824">
        <f t="shared" ca="1" si="765"/>
        <v>0</v>
      </c>
      <c r="CR988" s="824">
        <f t="shared" ca="1" si="765"/>
        <v>0</v>
      </c>
      <c r="CS988" s="824">
        <f t="shared" ca="1" si="765"/>
        <v>0</v>
      </c>
      <c r="CT988" s="824">
        <f t="shared" ca="1" si="768"/>
        <v>0</v>
      </c>
      <c r="CU988" s="824">
        <f t="shared" ca="1" si="768"/>
        <v>0</v>
      </c>
      <c r="CV988" s="824">
        <f t="shared" ca="1" si="768"/>
        <v>0</v>
      </c>
      <c r="CW988" s="824">
        <f t="shared" ca="1" si="768"/>
        <v>0</v>
      </c>
      <c r="CX988" s="824">
        <f t="shared" ca="1" si="768"/>
        <v>0</v>
      </c>
      <c r="CY988" s="824">
        <f t="shared" ca="1" si="768"/>
        <v>0</v>
      </c>
      <c r="CZ988" s="824">
        <f t="shared" ca="1" si="768"/>
        <v>0</v>
      </c>
      <c r="DA988" s="824">
        <f t="shared" ca="1" si="768"/>
        <v>0</v>
      </c>
      <c r="DB988" s="824">
        <f t="shared" ca="1" si="768"/>
        <v>0</v>
      </c>
      <c r="DC988" s="824">
        <f t="shared" ca="1" si="768"/>
        <v>0</v>
      </c>
      <c r="DD988" s="824">
        <f t="shared" ca="1" si="768"/>
        <v>0</v>
      </c>
      <c r="DE988" s="824">
        <f t="shared" ca="1" si="768"/>
        <v>0</v>
      </c>
      <c r="DF988" s="824">
        <f t="shared" ca="1" si="768"/>
        <v>0</v>
      </c>
      <c r="DG988" s="824">
        <f t="shared" ca="1" si="768"/>
        <v>0</v>
      </c>
      <c r="DH988" s="824">
        <f t="shared" ca="1" si="768"/>
        <v>0</v>
      </c>
      <c r="DI988" s="824">
        <f t="shared" ca="1" si="768"/>
        <v>0</v>
      </c>
      <c r="DJ988" s="824">
        <f t="shared" ref="DJ988:DL1002" ca="1" si="769">IF(OR(IF($BL988*1&lt;$BL$196,$BL988*1=DJ$198,FALSE),IF($BL988*2&lt;$BL$196,$BL988*2=DJ$198,FALSE),IF($BL988*3&lt;$BL$196,$BL988*3=DJ$198,FALSE),IF($BL988*4&lt;$BL$196,$BL988*4=DJ$198,FALSE),IF($BL988*5&lt;$BL$196,$BL988*5=DJ$198,FALSE)),$BN988*$BM$196^DJ$198,0)</f>
        <v>0</v>
      </c>
      <c r="DK988" s="824">
        <f t="shared" ca="1" si="769"/>
        <v>0</v>
      </c>
      <c r="DL988" s="824">
        <f t="shared" ca="1" si="769"/>
        <v>0</v>
      </c>
    </row>
    <row r="989" spans="2:116" ht="12" thickBot="1" x14ac:dyDescent="0.3">
      <c r="B989" s="1673"/>
      <c r="C989" s="1680"/>
      <c r="D989" s="15" t="s">
        <v>11</v>
      </c>
      <c r="E989" s="116"/>
      <c r="F989" s="116">
        <f ca="1">SUBTOTAL(109,'3.5 I&amp;W'!$X$211)</f>
        <v>0</v>
      </c>
      <c r="G989" s="116">
        <f ca="1">SUBTOTAL(109,'3.5 I&amp;W'!$Y$211)</f>
        <v>0</v>
      </c>
      <c r="H989" s="116">
        <f ca="1">SUBTOTAL(109,'3.5 I&amp;W'!$AD$211)</f>
        <v>0</v>
      </c>
      <c r="I989" s="116">
        <f ca="1">SUBTOTAL(109,'3.5 I&amp;W'!$AE$211)</f>
        <v>0</v>
      </c>
      <c r="J989" s="116"/>
      <c r="K989" s="116"/>
      <c r="L989" s="116"/>
      <c r="M989" s="116">
        <f ca="1">SUBTOTAL(109,'3.5 I&amp;W'!$AI$211)</f>
        <v>0</v>
      </c>
      <c r="N989" s="156">
        <f t="shared" ca="1" si="751"/>
        <v>0</v>
      </c>
      <c r="O989" s="116">
        <f ca="1">SUBTOTAL(109,'3.5 I&amp;W'!$S$211)</f>
        <v>0</v>
      </c>
      <c r="P989" s="30">
        <f t="shared" ca="1" si="741"/>
        <v>0</v>
      </c>
      <c r="Q989" s="31">
        <f t="shared" ca="1" si="742"/>
        <v>0</v>
      </c>
      <c r="R989" s="31">
        <f t="shared" ca="1" si="743"/>
        <v>0</v>
      </c>
      <c r="S989" s="31">
        <f t="shared" ca="1" si="744"/>
        <v>0</v>
      </c>
      <c r="T989" s="32">
        <f t="shared" ca="1" si="745"/>
        <v>0</v>
      </c>
      <c r="U989" s="37">
        <f t="shared" ca="1" si="764"/>
        <v>0</v>
      </c>
      <c r="V989" s="40">
        <f t="shared" ca="1" si="746"/>
        <v>0</v>
      </c>
      <c r="W989" s="41">
        <f t="shared" ca="1" si="747"/>
        <v>0</v>
      </c>
      <c r="X989" s="43"/>
      <c r="Y989" s="46"/>
      <c r="Z989" s="126"/>
      <c r="AA989" s="136"/>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824">
        <f t="shared" ca="1" si="748"/>
        <v>0</v>
      </c>
      <c r="BM989" s="824">
        <f t="shared" ca="1" si="749"/>
        <v>0</v>
      </c>
      <c r="BN989" s="824">
        <f t="shared" ca="1" si="750"/>
        <v>0</v>
      </c>
      <c r="BO989" s="824">
        <f t="shared" ca="1" si="766"/>
        <v>0</v>
      </c>
      <c r="BP989" s="824">
        <f t="shared" ca="1" si="766"/>
        <v>0</v>
      </c>
      <c r="BQ989" s="824">
        <f t="shared" ca="1" si="766"/>
        <v>0</v>
      </c>
      <c r="BR989" s="824">
        <f t="shared" ca="1" si="766"/>
        <v>0</v>
      </c>
      <c r="BS989" s="824">
        <f t="shared" ca="1" si="766"/>
        <v>0</v>
      </c>
      <c r="BT989" s="824">
        <f t="shared" ca="1" si="766"/>
        <v>0</v>
      </c>
      <c r="BU989" s="824">
        <f t="shared" ca="1" si="766"/>
        <v>0</v>
      </c>
      <c r="BV989" s="824">
        <f t="shared" ca="1" si="766"/>
        <v>0</v>
      </c>
      <c r="BW989" s="824">
        <f t="shared" ca="1" si="766"/>
        <v>0</v>
      </c>
      <c r="BX989" s="824">
        <f t="shared" ca="1" si="766"/>
        <v>0</v>
      </c>
      <c r="BY989" s="824">
        <f t="shared" ca="1" si="766"/>
        <v>0</v>
      </c>
      <c r="BZ989" s="824">
        <f t="shared" ca="1" si="766"/>
        <v>0</v>
      </c>
      <c r="CA989" s="824">
        <f t="shared" ca="1" si="766"/>
        <v>0</v>
      </c>
      <c r="CB989" s="824">
        <f t="shared" ca="1" si="766"/>
        <v>0</v>
      </c>
      <c r="CC989" s="824">
        <f t="shared" ca="1" si="766"/>
        <v>0</v>
      </c>
      <c r="CD989" s="824">
        <f t="shared" ca="1" si="766"/>
        <v>0</v>
      </c>
      <c r="CE989" s="824">
        <f t="shared" ca="1" si="765"/>
        <v>0</v>
      </c>
      <c r="CF989" s="824">
        <f t="shared" ca="1" si="765"/>
        <v>0</v>
      </c>
      <c r="CG989" s="824">
        <f t="shared" ca="1" si="765"/>
        <v>0</v>
      </c>
      <c r="CH989" s="824">
        <f t="shared" ca="1" si="765"/>
        <v>0</v>
      </c>
      <c r="CI989" s="824">
        <f t="shared" ca="1" si="765"/>
        <v>0</v>
      </c>
      <c r="CJ989" s="824">
        <f t="shared" ca="1" si="765"/>
        <v>0</v>
      </c>
      <c r="CK989" s="824">
        <f t="shared" ca="1" si="765"/>
        <v>0</v>
      </c>
      <c r="CL989" s="824">
        <f t="shared" ca="1" si="765"/>
        <v>0</v>
      </c>
      <c r="CM989" s="824">
        <f t="shared" ca="1" si="765"/>
        <v>0</v>
      </c>
      <c r="CN989" s="824">
        <f t="shared" ca="1" si="765"/>
        <v>0</v>
      </c>
      <c r="CO989" s="824">
        <f t="shared" ca="1" si="765"/>
        <v>0</v>
      </c>
      <c r="CP989" s="824">
        <f t="shared" ca="1" si="765"/>
        <v>0</v>
      </c>
      <c r="CQ989" s="824">
        <f t="shared" ca="1" si="765"/>
        <v>0</v>
      </c>
      <c r="CR989" s="824">
        <f t="shared" ca="1" si="765"/>
        <v>0</v>
      </c>
      <c r="CS989" s="824">
        <f t="shared" ca="1" si="765"/>
        <v>0</v>
      </c>
      <c r="CT989" s="824">
        <f t="shared" ca="1" si="768"/>
        <v>0</v>
      </c>
      <c r="CU989" s="824">
        <f t="shared" ca="1" si="768"/>
        <v>0</v>
      </c>
      <c r="CV989" s="824">
        <f t="shared" ca="1" si="768"/>
        <v>0</v>
      </c>
      <c r="CW989" s="824">
        <f t="shared" ca="1" si="768"/>
        <v>0</v>
      </c>
      <c r="CX989" s="824">
        <f t="shared" ca="1" si="768"/>
        <v>0</v>
      </c>
      <c r="CY989" s="824">
        <f t="shared" ca="1" si="768"/>
        <v>0</v>
      </c>
      <c r="CZ989" s="824">
        <f t="shared" ca="1" si="768"/>
        <v>0</v>
      </c>
      <c r="DA989" s="824">
        <f t="shared" ca="1" si="768"/>
        <v>0</v>
      </c>
      <c r="DB989" s="824">
        <f t="shared" ca="1" si="768"/>
        <v>0</v>
      </c>
      <c r="DC989" s="824">
        <f t="shared" ca="1" si="768"/>
        <v>0</v>
      </c>
      <c r="DD989" s="824">
        <f t="shared" ca="1" si="768"/>
        <v>0</v>
      </c>
      <c r="DE989" s="824">
        <f t="shared" ca="1" si="768"/>
        <v>0</v>
      </c>
      <c r="DF989" s="824">
        <f t="shared" ca="1" si="768"/>
        <v>0</v>
      </c>
      <c r="DG989" s="824">
        <f t="shared" ca="1" si="768"/>
        <v>0</v>
      </c>
      <c r="DH989" s="824">
        <f t="shared" ca="1" si="768"/>
        <v>0</v>
      </c>
      <c r="DI989" s="824">
        <f t="shared" ca="1" si="768"/>
        <v>0</v>
      </c>
      <c r="DJ989" s="824">
        <f t="shared" ca="1" si="769"/>
        <v>0</v>
      </c>
      <c r="DK989" s="824">
        <f t="shared" ca="1" si="769"/>
        <v>0</v>
      </c>
      <c r="DL989" s="824">
        <f t="shared" ca="1" si="769"/>
        <v>0</v>
      </c>
    </row>
    <row r="990" spans="2:116" ht="12" thickBot="1" x14ac:dyDescent="0.3">
      <c r="B990" s="1673"/>
      <c r="C990" s="1680"/>
      <c r="D990" s="15" t="s">
        <v>265</v>
      </c>
      <c r="E990" s="165"/>
      <c r="F990" s="116">
        <f ca="1">SUBTOTAL(109,'3.5 I&amp;W'!$X$216)</f>
        <v>0</v>
      </c>
      <c r="G990" s="116">
        <f ca="1">SUBTOTAL(109,'3.5 I&amp;W'!$Y$216)</f>
        <v>0</v>
      </c>
      <c r="H990" s="116">
        <f ca="1">SUBTOTAL(109,'3.5 I&amp;W'!$AD$216)</f>
        <v>0</v>
      </c>
      <c r="I990" s="116">
        <f ca="1">SUBTOTAL(109,'3.5 I&amp;W'!$AE$216)</f>
        <v>0</v>
      </c>
      <c r="J990" s="116"/>
      <c r="K990" s="116"/>
      <c r="L990" s="116"/>
      <c r="M990" s="116">
        <f ca="1">SUBTOTAL(109,'3.5 I&amp;W'!$AI$216)</f>
        <v>0</v>
      </c>
      <c r="N990" s="156">
        <f t="shared" ca="1" si="751"/>
        <v>0</v>
      </c>
      <c r="O990" s="116">
        <f ca="1">SUBTOTAL(109,'3.5 I&amp;W'!$S$216)</f>
        <v>0</v>
      </c>
      <c r="P990" s="30">
        <f t="shared" ca="1" si="741"/>
        <v>0</v>
      </c>
      <c r="Q990" s="31">
        <f t="shared" ca="1" si="742"/>
        <v>0</v>
      </c>
      <c r="R990" s="31">
        <f t="shared" ca="1" si="743"/>
        <v>0</v>
      </c>
      <c r="S990" s="31">
        <f t="shared" ca="1" si="744"/>
        <v>0</v>
      </c>
      <c r="T990" s="32">
        <f t="shared" ca="1" si="745"/>
        <v>0</v>
      </c>
      <c r="U990" s="37">
        <f t="shared" ca="1" si="764"/>
        <v>0</v>
      </c>
      <c r="V990" s="40">
        <f t="shared" ca="1" si="746"/>
        <v>0</v>
      </c>
      <c r="W990" s="41">
        <f t="shared" ca="1" si="747"/>
        <v>0</v>
      </c>
      <c r="X990" s="43"/>
      <c r="Y990" s="46"/>
      <c r="Z990" s="126"/>
      <c r="AA990" s="136"/>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824">
        <f t="shared" ca="1" si="748"/>
        <v>0</v>
      </c>
      <c r="BM990" s="824">
        <f t="shared" ca="1" si="749"/>
        <v>0</v>
      </c>
      <c r="BN990" s="824">
        <f t="shared" ca="1" si="750"/>
        <v>0</v>
      </c>
      <c r="BO990" s="824">
        <f t="shared" ca="1" si="766"/>
        <v>0</v>
      </c>
      <c r="BP990" s="824">
        <f t="shared" ca="1" si="766"/>
        <v>0</v>
      </c>
      <c r="BQ990" s="824">
        <f t="shared" ca="1" si="766"/>
        <v>0</v>
      </c>
      <c r="BR990" s="824">
        <f t="shared" ca="1" si="766"/>
        <v>0</v>
      </c>
      <c r="BS990" s="824">
        <f t="shared" ca="1" si="766"/>
        <v>0</v>
      </c>
      <c r="BT990" s="824">
        <f t="shared" ca="1" si="766"/>
        <v>0</v>
      </c>
      <c r="BU990" s="824">
        <f t="shared" ca="1" si="766"/>
        <v>0</v>
      </c>
      <c r="BV990" s="824">
        <f t="shared" ca="1" si="766"/>
        <v>0</v>
      </c>
      <c r="BW990" s="824">
        <f t="shared" ca="1" si="766"/>
        <v>0</v>
      </c>
      <c r="BX990" s="824">
        <f t="shared" ca="1" si="766"/>
        <v>0</v>
      </c>
      <c r="BY990" s="824">
        <f t="shared" ca="1" si="766"/>
        <v>0</v>
      </c>
      <c r="BZ990" s="824">
        <f t="shared" ca="1" si="766"/>
        <v>0</v>
      </c>
      <c r="CA990" s="824">
        <f t="shared" ca="1" si="766"/>
        <v>0</v>
      </c>
      <c r="CB990" s="824">
        <f t="shared" ca="1" si="766"/>
        <v>0</v>
      </c>
      <c r="CC990" s="824">
        <f t="shared" ca="1" si="766"/>
        <v>0</v>
      </c>
      <c r="CD990" s="824">
        <f t="shared" ca="1" si="766"/>
        <v>0</v>
      </c>
      <c r="CE990" s="824">
        <f t="shared" ca="1" si="765"/>
        <v>0</v>
      </c>
      <c r="CF990" s="824">
        <f t="shared" ca="1" si="765"/>
        <v>0</v>
      </c>
      <c r="CG990" s="824">
        <f t="shared" ca="1" si="765"/>
        <v>0</v>
      </c>
      <c r="CH990" s="824">
        <f t="shared" ca="1" si="765"/>
        <v>0</v>
      </c>
      <c r="CI990" s="824">
        <f t="shared" ca="1" si="765"/>
        <v>0</v>
      </c>
      <c r="CJ990" s="824">
        <f t="shared" ca="1" si="765"/>
        <v>0</v>
      </c>
      <c r="CK990" s="824">
        <f t="shared" ca="1" si="765"/>
        <v>0</v>
      </c>
      <c r="CL990" s="824">
        <f t="shared" ca="1" si="765"/>
        <v>0</v>
      </c>
      <c r="CM990" s="824">
        <f t="shared" ca="1" si="765"/>
        <v>0</v>
      </c>
      <c r="CN990" s="824">
        <f t="shared" ca="1" si="765"/>
        <v>0</v>
      </c>
      <c r="CO990" s="824">
        <f t="shared" ca="1" si="765"/>
        <v>0</v>
      </c>
      <c r="CP990" s="824">
        <f t="shared" ca="1" si="765"/>
        <v>0</v>
      </c>
      <c r="CQ990" s="824">
        <f t="shared" ca="1" si="765"/>
        <v>0</v>
      </c>
      <c r="CR990" s="824">
        <f t="shared" ca="1" si="765"/>
        <v>0</v>
      </c>
      <c r="CS990" s="824">
        <f t="shared" ca="1" si="765"/>
        <v>0</v>
      </c>
      <c r="CT990" s="824">
        <f t="shared" ca="1" si="768"/>
        <v>0</v>
      </c>
      <c r="CU990" s="824">
        <f t="shared" ca="1" si="768"/>
        <v>0</v>
      </c>
      <c r="CV990" s="824">
        <f t="shared" ca="1" si="768"/>
        <v>0</v>
      </c>
      <c r="CW990" s="824">
        <f t="shared" ca="1" si="768"/>
        <v>0</v>
      </c>
      <c r="CX990" s="824">
        <f t="shared" ca="1" si="768"/>
        <v>0</v>
      </c>
      <c r="CY990" s="824">
        <f t="shared" ca="1" si="768"/>
        <v>0</v>
      </c>
      <c r="CZ990" s="824">
        <f t="shared" ca="1" si="768"/>
        <v>0</v>
      </c>
      <c r="DA990" s="824">
        <f t="shared" ca="1" si="768"/>
        <v>0</v>
      </c>
      <c r="DB990" s="824">
        <f t="shared" ca="1" si="768"/>
        <v>0</v>
      </c>
      <c r="DC990" s="824">
        <f t="shared" ca="1" si="768"/>
        <v>0</v>
      </c>
      <c r="DD990" s="824">
        <f t="shared" ca="1" si="768"/>
        <v>0</v>
      </c>
      <c r="DE990" s="824">
        <f t="shared" ca="1" si="768"/>
        <v>0</v>
      </c>
      <c r="DF990" s="824">
        <f t="shared" ca="1" si="768"/>
        <v>0</v>
      </c>
      <c r="DG990" s="824">
        <f t="shared" ca="1" si="768"/>
        <v>0</v>
      </c>
      <c r="DH990" s="824">
        <f t="shared" ca="1" si="768"/>
        <v>0</v>
      </c>
      <c r="DI990" s="824">
        <f t="shared" ca="1" si="768"/>
        <v>0</v>
      </c>
      <c r="DJ990" s="824">
        <f t="shared" ca="1" si="769"/>
        <v>0</v>
      </c>
      <c r="DK990" s="824">
        <f t="shared" ca="1" si="769"/>
        <v>0</v>
      </c>
      <c r="DL990" s="824">
        <f t="shared" ca="1" si="769"/>
        <v>0</v>
      </c>
    </row>
    <row r="991" spans="2:116" ht="12" thickBot="1" x14ac:dyDescent="0.3">
      <c r="B991" s="1673"/>
      <c r="C991" s="1680"/>
      <c r="D991" s="15" t="s">
        <v>9</v>
      </c>
      <c r="E991" s="116"/>
      <c r="F991" s="116"/>
      <c r="G991" s="116"/>
      <c r="H991" s="116"/>
      <c r="I991" s="116"/>
      <c r="J991" s="116"/>
      <c r="K991" s="116"/>
      <c r="L991" s="116"/>
      <c r="M991" s="116"/>
      <c r="N991" s="156">
        <f t="shared" si="751"/>
        <v>0</v>
      </c>
      <c r="O991" s="116">
        <f ca="1">SUBTOTAL(109,'3.5 I&amp;W'!$S$220)</f>
        <v>526746</v>
      </c>
      <c r="P991" s="30">
        <f t="shared" si="741"/>
        <v>0</v>
      </c>
      <c r="Q991" s="31">
        <f t="shared" si="742"/>
        <v>0</v>
      </c>
      <c r="R991" s="31">
        <f t="shared" si="743"/>
        <v>0</v>
      </c>
      <c r="S991" s="31">
        <f t="shared" si="744"/>
        <v>0</v>
      </c>
      <c r="T991" s="32">
        <f t="shared" si="745"/>
        <v>0</v>
      </c>
      <c r="U991" s="37">
        <f t="shared" si="764"/>
        <v>0</v>
      </c>
      <c r="V991" s="40">
        <f t="shared" si="746"/>
        <v>0</v>
      </c>
      <c r="W991" s="41">
        <f t="shared" si="747"/>
        <v>0</v>
      </c>
      <c r="X991" s="43"/>
      <c r="Y991" s="46"/>
      <c r="Z991" s="126"/>
      <c r="AA991" s="136"/>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824">
        <f t="shared" si="748"/>
        <v>0</v>
      </c>
      <c r="BM991" s="824">
        <f t="shared" si="749"/>
        <v>0</v>
      </c>
      <c r="BN991" s="824">
        <f t="shared" ca="1" si="750"/>
        <v>526746</v>
      </c>
      <c r="BO991" s="824">
        <f t="shared" si="766"/>
        <v>0</v>
      </c>
      <c r="BP991" s="824">
        <f t="shared" si="766"/>
        <v>0</v>
      </c>
      <c r="BQ991" s="824">
        <f t="shared" si="766"/>
        <v>0</v>
      </c>
      <c r="BR991" s="824">
        <f t="shared" si="766"/>
        <v>0</v>
      </c>
      <c r="BS991" s="824">
        <f t="shared" si="766"/>
        <v>0</v>
      </c>
      <c r="BT991" s="824">
        <f t="shared" si="766"/>
        <v>0</v>
      </c>
      <c r="BU991" s="824">
        <f t="shared" si="766"/>
        <v>0</v>
      </c>
      <c r="BV991" s="824">
        <f t="shared" si="766"/>
        <v>0</v>
      </c>
      <c r="BW991" s="824">
        <f t="shared" si="766"/>
        <v>0</v>
      </c>
      <c r="BX991" s="824">
        <f t="shared" si="766"/>
        <v>0</v>
      </c>
      <c r="BY991" s="824">
        <f t="shared" si="766"/>
        <v>0</v>
      </c>
      <c r="BZ991" s="824">
        <f t="shared" si="766"/>
        <v>0</v>
      </c>
      <c r="CA991" s="824">
        <f t="shared" si="766"/>
        <v>0</v>
      </c>
      <c r="CB991" s="824">
        <f t="shared" si="766"/>
        <v>0</v>
      </c>
      <c r="CC991" s="824">
        <f t="shared" si="766"/>
        <v>0</v>
      </c>
      <c r="CD991" s="824">
        <f t="shared" si="766"/>
        <v>0</v>
      </c>
      <c r="CE991" s="824">
        <f t="shared" si="765"/>
        <v>0</v>
      </c>
      <c r="CF991" s="824">
        <f t="shared" si="765"/>
        <v>0</v>
      </c>
      <c r="CG991" s="824">
        <f t="shared" si="765"/>
        <v>0</v>
      </c>
      <c r="CH991" s="824">
        <f t="shared" si="765"/>
        <v>0</v>
      </c>
      <c r="CI991" s="824">
        <f t="shared" si="765"/>
        <v>0</v>
      </c>
      <c r="CJ991" s="824">
        <f t="shared" si="765"/>
        <v>0</v>
      </c>
      <c r="CK991" s="824">
        <f t="shared" si="765"/>
        <v>0</v>
      </c>
      <c r="CL991" s="824">
        <f t="shared" si="765"/>
        <v>0</v>
      </c>
      <c r="CM991" s="824">
        <f t="shared" si="765"/>
        <v>0</v>
      </c>
      <c r="CN991" s="824">
        <f t="shared" si="765"/>
        <v>0</v>
      </c>
      <c r="CO991" s="824">
        <f t="shared" si="765"/>
        <v>0</v>
      </c>
      <c r="CP991" s="824">
        <f t="shared" si="765"/>
        <v>0</v>
      </c>
      <c r="CQ991" s="824">
        <f t="shared" si="765"/>
        <v>0</v>
      </c>
      <c r="CR991" s="824">
        <f t="shared" si="765"/>
        <v>0</v>
      </c>
      <c r="CS991" s="824">
        <f t="shared" si="765"/>
        <v>0</v>
      </c>
      <c r="CT991" s="824">
        <f t="shared" si="768"/>
        <v>0</v>
      </c>
      <c r="CU991" s="824">
        <f t="shared" si="768"/>
        <v>0</v>
      </c>
      <c r="CV991" s="824">
        <f t="shared" si="768"/>
        <v>0</v>
      </c>
      <c r="CW991" s="824">
        <f t="shared" si="768"/>
        <v>0</v>
      </c>
      <c r="CX991" s="824">
        <f t="shared" si="768"/>
        <v>0</v>
      </c>
      <c r="CY991" s="824">
        <f t="shared" si="768"/>
        <v>0</v>
      </c>
      <c r="CZ991" s="824">
        <f t="shared" si="768"/>
        <v>0</v>
      </c>
      <c r="DA991" s="824">
        <f t="shared" si="768"/>
        <v>0</v>
      </c>
      <c r="DB991" s="824">
        <f t="shared" si="768"/>
        <v>0</v>
      </c>
      <c r="DC991" s="824">
        <f t="shared" si="768"/>
        <v>0</v>
      </c>
      <c r="DD991" s="824">
        <f t="shared" si="768"/>
        <v>0</v>
      </c>
      <c r="DE991" s="824">
        <f t="shared" si="768"/>
        <v>0</v>
      </c>
      <c r="DF991" s="824">
        <f t="shared" si="768"/>
        <v>0</v>
      </c>
      <c r="DG991" s="824">
        <f t="shared" si="768"/>
        <v>0</v>
      </c>
      <c r="DH991" s="824">
        <f t="shared" si="768"/>
        <v>0</v>
      </c>
      <c r="DI991" s="824">
        <f t="shared" si="768"/>
        <v>0</v>
      </c>
      <c r="DJ991" s="824">
        <f t="shared" si="769"/>
        <v>0</v>
      </c>
      <c r="DK991" s="824">
        <f t="shared" si="769"/>
        <v>0</v>
      </c>
      <c r="DL991" s="824">
        <f t="shared" si="769"/>
        <v>0</v>
      </c>
    </row>
    <row r="992" spans="2:116" ht="12" thickBot="1" x14ac:dyDescent="0.3">
      <c r="B992" s="1673"/>
      <c r="C992" s="1680"/>
      <c r="D992" s="15" t="s">
        <v>3</v>
      </c>
      <c r="E992" s="165"/>
      <c r="F992" s="116">
        <f>SUBTOTAL(109,'3.5 I&amp;W'!$X$233)</f>
        <v>0</v>
      </c>
      <c r="G992" s="116">
        <f>SUBTOTAL(109,'3.5 I&amp;W'!$Y$233)</f>
        <v>0</v>
      </c>
      <c r="H992" s="116">
        <f>SUBTOTAL(109,'3.5 I&amp;W'!$AD$233)</f>
        <v>0</v>
      </c>
      <c r="I992" s="116">
        <f>SUBTOTAL(109,'3.5 I&amp;W'!$AE$233)</f>
        <v>0</v>
      </c>
      <c r="J992" s="116"/>
      <c r="K992" s="116"/>
      <c r="L992" s="116"/>
      <c r="M992" s="116">
        <f>SUBTOTAL(109,'3.5 I&amp;W'!$AI$233)</f>
        <v>0</v>
      </c>
      <c r="N992" s="156">
        <f t="shared" si="751"/>
        <v>0</v>
      </c>
      <c r="O992" s="116">
        <f ca="1">SUBTOTAL(109,'3.5 I&amp;W'!$S$233)</f>
        <v>0</v>
      </c>
      <c r="P992" s="30">
        <f t="shared" si="741"/>
        <v>0</v>
      </c>
      <c r="Q992" s="31">
        <f t="shared" si="742"/>
        <v>0</v>
      </c>
      <c r="R992" s="31">
        <f t="shared" si="743"/>
        <v>0</v>
      </c>
      <c r="S992" s="31">
        <f t="shared" si="744"/>
        <v>0</v>
      </c>
      <c r="T992" s="32">
        <f t="shared" si="745"/>
        <v>0</v>
      </c>
      <c r="U992" s="37">
        <f t="shared" si="764"/>
        <v>0</v>
      </c>
      <c r="V992" s="40">
        <f t="shared" si="746"/>
        <v>0</v>
      </c>
      <c r="W992" s="41">
        <f t="shared" si="747"/>
        <v>0</v>
      </c>
      <c r="X992" s="43"/>
      <c r="Y992" s="46"/>
      <c r="Z992" s="126"/>
      <c r="AA992" s="136"/>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824">
        <f t="shared" ref="BL992:BL1002" si="770">M992</f>
        <v>0</v>
      </c>
      <c r="BM992" s="824">
        <f t="shared" ref="BM992:BM1002" si="771">N992</f>
        <v>0</v>
      </c>
      <c r="BN992" s="824">
        <f t="shared" ref="BN992:BN1002" ca="1" si="772">O992</f>
        <v>0</v>
      </c>
      <c r="BO992" s="824">
        <f t="shared" si="766"/>
        <v>0</v>
      </c>
      <c r="BP992" s="824">
        <f t="shared" si="766"/>
        <v>0</v>
      </c>
      <c r="BQ992" s="824">
        <f t="shared" si="766"/>
        <v>0</v>
      </c>
      <c r="BR992" s="824">
        <f t="shared" si="766"/>
        <v>0</v>
      </c>
      <c r="BS992" s="824">
        <f t="shared" si="766"/>
        <v>0</v>
      </c>
      <c r="BT992" s="824">
        <f t="shared" si="766"/>
        <v>0</v>
      </c>
      <c r="BU992" s="824">
        <f t="shared" si="766"/>
        <v>0</v>
      </c>
      <c r="BV992" s="824">
        <f t="shared" si="766"/>
        <v>0</v>
      </c>
      <c r="BW992" s="824">
        <f t="shared" si="766"/>
        <v>0</v>
      </c>
      <c r="BX992" s="824">
        <f t="shared" si="766"/>
        <v>0</v>
      </c>
      <c r="BY992" s="824">
        <f t="shared" si="766"/>
        <v>0</v>
      </c>
      <c r="BZ992" s="824">
        <f t="shared" si="766"/>
        <v>0</v>
      </c>
      <c r="CA992" s="824">
        <f t="shared" si="766"/>
        <v>0</v>
      </c>
      <c r="CB992" s="824">
        <f t="shared" si="766"/>
        <v>0</v>
      </c>
      <c r="CC992" s="824">
        <f t="shared" si="766"/>
        <v>0</v>
      </c>
      <c r="CD992" s="824">
        <f t="shared" si="766"/>
        <v>0</v>
      </c>
      <c r="CE992" s="824">
        <f t="shared" si="765"/>
        <v>0</v>
      </c>
      <c r="CF992" s="824">
        <f t="shared" si="765"/>
        <v>0</v>
      </c>
      <c r="CG992" s="824">
        <f t="shared" si="765"/>
        <v>0</v>
      </c>
      <c r="CH992" s="824">
        <f t="shared" si="765"/>
        <v>0</v>
      </c>
      <c r="CI992" s="824">
        <f t="shared" si="765"/>
        <v>0</v>
      </c>
      <c r="CJ992" s="824">
        <f t="shared" si="765"/>
        <v>0</v>
      </c>
      <c r="CK992" s="824">
        <f t="shared" si="765"/>
        <v>0</v>
      </c>
      <c r="CL992" s="824">
        <f t="shared" si="765"/>
        <v>0</v>
      </c>
      <c r="CM992" s="824">
        <f t="shared" si="765"/>
        <v>0</v>
      </c>
      <c r="CN992" s="824">
        <f t="shared" si="765"/>
        <v>0</v>
      </c>
      <c r="CO992" s="824">
        <f t="shared" si="765"/>
        <v>0</v>
      </c>
      <c r="CP992" s="824">
        <f t="shared" si="765"/>
        <v>0</v>
      </c>
      <c r="CQ992" s="824">
        <f t="shared" si="765"/>
        <v>0</v>
      </c>
      <c r="CR992" s="824">
        <f t="shared" si="765"/>
        <v>0</v>
      </c>
      <c r="CS992" s="824">
        <f t="shared" si="765"/>
        <v>0</v>
      </c>
      <c r="CT992" s="824">
        <f t="shared" si="768"/>
        <v>0</v>
      </c>
      <c r="CU992" s="824">
        <f t="shared" si="768"/>
        <v>0</v>
      </c>
      <c r="CV992" s="824">
        <f t="shared" si="768"/>
        <v>0</v>
      </c>
      <c r="CW992" s="824">
        <f t="shared" si="768"/>
        <v>0</v>
      </c>
      <c r="CX992" s="824">
        <f t="shared" si="768"/>
        <v>0</v>
      </c>
      <c r="CY992" s="824">
        <f t="shared" si="768"/>
        <v>0</v>
      </c>
      <c r="CZ992" s="824">
        <f t="shared" si="768"/>
        <v>0</v>
      </c>
      <c r="DA992" s="824">
        <f t="shared" si="768"/>
        <v>0</v>
      </c>
      <c r="DB992" s="824">
        <f t="shared" si="768"/>
        <v>0</v>
      </c>
      <c r="DC992" s="824">
        <f t="shared" si="768"/>
        <v>0</v>
      </c>
      <c r="DD992" s="824">
        <f t="shared" si="768"/>
        <v>0</v>
      </c>
      <c r="DE992" s="824">
        <f t="shared" si="768"/>
        <v>0</v>
      </c>
      <c r="DF992" s="824">
        <f t="shared" si="768"/>
        <v>0</v>
      </c>
      <c r="DG992" s="824">
        <f t="shared" si="768"/>
        <v>0</v>
      </c>
      <c r="DH992" s="824">
        <f t="shared" si="768"/>
        <v>0</v>
      </c>
      <c r="DI992" s="824">
        <f t="shared" si="768"/>
        <v>0</v>
      </c>
      <c r="DJ992" s="824">
        <f t="shared" si="769"/>
        <v>0</v>
      </c>
      <c r="DK992" s="824">
        <f t="shared" si="769"/>
        <v>0</v>
      </c>
      <c r="DL992" s="824">
        <f t="shared" si="769"/>
        <v>0</v>
      </c>
    </row>
    <row r="993" spans="2:116" ht="12" thickBot="1" x14ac:dyDescent="0.3">
      <c r="B993" s="1673"/>
      <c r="C993" s="1680"/>
      <c r="D993" s="15" t="s">
        <v>1</v>
      </c>
      <c r="E993" s="116"/>
      <c r="F993" s="116">
        <f>SUBTOTAL(109,'3.5 I&amp;W'!$X$234)</f>
        <v>0</v>
      </c>
      <c r="G993" s="116">
        <f>SUBTOTAL(109,'3.5 I&amp;W'!$Y$234)</f>
        <v>0</v>
      </c>
      <c r="H993" s="116">
        <f>SUBTOTAL(109,'3.5 I&amp;W'!$AD$234)</f>
        <v>0</v>
      </c>
      <c r="I993" s="116">
        <f>SUBTOTAL(109,'3.5 I&amp;W'!$AE$234)</f>
        <v>0</v>
      </c>
      <c r="J993" s="116"/>
      <c r="K993" s="116"/>
      <c r="L993" s="116"/>
      <c r="M993" s="116">
        <f>SUBTOTAL(109,'3.5 I&amp;W'!$AI$234)</f>
        <v>0</v>
      </c>
      <c r="N993" s="156">
        <f t="shared" si="751"/>
        <v>0</v>
      </c>
      <c r="O993" s="116">
        <f ca="1">SUBTOTAL(109,'3.5 I&amp;W'!$S$234)</f>
        <v>0</v>
      </c>
      <c r="P993" s="30">
        <f t="shared" si="741"/>
        <v>0</v>
      </c>
      <c r="Q993" s="31">
        <f t="shared" si="742"/>
        <v>0</v>
      </c>
      <c r="R993" s="31">
        <f t="shared" si="743"/>
        <v>0</v>
      </c>
      <c r="S993" s="31">
        <f t="shared" si="744"/>
        <v>0</v>
      </c>
      <c r="T993" s="32">
        <f t="shared" si="745"/>
        <v>0</v>
      </c>
      <c r="U993" s="37">
        <f t="shared" si="764"/>
        <v>0</v>
      </c>
      <c r="V993" s="40">
        <f t="shared" si="746"/>
        <v>0</v>
      </c>
      <c r="W993" s="41">
        <f t="shared" si="747"/>
        <v>0</v>
      </c>
      <c r="X993" s="43"/>
      <c r="Y993" s="46"/>
      <c r="Z993" s="126"/>
      <c r="AA993" s="136"/>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824">
        <f t="shared" si="770"/>
        <v>0</v>
      </c>
      <c r="BM993" s="824">
        <f t="shared" si="771"/>
        <v>0</v>
      </c>
      <c r="BN993" s="824">
        <f t="shared" ca="1" si="772"/>
        <v>0</v>
      </c>
      <c r="BO993" s="824">
        <f t="shared" si="766"/>
        <v>0</v>
      </c>
      <c r="BP993" s="824">
        <f t="shared" si="766"/>
        <v>0</v>
      </c>
      <c r="BQ993" s="824">
        <f t="shared" si="766"/>
        <v>0</v>
      </c>
      <c r="BR993" s="824">
        <f t="shared" si="766"/>
        <v>0</v>
      </c>
      <c r="BS993" s="824">
        <f t="shared" si="766"/>
        <v>0</v>
      </c>
      <c r="BT993" s="824">
        <f t="shared" si="766"/>
        <v>0</v>
      </c>
      <c r="BU993" s="824">
        <f t="shared" si="766"/>
        <v>0</v>
      </c>
      <c r="BV993" s="824">
        <f t="shared" si="766"/>
        <v>0</v>
      </c>
      <c r="BW993" s="824">
        <f t="shared" si="766"/>
        <v>0</v>
      </c>
      <c r="BX993" s="824">
        <f t="shared" si="766"/>
        <v>0</v>
      </c>
      <c r="BY993" s="824">
        <f t="shared" si="766"/>
        <v>0</v>
      </c>
      <c r="BZ993" s="824">
        <f t="shared" si="766"/>
        <v>0</v>
      </c>
      <c r="CA993" s="824">
        <f t="shared" si="766"/>
        <v>0</v>
      </c>
      <c r="CB993" s="824">
        <f t="shared" si="766"/>
        <v>0</v>
      </c>
      <c r="CC993" s="824">
        <f t="shared" si="766"/>
        <v>0</v>
      </c>
      <c r="CD993" s="824">
        <f t="shared" si="766"/>
        <v>0</v>
      </c>
      <c r="CE993" s="824">
        <f t="shared" si="765"/>
        <v>0</v>
      </c>
      <c r="CF993" s="824">
        <f t="shared" si="765"/>
        <v>0</v>
      </c>
      <c r="CG993" s="824">
        <f t="shared" si="765"/>
        <v>0</v>
      </c>
      <c r="CH993" s="824">
        <f t="shared" si="765"/>
        <v>0</v>
      </c>
      <c r="CI993" s="824">
        <f t="shared" si="765"/>
        <v>0</v>
      </c>
      <c r="CJ993" s="824">
        <f t="shared" si="765"/>
        <v>0</v>
      </c>
      <c r="CK993" s="824">
        <f t="shared" si="765"/>
        <v>0</v>
      </c>
      <c r="CL993" s="824">
        <f t="shared" si="765"/>
        <v>0</v>
      </c>
      <c r="CM993" s="824">
        <f t="shared" si="765"/>
        <v>0</v>
      </c>
      <c r="CN993" s="824">
        <f t="shared" si="765"/>
        <v>0</v>
      </c>
      <c r="CO993" s="824">
        <f t="shared" si="765"/>
        <v>0</v>
      </c>
      <c r="CP993" s="824">
        <f t="shared" si="765"/>
        <v>0</v>
      </c>
      <c r="CQ993" s="824">
        <f t="shared" si="765"/>
        <v>0</v>
      </c>
      <c r="CR993" s="824">
        <f t="shared" si="765"/>
        <v>0</v>
      </c>
      <c r="CS993" s="824">
        <f t="shared" si="765"/>
        <v>0</v>
      </c>
      <c r="CT993" s="824">
        <f t="shared" si="768"/>
        <v>0</v>
      </c>
      <c r="CU993" s="824">
        <f t="shared" si="768"/>
        <v>0</v>
      </c>
      <c r="CV993" s="824">
        <f t="shared" si="768"/>
        <v>0</v>
      </c>
      <c r="CW993" s="824">
        <f t="shared" si="768"/>
        <v>0</v>
      </c>
      <c r="CX993" s="824">
        <f t="shared" si="768"/>
        <v>0</v>
      </c>
      <c r="CY993" s="824">
        <f t="shared" si="768"/>
        <v>0</v>
      </c>
      <c r="CZ993" s="824">
        <f t="shared" si="768"/>
        <v>0</v>
      </c>
      <c r="DA993" s="824">
        <f t="shared" si="768"/>
        <v>0</v>
      </c>
      <c r="DB993" s="824">
        <f t="shared" si="768"/>
        <v>0</v>
      </c>
      <c r="DC993" s="824">
        <f t="shared" si="768"/>
        <v>0</v>
      </c>
      <c r="DD993" s="824">
        <f t="shared" si="768"/>
        <v>0</v>
      </c>
      <c r="DE993" s="824">
        <f t="shared" si="768"/>
        <v>0</v>
      </c>
      <c r="DF993" s="824">
        <f t="shared" si="768"/>
        <v>0</v>
      </c>
      <c r="DG993" s="824">
        <f t="shared" si="768"/>
        <v>0</v>
      </c>
      <c r="DH993" s="824">
        <f t="shared" si="768"/>
        <v>0</v>
      </c>
      <c r="DI993" s="824">
        <f t="shared" si="768"/>
        <v>0</v>
      </c>
      <c r="DJ993" s="824">
        <f t="shared" si="769"/>
        <v>0</v>
      </c>
      <c r="DK993" s="824">
        <f t="shared" si="769"/>
        <v>0</v>
      </c>
      <c r="DL993" s="824">
        <f t="shared" si="769"/>
        <v>0</v>
      </c>
    </row>
    <row r="994" spans="2:116" ht="12" thickBot="1" x14ac:dyDescent="0.3">
      <c r="B994" s="1673"/>
      <c r="C994" s="1680"/>
      <c r="D994" s="183" t="s">
        <v>0</v>
      </c>
      <c r="E994" s="182"/>
      <c r="F994" s="11">
        <f>SUBTOTAL(109,'3.5 I&amp;W'!$X$238)</f>
        <v>0</v>
      </c>
      <c r="G994" s="11">
        <f>SUBTOTAL(109,'3.5 I&amp;W'!$Y$238)</f>
        <v>0</v>
      </c>
      <c r="H994" s="11">
        <f>SUBTOTAL(109,'3.5 I&amp;W'!$AD$238)</f>
        <v>0</v>
      </c>
      <c r="I994" s="11">
        <f>SUBTOTAL(109,'3.5 I&amp;W'!$AE$238)</f>
        <v>0</v>
      </c>
      <c r="J994" s="11"/>
      <c r="K994" s="11"/>
      <c r="L994" s="11"/>
      <c r="M994" s="11">
        <f>SUBTOTAL(109,'3.5 I&amp;W'!$AI$238)</f>
        <v>0</v>
      </c>
      <c r="N994" s="156">
        <f t="shared" si="751"/>
        <v>0</v>
      </c>
      <c r="O994" s="11">
        <f ca="1">SUBTOTAL(109,'3.5 I&amp;W'!$S$239)</f>
        <v>0</v>
      </c>
      <c r="P994" s="65">
        <f t="shared" si="741"/>
        <v>0</v>
      </c>
      <c r="Q994" s="66">
        <f t="shared" si="742"/>
        <v>0</v>
      </c>
      <c r="R994" s="66">
        <f t="shared" si="743"/>
        <v>0</v>
      </c>
      <c r="S994" s="66">
        <f t="shared" si="744"/>
        <v>0</v>
      </c>
      <c r="T994" s="67">
        <f t="shared" si="745"/>
        <v>0</v>
      </c>
      <c r="U994" s="37">
        <f t="shared" si="764"/>
        <v>0</v>
      </c>
      <c r="V994" s="40">
        <f t="shared" ref="V994:V1010" si="773">G994*$I$169</f>
        <v>0</v>
      </c>
      <c r="W994" s="41">
        <f t="shared" ref="W994:W1010" si="774">(I994+J994)*$I$167</f>
        <v>0</v>
      </c>
      <c r="X994" s="184"/>
      <c r="Y994" s="185"/>
      <c r="Z994" s="198"/>
      <c r="AA994" s="186"/>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824">
        <f t="shared" si="770"/>
        <v>0</v>
      </c>
      <c r="BM994" s="824">
        <f t="shared" si="771"/>
        <v>0</v>
      </c>
      <c r="BN994" s="824">
        <f t="shared" ca="1" si="772"/>
        <v>0</v>
      </c>
      <c r="BO994" s="824">
        <f t="shared" si="766"/>
        <v>0</v>
      </c>
      <c r="BP994" s="824">
        <f t="shared" si="766"/>
        <v>0</v>
      </c>
      <c r="BQ994" s="824">
        <f t="shared" si="766"/>
        <v>0</v>
      </c>
      <c r="BR994" s="824">
        <f t="shared" si="766"/>
        <v>0</v>
      </c>
      <c r="BS994" s="824">
        <f t="shared" si="766"/>
        <v>0</v>
      </c>
      <c r="BT994" s="824">
        <f t="shared" si="766"/>
        <v>0</v>
      </c>
      <c r="BU994" s="824">
        <f t="shared" si="766"/>
        <v>0</v>
      </c>
      <c r="BV994" s="824">
        <f t="shared" si="766"/>
        <v>0</v>
      </c>
      <c r="BW994" s="824">
        <f t="shared" si="766"/>
        <v>0</v>
      </c>
      <c r="BX994" s="824">
        <f t="shared" si="766"/>
        <v>0</v>
      </c>
      <c r="BY994" s="824">
        <f t="shared" si="766"/>
        <v>0</v>
      </c>
      <c r="BZ994" s="824">
        <f t="shared" si="766"/>
        <v>0</v>
      </c>
      <c r="CA994" s="824">
        <f t="shared" si="766"/>
        <v>0</v>
      </c>
      <c r="CB994" s="824">
        <f t="shared" si="766"/>
        <v>0</v>
      </c>
      <c r="CC994" s="824">
        <f t="shared" si="766"/>
        <v>0</v>
      </c>
      <c r="CD994" s="824">
        <f t="shared" ref="CD994:CS1002" si="775">IF(OR(IF($BL994*1&lt;$BL$196,$BL994*1=CD$198,FALSE),IF($BL994*2&lt;$BL$196,$BL994*2=CD$198,FALSE),IF($BL994*3&lt;$BL$196,$BL994*3=CD$198,FALSE),IF($BL994*4&lt;$BL$196,$BL994*4=CD$198,FALSE),IF($BL994*5&lt;$BL$196,$BL994*5=CD$198,FALSE)),$BN994*$BM$196^CD$198,0)</f>
        <v>0</v>
      </c>
      <c r="CE994" s="824">
        <f t="shared" si="775"/>
        <v>0</v>
      </c>
      <c r="CF994" s="824">
        <f t="shared" si="775"/>
        <v>0</v>
      </c>
      <c r="CG994" s="824">
        <f t="shared" si="775"/>
        <v>0</v>
      </c>
      <c r="CH994" s="824">
        <f t="shared" si="775"/>
        <v>0</v>
      </c>
      <c r="CI994" s="824">
        <f t="shared" si="775"/>
        <v>0</v>
      </c>
      <c r="CJ994" s="824">
        <f t="shared" si="775"/>
        <v>0</v>
      </c>
      <c r="CK994" s="824">
        <f t="shared" si="775"/>
        <v>0</v>
      </c>
      <c r="CL994" s="824">
        <f t="shared" si="775"/>
        <v>0</v>
      </c>
      <c r="CM994" s="824">
        <f t="shared" si="775"/>
        <v>0</v>
      </c>
      <c r="CN994" s="824">
        <f t="shared" si="775"/>
        <v>0</v>
      </c>
      <c r="CO994" s="824">
        <f t="shared" si="775"/>
        <v>0</v>
      </c>
      <c r="CP994" s="824">
        <f t="shared" si="775"/>
        <v>0</v>
      </c>
      <c r="CQ994" s="824">
        <f t="shared" si="775"/>
        <v>0</v>
      </c>
      <c r="CR994" s="824">
        <f t="shared" si="775"/>
        <v>0</v>
      </c>
      <c r="CS994" s="824">
        <f t="shared" si="775"/>
        <v>0</v>
      </c>
      <c r="CT994" s="824">
        <f t="shared" si="768"/>
        <v>0</v>
      </c>
      <c r="CU994" s="824">
        <f t="shared" si="768"/>
        <v>0</v>
      </c>
      <c r="CV994" s="824">
        <f t="shared" si="768"/>
        <v>0</v>
      </c>
      <c r="CW994" s="824">
        <f t="shared" si="768"/>
        <v>0</v>
      </c>
      <c r="CX994" s="824">
        <f t="shared" si="768"/>
        <v>0</v>
      </c>
      <c r="CY994" s="824">
        <f t="shared" si="768"/>
        <v>0</v>
      </c>
      <c r="CZ994" s="824">
        <f t="shared" si="768"/>
        <v>0</v>
      </c>
      <c r="DA994" s="824">
        <f t="shared" si="768"/>
        <v>0</v>
      </c>
      <c r="DB994" s="824">
        <f t="shared" si="768"/>
        <v>0</v>
      </c>
      <c r="DC994" s="824">
        <f t="shared" si="768"/>
        <v>0</v>
      </c>
      <c r="DD994" s="824">
        <f t="shared" si="768"/>
        <v>0</v>
      </c>
      <c r="DE994" s="824">
        <f t="shared" si="768"/>
        <v>0</v>
      </c>
      <c r="DF994" s="824">
        <f t="shared" si="768"/>
        <v>0</v>
      </c>
      <c r="DG994" s="824">
        <f t="shared" si="768"/>
        <v>0</v>
      </c>
      <c r="DH994" s="824">
        <f t="shared" si="768"/>
        <v>0</v>
      </c>
      <c r="DI994" s="824">
        <f t="shared" si="768"/>
        <v>0</v>
      </c>
      <c r="DJ994" s="824">
        <f t="shared" si="769"/>
        <v>0</v>
      </c>
      <c r="DK994" s="824">
        <f t="shared" si="769"/>
        <v>0</v>
      </c>
      <c r="DL994" s="824">
        <f t="shared" si="769"/>
        <v>0</v>
      </c>
    </row>
    <row r="995" spans="2:116" ht="12" thickBot="1" x14ac:dyDescent="0.3">
      <c r="B995" s="1685"/>
      <c r="C995" s="187"/>
      <c r="D995" s="199">
        <f>'3.2 I&amp;W'!F917:F917</f>
        <v>0</v>
      </c>
      <c r="E995" s="116"/>
      <c r="F995" s="11">
        <f ca="1">SUBTOTAL(109,'3.5 I&amp;W'!$X$246)</f>
        <v>0</v>
      </c>
      <c r="G995" s="11">
        <f ca="1">SUBTOTAL(109,'3.5 I&amp;W'!$Y$246)</f>
        <v>0</v>
      </c>
      <c r="H995" s="11">
        <f ca="1">SUBTOTAL(109,'3.5 I&amp;W'!$AD$246)</f>
        <v>0</v>
      </c>
      <c r="I995" s="11">
        <f ca="1">SUBTOTAL(109,'3.5 I&amp;W'!$AE$246)</f>
        <v>0</v>
      </c>
      <c r="J995" s="116"/>
      <c r="K995" s="116"/>
      <c r="L995" s="116"/>
      <c r="M995" s="11">
        <f ca="1">SUBTOTAL(109,'3.5 I&amp;W'!$AI$246)</f>
        <v>100</v>
      </c>
      <c r="N995" s="156">
        <f t="shared" ca="1" si="751"/>
        <v>0</v>
      </c>
      <c r="O995" s="200">
        <f ca="1">SUBTOTAL(109,'3.5 I&amp;W'!$S$246)</f>
        <v>1116603.8639999998</v>
      </c>
      <c r="P995" s="65">
        <f ca="1">IF(N995&gt;=1,O995*$G$158^(1*M995)/($G$157^(1*M995)),0)</f>
        <v>0</v>
      </c>
      <c r="Q995" s="66">
        <f ca="1">IF(N995&gt;=2,O995*$G$158^(2*M995)/($G$157^(2*M995)),0)</f>
        <v>0</v>
      </c>
      <c r="R995" s="66">
        <f ca="1">IF(N995&gt;=3,O995*$G$158^(3*M995)/($G$157^(3*M995)),0)</f>
        <v>0</v>
      </c>
      <c r="S995" s="66">
        <f ca="1">IF(N995&gt;=4,O995*$G$158^(4*M995)/($G$157^(4*M995)),0)</f>
        <v>0</v>
      </c>
      <c r="T995" s="67">
        <f ca="1">IF(N995&gt;=5,O995*$G$158^(5*M995)/($G$157^(5*M995)),0)</f>
        <v>0</v>
      </c>
      <c r="U995" s="37">
        <f ca="1">IF(M995=0,0,O995*$G$158^(N995*M995)*((N995+1)*M995-$G$154)/M995*(1/$G$157^$G$154))</f>
        <v>362916.29736939806</v>
      </c>
      <c r="V995" s="40">
        <f t="shared" ca="1" si="773"/>
        <v>0</v>
      </c>
      <c r="W995" s="41">
        <f t="shared" ca="1" si="774"/>
        <v>0</v>
      </c>
      <c r="X995" s="197"/>
      <c r="Y995" s="193"/>
      <c r="Z995" s="48"/>
      <c r="AA995" s="194"/>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824">
        <f t="shared" ca="1" si="770"/>
        <v>100</v>
      </c>
      <c r="BM995" s="824">
        <f t="shared" ca="1" si="771"/>
        <v>0</v>
      </c>
      <c r="BN995" s="824">
        <f t="shared" ca="1" si="772"/>
        <v>1116603.8639999998</v>
      </c>
      <c r="BO995" s="824">
        <f t="shared" ref="BO995:CD1002" ca="1" si="776">IF(OR(IF($BL995*1&lt;$BL$196,$BL995*1=BO$198,FALSE),IF($BL995*2&lt;$BL$196,$BL995*2=BO$198,FALSE),IF($BL995*3&lt;$BL$196,$BL995*3=BO$198,FALSE),IF($BL995*4&lt;$BL$196,$BL995*4=BO$198,FALSE),IF($BL995*5&lt;$BL$196,$BL995*5=BO$198,FALSE)),$BN995*$BM$196^BO$198,0)</f>
        <v>0</v>
      </c>
      <c r="BP995" s="824">
        <f t="shared" ca="1" si="776"/>
        <v>0</v>
      </c>
      <c r="BQ995" s="824">
        <f t="shared" ca="1" si="776"/>
        <v>0</v>
      </c>
      <c r="BR995" s="824">
        <f t="shared" ca="1" si="776"/>
        <v>0</v>
      </c>
      <c r="BS995" s="824">
        <f t="shared" ca="1" si="776"/>
        <v>0</v>
      </c>
      <c r="BT995" s="824">
        <f t="shared" ca="1" si="776"/>
        <v>0</v>
      </c>
      <c r="BU995" s="824">
        <f t="shared" ca="1" si="776"/>
        <v>0</v>
      </c>
      <c r="BV995" s="824">
        <f t="shared" ca="1" si="776"/>
        <v>0</v>
      </c>
      <c r="BW995" s="824">
        <f t="shared" ca="1" si="776"/>
        <v>0</v>
      </c>
      <c r="BX995" s="824">
        <f t="shared" ca="1" si="776"/>
        <v>0</v>
      </c>
      <c r="BY995" s="824">
        <f t="shared" ca="1" si="776"/>
        <v>0</v>
      </c>
      <c r="BZ995" s="824">
        <f t="shared" ca="1" si="776"/>
        <v>0</v>
      </c>
      <c r="CA995" s="824">
        <f t="shared" ca="1" si="776"/>
        <v>0</v>
      </c>
      <c r="CB995" s="824">
        <f t="shared" ca="1" si="776"/>
        <v>0</v>
      </c>
      <c r="CC995" s="824">
        <f t="shared" ca="1" si="776"/>
        <v>0</v>
      </c>
      <c r="CD995" s="824">
        <f t="shared" ca="1" si="776"/>
        <v>0</v>
      </c>
      <c r="CE995" s="824">
        <f t="shared" ca="1" si="775"/>
        <v>0</v>
      </c>
      <c r="CF995" s="824">
        <f t="shared" ca="1" si="775"/>
        <v>0</v>
      </c>
      <c r="CG995" s="824">
        <f t="shared" ca="1" si="775"/>
        <v>0</v>
      </c>
      <c r="CH995" s="824">
        <f t="shared" ca="1" si="775"/>
        <v>0</v>
      </c>
      <c r="CI995" s="824">
        <f t="shared" ca="1" si="775"/>
        <v>0</v>
      </c>
      <c r="CJ995" s="824">
        <f t="shared" ca="1" si="775"/>
        <v>0</v>
      </c>
      <c r="CK995" s="824">
        <f t="shared" ca="1" si="775"/>
        <v>0</v>
      </c>
      <c r="CL995" s="824">
        <f t="shared" ca="1" si="775"/>
        <v>0</v>
      </c>
      <c r="CM995" s="824">
        <f t="shared" ca="1" si="775"/>
        <v>0</v>
      </c>
      <c r="CN995" s="824">
        <f t="shared" ca="1" si="775"/>
        <v>0</v>
      </c>
      <c r="CO995" s="824">
        <f t="shared" ca="1" si="775"/>
        <v>0</v>
      </c>
      <c r="CP995" s="824">
        <f t="shared" ca="1" si="775"/>
        <v>0</v>
      </c>
      <c r="CQ995" s="824">
        <f t="shared" ca="1" si="775"/>
        <v>0</v>
      </c>
      <c r="CR995" s="824">
        <f t="shared" ca="1" si="775"/>
        <v>0</v>
      </c>
      <c r="CS995" s="824">
        <f t="shared" ca="1" si="775"/>
        <v>0</v>
      </c>
      <c r="CT995" s="824">
        <f t="shared" ca="1" si="768"/>
        <v>0</v>
      </c>
      <c r="CU995" s="824">
        <f t="shared" ca="1" si="768"/>
        <v>0</v>
      </c>
      <c r="CV995" s="824">
        <f t="shared" ca="1" si="768"/>
        <v>0</v>
      </c>
      <c r="CW995" s="824">
        <f t="shared" ca="1" si="768"/>
        <v>0</v>
      </c>
      <c r="CX995" s="824">
        <f t="shared" ca="1" si="768"/>
        <v>0</v>
      </c>
      <c r="CY995" s="824">
        <f t="shared" ca="1" si="768"/>
        <v>0</v>
      </c>
      <c r="CZ995" s="824">
        <f t="shared" ca="1" si="768"/>
        <v>0</v>
      </c>
      <c r="DA995" s="824">
        <f t="shared" ca="1" si="768"/>
        <v>0</v>
      </c>
      <c r="DB995" s="824">
        <f t="shared" ca="1" si="768"/>
        <v>0</v>
      </c>
      <c r="DC995" s="824">
        <f t="shared" ca="1" si="768"/>
        <v>0</v>
      </c>
      <c r="DD995" s="824">
        <f t="shared" ca="1" si="768"/>
        <v>0</v>
      </c>
      <c r="DE995" s="824">
        <f t="shared" ca="1" si="768"/>
        <v>0</v>
      </c>
      <c r="DF995" s="824">
        <f t="shared" ca="1" si="768"/>
        <v>0</v>
      </c>
      <c r="DG995" s="824">
        <f t="shared" ca="1" si="768"/>
        <v>0</v>
      </c>
      <c r="DH995" s="824">
        <f t="shared" ca="1" si="768"/>
        <v>0</v>
      </c>
      <c r="DI995" s="824">
        <f t="shared" ref="DI995" ca="1" si="777">IF(OR(IF($BL995*1&lt;$BL$196,$BL995*1=DI$198,FALSE),IF($BL995*2&lt;$BL$196,$BL995*2=DI$198,FALSE),IF($BL995*3&lt;$BL$196,$BL995*3=DI$198,FALSE),IF($BL995*4&lt;$BL$196,$BL995*4=DI$198,FALSE),IF($BL995*5&lt;$BL$196,$BL995*5=DI$198,FALSE)),$BN995*$BM$196^DI$198,0)</f>
        <v>0</v>
      </c>
      <c r="DJ995" s="824">
        <f t="shared" ca="1" si="769"/>
        <v>0</v>
      </c>
      <c r="DK995" s="824">
        <f t="shared" ca="1" si="769"/>
        <v>0</v>
      </c>
      <c r="DL995" s="824">
        <f t="shared" ca="1" si="769"/>
        <v>0</v>
      </c>
    </row>
    <row r="996" spans="2:116" ht="12" thickBot="1" x14ac:dyDescent="0.3">
      <c r="B996" s="1685"/>
      <c r="C996" s="187"/>
      <c r="D996" s="199">
        <f>'3.2 I&amp;W'!F918:F918</f>
        <v>0</v>
      </c>
      <c r="E996" s="116"/>
      <c r="F996" s="11">
        <f ca="1">SUBTOTAL(109,'3.5 I&amp;W'!$X$247)</f>
        <v>0</v>
      </c>
      <c r="G996" s="11">
        <f ca="1">SUBTOTAL(109,'3.5 I&amp;W'!$Y$247)</f>
        <v>0</v>
      </c>
      <c r="H996" s="11">
        <f ca="1">SUBTOTAL(109,'3.5 I&amp;W'!$AD$247)</f>
        <v>0</v>
      </c>
      <c r="I996" s="11">
        <f ca="1">SUBTOTAL(109,'3.5 I&amp;W'!$AE$247)</f>
        <v>0</v>
      </c>
      <c r="J996" s="116"/>
      <c r="K996" s="116"/>
      <c r="L996" s="116"/>
      <c r="M996" s="11">
        <f ca="1">SUBTOTAL(109,'3.5 I&amp;W'!$AI$247)</f>
        <v>50</v>
      </c>
      <c r="N996" s="156">
        <f t="shared" ca="1" si="751"/>
        <v>0</v>
      </c>
      <c r="O996" s="200">
        <f ca="1">SUBTOTAL(109,'3.5 I&amp;W'!$S$247)</f>
        <v>22720.5</v>
      </c>
      <c r="P996" s="65">
        <f ca="1">IF(N996&gt;=1,O996*$G$158^(1*M996)/($G$157^(1*M996)),0)</f>
        <v>0</v>
      </c>
      <c r="Q996" s="66">
        <f ca="1">IF(N996&gt;=2,O996*$G$158^(2*M996)/($G$157^(2*M996)),0)</f>
        <v>0</v>
      </c>
      <c r="R996" s="66">
        <f ca="1">IF(N996&gt;=3,O996*$G$158^(3*M996)/($G$157^(3*M996)),0)</f>
        <v>0</v>
      </c>
      <c r="S996" s="66">
        <f ca="1">IF(N996&gt;=4,O996*$G$158^(4*M996)/($G$157^(4*M996)),0)</f>
        <v>0</v>
      </c>
      <c r="T996" s="67">
        <f ca="1">IF(N996&gt;=5,O996*$G$158^(5*M996)/($G$157^(5*M996)),0)</f>
        <v>0</v>
      </c>
      <c r="U996" s="37">
        <f ca="1">IF(M996=0,0,O996*$G$158^(N996*M996)*((N996+1)*M996-$G$154)/M996*(1/$G$157^$G$154))</f>
        <v>3408.2632167989746</v>
      </c>
      <c r="V996" s="40">
        <f t="shared" ca="1" si="773"/>
        <v>0</v>
      </c>
      <c r="W996" s="41">
        <f t="shared" ca="1" si="774"/>
        <v>0</v>
      </c>
      <c r="X996" s="191"/>
      <c r="Y996" s="193"/>
      <c r="Z996" s="48"/>
      <c r="AA996" s="194"/>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824">
        <f t="shared" ca="1" si="770"/>
        <v>50</v>
      </c>
      <c r="BM996" s="824">
        <f t="shared" ca="1" si="771"/>
        <v>0</v>
      </c>
      <c r="BN996" s="824">
        <f t="shared" ca="1" si="772"/>
        <v>22720.5</v>
      </c>
      <c r="BO996" s="824">
        <f t="shared" ca="1" si="776"/>
        <v>0</v>
      </c>
      <c r="BP996" s="824">
        <f t="shared" ca="1" si="776"/>
        <v>0</v>
      </c>
      <c r="BQ996" s="824">
        <f t="shared" ca="1" si="776"/>
        <v>0</v>
      </c>
      <c r="BR996" s="824">
        <f t="shared" ca="1" si="776"/>
        <v>0</v>
      </c>
      <c r="BS996" s="824">
        <f t="shared" ca="1" si="776"/>
        <v>0</v>
      </c>
      <c r="BT996" s="824">
        <f t="shared" ca="1" si="776"/>
        <v>0</v>
      </c>
      <c r="BU996" s="824">
        <f t="shared" ca="1" si="776"/>
        <v>0</v>
      </c>
      <c r="BV996" s="824">
        <f t="shared" ca="1" si="776"/>
        <v>0</v>
      </c>
      <c r="BW996" s="824">
        <f t="shared" ca="1" si="776"/>
        <v>0</v>
      </c>
      <c r="BX996" s="824">
        <f t="shared" ca="1" si="776"/>
        <v>0</v>
      </c>
      <c r="BY996" s="824">
        <f t="shared" ca="1" si="776"/>
        <v>0</v>
      </c>
      <c r="BZ996" s="824">
        <f t="shared" ca="1" si="776"/>
        <v>0</v>
      </c>
      <c r="CA996" s="824">
        <f t="shared" ca="1" si="776"/>
        <v>0</v>
      </c>
      <c r="CB996" s="824">
        <f t="shared" ca="1" si="776"/>
        <v>0</v>
      </c>
      <c r="CC996" s="824">
        <f t="shared" ca="1" si="776"/>
        <v>0</v>
      </c>
      <c r="CD996" s="824">
        <f t="shared" ca="1" si="776"/>
        <v>0</v>
      </c>
      <c r="CE996" s="824">
        <f t="shared" ca="1" si="775"/>
        <v>0</v>
      </c>
      <c r="CF996" s="824">
        <f t="shared" ca="1" si="775"/>
        <v>0</v>
      </c>
      <c r="CG996" s="824">
        <f t="shared" ca="1" si="775"/>
        <v>0</v>
      </c>
      <c r="CH996" s="824">
        <f t="shared" ca="1" si="775"/>
        <v>0</v>
      </c>
      <c r="CI996" s="824">
        <f t="shared" ca="1" si="775"/>
        <v>0</v>
      </c>
      <c r="CJ996" s="824">
        <f t="shared" ca="1" si="775"/>
        <v>0</v>
      </c>
      <c r="CK996" s="824">
        <f t="shared" ca="1" si="775"/>
        <v>0</v>
      </c>
      <c r="CL996" s="824">
        <f t="shared" ca="1" si="775"/>
        <v>0</v>
      </c>
      <c r="CM996" s="824">
        <f t="shared" ca="1" si="775"/>
        <v>0</v>
      </c>
      <c r="CN996" s="824">
        <f t="shared" ca="1" si="775"/>
        <v>0</v>
      </c>
      <c r="CO996" s="824">
        <f t="shared" ca="1" si="775"/>
        <v>0</v>
      </c>
      <c r="CP996" s="824">
        <f t="shared" ca="1" si="775"/>
        <v>0</v>
      </c>
      <c r="CQ996" s="824">
        <f t="shared" ca="1" si="775"/>
        <v>0</v>
      </c>
      <c r="CR996" s="824">
        <f t="shared" ca="1" si="775"/>
        <v>0</v>
      </c>
      <c r="CS996" s="824">
        <f t="shared" ca="1" si="775"/>
        <v>0</v>
      </c>
      <c r="CT996" s="824">
        <f t="shared" ref="CT996:DI1002" ca="1" si="778">IF(OR(IF($BL996*1&lt;$BL$196,$BL996*1=CT$198,FALSE),IF($BL996*2&lt;$BL$196,$BL996*2=CT$198,FALSE),IF($BL996*3&lt;$BL$196,$BL996*3=CT$198,FALSE),IF($BL996*4&lt;$BL$196,$BL996*4=CT$198,FALSE),IF($BL996*5&lt;$BL$196,$BL996*5=CT$198,FALSE)),$BN996*$BM$196^CT$198,0)</f>
        <v>0</v>
      </c>
      <c r="CU996" s="824">
        <f t="shared" ca="1" si="778"/>
        <v>0</v>
      </c>
      <c r="CV996" s="824">
        <f t="shared" ca="1" si="778"/>
        <v>0</v>
      </c>
      <c r="CW996" s="824">
        <f t="shared" ca="1" si="778"/>
        <v>0</v>
      </c>
      <c r="CX996" s="824">
        <f t="shared" ca="1" si="778"/>
        <v>0</v>
      </c>
      <c r="CY996" s="824">
        <f t="shared" ca="1" si="778"/>
        <v>0</v>
      </c>
      <c r="CZ996" s="824">
        <f t="shared" ca="1" si="778"/>
        <v>0</v>
      </c>
      <c r="DA996" s="824">
        <f t="shared" ca="1" si="778"/>
        <v>0</v>
      </c>
      <c r="DB996" s="824">
        <f t="shared" ca="1" si="778"/>
        <v>0</v>
      </c>
      <c r="DC996" s="824">
        <f t="shared" ca="1" si="778"/>
        <v>0</v>
      </c>
      <c r="DD996" s="824">
        <f t="shared" ca="1" si="778"/>
        <v>0</v>
      </c>
      <c r="DE996" s="824">
        <f t="shared" ca="1" si="778"/>
        <v>0</v>
      </c>
      <c r="DF996" s="824">
        <f t="shared" ca="1" si="778"/>
        <v>0</v>
      </c>
      <c r="DG996" s="824">
        <f t="shared" ca="1" si="778"/>
        <v>0</v>
      </c>
      <c r="DH996" s="824">
        <f t="shared" ca="1" si="778"/>
        <v>0</v>
      </c>
      <c r="DI996" s="824">
        <f t="shared" ca="1" si="778"/>
        <v>0</v>
      </c>
      <c r="DJ996" s="824">
        <f t="shared" ca="1" si="769"/>
        <v>0</v>
      </c>
      <c r="DK996" s="824">
        <f t="shared" ca="1" si="769"/>
        <v>0</v>
      </c>
      <c r="DL996" s="824">
        <f t="shared" ca="1" si="769"/>
        <v>0</v>
      </c>
    </row>
    <row r="997" spans="2:116" ht="12" thickBot="1" x14ac:dyDescent="0.3">
      <c r="B997" s="1685"/>
      <c r="C997" s="187"/>
      <c r="D997" s="199">
        <f>'3.2 I&amp;W'!F919:F919</f>
        <v>0</v>
      </c>
      <c r="E997" s="116"/>
      <c r="F997" s="11">
        <f ca="1">SUBTOTAL(109,'3.5 I&amp;W'!$X$248)</f>
        <v>0</v>
      </c>
      <c r="G997" s="11">
        <f ca="1">SUBTOTAL(109,'3.5 I&amp;W'!$Y$248)</f>
        <v>0</v>
      </c>
      <c r="H997" s="11">
        <f ca="1">SUBTOTAL(109,'3.5 I&amp;W'!$AD$248)</f>
        <v>0</v>
      </c>
      <c r="I997" s="11">
        <f ca="1">SUBTOTAL(109,'3.5 I&amp;W'!$AE$248)</f>
        <v>0</v>
      </c>
      <c r="J997" s="116"/>
      <c r="K997" s="116"/>
      <c r="L997" s="116"/>
      <c r="M997" s="11">
        <f ca="1">SUBTOTAL(109,'3.5 I&amp;W'!$AI$248)</f>
        <v>100</v>
      </c>
      <c r="N997" s="156">
        <f t="shared" ca="1" si="751"/>
        <v>0</v>
      </c>
      <c r="O997" s="200">
        <f ca="1">SUBTOTAL(109,'3.5 I&amp;W'!$S$248)</f>
        <v>507862.68</v>
      </c>
      <c r="P997" s="65">
        <f ca="1">IF(N997&gt;=1,O997*$G$158^(1*M997)/($G$157^(1*M997)),0)</f>
        <v>0</v>
      </c>
      <c r="Q997" s="66">
        <f ca="1">IF(N997&gt;=2,O997*$G$158^(2*M997)/($G$157^(2*M997)),0)</f>
        <v>0</v>
      </c>
      <c r="R997" s="66">
        <f ca="1">IF(N997&gt;=3,O997*$G$158^(3*M997)/($G$157^(3*M997)),0)</f>
        <v>0</v>
      </c>
      <c r="S997" s="66">
        <f ca="1">IF(N997&gt;=4,O997*$G$158^(4*M997)/($G$157^(4*M997)),0)</f>
        <v>0</v>
      </c>
      <c r="T997" s="67">
        <f ca="1">IF(N997&gt;=5,O997*$G$158^(5*M997)/($G$157^(5*M997)),0)</f>
        <v>0</v>
      </c>
      <c r="U997" s="37">
        <f ca="1">IF(M997=0,0,O997*$G$158^(N997*M997)*((N997+1)*M997-$G$154)/M997*(1/$G$157^$G$154))</f>
        <v>165064.48646652675</v>
      </c>
      <c r="V997" s="40">
        <f t="shared" ca="1" si="773"/>
        <v>0</v>
      </c>
      <c r="W997" s="41">
        <f t="shared" ca="1" si="774"/>
        <v>0</v>
      </c>
      <c r="X997" s="191"/>
      <c r="Y997" s="193"/>
      <c r="Z997" s="48"/>
      <c r="AA997" s="194"/>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824">
        <f t="shared" ca="1" si="770"/>
        <v>100</v>
      </c>
      <c r="BM997" s="824">
        <f t="shared" ca="1" si="771"/>
        <v>0</v>
      </c>
      <c r="BN997" s="824">
        <f t="shared" ca="1" si="772"/>
        <v>507862.68</v>
      </c>
      <c r="BO997" s="824">
        <f t="shared" ca="1" si="776"/>
        <v>0</v>
      </c>
      <c r="BP997" s="824">
        <f t="shared" ca="1" si="776"/>
        <v>0</v>
      </c>
      <c r="BQ997" s="824">
        <f t="shared" ca="1" si="776"/>
        <v>0</v>
      </c>
      <c r="BR997" s="824">
        <f t="shared" ca="1" si="776"/>
        <v>0</v>
      </c>
      <c r="BS997" s="824">
        <f t="shared" ca="1" si="776"/>
        <v>0</v>
      </c>
      <c r="BT997" s="824">
        <f t="shared" ca="1" si="776"/>
        <v>0</v>
      </c>
      <c r="BU997" s="824">
        <f t="shared" ca="1" si="776"/>
        <v>0</v>
      </c>
      <c r="BV997" s="824">
        <f t="shared" ca="1" si="776"/>
        <v>0</v>
      </c>
      <c r="BW997" s="824">
        <f t="shared" ca="1" si="776"/>
        <v>0</v>
      </c>
      <c r="BX997" s="824">
        <f t="shared" ca="1" si="776"/>
        <v>0</v>
      </c>
      <c r="BY997" s="824">
        <f t="shared" ca="1" si="776"/>
        <v>0</v>
      </c>
      <c r="BZ997" s="824">
        <f t="shared" ca="1" si="776"/>
        <v>0</v>
      </c>
      <c r="CA997" s="824">
        <f t="shared" ca="1" si="776"/>
        <v>0</v>
      </c>
      <c r="CB997" s="824">
        <f t="shared" ca="1" si="776"/>
        <v>0</v>
      </c>
      <c r="CC997" s="824">
        <f t="shared" ca="1" si="776"/>
        <v>0</v>
      </c>
      <c r="CD997" s="824">
        <f t="shared" ca="1" si="776"/>
        <v>0</v>
      </c>
      <c r="CE997" s="824">
        <f t="shared" ca="1" si="775"/>
        <v>0</v>
      </c>
      <c r="CF997" s="824">
        <f t="shared" ca="1" si="775"/>
        <v>0</v>
      </c>
      <c r="CG997" s="824">
        <f t="shared" ca="1" si="775"/>
        <v>0</v>
      </c>
      <c r="CH997" s="824">
        <f t="shared" ca="1" si="775"/>
        <v>0</v>
      </c>
      <c r="CI997" s="824">
        <f t="shared" ca="1" si="775"/>
        <v>0</v>
      </c>
      <c r="CJ997" s="824">
        <f t="shared" ca="1" si="775"/>
        <v>0</v>
      </c>
      <c r="CK997" s="824">
        <f t="shared" ca="1" si="775"/>
        <v>0</v>
      </c>
      <c r="CL997" s="824">
        <f t="shared" ca="1" si="775"/>
        <v>0</v>
      </c>
      <c r="CM997" s="824">
        <f t="shared" ca="1" si="775"/>
        <v>0</v>
      </c>
      <c r="CN997" s="824">
        <f t="shared" ca="1" si="775"/>
        <v>0</v>
      </c>
      <c r="CO997" s="824">
        <f t="shared" ca="1" si="775"/>
        <v>0</v>
      </c>
      <c r="CP997" s="824">
        <f t="shared" ca="1" si="775"/>
        <v>0</v>
      </c>
      <c r="CQ997" s="824">
        <f t="shared" ca="1" si="775"/>
        <v>0</v>
      </c>
      <c r="CR997" s="824">
        <f t="shared" ca="1" si="775"/>
        <v>0</v>
      </c>
      <c r="CS997" s="824">
        <f t="shared" ca="1" si="775"/>
        <v>0</v>
      </c>
      <c r="CT997" s="824">
        <f t="shared" ca="1" si="778"/>
        <v>0</v>
      </c>
      <c r="CU997" s="824">
        <f t="shared" ca="1" si="778"/>
        <v>0</v>
      </c>
      <c r="CV997" s="824">
        <f t="shared" ca="1" si="778"/>
        <v>0</v>
      </c>
      <c r="CW997" s="824">
        <f t="shared" ca="1" si="778"/>
        <v>0</v>
      </c>
      <c r="CX997" s="824">
        <f t="shared" ca="1" si="778"/>
        <v>0</v>
      </c>
      <c r="CY997" s="824">
        <f t="shared" ca="1" si="778"/>
        <v>0</v>
      </c>
      <c r="CZ997" s="824">
        <f t="shared" ca="1" si="778"/>
        <v>0</v>
      </c>
      <c r="DA997" s="824">
        <f t="shared" ca="1" si="778"/>
        <v>0</v>
      </c>
      <c r="DB997" s="824">
        <f t="shared" ca="1" si="778"/>
        <v>0</v>
      </c>
      <c r="DC997" s="824">
        <f t="shared" ca="1" si="778"/>
        <v>0</v>
      </c>
      <c r="DD997" s="824">
        <f t="shared" ca="1" si="778"/>
        <v>0</v>
      </c>
      <c r="DE997" s="824">
        <f t="shared" ca="1" si="778"/>
        <v>0</v>
      </c>
      <c r="DF997" s="824">
        <f t="shared" ca="1" si="778"/>
        <v>0</v>
      </c>
      <c r="DG997" s="824">
        <f t="shared" ca="1" si="778"/>
        <v>0</v>
      </c>
      <c r="DH997" s="824">
        <f t="shared" ca="1" si="778"/>
        <v>0</v>
      </c>
      <c r="DI997" s="824">
        <f t="shared" ca="1" si="778"/>
        <v>0</v>
      </c>
      <c r="DJ997" s="824">
        <f t="shared" ca="1" si="769"/>
        <v>0</v>
      </c>
      <c r="DK997" s="824">
        <f t="shared" ca="1" si="769"/>
        <v>0</v>
      </c>
      <c r="DL997" s="824">
        <f t="shared" ca="1" si="769"/>
        <v>0</v>
      </c>
    </row>
    <row r="998" spans="2:116" ht="12" thickBot="1" x14ac:dyDescent="0.3">
      <c r="B998" s="1685"/>
      <c r="C998" s="187"/>
      <c r="D998" s="199">
        <f>'3.2 I&amp;W'!F920:F920</f>
        <v>0</v>
      </c>
      <c r="E998" s="116"/>
      <c r="F998" s="11">
        <f ca="1">SUBTOTAL(109,'3.5 I&amp;W'!$X$249)</f>
        <v>0</v>
      </c>
      <c r="G998" s="11">
        <f ca="1">SUBTOTAL(109,'3.5 I&amp;W'!$Y$249)</f>
        <v>0</v>
      </c>
      <c r="H998" s="11">
        <f ca="1">SUBTOTAL(109,'3.5 I&amp;W'!$AD$249)</f>
        <v>0</v>
      </c>
      <c r="I998" s="11">
        <f ca="1">SUBTOTAL(109,'3.5 I&amp;W'!$AE$249)</f>
        <v>0</v>
      </c>
      <c r="J998" s="116"/>
      <c r="K998" s="116"/>
      <c r="L998" s="116"/>
      <c r="M998" s="11">
        <f ca="1">SUBTOTAL(109,'3.5 I&amp;W'!$AI$249)</f>
        <v>50</v>
      </c>
      <c r="N998" s="156">
        <f t="shared" ca="1" si="751"/>
        <v>0</v>
      </c>
      <c r="O998" s="200">
        <f ca="1">SUBTOTAL(109,'3.5 I&amp;W'!$S$249)</f>
        <v>138950.43599999999</v>
      </c>
      <c r="P998" s="65">
        <f ca="1">IF(N998&gt;=1,O998*$G$158^(1*M998)/($G$157^(1*M998)),0)</f>
        <v>0</v>
      </c>
      <c r="Q998" s="66">
        <f ca="1">IF(N998&gt;=2,O998*$G$158^(2*M998)/($G$157^(2*M998)),0)</f>
        <v>0</v>
      </c>
      <c r="R998" s="66">
        <f ca="1">IF(N998&gt;=3,O998*$G$158^(3*M998)/($G$157^(3*M998)),0)</f>
        <v>0</v>
      </c>
      <c r="S998" s="66">
        <f ca="1">IF(N998&gt;=4,O998*$G$158^(4*M998)/($G$157^(4*M998)),0)</f>
        <v>0</v>
      </c>
      <c r="T998" s="67">
        <f ca="1">IF(N998&gt;=5,O998*$G$158^(5*M998)/($G$157^(5*M998)),0)</f>
        <v>0</v>
      </c>
      <c r="U998" s="37">
        <f ca="1">IF(M998=0,0,O998*$G$158^(N998*M998)*((N998+1)*M998-$G$154)/M998*(1/$G$157^$G$154))</f>
        <v>20843.716466494137</v>
      </c>
      <c r="V998" s="40">
        <f t="shared" ca="1" si="773"/>
        <v>0</v>
      </c>
      <c r="W998" s="41">
        <f t="shared" ca="1" si="774"/>
        <v>0</v>
      </c>
      <c r="X998" s="191"/>
      <c r="Y998" s="193"/>
      <c r="Z998" s="48"/>
      <c r="AA998" s="194"/>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824">
        <f t="shared" ca="1" si="770"/>
        <v>50</v>
      </c>
      <c r="BM998" s="824">
        <f t="shared" ca="1" si="771"/>
        <v>0</v>
      </c>
      <c r="BN998" s="824">
        <f t="shared" ca="1" si="772"/>
        <v>138950.43599999999</v>
      </c>
      <c r="BO998" s="824">
        <f t="shared" ca="1" si="776"/>
        <v>0</v>
      </c>
      <c r="BP998" s="824">
        <f t="shared" ca="1" si="776"/>
        <v>0</v>
      </c>
      <c r="BQ998" s="824">
        <f t="shared" ca="1" si="776"/>
        <v>0</v>
      </c>
      <c r="BR998" s="824">
        <f t="shared" ca="1" si="776"/>
        <v>0</v>
      </c>
      <c r="BS998" s="824">
        <f t="shared" ca="1" si="776"/>
        <v>0</v>
      </c>
      <c r="BT998" s="824">
        <f t="shared" ca="1" si="776"/>
        <v>0</v>
      </c>
      <c r="BU998" s="824">
        <f t="shared" ca="1" si="776"/>
        <v>0</v>
      </c>
      <c r="BV998" s="824">
        <f t="shared" ca="1" si="776"/>
        <v>0</v>
      </c>
      <c r="BW998" s="824">
        <f t="shared" ca="1" si="776"/>
        <v>0</v>
      </c>
      <c r="BX998" s="824">
        <f t="shared" ca="1" si="776"/>
        <v>0</v>
      </c>
      <c r="BY998" s="824">
        <f t="shared" ca="1" si="776"/>
        <v>0</v>
      </c>
      <c r="BZ998" s="824">
        <f t="shared" ca="1" si="776"/>
        <v>0</v>
      </c>
      <c r="CA998" s="824">
        <f t="shared" ca="1" si="776"/>
        <v>0</v>
      </c>
      <c r="CB998" s="824">
        <f t="shared" ca="1" si="776"/>
        <v>0</v>
      </c>
      <c r="CC998" s="824">
        <f t="shared" ca="1" si="776"/>
        <v>0</v>
      </c>
      <c r="CD998" s="824">
        <f t="shared" ca="1" si="776"/>
        <v>0</v>
      </c>
      <c r="CE998" s="824">
        <f t="shared" ca="1" si="775"/>
        <v>0</v>
      </c>
      <c r="CF998" s="824">
        <f t="shared" ca="1" si="775"/>
        <v>0</v>
      </c>
      <c r="CG998" s="824">
        <f t="shared" ca="1" si="775"/>
        <v>0</v>
      </c>
      <c r="CH998" s="824">
        <f t="shared" ca="1" si="775"/>
        <v>0</v>
      </c>
      <c r="CI998" s="824">
        <f t="shared" ca="1" si="775"/>
        <v>0</v>
      </c>
      <c r="CJ998" s="824">
        <f t="shared" ca="1" si="775"/>
        <v>0</v>
      </c>
      <c r="CK998" s="824">
        <f t="shared" ca="1" si="775"/>
        <v>0</v>
      </c>
      <c r="CL998" s="824">
        <f t="shared" ca="1" si="775"/>
        <v>0</v>
      </c>
      <c r="CM998" s="824">
        <f t="shared" ca="1" si="775"/>
        <v>0</v>
      </c>
      <c r="CN998" s="824">
        <f t="shared" ca="1" si="775"/>
        <v>0</v>
      </c>
      <c r="CO998" s="824">
        <f t="shared" ca="1" si="775"/>
        <v>0</v>
      </c>
      <c r="CP998" s="824">
        <f t="shared" ca="1" si="775"/>
        <v>0</v>
      </c>
      <c r="CQ998" s="824">
        <f t="shared" ca="1" si="775"/>
        <v>0</v>
      </c>
      <c r="CR998" s="824">
        <f t="shared" ca="1" si="775"/>
        <v>0</v>
      </c>
      <c r="CS998" s="824">
        <f t="shared" ca="1" si="775"/>
        <v>0</v>
      </c>
      <c r="CT998" s="824">
        <f t="shared" ca="1" si="778"/>
        <v>0</v>
      </c>
      <c r="CU998" s="824">
        <f t="shared" ca="1" si="778"/>
        <v>0</v>
      </c>
      <c r="CV998" s="824">
        <f t="shared" ca="1" si="778"/>
        <v>0</v>
      </c>
      <c r="CW998" s="824">
        <f t="shared" ca="1" si="778"/>
        <v>0</v>
      </c>
      <c r="CX998" s="824">
        <f t="shared" ca="1" si="778"/>
        <v>0</v>
      </c>
      <c r="CY998" s="824">
        <f t="shared" ca="1" si="778"/>
        <v>0</v>
      </c>
      <c r="CZ998" s="824">
        <f t="shared" ca="1" si="778"/>
        <v>0</v>
      </c>
      <c r="DA998" s="824">
        <f t="shared" ca="1" si="778"/>
        <v>0</v>
      </c>
      <c r="DB998" s="824">
        <f t="shared" ca="1" si="778"/>
        <v>0</v>
      </c>
      <c r="DC998" s="824">
        <f t="shared" ca="1" si="778"/>
        <v>0</v>
      </c>
      <c r="DD998" s="824">
        <f t="shared" ca="1" si="778"/>
        <v>0</v>
      </c>
      <c r="DE998" s="824">
        <f t="shared" ca="1" si="778"/>
        <v>0</v>
      </c>
      <c r="DF998" s="824">
        <f t="shared" ca="1" si="778"/>
        <v>0</v>
      </c>
      <c r="DG998" s="824">
        <f t="shared" ca="1" si="778"/>
        <v>0</v>
      </c>
      <c r="DH998" s="824">
        <f t="shared" ca="1" si="778"/>
        <v>0</v>
      </c>
      <c r="DI998" s="824">
        <f t="shared" ca="1" si="778"/>
        <v>0</v>
      </c>
      <c r="DJ998" s="824">
        <f t="shared" ca="1" si="769"/>
        <v>0</v>
      </c>
      <c r="DK998" s="824">
        <f t="shared" ca="1" si="769"/>
        <v>0</v>
      </c>
      <c r="DL998" s="824">
        <f t="shared" ca="1" si="769"/>
        <v>0</v>
      </c>
    </row>
    <row r="999" spans="2:116" ht="12" thickBot="1" x14ac:dyDescent="0.3">
      <c r="B999" s="1685"/>
      <c r="C999" s="187"/>
      <c r="D999" s="199">
        <f>'3.2 I&amp;W'!F921:F921</f>
        <v>0</v>
      </c>
      <c r="E999" s="116"/>
      <c r="F999" s="11">
        <f ca="1">SUBTOTAL(109,'3.5 I&amp;W'!$X$250)</f>
        <v>0</v>
      </c>
      <c r="G999" s="11">
        <f ca="1">SUBTOTAL(109,'3.5 I&amp;W'!$Y$250)</f>
        <v>0</v>
      </c>
      <c r="H999" s="11">
        <f ca="1">SUBTOTAL(109,'3.5 I&amp;W'!$AD$250)</f>
        <v>0</v>
      </c>
      <c r="I999" s="11">
        <f ca="1">SUBTOTAL(109,'3.5 I&amp;W'!$AE$250)</f>
        <v>0</v>
      </c>
      <c r="J999" s="116"/>
      <c r="K999" s="116"/>
      <c r="L999" s="116"/>
      <c r="M999" s="11">
        <f ca="1">SUBTOTAL(109,'3.5 I&amp;W'!$AI$250)</f>
        <v>100</v>
      </c>
      <c r="N999" s="156">
        <f t="shared" ca="1" si="751"/>
        <v>0</v>
      </c>
      <c r="O999" s="200">
        <f ca="1">SUBTOTAL(109,'3.5 I&amp;W'!$S$250)</f>
        <v>59679.18</v>
      </c>
      <c r="P999" s="65">
        <f ca="1">IF(N999&gt;=1,O999*$G$158^(1*M999)/($G$157^(1*M999)),0)</f>
        <v>0</v>
      </c>
      <c r="Q999" s="66">
        <f ca="1">IF(N999&gt;=2,O999*$G$158^(2*M999)/($G$157^(2*M999)),0)</f>
        <v>0</v>
      </c>
      <c r="R999" s="66">
        <f ca="1">IF(N999&gt;=3,O999*$G$158^(3*M999)/($G$157^(3*M999)),0)</f>
        <v>0</v>
      </c>
      <c r="S999" s="66">
        <f ca="1">IF(N999&gt;=4,O999*$G$158^(4*M999)/($G$157^(4*M999)),0)</f>
        <v>0</v>
      </c>
      <c r="T999" s="67">
        <f ca="1">IF(N999&gt;=5,O999*$G$158^(5*M999)/($G$157^(5*M999)),0)</f>
        <v>0</v>
      </c>
      <c r="U999" s="37">
        <f ca="1">IF(M999=0,0,O999*$G$158^(N999*M999)*((N999+1)*M999-$G$154)/M999*(1/$G$157^$G$154))</f>
        <v>19396.804662715946</v>
      </c>
      <c r="V999" s="40">
        <f t="shared" ca="1" si="773"/>
        <v>0</v>
      </c>
      <c r="W999" s="41">
        <f t="shared" ca="1" si="774"/>
        <v>0</v>
      </c>
      <c r="X999" s="191"/>
      <c r="Y999" s="193"/>
      <c r="Z999" s="48"/>
      <c r="AA999" s="194"/>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824">
        <f t="shared" ca="1" si="770"/>
        <v>100</v>
      </c>
      <c r="BM999" s="824">
        <f t="shared" ca="1" si="771"/>
        <v>0</v>
      </c>
      <c r="BN999" s="824">
        <f t="shared" ca="1" si="772"/>
        <v>59679.18</v>
      </c>
      <c r="BO999" s="824">
        <f t="shared" ca="1" si="776"/>
        <v>0</v>
      </c>
      <c r="BP999" s="824">
        <f t="shared" ca="1" si="776"/>
        <v>0</v>
      </c>
      <c r="BQ999" s="824">
        <f t="shared" ca="1" si="776"/>
        <v>0</v>
      </c>
      <c r="BR999" s="824">
        <f t="shared" ca="1" si="776"/>
        <v>0</v>
      </c>
      <c r="BS999" s="824">
        <f t="shared" ca="1" si="776"/>
        <v>0</v>
      </c>
      <c r="BT999" s="824">
        <f t="shared" ca="1" si="776"/>
        <v>0</v>
      </c>
      <c r="BU999" s="824">
        <f t="shared" ca="1" si="776"/>
        <v>0</v>
      </c>
      <c r="BV999" s="824">
        <f t="shared" ca="1" si="776"/>
        <v>0</v>
      </c>
      <c r="BW999" s="824">
        <f t="shared" ca="1" si="776"/>
        <v>0</v>
      </c>
      <c r="BX999" s="824">
        <f t="shared" ca="1" si="776"/>
        <v>0</v>
      </c>
      <c r="BY999" s="824">
        <f t="shared" ca="1" si="776"/>
        <v>0</v>
      </c>
      <c r="BZ999" s="824">
        <f t="shared" ca="1" si="776"/>
        <v>0</v>
      </c>
      <c r="CA999" s="824">
        <f t="shared" ca="1" si="776"/>
        <v>0</v>
      </c>
      <c r="CB999" s="824">
        <f t="shared" ca="1" si="776"/>
        <v>0</v>
      </c>
      <c r="CC999" s="824">
        <f t="shared" ca="1" si="776"/>
        <v>0</v>
      </c>
      <c r="CD999" s="824">
        <f t="shared" ca="1" si="776"/>
        <v>0</v>
      </c>
      <c r="CE999" s="824">
        <f t="shared" ca="1" si="775"/>
        <v>0</v>
      </c>
      <c r="CF999" s="824">
        <f t="shared" ca="1" si="775"/>
        <v>0</v>
      </c>
      <c r="CG999" s="824">
        <f t="shared" ca="1" si="775"/>
        <v>0</v>
      </c>
      <c r="CH999" s="824">
        <f t="shared" ca="1" si="775"/>
        <v>0</v>
      </c>
      <c r="CI999" s="824">
        <f t="shared" ca="1" si="775"/>
        <v>0</v>
      </c>
      <c r="CJ999" s="824">
        <f t="shared" ca="1" si="775"/>
        <v>0</v>
      </c>
      <c r="CK999" s="824">
        <f t="shared" ca="1" si="775"/>
        <v>0</v>
      </c>
      <c r="CL999" s="824">
        <f t="shared" ca="1" si="775"/>
        <v>0</v>
      </c>
      <c r="CM999" s="824">
        <f t="shared" ca="1" si="775"/>
        <v>0</v>
      </c>
      <c r="CN999" s="824">
        <f t="shared" ca="1" si="775"/>
        <v>0</v>
      </c>
      <c r="CO999" s="824">
        <f t="shared" ca="1" si="775"/>
        <v>0</v>
      </c>
      <c r="CP999" s="824">
        <f t="shared" ca="1" si="775"/>
        <v>0</v>
      </c>
      <c r="CQ999" s="824">
        <f t="shared" ca="1" si="775"/>
        <v>0</v>
      </c>
      <c r="CR999" s="824">
        <f t="shared" ca="1" si="775"/>
        <v>0</v>
      </c>
      <c r="CS999" s="824">
        <f t="shared" ca="1" si="775"/>
        <v>0</v>
      </c>
      <c r="CT999" s="824">
        <f t="shared" ca="1" si="778"/>
        <v>0</v>
      </c>
      <c r="CU999" s="824">
        <f t="shared" ca="1" si="778"/>
        <v>0</v>
      </c>
      <c r="CV999" s="824">
        <f t="shared" ca="1" si="778"/>
        <v>0</v>
      </c>
      <c r="CW999" s="824">
        <f t="shared" ca="1" si="778"/>
        <v>0</v>
      </c>
      <c r="CX999" s="824">
        <f t="shared" ca="1" si="778"/>
        <v>0</v>
      </c>
      <c r="CY999" s="824">
        <f t="shared" ca="1" si="778"/>
        <v>0</v>
      </c>
      <c r="CZ999" s="824">
        <f t="shared" ca="1" si="778"/>
        <v>0</v>
      </c>
      <c r="DA999" s="824">
        <f t="shared" ca="1" si="778"/>
        <v>0</v>
      </c>
      <c r="DB999" s="824">
        <f t="shared" ca="1" si="778"/>
        <v>0</v>
      </c>
      <c r="DC999" s="824">
        <f t="shared" ca="1" si="778"/>
        <v>0</v>
      </c>
      <c r="DD999" s="824">
        <f t="shared" ca="1" si="778"/>
        <v>0</v>
      </c>
      <c r="DE999" s="824">
        <f t="shared" ca="1" si="778"/>
        <v>0</v>
      </c>
      <c r="DF999" s="824">
        <f t="shared" ca="1" si="778"/>
        <v>0</v>
      </c>
      <c r="DG999" s="824">
        <f t="shared" ca="1" si="778"/>
        <v>0</v>
      </c>
      <c r="DH999" s="824">
        <f t="shared" ca="1" si="778"/>
        <v>0</v>
      </c>
      <c r="DI999" s="824">
        <f t="shared" ca="1" si="778"/>
        <v>0</v>
      </c>
      <c r="DJ999" s="824">
        <f t="shared" ca="1" si="769"/>
        <v>0</v>
      </c>
      <c r="DK999" s="824">
        <f t="shared" ca="1" si="769"/>
        <v>0</v>
      </c>
      <c r="DL999" s="824">
        <f t="shared" ca="1" si="769"/>
        <v>0</v>
      </c>
    </row>
    <row r="1000" spans="2:116" ht="12" thickBot="1" x14ac:dyDescent="0.3">
      <c r="B1000" s="1685"/>
      <c r="C1000" s="187"/>
      <c r="D1000" s="199">
        <f>'3.2 I&amp;W'!F926:F926</f>
        <v>0</v>
      </c>
      <c r="E1000" s="116"/>
      <c r="F1000" s="116"/>
      <c r="G1000" s="116"/>
      <c r="H1000" s="116"/>
      <c r="I1000" s="116"/>
      <c r="J1000" s="116"/>
      <c r="K1000" s="116"/>
      <c r="L1000" s="116"/>
      <c r="M1000" s="116"/>
      <c r="N1000" s="156">
        <f t="shared" si="751"/>
        <v>0</v>
      </c>
      <c r="O1000" s="200">
        <f ca="1">IF(E1000="j",0,IF('3.5 I&amp;W'!$S$254="",0,'3.5 I&amp;W'!$S$254))</f>
        <v>0</v>
      </c>
      <c r="P1000" s="30"/>
      <c r="Q1000" s="31"/>
      <c r="R1000" s="31"/>
      <c r="S1000" s="31"/>
      <c r="T1000" s="188"/>
      <c r="U1000" s="190"/>
      <c r="V1000" s="40">
        <f t="shared" si="773"/>
        <v>0</v>
      </c>
      <c r="W1000" s="41">
        <f t="shared" si="774"/>
        <v>0</v>
      </c>
      <c r="X1000" s="191"/>
      <c r="Y1000" s="193"/>
      <c r="Z1000" s="48"/>
      <c r="AA1000" s="194"/>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824">
        <f t="shared" si="770"/>
        <v>0</v>
      </c>
      <c r="BM1000" s="824">
        <f t="shared" si="771"/>
        <v>0</v>
      </c>
      <c r="BN1000" s="824">
        <f t="shared" ca="1" si="772"/>
        <v>0</v>
      </c>
      <c r="BO1000" s="824">
        <f t="shared" si="776"/>
        <v>0</v>
      </c>
      <c r="BP1000" s="824">
        <f t="shared" si="776"/>
        <v>0</v>
      </c>
      <c r="BQ1000" s="824">
        <f t="shared" si="776"/>
        <v>0</v>
      </c>
      <c r="BR1000" s="824">
        <f t="shared" si="776"/>
        <v>0</v>
      </c>
      <c r="BS1000" s="824">
        <f t="shared" si="776"/>
        <v>0</v>
      </c>
      <c r="BT1000" s="824">
        <f t="shared" si="776"/>
        <v>0</v>
      </c>
      <c r="BU1000" s="824">
        <f t="shared" si="776"/>
        <v>0</v>
      </c>
      <c r="BV1000" s="824">
        <f t="shared" si="776"/>
        <v>0</v>
      </c>
      <c r="BW1000" s="824">
        <f t="shared" si="776"/>
        <v>0</v>
      </c>
      <c r="BX1000" s="824">
        <f t="shared" si="776"/>
        <v>0</v>
      </c>
      <c r="BY1000" s="824">
        <f t="shared" si="776"/>
        <v>0</v>
      </c>
      <c r="BZ1000" s="824">
        <f t="shared" si="776"/>
        <v>0</v>
      </c>
      <c r="CA1000" s="824">
        <f t="shared" si="776"/>
        <v>0</v>
      </c>
      <c r="CB1000" s="824">
        <f t="shared" si="776"/>
        <v>0</v>
      </c>
      <c r="CC1000" s="824">
        <f t="shared" si="776"/>
        <v>0</v>
      </c>
      <c r="CD1000" s="824">
        <f t="shared" si="776"/>
        <v>0</v>
      </c>
      <c r="CE1000" s="824">
        <f t="shared" si="775"/>
        <v>0</v>
      </c>
      <c r="CF1000" s="824">
        <f t="shared" si="775"/>
        <v>0</v>
      </c>
      <c r="CG1000" s="824">
        <f t="shared" si="775"/>
        <v>0</v>
      </c>
      <c r="CH1000" s="824">
        <f t="shared" si="775"/>
        <v>0</v>
      </c>
      <c r="CI1000" s="824">
        <f t="shared" si="775"/>
        <v>0</v>
      </c>
      <c r="CJ1000" s="824">
        <f t="shared" si="775"/>
        <v>0</v>
      </c>
      <c r="CK1000" s="824">
        <f t="shared" si="775"/>
        <v>0</v>
      </c>
      <c r="CL1000" s="824">
        <f t="shared" si="775"/>
        <v>0</v>
      </c>
      <c r="CM1000" s="824">
        <f t="shared" si="775"/>
        <v>0</v>
      </c>
      <c r="CN1000" s="824">
        <f t="shared" si="775"/>
        <v>0</v>
      </c>
      <c r="CO1000" s="824">
        <f t="shared" si="775"/>
        <v>0</v>
      </c>
      <c r="CP1000" s="824">
        <f t="shared" si="775"/>
        <v>0</v>
      </c>
      <c r="CQ1000" s="824">
        <f t="shared" si="775"/>
        <v>0</v>
      </c>
      <c r="CR1000" s="824">
        <f t="shared" si="775"/>
        <v>0</v>
      </c>
      <c r="CS1000" s="824">
        <f t="shared" si="775"/>
        <v>0</v>
      </c>
      <c r="CT1000" s="824">
        <f t="shared" si="778"/>
        <v>0</v>
      </c>
      <c r="CU1000" s="824">
        <f t="shared" si="778"/>
        <v>0</v>
      </c>
      <c r="CV1000" s="824">
        <f t="shared" si="778"/>
        <v>0</v>
      </c>
      <c r="CW1000" s="824">
        <f t="shared" si="778"/>
        <v>0</v>
      </c>
      <c r="CX1000" s="824">
        <f t="shared" si="778"/>
        <v>0</v>
      </c>
      <c r="CY1000" s="824">
        <f t="shared" si="778"/>
        <v>0</v>
      </c>
      <c r="CZ1000" s="824">
        <f t="shared" si="778"/>
        <v>0</v>
      </c>
      <c r="DA1000" s="824">
        <f t="shared" si="778"/>
        <v>0</v>
      </c>
      <c r="DB1000" s="824">
        <f t="shared" si="778"/>
        <v>0</v>
      </c>
      <c r="DC1000" s="824">
        <f t="shared" si="778"/>
        <v>0</v>
      </c>
      <c r="DD1000" s="824">
        <f t="shared" si="778"/>
        <v>0</v>
      </c>
      <c r="DE1000" s="824">
        <f t="shared" si="778"/>
        <v>0</v>
      </c>
      <c r="DF1000" s="824">
        <f t="shared" si="778"/>
        <v>0</v>
      </c>
      <c r="DG1000" s="824">
        <f t="shared" si="778"/>
        <v>0</v>
      </c>
      <c r="DH1000" s="824">
        <f t="shared" si="778"/>
        <v>0</v>
      </c>
      <c r="DI1000" s="824">
        <f t="shared" si="778"/>
        <v>0</v>
      </c>
      <c r="DJ1000" s="824">
        <f t="shared" si="769"/>
        <v>0</v>
      </c>
      <c r="DK1000" s="824">
        <f t="shared" si="769"/>
        <v>0</v>
      </c>
      <c r="DL1000" s="824">
        <f t="shared" si="769"/>
        <v>0</v>
      </c>
    </row>
    <row r="1001" spans="2:116" ht="12" thickBot="1" x14ac:dyDescent="0.3">
      <c r="B1001" s="1685"/>
      <c r="C1001" s="187"/>
      <c r="D1001" s="199"/>
      <c r="E1001" s="116"/>
      <c r="F1001" s="116"/>
      <c r="G1001" s="116"/>
      <c r="H1001" s="116"/>
      <c r="I1001" s="116"/>
      <c r="J1001" s="116"/>
      <c r="K1001" s="116"/>
      <c r="L1001" s="116"/>
      <c r="M1001" s="116"/>
      <c r="N1001" s="156">
        <f t="shared" si="751"/>
        <v>0</v>
      </c>
      <c r="O1001" s="200"/>
      <c r="P1001" s="30"/>
      <c r="Q1001" s="31"/>
      <c r="R1001" s="31"/>
      <c r="S1001" s="31"/>
      <c r="T1001" s="188"/>
      <c r="U1001" s="190"/>
      <c r="V1001" s="40">
        <f t="shared" si="773"/>
        <v>0</v>
      </c>
      <c r="W1001" s="41">
        <f t="shared" si="774"/>
        <v>0</v>
      </c>
      <c r="X1001" s="191"/>
      <c r="Y1001" s="193"/>
      <c r="Z1001" s="48"/>
      <c r="AA1001" s="194"/>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824">
        <f t="shared" si="770"/>
        <v>0</v>
      </c>
      <c r="BM1001" s="824">
        <f t="shared" si="771"/>
        <v>0</v>
      </c>
      <c r="BN1001" s="824">
        <f t="shared" si="772"/>
        <v>0</v>
      </c>
      <c r="BO1001" s="824">
        <f t="shared" si="776"/>
        <v>0</v>
      </c>
      <c r="BP1001" s="824">
        <f t="shared" si="776"/>
        <v>0</v>
      </c>
      <c r="BQ1001" s="824">
        <f t="shared" si="776"/>
        <v>0</v>
      </c>
      <c r="BR1001" s="824">
        <f t="shared" si="776"/>
        <v>0</v>
      </c>
      <c r="BS1001" s="824">
        <f t="shared" si="776"/>
        <v>0</v>
      </c>
      <c r="BT1001" s="824">
        <f t="shared" si="776"/>
        <v>0</v>
      </c>
      <c r="BU1001" s="824">
        <f t="shared" si="776"/>
        <v>0</v>
      </c>
      <c r="BV1001" s="824">
        <f t="shared" si="776"/>
        <v>0</v>
      </c>
      <c r="BW1001" s="824">
        <f t="shared" si="776"/>
        <v>0</v>
      </c>
      <c r="BX1001" s="824">
        <f t="shared" si="776"/>
        <v>0</v>
      </c>
      <c r="BY1001" s="824">
        <f t="shared" si="776"/>
        <v>0</v>
      </c>
      <c r="BZ1001" s="824">
        <f t="shared" si="776"/>
        <v>0</v>
      </c>
      <c r="CA1001" s="824">
        <f t="shared" si="776"/>
        <v>0</v>
      </c>
      <c r="CB1001" s="824">
        <f t="shared" si="776"/>
        <v>0</v>
      </c>
      <c r="CC1001" s="824">
        <f t="shared" si="776"/>
        <v>0</v>
      </c>
      <c r="CD1001" s="824">
        <f t="shared" si="776"/>
        <v>0</v>
      </c>
      <c r="CE1001" s="824">
        <f t="shared" si="775"/>
        <v>0</v>
      </c>
      <c r="CF1001" s="824">
        <f t="shared" si="775"/>
        <v>0</v>
      </c>
      <c r="CG1001" s="824">
        <f t="shared" si="775"/>
        <v>0</v>
      </c>
      <c r="CH1001" s="824">
        <f t="shared" si="775"/>
        <v>0</v>
      </c>
      <c r="CI1001" s="824">
        <f t="shared" si="775"/>
        <v>0</v>
      </c>
      <c r="CJ1001" s="824">
        <f t="shared" si="775"/>
        <v>0</v>
      </c>
      <c r="CK1001" s="824">
        <f t="shared" si="775"/>
        <v>0</v>
      </c>
      <c r="CL1001" s="824">
        <f t="shared" si="775"/>
        <v>0</v>
      </c>
      <c r="CM1001" s="824">
        <f t="shared" si="775"/>
        <v>0</v>
      </c>
      <c r="CN1001" s="824">
        <f t="shared" si="775"/>
        <v>0</v>
      </c>
      <c r="CO1001" s="824">
        <f t="shared" si="775"/>
        <v>0</v>
      </c>
      <c r="CP1001" s="824">
        <f t="shared" si="775"/>
        <v>0</v>
      </c>
      <c r="CQ1001" s="824">
        <f t="shared" si="775"/>
        <v>0</v>
      </c>
      <c r="CR1001" s="824">
        <f t="shared" si="775"/>
        <v>0</v>
      </c>
      <c r="CS1001" s="824">
        <f t="shared" si="775"/>
        <v>0</v>
      </c>
      <c r="CT1001" s="824">
        <f t="shared" si="778"/>
        <v>0</v>
      </c>
      <c r="CU1001" s="824">
        <f t="shared" si="778"/>
        <v>0</v>
      </c>
      <c r="CV1001" s="824">
        <f t="shared" si="778"/>
        <v>0</v>
      </c>
      <c r="CW1001" s="824">
        <f t="shared" si="778"/>
        <v>0</v>
      </c>
      <c r="CX1001" s="824">
        <f t="shared" si="778"/>
        <v>0</v>
      </c>
      <c r="CY1001" s="824">
        <f t="shared" si="778"/>
        <v>0</v>
      </c>
      <c r="CZ1001" s="824">
        <f t="shared" si="778"/>
        <v>0</v>
      </c>
      <c r="DA1001" s="824">
        <f t="shared" si="778"/>
        <v>0</v>
      </c>
      <c r="DB1001" s="824">
        <f t="shared" si="778"/>
        <v>0</v>
      </c>
      <c r="DC1001" s="824">
        <f t="shared" si="778"/>
        <v>0</v>
      </c>
      <c r="DD1001" s="824">
        <f t="shared" si="778"/>
        <v>0</v>
      </c>
      <c r="DE1001" s="824">
        <f t="shared" si="778"/>
        <v>0</v>
      </c>
      <c r="DF1001" s="824">
        <f t="shared" si="778"/>
        <v>0</v>
      </c>
      <c r="DG1001" s="824">
        <f t="shared" si="778"/>
        <v>0</v>
      </c>
      <c r="DH1001" s="824">
        <f t="shared" si="778"/>
        <v>0</v>
      </c>
      <c r="DI1001" s="824">
        <f t="shared" si="778"/>
        <v>0</v>
      </c>
      <c r="DJ1001" s="824">
        <f t="shared" si="769"/>
        <v>0</v>
      </c>
      <c r="DK1001" s="824">
        <f t="shared" si="769"/>
        <v>0</v>
      </c>
      <c r="DL1001" s="824">
        <f t="shared" si="769"/>
        <v>0</v>
      </c>
    </row>
    <row r="1002" spans="2:116" ht="12" thickBot="1" x14ac:dyDescent="0.3">
      <c r="B1002" s="1685"/>
      <c r="C1002" s="187"/>
      <c r="D1002" s="199"/>
      <c r="E1002" s="116"/>
      <c r="F1002" s="11"/>
      <c r="G1002" s="17"/>
      <c r="H1002" s="11"/>
      <c r="I1002" s="11"/>
      <c r="J1002" s="11"/>
      <c r="K1002" s="11"/>
      <c r="L1002" s="11"/>
      <c r="M1002" s="11"/>
      <c r="N1002" s="156">
        <f t="shared" si="751"/>
        <v>0</v>
      </c>
      <c r="O1002" s="200"/>
      <c r="P1002" s="33"/>
      <c r="Q1002" s="34"/>
      <c r="R1002" s="34"/>
      <c r="S1002" s="34"/>
      <c r="T1002" s="189"/>
      <c r="U1002" s="190"/>
      <c r="V1002" s="40">
        <f t="shared" si="773"/>
        <v>0</v>
      </c>
      <c r="W1002" s="41">
        <f t="shared" si="774"/>
        <v>0</v>
      </c>
      <c r="X1002" s="192"/>
      <c r="Y1002" s="195"/>
      <c r="Z1002" s="49"/>
      <c r="AA1002" s="196"/>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824">
        <f t="shared" si="770"/>
        <v>0</v>
      </c>
      <c r="BM1002" s="824">
        <f t="shared" si="771"/>
        <v>0</v>
      </c>
      <c r="BN1002" s="824">
        <f t="shared" si="772"/>
        <v>0</v>
      </c>
      <c r="BO1002" s="824">
        <f t="shared" si="776"/>
        <v>0</v>
      </c>
      <c r="BP1002" s="824">
        <f t="shared" si="776"/>
        <v>0</v>
      </c>
      <c r="BQ1002" s="824">
        <f t="shared" si="776"/>
        <v>0</v>
      </c>
      <c r="BR1002" s="824">
        <f t="shared" si="776"/>
        <v>0</v>
      </c>
      <c r="BS1002" s="824">
        <f t="shared" si="776"/>
        <v>0</v>
      </c>
      <c r="BT1002" s="824">
        <f t="shared" si="776"/>
        <v>0</v>
      </c>
      <c r="BU1002" s="824">
        <f t="shared" si="776"/>
        <v>0</v>
      </c>
      <c r="BV1002" s="824">
        <f t="shared" si="776"/>
        <v>0</v>
      </c>
      <c r="BW1002" s="824">
        <f t="shared" si="776"/>
        <v>0</v>
      </c>
      <c r="BX1002" s="824">
        <f t="shared" si="776"/>
        <v>0</v>
      </c>
      <c r="BY1002" s="824">
        <f t="shared" si="776"/>
        <v>0</v>
      </c>
      <c r="BZ1002" s="824">
        <f t="shared" si="776"/>
        <v>0</v>
      </c>
      <c r="CA1002" s="824">
        <f t="shared" si="776"/>
        <v>0</v>
      </c>
      <c r="CB1002" s="824">
        <f t="shared" si="776"/>
        <v>0</v>
      </c>
      <c r="CC1002" s="824">
        <f t="shared" si="776"/>
        <v>0</v>
      </c>
      <c r="CD1002" s="824">
        <f t="shared" si="776"/>
        <v>0</v>
      </c>
      <c r="CE1002" s="824">
        <f t="shared" si="775"/>
        <v>0</v>
      </c>
      <c r="CF1002" s="824">
        <f t="shared" si="775"/>
        <v>0</v>
      </c>
      <c r="CG1002" s="824">
        <f t="shared" si="775"/>
        <v>0</v>
      </c>
      <c r="CH1002" s="824">
        <f t="shared" si="775"/>
        <v>0</v>
      </c>
      <c r="CI1002" s="824">
        <f t="shared" si="775"/>
        <v>0</v>
      </c>
      <c r="CJ1002" s="824">
        <f t="shared" si="775"/>
        <v>0</v>
      </c>
      <c r="CK1002" s="824">
        <f t="shared" si="775"/>
        <v>0</v>
      </c>
      <c r="CL1002" s="824">
        <f t="shared" si="775"/>
        <v>0</v>
      </c>
      <c r="CM1002" s="824">
        <f t="shared" si="775"/>
        <v>0</v>
      </c>
      <c r="CN1002" s="824">
        <f t="shared" si="775"/>
        <v>0</v>
      </c>
      <c r="CO1002" s="824">
        <f t="shared" si="775"/>
        <v>0</v>
      </c>
      <c r="CP1002" s="824">
        <f t="shared" si="775"/>
        <v>0</v>
      </c>
      <c r="CQ1002" s="824">
        <f t="shared" si="775"/>
        <v>0</v>
      </c>
      <c r="CR1002" s="824">
        <f t="shared" si="775"/>
        <v>0</v>
      </c>
      <c r="CS1002" s="824">
        <f t="shared" si="775"/>
        <v>0</v>
      </c>
      <c r="CT1002" s="824">
        <f t="shared" si="778"/>
        <v>0</v>
      </c>
      <c r="CU1002" s="824">
        <f t="shared" si="778"/>
        <v>0</v>
      </c>
      <c r="CV1002" s="824">
        <f t="shared" si="778"/>
        <v>0</v>
      </c>
      <c r="CW1002" s="824">
        <f t="shared" si="778"/>
        <v>0</v>
      </c>
      <c r="CX1002" s="824">
        <f t="shared" si="778"/>
        <v>0</v>
      </c>
      <c r="CY1002" s="824">
        <f t="shared" si="778"/>
        <v>0</v>
      </c>
      <c r="CZ1002" s="824">
        <f t="shared" si="778"/>
        <v>0</v>
      </c>
      <c r="DA1002" s="824">
        <f t="shared" si="778"/>
        <v>0</v>
      </c>
      <c r="DB1002" s="824">
        <f t="shared" si="778"/>
        <v>0</v>
      </c>
      <c r="DC1002" s="824">
        <f t="shared" si="778"/>
        <v>0</v>
      </c>
      <c r="DD1002" s="824">
        <f t="shared" si="778"/>
        <v>0</v>
      </c>
      <c r="DE1002" s="824">
        <f t="shared" si="778"/>
        <v>0</v>
      </c>
      <c r="DF1002" s="824">
        <f t="shared" si="778"/>
        <v>0</v>
      </c>
      <c r="DG1002" s="824">
        <f t="shared" si="778"/>
        <v>0</v>
      </c>
      <c r="DH1002" s="824">
        <f t="shared" si="778"/>
        <v>0</v>
      </c>
      <c r="DI1002" s="824">
        <f t="shared" si="778"/>
        <v>0</v>
      </c>
      <c r="DJ1002" s="824">
        <f t="shared" si="769"/>
        <v>0</v>
      </c>
      <c r="DK1002" s="824">
        <f t="shared" si="769"/>
        <v>0</v>
      </c>
      <c r="DL1002" s="824">
        <f t="shared" si="769"/>
        <v>0</v>
      </c>
    </row>
    <row r="1003" spans="2:116" ht="11.25" customHeight="1" thickBot="1" x14ac:dyDescent="0.3">
      <c r="B1003" s="1673"/>
      <c r="C1003" s="1680" t="s">
        <v>275</v>
      </c>
      <c r="D1003" s="18" t="str">
        <f>'3.2 Fi&amp;Fo'!$D$47</f>
        <v>Verwaltung und Management</v>
      </c>
      <c r="E1003" s="166"/>
      <c r="F1003" s="13"/>
      <c r="G1003" s="11"/>
      <c r="H1003" s="13"/>
      <c r="I1003" s="13"/>
      <c r="J1003" s="64">
        <f>SUBTOTAL(109,'3.5 Fi&amp;Fo'!$K$47)</f>
        <v>0</v>
      </c>
      <c r="K1003" s="12"/>
      <c r="L1003" s="12"/>
      <c r="M1003" s="13"/>
      <c r="N1003" s="178"/>
      <c r="O1003" s="21"/>
      <c r="P1003" s="65">
        <f t="shared" ref="P1003:P1010" si="779">IF(N1003&gt;=1,O1003*$G$158^(1*M1003)/($G$157^(1*M1003)),0)</f>
        <v>0</v>
      </c>
      <c r="Q1003" s="66">
        <f t="shared" ref="Q1003:Q1010" si="780">IF(N1003&gt;=2,O1003*$G$158^(2*M1003)/($G$157^(2*M1003)),0)</f>
        <v>0</v>
      </c>
      <c r="R1003" s="66">
        <f t="shared" ref="R1003:R1010" si="781">IF(N1003&gt;=3,O1003*$G$158^(3*M1003)/($G$157^(3*M1003)),0)</f>
        <v>0</v>
      </c>
      <c r="S1003" s="66">
        <f t="shared" ref="S1003:S1010" si="782">IF(N1003&gt;=4,O1003*$G$158^(4*M1003)/($G$157^(4*M1003)),0)</f>
        <v>0</v>
      </c>
      <c r="T1003" s="67">
        <f t="shared" ref="T1003:T1010" si="783">IF(N1003&gt;=5,O1003*$G$158^(5*M1003)/($G$157^(5*M1003)),0)</f>
        <v>0</v>
      </c>
      <c r="U1003" s="37">
        <f t="shared" ref="U1003:U1033" si="784">IF(M1003=0,0,O1003*$G$158^(N1003*M1003)*((N1003+1)*M1003-$G$154)/M1003*(1/$G$157^$G$154))</f>
        <v>0</v>
      </c>
      <c r="V1003" s="40">
        <f t="shared" si="773"/>
        <v>0</v>
      </c>
      <c r="W1003" s="41">
        <f t="shared" si="774"/>
        <v>0</v>
      </c>
      <c r="X1003" s="42"/>
      <c r="Y1003" s="45"/>
      <c r="Z1003" s="127"/>
      <c r="AA1003" s="136"/>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824"/>
      <c r="BM1003" s="824"/>
      <c r="BN1003" s="824"/>
      <c r="BO1003" s="824"/>
      <c r="BP1003" s="824"/>
      <c r="BQ1003" s="824"/>
      <c r="BR1003" s="824"/>
      <c r="BS1003" s="824"/>
      <c r="BT1003" s="824"/>
      <c r="BU1003" s="824"/>
      <c r="BV1003" s="824"/>
      <c r="BW1003" s="824"/>
      <c r="BX1003" s="824"/>
      <c r="BY1003" s="824"/>
      <c r="BZ1003" s="824"/>
      <c r="CA1003" s="824"/>
      <c r="CB1003" s="824"/>
      <c r="CC1003" s="824"/>
      <c r="CD1003" s="824"/>
      <c r="CE1003" s="824"/>
      <c r="CF1003" s="824"/>
      <c r="CG1003" s="824"/>
      <c r="CH1003" s="824"/>
      <c r="CI1003" s="824"/>
      <c r="CJ1003" s="824"/>
      <c r="CK1003" s="824"/>
      <c r="CL1003" s="824"/>
      <c r="CM1003" s="824"/>
      <c r="CN1003" s="824"/>
      <c r="CO1003" s="824"/>
      <c r="CP1003" s="824"/>
      <c r="CQ1003" s="824"/>
      <c r="CR1003" s="824"/>
      <c r="CS1003" s="824"/>
      <c r="CT1003" s="824"/>
      <c r="CU1003" s="824"/>
      <c r="CV1003" s="824"/>
      <c r="CW1003" s="824"/>
      <c r="CX1003" s="824"/>
      <c r="CY1003" s="824"/>
      <c r="CZ1003" s="824"/>
      <c r="DA1003" s="824"/>
      <c r="DB1003" s="824"/>
      <c r="DC1003" s="824"/>
      <c r="DD1003" s="824"/>
      <c r="DE1003" s="824"/>
      <c r="DF1003" s="824"/>
      <c r="DG1003" s="824"/>
      <c r="DH1003" s="824"/>
      <c r="DI1003" s="824"/>
      <c r="DJ1003" s="824"/>
      <c r="DK1003" s="824"/>
      <c r="DL1003" s="824"/>
    </row>
    <row r="1004" spans="2:116" ht="12" thickBot="1" x14ac:dyDescent="0.3">
      <c r="B1004" s="1673"/>
      <c r="C1004" s="1680"/>
      <c r="D1004" s="16" t="str">
        <f>'3.2 Fi&amp;Fo'!$D$48</f>
        <v>Gebühren, Steuern und Abgaben</v>
      </c>
      <c r="E1004" s="97"/>
      <c r="F1004" s="9"/>
      <c r="G1004" s="116"/>
      <c r="H1004" s="9"/>
      <c r="I1004" s="9"/>
      <c r="J1004" s="5">
        <f ca="1">SUBTOTAL(109,'3.5 Fi&amp;Fo'!$K$48)-'PV-Einspeisung'!AB272</f>
        <v>2996.3999999999996</v>
      </c>
      <c r="K1004" s="116"/>
      <c r="L1004" s="116"/>
      <c r="M1004" s="9"/>
      <c r="N1004" s="179"/>
      <c r="O1004" s="22"/>
      <c r="P1004" s="30">
        <f t="shared" si="779"/>
        <v>0</v>
      </c>
      <c r="Q1004" s="31">
        <f t="shared" si="780"/>
        <v>0</v>
      </c>
      <c r="R1004" s="31">
        <f t="shared" si="781"/>
        <v>0</v>
      </c>
      <c r="S1004" s="31">
        <f t="shared" si="782"/>
        <v>0</v>
      </c>
      <c r="T1004" s="32">
        <f t="shared" si="783"/>
        <v>0</v>
      </c>
      <c r="U1004" s="37">
        <f t="shared" si="784"/>
        <v>0</v>
      </c>
      <c r="V1004" s="40">
        <f t="shared" si="773"/>
        <v>0</v>
      </c>
      <c r="W1004" s="41">
        <f t="shared" ca="1" si="774"/>
        <v>96249.766799551478</v>
      </c>
      <c r="X1004" s="43"/>
      <c r="Y1004" s="46"/>
      <c r="Z1004" s="126"/>
      <c r="AA1004" s="136"/>
      <c r="AB1004" s="3"/>
      <c r="AC1004" s="1665" t="s">
        <v>328</v>
      </c>
      <c r="AD1004" s="1665"/>
      <c r="AE1004" s="1665"/>
      <c r="AF1004" s="850" t="str">
        <f>LISTEN!$B$3</f>
        <v>Heizöl</v>
      </c>
      <c r="AG1004" s="850" t="str">
        <f>LISTEN!$C$3</f>
        <v>Erdgas</v>
      </c>
      <c r="AH1004" s="850" t="str">
        <f>LISTEN!$D$3</f>
        <v>Kohle</v>
      </c>
      <c r="AI1004" s="850" t="str">
        <f>LISTEN!$E$3</f>
        <v>Fernwärme ne.</v>
      </c>
      <c r="AJ1004" s="850" t="str">
        <f>LISTEN!$F$3</f>
        <v>Fernwärme e.</v>
      </c>
      <c r="AK1004" s="850" t="str">
        <f>LISTEN!$G$3</f>
        <v>Biomasse</v>
      </c>
      <c r="AL1004" s="850" t="str">
        <f>LISTEN!$H$3</f>
        <v>Strom</v>
      </c>
      <c r="AM1004" s="850" t="str">
        <f>LISTEN!$I$3</f>
        <v>Wärmepumpenstrom</v>
      </c>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824"/>
      <c r="BM1004" s="824"/>
      <c r="BN1004" s="827" t="s">
        <v>580</v>
      </c>
      <c r="BO1004" s="827">
        <v>1</v>
      </c>
      <c r="BP1004" s="827">
        <v>2</v>
      </c>
      <c r="BQ1004" s="827">
        <v>3</v>
      </c>
      <c r="BR1004" s="827">
        <v>4</v>
      </c>
      <c r="BS1004" s="827">
        <v>5</v>
      </c>
      <c r="BT1004" s="827">
        <v>6</v>
      </c>
      <c r="BU1004" s="827">
        <v>7</v>
      </c>
      <c r="BV1004" s="827">
        <v>8</v>
      </c>
      <c r="BW1004" s="827">
        <v>9</v>
      </c>
      <c r="BX1004" s="827">
        <v>10</v>
      </c>
      <c r="BY1004" s="827">
        <v>11</v>
      </c>
      <c r="BZ1004" s="827">
        <v>12</v>
      </c>
      <c r="CA1004" s="827">
        <v>13</v>
      </c>
      <c r="CB1004" s="827">
        <v>14</v>
      </c>
      <c r="CC1004" s="827">
        <v>15</v>
      </c>
      <c r="CD1004" s="827">
        <v>16</v>
      </c>
      <c r="CE1004" s="827">
        <v>17</v>
      </c>
      <c r="CF1004" s="827">
        <v>18</v>
      </c>
      <c r="CG1004" s="827">
        <v>19</v>
      </c>
      <c r="CH1004" s="827">
        <v>20</v>
      </c>
      <c r="CI1004" s="827">
        <v>21</v>
      </c>
      <c r="CJ1004" s="827">
        <v>22</v>
      </c>
      <c r="CK1004" s="827">
        <v>23</v>
      </c>
      <c r="CL1004" s="827">
        <v>24</v>
      </c>
      <c r="CM1004" s="827">
        <v>25</v>
      </c>
      <c r="CN1004" s="827">
        <v>26</v>
      </c>
      <c r="CO1004" s="827">
        <v>27</v>
      </c>
      <c r="CP1004" s="827">
        <v>28</v>
      </c>
      <c r="CQ1004" s="827">
        <v>29</v>
      </c>
      <c r="CR1004" s="827">
        <v>30</v>
      </c>
      <c r="CS1004" s="827">
        <v>31</v>
      </c>
      <c r="CT1004" s="827">
        <v>32</v>
      </c>
      <c r="CU1004" s="827">
        <v>33</v>
      </c>
      <c r="CV1004" s="827">
        <v>34</v>
      </c>
      <c r="CW1004" s="827">
        <v>35</v>
      </c>
      <c r="CX1004" s="827">
        <v>36</v>
      </c>
      <c r="CY1004" s="827">
        <v>37</v>
      </c>
      <c r="CZ1004" s="827">
        <v>38</v>
      </c>
      <c r="DA1004" s="827">
        <v>39</v>
      </c>
      <c r="DB1004" s="827">
        <v>40</v>
      </c>
      <c r="DC1004" s="827">
        <v>41</v>
      </c>
      <c r="DD1004" s="827">
        <v>42</v>
      </c>
      <c r="DE1004" s="827">
        <v>43</v>
      </c>
      <c r="DF1004" s="827">
        <v>44</v>
      </c>
      <c r="DG1004" s="827">
        <v>45</v>
      </c>
      <c r="DH1004" s="827">
        <v>46</v>
      </c>
      <c r="DI1004" s="827">
        <v>47</v>
      </c>
      <c r="DJ1004" s="827">
        <v>48</v>
      </c>
      <c r="DK1004" s="827">
        <v>49</v>
      </c>
      <c r="DL1004" s="827">
        <v>50</v>
      </c>
    </row>
    <row r="1005" spans="2:116" ht="12" thickBot="1" x14ac:dyDescent="0.3">
      <c r="B1005" s="1673"/>
      <c r="C1005" s="1680"/>
      <c r="D1005" s="16" t="str">
        <f>'3.2 Fi&amp;Fo'!$D$56</f>
        <v>Technisches Gebäudemanagement</v>
      </c>
      <c r="E1005" s="97"/>
      <c r="F1005" s="9"/>
      <c r="G1005" s="116"/>
      <c r="H1005" s="9"/>
      <c r="I1005" s="9"/>
      <c r="J1005" s="5">
        <f>SUBTOTAL(109,'3.5 Fi&amp;Fo'!$K$56)</f>
        <v>0</v>
      </c>
      <c r="K1005" s="116"/>
      <c r="L1005" s="116"/>
      <c r="M1005" s="9"/>
      <c r="N1005" s="179"/>
      <c r="O1005" s="22"/>
      <c r="P1005" s="30">
        <f t="shared" si="779"/>
        <v>0</v>
      </c>
      <c r="Q1005" s="31">
        <f t="shared" si="780"/>
        <v>0</v>
      </c>
      <c r="R1005" s="31">
        <f t="shared" si="781"/>
        <v>0</v>
      </c>
      <c r="S1005" s="31">
        <f t="shared" si="782"/>
        <v>0</v>
      </c>
      <c r="T1005" s="32">
        <f t="shared" si="783"/>
        <v>0</v>
      </c>
      <c r="U1005" s="37">
        <f t="shared" si="784"/>
        <v>0</v>
      </c>
      <c r="V1005" s="40">
        <f t="shared" si="773"/>
        <v>0</v>
      </c>
      <c r="W1005" s="41">
        <f t="shared" si="774"/>
        <v>0</v>
      </c>
      <c r="X1005" s="43"/>
      <c r="Y1005" s="46"/>
      <c r="Z1005" s="128"/>
      <c r="AA1005" s="136"/>
      <c r="AB1005" s="3"/>
      <c r="AC1005" s="156" t="s">
        <v>329</v>
      </c>
      <c r="AD1005" s="156" t="s">
        <v>199</v>
      </c>
      <c r="AE1005" s="156" t="s">
        <v>198</v>
      </c>
      <c r="AF1005" s="850">
        <f ca="1">SUMIF($L$1006:$L$1024,AF1004,$K$1006:$K$1024)</f>
        <v>0</v>
      </c>
      <c r="AG1005" s="850">
        <f t="shared" ref="AG1005:AM1005" ca="1" si="785">SUMIF($L$1006:$L$1024,AG1004,$K$1006:$K$1024)</f>
        <v>0</v>
      </c>
      <c r="AH1005" s="850">
        <f t="shared" ca="1" si="785"/>
        <v>0</v>
      </c>
      <c r="AI1005" s="850">
        <f t="shared" ca="1" si="785"/>
        <v>0</v>
      </c>
      <c r="AJ1005" s="850">
        <f t="shared" ca="1" si="785"/>
        <v>0</v>
      </c>
      <c r="AK1005" s="850">
        <f t="shared" ca="1" si="785"/>
        <v>0</v>
      </c>
      <c r="AL1005" s="850">
        <f t="shared" ca="1" si="785"/>
        <v>6456.61310976</v>
      </c>
      <c r="AM1005" s="850">
        <f t="shared" ca="1" si="785"/>
        <v>2012.5167268799999</v>
      </c>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824"/>
      <c r="BM1005" s="824"/>
      <c r="BN1005" s="828"/>
      <c r="BO1005" s="828">
        <f ca="1">SUM(BO896:BO1002)</f>
        <v>0</v>
      </c>
      <c r="BP1005" s="828">
        <f ca="1">SUM(BP896:BP1002)</f>
        <v>0</v>
      </c>
      <c r="BQ1005" s="828">
        <f ca="1">SUM(BQ896:BQ1002)</f>
        <v>0</v>
      </c>
      <c r="BR1005" s="828">
        <f ca="1">SUM(BR896:BR1002)</f>
        <v>0</v>
      </c>
      <c r="BS1005" s="828">
        <f t="shared" ref="BS1005:DL1005" ca="1" si="786">SUM(BS896:BS1002)</f>
        <v>0</v>
      </c>
      <c r="BT1005" s="828">
        <f t="shared" ca="1" si="786"/>
        <v>0</v>
      </c>
      <c r="BU1005" s="828">
        <f t="shared" ca="1" si="786"/>
        <v>0</v>
      </c>
      <c r="BV1005" s="828">
        <f t="shared" ca="1" si="786"/>
        <v>0</v>
      </c>
      <c r="BW1005" s="828">
        <f t="shared" ca="1" si="786"/>
        <v>0</v>
      </c>
      <c r="BX1005" s="828">
        <f t="shared" ca="1" si="786"/>
        <v>0</v>
      </c>
      <c r="BY1005" s="828">
        <f t="shared" ca="1" si="786"/>
        <v>0</v>
      </c>
      <c r="BZ1005" s="828">
        <f t="shared" ca="1" si="786"/>
        <v>0</v>
      </c>
      <c r="CA1005" s="828">
        <f t="shared" ca="1" si="786"/>
        <v>0</v>
      </c>
      <c r="CB1005" s="828">
        <f t="shared" ca="1" si="786"/>
        <v>0</v>
      </c>
      <c r="CC1005" s="828">
        <f t="shared" ca="1" si="786"/>
        <v>34998.871915890384</v>
      </c>
      <c r="CD1005" s="828">
        <f t="shared" ca="1" si="786"/>
        <v>0</v>
      </c>
      <c r="CE1005" s="828">
        <f t="shared" ca="1" si="786"/>
        <v>0</v>
      </c>
      <c r="CF1005" s="828">
        <f t="shared" ca="1" si="786"/>
        <v>0</v>
      </c>
      <c r="CG1005" s="828">
        <f t="shared" ca="1" si="786"/>
        <v>0</v>
      </c>
      <c r="CH1005" s="828">
        <f t="shared" ca="1" si="786"/>
        <v>32983.937103226628</v>
      </c>
      <c r="CI1005" s="828">
        <f t="shared" ca="1" si="786"/>
        <v>0</v>
      </c>
      <c r="CJ1005" s="828">
        <f t="shared" ca="1" si="786"/>
        <v>0</v>
      </c>
      <c r="CK1005" s="828">
        <f t="shared" ca="1" si="786"/>
        <v>0</v>
      </c>
      <c r="CL1005" s="828">
        <f t="shared" ca="1" si="786"/>
        <v>0</v>
      </c>
      <c r="CM1005" s="828">
        <f t="shared" ca="1" si="786"/>
        <v>105231.07945221136</v>
      </c>
      <c r="CN1005" s="828">
        <f t="shared" ca="1" si="786"/>
        <v>0</v>
      </c>
      <c r="CO1005" s="828">
        <f t="shared" ca="1" si="786"/>
        <v>0</v>
      </c>
      <c r="CP1005" s="828">
        <f t="shared" ca="1" si="786"/>
        <v>0</v>
      </c>
      <c r="CQ1005" s="828">
        <f t="shared" ca="1" si="786"/>
        <v>0</v>
      </c>
      <c r="CR1005" s="828">
        <f t="shared" ca="1" si="786"/>
        <v>194327.14782764448</v>
      </c>
      <c r="CS1005" s="828">
        <f t="shared" ca="1" si="786"/>
        <v>0</v>
      </c>
      <c r="CT1005" s="828">
        <f t="shared" ca="1" si="786"/>
        <v>0</v>
      </c>
      <c r="CU1005" s="828">
        <f t="shared" ca="1" si="786"/>
        <v>0</v>
      </c>
      <c r="CV1005" s="828">
        <f t="shared" ca="1" si="786"/>
        <v>0</v>
      </c>
      <c r="CW1005" s="828">
        <f t="shared" ca="1" si="786"/>
        <v>0</v>
      </c>
      <c r="CX1005" s="828">
        <f t="shared" ca="1" si="786"/>
        <v>0</v>
      </c>
      <c r="CY1005" s="828">
        <f t="shared" ca="1" si="786"/>
        <v>0</v>
      </c>
      <c r="CZ1005" s="828">
        <f t="shared" ca="1" si="786"/>
        <v>0</v>
      </c>
      <c r="DA1005" s="828">
        <f t="shared" ca="1" si="786"/>
        <v>0</v>
      </c>
      <c r="DB1005" s="828">
        <f t="shared" ca="1" si="786"/>
        <v>0</v>
      </c>
      <c r="DC1005" s="828">
        <f t="shared" ca="1" si="786"/>
        <v>0</v>
      </c>
      <c r="DD1005" s="828">
        <f t="shared" ca="1" si="786"/>
        <v>0</v>
      </c>
      <c r="DE1005" s="828">
        <f t="shared" ca="1" si="786"/>
        <v>0</v>
      </c>
      <c r="DF1005" s="828">
        <f t="shared" ca="1" si="786"/>
        <v>0</v>
      </c>
      <c r="DG1005" s="828">
        <f t="shared" ca="1" si="786"/>
        <v>0</v>
      </c>
      <c r="DH1005" s="828">
        <f t="shared" ca="1" si="786"/>
        <v>0</v>
      </c>
      <c r="DI1005" s="828">
        <f t="shared" ca="1" si="786"/>
        <v>0</v>
      </c>
      <c r="DJ1005" s="828">
        <f t="shared" ca="1" si="786"/>
        <v>0</v>
      </c>
      <c r="DK1005" s="828">
        <f t="shared" ca="1" si="786"/>
        <v>0</v>
      </c>
      <c r="DL1005" s="828">
        <f t="shared" ca="1" si="786"/>
        <v>0</v>
      </c>
    </row>
    <row r="1006" spans="2:116" ht="12" thickBot="1" x14ac:dyDescent="0.3">
      <c r="B1006" s="1673"/>
      <c r="C1006" s="1680"/>
      <c r="D1006" s="97" t="str">
        <f>'3.2 Fi&amp;Fo'!$E$63</f>
        <v>Heizung</v>
      </c>
      <c r="E1006" s="97"/>
      <c r="F1006" s="9"/>
      <c r="G1006" s="116"/>
      <c r="H1006" s="9"/>
      <c r="I1006" s="9"/>
      <c r="J1006" s="116"/>
      <c r="K1006" s="5">
        <f ca="1">SUBTOTAL(109,'3.5 Fi&amp;Fo'!$K$63)</f>
        <v>966.83086367999999</v>
      </c>
      <c r="L1006" s="5" t="str">
        <f ca="1">'2. Energie KW.'!F139</f>
        <v>Wärmepumpenstrom</v>
      </c>
      <c r="M1006" s="9"/>
      <c r="N1006" s="179"/>
      <c r="O1006" s="22"/>
      <c r="P1006" s="30">
        <f t="shared" si="779"/>
        <v>0</v>
      </c>
      <c r="Q1006" s="31">
        <f t="shared" si="780"/>
        <v>0</v>
      </c>
      <c r="R1006" s="31">
        <f t="shared" si="781"/>
        <v>0</v>
      </c>
      <c r="S1006" s="31">
        <f t="shared" si="782"/>
        <v>0</v>
      </c>
      <c r="T1006" s="32">
        <f t="shared" si="783"/>
        <v>0</v>
      </c>
      <c r="U1006" s="37">
        <f t="shared" si="784"/>
        <v>0</v>
      </c>
      <c r="V1006" s="40">
        <f t="shared" si="773"/>
        <v>0</v>
      </c>
      <c r="W1006" s="41">
        <f t="shared" si="774"/>
        <v>0</v>
      </c>
      <c r="X1006" s="43">
        <f ca="1">IFERROR(K1006*VLOOKUP(L1006,$A$159:$I$166,9,FALSE),0)</f>
        <v>42984.479975765949</v>
      </c>
      <c r="Y1006" s="46"/>
      <c r="Z1006" s="128"/>
      <c r="AA1006" s="136">
        <f ca="1">K1006*$O$151</f>
        <v>0</v>
      </c>
      <c r="AB1006" s="3"/>
      <c r="AC1006" s="156">
        <f ca="1">IF(L1006="f",K1006,0)</f>
        <v>0</v>
      </c>
      <c r="AD1006" s="156">
        <f ca="1">IF(L1006="s",K1006,0)</f>
        <v>0</v>
      </c>
      <c r="AE1006" s="156">
        <f ca="1">IF(L1006="b",K1006,0)</f>
        <v>0</v>
      </c>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row>
    <row r="1007" spans="2:116" ht="12" thickBot="1" x14ac:dyDescent="0.3">
      <c r="B1007" s="1673"/>
      <c r="C1007" s="1680"/>
      <c r="D1007" s="97" t="str">
        <f>'3.2 Fi&amp;Fo'!$E$64</f>
        <v>Heizung 2</v>
      </c>
      <c r="E1007" s="97"/>
      <c r="F1007" s="9"/>
      <c r="G1007" s="116"/>
      <c r="H1007" s="9"/>
      <c r="I1007" s="9"/>
      <c r="J1007" s="116"/>
      <c r="K1007" s="5">
        <f ca="1">SUBTOTAL(109,'3.5 Fi&amp;Fo'!$K$64)</f>
        <v>0</v>
      </c>
      <c r="L1007" s="5">
        <f ca="1">'2. Energie KW.'!F140</f>
        <v>0</v>
      </c>
      <c r="M1007" s="9"/>
      <c r="N1007" s="179"/>
      <c r="O1007" s="22"/>
      <c r="P1007" s="30">
        <f t="shared" si="779"/>
        <v>0</v>
      </c>
      <c r="Q1007" s="31">
        <f t="shared" si="780"/>
        <v>0</v>
      </c>
      <c r="R1007" s="31">
        <f t="shared" si="781"/>
        <v>0</v>
      </c>
      <c r="S1007" s="31">
        <f t="shared" si="782"/>
        <v>0</v>
      </c>
      <c r="T1007" s="32">
        <f t="shared" si="783"/>
        <v>0</v>
      </c>
      <c r="U1007" s="37">
        <f t="shared" si="784"/>
        <v>0</v>
      </c>
      <c r="V1007" s="40">
        <f t="shared" si="773"/>
        <v>0</v>
      </c>
      <c r="W1007" s="41">
        <f t="shared" si="774"/>
        <v>0</v>
      </c>
      <c r="X1007" s="43">
        <f t="shared" ref="X1007:X1026" ca="1" si="787">IFERROR(K1007*VLOOKUP(L1007,$A$159:$I$166,9,FALSE),0)</f>
        <v>0</v>
      </c>
      <c r="Y1007" s="46"/>
      <c r="Z1007" s="128"/>
      <c r="AA1007" s="136">
        <f ca="1">K1007*$O$151</f>
        <v>0</v>
      </c>
      <c r="AB1007" s="3"/>
      <c r="AC1007" s="156">
        <f t="shared" ref="AC1007:AC1027" ca="1" si="788">IF(L1007="f",K1007,0)</f>
        <v>0</v>
      </c>
      <c r="AD1007" s="156">
        <f t="shared" ref="AD1007:AD1027" ca="1" si="789">IF(L1007="s",K1007,0)</f>
        <v>0</v>
      </c>
      <c r="AE1007" s="156">
        <f t="shared" ref="AE1007:AE1027" ca="1" si="790">IF(L1007="b",K1007,0)</f>
        <v>0</v>
      </c>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row>
    <row r="1008" spans="2:116" ht="12" thickBot="1" x14ac:dyDescent="0.3">
      <c r="B1008" s="1673"/>
      <c r="C1008" s="1680"/>
      <c r="D1008" s="97" t="str">
        <f>'3.2 Fi&amp;Fo'!$E$65</f>
        <v>Warmwasser</v>
      </c>
      <c r="E1008" s="97"/>
      <c r="F1008" s="9"/>
      <c r="G1008" s="116"/>
      <c r="H1008" s="9"/>
      <c r="I1008" s="9"/>
      <c r="J1008" s="116"/>
      <c r="K1008" s="5">
        <f ca="1">SUBTOTAL(109,'3.5 Fi&amp;Fo'!$K$65)</f>
        <v>1045.6858631999999</v>
      </c>
      <c r="L1008" s="5" t="str">
        <f ca="1">'2. Energie KW.'!F141</f>
        <v>Wärmepumpenstrom</v>
      </c>
      <c r="M1008" s="9"/>
      <c r="N1008" s="179"/>
      <c r="O1008" s="22"/>
      <c r="P1008" s="30">
        <f t="shared" si="779"/>
        <v>0</v>
      </c>
      <c r="Q1008" s="31">
        <f t="shared" si="780"/>
        <v>0</v>
      </c>
      <c r="R1008" s="31">
        <f t="shared" si="781"/>
        <v>0</v>
      </c>
      <c r="S1008" s="31">
        <f t="shared" si="782"/>
        <v>0</v>
      </c>
      <c r="T1008" s="32">
        <f t="shared" si="783"/>
        <v>0</v>
      </c>
      <c r="U1008" s="37">
        <f t="shared" si="784"/>
        <v>0</v>
      </c>
      <c r="V1008" s="40">
        <f t="shared" si="773"/>
        <v>0</v>
      </c>
      <c r="W1008" s="41">
        <f t="shared" si="774"/>
        <v>0</v>
      </c>
      <c r="X1008" s="43">
        <f t="shared" ca="1" si="787"/>
        <v>46490.306356768131</v>
      </c>
      <c r="Y1008" s="46"/>
      <c r="Z1008" s="128"/>
      <c r="AA1008" s="136">
        <f ca="1">K1008*$O$151</f>
        <v>0</v>
      </c>
      <c r="AB1008" s="3"/>
      <c r="AC1008" s="156">
        <f t="shared" ca="1" si="788"/>
        <v>0</v>
      </c>
      <c r="AD1008" s="156">
        <f t="shared" ca="1" si="789"/>
        <v>0</v>
      </c>
      <c r="AE1008" s="156">
        <f t="shared" ca="1" si="790"/>
        <v>0</v>
      </c>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row>
    <row r="1009" spans="2:63" ht="12" thickBot="1" x14ac:dyDescent="0.3">
      <c r="B1009" s="1673"/>
      <c r="C1009" s="1680"/>
      <c r="D1009" s="97" t="str">
        <f>'3.2 Fi&amp;Fo'!$E$66</f>
        <v>Warmwasser 2</v>
      </c>
      <c r="E1009" s="97"/>
      <c r="F1009" s="9"/>
      <c r="G1009" s="116"/>
      <c r="H1009" s="9"/>
      <c r="I1009" s="9"/>
      <c r="J1009" s="116"/>
      <c r="K1009" s="5">
        <f ca="1">SUBTOTAL(109,'3.5 Fi&amp;Fo'!$K$66)</f>
        <v>0</v>
      </c>
      <c r="L1009" s="5">
        <f ca="1">'2. Energie KW.'!F142</f>
        <v>0</v>
      </c>
      <c r="M1009" s="9"/>
      <c r="N1009" s="179"/>
      <c r="O1009" s="22"/>
      <c r="P1009" s="30">
        <f t="shared" si="779"/>
        <v>0</v>
      </c>
      <c r="Q1009" s="31">
        <f t="shared" si="780"/>
        <v>0</v>
      </c>
      <c r="R1009" s="31">
        <f t="shared" si="781"/>
        <v>0</v>
      </c>
      <c r="S1009" s="31">
        <f t="shared" si="782"/>
        <v>0</v>
      </c>
      <c r="T1009" s="32">
        <f t="shared" si="783"/>
        <v>0</v>
      </c>
      <c r="U1009" s="37">
        <f t="shared" si="784"/>
        <v>0</v>
      </c>
      <c r="V1009" s="40">
        <f t="shared" si="773"/>
        <v>0</v>
      </c>
      <c r="W1009" s="41">
        <f t="shared" si="774"/>
        <v>0</v>
      </c>
      <c r="X1009" s="43">
        <f t="shared" ca="1" si="787"/>
        <v>0</v>
      </c>
      <c r="Y1009" s="46"/>
      <c r="Z1009" s="128"/>
      <c r="AA1009" s="136">
        <f ca="1">K1009*$O$151</f>
        <v>0</v>
      </c>
      <c r="AB1009" s="3"/>
      <c r="AC1009" s="156">
        <f t="shared" ca="1" si="788"/>
        <v>0</v>
      </c>
      <c r="AD1009" s="156">
        <f t="shared" ca="1" si="789"/>
        <v>0</v>
      </c>
      <c r="AE1009" s="156">
        <f t="shared" ca="1" si="790"/>
        <v>0</v>
      </c>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row>
    <row r="1010" spans="2:63" ht="12" thickBot="1" x14ac:dyDescent="0.3">
      <c r="B1010" s="1673"/>
      <c r="C1010" s="1680"/>
      <c r="D1010" s="97" t="str">
        <f>'3.2 Fi&amp;Fo'!$E$67</f>
        <v>Klimatisierung</v>
      </c>
      <c r="E1010" s="97"/>
      <c r="F1010" s="9"/>
      <c r="G1010" s="116"/>
      <c r="H1010" s="9"/>
      <c r="I1010" s="9"/>
      <c r="J1010" s="116"/>
      <c r="K1010" s="5">
        <f ca="1">SUBTOTAL(109,'3.5 Fi&amp;Fo'!$K$67)</f>
        <v>0</v>
      </c>
      <c r="L1010" s="5">
        <f ca="1">'2. Energie KW.'!F143</f>
        <v>0</v>
      </c>
      <c r="M1010" s="9"/>
      <c r="N1010" s="179"/>
      <c r="O1010" s="22"/>
      <c r="P1010" s="30">
        <f t="shared" si="779"/>
        <v>0</v>
      </c>
      <c r="Q1010" s="31">
        <f t="shared" si="780"/>
        <v>0</v>
      </c>
      <c r="R1010" s="31">
        <f t="shared" si="781"/>
        <v>0</v>
      </c>
      <c r="S1010" s="31">
        <f t="shared" si="782"/>
        <v>0</v>
      </c>
      <c r="T1010" s="32">
        <f t="shared" si="783"/>
        <v>0</v>
      </c>
      <c r="U1010" s="37">
        <f t="shared" si="784"/>
        <v>0</v>
      </c>
      <c r="V1010" s="40">
        <f t="shared" si="773"/>
        <v>0</v>
      </c>
      <c r="W1010" s="41">
        <f t="shared" si="774"/>
        <v>0</v>
      </c>
      <c r="X1010" s="43">
        <f t="shared" ca="1" si="787"/>
        <v>0</v>
      </c>
      <c r="Y1010" s="46"/>
      <c r="Z1010" s="128"/>
      <c r="AA1010" s="136">
        <f ca="1">K1010*$O$151</f>
        <v>0</v>
      </c>
      <c r="AB1010" s="3"/>
      <c r="AC1010" s="156">
        <f t="shared" ca="1" si="788"/>
        <v>0</v>
      </c>
      <c r="AD1010" s="156">
        <f t="shared" ca="1" si="789"/>
        <v>0</v>
      </c>
      <c r="AE1010" s="156">
        <f t="shared" ca="1" si="790"/>
        <v>0</v>
      </c>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row>
    <row r="1011" spans="2:63" ht="12" thickBot="1" x14ac:dyDescent="0.3">
      <c r="B1011" s="1673"/>
      <c r="C1011" s="1680"/>
      <c r="D1011" s="97"/>
      <c r="E1011" s="97"/>
      <c r="F1011" s="9"/>
      <c r="G1011" s="116"/>
      <c r="H1011" s="9"/>
      <c r="I1011" s="9"/>
      <c r="J1011" s="116"/>
      <c r="K1011" s="5"/>
      <c r="L1011" s="5"/>
      <c r="M1011" s="9"/>
      <c r="N1011" s="179"/>
      <c r="O1011" s="22"/>
      <c r="P1011" s="30"/>
      <c r="Q1011" s="31"/>
      <c r="R1011" s="31"/>
      <c r="S1011" s="31"/>
      <c r="T1011" s="32"/>
      <c r="U1011" s="37"/>
      <c r="V1011" s="40"/>
      <c r="W1011" s="41"/>
      <c r="X1011" s="43"/>
      <c r="Y1011" s="46"/>
      <c r="Z1011" s="128"/>
      <c r="AA1011" s="136"/>
      <c r="AB1011" s="3"/>
      <c r="AC1011" s="156"/>
      <c r="AD1011" s="156"/>
      <c r="AE1011" s="156"/>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row>
    <row r="1012" spans="2:63" ht="12" thickBot="1" x14ac:dyDescent="0.3">
      <c r="B1012" s="1673"/>
      <c r="C1012" s="1680"/>
      <c r="D1012" s="97" t="str">
        <f>'3.2 Fi&amp;Fo'!$E$68</f>
        <v>Kühlung</v>
      </c>
      <c r="E1012" s="97"/>
      <c r="F1012" s="9"/>
      <c r="G1012" s="116"/>
      <c r="H1012" s="9"/>
      <c r="I1012" s="9"/>
      <c r="J1012" s="116"/>
      <c r="K1012" s="5">
        <f ca="1">SUBTOTAL(109,'3.5 Fi&amp;Fo'!$K$68)</f>
        <v>0</v>
      </c>
      <c r="L1012" s="5">
        <f ca="1">'2. Energie KW.'!F144</f>
        <v>0</v>
      </c>
      <c r="M1012" s="9"/>
      <c r="N1012" s="179"/>
      <c r="O1012" s="22"/>
      <c r="P1012" s="30">
        <f>IF(N1012&gt;=1,O1012*$G$158^(1*M1012)/($G$157^(1*M1012)),0)</f>
        <v>0</v>
      </c>
      <c r="Q1012" s="31">
        <f>IF(N1012&gt;=2,O1012*$G$158^(2*M1012)/($G$157^(2*M1012)),0)</f>
        <v>0</v>
      </c>
      <c r="R1012" s="31">
        <f>IF(N1012&gt;=3,O1012*$G$158^(3*M1012)/($G$157^(3*M1012)),0)</f>
        <v>0</v>
      </c>
      <c r="S1012" s="31">
        <f>IF(N1012&gt;=4,O1012*$G$158^(4*M1012)/($G$157^(4*M1012)),0)</f>
        <v>0</v>
      </c>
      <c r="T1012" s="32">
        <f>IF(N1012&gt;=5,O1012*$G$158^(5*M1012)/($G$157^(5*M1012)),0)</f>
        <v>0</v>
      </c>
      <c r="U1012" s="37">
        <f t="shared" si="784"/>
        <v>0</v>
      </c>
      <c r="V1012" s="40">
        <f t="shared" ref="V1012:V1033" si="791">G1012*$I$169</f>
        <v>0</v>
      </c>
      <c r="W1012" s="41">
        <f t="shared" ref="W1012:W1033" si="792">(I1012+J1012)*$I$167</f>
        <v>0</v>
      </c>
      <c r="X1012" s="43">
        <f t="shared" ca="1" si="787"/>
        <v>0</v>
      </c>
      <c r="Y1012" s="46"/>
      <c r="Z1012" s="128"/>
      <c r="AA1012" s="136">
        <f t="shared" ref="AA1012:AA1027" ca="1" si="793">K1012*$O$151</f>
        <v>0</v>
      </c>
      <c r="AB1012" s="3"/>
      <c r="AC1012" s="156">
        <f t="shared" ca="1" si="788"/>
        <v>0</v>
      </c>
      <c r="AD1012" s="156">
        <f t="shared" ca="1" si="789"/>
        <v>0</v>
      </c>
      <c r="AE1012" s="156">
        <f t="shared" ca="1" si="790"/>
        <v>0</v>
      </c>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row>
    <row r="1013" spans="2:63" ht="12" thickBot="1" x14ac:dyDescent="0.3">
      <c r="B1013" s="1673"/>
      <c r="C1013" s="1680"/>
      <c r="D1013" s="97" t="str">
        <f>'3.2 Fi&amp;Fo'!$E$69</f>
        <v>Hilfstrom Heizung</v>
      </c>
      <c r="E1013" s="97"/>
      <c r="F1013" s="9"/>
      <c r="G1013" s="116"/>
      <c r="H1013" s="9"/>
      <c r="I1013" s="9"/>
      <c r="J1013" s="116"/>
      <c r="K1013" s="5">
        <f ca="1">SUBTOTAL(109,'3.5 Fi&amp;Fo'!$K$69)</f>
        <v>162.29258496</v>
      </c>
      <c r="L1013" s="5" t="str">
        <f>'2. Energie KW.'!F145</f>
        <v>Strom</v>
      </c>
      <c r="M1013" s="9"/>
      <c r="N1013" s="179"/>
      <c r="O1013" s="22"/>
      <c r="P1013" s="30">
        <f>IF(N1013&gt;=1,O1013*$G$158^(1*M1013)/($G$157^(1*M1013)),0)</f>
        <v>0</v>
      </c>
      <c r="Q1013" s="31">
        <f>IF(N1013&gt;=2,O1013*$G$158^(2*M1013)/($G$157^(2*M1013)),0)</f>
        <v>0</v>
      </c>
      <c r="R1013" s="31">
        <f>IF(N1013&gt;=3,O1013*$G$158^(3*M1013)/($G$157^(3*M1013)),0)</f>
        <v>0</v>
      </c>
      <c r="S1013" s="31">
        <f>IF(N1013&gt;=4,O1013*$G$158^(4*M1013)/($G$157^(4*M1013)),0)</f>
        <v>0</v>
      </c>
      <c r="T1013" s="32">
        <f>IF(N1013&gt;=5,O1013*$G$158^(5*M1013)/($G$157^(5*M1013)),0)</f>
        <v>0</v>
      </c>
      <c r="U1013" s="37">
        <f t="shared" si="784"/>
        <v>0</v>
      </c>
      <c r="V1013" s="40">
        <f t="shared" si="791"/>
        <v>0</v>
      </c>
      <c r="W1013" s="41">
        <f t="shared" si="792"/>
        <v>0</v>
      </c>
      <c r="X1013" s="43">
        <f t="shared" ca="1" si="787"/>
        <v>6058.9705136889606</v>
      </c>
      <c r="Y1013" s="46"/>
      <c r="Z1013" s="128"/>
      <c r="AA1013" s="136">
        <f t="shared" ca="1" si="793"/>
        <v>0</v>
      </c>
      <c r="AB1013" s="3"/>
      <c r="AC1013" s="156">
        <f t="shared" si="788"/>
        <v>0</v>
      </c>
      <c r="AD1013" s="156">
        <f t="shared" si="789"/>
        <v>0</v>
      </c>
      <c r="AE1013" s="156">
        <f t="shared" si="790"/>
        <v>0</v>
      </c>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row>
    <row r="1014" spans="2:63" ht="12" thickBot="1" x14ac:dyDescent="0.3">
      <c r="B1014" s="1673"/>
      <c r="C1014" s="1680"/>
      <c r="D1014" s="97" t="str">
        <f>'3.2 Fi&amp;Fo'!$E$70</f>
        <v>Hilfsstrom Warmwasser</v>
      </c>
      <c r="E1014" s="97"/>
      <c r="F1014" s="9"/>
      <c r="G1014" s="116"/>
      <c r="H1014" s="9"/>
      <c r="I1014" s="9"/>
      <c r="J1014" s="116"/>
      <c r="K1014" s="5">
        <f ca="1">SUBTOTAL(109,'3.5 Fi&amp;Fo'!$K$70)</f>
        <v>109.657152</v>
      </c>
      <c r="L1014" s="5" t="str">
        <f>'2. Energie KW.'!F146</f>
        <v>Strom</v>
      </c>
      <c r="M1014" s="9"/>
      <c r="N1014" s="179"/>
      <c r="O1014" s="22"/>
      <c r="P1014" s="30">
        <f>IF(N1014&gt;=1,O1014*$G$158^(1*M1014)/($G$157^(1*M1014)),0)</f>
        <v>0</v>
      </c>
      <c r="Q1014" s="31">
        <f>IF(N1014&gt;=2,O1014*$G$158^(2*M1014)/($G$157^(2*M1014)),0)</f>
        <v>0</v>
      </c>
      <c r="R1014" s="31">
        <f>IF(N1014&gt;=3,O1014*$G$158^(3*M1014)/($G$157^(3*M1014)),0)</f>
        <v>0</v>
      </c>
      <c r="S1014" s="31">
        <f>IF(N1014&gt;=4,O1014*$G$158^(4*M1014)/($G$157^(4*M1014)),0)</f>
        <v>0</v>
      </c>
      <c r="T1014" s="32">
        <f>IF(N1014&gt;=5,O1014*$G$158^(5*M1014)/($G$157^(5*M1014)),0)</f>
        <v>0</v>
      </c>
      <c r="U1014" s="37">
        <f t="shared" si="784"/>
        <v>0</v>
      </c>
      <c r="V1014" s="40">
        <f t="shared" si="791"/>
        <v>0</v>
      </c>
      <c r="W1014" s="41">
        <f t="shared" si="792"/>
        <v>0</v>
      </c>
      <c r="X1014" s="43">
        <f t="shared" ca="1" si="787"/>
        <v>4093.8989957357844</v>
      </c>
      <c r="Y1014" s="46"/>
      <c r="Z1014" s="128"/>
      <c r="AA1014" s="136">
        <f t="shared" ca="1" si="793"/>
        <v>0</v>
      </c>
      <c r="AB1014" s="3"/>
      <c r="AC1014" s="156">
        <f t="shared" si="788"/>
        <v>0</v>
      </c>
      <c r="AD1014" s="156">
        <f t="shared" si="789"/>
        <v>0</v>
      </c>
      <c r="AE1014" s="156">
        <f t="shared" si="790"/>
        <v>0</v>
      </c>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row>
    <row r="1015" spans="2:63" ht="12" thickBot="1" x14ac:dyDescent="0.3">
      <c r="B1015" s="1673"/>
      <c r="C1015" s="1680"/>
      <c r="D1015" s="97" t="str">
        <f>'3.2 Fi&amp;Fo'!$E$71</f>
        <v>Hilfsstrom Solaranlage</v>
      </c>
      <c r="E1015" s="97"/>
      <c r="F1015" s="9"/>
      <c r="G1015" s="116"/>
      <c r="H1015" s="9"/>
      <c r="I1015" s="9"/>
      <c r="J1015" s="116"/>
      <c r="K1015" s="5">
        <f ca="1">SUBTOTAL(109,'3.5 Fi&amp;Fo'!$K$71)</f>
        <v>0</v>
      </c>
      <c r="L1015" s="5" t="str">
        <f>'2. Energie KW.'!F147</f>
        <v>Strom</v>
      </c>
      <c r="M1015" s="9"/>
      <c r="N1015" s="179"/>
      <c r="O1015" s="22"/>
      <c r="P1015" s="30">
        <f t="shared" ref="P1015:P1029" si="794">IF(N1015&gt;=1,O1015*$G$158^(1*M1015)/($G$157^(1*M1015)),0)</f>
        <v>0</v>
      </c>
      <c r="Q1015" s="31">
        <f t="shared" ref="Q1015:Q1029" si="795">IF(N1015&gt;=2,O1015*$G$158^(2*M1015)/($G$157^(2*M1015)),0)</f>
        <v>0</v>
      </c>
      <c r="R1015" s="31">
        <f t="shared" ref="R1015:R1029" si="796">IF(N1015&gt;=3,O1015*$G$158^(3*M1015)/($G$157^(3*M1015)),0)</f>
        <v>0</v>
      </c>
      <c r="S1015" s="31">
        <f t="shared" ref="S1015:S1029" si="797">IF(N1015&gt;=4,O1015*$G$158^(4*M1015)/($G$157^(4*M1015)),0)</f>
        <v>0</v>
      </c>
      <c r="T1015" s="32">
        <f t="shared" ref="T1015:T1029" si="798">IF(N1015&gt;=5,O1015*$G$158^(5*M1015)/($G$157^(5*M1015)),0)</f>
        <v>0</v>
      </c>
      <c r="U1015" s="37">
        <f t="shared" si="784"/>
        <v>0</v>
      </c>
      <c r="V1015" s="40">
        <f t="shared" si="791"/>
        <v>0</v>
      </c>
      <c r="W1015" s="41">
        <f t="shared" si="792"/>
        <v>0</v>
      </c>
      <c r="X1015" s="43">
        <f t="shared" ca="1" si="787"/>
        <v>0</v>
      </c>
      <c r="Y1015" s="46"/>
      <c r="Z1015" s="128"/>
      <c r="AA1015" s="136">
        <f t="shared" ca="1" si="793"/>
        <v>0</v>
      </c>
      <c r="AB1015" s="3"/>
      <c r="AC1015" s="156">
        <f t="shared" si="788"/>
        <v>0</v>
      </c>
      <c r="AD1015" s="156">
        <f t="shared" si="789"/>
        <v>0</v>
      </c>
      <c r="AE1015" s="156">
        <f t="shared" si="790"/>
        <v>0</v>
      </c>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row>
    <row r="1016" spans="2:63" ht="12" thickBot="1" x14ac:dyDescent="0.3">
      <c r="B1016" s="1673"/>
      <c r="C1016" s="1680"/>
      <c r="D1016" s="97" t="str">
        <f>'3.2 Fi&amp;Fo'!$E$72</f>
        <v>Hilfsstrom Klimatisierung</v>
      </c>
      <c r="E1016" s="97"/>
      <c r="F1016" s="9"/>
      <c r="G1016" s="116"/>
      <c r="H1016" s="9"/>
      <c r="I1016" s="9"/>
      <c r="J1016" s="116"/>
      <c r="K1016" s="5">
        <f ca="1">SUBTOTAL(109,'3.5 Fi&amp;Fo'!$K$72)</f>
        <v>0</v>
      </c>
      <c r="L1016" s="5" t="str">
        <f>'2. Energie KW.'!F148</f>
        <v>Strom</v>
      </c>
      <c r="M1016" s="9"/>
      <c r="N1016" s="179"/>
      <c r="O1016" s="22"/>
      <c r="P1016" s="30">
        <f t="shared" si="794"/>
        <v>0</v>
      </c>
      <c r="Q1016" s="31">
        <f t="shared" si="795"/>
        <v>0</v>
      </c>
      <c r="R1016" s="31">
        <f t="shared" si="796"/>
        <v>0</v>
      </c>
      <c r="S1016" s="31">
        <f t="shared" si="797"/>
        <v>0</v>
      </c>
      <c r="T1016" s="32">
        <f t="shared" si="798"/>
        <v>0</v>
      </c>
      <c r="U1016" s="37">
        <f t="shared" si="784"/>
        <v>0</v>
      </c>
      <c r="V1016" s="40">
        <f t="shared" si="791"/>
        <v>0</v>
      </c>
      <c r="W1016" s="41">
        <f t="shared" si="792"/>
        <v>0</v>
      </c>
      <c r="X1016" s="43">
        <f t="shared" ca="1" si="787"/>
        <v>0</v>
      </c>
      <c r="Y1016" s="46"/>
      <c r="Z1016" s="128"/>
      <c r="AA1016" s="136">
        <f t="shared" ca="1" si="793"/>
        <v>0</v>
      </c>
      <c r="AB1016" s="3"/>
      <c r="AC1016" s="156">
        <f t="shared" si="788"/>
        <v>0</v>
      </c>
      <c r="AD1016" s="156">
        <f t="shared" si="789"/>
        <v>0</v>
      </c>
      <c r="AE1016" s="156">
        <f t="shared" si="790"/>
        <v>0</v>
      </c>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row>
    <row r="1017" spans="2:63" ht="12" thickBot="1" x14ac:dyDescent="0.3">
      <c r="B1017" s="1673"/>
      <c r="C1017" s="1680"/>
      <c r="D1017" s="97" t="str">
        <f>'3.2 Fi&amp;Fo'!$E$73</f>
        <v>Hilfsstrom Lüftung</v>
      </c>
      <c r="E1017" s="97"/>
      <c r="F1017" s="9"/>
      <c r="G1017" s="116"/>
      <c r="H1017" s="9"/>
      <c r="I1017" s="9"/>
      <c r="J1017" s="116"/>
      <c r="K1017" s="5">
        <f ca="1">SUBTOTAL(109,'3.5 Fi&amp;Fo'!$K$73)</f>
        <v>701.8057728</v>
      </c>
      <c r="L1017" s="5" t="str">
        <f>'2. Energie KW.'!F149</f>
        <v>Strom</v>
      </c>
      <c r="M1017" s="9"/>
      <c r="N1017" s="179"/>
      <c r="O1017" s="22"/>
      <c r="P1017" s="30">
        <f t="shared" si="794"/>
        <v>0</v>
      </c>
      <c r="Q1017" s="31">
        <f t="shared" si="795"/>
        <v>0</v>
      </c>
      <c r="R1017" s="31">
        <f t="shared" si="796"/>
        <v>0</v>
      </c>
      <c r="S1017" s="31">
        <f t="shared" si="797"/>
        <v>0</v>
      </c>
      <c r="T1017" s="32">
        <f t="shared" si="798"/>
        <v>0</v>
      </c>
      <c r="U1017" s="37">
        <f t="shared" si="784"/>
        <v>0</v>
      </c>
      <c r="V1017" s="40">
        <f t="shared" si="791"/>
        <v>0</v>
      </c>
      <c r="W1017" s="41">
        <f t="shared" si="792"/>
        <v>0</v>
      </c>
      <c r="X1017" s="43">
        <f t="shared" ca="1" si="787"/>
        <v>26200.953572709019</v>
      </c>
      <c r="Y1017" s="46"/>
      <c r="Z1017" s="128"/>
      <c r="AA1017" s="136">
        <f t="shared" ca="1" si="793"/>
        <v>0</v>
      </c>
      <c r="AB1017" s="3"/>
      <c r="AC1017" s="156">
        <f t="shared" si="788"/>
        <v>0</v>
      </c>
      <c r="AD1017" s="156">
        <f t="shared" si="789"/>
        <v>0</v>
      </c>
      <c r="AE1017" s="156">
        <f t="shared" si="790"/>
        <v>0</v>
      </c>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row>
    <row r="1018" spans="2:63" ht="12" thickBot="1" x14ac:dyDescent="0.3">
      <c r="B1018" s="1673"/>
      <c r="C1018" s="1680"/>
      <c r="D1018" s="97" t="str">
        <f>'3.2 Fi&amp;Fo'!$E$74</f>
        <v>Hilfsstrom Kühlung</v>
      </c>
      <c r="E1018" s="97"/>
      <c r="F1018" s="9"/>
      <c r="G1018" s="116"/>
      <c r="H1018" s="9"/>
      <c r="I1018" s="9"/>
      <c r="J1018" s="116"/>
      <c r="K1018" s="5">
        <f ca="1">SUBTOTAL(109,'3.5 Fi&amp;Fo'!$K$74)</f>
        <v>0</v>
      </c>
      <c r="L1018" s="5" t="str">
        <f>'2. Energie KW.'!F150</f>
        <v>Strom</v>
      </c>
      <c r="M1018" s="9"/>
      <c r="N1018" s="179"/>
      <c r="O1018" s="22"/>
      <c r="P1018" s="30">
        <f t="shared" si="794"/>
        <v>0</v>
      </c>
      <c r="Q1018" s="31">
        <f t="shared" si="795"/>
        <v>0</v>
      </c>
      <c r="R1018" s="31">
        <f t="shared" si="796"/>
        <v>0</v>
      </c>
      <c r="S1018" s="31">
        <f t="shared" si="797"/>
        <v>0</v>
      </c>
      <c r="T1018" s="32">
        <f t="shared" si="798"/>
        <v>0</v>
      </c>
      <c r="U1018" s="37">
        <f t="shared" si="784"/>
        <v>0</v>
      </c>
      <c r="V1018" s="40">
        <f t="shared" si="791"/>
        <v>0</v>
      </c>
      <c r="W1018" s="41">
        <f t="shared" si="792"/>
        <v>0</v>
      </c>
      <c r="X1018" s="43">
        <f t="shared" ca="1" si="787"/>
        <v>0</v>
      </c>
      <c r="Y1018" s="46"/>
      <c r="Z1018" s="128"/>
      <c r="AA1018" s="136">
        <f t="shared" ca="1" si="793"/>
        <v>0</v>
      </c>
      <c r="AB1018" s="3"/>
      <c r="AC1018" s="156">
        <f t="shared" si="788"/>
        <v>0</v>
      </c>
      <c r="AD1018" s="156">
        <f t="shared" si="789"/>
        <v>0</v>
      </c>
      <c r="AE1018" s="156">
        <f t="shared" si="790"/>
        <v>0</v>
      </c>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row>
    <row r="1019" spans="2:63" ht="12" thickBot="1" x14ac:dyDescent="0.3">
      <c r="B1019" s="1673"/>
      <c r="C1019" s="1680"/>
      <c r="D1019" s="97" t="str">
        <f>'3.2 Fi&amp;Fo'!$E$75</f>
        <v>Beleuchtung</v>
      </c>
      <c r="E1019" s="97"/>
      <c r="F1019" s="9"/>
      <c r="G1019" s="116"/>
      <c r="H1019" s="9"/>
      <c r="I1019" s="9"/>
      <c r="J1019" s="116"/>
      <c r="K1019" s="5">
        <f ca="1">SUBTOTAL(109,'3.5 Fi&amp;Fo'!$K$75)</f>
        <v>0</v>
      </c>
      <c r="L1019" s="5" t="str">
        <f>'2. Energie KW.'!F151</f>
        <v>Strom</v>
      </c>
      <c r="M1019" s="9"/>
      <c r="N1019" s="179"/>
      <c r="O1019" s="22"/>
      <c r="P1019" s="30">
        <f t="shared" si="794"/>
        <v>0</v>
      </c>
      <c r="Q1019" s="31">
        <f t="shared" si="795"/>
        <v>0</v>
      </c>
      <c r="R1019" s="31">
        <f t="shared" si="796"/>
        <v>0</v>
      </c>
      <c r="S1019" s="31">
        <f t="shared" si="797"/>
        <v>0</v>
      </c>
      <c r="T1019" s="32">
        <f t="shared" si="798"/>
        <v>0</v>
      </c>
      <c r="U1019" s="37">
        <f t="shared" si="784"/>
        <v>0</v>
      </c>
      <c r="V1019" s="40">
        <f t="shared" si="791"/>
        <v>0</v>
      </c>
      <c r="W1019" s="41">
        <f t="shared" si="792"/>
        <v>0</v>
      </c>
      <c r="X1019" s="43">
        <f t="shared" ca="1" si="787"/>
        <v>0</v>
      </c>
      <c r="Y1019" s="46"/>
      <c r="Z1019" s="128"/>
      <c r="AA1019" s="136">
        <f t="shared" ca="1" si="793"/>
        <v>0</v>
      </c>
      <c r="AB1019" s="3"/>
      <c r="AC1019" s="156">
        <f t="shared" si="788"/>
        <v>0</v>
      </c>
      <c r="AD1019" s="156">
        <f t="shared" si="789"/>
        <v>0</v>
      </c>
      <c r="AE1019" s="156">
        <f t="shared" si="790"/>
        <v>0</v>
      </c>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row>
    <row r="1020" spans="2:63" ht="12" thickBot="1" x14ac:dyDescent="0.3">
      <c r="B1020" s="1673"/>
      <c r="C1020" s="1680"/>
      <c r="D1020" s="97" t="str">
        <f>'3.2 Fi&amp;Fo'!$E$76</f>
        <v>EDV</v>
      </c>
      <c r="E1020" s="97"/>
      <c r="F1020" s="9"/>
      <c r="G1020" s="116"/>
      <c r="H1020" s="9"/>
      <c r="I1020" s="9"/>
      <c r="J1020" s="116"/>
      <c r="K1020" s="5">
        <f ca="1">SUBTOTAL(109,'3.5 Fi&amp;Fo'!$K$76)</f>
        <v>0</v>
      </c>
      <c r="L1020" s="5" t="str">
        <f>'2. Energie KW.'!F152</f>
        <v>Strom</v>
      </c>
      <c r="M1020" s="9"/>
      <c r="N1020" s="179"/>
      <c r="O1020" s="22"/>
      <c r="P1020" s="30">
        <f t="shared" si="794"/>
        <v>0</v>
      </c>
      <c r="Q1020" s="31">
        <f t="shared" si="795"/>
        <v>0</v>
      </c>
      <c r="R1020" s="31">
        <f t="shared" si="796"/>
        <v>0</v>
      </c>
      <c r="S1020" s="31">
        <f t="shared" si="797"/>
        <v>0</v>
      </c>
      <c r="T1020" s="32">
        <f t="shared" si="798"/>
        <v>0</v>
      </c>
      <c r="U1020" s="37">
        <f t="shared" si="784"/>
        <v>0</v>
      </c>
      <c r="V1020" s="40">
        <f t="shared" si="791"/>
        <v>0</v>
      </c>
      <c r="W1020" s="41">
        <f t="shared" si="792"/>
        <v>0</v>
      </c>
      <c r="X1020" s="43">
        <f t="shared" ca="1" si="787"/>
        <v>0</v>
      </c>
      <c r="Y1020" s="46"/>
      <c r="Z1020" s="128"/>
      <c r="AA1020" s="136">
        <f t="shared" ca="1" si="793"/>
        <v>0</v>
      </c>
      <c r="AB1020" s="3"/>
      <c r="AC1020" s="156">
        <f t="shared" si="788"/>
        <v>0</v>
      </c>
      <c r="AD1020" s="156">
        <f t="shared" si="789"/>
        <v>0</v>
      </c>
      <c r="AE1020" s="156">
        <f t="shared" si="790"/>
        <v>0</v>
      </c>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row>
    <row r="1021" spans="2:63" ht="12" thickBot="1" x14ac:dyDescent="0.3">
      <c r="B1021" s="1673"/>
      <c r="C1021" s="1680"/>
      <c r="D1021" s="97" t="str">
        <f>'3.2 Fi&amp;Fo'!$E$77</f>
        <v>Haushaltsstrom</v>
      </c>
      <c r="E1021" s="97"/>
      <c r="F1021" s="9"/>
      <c r="G1021" s="116"/>
      <c r="H1021" s="9"/>
      <c r="I1021" s="9"/>
      <c r="J1021" s="116"/>
      <c r="K1021" s="5">
        <f ca="1">SUBTOTAL(109,'3.5 Fi&amp;Fo'!$K$77)</f>
        <v>5482.8576000000003</v>
      </c>
      <c r="L1021" s="5" t="str">
        <f>'2. Energie KW.'!F153</f>
        <v>Strom</v>
      </c>
      <c r="M1021" s="9"/>
      <c r="N1021" s="179"/>
      <c r="O1021" s="22"/>
      <c r="P1021" s="30">
        <f t="shared" si="794"/>
        <v>0</v>
      </c>
      <c r="Q1021" s="31">
        <f t="shared" si="795"/>
        <v>0</v>
      </c>
      <c r="R1021" s="31">
        <f t="shared" si="796"/>
        <v>0</v>
      </c>
      <c r="S1021" s="31">
        <f t="shared" si="797"/>
        <v>0</v>
      </c>
      <c r="T1021" s="32">
        <f t="shared" si="798"/>
        <v>0</v>
      </c>
      <c r="U1021" s="37">
        <f t="shared" si="784"/>
        <v>0</v>
      </c>
      <c r="V1021" s="40">
        <f t="shared" si="791"/>
        <v>0</v>
      </c>
      <c r="W1021" s="41">
        <f t="shared" si="792"/>
        <v>0</v>
      </c>
      <c r="X1021" s="43">
        <f t="shared" ca="1" si="787"/>
        <v>204694.94978678922</v>
      </c>
      <c r="Y1021" s="46"/>
      <c r="Z1021" s="128"/>
      <c r="AA1021" s="136">
        <f t="shared" ca="1" si="793"/>
        <v>0</v>
      </c>
      <c r="AB1021" s="3"/>
      <c r="AC1021" s="156">
        <f t="shared" si="788"/>
        <v>0</v>
      </c>
      <c r="AD1021" s="156">
        <f t="shared" si="789"/>
        <v>0</v>
      </c>
      <c r="AE1021" s="156">
        <f t="shared" si="790"/>
        <v>0</v>
      </c>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row>
    <row r="1022" spans="2:63" ht="12" thickBot="1" x14ac:dyDescent="0.3">
      <c r="B1022" s="1673"/>
      <c r="C1022" s="1680"/>
      <c r="D1022" s="97" t="str">
        <f>'3.2 Fi&amp;Fo'!$E$78</f>
        <v>Befeuchten</v>
      </c>
      <c r="E1022" s="97"/>
      <c r="F1022" s="9"/>
      <c r="G1022" s="116"/>
      <c r="H1022" s="9"/>
      <c r="I1022" s="9"/>
      <c r="J1022" s="116"/>
      <c r="K1022" s="5">
        <f ca="1">SUBTOTAL(109,'3.5 Fi&amp;Fo'!$K$78)</f>
        <v>0</v>
      </c>
      <c r="L1022" s="5">
        <f ca="1">'2. Energie KW.'!F154</f>
        <v>0</v>
      </c>
      <c r="M1022" s="9"/>
      <c r="N1022" s="179"/>
      <c r="O1022" s="22"/>
      <c r="P1022" s="30">
        <f t="shared" si="794"/>
        <v>0</v>
      </c>
      <c r="Q1022" s="31">
        <f t="shared" si="795"/>
        <v>0</v>
      </c>
      <c r="R1022" s="31">
        <f t="shared" si="796"/>
        <v>0</v>
      </c>
      <c r="S1022" s="31">
        <f t="shared" si="797"/>
        <v>0</v>
      </c>
      <c r="T1022" s="32">
        <f t="shared" si="798"/>
        <v>0</v>
      </c>
      <c r="U1022" s="37">
        <f t="shared" si="784"/>
        <v>0</v>
      </c>
      <c r="V1022" s="40">
        <f t="shared" si="791"/>
        <v>0</v>
      </c>
      <c r="W1022" s="41">
        <f t="shared" si="792"/>
        <v>0</v>
      </c>
      <c r="X1022" s="43">
        <f t="shared" ca="1" si="787"/>
        <v>0</v>
      </c>
      <c r="Y1022" s="46"/>
      <c r="Z1022" s="128"/>
      <c r="AA1022" s="136">
        <f t="shared" ca="1" si="793"/>
        <v>0</v>
      </c>
      <c r="AB1022" s="3"/>
      <c r="AC1022" s="156">
        <f t="shared" ca="1" si="788"/>
        <v>0</v>
      </c>
      <c r="AD1022" s="156">
        <f t="shared" ca="1" si="789"/>
        <v>0</v>
      </c>
      <c r="AE1022" s="156">
        <f t="shared" ca="1" si="790"/>
        <v>0</v>
      </c>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row>
    <row r="1023" spans="2:63" ht="12" thickBot="1" x14ac:dyDescent="0.3">
      <c r="B1023" s="1673"/>
      <c r="C1023" s="1680"/>
      <c r="D1023" s="97" t="str">
        <f>'3.2 Fi&amp;Fo'!$E$79</f>
        <v>Entfeuchten</v>
      </c>
      <c r="E1023" s="97"/>
      <c r="F1023" s="9"/>
      <c r="G1023" s="116"/>
      <c r="H1023" s="9"/>
      <c r="I1023" s="9"/>
      <c r="J1023" s="116"/>
      <c r="K1023" s="5">
        <f ca="1">SUBTOTAL(109,'3.5 Fi&amp;Fo'!$K$79)</f>
        <v>0</v>
      </c>
      <c r="L1023" s="5">
        <f ca="1">'2. Energie KW.'!F155</f>
        <v>0</v>
      </c>
      <c r="M1023" s="9"/>
      <c r="N1023" s="179"/>
      <c r="O1023" s="22"/>
      <c r="P1023" s="30">
        <f t="shared" si="794"/>
        <v>0</v>
      </c>
      <c r="Q1023" s="31">
        <f t="shared" si="795"/>
        <v>0</v>
      </c>
      <c r="R1023" s="31">
        <f t="shared" si="796"/>
        <v>0</v>
      </c>
      <c r="S1023" s="31">
        <f t="shared" si="797"/>
        <v>0</v>
      </c>
      <c r="T1023" s="32">
        <f t="shared" si="798"/>
        <v>0</v>
      </c>
      <c r="U1023" s="37">
        <f t="shared" si="784"/>
        <v>0</v>
      </c>
      <c r="V1023" s="40">
        <f t="shared" si="791"/>
        <v>0</v>
      </c>
      <c r="W1023" s="41">
        <f t="shared" si="792"/>
        <v>0</v>
      </c>
      <c r="X1023" s="43">
        <f t="shared" ca="1" si="787"/>
        <v>0</v>
      </c>
      <c r="Y1023" s="46"/>
      <c r="Z1023" s="128"/>
      <c r="AA1023" s="136">
        <f t="shared" ca="1" si="793"/>
        <v>0</v>
      </c>
      <c r="AB1023" s="3"/>
      <c r="AC1023" s="156">
        <f t="shared" ca="1" si="788"/>
        <v>0</v>
      </c>
      <c r="AD1023" s="156">
        <f t="shared" ca="1" si="789"/>
        <v>0</v>
      </c>
      <c r="AE1023" s="156">
        <f t="shared" ca="1" si="790"/>
        <v>0</v>
      </c>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row>
    <row r="1024" spans="2:63" ht="12" thickBot="1" x14ac:dyDescent="0.3">
      <c r="B1024" s="1673"/>
      <c r="C1024" s="1680"/>
      <c r="D1024" s="97" t="str">
        <f>'3.2 Fi&amp;Fo'!$E$80</f>
        <v>Sonstiges</v>
      </c>
      <c r="E1024" s="97"/>
      <c r="F1024" s="9"/>
      <c r="G1024" s="116"/>
      <c r="H1024" s="9"/>
      <c r="I1024" s="9"/>
      <c r="J1024" s="116"/>
      <c r="K1024" s="5">
        <f ca="1">SUBTOTAL(109,'3.5 Fi&amp;Fo'!$K$80)</f>
        <v>0</v>
      </c>
      <c r="L1024" s="5">
        <f ca="1">'2. Energie KW.'!F156</f>
        <v>0</v>
      </c>
      <c r="M1024" s="9"/>
      <c r="N1024" s="179"/>
      <c r="O1024" s="22"/>
      <c r="P1024" s="30">
        <f t="shared" si="794"/>
        <v>0</v>
      </c>
      <c r="Q1024" s="31">
        <f t="shared" si="795"/>
        <v>0</v>
      </c>
      <c r="R1024" s="31">
        <f t="shared" si="796"/>
        <v>0</v>
      </c>
      <c r="S1024" s="31">
        <f t="shared" si="797"/>
        <v>0</v>
      </c>
      <c r="T1024" s="32">
        <f t="shared" si="798"/>
        <v>0</v>
      </c>
      <c r="U1024" s="37">
        <f t="shared" si="784"/>
        <v>0</v>
      </c>
      <c r="V1024" s="40">
        <f t="shared" si="791"/>
        <v>0</v>
      </c>
      <c r="W1024" s="41">
        <f t="shared" si="792"/>
        <v>0</v>
      </c>
      <c r="X1024" s="43">
        <f t="shared" ca="1" si="787"/>
        <v>0</v>
      </c>
      <c r="Y1024" s="46"/>
      <c r="Z1024" s="128"/>
      <c r="AA1024" s="136">
        <f t="shared" ca="1" si="793"/>
        <v>0</v>
      </c>
      <c r="AB1024" s="3"/>
      <c r="AC1024" s="156">
        <f t="shared" ca="1" si="788"/>
        <v>0</v>
      </c>
      <c r="AD1024" s="156">
        <f t="shared" ca="1" si="789"/>
        <v>0</v>
      </c>
      <c r="AE1024" s="156">
        <f t="shared" ca="1" si="790"/>
        <v>0</v>
      </c>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row>
    <row r="1025" spans="2:63" ht="12" thickBot="1" x14ac:dyDescent="0.3">
      <c r="B1025" s="1673"/>
      <c r="C1025" s="1680"/>
      <c r="D1025" s="97" t="str">
        <f>'3.2 Fi&amp;Fo'!$E$84</f>
        <v>Eigennutzung PV</v>
      </c>
      <c r="E1025" s="97"/>
      <c r="F1025" s="9"/>
      <c r="G1025" s="116"/>
      <c r="H1025" s="9"/>
      <c r="I1025" s="9"/>
      <c r="J1025" s="116"/>
      <c r="K1025" s="5"/>
      <c r="L1025" s="5"/>
      <c r="M1025" s="9"/>
      <c r="N1025" s="179"/>
      <c r="O1025" s="22"/>
      <c r="P1025" s="30">
        <f t="shared" si="794"/>
        <v>0</v>
      </c>
      <c r="Q1025" s="31">
        <f t="shared" si="795"/>
        <v>0</v>
      </c>
      <c r="R1025" s="31">
        <f t="shared" si="796"/>
        <v>0</v>
      </c>
      <c r="S1025" s="31">
        <f t="shared" si="797"/>
        <v>0</v>
      </c>
      <c r="T1025" s="32">
        <f t="shared" si="798"/>
        <v>0</v>
      </c>
      <c r="U1025" s="37">
        <f t="shared" si="784"/>
        <v>0</v>
      </c>
      <c r="V1025" s="40">
        <f t="shared" si="791"/>
        <v>0</v>
      </c>
      <c r="W1025" s="41">
        <f t="shared" si="792"/>
        <v>0</v>
      </c>
      <c r="X1025" s="43">
        <f t="shared" si="787"/>
        <v>0</v>
      </c>
      <c r="Y1025" s="46"/>
      <c r="Z1025" s="128"/>
      <c r="AA1025" s="136">
        <f t="shared" si="793"/>
        <v>0</v>
      </c>
      <c r="AB1025" s="3"/>
      <c r="AC1025" s="156">
        <f t="shared" si="788"/>
        <v>0</v>
      </c>
      <c r="AD1025" s="156">
        <f t="shared" si="789"/>
        <v>0</v>
      </c>
      <c r="AE1025" s="156">
        <f t="shared" si="790"/>
        <v>0</v>
      </c>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row>
    <row r="1026" spans="2:63" ht="12" thickBot="1" x14ac:dyDescent="0.3">
      <c r="B1026" s="1673"/>
      <c r="C1026" s="1680"/>
      <c r="D1026" s="97" t="str">
        <f>'3.2 Fi&amp;Fo'!$E$85</f>
        <v>Stromeinspeisung PV</v>
      </c>
      <c r="E1026" s="97"/>
      <c r="F1026" s="9"/>
      <c r="G1026" s="116"/>
      <c r="H1026" s="9"/>
      <c r="I1026" s="9"/>
      <c r="J1026" s="116"/>
      <c r="K1026" s="5"/>
      <c r="L1026" s="5"/>
      <c r="M1026" s="9"/>
      <c r="N1026" s="179"/>
      <c r="O1026" s="22"/>
      <c r="P1026" s="30">
        <f t="shared" si="794"/>
        <v>0</v>
      </c>
      <c r="Q1026" s="31">
        <f t="shared" si="795"/>
        <v>0</v>
      </c>
      <c r="R1026" s="31">
        <f t="shared" si="796"/>
        <v>0</v>
      </c>
      <c r="S1026" s="31">
        <f t="shared" si="797"/>
        <v>0</v>
      </c>
      <c r="T1026" s="32">
        <f t="shared" si="798"/>
        <v>0</v>
      </c>
      <c r="U1026" s="37">
        <f t="shared" si="784"/>
        <v>0</v>
      </c>
      <c r="V1026" s="40">
        <f t="shared" si="791"/>
        <v>0</v>
      </c>
      <c r="W1026" s="41">
        <f t="shared" si="792"/>
        <v>0</v>
      </c>
      <c r="X1026" s="43">
        <f t="shared" si="787"/>
        <v>0</v>
      </c>
      <c r="Y1026" s="46"/>
      <c r="Z1026" s="128"/>
      <c r="AA1026" s="136">
        <f t="shared" si="793"/>
        <v>0</v>
      </c>
      <c r="AB1026" s="3"/>
      <c r="AC1026" s="156">
        <f t="shared" si="788"/>
        <v>0</v>
      </c>
      <c r="AD1026" s="156">
        <f t="shared" si="789"/>
        <v>0</v>
      </c>
      <c r="AE1026" s="156">
        <f t="shared" si="790"/>
        <v>0</v>
      </c>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row>
    <row r="1027" spans="2:63" ht="12" thickBot="1" x14ac:dyDescent="0.3">
      <c r="B1027" s="1673"/>
      <c r="C1027" s="1680"/>
      <c r="D1027" s="16" t="str">
        <f>'3.2 Fi&amp;Fo'!$D$89</f>
        <v>Wasser und Abwasser</v>
      </c>
      <c r="E1027" s="97"/>
      <c r="F1027" s="9"/>
      <c r="G1027" s="116"/>
      <c r="H1027" s="9"/>
      <c r="I1027" s="9"/>
      <c r="J1027" s="5">
        <f>SUBTOTAL(109,'3.5 Fi&amp;Fo'!$K$89)</f>
        <v>0</v>
      </c>
      <c r="K1027" s="5"/>
      <c r="L1027" s="5"/>
      <c r="M1027" s="9"/>
      <c r="N1027" s="179"/>
      <c r="O1027" s="22"/>
      <c r="P1027" s="30">
        <f t="shared" si="794"/>
        <v>0</v>
      </c>
      <c r="Q1027" s="31">
        <f t="shared" si="795"/>
        <v>0</v>
      </c>
      <c r="R1027" s="31">
        <f t="shared" si="796"/>
        <v>0</v>
      </c>
      <c r="S1027" s="31">
        <f t="shared" si="797"/>
        <v>0</v>
      </c>
      <c r="T1027" s="32">
        <f t="shared" si="798"/>
        <v>0</v>
      </c>
      <c r="U1027" s="37">
        <f t="shared" si="784"/>
        <v>0</v>
      </c>
      <c r="V1027" s="40">
        <f t="shared" si="791"/>
        <v>0</v>
      </c>
      <c r="W1027" s="41">
        <f t="shared" si="792"/>
        <v>0</v>
      </c>
      <c r="X1027" s="43"/>
      <c r="Y1027" s="46"/>
      <c r="Z1027" s="128"/>
      <c r="AA1027" s="136">
        <f t="shared" si="793"/>
        <v>0</v>
      </c>
      <c r="AB1027" s="3"/>
      <c r="AC1027" s="157">
        <f t="shared" si="788"/>
        <v>0</v>
      </c>
      <c r="AD1027" s="157">
        <f t="shared" si="789"/>
        <v>0</v>
      </c>
      <c r="AE1027" s="157">
        <f t="shared" si="790"/>
        <v>0</v>
      </c>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row>
    <row r="1028" spans="2:63" ht="12" thickBot="1" x14ac:dyDescent="0.3">
      <c r="B1028" s="1673"/>
      <c r="C1028" s="1680"/>
      <c r="D1028" s="16" t="str">
        <f>'3.2 Fi&amp;Fo'!$D$93</f>
        <v>Reinigung und Pflege</v>
      </c>
      <c r="E1028" s="97"/>
      <c r="F1028" s="9"/>
      <c r="G1028" s="116"/>
      <c r="H1028" s="9"/>
      <c r="I1028" s="9"/>
      <c r="J1028" s="5">
        <f>SUBTOTAL(109,'3.5 Fi&amp;Fo'!$K$93)</f>
        <v>0</v>
      </c>
      <c r="K1028" s="116"/>
      <c r="L1028" s="116"/>
      <c r="M1028" s="9"/>
      <c r="N1028" s="179"/>
      <c r="O1028" s="22"/>
      <c r="P1028" s="30">
        <f t="shared" si="794"/>
        <v>0</v>
      </c>
      <c r="Q1028" s="31">
        <f t="shared" si="795"/>
        <v>0</v>
      </c>
      <c r="R1028" s="31">
        <f t="shared" si="796"/>
        <v>0</v>
      </c>
      <c r="S1028" s="31">
        <f t="shared" si="797"/>
        <v>0</v>
      </c>
      <c r="T1028" s="32">
        <f t="shared" si="798"/>
        <v>0</v>
      </c>
      <c r="U1028" s="37">
        <f t="shared" si="784"/>
        <v>0</v>
      </c>
      <c r="V1028" s="40">
        <f t="shared" si="791"/>
        <v>0</v>
      </c>
      <c r="W1028" s="41">
        <f t="shared" si="792"/>
        <v>0</v>
      </c>
      <c r="X1028" s="43"/>
      <c r="Y1028" s="46"/>
      <c r="Z1028" s="129"/>
      <c r="AA1028" s="155"/>
      <c r="AB1028" s="161" t="s">
        <v>285</v>
      </c>
      <c r="AC1028" s="158">
        <f ca="1">SUM(AC1006:AC1027)</f>
        <v>0</v>
      </c>
      <c r="AD1028" s="159">
        <f ca="1">SUM(AD1006:AD1027)</f>
        <v>0</v>
      </c>
      <c r="AE1028" s="160">
        <f ca="1">SUM(AE1006:AE1027)</f>
        <v>0</v>
      </c>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row>
    <row r="1029" spans="2:63" ht="12" thickBot="1" x14ac:dyDescent="0.3">
      <c r="B1029" s="1673"/>
      <c r="C1029" s="1680"/>
      <c r="D1029" s="16" t="s">
        <v>344</v>
      </c>
      <c r="E1029" s="97"/>
      <c r="F1029" s="9"/>
      <c r="G1029" s="116"/>
      <c r="H1029" s="9"/>
      <c r="I1029" s="9"/>
      <c r="J1029" s="5">
        <f>SUBTOTAL(109,'3.5 Fi&amp;Fo'!$K$100)</f>
        <v>0</v>
      </c>
      <c r="K1029" s="116"/>
      <c r="L1029" s="116"/>
      <c r="M1029" s="9"/>
      <c r="N1029" s="179"/>
      <c r="O1029" s="22"/>
      <c r="P1029" s="30">
        <f t="shared" si="794"/>
        <v>0</v>
      </c>
      <c r="Q1029" s="31">
        <f t="shared" si="795"/>
        <v>0</v>
      </c>
      <c r="R1029" s="31">
        <f t="shared" si="796"/>
        <v>0</v>
      </c>
      <c r="S1029" s="31">
        <f t="shared" si="797"/>
        <v>0</v>
      </c>
      <c r="T1029" s="32">
        <f t="shared" si="798"/>
        <v>0</v>
      </c>
      <c r="U1029" s="37">
        <f t="shared" si="784"/>
        <v>0</v>
      </c>
      <c r="V1029" s="40">
        <f t="shared" si="791"/>
        <v>0</v>
      </c>
      <c r="W1029" s="41">
        <f t="shared" si="792"/>
        <v>0</v>
      </c>
      <c r="X1029" s="43"/>
      <c r="Y1029" s="46"/>
      <c r="Z1029" s="129"/>
      <c r="AA1029" s="136"/>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row>
    <row r="1030" spans="2:63" ht="12" thickBot="1" x14ac:dyDescent="0.3">
      <c r="B1030" s="1673"/>
      <c r="C1030" s="1680"/>
      <c r="D1030" s="97" t="s">
        <v>272</v>
      </c>
      <c r="E1030" s="97"/>
      <c r="F1030" s="9"/>
      <c r="G1030" s="116"/>
      <c r="H1030" s="9"/>
      <c r="I1030" s="9"/>
      <c r="J1030" s="5">
        <f>SUBTOTAL(109,'3.5 Fi&amp;Fo'!$K$104)</f>
        <v>0</v>
      </c>
      <c r="K1030" s="116"/>
      <c r="L1030" s="116"/>
      <c r="M1030" s="9"/>
      <c r="N1030" s="179"/>
      <c r="O1030" s="22"/>
      <c r="P1030" s="30">
        <f>IF(N1030&gt;=1,O1030*$G$158^(1*M1030)/($G$157^(1*M1030)),0)</f>
        <v>0</v>
      </c>
      <c r="Q1030" s="31">
        <f>IF(N1030&gt;=2,O1030*$G$158^(2*M1030)/($G$157^(2*M1030)),0)</f>
        <v>0</v>
      </c>
      <c r="R1030" s="31">
        <f>IF(N1030&gt;=3,O1030*$G$158^(3*M1030)/($G$157^(3*M1030)),0)</f>
        <v>0</v>
      </c>
      <c r="S1030" s="31">
        <f>IF(N1030&gt;=4,O1030*$G$158^(4*M1030)/($G$157^(4*M1030)),0)</f>
        <v>0</v>
      </c>
      <c r="T1030" s="32">
        <f>IF(N1030&gt;=5,O1030*$G$158^(5*M1030)/($G$157^(5*M1030)),0)</f>
        <v>0</v>
      </c>
      <c r="U1030" s="37">
        <f t="shared" si="784"/>
        <v>0</v>
      </c>
      <c r="V1030" s="40">
        <f t="shared" si="791"/>
        <v>0</v>
      </c>
      <c r="W1030" s="41">
        <f t="shared" si="792"/>
        <v>0</v>
      </c>
      <c r="X1030" s="43"/>
      <c r="Y1030" s="46"/>
      <c r="Z1030" s="129"/>
      <c r="AA1030" s="136"/>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row>
    <row r="1031" spans="2:63" ht="12" thickBot="1" x14ac:dyDescent="0.3">
      <c r="B1031" s="1673"/>
      <c r="C1031" s="1680"/>
      <c r="D1031" s="97" t="s">
        <v>272</v>
      </c>
      <c r="E1031" s="97"/>
      <c r="F1031" s="9"/>
      <c r="G1031" s="116"/>
      <c r="H1031" s="9"/>
      <c r="I1031" s="9"/>
      <c r="J1031" s="5">
        <f>SUBTOTAL(109,'3.5 Fi&amp;Fo'!$K$105)</f>
        <v>0</v>
      </c>
      <c r="K1031" s="116"/>
      <c r="L1031" s="116"/>
      <c r="M1031" s="9"/>
      <c r="N1031" s="179"/>
      <c r="O1031" s="22"/>
      <c r="P1031" s="30">
        <f>IF(N1031&gt;=1,O1031*$G$158^(1*M1031)/($G$157^(1*M1031)),0)</f>
        <v>0</v>
      </c>
      <c r="Q1031" s="31">
        <f>IF(N1031&gt;=2,O1031*$G$158^(2*M1031)/($G$157^(2*M1031)),0)</f>
        <v>0</v>
      </c>
      <c r="R1031" s="31">
        <f>IF(N1031&gt;=3,O1031*$G$158^(3*M1031)/($G$157^(3*M1031)),0)</f>
        <v>0</v>
      </c>
      <c r="S1031" s="31">
        <f>IF(N1031&gt;=4,O1031*$G$158^(4*M1031)/($G$157^(4*M1031)),0)</f>
        <v>0</v>
      </c>
      <c r="T1031" s="32">
        <f>IF(N1031&gt;=5,O1031*$G$158^(5*M1031)/($G$157^(5*M1031)),0)</f>
        <v>0</v>
      </c>
      <c r="U1031" s="37">
        <f t="shared" si="784"/>
        <v>0</v>
      </c>
      <c r="V1031" s="40">
        <f t="shared" si="791"/>
        <v>0</v>
      </c>
      <c r="W1031" s="41">
        <f t="shared" si="792"/>
        <v>0</v>
      </c>
      <c r="X1031" s="43"/>
      <c r="Y1031" s="46"/>
      <c r="Z1031" s="129"/>
      <c r="AA1031" s="136"/>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row>
    <row r="1032" spans="2:63" ht="12" thickBot="1" x14ac:dyDescent="0.3">
      <c r="B1032" s="1673"/>
      <c r="C1032" s="1680"/>
      <c r="D1032" s="98" t="s">
        <v>272</v>
      </c>
      <c r="E1032" s="97"/>
      <c r="F1032" s="19"/>
      <c r="G1032" s="63"/>
      <c r="H1032" s="19"/>
      <c r="I1032" s="19"/>
      <c r="J1032" s="5">
        <f>SUBTOTAL(109,'3.5 Fi&amp;Fo'!$K$106)</f>
        <v>0</v>
      </c>
      <c r="K1032" s="116"/>
      <c r="L1032" s="116"/>
      <c r="M1032" s="9"/>
      <c r="N1032" s="179"/>
      <c r="O1032" s="22"/>
      <c r="P1032" s="30">
        <f>IF(N1032&gt;=1,O1032*$G$158^(1*M1032)/($G$157^(1*M1032)),0)</f>
        <v>0</v>
      </c>
      <c r="Q1032" s="31">
        <f>IF(N1032&gt;=2,O1032*$G$158^(2*M1032)/($G$157^(2*M1032)),0)</f>
        <v>0</v>
      </c>
      <c r="R1032" s="31">
        <f>IF(N1032&gt;=3,O1032*$G$158^(3*M1032)/($G$157^(3*M1032)),0)</f>
        <v>0</v>
      </c>
      <c r="S1032" s="31">
        <f>IF(N1032&gt;=4,O1032*$G$158^(4*M1032)/($G$157^(4*M1032)),0)</f>
        <v>0</v>
      </c>
      <c r="T1032" s="32">
        <f>IF(N1032&gt;=5,O1032*$G$158^(5*M1032)/($G$157^(5*M1032)),0)</f>
        <v>0</v>
      </c>
      <c r="U1032" s="37">
        <f t="shared" si="784"/>
        <v>0</v>
      </c>
      <c r="V1032" s="40">
        <f t="shared" si="791"/>
        <v>0</v>
      </c>
      <c r="W1032" s="41">
        <f t="shared" si="792"/>
        <v>0</v>
      </c>
      <c r="X1032" s="43"/>
      <c r="Y1032" s="46"/>
      <c r="Z1032" s="129"/>
      <c r="AA1032" s="136"/>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row>
    <row r="1033" spans="2:63" ht="12" thickBot="1" x14ac:dyDescent="0.3">
      <c r="B1033" s="1674"/>
      <c r="C1033" s="1681"/>
      <c r="D1033" s="98" t="s">
        <v>406</v>
      </c>
      <c r="E1033" s="97"/>
      <c r="F1033" s="17"/>
      <c r="G1033" s="17"/>
      <c r="H1033" s="17"/>
      <c r="I1033" s="17"/>
      <c r="J1033" s="5">
        <f>-SUBTOTAL(109,'3.5 Fi&amp;Fo'!$K$110)</f>
        <v>0</v>
      </c>
      <c r="K1033" s="17"/>
      <c r="L1033" s="17"/>
      <c r="M1033" s="19"/>
      <c r="N1033" s="180"/>
      <c r="O1033" s="23"/>
      <c r="P1033" s="30">
        <f>IF(N1033&gt;=1,O1033*$G$158^(1*M1033)/($G$157^(1*M1033)),0)</f>
        <v>0</v>
      </c>
      <c r="Q1033" s="31">
        <f>IF(N1033&gt;=2,O1033*$G$158^(2*M1033)/($G$157^(2*M1033)),0)</f>
        <v>0</v>
      </c>
      <c r="R1033" s="31">
        <f>IF(N1033&gt;=3,O1033*$G$158^(3*M1033)/($G$157^(3*M1033)),0)</f>
        <v>0</v>
      </c>
      <c r="S1033" s="31">
        <f>IF(N1033&gt;=4,O1033*$G$158^(4*M1033)/($G$157^(4*M1033)),0)</f>
        <v>0</v>
      </c>
      <c r="T1033" s="32">
        <f>IF(N1033&gt;=5,O1033*$G$158^(5*M1033)/($G$157^(5*M1033)),0)</f>
        <v>0</v>
      </c>
      <c r="U1033" s="37">
        <f t="shared" si="784"/>
        <v>0</v>
      </c>
      <c r="V1033" s="40">
        <f t="shared" si="791"/>
        <v>0</v>
      </c>
      <c r="W1033" s="41">
        <f t="shared" si="792"/>
        <v>0</v>
      </c>
      <c r="X1033" s="44"/>
      <c r="Y1033" s="47"/>
      <c r="Z1033" s="130"/>
      <c r="AA1033" s="134"/>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row>
    <row r="1034" spans="2:63" x14ac:dyDescent="0.25">
      <c r="G1034" s="300" t="str">
        <f t="shared" ref="G1034" si="799">G894</f>
        <v>Kosten für Instandsetzung</v>
      </c>
      <c r="I1034" s="300" t="str">
        <f t="shared" ref="I1034:K1034" si="800">I894</f>
        <v>Kosten für Wartung</v>
      </c>
      <c r="J1034" s="300" t="str">
        <f t="shared" si="800"/>
        <v>Betriebsgebundene Kosten</v>
      </c>
      <c r="K1034" s="300" t="str">
        <f t="shared" si="800"/>
        <v>Verbrauchsgebunden Kosten</v>
      </c>
    </row>
    <row r="1035" spans="2:63" x14ac:dyDescent="0.25">
      <c r="D1035" s="300" t="s">
        <v>581</v>
      </c>
      <c r="G1035" s="300">
        <f t="shared" ref="G1035" ca="1" si="801">SUM(G896:G1033)</f>
        <v>0</v>
      </c>
      <c r="I1035" s="300">
        <f t="shared" ref="I1035:K1035" ca="1" si="802">SUM(I896:I1033)</f>
        <v>4922.8999999999996</v>
      </c>
      <c r="J1035" s="300">
        <f t="shared" ca="1" si="802"/>
        <v>2996.3999999999996</v>
      </c>
      <c r="K1035" s="300">
        <f t="shared" ca="1" si="802"/>
        <v>8469.1298366400006</v>
      </c>
    </row>
  </sheetData>
  <sheetProtection selectLockedCells="1"/>
  <dataConsolidate/>
  <mergeCells count="83">
    <mergeCell ref="P894:T894"/>
    <mergeCell ref="C896:C994"/>
    <mergeCell ref="AG898:AJ898"/>
    <mergeCell ref="C480:C510"/>
    <mergeCell ref="AC375:AF375"/>
    <mergeCell ref="C373:C471"/>
    <mergeCell ref="AC898:AF898"/>
    <mergeCell ref="B524:B686"/>
    <mergeCell ref="C524:BL524"/>
    <mergeCell ref="H546:J546"/>
    <mergeCell ref="Y546:Z546"/>
    <mergeCell ref="P547:T547"/>
    <mergeCell ref="C549:C647"/>
    <mergeCell ref="AC551:AF551"/>
    <mergeCell ref="C656:C686"/>
    <mergeCell ref="AC657:AE657"/>
    <mergeCell ref="C1003:C1033"/>
    <mergeCell ref="B698:B860"/>
    <mergeCell ref="C698:BL698"/>
    <mergeCell ref="H720:J720"/>
    <mergeCell ref="Y720:Z720"/>
    <mergeCell ref="P721:T721"/>
    <mergeCell ref="C723:C821"/>
    <mergeCell ref="AC725:AF725"/>
    <mergeCell ref="AG725:AJ725"/>
    <mergeCell ref="C830:C860"/>
    <mergeCell ref="AC831:AE831"/>
    <mergeCell ref="AC1004:AE1004"/>
    <mergeCell ref="B871:B1033"/>
    <mergeCell ref="C871:BL871"/>
    <mergeCell ref="H893:J893"/>
    <mergeCell ref="Y893:Z893"/>
    <mergeCell ref="P371:T371"/>
    <mergeCell ref="H370:J370"/>
    <mergeCell ref="B348:B510"/>
    <mergeCell ref="C348:BL348"/>
    <mergeCell ref="H157:I157"/>
    <mergeCell ref="J157:K157"/>
    <mergeCell ref="Y370:Z370"/>
    <mergeCell ref="B174:B336"/>
    <mergeCell ref="C174:BL174"/>
    <mergeCell ref="H196:J196"/>
    <mergeCell ref="Y196:Z196"/>
    <mergeCell ref="P197:T197"/>
    <mergeCell ref="C199:C297"/>
    <mergeCell ref="AC201:AF201"/>
    <mergeCell ref="C306:C336"/>
    <mergeCell ref="B150:B170"/>
    <mergeCell ref="AG201:AJ201"/>
    <mergeCell ref="AK54:BL54"/>
    <mergeCell ref="BO54:BR54"/>
    <mergeCell ref="AG551:AJ551"/>
    <mergeCell ref="AD52:AG52"/>
    <mergeCell ref="AC307:AE307"/>
    <mergeCell ref="AG375:AJ375"/>
    <mergeCell ref="AC481:AE481"/>
    <mergeCell ref="M139:N139"/>
    <mergeCell ref="O138:P138"/>
    <mergeCell ref="Q138:R138"/>
    <mergeCell ref="S138:T138"/>
    <mergeCell ref="U138:V138"/>
    <mergeCell ref="W138:X138"/>
    <mergeCell ref="W52:AA52"/>
    <mergeCell ref="J52:O52"/>
    <mergeCell ref="A71:H71"/>
    <mergeCell ref="H77:H81"/>
    <mergeCell ref="A8:A61"/>
    <mergeCell ref="Q52:T52"/>
    <mergeCell ref="H118:H124"/>
    <mergeCell ref="A91:H91"/>
    <mergeCell ref="H87:H89"/>
    <mergeCell ref="H98:H108"/>
    <mergeCell ref="H112:H113"/>
    <mergeCell ref="BT57:BV57"/>
    <mergeCell ref="BT58:BV58"/>
    <mergeCell ref="BT59:BV59"/>
    <mergeCell ref="BT60:BV60"/>
    <mergeCell ref="BT61:BV61"/>
    <mergeCell ref="BT62:BV62"/>
    <mergeCell ref="BT63:BV63"/>
    <mergeCell ref="BT64:BV64"/>
    <mergeCell ref="BT65:BV65"/>
    <mergeCell ref="BT66:BV66"/>
  </mergeCells>
  <pageMargins left="0.7" right="0.7" top="0.78740157499999996" bottom="0.78740157499999996" header="0.3" footer="0.3"/>
  <pageSetup paperSize="9" orientation="portrait" horizontalDpi="1200" verticalDpi="1200"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tabColor theme="1"/>
  </sheetPr>
  <dimension ref="B1:AH325"/>
  <sheetViews>
    <sheetView topLeftCell="C1" zoomScale="70" zoomScaleNormal="70" workbookViewId="0">
      <selection activeCell="R13" sqref="R13"/>
    </sheetView>
  </sheetViews>
  <sheetFormatPr baseColWidth="10" defaultRowHeight="15" x14ac:dyDescent="0.25"/>
  <cols>
    <col min="1" max="1" width="3.42578125" customWidth="1"/>
    <col min="2" max="2" width="5.7109375" customWidth="1"/>
    <col min="3" max="3" width="2.85546875" customWidth="1"/>
    <col min="5" max="5" width="28.7109375" customWidth="1"/>
    <col min="6" max="6" width="9.42578125" customWidth="1"/>
    <col min="8" max="8" width="5.85546875" customWidth="1"/>
    <col min="10" max="10" width="5.85546875" customWidth="1"/>
    <col min="16" max="16" width="31.140625" customWidth="1"/>
    <col min="28" max="32" width="14.140625" customWidth="1"/>
  </cols>
  <sheetData>
    <row r="1" spans="2:34" ht="15.75" thickBot="1" x14ac:dyDescent="0.3"/>
    <row r="2" spans="2:34" ht="15.75" x14ac:dyDescent="0.25">
      <c r="C2" s="648"/>
      <c r="D2" s="649"/>
      <c r="E2" s="649"/>
      <c r="F2" s="649"/>
      <c r="G2" s="649"/>
      <c r="H2" s="649"/>
      <c r="I2" s="649"/>
      <c r="J2" s="649"/>
      <c r="K2" s="649"/>
      <c r="L2" s="649"/>
      <c r="M2" s="650"/>
      <c r="O2" s="764" t="s">
        <v>494</v>
      </c>
      <c r="P2" s="649"/>
      <c r="Q2" s="649"/>
      <c r="R2" s="649"/>
      <c r="S2" s="649"/>
      <c r="T2" s="649"/>
      <c r="U2" s="649"/>
      <c r="V2" s="650"/>
      <c r="Z2" s="800" t="s">
        <v>557</v>
      </c>
    </row>
    <row r="3" spans="2:34" ht="15.75" x14ac:dyDescent="0.25">
      <c r="C3" s="651"/>
      <c r="D3" s="652" t="s">
        <v>375</v>
      </c>
      <c r="E3" s="653"/>
      <c r="F3" s="653"/>
      <c r="G3" s="653"/>
      <c r="H3" s="653"/>
      <c r="I3" s="653"/>
      <c r="J3" s="653"/>
      <c r="K3" s="653"/>
      <c r="M3" s="654"/>
      <c r="O3" s="765"/>
      <c r="P3" s="653"/>
      <c r="Q3" s="653"/>
      <c r="R3" s="653"/>
      <c r="S3" s="653"/>
      <c r="T3" s="653"/>
      <c r="U3" s="653"/>
      <c r="V3" s="654"/>
      <c r="Z3" t="s">
        <v>478</v>
      </c>
      <c r="AA3" t="s">
        <v>556</v>
      </c>
      <c r="AB3" t="s">
        <v>480</v>
      </c>
    </row>
    <row r="4" spans="2:34" ht="15.75" x14ac:dyDescent="0.25">
      <c r="C4" s="651"/>
      <c r="D4" s="694"/>
      <c r="E4" s="653"/>
      <c r="F4" s="653"/>
      <c r="G4" s="653"/>
      <c r="H4" s="653"/>
      <c r="I4" s="653"/>
      <c r="J4" s="653"/>
      <c r="K4" s="693"/>
      <c r="L4" s="653"/>
      <c r="M4" s="654"/>
      <c r="O4" s="772"/>
      <c r="P4" s="689"/>
      <c r="Q4" s="689"/>
      <c r="R4" s="689" t="s">
        <v>482</v>
      </c>
      <c r="S4" s="689"/>
      <c r="T4" s="689" t="s">
        <v>483</v>
      </c>
      <c r="U4" s="689"/>
      <c r="V4" s="773" t="s">
        <v>484</v>
      </c>
      <c r="Y4" s="802" t="str">
        <f>D14</f>
        <v xml:space="preserve">Variante: BTV-WDVS-WP-Abl-ohne Sol_PV </v>
      </c>
      <c r="Z4" s="801">
        <f ca="1">AA72</f>
        <v>0</v>
      </c>
      <c r="AA4" s="801">
        <f ca="1">AB72</f>
        <v>0</v>
      </c>
      <c r="AB4" s="801">
        <f>AE72</f>
        <v>0</v>
      </c>
    </row>
    <row r="5" spans="2:34" x14ac:dyDescent="0.25">
      <c r="C5" s="651"/>
      <c r="D5" s="695"/>
      <c r="E5" s="689" t="s">
        <v>200</v>
      </c>
      <c r="F5" s="689" t="s">
        <v>481</v>
      </c>
      <c r="G5" s="690">
        <f>'1. Projektangaben'!F12</f>
        <v>35</v>
      </c>
      <c r="H5" s="653"/>
      <c r="I5" s="653"/>
      <c r="J5" s="653"/>
      <c r="K5" s="689" t="s">
        <v>514</v>
      </c>
      <c r="L5" s="653"/>
      <c r="M5" s="654"/>
      <c r="O5" s="1686" t="s">
        <v>495</v>
      </c>
      <c r="P5" s="689" t="s">
        <v>496</v>
      </c>
      <c r="Q5" s="689" t="s">
        <v>345</v>
      </c>
      <c r="R5" s="762">
        <f>'1. Projektangaben'!D52</f>
        <v>0.05</v>
      </c>
      <c r="S5" s="689"/>
      <c r="T5" s="762">
        <f>'1. Projektangaben'!D54</f>
        <v>2.5000000000000001E-2</v>
      </c>
      <c r="U5" s="689"/>
      <c r="V5" s="774">
        <f>'1. Projektangaben'!D56</f>
        <v>0</v>
      </c>
      <c r="Y5" s="802" t="str">
        <f>D77</f>
        <v xml:space="preserve">Variante: PH-WDVS-WP-Abl-ohne Sol_PV </v>
      </c>
      <c r="Z5" s="801">
        <f ca="1">AA135</f>
        <v>0</v>
      </c>
      <c r="AA5" s="801">
        <f t="shared" ref="AA5" ca="1" si="0">AB135</f>
        <v>0</v>
      </c>
      <c r="AB5" s="801">
        <f ca="1">AE135</f>
        <v>0</v>
      </c>
      <c r="AC5" s="801"/>
    </row>
    <row r="6" spans="2:34" x14ac:dyDescent="0.25">
      <c r="C6" s="651"/>
      <c r="D6" s="695"/>
      <c r="E6" s="689" t="s">
        <v>491</v>
      </c>
      <c r="F6" s="689" t="s">
        <v>345</v>
      </c>
      <c r="G6" s="762">
        <f>'1. Projektangaben'!D42</f>
        <v>0.15551999999999999</v>
      </c>
      <c r="H6" s="653"/>
      <c r="I6" s="653"/>
      <c r="J6" s="653"/>
      <c r="K6" s="653"/>
      <c r="L6" s="653"/>
      <c r="M6" s="654"/>
      <c r="O6" s="1686"/>
      <c r="P6" s="689" t="s">
        <v>497</v>
      </c>
      <c r="Q6" s="689" t="s">
        <v>371</v>
      </c>
      <c r="R6" s="762">
        <f>'1. Projektangaben'!F52</f>
        <v>0</v>
      </c>
      <c r="S6" s="689"/>
      <c r="T6" s="762">
        <f>'1. Projektangaben'!F54</f>
        <v>0</v>
      </c>
      <c r="U6" s="689"/>
      <c r="V6" s="774">
        <f>'1. Projektangaben'!F56</f>
        <v>0</v>
      </c>
      <c r="Y6" s="802" t="str">
        <f>D140</f>
        <v xml:space="preserve">Variante: PH-WDVS-WP-Abl-mittl.Sol-ohne PV </v>
      </c>
      <c r="Z6" s="801">
        <f ca="1">AA198</f>
        <v>0</v>
      </c>
      <c r="AA6" s="801">
        <f t="shared" ref="AA6" ca="1" si="1">AB198</f>
        <v>0</v>
      </c>
      <c r="AB6" s="801">
        <f ca="1">AE198</f>
        <v>0</v>
      </c>
      <c r="AC6" s="801"/>
    </row>
    <row r="7" spans="2:34" x14ac:dyDescent="0.25">
      <c r="C7" s="651"/>
      <c r="D7" s="695"/>
      <c r="E7" s="689" t="s">
        <v>492</v>
      </c>
      <c r="F7" s="689" t="s">
        <v>493</v>
      </c>
      <c r="G7" s="763">
        <f>'1. Projektangaben'!K42</f>
        <v>2.5000000000000001E-2</v>
      </c>
      <c r="H7" s="653"/>
      <c r="I7" s="653"/>
      <c r="J7" s="653"/>
      <c r="K7" s="653"/>
      <c r="L7" s="653"/>
      <c r="M7" s="696"/>
      <c r="O7" s="1686"/>
      <c r="P7" s="689" t="s">
        <v>498</v>
      </c>
      <c r="Q7" s="689" t="s">
        <v>493</v>
      </c>
      <c r="R7" s="763">
        <f>'1. Projektangaben'!H52</f>
        <v>2.5000000000000001E-2</v>
      </c>
      <c r="S7" s="775"/>
      <c r="T7" s="763">
        <f>'1. Projektangaben'!H54</f>
        <v>2.5000000000000001E-2</v>
      </c>
      <c r="U7" s="775"/>
      <c r="V7" s="776">
        <f>'1. Projektangaben'!H56</f>
        <v>0</v>
      </c>
      <c r="Y7" s="802" t="str">
        <f>D203</f>
        <v xml:space="preserve">Variante: PH-WDVS-WP-WRG-mittl.Sol-ohne PV </v>
      </c>
      <c r="Z7" s="801">
        <f ca="1">AA261</f>
        <v>0</v>
      </c>
      <c r="AA7" s="801">
        <f t="shared" ref="AA7" ca="1" si="2">AB261</f>
        <v>0</v>
      </c>
      <c r="AB7" s="801">
        <f ca="1">AE261</f>
        <v>0</v>
      </c>
      <c r="AC7" s="801"/>
    </row>
    <row r="8" spans="2:34" ht="15.75" x14ac:dyDescent="0.25">
      <c r="C8" s="651"/>
      <c r="D8" s="652"/>
      <c r="E8" s="652"/>
      <c r="F8" s="652"/>
      <c r="G8" s="652"/>
      <c r="H8" s="652"/>
      <c r="I8" s="652"/>
      <c r="J8" s="652"/>
      <c r="K8" s="652"/>
      <c r="L8" s="653"/>
      <c r="M8" s="696"/>
      <c r="O8" s="1687" t="s">
        <v>499</v>
      </c>
      <c r="P8" s="689" t="s">
        <v>500</v>
      </c>
      <c r="Q8" s="689" t="s">
        <v>248</v>
      </c>
      <c r="R8" s="777">
        <f>'1. Projektangaben'!J52</f>
        <v>1</v>
      </c>
      <c r="S8" s="689"/>
      <c r="T8" s="778">
        <f>'1. Projektangaben'!J54</f>
        <v>4</v>
      </c>
      <c r="U8" s="689"/>
      <c r="V8" s="779">
        <f>'1. Projektangaben'!J56</f>
        <v>0</v>
      </c>
      <c r="Y8" s="802" t="str">
        <f>D266</f>
        <v xml:space="preserve">Variante: PH-WDVS-WP-WRG-mittl.Sol-mit PV </v>
      </c>
      <c r="Z8" s="801">
        <f ca="1">AA324</f>
        <v>-12154.257261502009</v>
      </c>
      <c r="AA8" s="801">
        <f t="shared" ref="AA8" ca="1" si="3">AB324</f>
        <v>0</v>
      </c>
      <c r="AB8" s="801">
        <f>AE324</f>
        <v>-58061.253662397947</v>
      </c>
      <c r="AC8" s="801"/>
    </row>
    <row r="9" spans="2:34" x14ac:dyDescent="0.25">
      <c r="C9" s="651"/>
      <c r="D9" s="653"/>
      <c r="E9" s="653"/>
      <c r="F9" s="653"/>
      <c r="G9" s="653"/>
      <c r="H9" s="653"/>
      <c r="I9" s="653"/>
      <c r="J9" s="653"/>
      <c r="K9" s="653"/>
      <c r="L9" s="653"/>
      <c r="M9" s="654"/>
      <c r="O9" s="1687"/>
      <c r="P9" s="689" t="s">
        <v>501</v>
      </c>
      <c r="Q9" s="689" t="s">
        <v>248</v>
      </c>
      <c r="R9" s="778">
        <f>IF('1. Projektangaben'!$K$52="",$G$5,'1. Projektangaben'!$K$52)</f>
        <v>3</v>
      </c>
      <c r="S9" s="689"/>
      <c r="T9" s="778">
        <f>IF('1. Projektangaben'!$K$54="",$G$5,'1. Projektangaben'!$K$54)</f>
        <v>35</v>
      </c>
      <c r="U9" s="689"/>
      <c r="V9" s="778">
        <f>IF('1. Projektangaben'!$K$56="",$G$5,'1. Projektangaben'!$K$56)</f>
        <v>35</v>
      </c>
    </row>
    <row r="10" spans="2:34" ht="15.75" thickBot="1" x14ac:dyDescent="0.3">
      <c r="C10" s="680"/>
      <c r="D10" s="681"/>
      <c r="E10" s="681"/>
      <c r="F10" s="681"/>
      <c r="G10" s="681"/>
      <c r="H10" s="681"/>
      <c r="I10" s="681"/>
      <c r="J10" s="681"/>
      <c r="K10" s="681"/>
      <c r="L10" s="681"/>
      <c r="M10" s="666"/>
      <c r="O10" s="1687"/>
      <c r="P10" s="689" t="s">
        <v>502</v>
      </c>
      <c r="Q10" s="689" t="s">
        <v>488</v>
      </c>
      <c r="R10" s="780">
        <f>'1. Projektangaben'!L52</f>
        <v>0</v>
      </c>
      <c r="S10" s="689"/>
      <c r="T10" s="762">
        <f>'1. Projektangaben'!L54</f>
        <v>0</v>
      </c>
      <c r="U10" s="689"/>
      <c r="V10" s="774">
        <f>'1. Projektangaben'!L56</f>
        <v>0</v>
      </c>
    </row>
    <row r="11" spans="2:34" ht="15.75" thickBot="1" x14ac:dyDescent="0.3">
      <c r="C11" s="653"/>
      <c r="D11" s="653"/>
      <c r="E11" s="653"/>
      <c r="F11" s="653"/>
      <c r="G11" s="653"/>
      <c r="H11" s="653"/>
      <c r="I11" s="653"/>
      <c r="J11" s="653"/>
      <c r="K11" s="653"/>
      <c r="L11" s="653"/>
      <c r="M11" s="653"/>
      <c r="O11" s="1688"/>
      <c r="P11" s="781" t="s">
        <v>503</v>
      </c>
      <c r="Q11" s="781" t="s">
        <v>488</v>
      </c>
      <c r="R11" s="782">
        <f ca="1">IF('1. Projektangaben'!$N$52="",R12,'1. Projektangaben'!$N$52)</f>
        <v>22067</v>
      </c>
      <c r="S11" s="781"/>
      <c r="T11" s="782">
        <f ca="1">IF('1. Projektangaben'!$N$54="",T12,'1. Projektangaben'!$N$54)</f>
        <v>22067</v>
      </c>
      <c r="U11" s="781"/>
      <c r="V11" s="782">
        <f ca="1">IF('1. Projektangaben'!$N$56="",V12,'1. Projektangaben'!$N$56)</f>
        <v>22067</v>
      </c>
    </row>
    <row r="12" spans="2:34" ht="15.75" thickBot="1" x14ac:dyDescent="0.3">
      <c r="C12" s="653"/>
      <c r="D12" s="653"/>
      <c r="E12" s="653"/>
      <c r="F12" s="653"/>
      <c r="G12" s="653"/>
      <c r="H12" s="653"/>
      <c r="I12" s="653"/>
      <c r="J12" s="653"/>
      <c r="K12" s="653"/>
      <c r="L12" s="653"/>
      <c r="M12" s="653"/>
      <c r="P12" s="967" t="s">
        <v>828</v>
      </c>
      <c r="Q12" s="1263" t="s">
        <v>488</v>
      </c>
      <c r="R12">
        <f ca="1">MAX($G$22,$G$85,$G$148,$G$211,$G$274)</f>
        <v>22067</v>
      </c>
      <c r="T12">
        <f ca="1">MAX($G$22,$G$85,$G$148,$G$211,$G$274)</f>
        <v>22067</v>
      </c>
      <c r="V12">
        <f ca="1">MAX($G$22,$G$85,$G$148,$G$211,$G$274)</f>
        <v>22067</v>
      </c>
    </row>
    <row r="13" spans="2:34" x14ac:dyDescent="0.25">
      <c r="B13" s="648"/>
      <c r="C13" s="649"/>
      <c r="D13" s="649"/>
      <c r="E13" s="649"/>
      <c r="F13" s="649"/>
      <c r="G13" s="649"/>
      <c r="H13" s="649"/>
      <c r="I13" s="649"/>
      <c r="J13" s="649"/>
      <c r="K13" s="649"/>
      <c r="L13" s="649"/>
      <c r="M13" s="649"/>
      <c r="N13" s="649"/>
      <c r="O13" s="649"/>
      <c r="P13" s="649"/>
      <c r="Q13" s="649"/>
      <c r="R13" s="649"/>
      <c r="S13" s="649"/>
      <c r="T13" s="649"/>
      <c r="U13" s="649"/>
      <c r="V13" s="649"/>
      <c r="W13" s="649"/>
      <c r="X13" s="649"/>
      <c r="Y13" s="649"/>
      <c r="Z13" s="649"/>
      <c r="AA13" s="649"/>
      <c r="AB13" s="649"/>
      <c r="AC13" s="649"/>
      <c r="AD13" s="649"/>
      <c r="AE13" s="649"/>
      <c r="AF13" s="649"/>
      <c r="AG13" s="649"/>
      <c r="AH13" s="650"/>
    </row>
    <row r="14" spans="2:34" ht="43.5" customHeight="1" x14ac:dyDescent="0.25">
      <c r="B14" s="651"/>
      <c r="C14" s="653"/>
      <c r="D14" s="697" t="str">
        <f>"Variante: "&amp;'1. Projektangaben'!C23&amp;" "</f>
        <v xml:space="preserve">Variante: BTV-WDVS-WP-Abl-ohne Sol_PV </v>
      </c>
      <c r="E14" s="653"/>
      <c r="F14" s="653"/>
      <c r="G14" s="653"/>
      <c r="H14" s="653"/>
      <c r="I14" s="653"/>
      <c r="J14" s="653"/>
      <c r="K14" s="653"/>
      <c r="L14" s="653"/>
      <c r="M14" s="653"/>
      <c r="N14" s="653"/>
      <c r="O14" s="653"/>
      <c r="P14" s="653"/>
      <c r="Q14" s="653"/>
      <c r="R14" s="653"/>
      <c r="S14" s="653"/>
      <c r="T14" s="653"/>
      <c r="U14" s="653"/>
      <c r="V14" s="653"/>
      <c r="W14" s="653"/>
      <c r="X14" s="653"/>
      <c r="Y14" s="653"/>
      <c r="Z14" s="653"/>
      <c r="AA14" s="653"/>
      <c r="AB14" s="653"/>
      <c r="AC14" s="653"/>
      <c r="AD14" s="653"/>
      <c r="AE14" s="653"/>
      <c r="AF14" s="653"/>
      <c r="AG14" s="653"/>
      <c r="AH14" s="654"/>
    </row>
    <row r="15" spans="2:34" x14ac:dyDescent="0.25">
      <c r="B15" s="651"/>
      <c r="C15" s="653"/>
      <c r="D15" s="653"/>
      <c r="E15" s="653"/>
      <c r="F15" s="653"/>
      <c r="G15" s="653"/>
      <c r="H15" s="653"/>
      <c r="I15" s="653"/>
      <c r="J15" s="653"/>
      <c r="K15" s="653"/>
      <c r="L15" s="653"/>
      <c r="M15" s="653"/>
      <c r="N15" s="653"/>
      <c r="O15" s="653"/>
      <c r="P15" s="653"/>
      <c r="Q15" s="653"/>
      <c r="R15" s="653"/>
      <c r="S15" s="653"/>
      <c r="T15" s="653"/>
      <c r="U15" s="653"/>
      <c r="V15" s="653"/>
      <c r="W15" s="653"/>
      <c r="X15" s="653"/>
      <c r="Y15" s="653"/>
      <c r="Z15" s="653"/>
      <c r="AA15" s="653" t="e">
        <f ca="1">AA20/Q20</f>
        <v>#DIV/0!</v>
      </c>
      <c r="AB15" s="653"/>
      <c r="AC15" s="653"/>
      <c r="AD15" s="653"/>
      <c r="AE15" s="653"/>
      <c r="AF15" s="653"/>
      <c r="AG15" s="653"/>
      <c r="AH15" s="654"/>
    </row>
    <row r="16" spans="2:34" ht="16.5" thickBot="1" x14ac:dyDescent="0.3">
      <c r="B16" s="651"/>
      <c r="C16" s="653"/>
      <c r="D16" s="652"/>
      <c r="E16" s="691"/>
      <c r="F16" s="691"/>
      <c r="G16" s="692"/>
      <c r="H16" s="691"/>
      <c r="I16" s="691"/>
      <c r="J16" s="691"/>
      <c r="K16" s="693"/>
      <c r="L16" s="691"/>
      <c r="M16" s="691"/>
      <c r="N16" s="653"/>
      <c r="O16" s="653"/>
      <c r="P16" s="653"/>
      <c r="Q16" s="653"/>
      <c r="R16" s="653"/>
      <c r="S16" s="653"/>
      <c r="T16" s="653"/>
      <c r="U16" s="653"/>
      <c r="V16" s="653"/>
      <c r="W16" s="653"/>
      <c r="X16" s="653"/>
      <c r="Y16" s="653"/>
      <c r="Z16" s="653"/>
      <c r="AA16" s="653"/>
      <c r="AB16" s="653"/>
      <c r="AC16" s="653"/>
      <c r="AD16" s="653"/>
      <c r="AE16" s="653"/>
      <c r="AF16" s="653"/>
      <c r="AG16" s="653"/>
      <c r="AH16" s="654"/>
    </row>
    <row r="17" spans="2:34" ht="16.5" thickBot="1" x14ac:dyDescent="0.3">
      <c r="B17" s="651"/>
      <c r="C17" s="653"/>
      <c r="D17" s="652"/>
      <c r="E17" s="691"/>
      <c r="F17" s="691"/>
      <c r="G17" s="692"/>
      <c r="H17" s="691"/>
      <c r="I17" s="691"/>
      <c r="J17" s="691"/>
      <c r="K17" s="693"/>
      <c r="L17" s="691"/>
      <c r="M17" s="691"/>
      <c r="N17" s="653"/>
      <c r="O17" s="653"/>
      <c r="P17" s="653"/>
      <c r="Q17" s="1689" t="s">
        <v>165</v>
      </c>
      <c r="R17" s="1690"/>
      <c r="S17" s="1690"/>
      <c r="T17" s="1690"/>
      <c r="U17" s="1690"/>
      <c r="V17" s="1690"/>
      <c r="W17" s="1690"/>
      <c r="X17" s="1690"/>
      <c r="Y17" s="1690"/>
      <c r="Z17" s="1690"/>
      <c r="AA17" s="1690"/>
      <c r="AB17" s="1691"/>
      <c r="AC17" s="1692" t="s">
        <v>475</v>
      </c>
      <c r="AD17" s="1693"/>
      <c r="AE17" s="1694"/>
      <c r="AF17" s="653"/>
      <c r="AG17" s="653"/>
      <c r="AH17" s="654"/>
    </row>
    <row r="18" spans="2:34" ht="41.25" customHeight="1" thickBot="1" x14ac:dyDescent="0.3">
      <c r="B18" s="651"/>
      <c r="C18" s="653"/>
      <c r="D18" s="695"/>
      <c r="E18" s="653"/>
      <c r="F18" s="653"/>
      <c r="G18" s="653"/>
      <c r="H18" s="653"/>
      <c r="I18" s="653"/>
      <c r="J18" s="653"/>
      <c r="K18" s="653"/>
      <c r="L18" s="653"/>
      <c r="M18" s="653"/>
      <c r="N18" s="653"/>
      <c r="O18" s="653"/>
      <c r="P18" s="655"/>
      <c r="Q18" s="1695" t="s">
        <v>476</v>
      </c>
      <c r="R18" s="1696"/>
      <c r="S18" s="1696"/>
      <c r="T18" s="1697"/>
      <c r="U18" s="1695" t="s">
        <v>477</v>
      </c>
      <c r="V18" s="1696"/>
      <c r="W18" s="1697"/>
      <c r="X18" s="1695" t="s">
        <v>478</v>
      </c>
      <c r="Y18" s="1696"/>
      <c r="Z18" s="1696"/>
      <c r="AA18" s="1697"/>
      <c r="AB18" s="656" t="s">
        <v>479</v>
      </c>
      <c r="AC18" s="657" t="s">
        <v>475</v>
      </c>
      <c r="AD18" s="658" t="s">
        <v>477</v>
      </c>
      <c r="AE18" s="658" t="s">
        <v>480</v>
      </c>
      <c r="AF18" s="659"/>
      <c r="AG18" s="659"/>
      <c r="AH18" s="654"/>
    </row>
    <row r="19" spans="2:34" ht="15.75" thickBot="1" x14ac:dyDescent="0.3">
      <c r="B19" s="651"/>
      <c r="C19" s="648"/>
      <c r="D19" s="649"/>
      <c r="E19" s="649"/>
      <c r="F19" s="649"/>
      <c r="G19" s="649"/>
      <c r="H19" s="649"/>
      <c r="I19" s="649"/>
      <c r="J19" s="649"/>
      <c r="K19" s="649"/>
      <c r="L19" s="649"/>
      <c r="M19" s="649"/>
      <c r="N19" s="650"/>
      <c r="O19" s="653"/>
      <c r="P19" s="660" t="s">
        <v>248</v>
      </c>
      <c r="Q19" s="661" t="s">
        <v>369</v>
      </c>
      <c r="R19" s="662" t="s">
        <v>482</v>
      </c>
      <c r="S19" s="662" t="s">
        <v>483</v>
      </c>
      <c r="T19" s="663" t="s">
        <v>484</v>
      </c>
      <c r="U19" s="661" t="s">
        <v>482</v>
      </c>
      <c r="V19" s="662" t="s">
        <v>483</v>
      </c>
      <c r="W19" s="663" t="s">
        <v>484</v>
      </c>
      <c r="X19" s="661" t="s">
        <v>482</v>
      </c>
      <c r="Y19" s="662" t="s">
        <v>483</v>
      </c>
      <c r="Z19" s="662" t="s">
        <v>484</v>
      </c>
      <c r="AA19" s="663" t="s">
        <v>369</v>
      </c>
      <c r="AB19" s="663" t="s">
        <v>485</v>
      </c>
      <c r="AC19" s="664" t="s">
        <v>369</v>
      </c>
      <c r="AD19" s="665" t="s">
        <v>369</v>
      </c>
      <c r="AE19" s="665" t="s">
        <v>486</v>
      </c>
      <c r="AF19" s="666"/>
      <c r="AG19" s="666"/>
      <c r="AH19" s="654"/>
    </row>
    <row r="20" spans="2:34" ht="15.75" x14ac:dyDescent="0.25">
      <c r="B20" s="651"/>
      <c r="C20" s="651"/>
      <c r="D20" s="652" t="s">
        <v>330</v>
      </c>
      <c r="E20" s="653"/>
      <c r="F20" s="653"/>
      <c r="G20" s="653"/>
      <c r="H20" s="653"/>
      <c r="I20" s="653"/>
      <c r="J20" s="653"/>
      <c r="K20" s="653"/>
      <c r="L20" s="653"/>
      <c r="M20" s="653"/>
      <c r="N20" s="654"/>
      <c r="O20" s="653"/>
      <c r="P20" s="667">
        <f>IF($G$5&gt;1,1,"")</f>
        <v>1</v>
      </c>
      <c r="Q20" s="668">
        <f>IF(P20="","",$G$22-$G23)</f>
        <v>0</v>
      </c>
      <c r="R20" s="669">
        <f t="shared" ref="R20:R51" ca="1" si="4">IF(Q20="","",IF(P20&lt;=$R$9,IF(Q20&gt;$R$11,$R$11,Q20),0))</f>
        <v>0</v>
      </c>
      <c r="S20" s="669">
        <f ca="1">IF(R20="","",IF(AND(P20&gt;=$T$8,P20&lt;=$T$9)=TRUE,IF(OR($T$11="",$T$11=0),Q20-R20,IF(Q20&gt;$T$11,$T$11-R20,Q20-R20)),0))</f>
        <v>0</v>
      </c>
      <c r="T20" s="670">
        <f ca="1">IF(S20="","",IF(AND(P20&gt;=$V$8,P20&lt;=$V$9)=TRUE,IF(OR($V$11="",$V$11=0),Q20-R20-S20,IF(Q20&gt;$V$10,Q20-R20-S20,0)),0))</f>
        <v>0</v>
      </c>
      <c r="U20" s="671">
        <f>$R$5</f>
        <v>0.05</v>
      </c>
      <c r="V20" s="672">
        <f>$T$5</f>
        <v>2.5000000000000001E-2</v>
      </c>
      <c r="W20" s="673">
        <f>$V$5</f>
        <v>0</v>
      </c>
      <c r="X20" s="674">
        <f ca="1">IF(W20="","",IF(R20&gt;0,(U20*R20),0))</f>
        <v>0</v>
      </c>
      <c r="Y20" s="675">
        <f ca="1">IF(X20="","",IF(S20&gt;0,(V20*S20),0))</f>
        <v>0</v>
      </c>
      <c r="Z20" s="675">
        <f ca="1">IF(Y20="","",IF(T20&gt;0,(W20*T20),0))</f>
        <v>0</v>
      </c>
      <c r="AA20" s="676">
        <f ca="1">IF(Z20="",0,SUM(X20:Z20))</f>
        <v>0</v>
      </c>
      <c r="AB20" s="670">
        <f ca="1">IF(OR(AA20="",AA20=0),0,(IF(AND(P20&lt;=$R$9,P20&gt;=$R$8)=TRUE,$R$6,0)+IF(AND(P20&lt;=$T$9,P20&gt;=$T$8)=TRUE,$T$6,0)+IF(AND(P20&lt;=$V$9,P20&gt;=$V$8)=TRUE,$V$6,0))*-1)</f>
        <v>0</v>
      </c>
      <c r="AC20" s="677">
        <f>IF(P20="","",$G$23)</f>
        <v>0</v>
      </c>
      <c r="AD20" s="679">
        <f>$G$6</f>
        <v>0.15551999999999999</v>
      </c>
      <c r="AE20" s="678">
        <f>IF(P20="",0,AC20*AD20)</f>
        <v>0</v>
      </c>
      <c r="AF20" s="648"/>
      <c r="AG20" s="650"/>
      <c r="AH20" s="654"/>
    </row>
    <row r="21" spans="2:34" ht="15.75" x14ac:dyDescent="0.25">
      <c r="B21" s="651"/>
      <c r="C21" s="651"/>
      <c r="D21" s="652"/>
      <c r="E21" s="653"/>
      <c r="F21" s="653"/>
      <c r="G21" s="653"/>
      <c r="H21" s="653"/>
      <c r="I21" s="653"/>
      <c r="J21" s="653"/>
      <c r="K21" s="653"/>
      <c r="L21" s="653"/>
      <c r="M21" s="653"/>
      <c r="N21" s="654"/>
      <c r="O21" s="653"/>
      <c r="P21" s="667">
        <f>IF($G$5&gt;P20,P20+1,"")</f>
        <v>2</v>
      </c>
      <c r="Q21" s="668">
        <f t="shared" ref="Q21:Q71" si="5">IF(P21="","",$G$22-$G$23)</f>
        <v>0</v>
      </c>
      <c r="R21" s="669">
        <f t="shared" ca="1" si="4"/>
        <v>0</v>
      </c>
      <c r="S21" s="669">
        <f ca="1">IF(R21="","",IF(AND(P21&gt;=$T$8,P21&lt;=$T$9)=TRUE,IF(OR($T$11="",$T$11=0),Q21-R21,IF(Q21&gt;$T$11,$T$11-R21,Q21-R21)),0))</f>
        <v>0</v>
      </c>
      <c r="T21" s="670">
        <f t="shared" ref="T21:T69" ca="1" si="6">IF(S21="","",IF(AND(P21&gt;=$V$8,P21&lt;=$V$9)=TRUE,IF(OR($V$11="",$V$11=0),Q21-R21-S21,IF(Q21&gt;$V$10,Q21-R21-S21,0)),0))</f>
        <v>0</v>
      </c>
      <c r="U21" s="671">
        <f t="shared" ref="U21:U52" ca="1" si="7">IF(R21="","",U20*(1+$R$7))</f>
        <v>5.1249999999999997E-2</v>
      </c>
      <c r="V21" s="672">
        <f t="shared" ref="V21:V52" ca="1" si="8">IF(S21="","",V20*(1+$T$7))</f>
        <v>2.5624999999999998E-2</v>
      </c>
      <c r="W21" s="673">
        <f t="shared" ref="W21:W52" ca="1" si="9">IF(T21="","",W20*(1+$V$7))</f>
        <v>0</v>
      </c>
      <c r="X21" s="674">
        <f t="shared" ref="X21:Z36" ca="1" si="10">IF(W21="","",IF(R21&gt;0,(U21*R21),0))</f>
        <v>0</v>
      </c>
      <c r="Y21" s="675">
        <f t="shared" ca="1" si="10"/>
        <v>0</v>
      </c>
      <c r="Z21" s="675">
        <f t="shared" ca="1" si="10"/>
        <v>0</v>
      </c>
      <c r="AA21" s="676">
        <f t="shared" ref="AA21:AA69" ca="1" si="11">IF(Z21="",0,SUM(X21:Z21))</f>
        <v>0</v>
      </c>
      <c r="AB21" s="670">
        <f t="shared" ref="AB21:AB69" ca="1" si="12">IF(OR(AA21="",AA21=0),0,(IF(AND(P21&lt;=$R$9,P21&gt;=$R$8)=TRUE,$R$6,0)+IF(AND(P21&lt;=$T$9,P21&gt;=$T$8)=TRUE,$T$6,0)+IF(AND(P21&lt;=$V$9,P21&gt;=$V$8)=TRUE,$V$6,0))*-1)</f>
        <v>0</v>
      </c>
      <c r="AC21" s="677">
        <f t="shared" ref="AC21:AC71" si="13">IF(P21="","",$G$23)</f>
        <v>0</v>
      </c>
      <c r="AD21" s="679">
        <f>IF(P21="","",AD20*(1+$G$7))</f>
        <v>0.15940799999999997</v>
      </c>
      <c r="AE21" s="678">
        <f t="shared" ref="AE21:AE71" si="14">IF(P21="",0,AC21*AD21)</f>
        <v>0</v>
      </c>
      <c r="AF21" s="651"/>
      <c r="AG21" s="654"/>
      <c r="AH21" s="654"/>
    </row>
    <row r="22" spans="2:34" x14ac:dyDescent="0.25">
      <c r="B22" s="651"/>
      <c r="C22" s="651"/>
      <c r="D22" s="653"/>
      <c r="E22" s="689" t="s">
        <v>487</v>
      </c>
      <c r="F22" s="689" t="s">
        <v>488</v>
      </c>
      <c r="G22" s="690">
        <f>'2. Energie KW.'!J36</f>
        <v>0</v>
      </c>
      <c r="H22" s="653"/>
      <c r="I22" s="653" t="s">
        <v>489</v>
      </c>
      <c r="J22" s="653"/>
      <c r="K22" s="653"/>
      <c r="L22" s="653"/>
      <c r="M22" s="653"/>
      <c r="N22" s="654"/>
      <c r="O22" s="653"/>
      <c r="P22" s="667">
        <f t="shared" ref="P22:P52" si="15">IF($G$5&gt;P21,P21+1,"")</f>
        <v>3</v>
      </c>
      <c r="Q22" s="668">
        <f>IF(P22="","",$G$22-$G$23)</f>
        <v>0</v>
      </c>
      <c r="R22" s="669">
        <f t="shared" ca="1" si="4"/>
        <v>0</v>
      </c>
      <c r="S22" s="669">
        <f t="shared" ref="S22:S69" ca="1" si="16">IF(R22="","",IF(AND(P22&gt;=$T$8,P22&lt;=$T$9)=TRUE,IF(OR($T$11="",$T$11=0),Q22-R22,IF(Q22&gt;$T$11,$T$11-R22,Q22-R22)),0))</f>
        <v>0</v>
      </c>
      <c r="T22" s="670">
        <f t="shared" ca="1" si="6"/>
        <v>0</v>
      </c>
      <c r="U22" s="671">
        <f t="shared" ca="1" si="7"/>
        <v>5.2531249999999995E-2</v>
      </c>
      <c r="V22" s="672">
        <f t="shared" ca="1" si="8"/>
        <v>2.6265624999999997E-2</v>
      </c>
      <c r="W22" s="673">
        <f t="shared" ca="1" si="9"/>
        <v>0</v>
      </c>
      <c r="X22" s="674">
        <f t="shared" ca="1" si="10"/>
        <v>0</v>
      </c>
      <c r="Y22" s="675">
        <f t="shared" ca="1" si="10"/>
        <v>0</v>
      </c>
      <c r="Z22" s="675">
        <f t="shared" ca="1" si="10"/>
        <v>0</v>
      </c>
      <c r="AA22" s="676">
        <f t="shared" ca="1" si="11"/>
        <v>0</v>
      </c>
      <c r="AB22" s="670">
        <f t="shared" ca="1" si="12"/>
        <v>0</v>
      </c>
      <c r="AC22" s="677">
        <f t="shared" si="13"/>
        <v>0</v>
      </c>
      <c r="AD22" s="679">
        <f>IF(P22="","",AD21*(1+$G$7))</f>
        <v>0.16339319999999996</v>
      </c>
      <c r="AE22" s="678">
        <f t="shared" si="14"/>
        <v>0</v>
      </c>
      <c r="AF22" s="651"/>
      <c r="AG22" s="654"/>
      <c r="AH22" s="654"/>
    </row>
    <row r="23" spans="2:34" x14ac:dyDescent="0.25">
      <c r="B23" s="651"/>
      <c r="C23" s="651"/>
      <c r="D23" s="653"/>
      <c r="E23" s="689" t="s">
        <v>486</v>
      </c>
      <c r="F23" s="689" t="s">
        <v>488</v>
      </c>
      <c r="G23" s="690">
        <f>'2. Energie KW.'!J37</f>
        <v>0</v>
      </c>
      <c r="H23" s="653"/>
      <c r="I23" s="653" t="s">
        <v>490</v>
      </c>
      <c r="J23" s="653"/>
      <c r="K23" s="653"/>
      <c r="L23" s="653"/>
      <c r="M23" s="653"/>
      <c r="N23" s="654"/>
      <c r="O23" s="653"/>
      <c r="P23" s="667">
        <f t="shared" si="15"/>
        <v>4</v>
      </c>
      <c r="Q23" s="668">
        <f t="shared" si="5"/>
        <v>0</v>
      </c>
      <c r="R23" s="669">
        <f t="shared" si="4"/>
        <v>0</v>
      </c>
      <c r="S23" s="669">
        <f t="shared" ca="1" si="16"/>
        <v>0</v>
      </c>
      <c r="T23" s="670">
        <f t="shared" ca="1" si="6"/>
        <v>0</v>
      </c>
      <c r="U23" s="671">
        <f t="shared" ca="1" si="7"/>
        <v>5.3844531249999987E-2</v>
      </c>
      <c r="V23" s="672">
        <f t="shared" ca="1" si="8"/>
        <v>2.6922265624999994E-2</v>
      </c>
      <c r="W23" s="673">
        <f t="shared" ca="1" si="9"/>
        <v>0</v>
      </c>
      <c r="X23" s="674">
        <f t="shared" ca="1" si="10"/>
        <v>0</v>
      </c>
      <c r="Y23" s="675">
        <f t="shared" ca="1" si="10"/>
        <v>0</v>
      </c>
      <c r="Z23" s="675">
        <f t="shared" ca="1" si="10"/>
        <v>0</v>
      </c>
      <c r="AA23" s="676">
        <f t="shared" ca="1" si="11"/>
        <v>0</v>
      </c>
      <c r="AB23" s="670">
        <f t="shared" ca="1" si="12"/>
        <v>0</v>
      </c>
      <c r="AC23" s="677">
        <f t="shared" si="13"/>
        <v>0</v>
      </c>
      <c r="AD23" s="679">
        <f>IF(P23="","",AD22*(1+$G$7))</f>
        <v>0.16747802999999994</v>
      </c>
      <c r="AE23" s="678">
        <f t="shared" si="14"/>
        <v>0</v>
      </c>
      <c r="AF23" s="651"/>
      <c r="AG23" s="654"/>
      <c r="AH23" s="654"/>
    </row>
    <row r="24" spans="2:34" x14ac:dyDescent="0.25">
      <c r="B24" s="651"/>
      <c r="C24" s="651"/>
      <c r="D24" s="653"/>
      <c r="E24" s="653"/>
      <c r="F24" s="653"/>
      <c r="G24" s="653"/>
      <c r="H24" s="653"/>
      <c r="I24" s="653"/>
      <c r="J24" s="653"/>
      <c r="K24" s="653"/>
      <c r="L24" s="653"/>
      <c r="M24" s="653"/>
      <c r="N24" s="654"/>
      <c r="O24" s="653"/>
      <c r="P24" s="667">
        <f t="shared" si="15"/>
        <v>5</v>
      </c>
      <c r="Q24" s="668">
        <f t="shared" si="5"/>
        <v>0</v>
      </c>
      <c r="R24" s="669">
        <f t="shared" si="4"/>
        <v>0</v>
      </c>
      <c r="S24" s="669">
        <f t="shared" ca="1" si="16"/>
        <v>0</v>
      </c>
      <c r="T24" s="670">
        <f t="shared" ca="1" si="6"/>
        <v>0</v>
      </c>
      <c r="U24" s="671">
        <f t="shared" ca="1" si="7"/>
        <v>5.5190644531249979E-2</v>
      </c>
      <c r="V24" s="672">
        <f t="shared" ca="1" si="8"/>
        <v>2.7595322265624989E-2</v>
      </c>
      <c r="W24" s="673">
        <f t="shared" ca="1" si="9"/>
        <v>0</v>
      </c>
      <c r="X24" s="674">
        <f t="shared" ca="1" si="10"/>
        <v>0</v>
      </c>
      <c r="Y24" s="675">
        <f t="shared" ca="1" si="10"/>
        <v>0</v>
      </c>
      <c r="Z24" s="675">
        <f t="shared" ca="1" si="10"/>
        <v>0</v>
      </c>
      <c r="AA24" s="676">
        <f t="shared" ca="1" si="11"/>
        <v>0</v>
      </c>
      <c r="AB24" s="670">
        <f t="shared" ca="1" si="12"/>
        <v>0</v>
      </c>
      <c r="AC24" s="677">
        <f t="shared" si="13"/>
        <v>0</v>
      </c>
      <c r="AD24" s="679">
        <f t="shared" ref="AD24:AD52" si="17">IF(P24="","",AD23*(1+$G$7))</f>
        <v>0.17166498074999992</v>
      </c>
      <c r="AE24" s="678">
        <f t="shared" si="14"/>
        <v>0</v>
      </c>
      <c r="AF24" s="651"/>
      <c r="AG24" s="654"/>
      <c r="AH24" s="654"/>
    </row>
    <row r="25" spans="2:34" x14ac:dyDescent="0.25">
      <c r="B25" s="651"/>
      <c r="C25" s="651"/>
      <c r="D25" s="653"/>
      <c r="E25" s="653"/>
      <c r="F25" s="653"/>
      <c r="G25" s="653"/>
      <c r="H25" s="653"/>
      <c r="I25" s="653"/>
      <c r="J25" s="653"/>
      <c r="K25" s="653"/>
      <c r="L25" s="653"/>
      <c r="M25" s="653"/>
      <c r="N25" s="654"/>
      <c r="O25" s="653"/>
      <c r="P25" s="667">
        <f t="shared" si="15"/>
        <v>6</v>
      </c>
      <c r="Q25" s="668">
        <f t="shared" si="5"/>
        <v>0</v>
      </c>
      <c r="R25" s="669">
        <f t="shared" si="4"/>
        <v>0</v>
      </c>
      <c r="S25" s="669">
        <f t="shared" ca="1" si="16"/>
        <v>0</v>
      </c>
      <c r="T25" s="670">
        <f t="shared" ca="1" si="6"/>
        <v>0</v>
      </c>
      <c r="U25" s="671">
        <f t="shared" ca="1" si="7"/>
        <v>5.6570410644531222E-2</v>
      </c>
      <c r="V25" s="672">
        <f t="shared" ca="1" si="8"/>
        <v>2.8285205322265611E-2</v>
      </c>
      <c r="W25" s="673">
        <f t="shared" ca="1" si="9"/>
        <v>0</v>
      </c>
      <c r="X25" s="674">
        <f t="shared" ca="1" si="10"/>
        <v>0</v>
      </c>
      <c r="Y25" s="675">
        <f t="shared" ca="1" si="10"/>
        <v>0</v>
      </c>
      <c r="Z25" s="675">
        <f t="shared" ca="1" si="10"/>
        <v>0</v>
      </c>
      <c r="AA25" s="676">
        <f t="shared" ca="1" si="11"/>
        <v>0</v>
      </c>
      <c r="AB25" s="670">
        <f t="shared" ca="1" si="12"/>
        <v>0</v>
      </c>
      <c r="AC25" s="677">
        <f t="shared" si="13"/>
        <v>0</v>
      </c>
      <c r="AD25" s="679">
        <f t="shared" si="17"/>
        <v>0.1759566052687499</v>
      </c>
      <c r="AE25" s="678">
        <f t="shared" si="14"/>
        <v>0</v>
      </c>
      <c r="AF25" s="651"/>
      <c r="AG25" s="654"/>
      <c r="AH25" s="654"/>
    </row>
    <row r="26" spans="2:34" ht="15.75" x14ac:dyDescent="0.25">
      <c r="B26" s="651"/>
      <c r="C26" s="651"/>
      <c r="D26" s="652"/>
      <c r="E26" s="653"/>
      <c r="F26" s="653"/>
      <c r="G26" s="653"/>
      <c r="H26" s="653"/>
      <c r="I26" s="653"/>
      <c r="J26" s="653"/>
      <c r="K26" s="653"/>
      <c r="L26" s="653"/>
      <c r="M26" s="653"/>
      <c r="N26" s="654"/>
      <c r="O26" s="653"/>
      <c r="P26" s="667">
        <f t="shared" si="15"/>
        <v>7</v>
      </c>
      <c r="Q26" s="668">
        <f t="shared" si="5"/>
        <v>0</v>
      </c>
      <c r="R26" s="669">
        <f t="shared" si="4"/>
        <v>0</v>
      </c>
      <c r="S26" s="669">
        <f t="shared" ca="1" si="16"/>
        <v>0</v>
      </c>
      <c r="T26" s="670">
        <f t="shared" ca="1" si="6"/>
        <v>0</v>
      </c>
      <c r="U26" s="671">
        <f t="shared" ca="1" si="7"/>
        <v>5.7984670910644499E-2</v>
      </c>
      <c r="V26" s="672">
        <f t="shared" ca="1" si="8"/>
        <v>2.899233545532225E-2</v>
      </c>
      <c r="W26" s="673">
        <f t="shared" ca="1" si="9"/>
        <v>0</v>
      </c>
      <c r="X26" s="674">
        <f t="shared" ca="1" si="10"/>
        <v>0</v>
      </c>
      <c r="Y26" s="675">
        <f t="shared" ca="1" si="10"/>
        <v>0</v>
      </c>
      <c r="Z26" s="675">
        <f t="shared" ca="1" si="10"/>
        <v>0</v>
      </c>
      <c r="AA26" s="676">
        <f t="shared" ca="1" si="11"/>
        <v>0</v>
      </c>
      <c r="AB26" s="670">
        <f t="shared" ca="1" si="12"/>
        <v>0</v>
      </c>
      <c r="AC26" s="677">
        <f t="shared" si="13"/>
        <v>0</v>
      </c>
      <c r="AD26" s="679">
        <f t="shared" si="17"/>
        <v>0.18035552040046862</v>
      </c>
      <c r="AE26" s="678">
        <f t="shared" si="14"/>
        <v>0</v>
      </c>
      <c r="AF26" s="651"/>
      <c r="AG26" s="654"/>
      <c r="AH26" s="654"/>
    </row>
    <row r="27" spans="2:34" x14ac:dyDescent="0.25">
      <c r="B27" s="651"/>
      <c r="C27" s="651"/>
      <c r="D27" s="653"/>
      <c r="E27" s="653"/>
      <c r="F27" s="653"/>
      <c r="G27" s="653"/>
      <c r="H27" s="653"/>
      <c r="I27" s="653"/>
      <c r="J27" s="653"/>
      <c r="K27" s="653"/>
      <c r="L27" s="653"/>
      <c r="M27" s="653"/>
      <c r="N27" s="654"/>
      <c r="O27" s="653"/>
      <c r="P27" s="667">
        <f t="shared" si="15"/>
        <v>8</v>
      </c>
      <c r="Q27" s="668">
        <f t="shared" si="5"/>
        <v>0</v>
      </c>
      <c r="R27" s="669">
        <f t="shared" si="4"/>
        <v>0</v>
      </c>
      <c r="S27" s="669">
        <f t="shared" ca="1" si="16"/>
        <v>0</v>
      </c>
      <c r="T27" s="670">
        <f t="shared" ca="1" si="6"/>
        <v>0</v>
      </c>
      <c r="U27" s="671">
        <f t="shared" ca="1" si="7"/>
        <v>5.9434287683410608E-2</v>
      </c>
      <c r="V27" s="672">
        <f t="shared" ca="1" si="8"/>
        <v>2.9717143841705304E-2</v>
      </c>
      <c r="W27" s="673">
        <f t="shared" ca="1" si="9"/>
        <v>0</v>
      </c>
      <c r="X27" s="674">
        <f t="shared" ca="1" si="10"/>
        <v>0</v>
      </c>
      <c r="Y27" s="675">
        <f t="shared" ca="1" si="10"/>
        <v>0</v>
      </c>
      <c r="Z27" s="675">
        <f t="shared" ca="1" si="10"/>
        <v>0</v>
      </c>
      <c r="AA27" s="676">
        <f t="shared" ca="1" si="11"/>
        <v>0</v>
      </c>
      <c r="AB27" s="670">
        <f t="shared" ca="1" si="12"/>
        <v>0</v>
      </c>
      <c r="AC27" s="677">
        <f t="shared" si="13"/>
        <v>0</v>
      </c>
      <c r="AD27" s="679">
        <f t="shared" si="17"/>
        <v>0.18486440841048032</v>
      </c>
      <c r="AE27" s="678">
        <f t="shared" si="14"/>
        <v>0</v>
      </c>
      <c r="AF27" s="651"/>
      <c r="AG27" s="654"/>
      <c r="AH27" s="654"/>
    </row>
    <row r="28" spans="2:34" x14ac:dyDescent="0.25">
      <c r="B28" s="651"/>
      <c r="C28" s="651"/>
      <c r="D28" s="653"/>
      <c r="E28" s="653"/>
      <c r="F28" s="653"/>
      <c r="G28" s="653"/>
      <c r="H28" s="653"/>
      <c r="I28" s="653"/>
      <c r="J28" s="653"/>
      <c r="K28" s="653"/>
      <c r="L28" s="653"/>
      <c r="M28" s="653"/>
      <c r="N28" s="653"/>
      <c r="O28" s="653"/>
      <c r="P28" s="667">
        <f t="shared" si="15"/>
        <v>9</v>
      </c>
      <c r="Q28" s="668">
        <f t="shared" si="5"/>
        <v>0</v>
      </c>
      <c r="R28" s="669">
        <f t="shared" si="4"/>
        <v>0</v>
      </c>
      <c r="S28" s="669">
        <f t="shared" ca="1" si="16"/>
        <v>0</v>
      </c>
      <c r="T28" s="670">
        <f t="shared" ca="1" si="6"/>
        <v>0</v>
      </c>
      <c r="U28" s="671">
        <f t="shared" ca="1" si="7"/>
        <v>6.0920144875495866E-2</v>
      </c>
      <c r="V28" s="672">
        <f t="shared" ca="1" si="8"/>
        <v>3.0460072437747933E-2</v>
      </c>
      <c r="W28" s="673">
        <f t="shared" ca="1" si="9"/>
        <v>0</v>
      </c>
      <c r="X28" s="674">
        <f t="shared" ca="1" si="10"/>
        <v>0</v>
      </c>
      <c r="Y28" s="675">
        <f t="shared" ca="1" si="10"/>
        <v>0</v>
      </c>
      <c r="Z28" s="675">
        <f t="shared" ca="1" si="10"/>
        <v>0</v>
      </c>
      <c r="AA28" s="676">
        <f t="shared" ca="1" si="11"/>
        <v>0</v>
      </c>
      <c r="AB28" s="670">
        <f t="shared" ca="1" si="12"/>
        <v>0</v>
      </c>
      <c r="AC28" s="677">
        <f t="shared" si="13"/>
        <v>0</v>
      </c>
      <c r="AD28" s="679">
        <f t="shared" si="17"/>
        <v>0.18948601862074232</v>
      </c>
      <c r="AE28" s="678">
        <f t="shared" si="14"/>
        <v>0</v>
      </c>
      <c r="AF28" s="651"/>
      <c r="AG28" s="654"/>
      <c r="AH28" s="654"/>
    </row>
    <row r="29" spans="2:34" ht="15.75" thickBot="1" x14ac:dyDescent="0.3">
      <c r="B29" s="651"/>
      <c r="C29" s="680"/>
      <c r="D29" s="681"/>
      <c r="E29" s="681"/>
      <c r="F29" s="681"/>
      <c r="G29" s="681"/>
      <c r="H29" s="681"/>
      <c r="I29" s="681"/>
      <c r="J29" s="681"/>
      <c r="K29" s="681"/>
      <c r="L29" s="681"/>
      <c r="M29" s="681"/>
      <c r="N29" s="666"/>
      <c r="O29" s="653"/>
      <c r="P29" s="667">
        <f t="shared" si="15"/>
        <v>10</v>
      </c>
      <c r="Q29" s="668">
        <f t="shared" si="5"/>
        <v>0</v>
      </c>
      <c r="R29" s="669">
        <f t="shared" si="4"/>
        <v>0</v>
      </c>
      <c r="S29" s="669">
        <f t="shared" ca="1" si="16"/>
        <v>0</v>
      </c>
      <c r="T29" s="670">
        <f t="shared" ca="1" si="6"/>
        <v>0</v>
      </c>
      <c r="U29" s="671">
        <f t="shared" ca="1" si="7"/>
        <v>6.2443148497383257E-2</v>
      </c>
      <c r="V29" s="672">
        <f t="shared" ca="1" si="8"/>
        <v>3.1221574248691628E-2</v>
      </c>
      <c r="W29" s="673">
        <f t="shared" ca="1" si="9"/>
        <v>0</v>
      </c>
      <c r="X29" s="674">
        <f t="shared" ca="1" si="10"/>
        <v>0</v>
      </c>
      <c r="Y29" s="675">
        <f t="shared" ca="1" si="10"/>
        <v>0</v>
      </c>
      <c r="Z29" s="675">
        <f t="shared" ca="1" si="10"/>
        <v>0</v>
      </c>
      <c r="AA29" s="676">
        <f t="shared" ca="1" si="11"/>
        <v>0</v>
      </c>
      <c r="AB29" s="670">
        <f t="shared" ca="1" si="12"/>
        <v>0</v>
      </c>
      <c r="AC29" s="677">
        <f t="shared" si="13"/>
        <v>0</v>
      </c>
      <c r="AD29" s="679">
        <f t="shared" si="17"/>
        <v>0.19422316908626086</v>
      </c>
      <c r="AE29" s="678">
        <f t="shared" si="14"/>
        <v>0</v>
      </c>
      <c r="AF29" s="651"/>
      <c r="AG29" s="654"/>
      <c r="AH29" s="654"/>
    </row>
    <row r="30" spans="2:34" ht="15.75" thickBot="1" x14ac:dyDescent="0.3">
      <c r="B30" s="651"/>
      <c r="C30" s="653"/>
      <c r="D30" s="653"/>
      <c r="E30" s="653"/>
      <c r="F30" s="653"/>
      <c r="G30" s="653"/>
      <c r="H30" s="653"/>
      <c r="I30" s="653"/>
      <c r="J30" s="653"/>
      <c r="K30" s="653"/>
      <c r="L30" s="653"/>
      <c r="M30" s="653"/>
      <c r="N30" s="653"/>
      <c r="O30" s="653"/>
      <c r="P30" s="667">
        <f t="shared" si="15"/>
        <v>11</v>
      </c>
      <c r="Q30" s="668">
        <f t="shared" si="5"/>
        <v>0</v>
      </c>
      <c r="R30" s="669">
        <f t="shared" si="4"/>
        <v>0</v>
      </c>
      <c r="S30" s="669">
        <f t="shared" ca="1" si="16"/>
        <v>0</v>
      </c>
      <c r="T30" s="670">
        <f t="shared" ca="1" si="6"/>
        <v>0</v>
      </c>
      <c r="U30" s="671">
        <f t="shared" ca="1" si="7"/>
        <v>6.4004227209817827E-2</v>
      </c>
      <c r="V30" s="672">
        <f t="shared" ca="1" si="8"/>
        <v>3.2002113604908913E-2</v>
      </c>
      <c r="W30" s="673">
        <f t="shared" ca="1" si="9"/>
        <v>0</v>
      </c>
      <c r="X30" s="674">
        <f t="shared" ca="1" si="10"/>
        <v>0</v>
      </c>
      <c r="Y30" s="675">
        <f t="shared" ca="1" si="10"/>
        <v>0</v>
      </c>
      <c r="Z30" s="675">
        <f t="shared" ca="1" si="10"/>
        <v>0</v>
      </c>
      <c r="AA30" s="676">
        <f t="shared" ca="1" si="11"/>
        <v>0</v>
      </c>
      <c r="AB30" s="670">
        <f t="shared" ca="1" si="12"/>
        <v>0</v>
      </c>
      <c r="AC30" s="677">
        <f t="shared" si="13"/>
        <v>0</v>
      </c>
      <c r="AD30" s="679">
        <f t="shared" si="17"/>
        <v>0.19907874831341738</v>
      </c>
      <c r="AE30" s="678">
        <f t="shared" si="14"/>
        <v>0</v>
      </c>
      <c r="AF30" s="651"/>
      <c r="AG30" s="654"/>
      <c r="AH30" s="654"/>
    </row>
    <row r="31" spans="2:34" x14ac:dyDescent="0.25">
      <c r="B31" s="651"/>
      <c r="C31" s="648"/>
      <c r="D31" s="649"/>
      <c r="E31" s="649"/>
      <c r="F31" s="649"/>
      <c r="G31" s="649"/>
      <c r="H31" s="649"/>
      <c r="I31" s="649"/>
      <c r="J31" s="649"/>
      <c r="K31" s="649"/>
      <c r="L31" s="649"/>
      <c r="M31" s="649"/>
      <c r="N31" s="650"/>
      <c r="O31" s="653"/>
      <c r="P31" s="667">
        <f t="shared" si="15"/>
        <v>12</v>
      </c>
      <c r="Q31" s="668">
        <f t="shared" si="5"/>
        <v>0</v>
      </c>
      <c r="R31" s="669">
        <f t="shared" si="4"/>
        <v>0</v>
      </c>
      <c r="S31" s="669">
        <f t="shared" ca="1" si="16"/>
        <v>0</v>
      </c>
      <c r="T31" s="670">
        <f t="shared" ca="1" si="6"/>
        <v>0</v>
      </c>
      <c r="U31" s="671">
        <f t="shared" ca="1" si="7"/>
        <v>6.5604332890063261E-2</v>
      </c>
      <c r="V31" s="672">
        <f t="shared" ca="1" si="8"/>
        <v>3.280216644503163E-2</v>
      </c>
      <c r="W31" s="673">
        <f t="shared" ca="1" si="9"/>
        <v>0</v>
      </c>
      <c r="X31" s="674">
        <f t="shared" ca="1" si="10"/>
        <v>0</v>
      </c>
      <c r="Y31" s="675">
        <f t="shared" ca="1" si="10"/>
        <v>0</v>
      </c>
      <c r="Z31" s="675">
        <f t="shared" ca="1" si="10"/>
        <v>0</v>
      </c>
      <c r="AA31" s="676">
        <f t="shared" ca="1" si="11"/>
        <v>0</v>
      </c>
      <c r="AB31" s="670">
        <f t="shared" ca="1" si="12"/>
        <v>0</v>
      </c>
      <c r="AC31" s="677">
        <f t="shared" si="13"/>
        <v>0</v>
      </c>
      <c r="AD31" s="679">
        <f t="shared" si="17"/>
        <v>0.2040557170212528</v>
      </c>
      <c r="AE31" s="678">
        <f t="shared" si="14"/>
        <v>0</v>
      </c>
      <c r="AF31" s="651"/>
      <c r="AG31" s="654"/>
      <c r="AH31" s="654"/>
    </row>
    <row r="32" spans="2:34" ht="15.75" x14ac:dyDescent="0.25">
      <c r="B32" s="651"/>
      <c r="C32" s="651"/>
      <c r="D32" s="652" t="s">
        <v>504</v>
      </c>
      <c r="E32" s="653"/>
      <c r="F32" s="653"/>
      <c r="G32" s="653"/>
      <c r="H32" s="653"/>
      <c r="I32" s="653"/>
      <c r="J32" s="653"/>
      <c r="K32" s="653"/>
      <c r="L32" s="653"/>
      <c r="M32" s="653"/>
      <c r="N32" s="654"/>
      <c r="O32" s="653"/>
      <c r="P32" s="667">
        <f t="shared" si="15"/>
        <v>13</v>
      </c>
      <c r="Q32" s="668">
        <f t="shared" si="5"/>
        <v>0</v>
      </c>
      <c r="R32" s="669">
        <f t="shared" si="4"/>
        <v>0</v>
      </c>
      <c r="S32" s="669">
        <f t="shared" ca="1" si="16"/>
        <v>0</v>
      </c>
      <c r="T32" s="670">
        <f t="shared" ca="1" si="6"/>
        <v>0</v>
      </c>
      <c r="U32" s="671">
        <f t="shared" ca="1" si="7"/>
        <v>6.7244441212314834E-2</v>
      </c>
      <c r="V32" s="672">
        <f t="shared" ca="1" si="8"/>
        <v>3.3622220606157417E-2</v>
      </c>
      <c r="W32" s="673">
        <f t="shared" ca="1" si="9"/>
        <v>0</v>
      </c>
      <c r="X32" s="674">
        <f t="shared" ca="1" si="10"/>
        <v>0</v>
      </c>
      <c r="Y32" s="675">
        <f t="shared" ca="1" si="10"/>
        <v>0</v>
      </c>
      <c r="Z32" s="675">
        <f t="shared" ca="1" si="10"/>
        <v>0</v>
      </c>
      <c r="AA32" s="676">
        <f t="shared" ca="1" si="11"/>
        <v>0</v>
      </c>
      <c r="AB32" s="670">
        <f t="shared" ca="1" si="12"/>
        <v>0</v>
      </c>
      <c r="AC32" s="677">
        <f t="shared" si="13"/>
        <v>0</v>
      </c>
      <c r="AD32" s="679">
        <f t="shared" si="17"/>
        <v>0.2091571099467841</v>
      </c>
      <c r="AE32" s="678">
        <f t="shared" si="14"/>
        <v>0</v>
      </c>
      <c r="AF32" s="651"/>
      <c r="AG32" s="654"/>
      <c r="AH32" s="654"/>
    </row>
    <row r="33" spans="2:34" x14ac:dyDescent="0.25">
      <c r="B33" s="651"/>
      <c r="C33" s="651"/>
      <c r="D33" s="653" t="s">
        <v>505</v>
      </c>
      <c r="E33" s="653"/>
      <c r="F33" s="653"/>
      <c r="G33" s="653"/>
      <c r="H33" s="653"/>
      <c r="I33" s="653"/>
      <c r="J33" s="653"/>
      <c r="K33" s="653"/>
      <c r="L33" s="653"/>
      <c r="M33" s="653"/>
      <c r="N33" s="654"/>
      <c r="O33" s="653"/>
      <c r="P33" s="667">
        <f t="shared" si="15"/>
        <v>14</v>
      </c>
      <c r="Q33" s="668">
        <f t="shared" si="5"/>
        <v>0</v>
      </c>
      <c r="R33" s="669">
        <f t="shared" si="4"/>
        <v>0</v>
      </c>
      <c r="S33" s="669">
        <f t="shared" ca="1" si="16"/>
        <v>0</v>
      </c>
      <c r="T33" s="670">
        <f t="shared" ca="1" si="6"/>
        <v>0</v>
      </c>
      <c r="U33" s="671">
        <f t="shared" ca="1" si="7"/>
        <v>6.8925552242622701E-2</v>
      </c>
      <c r="V33" s="672">
        <f t="shared" ca="1" si="8"/>
        <v>3.446277612131135E-2</v>
      </c>
      <c r="W33" s="673">
        <f t="shared" ca="1" si="9"/>
        <v>0</v>
      </c>
      <c r="X33" s="674">
        <f t="shared" ca="1" si="10"/>
        <v>0</v>
      </c>
      <c r="Y33" s="675">
        <f t="shared" ca="1" si="10"/>
        <v>0</v>
      </c>
      <c r="Z33" s="675">
        <f t="shared" ca="1" si="10"/>
        <v>0</v>
      </c>
      <c r="AA33" s="676">
        <f t="shared" ca="1" si="11"/>
        <v>0</v>
      </c>
      <c r="AB33" s="670">
        <f t="shared" ca="1" si="12"/>
        <v>0</v>
      </c>
      <c r="AC33" s="677">
        <f t="shared" si="13"/>
        <v>0</v>
      </c>
      <c r="AD33" s="679">
        <f t="shared" si="17"/>
        <v>0.2143860376954537</v>
      </c>
      <c r="AE33" s="678">
        <f t="shared" si="14"/>
        <v>0</v>
      </c>
      <c r="AF33" s="651"/>
      <c r="AG33" s="654"/>
      <c r="AH33" s="654"/>
    </row>
    <row r="34" spans="2:34" x14ac:dyDescent="0.25">
      <c r="B34" s="651"/>
      <c r="C34" s="651"/>
      <c r="D34" s="653" t="s">
        <v>506</v>
      </c>
      <c r="E34" s="653"/>
      <c r="F34" s="653"/>
      <c r="G34" s="653"/>
      <c r="H34" s="653"/>
      <c r="I34" s="653"/>
      <c r="J34" s="653"/>
      <c r="K34" s="653"/>
      <c r="L34" s="653"/>
      <c r="M34" s="653"/>
      <c r="N34" s="654"/>
      <c r="O34" s="653"/>
      <c r="P34" s="667">
        <f t="shared" si="15"/>
        <v>15</v>
      </c>
      <c r="Q34" s="668">
        <f t="shared" si="5"/>
        <v>0</v>
      </c>
      <c r="R34" s="669">
        <f t="shared" si="4"/>
        <v>0</v>
      </c>
      <c r="S34" s="669">
        <f t="shared" ca="1" si="16"/>
        <v>0</v>
      </c>
      <c r="T34" s="670">
        <f t="shared" ca="1" si="6"/>
        <v>0</v>
      </c>
      <c r="U34" s="671">
        <f t="shared" ca="1" si="7"/>
        <v>7.0648691048688261E-2</v>
      </c>
      <c r="V34" s="672">
        <f t="shared" ca="1" si="8"/>
        <v>3.5324345524344131E-2</v>
      </c>
      <c r="W34" s="673">
        <f t="shared" ca="1" si="9"/>
        <v>0</v>
      </c>
      <c r="X34" s="674">
        <f t="shared" ca="1" si="10"/>
        <v>0</v>
      </c>
      <c r="Y34" s="675">
        <f t="shared" ca="1" si="10"/>
        <v>0</v>
      </c>
      <c r="Z34" s="675">
        <f t="shared" ca="1" si="10"/>
        <v>0</v>
      </c>
      <c r="AA34" s="676">
        <f t="shared" ca="1" si="11"/>
        <v>0</v>
      </c>
      <c r="AB34" s="670">
        <f t="shared" ca="1" si="12"/>
        <v>0</v>
      </c>
      <c r="AC34" s="677">
        <f t="shared" si="13"/>
        <v>0</v>
      </c>
      <c r="AD34" s="679">
        <f t="shared" si="17"/>
        <v>0.21974568863784003</v>
      </c>
      <c r="AE34" s="678">
        <f t="shared" si="14"/>
        <v>0</v>
      </c>
      <c r="AF34" s="651"/>
      <c r="AG34" s="654"/>
      <c r="AH34" s="654"/>
    </row>
    <row r="35" spans="2:34" x14ac:dyDescent="0.25">
      <c r="B35" s="651"/>
      <c r="C35" s="651"/>
      <c r="D35" s="653" t="s">
        <v>507</v>
      </c>
      <c r="E35" s="653"/>
      <c r="F35" s="653"/>
      <c r="G35" s="653"/>
      <c r="H35" s="653"/>
      <c r="I35" s="653"/>
      <c r="J35" s="653"/>
      <c r="K35" s="653"/>
      <c r="L35" s="653"/>
      <c r="M35" s="653"/>
      <c r="N35" s="654"/>
      <c r="O35" s="653"/>
      <c r="P35" s="667">
        <f t="shared" si="15"/>
        <v>16</v>
      </c>
      <c r="Q35" s="668">
        <f t="shared" si="5"/>
        <v>0</v>
      </c>
      <c r="R35" s="669">
        <f t="shared" si="4"/>
        <v>0</v>
      </c>
      <c r="S35" s="669">
        <f t="shared" ca="1" si="16"/>
        <v>0</v>
      </c>
      <c r="T35" s="670">
        <f t="shared" ca="1" si="6"/>
        <v>0</v>
      </c>
      <c r="U35" s="671">
        <f t="shared" ca="1" si="7"/>
        <v>7.2414908324905464E-2</v>
      </c>
      <c r="V35" s="672">
        <f t="shared" ca="1" si="8"/>
        <v>3.6207454162452732E-2</v>
      </c>
      <c r="W35" s="673">
        <f t="shared" ca="1" si="9"/>
        <v>0</v>
      </c>
      <c r="X35" s="674">
        <f t="shared" ca="1" si="10"/>
        <v>0</v>
      </c>
      <c r="Y35" s="675">
        <f t="shared" ca="1" si="10"/>
        <v>0</v>
      </c>
      <c r="Z35" s="675">
        <f t="shared" ca="1" si="10"/>
        <v>0</v>
      </c>
      <c r="AA35" s="676">
        <f t="shared" ca="1" si="11"/>
        <v>0</v>
      </c>
      <c r="AB35" s="670">
        <f t="shared" ca="1" si="12"/>
        <v>0</v>
      </c>
      <c r="AC35" s="677">
        <f t="shared" si="13"/>
        <v>0</v>
      </c>
      <c r="AD35" s="679">
        <f t="shared" si="17"/>
        <v>0.225239330853786</v>
      </c>
      <c r="AE35" s="678">
        <f t="shared" si="14"/>
        <v>0</v>
      </c>
      <c r="AF35" s="651"/>
      <c r="AG35" s="654"/>
      <c r="AH35" s="654"/>
    </row>
    <row r="36" spans="2:34" x14ac:dyDescent="0.25">
      <c r="B36" s="651"/>
      <c r="C36" s="651"/>
      <c r="D36" s="653"/>
      <c r="E36" s="653"/>
      <c r="F36" s="653"/>
      <c r="G36" s="653"/>
      <c r="H36" s="653"/>
      <c r="I36" s="653"/>
      <c r="J36" s="653"/>
      <c r="K36" s="653"/>
      <c r="L36" s="653"/>
      <c r="M36" s="653"/>
      <c r="N36" s="654"/>
      <c r="O36" s="653"/>
      <c r="P36" s="667">
        <f t="shared" si="15"/>
        <v>17</v>
      </c>
      <c r="Q36" s="668">
        <f t="shared" si="5"/>
        <v>0</v>
      </c>
      <c r="R36" s="669">
        <f t="shared" si="4"/>
        <v>0</v>
      </c>
      <c r="S36" s="669">
        <f t="shared" ca="1" si="16"/>
        <v>0</v>
      </c>
      <c r="T36" s="670">
        <f t="shared" ca="1" si="6"/>
        <v>0</v>
      </c>
      <c r="U36" s="671">
        <f t="shared" ca="1" si="7"/>
        <v>7.4225281033028098E-2</v>
      </c>
      <c r="V36" s="672">
        <f t="shared" ca="1" si="8"/>
        <v>3.7112640516514049E-2</v>
      </c>
      <c r="W36" s="673">
        <f t="shared" ca="1" si="9"/>
        <v>0</v>
      </c>
      <c r="X36" s="674">
        <f t="shared" ca="1" si="10"/>
        <v>0</v>
      </c>
      <c r="Y36" s="675">
        <f t="shared" ca="1" si="10"/>
        <v>0</v>
      </c>
      <c r="Z36" s="675">
        <f t="shared" ca="1" si="10"/>
        <v>0</v>
      </c>
      <c r="AA36" s="676">
        <f t="shared" ca="1" si="11"/>
        <v>0</v>
      </c>
      <c r="AB36" s="670">
        <f t="shared" ca="1" si="12"/>
        <v>0</v>
      </c>
      <c r="AC36" s="677">
        <f t="shared" si="13"/>
        <v>0</v>
      </c>
      <c r="AD36" s="679">
        <f t="shared" si="17"/>
        <v>0.23087031412513062</v>
      </c>
      <c r="AE36" s="678">
        <f t="shared" si="14"/>
        <v>0</v>
      </c>
      <c r="AF36" s="651"/>
      <c r="AG36" s="654"/>
      <c r="AH36" s="654"/>
    </row>
    <row r="37" spans="2:34" ht="15.75" thickBot="1" x14ac:dyDescent="0.3">
      <c r="B37" s="651"/>
      <c r="C37" s="680"/>
      <c r="D37" s="681"/>
      <c r="E37" s="681"/>
      <c r="F37" s="681"/>
      <c r="G37" s="681"/>
      <c r="H37" s="681"/>
      <c r="I37" s="681"/>
      <c r="J37" s="681"/>
      <c r="K37" s="681"/>
      <c r="L37" s="681"/>
      <c r="M37" s="681"/>
      <c r="N37" s="666"/>
      <c r="O37" s="653"/>
      <c r="P37" s="667">
        <f t="shared" si="15"/>
        <v>18</v>
      </c>
      <c r="Q37" s="668">
        <f t="shared" si="5"/>
        <v>0</v>
      </c>
      <c r="R37" s="669">
        <f t="shared" si="4"/>
        <v>0</v>
      </c>
      <c r="S37" s="669">
        <f t="shared" ca="1" si="16"/>
        <v>0</v>
      </c>
      <c r="T37" s="670">
        <f t="shared" ca="1" si="6"/>
        <v>0</v>
      </c>
      <c r="U37" s="671">
        <f t="shared" ca="1" si="7"/>
        <v>7.6080913058853797E-2</v>
      </c>
      <c r="V37" s="672">
        <f t="shared" ca="1" si="8"/>
        <v>3.8040456529426898E-2</v>
      </c>
      <c r="W37" s="673">
        <f t="shared" ca="1" si="9"/>
        <v>0</v>
      </c>
      <c r="X37" s="674">
        <f t="shared" ref="X37:Z71" ca="1" si="18">IF(W37="","",IF(R37&gt;0,(U37*R37),0))</f>
        <v>0</v>
      </c>
      <c r="Y37" s="675">
        <f t="shared" ca="1" si="18"/>
        <v>0</v>
      </c>
      <c r="Z37" s="675">
        <f t="shared" ca="1" si="18"/>
        <v>0</v>
      </c>
      <c r="AA37" s="676">
        <f t="shared" ca="1" si="11"/>
        <v>0</v>
      </c>
      <c r="AB37" s="670">
        <f t="shared" ca="1" si="12"/>
        <v>0</v>
      </c>
      <c r="AC37" s="677">
        <f t="shared" si="13"/>
        <v>0</v>
      </c>
      <c r="AD37" s="679">
        <f t="shared" si="17"/>
        <v>0.23664207197825887</v>
      </c>
      <c r="AE37" s="678">
        <f t="shared" si="14"/>
        <v>0</v>
      </c>
      <c r="AF37" s="651"/>
      <c r="AG37" s="654"/>
      <c r="AH37" s="654"/>
    </row>
    <row r="38" spans="2:34" ht="15.75" thickBot="1" x14ac:dyDescent="0.3">
      <c r="B38" s="651"/>
      <c r="C38" s="653"/>
      <c r="D38" s="653"/>
      <c r="E38" s="653"/>
      <c r="F38" s="653"/>
      <c r="G38" s="653"/>
      <c r="H38" s="653"/>
      <c r="I38" s="653"/>
      <c r="J38" s="653"/>
      <c r="K38" s="653"/>
      <c r="L38" s="653"/>
      <c r="M38" s="653"/>
      <c r="N38" s="653"/>
      <c r="O38" s="653"/>
      <c r="P38" s="667">
        <f t="shared" si="15"/>
        <v>19</v>
      </c>
      <c r="Q38" s="668">
        <f t="shared" si="5"/>
        <v>0</v>
      </c>
      <c r="R38" s="669">
        <f t="shared" si="4"/>
        <v>0</v>
      </c>
      <c r="S38" s="669">
        <f t="shared" ca="1" si="16"/>
        <v>0</v>
      </c>
      <c r="T38" s="670">
        <f t="shared" ca="1" si="6"/>
        <v>0</v>
      </c>
      <c r="U38" s="671">
        <f t="shared" ca="1" si="7"/>
        <v>7.7982935885325136E-2</v>
      </c>
      <c r="V38" s="672">
        <f t="shared" ca="1" si="8"/>
        <v>3.8991467942662568E-2</v>
      </c>
      <c r="W38" s="673">
        <f t="shared" ca="1" si="9"/>
        <v>0</v>
      </c>
      <c r="X38" s="674">
        <f t="shared" ca="1" si="18"/>
        <v>0</v>
      </c>
      <c r="Y38" s="675">
        <f t="shared" ca="1" si="18"/>
        <v>0</v>
      </c>
      <c r="Z38" s="675">
        <f t="shared" ca="1" si="18"/>
        <v>0</v>
      </c>
      <c r="AA38" s="676">
        <f t="shared" ca="1" si="11"/>
        <v>0</v>
      </c>
      <c r="AB38" s="670">
        <f t="shared" ca="1" si="12"/>
        <v>0</v>
      </c>
      <c r="AC38" s="677">
        <f t="shared" si="13"/>
        <v>0</v>
      </c>
      <c r="AD38" s="679">
        <f t="shared" si="17"/>
        <v>0.24255812377771532</v>
      </c>
      <c r="AE38" s="678">
        <f t="shared" si="14"/>
        <v>0</v>
      </c>
      <c r="AF38" s="651"/>
      <c r="AG38" s="654"/>
      <c r="AH38" s="654"/>
    </row>
    <row r="39" spans="2:34" x14ac:dyDescent="0.25">
      <c r="B39" s="651"/>
      <c r="C39" s="648"/>
      <c r="D39" s="649"/>
      <c r="E39" s="649"/>
      <c r="F39" s="649"/>
      <c r="G39" s="649"/>
      <c r="H39" s="649"/>
      <c r="I39" s="649"/>
      <c r="J39" s="649"/>
      <c r="K39" s="649"/>
      <c r="L39" s="649"/>
      <c r="M39" s="649"/>
      <c r="N39" s="650"/>
      <c r="O39" s="653"/>
      <c r="P39" s="667">
        <f t="shared" si="15"/>
        <v>20</v>
      </c>
      <c r="Q39" s="668">
        <f t="shared" si="5"/>
        <v>0</v>
      </c>
      <c r="R39" s="669">
        <f t="shared" si="4"/>
        <v>0</v>
      </c>
      <c r="S39" s="669">
        <f t="shared" ca="1" si="16"/>
        <v>0</v>
      </c>
      <c r="T39" s="670">
        <f t="shared" ca="1" si="6"/>
        <v>0</v>
      </c>
      <c r="U39" s="671">
        <f t="shared" ca="1" si="7"/>
        <v>7.9932509282458264E-2</v>
      </c>
      <c r="V39" s="672">
        <f t="shared" ca="1" si="8"/>
        <v>3.9966254641229132E-2</v>
      </c>
      <c r="W39" s="673">
        <f t="shared" ca="1" si="9"/>
        <v>0</v>
      </c>
      <c r="X39" s="674">
        <f t="shared" ca="1" si="18"/>
        <v>0</v>
      </c>
      <c r="Y39" s="675">
        <f t="shared" ca="1" si="18"/>
        <v>0</v>
      </c>
      <c r="Z39" s="675">
        <f t="shared" ca="1" si="18"/>
        <v>0</v>
      </c>
      <c r="AA39" s="676">
        <f t="shared" ca="1" si="11"/>
        <v>0</v>
      </c>
      <c r="AB39" s="670">
        <f t="shared" ca="1" si="12"/>
        <v>0</v>
      </c>
      <c r="AC39" s="677">
        <f t="shared" si="13"/>
        <v>0</v>
      </c>
      <c r="AD39" s="679">
        <f t="shared" si="17"/>
        <v>0.24862207687215818</v>
      </c>
      <c r="AE39" s="678">
        <f t="shared" si="14"/>
        <v>0</v>
      </c>
      <c r="AF39" s="651"/>
      <c r="AG39" s="654"/>
      <c r="AH39" s="654"/>
    </row>
    <row r="40" spans="2:34" ht="15.75" x14ac:dyDescent="0.25">
      <c r="B40" s="651"/>
      <c r="C40" s="651"/>
      <c r="D40" s="652" t="s">
        <v>508</v>
      </c>
      <c r="E40" s="653"/>
      <c r="F40" s="653"/>
      <c r="G40" s="653"/>
      <c r="H40" s="653"/>
      <c r="I40" s="653"/>
      <c r="J40" s="653"/>
      <c r="K40" s="653"/>
      <c r="L40" s="653"/>
      <c r="M40" s="653"/>
      <c r="N40" s="654"/>
      <c r="O40" s="653"/>
      <c r="P40" s="667">
        <f t="shared" si="15"/>
        <v>21</v>
      </c>
      <c r="Q40" s="668">
        <f t="shared" si="5"/>
        <v>0</v>
      </c>
      <c r="R40" s="669">
        <f t="shared" si="4"/>
        <v>0</v>
      </c>
      <c r="S40" s="669">
        <f t="shared" ca="1" si="16"/>
        <v>0</v>
      </c>
      <c r="T40" s="670">
        <f t="shared" ca="1" si="6"/>
        <v>0</v>
      </c>
      <c r="U40" s="671">
        <f t="shared" ca="1" si="7"/>
        <v>8.1930822014519719E-2</v>
      </c>
      <c r="V40" s="672">
        <f t="shared" ca="1" si="8"/>
        <v>4.096541100725986E-2</v>
      </c>
      <c r="W40" s="673">
        <f t="shared" ca="1" si="9"/>
        <v>0</v>
      </c>
      <c r="X40" s="674">
        <f t="shared" ca="1" si="18"/>
        <v>0</v>
      </c>
      <c r="Y40" s="675">
        <f t="shared" ca="1" si="18"/>
        <v>0</v>
      </c>
      <c r="Z40" s="675">
        <f t="shared" ca="1" si="18"/>
        <v>0</v>
      </c>
      <c r="AA40" s="676">
        <f t="shared" ca="1" si="11"/>
        <v>0</v>
      </c>
      <c r="AB40" s="670">
        <f t="shared" ca="1" si="12"/>
        <v>0</v>
      </c>
      <c r="AC40" s="677">
        <f t="shared" si="13"/>
        <v>0</v>
      </c>
      <c r="AD40" s="679">
        <f t="shared" si="17"/>
        <v>0.2548376287939621</v>
      </c>
      <c r="AE40" s="678">
        <f t="shared" si="14"/>
        <v>0</v>
      </c>
      <c r="AF40" s="651"/>
      <c r="AG40" s="654"/>
      <c r="AH40" s="654"/>
    </row>
    <row r="41" spans="2:34" x14ac:dyDescent="0.25">
      <c r="B41" s="651"/>
      <c r="C41" s="651"/>
      <c r="D41" s="653" t="s">
        <v>509</v>
      </c>
      <c r="E41" s="653"/>
      <c r="F41" s="653"/>
      <c r="G41" s="653"/>
      <c r="H41" s="653"/>
      <c r="I41" s="653"/>
      <c r="J41" s="653"/>
      <c r="K41" s="653"/>
      <c r="L41" s="653"/>
      <c r="M41" s="653"/>
      <c r="N41" s="654"/>
      <c r="O41" s="653"/>
      <c r="P41" s="667">
        <f t="shared" si="15"/>
        <v>22</v>
      </c>
      <c r="Q41" s="668">
        <f t="shared" si="5"/>
        <v>0</v>
      </c>
      <c r="R41" s="669">
        <f t="shared" si="4"/>
        <v>0</v>
      </c>
      <c r="S41" s="669">
        <f t="shared" ca="1" si="16"/>
        <v>0</v>
      </c>
      <c r="T41" s="670">
        <f t="shared" ca="1" si="6"/>
        <v>0</v>
      </c>
      <c r="U41" s="671">
        <f t="shared" ca="1" si="7"/>
        <v>8.3979092564882701E-2</v>
      </c>
      <c r="V41" s="672">
        <f t="shared" ca="1" si="8"/>
        <v>4.1989546282441351E-2</v>
      </c>
      <c r="W41" s="673">
        <f t="shared" ca="1" si="9"/>
        <v>0</v>
      </c>
      <c r="X41" s="674">
        <f t="shared" ca="1" si="18"/>
        <v>0</v>
      </c>
      <c r="Y41" s="675">
        <f t="shared" ca="1" si="18"/>
        <v>0</v>
      </c>
      <c r="Z41" s="675">
        <f t="shared" ca="1" si="18"/>
        <v>0</v>
      </c>
      <c r="AA41" s="676">
        <f t="shared" ca="1" si="11"/>
        <v>0</v>
      </c>
      <c r="AB41" s="670">
        <f t="shared" ca="1" si="12"/>
        <v>0</v>
      </c>
      <c r="AC41" s="677">
        <f t="shared" si="13"/>
        <v>0</v>
      </c>
      <c r="AD41" s="679">
        <f t="shared" si="17"/>
        <v>0.26120856951381111</v>
      </c>
      <c r="AE41" s="678">
        <f t="shared" si="14"/>
        <v>0</v>
      </c>
      <c r="AF41" s="651"/>
      <c r="AG41" s="654"/>
      <c r="AH41" s="654"/>
    </row>
    <row r="42" spans="2:34" x14ac:dyDescent="0.25">
      <c r="B42" s="651"/>
      <c r="C42" s="651"/>
      <c r="D42" s="653" t="s">
        <v>510</v>
      </c>
      <c r="E42" s="653"/>
      <c r="F42" s="653"/>
      <c r="G42" s="653"/>
      <c r="H42" s="653"/>
      <c r="I42" s="653"/>
      <c r="J42" s="653"/>
      <c r="K42" s="653"/>
      <c r="L42" s="653"/>
      <c r="M42" s="653"/>
      <c r="N42" s="654"/>
      <c r="O42" s="653"/>
      <c r="P42" s="667">
        <f t="shared" si="15"/>
        <v>23</v>
      </c>
      <c r="Q42" s="668">
        <f t="shared" si="5"/>
        <v>0</v>
      </c>
      <c r="R42" s="669">
        <f t="shared" si="4"/>
        <v>0</v>
      </c>
      <c r="S42" s="669">
        <f t="shared" ca="1" si="16"/>
        <v>0</v>
      </c>
      <c r="T42" s="670">
        <f t="shared" ca="1" si="6"/>
        <v>0</v>
      </c>
      <c r="U42" s="671">
        <f t="shared" ca="1" si="7"/>
        <v>8.6078569879004765E-2</v>
      </c>
      <c r="V42" s="672">
        <f t="shared" ca="1" si="8"/>
        <v>4.3039284939502383E-2</v>
      </c>
      <c r="W42" s="673">
        <f t="shared" ca="1" si="9"/>
        <v>0</v>
      </c>
      <c r="X42" s="674">
        <f t="shared" ca="1" si="18"/>
        <v>0</v>
      </c>
      <c r="Y42" s="675">
        <f t="shared" ca="1" si="18"/>
        <v>0</v>
      </c>
      <c r="Z42" s="675">
        <f t="shared" ca="1" si="18"/>
        <v>0</v>
      </c>
      <c r="AA42" s="676">
        <f t="shared" ca="1" si="11"/>
        <v>0</v>
      </c>
      <c r="AB42" s="670">
        <f t="shared" ca="1" si="12"/>
        <v>0</v>
      </c>
      <c r="AC42" s="677">
        <f t="shared" si="13"/>
        <v>0</v>
      </c>
      <c r="AD42" s="679">
        <f t="shared" si="17"/>
        <v>0.26773878375165638</v>
      </c>
      <c r="AE42" s="678">
        <f t="shared" si="14"/>
        <v>0</v>
      </c>
      <c r="AF42" s="651"/>
      <c r="AG42" s="654"/>
      <c r="AH42" s="654"/>
    </row>
    <row r="43" spans="2:34" x14ac:dyDescent="0.25">
      <c r="B43" s="651"/>
      <c r="C43" s="651"/>
      <c r="D43" s="653" t="s">
        <v>511</v>
      </c>
      <c r="E43" s="653"/>
      <c r="F43" s="653"/>
      <c r="G43" s="653"/>
      <c r="H43" s="653"/>
      <c r="I43" s="653"/>
      <c r="J43" s="653"/>
      <c r="K43" s="653"/>
      <c r="L43" s="653"/>
      <c r="M43" s="653"/>
      <c r="N43" s="654"/>
      <c r="O43" s="653"/>
      <c r="P43" s="667">
        <f t="shared" si="15"/>
        <v>24</v>
      </c>
      <c r="Q43" s="668">
        <f t="shared" si="5"/>
        <v>0</v>
      </c>
      <c r="R43" s="669">
        <f t="shared" si="4"/>
        <v>0</v>
      </c>
      <c r="S43" s="669">
        <f t="shared" ca="1" si="16"/>
        <v>0</v>
      </c>
      <c r="T43" s="670">
        <f t="shared" ca="1" si="6"/>
        <v>0</v>
      </c>
      <c r="U43" s="671">
        <f t="shared" ca="1" si="7"/>
        <v>8.8230534125979879E-2</v>
      </c>
      <c r="V43" s="672">
        <f t="shared" ca="1" si="8"/>
        <v>4.4115267062989939E-2</v>
      </c>
      <c r="W43" s="673">
        <f t="shared" ca="1" si="9"/>
        <v>0</v>
      </c>
      <c r="X43" s="674">
        <f t="shared" ca="1" si="18"/>
        <v>0</v>
      </c>
      <c r="Y43" s="675">
        <f t="shared" ca="1" si="18"/>
        <v>0</v>
      </c>
      <c r="Z43" s="675">
        <f t="shared" ca="1" si="18"/>
        <v>0</v>
      </c>
      <c r="AA43" s="676">
        <f t="shared" ca="1" si="11"/>
        <v>0</v>
      </c>
      <c r="AB43" s="670">
        <f t="shared" ca="1" si="12"/>
        <v>0</v>
      </c>
      <c r="AC43" s="677">
        <f t="shared" si="13"/>
        <v>0</v>
      </c>
      <c r="AD43" s="679">
        <f t="shared" si="17"/>
        <v>0.2744322533454478</v>
      </c>
      <c r="AE43" s="678">
        <f t="shared" si="14"/>
        <v>0</v>
      </c>
      <c r="AF43" s="651"/>
      <c r="AG43" s="654"/>
      <c r="AH43" s="654"/>
    </row>
    <row r="44" spans="2:34" x14ac:dyDescent="0.25">
      <c r="B44" s="651"/>
      <c r="C44" s="651"/>
      <c r="D44" s="653" t="s">
        <v>512</v>
      </c>
      <c r="E44" s="653"/>
      <c r="F44" s="653"/>
      <c r="G44" s="653"/>
      <c r="H44" s="653"/>
      <c r="I44" s="653"/>
      <c r="J44" s="653"/>
      <c r="K44" s="653"/>
      <c r="L44" s="653"/>
      <c r="M44" s="653"/>
      <c r="N44" s="654"/>
      <c r="O44" s="653"/>
      <c r="P44" s="667">
        <f t="shared" si="15"/>
        <v>25</v>
      </c>
      <c r="Q44" s="668">
        <f t="shared" si="5"/>
        <v>0</v>
      </c>
      <c r="R44" s="669">
        <f t="shared" si="4"/>
        <v>0</v>
      </c>
      <c r="S44" s="669">
        <f t="shared" ca="1" si="16"/>
        <v>0</v>
      </c>
      <c r="T44" s="670">
        <f t="shared" ca="1" si="6"/>
        <v>0</v>
      </c>
      <c r="U44" s="671">
        <f t="shared" ca="1" si="7"/>
        <v>9.0436297479129374E-2</v>
      </c>
      <c r="V44" s="672">
        <f t="shared" ca="1" si="8"/>
        <v>4.5218148739564687E-2</v>
      </c>
      <c r="W44" s="673">
        <f t="shared" ca="1" si="9"/>
        <v>0</v>
      </c>
      <c r="X44" s="674">
        <f t="shared" ca="1" si="18"/>
        <v>0</v>
      </c>
      <c r="Y44" s="675">
        <f t="shared" ca="1" si="18"/>
        <v>0</v>
      </c>
      <c r="Z44" s="675">
        <f t="shared" ca="1" si="18"/>
        <v>0</v>
      </c>
      <c r="AA44" s="676">
        <f t="shared" ca="1" si="11"/>
        <v>0</v>
      </c>
      <c r="AB44" s="670">
        <f t="shared" ca="1" si="12"/>
        <v>0</v>
      </c>
      <c r="AC44" s="677">
        <f t="shared" si="13"/>
        <v>0</v>
      </c>
      <c r="AD44" s="679">
        <f t="shared" si="17"/>
        <v>0.28129305967908397</v>
      </c>
      <c r="AE44" s="678">
        <f t="shared" si="14"/>
        <v>0</v>
      </c>
      <c r="AF44" s="651"/>
      <c r="AG44" s="654"/>
      <c r="AH44" s="654"/>
    </row>
    <row r="45" spans="2:34" ht="15.75" thickBot="1" x14ac:dyDescent="0.3">
      <c r="B45" s="651"/>
      <c r="C45" s="680"/>
      <c r="D45" s="681" t="s">
        <v>513</v>
      </c>
      <c r="E45" s="681"/>
      <c r="F45" s="681"/>
      <c r="G45" s="681"/>
      <c r="H45" s="681"/>
      <c r="I45" s="681"/>
      <c r="J45" s="681"/>
      <c r="K45" s="681"/>
      <c r="L45" s="681"/>
      <c r="M45" s="681"/>
      <c r="N45" s="666"/>
      <c r="O45" s="653"/>
      <c r="P45" s="667">
        <f t="shared" si="15"/>
        <v>26</v>
      </c>
      <c r="Q45" s="668">
        <f t="shared" si="5"/>
        <v>0</v>
      </c>
      <c r="R45" s="669">
        <f t="shared" si="4"/>
        <v>0</v>
      </c>
      <c r="S45" s="669">
        <f t="shared" ca="1" si="16"/>
        <v>0</v>
      </c>
      <c r="T45" s="670">
        <f t="shared" ca="1" si="6"/>
        <v>0</v>
      </c>
      <c r="U45" s="671">
        <f t="shared" ca="1" si="7"/>
        <v>9.2697204916107598E-2</v>
      </c>
      <c r="V45" s="672">
        <f t="shared" ca="1" si="8"/>
        <v>4.6348602458053799E-2</v>
      </c>
      <c r="W45" s="673">
        <f t="shared" ca="1" si="9"/>
        <v>0</v>
      </c>
      <c r="X45" s="674">
        <f t="shared" ca="1" si="18"/>
        <v>0</v>
      </c>
      <c r="Y45" s="675">
        <f t="shared" ca="1" si="18"/>
        <v>0</v>
      </c>
      <c r="Z45" s="675">
        <f t="shared" ca="1" si="18"/>
        <v>0</v>
      </c>
      <c r="AA45" s="676">
        <f t="shared" ca="1" si="11"/>
        <v>0</v>
      </c>
      <c r="AB45" s="670">
        <f t="shared" ca="1" si="12"/>
        <v>0</v>
      </c>
      <c r="AC45" s="677">
        <f t="shared" si="13"/>
        <v>0</v>
      </c>
      <c r="AD45" s="679">
        <f t="shared" si="17"/>
        <v>0.28832538617106102</v>
      </c>
      <c r="AE45" s="678">
        <f t="shared" si="14"/>
        <v>0</v>
      </c>
      <c r="AF45" s="651"/>
      <c r="AG45" s="654"/>
      <c r="AH45" s="654"/>
    </row>
    <row r="46" spans="2:34" x14ac:dyDescent="0.25">
      <c r="B46" s="651"/>
      <c r="C46" s="653"/>
      <c r="D46" s="653"/>
      <c r="E46" s="653"/>
      <c r="F46" s="653"/>
      <c r="G46" s="653"/>
      <c r="H46" s="653"/>
      <c r="I46" s="653"/>
      <c r="J46" s="653"/>
      <c r="K46" s="653"/>
      <c r="L46" s="653"/>
      <c r="M46" s="653"/>
      <c r="N46" s="653"/>
      <c r="O46" s="653"/>
      <c r="P46" s="667">
        <f t="shared" si="15"/>
        <v>27</v>
      </c>
      <c r="Q46" s="668">
        <f t="shared" si="5"/>
        <v>0</v>
      </c>
      <c r="R46" s="669">
        <f t="shared" si="4"/>
        <v>0</v>
      </c>
      <c r="S46" s="669">
        <f t="shared" ca="1" si="16"/>
        <v>0</v>
      </c>
      <c r="T46" s="670">
        <f t="shared" ca="1" si="6"/>
        <v>0</v>
      </c>
      <c r="U46" s="671">
        <f t="shared" ca="1" si="7"/>
        <v>9.5014635039010281E-2</v>
      </c>
      <c r="V46" s="672">
        <f t="shared" ca="1" si="8"/>
        <v>4.7507317519505141E-2</v>
      </c>
      <c r="W46" s="673">
        <f t="shared" ca="1" si="9"/>
        <v>0</v>
      </c>
      <c r="X46" s="674">
        <f t="shared" ca="1" si="18"/>
        <v>0</v>
      </c>
      <c r="Y46" s="675">
        <f t="shared" ca="1" si="18"/>
        <v>0</v>
      </c>
      <c r="Z46" s="675">
        <f t="shared" ca="1" si="18"/>
        <v>0</v>
      </c>
      <c r="AA46" s="676">
        <f t="shared" ca="1" si="11"/>
        <v>0</v>
      </c>
      <c r="AB46" s="670">
        <f t="shared" ca="1" si="12"/>
        <v>0</v>
      </c>
      <c r="AC46" s="677">
        <f t="shared" si="13"/>
        <v>0</v>
      </c>
      <c r="AD46" s="679">
        <f t="shared" si="17"/>
        <v>0.29553352082533751</v>
      </c>
      <c r="AE46" s="678">
        <f t="shared" si="14"/>
        <v>0</v>
      </c>
      <c r="AF46" s="651"/>
      <c r="AG46" s="654"/>
      <c r="AH46" s="654"/>
    </row>
    <row r="47" spans="2:34" x14ac:dyDescent="0.25">
      <c r="B47" s="651"/>
      <c r="C47" s="653"/>
      <c r="D47" s="653"/>
      <c r="E47" s="653"/>
      <c r="F47" s="653"/>
      <c r="G47" s="653"/>
      <c r="H47" s="653"/>
      <c r="I47" s="653"/>
      <c r="J47" s="653"/>
      <c r="K47" s="653"/>
      <c r="L47" s="653"/>
      <c r="M47" s="653"/>
      <c r="N47" s="653"/>
      <c r="O47" s="653"/>
      <c r="P47" s="667">
        <f t="shared" si="15"/>
        <v>28</v>
      </c>
      <c r="Q47" s="668">
        <f t="shared" si="5"/>
        <v>0</v>
      </c>
      <c r="R47" s="669">
        <f t="shared" si="4"/>
        <v>0</v>
      </c>
      <c r="S47" s="669">
        <f t="shared" ca="1" si="16"/>
        <v>0</v>
      </c>
      <c r="T47" s="670">
        <f t="shared" ca="1" si="6"/>
        <v>0</v>
      </c>
      <c r="U47" s="671">
        <f t="shared" ca="1" si="7"/>
        <v>9.7390000914985536E-2</v>
      </c>
      <c r="V47" s="672">
        <f t="shared" ca="1" si="8"/>
        <v>4.8695000457492768E-2</v>
      </c>
      <c r="W47" s="673">
        <f t="shared" ca="1" si="9"/>
        <v>0</v>
      </c>
      <c r="X47" s="674">
        <f t="shared" ca="1" si="18"/>
        <v>0</v>
      </c>
      <c r="Y47" s="675">
        <f t="shared" ca="1" si="18"/>
        <v>0</v>
      </c>
      <c r="Z47" s="675">
        <f t="shared" ca="1" si="18"/>
        <v>0</v>
      </c>
      <c r="AA47" s="676">
        <f t="shared" ca="1" si="11"/>
        <v>0</v>
      </c>
      <c r="AB47" s="670">
        <f t="shared" ca="1" si="12"/>
        <v>0</v>
      </c>
      <c r="AC47" s="677">
        <f t="shared" si="13"/>
        <v>0</v>
      </c>
      <c r="AD47" s="679">
        <f t="shared" si="17"/>
        <v>0.30292185884597095</v>
      </c>
      <c r="AE47" s="678">
        <f t="shared" si="14"/>
        <v>0</v>
      </c>
      <c r="AF47" s="651"/>
      <c r="AG47" s="654"/>
      <c r="AH47" s="654"/>
    </row>
    <row r="48" spans="2:34" x14ac:dyDescent="0.25">
      <c r="B48" s="651"/>
      <c r="C48" s="653"/>
      <c r="D48" s="653"/>
      <c r="E48" s="653"/>
      <c r="F48" s="653"/>
      <c r="G48" s="653"/>
      <c r="H48" s="653"/>
      <c r="I48" s="653"/>
      <c r="J48" s="653"/>
      <c r="K48" s="653"/>
      <c r="L48" s="653"/>
      <c r="M48" s="653"/>
      <c r="N48" s="653"/>
      <c r="O48" s="653"/>
      <c r="P48" s="667">
        <f t="shared" si="15"/>
        <v>29</v>
      </c>
      <c r="Q48" s="668">
        <f t="shared" si="5"/>
        <v>0</v>
      </c>
      <c r="R48" s="669">
        <f t="shared" si="4"/>
        <v>0</v>
      </c>
      <c r="S48" s="669">
        <f t="shared" ca="1" si="16"/>
        <v>0</v>
      </c>
      <c r="T48" s="670">
        <f t="shared" ca="1" si="6"/>
        <v>0</v>
      </c>
      <c r="U48" s="671">
        <f t="shared" ca="1" si="7"/>
        <v>9.9824750937860168E-2</v>
      </c>
      <c r="V48" s="672">
        <f t="shared" ca="1" si="8"/>
        <v>4.9912375468930084E-2</v>
      </c>
      <c r="W48" s="673">
        <f t="shared" ca="1" si="9"/>
        <v>0</v>
      </c>
      <c r="X48" s="674">
        <f t="shared" ca="1" si="18"/>
        <v>0</v>
      </c>
      <c r="Y48" s="675">
        <f t="shared" ca="1" si="18"/>
        <v>0</v>
      </c>
      <c r="Z48" s="675">
        <f t="shared" ca="1" si="18"/>
        <v>0</v>
      </c>
      <c r="AA48" s="676">
        <f t="shared" ca="1" si="11"/>
        <v>0</v>
      </c>
      <c r="AB48" s="670">
        <f t="shared" ca="1" si="12"/>
        <v>0</v>
      </c>
      <c r="AC48" s="677">
        <f t="shared" si="13"/>
        <v>0</v>
      </c>
      <c r="AD48" s="679">
        <f t="shared" si="17"/>
        <v>0.31049490531712021</v>
      </c>
      <c r="AE48" s="678">
        <f t="shared" si="14"/>
        <v>0</v>
      </c>
      <c r="AF48" s="651"/>
      <c r="AG48" s="654"/>
      <c r="AH48" s="654"/>
    </row>
    <row r="49" spans="2:34" x14ac:dyDescent="0.25">
      <c r="B49" s="651"/>
      <c r="C49" s="653"/>
      <c r="D49" s="653"/>
      <c r="E49" s="653"/>
      <c r="F49" s="653"/>
      <c r="G49" s="653"/>
      <c r="H49" s="653"/>
      <c r="I49" s="653"/>
      <c r="J49" s="653"/>
      <c r="K49" s="653"/>
      <c r="L49" s="653"/>
      <c r="M49" s="653"/>
      <c r="N49" s="653"/>
      <c r="O49" s="653"/>
      <c r="P49" s="667">
        <f t="shared" si="15"/>
        <v>30</v>
      </c>
      <c r="Q49" s="668">
        <f t="shared" si="5"/>
        <v>0</v>
      </c>
      <c r="R49" s="669">
        <f t="shared" si="4"/>
        <v>0</v>
      </c>
      <c r="S49" s="669">
        <f t="shared" ca="1" si="16"/>
        <v>0</v>
      </c>
      <c r="T49" s="670">
        <f t="shared" ca="1" si="6"/>
        <v>0</v>
      </c>
      <c r="U49" s="671">
        <f t="shared" ca="1" si="7"/>
        <v>0.10232036971130666</v>
      </c>
      <c r="V49" s="672">
        <f t="shared" ca="1" si="8"/>
        <v>5.116018485565333E-2</v>
      </c>
      <c r="W49" s="673">
        <f t="shared" ca="1" si="9"/>
        <v>0</v>
      </c>
      <c r="X49" s="674">
        <f t="shared" ca="1" si="18"/>
        <v>0</v>
      </c>
      <c r="Y49" s="675">
        <f t="shared" ca="1" si="18"/>
        <v>0</v>
      </c>
      <c r="Z49" s="675">
        <f t="shared" ca="1" si="18"/>
        <v>0</v>
      </c>
      <c r="AA49" s="676">
        <f t="shared" ca="1" si="11"/>
        <v>0</v>
      </c>
      <c r="AB49" s="670">
        <f t="shared" ca="1" si="12"/>
        <v>0</v>
      </c>
      <c r="AC49" s="677">
        <f t="shared" si="13"/>
        <v>0</v>
      </c>
      <c r="AD49" s="679">
        <f t="shared" si="17"/>
        <v>0.31825727795004821</v>
      </c>
      <c r="AE49" s="678">
        <f t="shared" si="14"/>
        <v>0</v>
      </c>
      <c r="AF49" s="651"/>
      <c r="AG49" s="654"/>
      <c r="AH49" s="654"/>
    </row>
    <row r="50" spans="2:34" x14ac:dyDescent="0.25">
      <c r="B50" s="651"/>
      <c r="C50" s="653"/>
      <c r="D50" s="653"/>
      <c r="E50" s="653"/>
      <c r="F50" s="653"/>
      <c r="G50" s="653"/>
      <c r="H50" s="653"/>
      <c r="I50" s="653"/>
      <c r="J50" s="653"/>
      <c r="K50" s="653"/>
      <c r="L50" s="653"/>
      <c r="M50" s="653"/>
      <c r="N50" s="653"/>
      <c r="O50" s="653"/>
      <c r="P50" s="667">
        <f t="shared" si="15"/>
        <v>31</v>
      </c>
      <c r="Q50" s="668">
        <f t="shared" si="5"/>
        <v>0</v>
      </c>
      <c r="R50" s="669">
        <f t="shared" si="4"/>
        <v>0</v>
      </c>
      <c r="S50" s="669">
        <f t="shared" ca="1" si="16"/>
        <v>0</v>
      </c>
      <c r="T50" s="670">
        <f t="shared" ca="1" si="6"/>
        <v>0</v>
      </c>
      <c r="U50" s="671">
        <f t="shared" ca="1" si="7"/>
        <v>0.10487837895408932</v>
      </c>
      <c r="V50" s="672">
        <f t="shared" ca="1" si="8"/>
        <v>5.2439189477044658E-2</v>
      </c>
      <c r="W50" s="673">
        <f t="shared" ca="1" si="9"/>
        <v>0</v>
      </c>
      <c r="X50" s="674">
        <f t="shared" ca="1" si="18"/>
        <v>0</v>
      </c>
      <c r="Y50" s="675">
        <f t="shared" ca="1" si="18"/>
        <v>0</v>
      </c>
      <c r="Z50" s="675">
        <f t="shared" ca="1" si="18"/>
        <v>0</v>
      </c>
      <c r="AA50" s="676">
        <f t="shared" ca="1" si="11"/>
        <v>0</v>
      </c>
      <c r="AB50" s="670">
        <f t="shared" ca="1" si="12"/>
        <v>0</v>
      </c>
      <c r="AC50" s="677">
        <f t="shared" si="13"/>
        <v>0</v>
      </c>
      <c r="AD50" s="679">
        <f t="shared" si="17"/>
        <v>0.32621370989879939</v>
      </c>
      <c r="AE50" s="678">
        <f t="shared" si="14"/>
        <v>0</v>
      </c>
      <c r="AF50" s="651"/>
      <c r="AG50" s="654"/>
      <c r="AH50" s="654"/>
    </row>
    <row r="51" spans="2:34" x14ac:dyDescent="0.25">
      <c r="B51" s="651"/>
      <c r="C51" s="653"/>
      <c r="D51" s="653"/>
      <c r="E51" s="653"/>
      <c r="F51" s="653"/>
      <c r="G51" s="653"/>
      <c r="H51" s="653"/>
      <c r="I51" s="653"/>
      <c r="J51" s="653"/>
      <c r="K51" s="653"/>
      <c r="L51" s="653"/>
      <c r="M51" s="653"/>
      <c r="N51" s="653"/>
      <c r="O51" s="653"/>
      <c r="P51" s="667">
        <f t="shared" si="15"/>
        <v>32</v>
      </c>
      <c r="Q51" s="668">
        <f t="shared" si="5"/>
        <v>0</v>
      </c>
      <c r="R51" s="669">
        <f t="shared" si="4"/>
        <v>0</v>
      </c>
      <c r="S51" s="669">
        <f t="shared" ca="1" si="16"/>
        <v>0</v>
      </c>
      <c r="T51" s="670">
        <f t="shared" ca="1" si="6"/>
        <v>0</v>
      </c>
      <c r="U51" s="671">
        <f t="shared" ca="1" si="7"/>
        <v>0.10750033842794154</v>
      </c>
      <c r="V51" s="672">
        <f t="shared" ca="1" si="8"/>
        <v>5.3750169213970772E-2</v>
      </c>
      <c r="W51" s="673">
        <f t="shared" ca="1" si="9"/>
        <v>0</v>
      </c>
      <c r="X51" s="674">
        <f t="shared" ca="1" si="18"/>
        <v>0</v>
      </c>
      <c r="Y51" s="675">
        <f t="shared" ca="1" si="18"/>
        <v>0</v>
      </c>
      <c r="Z51" s="675">
        <f t="shared" ca="1" si="18"/>
        <v>0</v>
      </c>
      <c r="AA51" s="676">
        <f t="shared" ca="1" si="11"/>
        <v>0</v>
      </c>
      <c r="AB51" s="670">
        <f t="shared" ca="1" si="12"/>
        <v>0</v>
      </c>
      <c r="AC51" s="677">
        <f t="shared" si="13"/>
        <v>0</v>
      </c>
      <c r="AD51" s="679">
        <f t="shared" si="17"/>
        <v>0.33436905264626932</v>
      </c>
      <c r="AE51" s="678">
        <f t="shared" si="14"/>
        <v>0</v>
      </c>
      <c r="AF51" s="651"/>
      <c r="AG51" s="654"/>
      <c r="AH51" s="654"/>
    </row>
    <row r="52" spans="2:34" x14ac:dyDescent="0.25">
      <c r="B52" s="651"/>
      <c r="C52" s="653"/>
      <c r="D52" s="653"/>
      <c r="E52" s="653"/>
      <c r="F52" s="653"/>
      <c r="G52" s="653"/>
      <c r="H52" s="653"/>
      <c r="I52" s="653"/>
      <c r="J52" s="653"/>
      <c r="K52" s="653"/>
      <c r="L52" s="653"/>
      <c r="M52" s="653"/>
      <c r="N52" s="653"/>
      <c r="O52" s="653"/>
      <c r="P52" s="667">
        <f t="shared" si="15"/>
        <v>33</v>
      </c>
      <c r="Q52" s="668">
        <f t="shared" si="5"/>
        <v>0</v>
      </c>
      <c r="R52" s="669">
        <f t="shared" ref="R52:R71" si="19">IF(Q52="","",IF(P52&lt;=$R$9,IF(Q52&gt;$R$11,$R$11,Q52),0))</f>
        <v>0</v>
      </c>
      <c r="S52" s="669">
        <f t="shared" ca="1" si="16"/>
        <v>0</v>
      </c>
      <c r="T52" s="670">
        <f t="shared" ca="1" si="6"/>
        <v>0</v>
      </c>
      <c r="U52" s="671">
        <f t="shared" ca="1" si="7"/>
        <v>0.11018784688864007</v>
      </c>
      <c r="V52" s="672">
        <f t="shared" ca="1" si="8"/>
        <v>5.5093923444320035E-2</v>
      </c>
      <c r="W52" s="673">
        <f t="shared" ca="1" si="9"/>
        <v>0</v>
      </c>
      <c r="X52" s="674">
        <f t="shared" ca="1" si="18"/>
        <v>0</v>
      </c>
      <c r="Y52" s="675">
        <f t="shared" ca="1" si="18"/>
        <v>0</v>
      </c>
      <c r="Z52" s="675">
        <f t="shared" ca="1" si="18"/>
        <v>0</v>
      </c>
      <c r="AA52" s="676">
        <f t="shared" ca="1" si="11"/>
        <v>0</v>
      </c>
      <c r="AB52" s="670">
        <f t="shared" ca="1" si="12"/>
        <v>0</v>
      </c>
      <c r="AC52" s="677">
        <f t="shared" si="13"/>
        <v>0</v>
      </c>
      <c r="AD52" s="679">
        <f t="shared" si="17"/>
        <v>0.34272827896242603</v>
      </c>
      <c r="AE52" s="678">
        <f t="shared" si="14"/>
        <v>0</v>
      </c>
      <c r="AF52" s="651"/>
      <c r="AG52" s="654"/>
      <c r="AH52" s="654"/>
    </row>
    <row r="53" spans="2:34" x14ac:dyDescent="0.25">
      <c r="B53" s="651"/>
      <c r="C53" s="653"/>
      <c r="D53" s="653"/>
      <c r="E53" s="653"/>
      <c r="F53" s="653"/>
      <c r="G53" s="653"/>
      <c r="H53" s="653"/>
      <c r="I53" s="653"/>
      <c r="J53" s="653"/>
      <c r="K53" s="653"/>
      <c r="L53" s="653"/>
      <c r="M53" s="653"/>
      <c r="N53" s="653"/>
      <c r="O53" s="653"/>
      <c r="P53" s="667">
        <f t="shared" ref="P53:P71" si="20">IF($G$5&gt;P52,P52+1,"")</f>
        <v>34</v>
      </c>
      <c r="Q53" s="668">
        <f t="shared" si="5"/>
        <v>0</v>
      </c>
      <c r="R53" s="669">
        <f t="shared" si="19"/>
        <v>0</v>
      </c>
      <c r="S53" s="669">
        <f t="shared" ca="1" si="16"/>
        <v>0</v>
      </c>
      <c r="T53" s="670">
        <f t="shared" ca="1" si="6"/>
        <v>0</v>
      </c>
      <c r="U53" s="671">
        <f t="shared" ref="U53:U71" ca="1" si="21">IF(R53="","",U52*(1+$R$7))</f>
        <v>0.11294254306085606</v>
      </c>
      <c r="V53" s="672">
        <f t="shared" ref="V53:V71" ca="1" si="22">IF(S53="","",V52*(1+$T$7))</f>
        <v>5.6471271530428031E-2</v>
      </c>
      <c r="W53" s="673">
        <f t="shared" ref="W53:W71" ca="1" si="23">IF(T53="","",W52*(1+$V$7))</f>
        <v>0</v>
      </c>
      <c r="X53" s="674">
        <f t="shared" ca="1" si="18"/>
        <v>0</v>
      </c>
      <c r="Y53" s="675">
        <f t="shared" ca="1" si="18"/>
        <v>0</v>
      </c>
      <c r="Z53" s="675">
        <f t="shared" ca="1" si="18"/>
        <v>0</v>
      </c>
      <c r="AA53" s="676">
        <f t="shared" ca="1" si="11"/>
        <v>0</v>
      </c>
      <c r="AB53" s="670">
        <f t="shared" ca="1" si="12"/>
        <v>0</v>
      </c>
      <c r="AC53" s="677">
        <f t="shared" si="13"/>
        <v>0</v>
      </c>
      <c r="AD53" s="679">
        <f t="shared" ref="AD53:AD71" si="24">IF(P53="","",AD52*(1+$G$7))</f>
        <v>0.35129648593648666</v>
      </c>
      <c r="AE53" s="678">
        <f t="shared" si="14"/>
        <v>0</v>
      </c>
      <c r="AF53" s="651"/>
      <c r="AG53" s="654"/>
      <c r="AH53" s="654"/>
    </row>
    <row r="54" spans="2:34" x14ac:dyDescent="0.25">
      <c r="B54" s="651"/>
      <c r="C54" s="653"/>
      <c r="D54" s="653"/>
      <c r="E54" s="653"/>
      <c r="F54" s="653"/>
      <c r="G54" s="653"/>
      <c r="H54" s="653"/>
      <c r="I54" s="653"/>
      <c r="J54" s="653"/>
      <c r="K54" s="653"/>
      <c r="L54" s="653"/>
      <c r="M54" s="653"/>
      <c r="N54" s="653"/>
      <c r="O54" s="653"/>
      <c r="P54" s="667">
        <f t="shared" si="20"/>
        <v>35</v>
      </c>
      <c r="Q54" s="668">
        <f t="shared" si="5"/>
        <v>0</v>
      </c>
      <c r="R54" s="669">
        <f t="shared" si="19"/>
        <v>0</v>
      </c>
      <c r="S54" s="669">
        <f t="shared" ca="1" si="16"/>
        <v>0</v>
      </c>
      <c r="T54" s="670">
        <f t="shared" ca="1" si="6"/>
        <v>0</v>
      </c>
      <c r="U54" s="671">
        <f t="shared" ca="1" si="21"/>
        <v>0.11576610663737745</v>
      </c>
      <c r="V54" s="672">
        <f t="shared" ca="1" si="22"/>
        <v>5.7883053318688725E-2</v>
      </c>
      <c r="W54" s="673">
        <f t="shared" ca="1" si="23"/>
        <v>0</v>
      </c>
      <c r="X54" s="674">
        <f t="shared" ca="1" si="18"/>
        <v>0</v>
      </c>
      <c r="Y54" s="675">
        <f t="shared" ca="1" si="18"/>
        <v>0</v>
      </c>
      <c r="Z54" s="675">
        <f t="shared" ca="1" si="18"/>
        <v>0</v>
      </c>
      <c r="AA54" s="676">
        <f t="shared" ca="1" si="11"/>
        <v>0</v>
      </c>
      <c r="AB54" s="670">
        <f t="shared" ca="1" si="12"/>
        <v>0</v>
      </c>
      <c r="AC54" s="677">
        <f t="shared" si="13"/>
        <v>0</v>
      </c>
      <c r="AD54" s="679">
        <f t="shared" si="24"/>
        <v>0.36007889808489879</v>
      </c>
      <c r="AE54" s="678">
        <f t="shared" si="14"/>
        <v>0</v>
      </c>
      <c r="AF54" s="651"/>
      <c r="AG54" s="654"/>
      <c r="AH54" s="654"/>
    </row>
    <row r="55" spans="2:34" x14ac:dyDescent="0.25">
      <c r="B55" s="651"/>
      <c r="C55" s="653"/>
      <c r="D55" s="653"/>
      <c r="E55" s="653"/>
      <c r="F55" s="653"/>
      <c r="G55" s="653"/>
      <c r="H55" s="653"/>
      <c r="I55" s="653"/>
      <c r="J55" s="653"/>
      <c r="K55" s="653"/>
      <c r="L55" s="653"/>
      <c r="M55" s="653"/>
      <c r="N55" s="653"/>
      <c r="O55" s="653"/>
      <c r="P55" s="667" t="str">
        <f t="shared" si="20"/>
        <v/>
      </c>
      <c r="Q55" s="668" t="str">
        <f t="shared" si="5"/>
        <v/>
      </c>
      <c r="R55" s="669" t="str">
        <f t="shared" si="19"/>
        <v/>
      </c>
      <c r="S55" s="669" t="str">
        <f t="shared" si="16"/>
        <v/>
      </c>
      <c r="T55" s="670" t="str">
        <f t="shared" si="6"/>
        <v/>
      </c>
      <c r="U55" s="671" t="str">
        <f t="shared" si="21"/>
        <v/>
      </c>
      <c r="V55" s="672" t="str">
        <f t="shared" si="22"/>
        <v/>
      </c>
      <c r="W55" s="673" t="str">
        <f t="shared" si="23"/>
        <v/>
      </c>
      <c r="X55" s="674" t="str">
        <f t="shared" si="18"/>
        <v/>
      </c>
      <c r="Y55" s="675" t="str">
        <f t="shared" si="18"/>
        <v/>
      </c>
      <c r="Z55" s="675" t="str">
        <f t="shared" si="18"/>
        <v/>
      </c>
      <c r="AA55" s="676">
        <f t="shared" si="11"/>
        <v>0</v>
      </c>
      <c r="AB55" s="670">
        <f t="shared" si="12"/>
        <v>0</v>
      </c>
      <c r="AC55" s="677" t="str">
        <f t="shared" si="13"/>
        <v/>
      </c>
      <c r="AD55" s="679" t="str">
        <f t="shared" si="24"/>
        <v/>
      </c>
      <c r="AE55" s="678">
        <f t="shared" si="14"/>
        <v>0</v>
      </c>
      <c r="AF55" s="651"/>
      <c r="AG55" s="654"/>
      <c r="AH55" s="654"/>
    </row>
    <row r="56" spans="2:34" x14ac:dyDescent="0.25">
      <c r="B56" s="651"/>
      <c r="C56" s="653"/>
      <c r="D56" s="653"/>
      <c r="E56" s="653"/>
      <c r="F56" s="653"/>
      <c r="G56" s="653"/>
      <c r="H56" s="653"/>
      <c r="I56" s="653"/>
      <c r="J56" s="653"/>
      <c r="K56" s="653"/>
      <c r="L56" s="653"/>
      <c r="M56" s="653"/>
      <c r="N56" s="653"/>
      <c r="O56" s="653"/>
      <c r="P56" s="667" t="str">
        <f t="shared" si="20"/>
        <v/>
      </c>
      <c r="Q56" s="668" t="str">
        <f t="shared" si="5"/>
        <v/>
      </c>
      <c r="R56" s="669" t="str">
        <f t="shared" si="19"/>
        <v/>
      </c>
      <c r="S56" s="669" t="str">
        <f t="shared" si="16"/>
        <v/>
      </c>
      <c r="T56" s="670" t="str">
        <f t="shared" si="6"/>
        <v/>
      </c>
      <c r="U56" s="671" t="str">
        <f t="shared" si="21"/>
        <v/>
      </c>
      <c r="V56" s="672" t="str">
        <f t="shared" si="22"/>
        <v/>
      </c>
      <c r="W56" s="673" t="str">
        <f t="shared" si="23"/>
        <v/>
      </c>
      <c r="X56" s="674" t="str">
        <f t="shared" si="18"/>
        <v/>
      </c>
      <c r="Y56" s="675" t="str">
        <f t="shared" si="18"/>
        <v/>
      </c>
      <c r="Z56" s="675" t="str">
        <f t="shared" si="18"/>
        <v/>
      </c>
      <c r="AA56" s="676">
        <f t="shared" si="11"/>
        <v>0</v>
      </c>
      <c r="AB56" s="670">
        <f t="shared" si="12"/>
        <v>0</v>
      </c>
      <c r="AC56" s="677" t="str">
        <f t="shared" si="13"/>
        <v/>
      </c>
      <c r="AD56" s="679" t="str">
        <f t="shared" si="24"/>
        <v/>
      </c>
      <c r="AE56" s="678">
        <f t="shared" si="14"/>
        <v>0</v>
      </c>
      <c r="AF56" s="651"/>
      <c r="AG56" s="654"/>
      <c r="AH56" s="654"/>
    </row>
    <row r="57" spans="2:34" x14ac:dyDescent="0.25">
      <c r="B57" s="651"/>
      <c r="C57" s="653"/>
      <c r="D57" s="653"/>
      <c r="E57" s="653"/>
      <c r="F57" s="653"/>
      <c r="G57" s="653"/>
      <c r="H57" s="653"/>
      <c r="I57" s="653"/>
      <c r="J57" s="653"/>
      <c r="K57" s="653"/>
      <c r="L57" s="653"/>
      <c r="M57" s="653"/>
      <c r="N57" s="653"/>
      <c r="O57" s="653"/>
      <c r="P57" s="667" t="str">
        <f t="shared" si="20"/>
        <v/>
      </c>
      <c r="Q57" s="668" t="str">
        <f t="shared" si="5"/>
        <v/>
      </c>
      <c r="R57" s="669" t="str">
        <f t="shared" si="19"/>
        <v/>
      </c>
      <c r="S57" s="669" t="str">
        <f t="shared" si="16"/>
        <v/>
      </c>
      <c r="T57" s="670" t="str">
        <f t="shared" si="6"/>
        <v/>
      </c>
      <c r="U57" s="671" t="str">
        <f t="shared" si="21"/>
        <v/>
      </c>
      <c r="V57" s="672" t="str">
        <f t="shared" si="22"/>
        <v/>
      </c>
      <c r="W57" s="673" t="str">
        <f t="shared" si="23"/>
        <v/>
      </c>
      <c r="X57" s="674" t="str">
        <f t="shared" si="18"/>
        <v/>
      </c>
      <c r="Y57" s="675" t="str">
        <f t="shared" si="18"/>
        <v/>
      </c>
      <c r="Z57" s="675" t="str">
        <f t="shared" si="18"/>
        <v/>
      </c>
      <c r="AA57" s="676">
        <f t="shared" si="11"/>
        <v>0</v>
      </c>
      <c r="AB57" s="670">
        <f t="shared" si="12"/>
        <v>0</v>
      </c>
      <c r="AC57" s="677" t="str">
        <f t="shared" si="13"/>
        <v/>
      </c>
      <c r="AD57" s="679" t="str">
        <f t="shared" si="24"/>
        <v/>
      </c>
      <c r="AE57" s="678">
        <f t="shared" si="14"/>
        <v>0</v>
      </c>
      <c r="AF57" s="651"/>
      <c r="AG57" s="654"/>
      <c r="AH57" s="654"/>
    </row>
    <row r="58" spans="2:34" x14ac:dyDescent="0.25">
      <c r="B58" s="651"/>
      <c r="C58" s="653"/>
      <c r="D58" s="653"/>
      <c r="E58" s="653"/>
      <c r="F58" s="653"/>
      <c r="G58" s="653"/>
      <c r="H58" s="653"/>
      <c r="I58" s="653"/>
      <c r="J58" s="653"/>
      <c r="K58" s="653"/>
      <c r="L58" s="653"/>
      <c r="M58" s="653"/>
      <c r="N58" s="653"/>
      <c r="O58" s="653"/>
      <c r="P58" s="667" t="str">
        <f t="shared" si="20"/>
        <v/>
      </c>
      <c r="Q58" s="668" t="str">
        <f t="shared" si="5"/>
        <v/>
      </c>
      <c r="R58" s="669" t="str">
        <f t="shared" si="19"/>
        <v/>
      </c>
      <c r="S58" s="669" t="str">
        <f t="shared" si="16"/>
        <v/>
      </c>
      <c r="T58" s="670" t="str">
        <f t="shared" si="6"/>
        <v/>
      </c>
      <c r="U58" s="671" t="str">
        <f t="shared" si="21"/>
        <v/>
      </c>
      <c r="V58" s="672" t="str">
        <f t="shared" si="22"/>
        <v/>
      </c>
      <c r="W58" s="673" t="str">
        <f t="shared" si="23"/>
        <v/>
      </c>
      <c r="X58" s="674" t="str">
        <f t="shared" si="18"/>
        <v/>
      </c>
      <c r="Y58" s="675" t="str">
        <f t="shared" si="18"/>
        <v/>
      </c>
      <c r="Z58" s="675" t="str">
        <f t="shared" si="18"/>
        <v/>
      </c>
      <c r="AA58" s="676">
        <f t="shared" si="11"/>
        <v>0</v>
      </c>
      <c r="AB58" s="670">
        <f t="shared" si="12"/>
        <v>0</v>
      </c>
      <c r="AC58" s="677" t="str">
        <f t="shared" si="13"/>
        <v/>
      </c>
      <c r="AD58" s="679" t="str">
        <f t="shared" si="24"/>
        <v/>
      </c>
      <c r="AE58" s="678">
        <f t="shared" si="14"/>
        <v>0</v>
      </c>
      <c r="AF58" s="651"/>
      <c r="AG58" s="654"/>
      <c r="AH58" s="654"/>
    </row>
    <row r="59" spans="2:34" x14ac:dyDescent="0.25">
      <c r="B59" s="651"/>
      <c r="C59" s="653"/>
      <c r="D59" s="653"/>
      <c r="E59" s="653"/>
      <c r="F59" s="653"/>
      <c r="G59" s="653"/>
      <c r="H59" s="653"/>
      <c r="I59" s="653"/>
      <c r="J59" s="653"/>
      <c r="K59" s="653"/>
      <c r="L59" s="653"/>
      <c r="M59" s="653"/>
      <c r="N59" s="653"/>
      <c r="O59" s="653"/>
      <c r="P59" s="667" t="str">
        <f t="shared" si="20"/>
        <v/>
      </c>
      <c r="Q59" s="668" t="str">
        <f t="shared" si="5"/>
        <v/>
      </c>
      <c r="R59" s="669" t="str">
        <f t="shared" si="19"/>
        <v/>
      </c>
      <c r="S59" s="669" t="str">
        <f t="shared" si="16"/>
        <v/>
      </c>
      <c r="T59" s="670" t="str">
        <f t="shared" si="6"/>
        <v/>
      </c>
      <c r="U59" s="671" t="str">
        <f t="shared" si="21"/>
        <v/>
      </c>
      <c r="V59" s="672" t="str">
        <f t="shared" si="22"/>
        <v/>
      </c>
      <c r="W59" s="673" t="str">
        <f t="shared" si="23"/>
        <v/>
      </c>
      <c r="X59" s="674" t="str">
        <f t="shared" si="18"/>
        <v/>
      </c>
      <c r="Y59" s="675" t="str">
        <f t="shared" si="18"/>
        <v/>
      </c>
      <c r="Z59" s="675" t="str">
        <f t="shared" si="18"/>
        <v/>
      </c>
      <c r="AA59" s="676">
        <f t="shared" si="11"/>
        <v>0</v>
      </c>
      <c r="AB59" s="670">
        <f t="shared" si="12"/>
        <v>0</v>
      </c>
      <c r="AC59" s="677" t="str">
        <f t="shared" si="13"/>
        <v/>
      </c>
      <c r="AD59" s="679" t="str">
        <f t="shared" si="24"/>
        <v/>
      </c>
      <c r="AE59" s="678">
        <f t="shared" si="14"/>
        <v>0</v>
      </c>
      <c r="AF59" s="651"/>
      <c r="AG59" s="654"/>
      <c r="AH59" s="654"/>
    </row>
    <row r="60" spans="2:34" x14ac:dyDescent="0.25">
      <c r="B60" s="651"/>
      <c r="C60" s="653"/>
      <c r="D60" s="653"/>
      <c r="E60" s="653"/>
      <c r="F60" s="653"/>
      <c r="G60" s="653"/>
      <c r="H60" s="653"/>
      <c r="I60" s="653"/>
      <c r="J60" s="653"/>
      <c r="K60" s="653"/>
      <c r="L60" s="653"/>
      <c r="M60" s="653"/>
      <c r="N60" s="653"/>
      <c r="O60" s="653"/>
      <c r="P60" s="667" t="str">
        <f t="shared" si="20"/>
        <v/>
      </c>
      <c r="Q60" s="668" t="str">
        <f t="shared" si="5"/>
        <v/>
      </c>
      <c r="R60" s="669" t="str">
        <f t="shared" si="19"/>
        <v/>
      </c>
      <c r="S60" s="669" t="str">
        <f t="shared" si="16"/>
        <v/>
      </c>
      <c r="T60" s="670" t="str">
        <f t="shared" si="6"/>
        <v/>
      </c>
      <c r="U60" s="671" t="str">
        <f t="shared" si="21"/>
        <v/>
      </c>
      <c r="V60" s="672" t="str">
        <f t="shared" si="22"/>
        <v/>
      </c>
      <c r="W60" s="673" t="str">
        <f t="shared" si="23"/>
        <v/>
      </c>
      <c r="X60" s="674" t="str">
        <f t="shared" si="18"/>
        <v/>
      </c>
      <c r="Y60" s="675" t="str">
        <f t="shared" si="18"/>
        <v/>
      </c>
      <c r="Z60" s="675" t="str">
        <f t="shared" si="18"/>
        <v/>
      </c>
      <c r="AA60" s="676">
        <f t="shared" si="11"/>
        <v>0</v>
      </c>
      <c r="AB60" s="670">
        <f t="shared" si="12"/>
        <v>0</v>
      </c>
      <c r="AC60" s="677" t="str">
        <f t="shared" si="13"/>
        <v/>
      </c>
      <c r="AD60" s="679" t="str">
        <f t="shared" si="24"/>
        <v/>
      </c>
      <c r="AE60" s="678">
        <f t="shared" si="14"/>
        <v>0</v>
      </c>
      <c r="AF60" s="651"/>
      <c r="AG60" s="654"/>
      <c r="AH60" s="654"/>
    </row>
    <row r="61" spans="2:34" x14ac:dyDescent="0.25">
      <c r="B61" s="651"/>
      <c r="C61" s="653"/>
      <c r="D61" s="653"/>
      <c r="E61" s="653"/>
      <c r="F61" s="653"/>
      <c r="G61" s="653"/>
      <c r="H61" s="653"/>
      <c r="I61" s="653"/>
      <c r="J61" s="653"/>
      <c r="K61" s="653"/>
      <c r="L61" s="653"/>
      <c r="M61" s="653"/>
      <c r="N61" s="653"/>
      <c r="O61" s="653"/>
      <c r="P61" s="667" t="str">
        <f t="shared" si="20"/>
        <v/>
      </c>
      <c r="Q61" s="668" t="str">
        <f t="shared" si="5"/>
        <v/>
      </c>
      <c r="R61" s="669" t="str">
        <f t="shared" si="19"/>
        <v/>
      </c>
      <c r="S61" s="669" t="str">
        <f t="shared" si="16"/>
        <v/>
      </c>
      <c r="T61" s="670" t="str">
        <f t="shared" si="6"/>
        <v/>
      </c>
      <c r="U61" s="671" t="str">
        <f t="shared" si="21"/>
        <v/>
      </c>
      <c r="V61" s="672" t="str">
        <f t="shared" si="22"/>
        <v/>
      </c>
      <c r="W61" s="673" t="str">
        <f t="shared" si="23"/>
        <v/>
      </c>
      <c r="X61" s="674" t="str">
        <f t="shared" si="18"/>
        <v/>
      </c>
      <c r="Y61" s="675" t="str">
        <f t="shared" si="18"/>
        <v/>
      </c>
      <c r="Z61" s="675" t="str">
        <f t="shared" si="18"/>
        <v/>
      </c>
      <c r="AA61" s="676">
        <f t="shared" si="11"/>
        <v>0</v>
      </c>
      <c r="AB61" s="670">
        <f t="shared" si="12"/>
        <v>0</v>
      </c>
      <c r="AC61" s="677" t="str">
        <f t="shared" si="13"/>
        <v/>
      </c>
      <c r="AD61" s="679" t="str">
        <f t="shared" si="24"/>
        <v/>
      </c>
      <c r="AE61" s="678">
        <f t="shared" si="14"/>
        <v>0</v>
      </c>
      <c r="AF61" s="651"/>
      <c r="AG61" s="654"/>
      <c r="AH61" s="654"/>
    </row>
    <row r="62" spans="2:34" x14ac:dyDescent="0.25">
      <c r="B62" s="651"/>
      <c r="C62" s="653"/>
      <c r="D62" s="653"/>
      <c r="E62" s="653"/>
      <c r="F62" s="653"/>
      <c r="G62" s="653"/>
      <c r="H62" s="653"/>
      <c r="I62" s="653"/>
      <c r="J62" s="653"/>
      <c r="K62" s="653"/>
      <c r="L62" s="653"/>
      <c r="M62" s="653"/>
      <c r="N62" s="653"/>
      <c r="O62" s="653"/>
      <c r="P62" s="667" t="str">
        <f t="shared" si="20"/>
        <v/>
      </c>
      <c r="Q62" s="668" t="str">
        <f t="shared" si="5"/>
        <v/>
      </c>
      <c r="R62" s="669" t="str">
        <f t="shared" si="19"/>
        <v/>
      </c>
      <c r="S62" s="669" t="str">
        <f t="shared" si="16"/>
        <v/>
      </c>
      <c r="T62" s="670" t="str">
        <f t="shared" si="6"/>
        <v/>
      </c>
      <c r="U62" s="671" t="str">
        <f t="shared" si="21"/>
        <v/>
      </c>
      <c r="V62" s="672" t="str">
        <f t="shared" si="22"/>
        <v/>
      </c>
      <c r="W62" s="673" t="str">
        <f t="shared" si="23"/>
        <v/>
      </c>
      <c r="X62" s="674" t="str">
        <f t="shared" si="18"/>
        <v/>
      </c>
      <c r="Y62" s="675" t="str">
        <f t="shared" si="18"/>
        <v/>
      </c>
      <c r="Z62" s="675" t="str">
        <f t="shared" si="18"/>
        <v/>
      </c>
      <c r="AA62" s="676">
        <f t="shared" si="11"/>
        <v>0</v>
      </c>
      <c r="AB62" s="670">
        <f t="shared" si="12"/>
        <v>0</v>
      </c>
      <c r="AC62" s="677" t="str">
        <f t="shared" si="13"/>
        <v/>
      </c>
      <c r="AD62" s="679" t="str">
        <f t="shared" si="24"/>
        <v/>
      </c>
      <c r="AE62" s="678">
        <f t="shared" si="14"/>
        <v>0</v>
      </c>
      <c r="AF62" s="651"/>
      <c r="AG62" s="654"/>
      <c r="AH62" s="654"/>
    </row>
    <row r="63" spans="2:34" x14ac:dyDescent="0.25">
      <c r="B63" s="651"/>
      <c r="C63" s="653"/>
      <c r="D63" s="653"/>
      <c r="E63" s="653"/>
      <c r="F63" s="653"/>
      <c r="G63" s="653"/>
      <c r="H63" s="653"/>
      <c r="I63" s="653"/>
      <c r="J63" s="653"/>
      <c r="K63" s="653"/>
      <c r="L63" s="653"/>
      <c r="M63" s="653"/>
      <c r="N63" s="653"/>
      <c r="O63" s="653"/>
      <c r="P63" s="667" t="str">
        <f t="shared" si="20"/>
        <v/>
      </c>
      <c r="Q63" s="668" t="str">
        <f t="shared" si="5"/>
        <v/>
      </c>
      <c r="R63" s="669" t="str">
        <f t="shared" si="19"/>
        <v/>
      </c>
      <c r="S63" s="669" t="str">
        <f t="shared" si="16"/>
        <v/>
      </c>
      <c r="T63" s="670" t="str">
        <f t="shared" si="6"/>
        <v/>
      </c>
      <c r="U63" s="671" t="str">
        <f t="shared" si="21"/>
        <v/>
      </c>
      <c r="V63" s="672" t="str">
        <f t="shared" si="22"/>
        <v/>
      </c>
      <c r="W63" s="673" t="str">
        <f t="shared" si="23"/>
        <v/>
      </c>
      <c r="X63" s="674" t="str">
        <f t="shared" si="18"/>
        <v/>
      </c>
      <c r="Y63" s="675" t="str">
        <f t="shared" si="18"/>
        <v/>
      </c>
      <c r="Z63" s="675" t="str">
        <f t="shared" si="18"/>
        <v/>
      </c>
      <c r="AA63" s="676">
        <f t="shared" si="11"/>
        <v>0</v>
      </c>
      <c r="AB63" s="670">
        <f t="shared" si="12"/>
        <v>0</v>
      </c>
      <c r="AC63" s="677" t="str">
        <f t="shared" si="13"/>
        <v/>
      </c>
      <c r="AD63" s="679" t="str">
        <f t="shared" si="24"/>
        <v/>
      </c>
      <c r="AE63" s="678">
        <f t="shared" si="14"/>
        <v>0</v>
      </c>
      <c r="AF63" s="651"/>
      <c r="AG63" s="654"/>
      <c r="AH63" s="654"/>
    </row>
    <row r="64" spans="2:34" x14ac:dyDescent="0.25">
      <c r="B64" s="651"/>
      <c r="C64" s="653"/>
      <c r="D64" s="653"/>
      <c r="E64" s="653"/>
      <c r="F64" s="653"/>
      <c r="G64" s="653"/>
      <c r="H64" s="653"/>
      <c r="I64" s="653"/>
      <c r="J64" s="653"/>
      <c r="K64" s="653"/>
      <c r="L64" s="653"/>
      <c r="M64" s="653"/>
      <c r="N64" s="653"/>
      <c r="O64" s="653"/>
      <c r="P64" s="667" t="str">
        <f t="shared" si="20"/>
        <v/>
      </c>
      <c r="Q64" s="668" t="str">
        <f t="shared" si="5"/>
        <v/>
      </c>
      <c r="R64" s="669" t="str">
        <f t="shared" si="19"/>
        <v/>
      </c>
      <c r="S64" s="669" t="str">
        <f t="shared" si="16"/>
        <v/>
      </c>
      <c r="T64" s="670" t="str">
        <f t="shared" si="6"/>
        <v/>
      </c>
      <c r="U64" s="671" t="str">
        <f t="shared" si="21"/>
        <v/>
      </c>
      <c r="V64" s="672" t="str">
        <f t="shared" si="22"/>
        <v/>
      </c>
      <c r="W64" s="673" t="str">
        <f t="shared" si="23"/>
        <v/>
      </c>
      <c r="X64" s="674" t="str">
        <f t="shared" si="18"/>
        <v/>
      </c>
      <c r="Y64" s="675" t="str">
        <f t="shared" si="18"/>
        <v/>
      </c>
      <c r="Z64" s="675" t="str">
        <f t="shared" si="18"/>
        <v/>
      </c>
      <c r="AA64" s="676">
        <f t="shared" si="11"/>
        <v>0</v>
      </c>
      <c r="AB64" s="670">
        <f t="shared" si="12"/>
        <v>0</v>
      </c>
      <c r="AC64" s="677" t="str">
        <f t="shared" si="13"/>
        <v/>
      </c>
      <c r="AD64" s="679" t="str">
        <f t="shared" si="24"/>
        <v/>
      </c>
      <c r="AE64" s="678">
        <f t="shared" si="14"/>
        <v>0</v>
      </c>
      <c r="AF64" s="651"/>
      <c r="AG64" s="654"/>
      <c r="AH64" s="654"/>
    </row>
    <row r="65" spans="2:34" x14ac:dyDescent="0.25">
      <c r="B65" s="651"/>
      <c r="C65" s="653"/>
      <c r="D65" s="653"/>
      <c r="E65" s="653"/>
      <c r="F65" s="653"/>
      <c r="G65" s="653"/>
      <c r="H65" s="653"/>
      <c r="I65" s="653"/>
      <c r="J65" s="653"/>
      <c r="K65" s="653"/>
      <c r="L65" s="653"/>
      <c r="M65" s="653"/>
      <c r="N65" s="653"/>
      <c r="O65" s="653"/>
      <c r="P65" s="667" t="str">
        <f t="shared" si="20"/>
        <v/>
      </c>
      <c r="Q65" s="668" t="str">
        <f t="shared" si="5"/>
        <v/>
      </c>
      <c r="R65" s="669" t="str">
        <f t="shared" si="19"/>
        <v/>
      </c>
      <c r="S65" s="669" t="str">
        <f t="shared" si="16"/>
        <v/>
      </c>
      <c r="T65" s="670" t="str">
        <f t="shared" si="6"/>
        <v/>
      </c>
      <c r="U65" s="671" t="str">
        <f t="shared" si="21"/>
        <v/>
      </c>
      <c r="V65" s="672" t="str">
        <f t="shared" si="22"/>
        <v/>
      </c>
      <c r="W65" s="673" t="str">
        <f t="shared" si="23"/>
        <v/>
      </c>
      <c r="X65" s="674" t="str">
        <f t="shared" si="18"/>
        <v/>
      </c>
      <c r="Y65" s="675" t="str">
        <f t="shared" si="18"/>
        <v/>
      </c>
      <c r="Z65" s="675" t="str">
        <f t="shared" si="18"/>
        <v/>
      </c>
      <c r="AA65" s="676">
        <f t="shared" si="11"/>
        <v>0</v>
      </c>
      <c r="AB65" s="670">
        <f t="shared" si="12"/>
        <v>0</v>
      </c>
      <c r="AC65" s="677" t="str">
        <f t="shared" si="13"/>
        <v/>
      </c>
      <c r="AD65" s="679" t="str">
        <f t="shared" si="24"/>
        <v/>
      </c>
      <c r="AE65" s="678">
        <f t="shared" si="14"/>
        <v>0</v>
      </c>
      <c r="AF65" s="651"/>
      <c r="AG65" s="654"/>
      <c r="AH65" s="654"/>
    </row>
    <row r="66" spans="2:34" x14ac:dyDescent="0.25">
      <c r="B66" s="651"/>
      <c r="C66" s="653"/>
      <c r="D66" s="653"/>
      <c r="E66" s="653"/>
      <c r="F66" s="653"/>
      <c r="G66" s="653"/>
      <c r="H66" s="653"/>
      <c r="I66" s="653"/>
      <c r="J66" s="653"/>
      <c r="K66" s="653"/>
      <c r="L66" s="653"/>
      <c r="M66" s="653"/>
      <c r="N66" s="653"/>
      <c r="O66" s="653"/>
      <c r="P66" s="667" t="str">
        <f t="shared" si="20"/>
        <v/>
      </c>
      <c r="Q66" s="668" t="str">
        <f t="shared" si="5"/>
        <v/>
      </c>
      <c r="R66" s="669" t="str">
        <f t="shared" si="19"/>
        <v/>
      </c>
      <c r="S66" s="669" t="str">
        <f t="shared" si="16"/>
        <v/>
      </c>
      <c r="T66" s="670" t="str">
        <f t="shared" si="6"/>
        <v/>
      </c>
      <c r="U66" s="671" t="str">
        <f t="shared" si="21"/>
        <v/>
      </c>
      <c r="V66" s="672" t="str">
        <f t="shared" si="22"/>
        <v/>
      </c>
      <c r="W66" s="673" t="str">
        <f t="shared" si="23"/>
        <v/>
      </c>
      <c r="X66" s="674" t="str">
        <f t="shared" si="18"/>
        <v/>
      </c>
      <c r="Y66" s="675" t="str">
        <f t="shared" si="18"/>
        <v/>
      </c>
      <c r="Z66" s="675" t="str">
        <f t="shared" si="18"/>
        <v/>
      </c>
      <c r="AA66" s="676">
        <f t="shared" si="11"/>
        <v>0</v>
      </c>
      <c r="AB66" s="670">
        <f t="shared" si="12"/>
        <v>0</v>
      </c>
      <c r="AC66" s="677" t="str">
        <f t="shared" si="13"/>
        <v/>
      </c>
      <c r="AD66" s="679" t="str">
        <f t="shared" si="24"/>
        <v/>
      </c>
      <c r="AE66" s="678">
        <f t="shared" si="14"/>
        <v>0</v>
      </c>
      <c r="AF66" s="651"/>
      <c r="AG66" s="654"/>
      <c r="AH66" s="654"/>
    </row>
    <row r="67" spans="2:34" x14ac:dyDescent="0.25">
      <c r="B67" s="651"/>
      <c r="C67" s="653"/>
      <c r="D67" s="653"/>
      <c r="E67" s="653"/>
      <c r="F67" s="653"/>
      <c r="G67" s="653"/>
      <c r="H67" s="653"/>
      <c r="I67" s="653"/>
      <c r="J67" s="653"/>
      <c r="K67" s="653"/>
      <c r="L67" s="653"/>
      <c r="M67" s="653"/>
      <c r="N67" s="653"/>
      <c r="O67" s="653"/>
      <c r="P67" s="667" t="str">
        <f t="shared" si="20"/>
        <v/>
      </c>
      <c r="Q67" s="668" t="str">
        <f t="shared" si="5"/>
        <v/>
      </c>
      <c r="R67" s="669" t="str">
        <f t="shared" si="19"/>
        <v/>
      </c>
      <c r="S67" s="669" t="str">
        <f t="shared" si="16"/>
        <v/>
      </c>
      <c r="T67" s="670" t="str">
        <f t="shared" si="6"/>
        <v/>
      </c>
      <c r="U67" s="671" t="str">
        <f t="shared" si="21"/>
        <v/>
      </c>
      <c r="V67" s="672" t="str">
        <f t="shared" si="22"/>
        <v/>
      </c>
      <c r="W67" s="673" t="str">
        <f t="shared" si="23"/>
        <v/>
      </c>
      <c r="X67" s="674" t="str">
        <f t="shared" si="18"/>
        <v/>
      </c>
      <c r="Y67" s="675" t="str">
        <f t="shared" si="18"/>
        <v/>
      </c>
      <c r="Z67" s="675" t="str">
        <f t="shared" si="18"/>
        <v/>
      </c>
      <c r="AA67" s="676">
        <f t="shared" si="11"/>
        <v>0</v>
      </c>
      <c r="AB67" s="670">
        <f t="shared" si="12"/>
        <v>0</v>
      </c>
      <c r="AC67" s="677" t="str">
        <f t="shared" si="13"/>
        <v/>
      </c>
      <c r="AD67" s="679" t="str">
        <f t="shared" si="24"/>
        <v/>
      </c>
      <c r="AE67" s="678">
        <f t="shared" si="14"/>
        <v>0</v>
      </c>
      <c r="AF67" s="651"/>
      <c r="AG67" s="654"/>
      <c r="AH67" s="654"/>
    </row>
    <row r="68" spans="2:34" x14ac:dyDescent="0.25">
      <c r="B68" s="651"/>
      <c r="C68" s="653"/>
      <c r="D68" s="653"/>
      <c r="E68" s="653"/>
      <c r="F68" s="653"/>
      <c r="G68" s="653"/>
      <c r="H68" s="653"/>
      <c r="I68" s="653"/>
      <c r="J68" s="653"/>
      <c r="K68" s="653"/>
      <c r="L68" s="653"/>
      <c r="M68" s="653"/>
      <c r="N68" s="653"/>
      <c r="O68" s="653"/>
      <c r="P68" s="667" t="str">
        <f t="shared" si="20"/>
        <v/>
      </c>
      <c r="Q68" s="668" t="str">
        <f t="shared" si="5"/>
        <v/>
      </c>
      <c r="R68" s="669" t="str">
        <f t="shared" si="19"/>
        <v/>
      </c>
      <c r="S68" s="669" t="str">
        <f t="shared" si="16"/>
        <v/>
      </c>
      <c r="T68" s="670" t="str">
        <f t="shared" si="6"/>
        <v/>
      </c>
      <c r="U68" s="671" t="str">
        <f t="shared" si="21"/>
        <v/>
      </c>
      <c r="V68" s="672" t="str">
        <f t="shared" si="22"/>
        <v/>
      </c>
      <c r="W68" s="673" t="str">
        <f t="shared" si="23"/>
        <v/>
      </c>
      <c r="X68" s="674" t="str">
        <f t="shared" si="18"/>
        <v/>
      </c>
      <c r="Y68" s="675" t="str">
        <f t="shared" si="18"/>
        <v/>
      </c>
      <c r="Z68" s="675" t="str">
        <f t="shared" si="18"/>
        <v/>
      </c>
      <c r="AA68" s="676">
        <f t="shared" si="11"/>
        <v>0</v>
      </c>
      <c r="AB68" s="670">
        <f t="shared" si="12"/>
        <v>0</v>
      </c>
      <c r="AC68" s="677" t="str">
        <f t="shared" si="13"/>
        <v/>
      </c>
      <c r="AD68" s="679" t="str">
        <f t="shared" si="24"/>
        <v/>
      </c>
      <c r="AE68" s="678">
        <f t="shared" si="14"/>
        <v>0</v>
      </c>
      <c r="AF68" s="651"/>
      <c r="AG68" s="654"/>
      <c r="AH68" s="654"/>
    </row>
    <row r="69" spans="2:34" x14ac:dyDescent="0.25">
      <c r="B69" s="651"/>
      <c r="C69" s="653"/>
      <c r="D69" s="653"/>
      <c r="E69" s="653"/>
      <c r="F69" s="653"/>
      <c r="G69" s="653"/>
      <c r="H69" s="653"/>
      <c r="I69" s="653"/>
      <c r="J69" s="653"/>
      <c r="K69" s="653"/>
      <c r="L69" s="653"/>
      <c r="M69" s="653"/>
      <c r="N69" s="653"/>
      <c r="O69" s="653"/>
      <c r="P69" s="667" t="str">
        <f t="shared" si="20"/>
        <v/>
      </c>
      <c r="Q69" s="668" t="str">
        <f t="shared" si="5"/>
        <v/>
      </c>
      <c r="R69" s="669" t="str">
        <f t="shared" si="19"/>
        <v/>
      </c>
      <c r="S69" s="669" t="str">
        <f t="shared" si="16"/>
        <v/>
      </c>
      <c r="T69" s="670" t="str">
        <f t="shared" si="6"/>
        <v/>
      </c>
      <c r="U69" s="671" t="str">
        <f t="shared" si="21"/>
        <v/>
      </c>
      <c r="V69" s="672" t="str">
        <f t="shared" si="22"/>
        <v/>
      </c>
      <c r="W69" s="673" t="str">
        <f t="shared" si="23"/>
        <v/>
      </c>
      <c r="X69" s="674" t="str">
        <f t="shared" si="18"/>
        <v/>
      </c>
      <c r="Y69" s="675" t="str">
        <f t="shared" si="18"/>
        <v/>
      </c>
      <c r="Z69" s="675" t="str">
        <f t="shared" si="18"/>
        <v/>
      </c>
      <c r="AA69" s="676">
        <f t="shared" si="11"/>
        <v>0</v>
      </c>
      <c r="AB69" s="670">
        <f t="shared" si="12"/>
        <v>0</v>
      </c>
      <c r="AC69" s="677" t="str">
        <f t="shared" si="13"/>
        <v/>
      </c>
      <c r="AD69" s="679" t="str">
        <f t="shared" si="24"/>
        <v/>
      </c>
      <c r="AE69" s="678">
        <f t="shared" si="14"/>
        <v>0</v>
      </c>
      <c r="AF69" s="651"/>
      <c r="AG69" s="654"/>
      <c r="AH69" s="654"/>
    </row>
    <row r="70" spans="2:34" x14ac:dyDescent="0.25">
      <c r="B70" s="651"/>
      <c r="C70" s="653"/>
      <c r="D70" s="653"/>
      <c r="E70" s="653"/>
      <c r="F70" s="653"/>
      <c r="G70" s="653"/>
      <c r="H70" s="653"/>
      <c r="I70" s="653"/>
      <c r="J70" s="653"/>
      <c r="K70" s="653"/>
      <c r="L70" s="653"/>
      <c r="M70" s="653"/>
      <c r="N70" s="653"/>
      <c r="O70" s="653"/>
      <c r="P70" s="667" t="str">
        <f t="shared" si="20"/>
        <v/>
      </c>
      <c r="Q70" s="668" t="str">
        <f t="shared" si="5"/>
        <v/>
      </c>
      <c r="R70" s="669" t="str">
        <f t="shared" si="19"/>
        <v/>
      </c>
      <c r="S70" s="669" t="str">
        <f>IF(R70="","",IF(AND(P70&gt;=$T$8,P70&lt;=$T$9)=TRUE,IF($T$11="",Q70-R70,IF(Q70&gt;$T$11,$T$11-R70,Q70-R70)),0))</f>
        <v/>
      </c>
      <c r="T70" s="670" t="str">
        <f>IF(S70="","",IF(AND(P70&gt;=$V$8,P70&lt;=$V$9)=TRUE,IF($V$11="",Q70-R70-S70,IF(Q70&gt;$V$10,Q70-R70-S70,0)),0))</f>
        <v/>
      </c>
      <c r="U70" s="671" t="str">
        <f t="shared" si="21"/>
        <v/>
      </c>
      <c r="V70" s="672" t="str">
        <f t="shared" si="22"/>
        <v/>
      </c>
      <c r="W70" s="673" t="str">
        <f t="shared" si="23"/>
        <v/>
      </c>
      <c r="X70" s="674" t="str">
        <f t="shared" si="18"/>
        <v/>
      </c>
      <c r="Y70" s="675" t="str">
        <f t="shared" si="18"/>
        <v/>
      </c>
      <c r="Z70" s="675" t="str">
        <f t="shared" si="18"/>
        <v/>
      </c>
      <c r="AA70" s="676">
        <f t="shared" ref="AA70:AA71" si="25">IF(Z70="",0,SUM(X70:Z70))</f>
        <v>0</v>
      </c>
      <c r="AB70" s="670">
        <f>IF(AA70="","",(IF(AND(P70&lt;=$R$9,P70&gt;=$R$8)=TRUE,$R$6,0)+IF(AND(P70&lt;=$T$9,P70&gt;=$T$8)=TRUE,$T$6,0)+IF(AND(P70&lt;=$V$9,P70&gt;=$V$8)=TRUE,$V$6,0))*-1)</f>
        <v>0</v>
      </c>
      <c r="AC70" s="677" t="str">
        <f t="shared" si="13"/>
        <v/>
      </c>
      <c r="AD70" s="679" t="str">
        <f t="shared" si="24"/>
        <v/>
      </c>
      <c r="AE70" s="678">
        <f t="shared" si="14"/>
        <v>0</v>
      </c>
      <c r="AF70" s="651"/>
      <c r="AG70" s="654"/>
      <c r="AH70" s="654"/>
    </row>
    <row r="71" spans="2:34" ht="15.75" thickBot="1" x14ac:dyDescent="0.3">
      <c r="B71" s="651"/>
      <c r="C71" s="653"/>
      <c r="D71" s="653"/>
      <c r="E71" s="653"/>
      <c r="F71" s="653"/>
      <c r="G71" s="653"/>
      <c r="H71" s="653"/>
      <c r="I71" s="653"/>
      <c r="J71" s="653"/>
      <c r="K71" s="653"/>
      <c r="L71" s="653"/>
      <c r="M71" s="653"/>
      <c r="N71" s="653"/>
      <c r="O71" s="653"/>
      <c r="P71" s="660" t="str">
        <f t="shared" si="20"/>
        <v/>
      </c>
      <c r="Q71" s="661" t="str">
        <f t="shared" si="5"/>
        <v/>
      </c>
      <c r="R71" s="662" t="str">
        <f t="shared" si="19"/>
        <v/>
      </c>
      <c r="S71" s="662" t="str">
        <f>IF(R71="","",IF(AND(P71&gt;=$T$8,P71&lt;=$T$9)=TRUE,IF($T$11="",Q71-R71,IF(Q71&gt;$T$11,$T$11-R71,Q71-R71)),0))</f>
        <v/>
      </c>
      <c r="T71" s="663" t="str">
        <f>IF(S71="","",IF(AND(P71&gt;=$V$8,P71&lt;=$V$9)=TRUE,IF($V$11="",Q71-R71-S71,IF(Q71&gt;$V$10,Q71-R71-S71,0)),0))</f>
        <v/>
      </c>
      <c r="U71" s="682" t="str">
        <f t="shared" si="21"/>
        <v/>
      </c>
      <c r="V71" s="683" t="str">
        <f t="shared" si="22"/>
        <v/>
      </c>
      <c r="W71" s="684" t="str">
        <f t="shared" si="23"/>
        <v/>
      </c>
      <c r="X71" s="685" t="str">
        <f t="shared" si="18"/>
        <v/>
      </c>
      <c r="Y71" s="686" t="str">
        <f t="shared" si="18"/>
        <v/>
      </c>
      <c r="Z71" s="686" t="str">
        <f t="shared" si="18"/>
        <v/>
      </c>
      <c r="AA71" s="676">
        <f t="shared" si="25"/>
        <v>0</v>
      </c>
      <c r="AB71" s="663">
        <f>IF(AA71="","",(IF(AND(P71&lt;=$R$9,P71&gt;=$R$8)=TRUE,$R$6,0)+IF(AND(P71&lt;=$T$9,P71&gt;=$T$8)=TRUE,$T$6,0)+IF(AND(P71&lt;=$V$9,P71&gt;=$V$8)=TRUE,$V$6,0))*-1)</f>
        <v>0</v>
      </c>
      <c r="AC71" s="687" t="str">
        <f t="shared" si="13"/>
        <v/>
      </c>
      <c r="AD71" s="688" t="str">
        <f t="shared" si="24"/>
        <v/>
      </c>
      <c r="AE71" s="678">
        <f t="shared" si="14"/>
        <v>0</v>
      </c>
      <c r="AF71" s="680"/>
      <c r="AG71" s="666"/>
      <c r="AH71" s="654"/>
    </row>
    <row r="72" spans="2:34" x14ac:dyDescent="0.25">
      <c r="B72" s="651"/>
      <c r="C72" s="653"/>
      <c r="D72" s="653"/>
      <c r="E72" s="653"/>
      <c r="F72" s="653"/>
      <c r="G72" s="653"/>
      <c r="H72" s="653"/>
      <c r="I72" s="653"/>
      <c r="J72" s="653"/>
      <c r="K72" s="653"/>
      <c r="L72" s="653"/>
      <c r="M72" s="653"/>
      <c r="N72" s="653"/>
      <c r="O72" s="653"/>
      <c r="P72" s="653"/>
      <c r="Q72" s="668"/>
      <c r="R72" s="653"/>
      <c r="S72" s="653"/>
      <c r="T72" s="653"/>
      <c r="U72" s="653"/>
      <c r="V72" s="653"/>
      <c r="W72" s="653"/>
      <c r="X72" s="653"/>
      <c r="Y72" s="653"/>
      <c r="Z72" s="653" t="s">
        <v>555</v>
      </c>
      <c r="AA72" s="798">
        <f ca="1">NPV(BERECHNUNG!$D$157,AA20:AA69)*-1</f>
        <v>0</v>
      </c>
      <c r="AB72" s="798">
        <f ca="1">NPV(BERECHNUNG!$D$157,AB20:AB69)*-1</f>
        <v>0</v>
      </c>
      <c r="AC72" s="653"/>
      <c r="AD72" s="653"/>
      <c r="AE72" s="798">
        <f>NPV(BERECHNUNG!$D$157,AE20:AE69)*-1</f>
        <v>0</v>
      </c>
      <c r="AF72" s="653"/>
      <c r="AG72" s="653"/>
      <c r="AH72" s="654"/>
    </row>
    <row r="73" spans="2:34" ht="15.75" thickBot="1" x14ac:dyDescent="0.3">
      <c r="B73" s="680"/>
      <c r="C73" s="681"/>
      <c r="D73" s="681"/>
      <c r="E73" s="681"/>
      <c r="F73" s="681"/>
      <c r="G73" s="681"/>
      <c r="H73" s="681"/>
      <c r="I73" s="681"/>
      <c r="J73" s="681"/>
      <c r="K73" s="681"/>
      <c r="L73" s="681"/>
      <c r="M73" s="681"/>
      <c r="N73" s="681"/>
      <c r="O73" s="681"/>
      <c r="P73" s="681"/>
      <c r="Q73" s="681"/>
      <c r="R73" s="681"/>
      <c r="S73" s="681"/>
      <c r="T73" s="681"/>
      <c r="U73" s="681"/>
      <c r="V73" s="681"/>
      <c r="W73" s="681"/>
      <c r="X73" s="681"/>
      <c r="Y73" s="681"/>
      <c r="AA73" s="799"/>
      <c r="AB73" s="799"/>
      <c r="AC73" s="681"/>
      <c r="AD73" s="681"/>
      <c r="AE73" s="799"/>
      <c r="AF73" s="681"/>
      <c r="AG73" s="681"/>
      <c r="AH73" s="666"/>
    </row>
    <row r="75" spans="2:34" ht="15.75" thickBot="1" x14ac:dyDescent="0.3"/>
    <row r="76" spans="2:34" x14ac:dyDescent="0.25">
      <c r="B76" s="648"/>
      <c r="C76" s="649"/>
      <c r="D76" s="649"/>
      <c r="E76" s="649"/>
      <c r="F76" s="649"/>
      <c r="G76" s="649"/>
      <c r="H76" s="649"/>
      <c r="I76" s="649"/>
      <c r="J76" s="649"/>
      <c r="K76" s="649"/>
      <c r="L76" s="649"/>
      <c r="M76" s="649"/>
      <c r="N76" s="649"/>
      <c r="O76" s="649"/>
      <c r="P76" s="649"/>
      <c r="Q76" s="649"/>
      <c r="R76" s="649"/>
      <c r="S76" s="649"/>
      <c r="T76" s="649"/>
      <c r="U76" s="649"/>
      <c r="V76" s="649"/>
      <c r="W76" s="649"/>
      <c r="X76" s="649"/>
      <c r="Y76" s="649"/>
      <c r="Z76" s="649"/>
      <c r="AA76" s="649"/>
      <c r="AB76" s="649"/>
      <c r="AC76" s="649"/>
      <c r="AD76" s="649"/>
      <c r="AE76" s="649"/>
      <c r="AF76" s="649"/>
      <c r="AG76" s="649"/>
      <c r="AH76" s="650"/>
    </row>
    <row r="77" spans="2:34" ht="36" x14ac:dyDescent="0.25">
      <c r="B77" s="651"/>
      <c r="C77" s="653"/>
      <c r="D77" s="697" t="str">
        <f>"Variante: "&amp;'1. Projektangaben'!C24&amp;" "</f>
        <v xml:space="preserve">Variante: PH-WDVS-WP-Abl-ohne Sol_PV </v>
      </c>
      <c r="E77" s="653"/>
      <c r="F77" s="653"/>
      <c r="G77" s="653"/>
      <c r="H77" s="653"/>
      <c r="I77" s="653"/>
      <c r="J77" s="653"/>
      <c r="K77" s="653"/>
      <c r="L77" s="653"/>
      <c r="M77" s="653"/>
      <c r="N77" s="653"/>
      <c r="O77" s="653"/>
      <c r="P77" s="653"/>
      <c r="Q77" s="653"/>
      <c r="R77" s="653"/>
      <c r="S77" s="653"/>
      <c r="T77" s="653"/>
      <c r="U77" s="653"/>
      <c r="V77" s="653"/>
      <c r="W77" s="653"/>
      <c r="X77" s="653"/>
      <c r="Y77" s="653"/>
      <c r="Z77" s="653"/>
      <c r="AA77" s="653"/>
      <c r="AB77" s="653"/>
      <c r="AC77" s="653"/>
      <c r="AD77" s="653"/>
      <c r="AE77" s="653"/>
      <c r="AF77" s="653"/>
      <c r="AG77" s="653"/>
      <c r="AH77" s="654"/>
    </row>
    <row r="78" spans="2:34" x14ac:dyDescent="0.25">
      <c r="B78" s="651"/>
      <c r="C78" s="653"/>
      <c r="D78" s="653"/>
      <c r="E78" s="653"/>
      <c r="F78" s="653"/>
      <c r="G78" s="653"/>
      <c r="H78" s="653"/>
      <c r="I78" s="653"/>
      <c r="J78" s="653"/>
      <c r="K78" s="653"/>
      <c r="L78" s="653"/>
      <c r="M78" s="653"/>
      <c r="N78" s="653"/>
      <c r="O78" s="653"/>
      <c r="P78" s="653"/>
      <c r="Q78" s="653"/>
      <c r="R78" s="653"/>
      <c r="S78" s="653"/>
      <c r="T78" s="653"/>
      <c r="U78" s="653"/>
      <c r="V78" s="653"/>
      <c r="W78" s="653"/>
      <c r="X78" s="653"/>
      <c r="Y78" s="653"/>
      <c r="Z78" s="653"/>
      <c r="AA78" s="653"/>
      <c r="AB78" s="653"/>
      <c r="AC78" s="653"/>
      <c r="AD78" s="653"/>
      <c r="AE78" s="653"/>
      <c r="AF78" s="653"/>
      <c r="AG78" s="653"/>
      <c r="AH78" s="654"/>
    </row>
    <row r="79" spans="2:34" ht="16.5" thickBot="1" x14ac:dyDescent="0.3">
      <c r="B79" s="651"/>
      <c r="C79" s="653"/>
      <c r="D79" s="652"/>
      <c r="E79" s="691"/>
      <c r="F79" s="691"/>
      <c r="G79" s="692"/>
      <c r="H79" s="691"/>
      <c r="I79" s="691"/>
      <c r="J79" s="691"/>
      <c r="K79" s="693"/>
      <c r="L79" s="691"/>
      <c r="M79" s="691"/>
      <c r="N79" s="653"/>
      <c r="O79" s="653"/>
      <c r="P79" s="653"/>
      <c r="Q79" s="653"/>
      <c r="R79" s="653"/>
      <c r="S79" s="653"/>
      <c r="T79" s="653"/>
      <c r="U79" s="653"/>
      <c r="V79" s="653"/>
      <c r="W79" s="653"/>
      <c r="X79" s="653"/>
      <c r="Y79" s="653"/>
      <c r="Z79" s="653"/>
      <c r="AA79" s="653"/>
      <c r="AB79" s="653"/>
      <c r="AC79" s="653"/>
      <c r="AD79" s="653"/>
      <c r="AE79" s="653"/>
      <c r="AF79" s="653"/>
      <c r="AG79" s="653"/>
      <c r="AH79" s="654"/>
    </row>
    <row r="80" spans="2:34" ht="16.5" thickBot="1" x14ac:dyDescent="0.3">
      <c r="B80" s="651"/>
      <c r="C80" s="653"/>
      <c r="D80" s="652"/>
      <c r="E80" s="691"/>
      <c r="F80" s="691"/>
      <c r="G80" s="692"/>
      <c r="H80" s="691"/>
      <c r="I80" s="691"/>
      <c r="J80" s="691"/>
      <c r="K80" s="693"/>
      <c r="L80" s="691"/>
      <c r="M80" s="691"/>
      <c r="N80" s="653"/>
      <c r="O80" s="653"/>
      <c r="P80" s="653"/>
      <c r="Q80" s="1689" t="s">
        <v>165</v>
      </c>
      <c r="R80" s="1690"/>
      <c r="S80" s="1690"/>
      <c r="T80" s="1690"/>
      <c r="U80" s="1690"/>
      <c r="V80" s="1690"/>
      <c r="W80" s="1690"/>
      <c r="X80" s="1690"/>
      <c r="Y80" s="1690"/>
      <c r="Z80" s="1690"/>
      <c r="AA80" s="1690"/>
      <c r="AB80" s="1691"/>
      <c r="AC80" s="1692" t="s">
        <v>475</v>
      </c>
      <c r="AD80" s="1693"/>
      <c r="AE80" s="1694"/>
      <c r="AF80" s="653"/>
      <c r="AG80" s="653"/>
      <c r="AH80" s="654"/>
    </row>
    <row r="81" spans="2:34" ht="45.75" thickBot="1" x14ac:dyDescent="0.3">
      <c r="B81" s="651"/>
      <c r="C81" s="653"/>
      <c r="D81" s="695"/>
      <c r="E81" s="653"/>
      <c r="F81" s="653"/>
      <c r="G81" s="653"/>
      <c r="H81" s="653"/>
      <c r="I81" s="653"/>
      <c r="J81" s="653"/>
      <c r="K81" s="653"/>
      <c r="L81" s="653"/>
      <c r="M81" s="653"/>
      <c r="N81" s="653"/>
      <c r="O81" s="653"/>
      <c r="P81" s="655"/>
      <c r="Q81" s="1695" t="s">
        <v>476</v>
      </c>
      <c r="R81" s="1696"/>
      <c r="S81" s="1696"/>
      <c r="T81" s="1697"/>
      <c r="U81" s="1695" t="s">
        <v>477</v>
      </c>
      <c r="V81" s="1696"/>
      <c r="W81" s="1697"/>
      <c r="X81" s="1695" t="s">
        <v>478</v>
      </c>
      <c r="Y81" s="1696"/>
      <c r="Z81" s="1696"/>
      <c r="AA81" s="1697"/>
      <c r="AB81" s="656" t="s">
        <v>479</v>
      </c>
      <c r="AC81" s="657" t="s">
        <v>475</v>
      </c>
      <c r="AD81" s="658" t="s">
        <v>477</v>
      </c>
      <c r="AE81" s="658" t="s">
        <v>480</v>
      </c>
      <c r="AF81" s="659"/>
      <c r="AG81" s="659"/>
      <c r="AH81" s="654"/>
    </row>
    <row r="82" spans="2:34" ht="15.75" thickBot="1" x14ac:dyDescent="0.3">
      <c r="B82" s="651"/>
      <c r="C82" s="648"/>
      <c r="D82" s="649"/>
      <c r="E82" s="649"/>
      <c r="F82" s="649"/>
      <c r="G82" s="649"/>
      <c r="H82" s="649"/>
      <c r="I82" s="649"/>
      <c r="J82" s="649"/>
      <c r="K82" s="649"/>
      <c r="L82" s="649"/>
      <c r="M82" s="649"/>
      <c r="N82" s="650"/>
      <c r="O82" s="653"/>
      <c r="P82" s="660" t="s">
        <v>248</v>
      </c>
      <c r="Q82" s="661" t="s">
        <v>369</v>
      </c>
      <c r="R82" s="662" t="s">
        <v>482</v>
      </c>
      <c r="S82" s="662" t="s">
        <v>483</v>
      </c>
      <c r="T82" s="663" t="s">
        <v>484</v>
      </c>
      <c r="U82" s="661" t="s">
        <v>482</v>
      </c>
      <c r="V82" s="662" t="s">
        <v>483</v>
      </c>
      <c r="W82" s="663" t="s">
        <v>484</v>
      </c>
      <c r="X82" s="661" t="s">
        <v>482</v>
      </c>
      <c r="Y82" s="662" t="s">
        <v>483</v>
      </c>
      <c r="Z82" s="662" t="s">
        <v>484</v>
      </c>
      <c r="AA82" s="663" t="s">
        <v>369</v>
      </c>
      <c r="AB82" s="663" t="s">
        <v>485</v>
      </c>
      <c r="AC82" s="664" t="s">
        <v>369</v>
      </c>
      <c r="AD82" s="665" t="s">
        <v>369</v>
      </c>
      <c r="AE82" s="665" t="s">
        <v>486</v>
      </c>
      <c r="AF82" s="666"/>
      <c r="AG82" s="666"/>
      <c r="AH82" s="654"/>
    </row>
    <row r="83" spans="2:34" ht="15.75" x14ac:dyDescent="0.25">
      <c r="B83" s="651"/>
      <c r="C83" s="651"/>
      <c r="D83" s="652" t="s">
        <v>330</v>
      </c>
      <c r="E83" s="653"/>
      <c r="F83" s="653"/>
      <c r="G83" s="653"/>
      <c r="H83" s="653"/>
      <c r="I83" s="653"/>
      <c r="J83" s="653"/>
      <c r="K83" s="653"/>
      <c r="L83" s="653"/>
      <c r="M83" s="653"/>
      <c r="N83" s="654"/>
      <c r="O83" s="653"/>
      <c r="P83" s="667">
        <f>IF($G$5&gt;1,1,"")</f>
        <v>1</v>
      </c>
      <c r="Q83" s="668">
        <f ca="1">IF(P83="","",$G$85-$G$86)</f>
        <v>0</v>
      </c>
      <c r="R83" s="669">
        <f t="shared" ref="R83:R114" ca="1" si="26">IF(Q83="","",IF(P83&lt;=$R$9,IF(Q83&gt;$R$11,$R$11,Q83),0))</f>
        <v>0</v>
      </c>
      <c r="S83" s="669">
        <f ca="1">IF(R83="","",IF(AND(P83&gt;=$T$8,P83&lt;=$T$9)=TRUE,IF(OR($T$11="",$T$11=0),Q83-R83,IF(Q83&gt;$T$11,$T$11-R83,Q83-R83)),0))</f>
        <v>0</v>
      </c>
      <c r="T83" s="670">
        <f ca="1">IF(S83="","",IF(AND(P83&gt;=$V$8,P83&lt;=$V$9)=TRUE,IF(OR($V$11="",$V$11=0),Q83-R83-S83,IF(Q83&gt;$V$10,Q83-R83-S83,0)),0))</f>
        <v>0</v>
      </c>
      <c r="U83" s="671">
        <f>$R$5</f>
        <v>0.05</v>
      </c>
      <c r="V83" s="672">
        <f>$T$5</f>
        <v>2.5000000000000001E-2</v>
      </c>
      <c r="W83" s="673">
        <f>$V$5</f>
        <v>0</v>
      </c>
      <c r="X83" s="674">
        <f ca="1">IF(W83="","",IF(R83&gt;0,(U83*R83),0))</f>
        <v>0</v>
      </c>
      <c r="Y83" s="675">
        <f ca="1">IF(X83="","",IF(S83&gt;0,(V83*S83),0))</f>
        <v>0</v>
      </c>
      <c r="Z83" s="675">
        <f ca="1">IF(Y83="","",IF(T83&gt;0,(W83*T83),0))</f>
        <v>0</v>
      </c>
      <c r="AA83" s="676">
        <f ca="1">IF(Z83="",0,SUM(X83:Z83))</f>
        <v>0</v>
      </c>
      <c r="AB83" s="670">
        <f ca="1">IF(OR(AA83="",AA83=0),0,(IF(AND(P83&lt;=$R$9,P83&gt;=$R$8)=TRUE,$R$6,0)+IF(AND(P83&lt;=$T$9,P83&gt;=$T$8)=TRUE,$T$6,0)+IF(AND(P83&lt;=$V$9,P83&gt;=$V$8)=TRUE,$V$6,0))*-1)</f>
        <v>0</v>
      </c>
      <c r="AC83" s="677">
        <f ca="1">IF(P83="","",$G$86)</f>
        <v>0</v>
      </c>
      <c r="AD83" s="679">
        <f>$G$6</f>
        <v>0.15551999999999999</v>
      </c>
      <c r="AE83" s="678">
        <f ca="1">IF(P83="",0,AC83*AD83)</f>
        <v>0</v>
      </c>
      <c r="AF83" s="648"/>
      <c r="AG83" s="650"/>
      <c r="AH83" s="654"/>
    </row>
    <row r="84" spans="2:34" ht="15.75" x14ac:dyDescent="0.25">
      <c r="B84" s="651"/>
      <c r="C84" s="651"/>
      <c r="D84" s="652"/>
      <c r="E84" s="653"/>
      <c r="F84" s="653"/>
      <c r="G84" s="653"/>
      <c r="H84" s="653"/>
      <c r="I84" s="653"/>
      <c r="J84" s="653"/>
      <c r="K84" s="653"/>
      <c r="L84" s="653"/>
      <c r="M84" s="653"/>
      <c r="N84" s="654"/>
      <c r="O84" s="653"/>
      <c r="P84" s="667">
        <f t="shared" ref="P84:P134" si="27">IF($G$5&gt;P83,P83+1,"")</f>
        <v>2</v>
      </c>
      <c r="Q84" s="668">
        <f t="shared" ref="Q84:Q132" ca="1" si="28">IF(P84="","",$G$85-$G$86)</f>
        <v>0</v>
      </c>
      <c r="R84" s="669">
        <f t="shared" ca="1" si="26"/>
        <v>0</v>
      </c>
      <c r="S84" s="669">
        <f t="shared" ref="S84:S132" ca="1" si="29">IF(R84="","",IF(AND(P84&gt;=$T$8,P84&lt;=$T$9)=TRUE,IF(OR($T$11="",$T$11=0),Q84-R84,IF(Q84&gt;$T$11,$T$11-R84,Q84-R84)),0))</f>
        <v>0</v>
      </c>
      <c r="T84" s="670">
        <f t="shared" ref="T84:T132" ca="1" si="30">IF(S84="","",IF(AND(P84&gt;=$V$8,P84&lt;=$V$9)=TRUE,IF(OR($V$11="",$V$11=0),Q84-R84-S84,IF(Q84&gt;$V$10,Q84-R84-S84,0)),0))</f>
        <v>0</v>
      </c>
      <c r="U84" s="671">
        <f t="shared" ref="U84:U115" ca="1" si="31">IF(R84="","",U83*(1+$R$7))</f>
        <v>5.1249999999999997E-2</v>
      </c>
      <c r="V84" s="672">
        <f t="shared" ref="V84:V115" ca="1" si="32">IF(S84="","",V83*(1+$T$7))</f>
        <v>2.5624999999999998E-2</v>
      </c>
      <c r="W84" s="673">
        <f t="shared" ref="W84:W115" ca="1" si="33">IF(T84="","",W83*(1+$V$7))</f>
        <v>0</v>
      </c>
      <c r="X84" s="674">
        <f t="shared" ref="X84:X134" ca="1" si="34">IF(W84="","",IF(R84&gt;0,(U84*R84),0))</f>
        <v>0</v>
      </c>
      <c r="Y84" s="675">
        <f t="shared" ref="Y84:Y134" ca="1" si="35">IF(X84="","",IF(S84&gt;0,(V84*S84),0))</f>
        <v>0</v>
      </c>
      <c r="Z84" s="675">
        <f t="shared" ref="Z84:Z134" ca="1" si="36">IF(Y84="","",IF(T84&gt;0,(W84*T84),0))</f>
        <v>0</v>
      </c>
      <c r="AA84" s="676">
        <f t="shared" ref="AA84:AA134" ca="1" si="37">IF(Z84="",0,SUM(X84:Z84))</f>
        <v>0</v>
      </c>
      <c r="AB84" s="670">
        <f t="shared" ref="AB84:AB132" ca="1" si="38">IF(OR(AA84="",AA84=0),0,(IF(AND(P84&lt;=$R$9,P84&gt;=$R$8)=TRUE,$R$6,0)+IF(AND(P84&lt;=$T$9,P84&gt;=$T$8)=TRUE,$T$6,0)+IF(AND(P84&lt;=$V$9,P84&gt;=$V$8)=TRUE,$V$6,0))*-1)</f>
        <v>0</v>
      </c>
      <c r="AC84" s="677">
        <f t="shared" ref="AC84:AC132" ca="1" si="39">IF(P84="","",$G$86)</f>
        <v>0</v>
      </c>
      <c r="AD84" s="679">
        <f>IF(P84="","",AD83*(1+$G$7))</f>
        <v>0.15940799999999997</v>
      </c>
      <c r="AE84" s="678">
        <f t="shared" ref="AE84:AE134" ca="1" si="40">IF(P84="",0,AC84*AD84)</f>
        <v>0</v>
      </c>
      <c r="AF84" s="651"/>
      <c r="AG84" s="654"/>
      <c r="AH84" s="654"/>
    </row>
    <row r="85" spans="2:34" x14ac:dyDescent="0.25">
      <c r="B85" s="651"/>
      <c r="C85" s="651"/>
      <c r="D85" s="653"/>
      <c r="E85" s="689" t="s">
        <v>487</v>
      </c>
      <c r="F85" s="689" t="s">
        <v>488</v>
      </c>
      <c r="G85" s="690">
        <f ca="1">'2. Energie KW.'!J67</f>
        <v>0</v>
      </c>
      <c r="H85" s="653"/>
      <c r="I85" s="653" t="s">
        <v>489</v>
      </c>
      <c r="J85" s="653"/>
      <c r="K85" s="653"/>
      <c r="L85" s="653"/>
      <c r="M85" s="653"/>
      <c r="N85" s="654"/>
      <c r="O85" s="653"/>
      <c r="P85" s="667">
        <f t="shared" si="27"/>
        <v>3</v>
      </c>
      <c r="Q85" s="668">
        <f t="shared" ca="1" si="28"/>
        <v>0</v>
      </c>
      <c r="R85" s="669">
        <f t="shared" ca="1" si="26"/>
        <v>0</v>
      </c>
      <c r="S85" s="669">
        <f t="shared" ca="1" si="29"/>
        <v>0</v>
      </c>
      <c r="T85" s="670">
        <f t="shared" ca="1" si="30"/>
        <v>0</v>
      </c>
      <c r="U85" s="671">
        <f t="shared" ca="1" si="31"/>
        <v>5.2531249999999995E-2</v>
      </c>
      <c r="V85" s="672">
        <f t="shared" ca="1" si="32"/>
        <v>2.6265624999999997E-2</v>
      </c>
      <c r="W85" s="673">
        <f t="shared" ca="1" si="33"/>
        <v>0</v>
      </c>
      <c r="X85" s="674">
        <f t="shared" ca="1" si="34"/>
        <v>0</v>
      </c>
      <c r="Y85" s="675">
        <f t="shared" ca="1" si="35"/>
        <v>0</v>
      </c>
      <c r="Z85" s="675">
        <f t="shared" ca="1" si="36"/>
        <v>0</v>
      </c>
      <c r="AA85" s="676">
        <f t="shared" ca="1" si="37"/>
        <v>0</v>
      </c>
      <c r="AB85" s="670">
        <f t="shared" ca="1" si="38"/>
        <v>0</v>
      </c>
      <c r="AC85" s="677">
        <f t="shared" ca="1" si="39"/>
        <v>0</v>
      </c>
      <c r="AD85" s="679">
        <f t="shared" ref="AD85:AD134" si="41">IF(P85="","",AD84*(1+$G$7))</f>
        <v>0.16339319999999996</v>
      </c>
      <c r="AE85" s="678">
        <f t="shared" ca="1" si="40"/>
        <v>0</v>
      </c>
      <c r="AF85" s="651"/>
      <c r="AG85" s="654"/>
      <c r="AH85" s="654"/>
    </row>
    <row r="86" spans="2:34" x14ac:dyDescent="0.25">
      <c r="B86" s="651"/>
      <c r="C86" s="651"/>
      <c r="D86" s="653"/>
      <c r="E86" s="689" t="s">
        <v>486</v>
      </c>
      <c r="F86" s="689" t="s">
        <v>488</v>
      </c>
      <c r="G86" s="690">
        <f ca="1">'2. Energie KW.'!J68</f>
        <v>0</v>
      </c>
      <c r="H86" s="653"/>
      <c r="I86" s="653" t="s">
        <v>490</v>
      </c>
      <c r="J86" s="653"/>
      <c r="K86" s="653"/>
      <c r="L86" s="653"/>
      <c r="M86" s="653"/>
      <c r="N86" s="654"/>
      <c r="O86" s="653"/>
      <c r="P86" s="667">
        <f t="shared" si="27"/>
        <v>4</v>
      </c>
      <c r="Q86" s="668">
        <f t="shared" ca="1" si="28"/>
        <v>0</v>
      </c>
      <c r="R86" s="669">
        <f t="shared" ca="1" si="26"/>
        <v>0</v>
      </c>
      <c r="S86" s="669">
        <f t="shared" ca="1" si="29"/>
        <v>0</v>
      </c>
      <c r="T86" s="670">
        <f t="shared" ca="1" si="30"/>
        <v>0</v>
      </c>
      <c r="U86" s="671">
        <f t="shared" ca="1" si="31"/>
        <v>5.3844531249999987E-2</v>
      </c>
      <c r="V86" s="672">
        <f t="shared" ca="1" si="32"/>
        <v>2.6922265624999994E-2</v>
      </c>
      <c r="W86" s="673">
        <f t="shared" ca="1" si="33"/>
        <v>0</v>
      </c>
      <c r="X86" s="674">
        <f t="shared" ca="1" si="34"/>
        <v>0</v>
      </c>
      <c r="Y86" s="675">
        <f t="shared" ca="1" si="35"/>
        <v>0</v>
      </c>
      <c r="Z86" s="675">
        <f t="shared" ca="1" si="36"/>
        <v>0</v>
      </c>
      <c r="AA86" s="676">
        <f t="shared" ca="1" si="37"/>
        <v>0</v>
      </c>
      <c r="AB86" s="670">
        <f t="shared" ca="1" si="38"/>
        <v>0</v>
      </c>
      <c r="AC86" s="677">
        <f t="shared" ca="1" si="39"/>
        <v>0</v>
      </c>
      <c r="AD86" s="679">
        <f t="shared" si="41"/>
        <v>0.16747802999999994</v>
      </c>
      <c r="AE86" s="678">
        <f t="shared" ca="1" si="40"/>
        <v>0</v>
      </c>
      <c r="AF86" s="651"/>
      <c r="AG86" s="654"/>
      <c r="AH86" s="654"/>
    </row>
    <row r="87" spans="2:34" x14ac:dyDescent="0.25">
      <c r="B87" s="651"/>
      <c r="C87" s="651"/>
      <c r="D87" s="653"/>
      <c r="E87" s="653"/>
      <c r="F87" s="653"/>
      <c r="G87" s="653"/>
      <c r="H87" s="653"/>
      <c r="I87" s="653"/>
      <c r="J87" s="653"/>
      <c r="K87" s="653"/>
      <c r="L87" s="653"/>
      <c r="M87" s="653"/>
      <c r="N87" s="654"/>
      <c r="O87" s="653"/>
      <c r="P87" s="667">
        <f t="shared" si="27"/>
        <v>5</v>
      </c>
      <c r="Q87" s="668">
        <f t="shared" ca="1" si="28"/>
        <v>0</v>
      </c>
      <c r="R87" s="669">
        <f t="shared" ca="1" si="26"/>
        <v>0</v>
      </c>
      <c r="S87" s="669">
        <f t="shared" ca="1" si="29"/>
        <v>0</v>
      </c>
      <c r="T87" s="670">
        <f t="shared" ca="1" si="30"/>
        <v>0</v>
      </c>
      <c r="U87" s="671">
        <f t="shared" ca="1" si="31"/>
        <v>5.5190644531249979E-2</v>
      </c>
      <c r="V87" s="672">
        <f t="shared" ca="1" si="32"/>
        <v>2.7595322265624989E-2</v>
      </c>
      <c r="W87" s="673">
        <f t="shared" ca="1" si="33"/>
        <v>0</v>
      </c>
      <c r="X87" s="674">
        <f t="shared" ca="1" si="34"/>
        <v>0</v>
      </c>
      <c r="Y87" s="675">
        <f t="shared" ca="1" si="35"/>
        <v>0</v>
      </c>
      <c r="Z87" s="675">
        <f t="shared" ca="1" si="36"/>
        <v>0</v>
      </c>
      <c r="AA87" s="676">
        <f t="shared" ca="1" si="37"/>
        <v>0</v>
      </c>
      <c r="AB87" s="670">
        <f t="shared" ca="1" si="38"/>
        <v>0</v>
      </c>
      <c r="AC87" s="677">
        <f t="shared" ca="1" si="39"/>
        <v>0</v>
      </c>
      <c r="AD87" s="679">
        <f t="shared" si="41"/>
        <v>0.17166498074999992</v>
      </c>
      <c r="AE87" s="678">
        <f t="shared" ca="1" si="40"/>
        <v>0</v>
      </c>
      <c r="AF87" s="651"/>
      <c r="AG87" s="654"/>
      <c r="AH87" s="654"/>
    </row>
    <row r="88" spans="2:34" x14ac:dyDescent="0.25">
      <c r="B88" s="651"/>
      <c r="C88" s="651"/>
      <c r="D88" s="653"/>
      <c r="E88" s="653"/>
      <c r="F88" s="653"/>
      <c r="G88" s="653"/>
      <c r="H88" s="653"/>
      <c r="I88" s="653"/>
      <c r="J88" s="653"/>
      <c r="K88" s="653"/>
      <c r="L88" s="653"/>
      <c r="M88" s="653"/>
      <c r="N88" s="654"/>
      <c r="O88" s="653"/>
      <c r="P88" s="667">
        <f t="shared" si="27"/>
        <v>6</v>
      </c>
      <c r="Q88" s="668">
        <f t="shared" ca="1" si="28"/>
        <v>0</v>
      </c>
      <c r="R88" s="669">
        <f t="shared" ca="1" si="26"/>
        <v>0</v>
      </c>
      <c r="S88" s="669">
        <f t="shared" ca="1" si="29"/>
        <v>0</v>
      </c>
      <c r="T88" s="670">
        <f t="shared" ca="1" si="30"/>
        <v>0</v>
      </c>
      <c r="U88" s="671">
        <f t="shared" ca="1" si="31"/>
        <v>5.6570410644531222E-2</v>
      </c>
      <c r="V88" s="672">
        <f t="shared" ca="1" si="32"/>
        <v>2.8285205322265611E-2</v>
      </c>
      <c r="W88" s="673">
        <f t="shared" ca="1" si="33"/>
        <v>0</v>
      </c>
      <c r="X88" s="674">
        <f t="shared" ca="1" si="34"/>
        <v>0</v>
      </c>
      <c r="Y88" s="675">
        <f t="shared" ca="1" si="35"/>
        <v>0</v>
      </c>
      <c r="Z88" s="675">
        <f t="shared" ca="1" si="36"/>
        <v>0</v>
      </c>
      <c r="AA88" s="676">
        <f t="shared" ca="1" si="37"/>
        <v>0</v>
      </c>
      <c r="AB88" s="670">
        <f t="shared" ca="1" si="38"/>
        <v>0</v>
      </c>
      <c r="AC88" s="677">
        <f t="shared" ca="1" si="39"/>
        <v>0</v>
      </c>
      <c r="AD88" s="679">
        <f t="shared" si="41"/>
        <v>0.1759566052687499</v>
      </c>
      <c r="AE88" s="678">
        <f t="shared" ca="1" si="40"/>
        <v>0</v>
      </c>
      <c r="AF88" s="651"/>
      <c r="AG88" s="654"/>
      <c r="AH88" s="654"/>
    </row>
    <row r="89" spans="2:34" ht="15.75" x14ac:dyDescent="0.25">
      <c r="B89" s="651"/>
      <c r="C89" s="651"/>
      <c r="D89" s="652"/>
      <c r="E89" s="653"/>
      <c r="F89" s="653"/>
      <c r="G89" s="653"/>
      <c r="H89" s="653"/>
      <c r="I89" s="653"/>
      <c r="J89" s="653"/>
      <c r="K89" s="653"/>
      <c r="L89" s="653"/>
      <c r="M89" s="653"/>
      <c r="N89" s="654"/>
      <c r="O89" s="653"/>
      <c r="P89" s="667">
        <f t="shared" si="27"/>
        <v>7</v>
      </c>
      <c r="Q89" s="668">
        <f t="shared" ca="1" si="28"/>
        <v>0</v>
      </c>
      <c r="R89" s="669">
        <f t="shared" ca="1" si="26"/>
        <v>0</v>
      </c>
      <c r="S89" s="669">
        <f t="shared" ca="1" si="29"/>
        <v>0</v>
      </c>
      <c r="T89" s="670">
        <f t="shared" ca="1" si="30"/>
        <v>0</v>
      </c>
      <c r="U89" s="671">
        <f t="shared" ca="1" si="31"/>
        <v>5.7984670910644499E-2</v>
      </c>
      <c r="V89" s="672">
        <f t="shared" ca="1" si="32"/>
        <v>2.899233545532225E-2</v>
      </c>
      <c r="W89" s="673">
        <f t="shared" ca="1" si="33"/>
        <v>0</v>
      </c>
      <c r="X89" s="674">
        <f t="shared" ca="1" si="34"/>
        <v>0</v>
      </c>
      <c r="Y89" s="675">
        <f t="shared" ca="1" si="35"/>
        <v>0</v>
      </c>
      <c r="Z89" s="675">
        <f t="shared" ca="1" si="36"/>
        <v>0</v>
      </c>
      <c r="AA89" s="676">
        <f t="shared" ca="1" si="37"/>
        <v>0</v>
      </c>
      <c r="AB89" s="670">
        <f t="shared" ca="1" si="38"/>
        <v>0</v>
      </c>
      <c r="AC89" s="677">
        <f t="shared" ca="1" si="39"/>
        <v>0</v>
      </c>
      <c r="AD89" s="679">
        <f t="shared" si="41"/>
        <v>0.18035552040046862</v>
      </c>
      <c r="AE89" s="678">
        <f t="shared" ca="1" si="40"/>
        <v>0</v>
      </c>
      <c r="AF89" s="651"/>
      <c r="AG89" s="654"/>
      <c r="AH89" s="654"/>
    </row>
    <row r="90" spans="2:34" x14ac:dyDescent="0.25">
      <c r="B90" s="651"/>
      <c r="C90" s="651"/>
      <c r="D90" s="653"/>
      <c r="E90" s="653"/>
      <c r="F90" s="653"/>
      <c r="G90" s="653"/>
      <c r="H90" s="653"/>
      <c r="I90" s="653"/>
      <c r="J90" s="653"/>
      <c r="K90" s="653"/>
      <c r="L90" s="653"/>
      <c r="M90" s="653"/>
      <c r="N90" s="654"/>
      <c r="O90" s="653"/>
      <c r="P90" s="667">
        <f t="shared" si="27"/>
        <v>8</v>
      </c>
      <c r="Q90" s="668">
        <f t="shared" ca="1" si="28"/>
        <v>0</v>
      </c>
      <c r="R90" s="669">
        <f t="shared" ca="1" si="26"/>
        <v>0</v>
      </c>
      <c r="S90" s="669">
        <f t="shared" ca="1" si="29"/>
        <v>0</v>
      </c>
      <c r="T90" s="670">
        <f t="shared" ca="1" si="30"/>
        <v>0</v>
      </c>
      <c r="U90" s="671">
        <f t="shared" ca="1" si="31"/>
        <v>5.9434287683410608E-2</v>
      </c>
      <c r="V90" s="672">
        <f t="shared" ca="1" si="32"/>
        <v>2.9717143841705304E-2</v>
      </c>
      <c r="W90" s="673">
        <f t="shared" ca="1" si="33"/>
        <v>0</v>
      </c>
      <c r="X90" s="674">
        <f t="shared" ca="1" si="34"/>
        <v>0</v>
      </c>
      <c r="Y90" s="675">
        <f t="shared" ca="1" si="35"/>
        <v>0</v>
      </c>
      <c r="Z90" s="675">
        <f t="shared" ca="1" si="36"/>
        <v>0</v>
      </c>
      <c r="AA90" s="676">
        <f t="shared" ca="1" si="37"/>
        <v>0</v>
      </c>
      <c r="AB90" s="670">
        <f t="shared" ca="1" si="38"/>
        <v>0</v>
      </c>
      <c r="AC90" s="677">
        <f t="shared" ca="1" si="39"/>
        <v>0</v>
      </c>
      <c r="AD90" s="679">
        <f t="shared" si="41"/>
        <v>0.18486440841048032</v>
      </c>
      <c r="AE90" s="678">
        <f t="shared" ca="1" si="40"/>
        <v>0</v>
      </c>
      <c r="AF90" s="651"/>
      <c r="AG90" s="654"/>
      <c r="AH90" s="654"/>
    </row>
    <row r="91" spans="2:34" x14ac:dyDescent="0.25">
      <c r="B91" s="651"/>
      <c r="C91" s="651"/>
      <c r="D91" s="653"/>
      <c r="E91" s="653"/>
      <c r="F91" s="653"/>
      <c r="G91" s="653"/>
      <c r="H91" s="653"/>
      <c r="I91" s="653"/>
      <c r="J91" s="653"/>
      <c r="K91" s="653"/>
      <c r="L91" s="653"/>
      <c r="M91" s="653"/>
      <c r="N91" s="653"/>
      <c r="O91" s="653"/>
      <c r="P91" s="667">
        <f t="shared" si="27"/>
        <v>9</v>
      </c>
      <c r="Q91" s="668">
        <f t="shared" ca="1" si="28"/>
        <v>0</v>
      </c>
      <c r="R91" s="669">
        <f t="shared" ca="1" si="26"/>
        <v>0</v>
      </c>
      <c r="S91" s="669">
        <f t="shared" ca="1" si="29"/>
        <v>0</v>
      </c>
      <c r="T91" s="670">
        <f t="shared" ca="1" si="30"/>
        <v>0</v>
      </c>
      <c r="U91" s="671">
        <f t="shared" ca="1" si="31"/>
        <v>6.0920144875495866E-2</v>
      </c>
      <c r="V91" s="672">
        <f t="shared" ca="1" si="32"/>
        <v>3.0460072437747933E-2</v>
      </c>
      <c r="W91" s="673">
        <f t="shared" ca="1" si="33"/>
        <v>0</v>
      </c>
      <c r="X91" s="674">
        <f t="shared" ca="1" si="34"/>
        <v>0</v>
      </c>
      <c r="Y91" s="675">
        <f t="shared" ca="1" si="35"/>
        <v>0</v>
      </c>
      <c r="Z91" s="675">
        <f t="shared" ca="1" si="36"/>
        <v>0</v>
      </c>
      <c r="AA91" s="676">
        <f t="shared" ca="1" si="37"/>
        <v>0</v>
      </c>
      <c r="AB91" s="670">
        <f t="shared" ca="1" si="38"/>
        <v>0</v>
      </c>
      <c r="AC91" s="677">
        <f t="shared" ca="1" si="39"/>
        <v>0</v>
      </c>
      <c r="AD91" s="679">
        <f t="shared" si="41"/>
        <v>0.18948601862074232</v>
      </c>
      <c r="AE91" s="678">
        <f t="shared" ca="1" si="40"/>
        <v>0</v>
      </c>
      <c r="AF91" s="651"/>
      <c r="AG91" s="654"/>
      <c r="AH91" s="654"/>
    </row>
    <row r="92" spans="2:34" ht="15.75" thickBot="1" x14ac:dyDescent="0.3">
      <c r="B92" s="651"/>
      <c r="C92" s="680"/>
      <c r="D92" s="681"/>
      <c r="E92" s="681"/>
      <c r="F92" s="681"/>
      <c r="G92" s="681"/>
      <c r="H92" s="681"/>
      <c r="I92" s="681"/>
      <c r="J92" s="681"/>
      <c r="K92" s="681"/>
      <c r="L92" s="681"/>
      <c r="M92" s="681"/>
      <c r="N92" s="666"/>
      <c r="O92" s="653"/>
      <c r="P92" s="667">
        <f t="shared" si="27"/>
        <v>10</v>
      </c>
      <c r="Q92" s="668">
        <f t="shared" ca="1" si="28"/>
        <v>0</v>
      </c>
      <c r="R92" s="669">
        <f t="shared" ca="1" si="26"/>
        <v>0</v>
      </c>
      <c r="S92" s="669">
        <f t="shared" ca="1" si="29"/>
        <v>0</v>
      </c>
      <c r="T92" s="670">
        <f t="shared" ca="1" si="30"/>
        <v>0</v>
      </c>
      <c r="U92" s="671">
        <f t="shared" ca="1" si="31"/>
        <v>6.2443148497383257E-2</v>
      </c>
      <c r="V92" s="672">
        <f t="shared" ca="1" si="32"/>
        <v>3.1221574248691628E-2</v>
      </c>
      <c r="W92" s="673">
        <f t="shared" ca="1" si="33"/>
        <v>0</v>
      </c>
      <c r="X92" s="674">
        <f t="shared" ca="1" si="34"/>
        <v>0</v>
      </c>
      <c r="Y92" s="675">
        <f t="shared" ca="1" si="35"/>
        <v>0</v>
      </c>
      <c r="Z92" s="675">
        <f t="shared" ca="1" si="36"/>
        <v>0</v>
      </c>
      <c r="AA92" s="676">
        <f t="shared" ca="1" si="37"/>
        <v>0</v>
      </c>
      <c r="AB92" s="670">
        <f t="shared" ca="1" si="38"/>
        <v>0</v>
      </c>
      <c r="AC92" s="677">
        <f t="shared" ca="1" si="39"/>
        <v>0</v>
      </c>
      <c r="AD92" s="679">
        <f t="shared" si="41"/>
        <v>0.19422316908626086</v>
      </c>
      <c r="AE92" s="678">
        <f t="shared" ca="1" si="40"/>
        <v>0</v>
      </c>
      <c r="AF92" s="651"/>
      <c r="AG92" s="654"/>
      <c r="AH92" s="654"/>
    </row>
    <row r="93" spans="2:34" ht="15.75" thickBot="1" x14ac:dyDescent="0.3">
      <c r="B93" s="651"/>
      <c r="C93" s="653"/>
      <c r="D93" s="653"/>
      <c r="E93" s="653"/>
      <c r="F93" s="653"/>
      <c r="G93" s="653"/>
      <c r="H93" s="653"/>
      <c r="I93" s="653"/>
      <c r="J93" s="653"/>
      <c r="K93" s="653"/>
      <c r="L93" s="653"/>
      <c r="M93" s="653"/>
      <c r="N93" s="653"/>
      <c r="O93" s="653"/>
      <c r="P93" s="667">
        <f t="shared" si="27"/>
        <v>11</v>
      </c>
      <c r="Q93" s="668">
        <f t="shared" ca="1" si="28"/>
        <v>0</v>
      </c>
      <c r="R93" s="669">
        <f t="shared" ca="1" si="26"/>
        <v>0</v>
      </c>
      <c r="S93" s="669">
        <f t="shared" ca="1" si="29"/>
        <v>0</v>
      </c>
      <c r="T93" s="670">
        <f t="shared" ca="1" si="30"/>
        <v>0</v>
      </c>
      <c r="U93" s="671">
        <f t="shared" ca="1" si="31"/>
        <v>6.4004227209817827E-2</v>
      </c>
      <c r="V93" s="672">
        <f t="shared" ca="1" si="32"/>
        <v>3.2002113604908913E-2</v>
      </c>
      <c r="W93" s="673">
        <f t="shared" ca="1" si="33"/>
        <v>0</v>
      </c>
      <c r="X93" s="674">
        <f t="shared" ca="1" si="34"/>
        <v>0</v>
      </c>
      <c r="Y93" s="675">
        <f t="shared" ca="1" si="35"/>
        <v>0</v>
      </c>
      <c r="Z93" s="675">
        <f t="shared" ca="1" si="36"/>
        <v>0</v>
      </c>
      <c r="AA93" s="676">
        <f t="shared" ca="1" si="37"/>
        <v>0</v>
      </c>
      <c r="AB93" s="670">
        <f t="shared" ca="1" si="38"/>
        <v>0</v>
      </c>
      <c r="AC93" s="677">
        <f t="shared" ca="1" si="39"/>
        <v>0</v>
      </c>
      <c r="AD93" s="679">
        <f t="shared" si="41"/>
        <v>0.19907874831341738</v>
      </c>
      <c r="AE93" s="678">
        <f t="shared" ca="1" si="40"/>
        <v>0</v>
      </c>
      <c r="AF93" s="651"/>
      <c r="AG93" s="654"/>
      <c r="AH93" s="654"/>
    </row>
    <row r="94" spans="2:34" x14ac:dyDescent="0.25">
      <c r="B94" s="651"/>
      <c r="C94" s="648"/>
      <c r="D94" s="649"/>
      <c r="E94" s="649"/>
      <c r="F94" s="649"/>
      <c r="G94" s="649"/>
      <c r="H94" s="649"/>
      <c r="I94" s="649"/>
      <c r="J94" s="649"/>
      <c r="K94" s="649"/>
      <c r="L94" s="649"/>
      <c r="M94" s="649"/>
      <c r="N94" s="650"/>
      <c r="O94" s="653"/>
      <c r="P94" s="667">
        <f t="shared" si="27"/>
        <v>12</v>
      </c>
      <c r="Q94" s="668">
        <f t="shared" ca="1" si="28"/>
        <v>0</v>
      </c>
      <c r="R94" s="669">
        <f t="shared" ca="1" si="26"/>
        <v>0</v>
      </c>
      <c r="S94" s="669">
        <f t="shared" ca="1" si="29"/>
        <v>0</v>
      </c>
      <c r="T94" s="670">
        <f t="shared" ca="1" si="30"/>
        <v>0</v>
      </c>
      <c r="U94" s="671">
        <f t="shared" ca="1" si="31"/>
        <v>6.5604332890063261E-2</v>
      </c>
      <c r="V94" s="672">
        <f t="shared" ca="1" si="32"/>
        <v>3.280216644503163E-2</v>
      </c>
      <c r="W94" s="673">
        <f t="shared" ca="1" si="33"/>
        <v>0</v>
      </c>
      <c r="X94" s="674">
        <f t="shared" ca="1" si="34"/>
        <v>0</v>
      </c>
      <c r="Y94" s="675">
        <f t="shared" ca="1" si="35"/>
        <v>0</v>
      </c>
      <c r="Z94" s="675">
        <f t="shared" ca="1" si="36"/>
        <v>0</v>
      </c>
      <c r="AA94" s="676">
        <f t="shared" ca="1" si="37"/>
        <v>0</v>
      </c>
      <c r="AB94" s="670">
        <f t="shared" ca="1" si="38"/>
        <v>0</v>
      </c>
      <c r="AC94" s="677">
        <f t="shared" ca="1" si="39"/>
        <v>0</v>
      </c>
      <c r="AD94" s="679">
        <f t="shared" si="41"/>
        <v>0.2040557170212528</v>
      </c>
      <c r="AE94" s="678">
        <f t="shared" ca="1" si="40"/>
        <v>0</v>
      </c>
      <c r="AF94" s="651"/>
      <c r="AG94" s="654"/>
      <c r="AH94" s="654"/>
    </row>
    <row r="95" spans="2:34" ht="15.75" x14ac:dyDescent="0.25">
      <c r="B95" s="651"/>
      <c r="C95" s="651"/>
      <c r="D95" s="652" t="s">
        <v>504</v>
      </c>
      <c r="E95" s="653"/>
      <c r="F95" s="653"/>
      <c r="G95" s="653"/>
      <c r="H95" s="653"/>
      <c r="I95" s="653"/>
      <c r="J95" s="653"/>
      <c r="K95" s="653"/>
      <c r="L95" s="653"/>
      <c r="M95" s="653"/>
      <c r="N95" s="654"/>
      <c r="O95" s="653"/>
      <c r="P95" s="667">
        <f t="shared" si="27"/>
        <v>13</v>
      </c>
      <c r="Q95" s="668">
        <f t="shared" ca="1" si="28"/>
        <v>0</v>
      </c>
      <c r="R95" s="669">
        <f t="shared" ca="1" si="26"/>
        <v>0</v>
      </c>
      <c r="S95" s="669">
        <f t="shared" ca="1" si="29"/>
        <v>0</v>
      </c>
      <c r="T95" s="670">
        <f t="shared" ca="1" si="30"/>
        <v>0</v>
      </c>
      <c r="U95" s="671">
        <f t="shared" ca="1" si="31"/>
        <v>6.7244441212314834E-2</v>
      </c>
      <c r="V95" s="672">
        <f t="shared" ca="1" si="32"/>
        <v>3.3622220606157417E-2</v>
      </c>
      <c r="W95" s="673">
        <f t="shared" ca="1" si="33"/>
        <v>0</v>
      </c>
      <c r="X95" s="674">
        <f t="shared" ca="1" si="34"/>
        <v>0</v>
      </c>
      <c r="Y95" s="675">
        <f t="shared" ca="1" si="35"/>
        <v>0</v>
      </c>
      <c r="Z95" s="675">
        <f t="shared" ca="1" si="36"/>
        <v>0</v>
      </c>
      <c r="AA95" s="676">
        <f t="shared" ca="1" si="37"/>
        <v>0</v>
      </c>
      <c r="AB95" s="670">
        <f t="shared" ca="1" si="38"/>
        <v>0</v>
      </c>
      <c r="AC95" s="677">
        <f t="shared" ca="1" si="39"/>
        <v>0</v>
      </c>
      <c r="AD95" s="679">
        <f t="shared" si="41"/>
        <v>0.2091571099467841</v>
      </c>
      <c r="AE95" s="678">
        <f t="shared" ca="1" si="40"/>
        <v>0</v>
      </c>
      <c r="AF95" s="651"/>
      <c r="AG95" s="654"/>
      <c r="AH95" s="654"/>
    </row>
    <row r="96" spans="2:34" x14ac:dyDescent="0.25">
      <c r="B96" s="651"/>
      <c r="C96" s="651"/>
      <c r="D96" s="653" t="s">
        <v>505</v>
      </c>
      <c r="E96" s="653"/>
      <c r="F96" s="653"/>
      <c r="G96" s="653"/>
      <c r="H96" s="653"/>
      <c r="I96" s="653"/>
      <c r="J96" s="653"/>
      <c r="K96" s="653"/>
      <c r="L96" s="653"/>
      <c r="M96" s="653"/>
      <c r="N96" s="654"/>
      <c r="O96" s="653"/>
      <c r="P96" s="667">
        <f t="shared" si="27"/>
        <v>14</v>
      </c>
      <c r="Q96" s="668">
        <f t="shared" ca="1" si="28"/>
        <v>0</v>
      </c>
      <c r="R96" s="669">
        <f t="shared" ca="1" si="26"/>
        <v>0</v>
      </c>
      <c r="S96" s="669">
        <f t="shared" ca="1" si="29"/>
        <v>0</v>
      </c>
      <c r="T96" s="670">
        <f t="shared" ca="1" si="30"/>
        <v>0</v>
      </c>
      <c r="U96" s="671">
        <f t="shared" ca="1" si="31"/>
        <v>6.8925552242622701E-2</v>
      </c>
      <c r="V96" s="672">
        <f t="shared" ca="1" si="32"/>
        <v>3.446277612131135E-2</v>
      </c>
      <c r="W96" s="673">
        <f t="shared" ca="1" si="33"/>
        <v>0</v>
      </c>
      <c r="X96" s="674">
        <f t="shared" ca="1" si="34"/>
        <v>0</v>
      </c>
      <c r="Y96" s="675">
        <f t="shared" ca="1" si="35"/>
        <v>0</v>
      </c>
      <c r="Z96" s="675">
        <f t="shared" ca="1" si="36"/>
        <v>0</v>
      </c>
      <c r="AA96" s="676">
        <f t="shared" ca="1" si="37"/>
        <v>0</v>
      </c>
      <c r="AB96" s="670">
        <f t="shared" ca="1" si="38"/>
        <v>0</v>
      </c>
      <c r="AC96" s="677">
        <f t="shared" ca="1" si="39"/>
        <v>0</v>
      </c>
      <c r="AD96" s="679">
        <f t="shared" si="41"/>
        <v>0.2143860376954537</v>
      </c>
      <c r="AE96" s="678">
        <f t="shared" ca="1" si="40"/>
        <v>0</v>
      </c>
      <c r="AF96" s="651"/>
      <c r="AG96" s="654"/>
      <c r="AH96" s="654"/>
    </row>
    <row r="97" spans="2:34" x14ac:dyDescent="0.25">
      <c r="B97" s="651"/>
      <c r="C97" s="651"/>
      <c r="D97" s="653" t="s">
        <v>506</v>
      </c>
      <c r="E97" s="653"/>
      <c r="F97" s="653"/>
      <c r="G97" s="653"/>
      <c r="H97" s="653"/>
      <c r="I97" s="653"/>
      <c r="J97" s="653"/>
      <c r="K97" s="653"/>
      <c r="L97" s="653"/>
      <c r="M97" s="653"/>
      <c r="N97" s="654"/>
      <c r="O97" s="653"/>
      <c r="P97" s="667">
        <f t="shared" si="27"/>
        <v>15</v>
      </c>
      <c r="Q97" s="668">
        <f t="shared" ca="1" si="28"/>
        <v>0</v>
      </c>
      <c r="R97" s="669">
        <f t="shared" ca="1" si="26"/>
        <v>0</v>
      </c>
      <c r="S97" s="669">
        <f t="shared" ca="1" si="29"/>
        <v>0</v>
      </c>
      <c r="T97" s="670">
        <f t="shared" ca="1" si="30"/>
        <v>0</v>
      </c>
      <c r="U97" s="671">
        <f t="shared" ca="1" si="31"/>
        <v>7.0648691048688261E-2</v>
      </c>
      <c r="V97" s="672">
        <f t="shared" ca="1" si="32"/>
        <v>3.5324345524344131E-2</v>
      </c>
      <c r="W97" s="673">
        <f t="shared" ca="1" si="33"/>
        <v>0</v>
      </c>
      <c r="X97" s="674">
        <f t="shared" ca="1" si="34"/>
        <v>0</v>
      </c>
      <c r="Y97" s="675">
        <f t="shared" ca="1" si="35"/>
        <v>0</v>
      </c>
      <c r="Z97" s="675">
        <f t="shared" ca="1" si="36"/>
        <v>0</v>
      </c>
      <c r="AA97" s="676">
        <f t="shared" ca="1" si="37"/>
        <v>0</v>
      </c>
      <c r="AB97" s="670">
        <f t="shared" ca="1" si="38"/>
        <v>0</v>
      </c>
      <c r="AC97" s="677">
        <f t="shared" ca="1" si="39"/>
        <v>0</v>
      </c>
      <c r="AD97" s="679">
        <f t="shared" si="41"/>
        <v>0.21974568863784003</v>
      </c>
      <c r="AE97" s="678">
        <f t="shared" ca="1" si="40"/>
        <v>0</v>
      </c>
      <c r="AF97" s="651"/>
      <c r="AG97" s="654"/>
      <c r="AH97" s="654"/>
    </row>
    <row r="98" spans="2:34" x14ac:dyDescent="0.25">
      <c r="B98" s="651"/>
      <c r="C98" s="651"/>
      <c r="D98" s="653" t="s">
        <v>507</v>
      </c>
      <c r="E98" s="653"/>
      <c r="F98" s="653"/>
      <c r="G98" s="653"/>
      <c r="H98" s="653"/>
      <c r="I98" s="653"/>
      <c r="J98" s="653"/>
      <c r="K98" s="653"/>
      <c r="L98" s="653"/>
      <c r="M98" s="653"/>
      <c r="N98" s="654"/>
      <c r="O98" s="653"/>
      <c r="P98" s="667">
        <f t="shared" si="27"/>
        <v>16</v>
      </c>
      <c r="Q98" s="668">
        <f t="shared" ca="1" si="28"/>
        <v>0</v>
      </c>
      <c r="R98" s="669">
        <f t="shared" ca="1" si="26"/>
        <v>0</v>
      </c>
      <c r="S98" s="669">
        <f t="shared" ca="1" si="29"/>
        <v>0</v>
      </c>
      <c r="T98" s="670">
        <f t="shared" ca="1" si="30"/>
        <v>0</v>
      </c>
      <c r="U98" s="671">
        <f t="shared" ca="1" si="31"/>
        <v>7.2414908324905464E-2</v>
      </c>
      <c r="V98" s="672">
        <f t="shared" ca="1" si="32"/>
        <v>3.6207454162452732E-2</v>
      </c>
      <c r="W98" s="673">
        <f t="shared" ca="1" si="33"/>
        <v>0</v>
      </c>
      <c r="X98" s="674">
        <f t="shared" ca="1" si="34"/>
        <v>0</v>
      </c>
      <c r="Y98" s="675">
        <f t="shared" ca="1" si="35"/>
        <v>0</v>
      </c>
      <c r="Z98" s="675">
        <f t="shared" ca="1" si="36"/>
        <v>0</v>
      </c>
      <c r="AA98" s="676">
        <f t="shared" ca="1" si="37"/>
        <v>0</v>
      </c>
      <c r="AB98" s="670">
        <f t="shared" ca="1" si="38"/>
        <v>0</v>
      </c>
      <c r="AC98" s="677">
        <f t="shared" ca="1" si="39"/>
        <v>0</v>
      </c>
      <c r="AD98" s="679">
        <f t="shared" si="41"/>
        <v>0.225239330853786</v>
      </c>
      <c r="AE98" s="678">
        <f t="shared" ca="1" si="40"/>
        <v>0</v>
      </c>
      <c r="AF98" s="651"/>
      <c r="AG98" s="654"/>
      <c r="AH98" s="654"/>
    </row>
    <row r="99" spans="2:34" x14ac:dyDescent="0.25">
      <c r="B99" s="651"/>
      <c r="C99" s="651"/>
      <c r="D99" s="653"/>
      <c r="E99" s="653"/>
      <c r="F99" s="653"/>
      <c r="G99" s="653"/>
      <c r="H99" s="653"/>
      <c r="I99" s="653"/>
      <c r="J99" s="653"/>
      <c r="K99" s="653"/>
      <c r="L99" s="653"/>
      <c r="M99" s="653"/>
      <c r="N99" s="654"/>
      <c r="O99" s="653"/>
      <c r="P99" s="667">
        <f t="shared" si="27"/>
        <v>17</v>
      </c>
      <c r="Q99" s="668">
        <f t="shared" ca="1" si="28"/>
        <v>0</v>
      </c>
      <c r="R99" s="669">
        <f t="shared" ca="1" si="26"/>
        <v>0</v>
      </c>
      <c r="S99" s="669">
        <f t="shared" ca="1" si="29"/>
        <v>0</v>
      </c>
      <c r="T99" s="670">
        <f t="shared" ca="1" si="30"/>
        <v>0</v>
      </c>
      <c r="U99" s="671">
        <f t="shared" ca="1" si="31"/>
        <v>7.4225281033028098E-2</v>
      </c>
      <c r="V99" s="672">
        <f t="shared" ca="1" si="32"/>
        <v>3.7112640516514049E-2</v>
      </c>
      <c r="W99" s="673">
        <f t="shared" ca="1" si="33"/>
        <v>0</v>
      </c>
      <c r="X99" s="674">
        <f t="shared" ca="1" si="34"/>
        <v>0</v>
      </c>
      <c r="Y99" s="675">
        <f t="shared" ca="1" si="35"/>
        <v>0</v>
      </c>
      <c r="Z99" s="675">
        <f t="shared" ca="1" si="36"/>
        <v>0</v>
      </c>
      <c r="AA99" s="676">
        <f t="shared" ca="1" si="37"/>
        <v>0</v>
      </c>
      <c r="AB99" s="670">
        <f t="shared" ca="1" si="38"/>
        <v>0</v>
      </c>
      <c r="AC99" s="677">
        <f t="shared" ca="1" si="39"/>
        <v>0</v>
      </c>
      <c r="AD99" s="679">
        <f t="shared" si="41"/>
        <v>0.23087031412513062</v>
      </c>
      <c r="AE99" s="678">
        <f t="shared" ca="1" si="40"/>
        <v>0</v>
      </c>
      <c r="AF99" s="651"/>
      <c r="AG99" s="654"/>
      <c r="AH99" s="654"/>
    </row>
    <row r="100" spans="2:34" ht="15.75" thickBot="1" x14ac:dyDescent="0.3">
      <c r="B100" s="651"/>
      <c r="C100" s="680"/>
      <c r="D100" s="681"/>
      <c r="E100" s="681"/>
      <c r="F100" s="681"/>
      <c r="G100" s="681"/>
      <c r="H100" s="681"/>
      <c r="I100" s="681"/>
      <c r="J100" s="681"/>
      <c r="K100" s="681"/>
      <c r="L100" s="681"/>
      <c r="M100" s="681"/>
      <c r="N100" s="666"/>
      <c r="O100" s="653"/>
      <c r="P100" s="667">
        <f t="shared" si="27"/>
        <v>18</v>
      </c>
      <c r="Q100" s="668">
        <f t="shared" ca="1" si="28"/>
        <v>0</v>
      </c>
      <c r="R100" s="669">
        <f t="shared" ca="1" si="26"/>
        <v>0</v>
      </c>
      <c r="S100" s="669">
        <f t="shared" ca="1" si="29"/>
        <v>0</v>
      </c>
      <c r="T100" s="670">
        <f t="shared" ca="1" si="30"/>
        <v>0</v>
      </c>
      <c r="U100" s="671">
        <f t="shared" ca="1" si="31"/>
        <v>7.6080913058853797E-2</v>
      </c>
      <c r="V100" s="672">
        <f t="shared" ca="1" si="32"/>
        <v>3.8040456529426898E-2</v>
      </c>
      <c r="W100" s="673">
        <f t="shared" ca="1" si="33"/>
        <v>0</v>
      </c>
      <c r="X100" s="674">
        <f t="shared" ca="1" si="34"/>
        <v>0</v>
      </c>
      <c r="Y100" s="675">
        <f t="shared" ca="1" si="35"/>
        <v>0</v>
      </c>
      <c r="Z100" s="675">
        <f t="shared" ca="1" si="36"/>
        <v>0</v>
      </c>
      <c r="AA100" s="676">
        <f t="shared" ca="1" si="37"/>
        <v>0</v>
      </c>
      <c r="AB100" s="670">
        <f t="shared" ca="1" si="38"/>
        <v>0</v>
      </c>
      <c r="AC100" s="677">
        <f t="shared" ca="1" si="39"/>
        <v>0</v>
      </c>
      <c r="AD100" s="679">
        <f t="shared" si="41"/>
        <v>0.23664207197825887</v>
      </c>
      <c r="AE100" s="678">
        <f t="shared" ca="1" si="40"/>
        <v>0</v>
      </c>
      <c r="AF100" s="651"/>
      <c r="AG100" s="654"/>
      <c r="AH100" s="654"/>
    </row>
    <row r="101" spans="2:34" ht="15.75" thickBot="1" x14ac:dyDescent="0.3">
      <c r="B101" s="651"/>
      <c r="C101" s="653"/>
      <c r="D101" s="653"/>
      <c r="E101" s="653"/>
      <c r="F101" s="653"/>
      <c r="G101" s="653"/>
      <c r="H101" s="653"/>
      <c r="I101" s="653"/>
      <c r="J101" s="653"/>
      <c r="K101" s="653"/>
      <c r="L101" s="653"/>
      <c r="M101" s="653"/>
      <c r="N101" s="653"/>
      <c r="O101" s="653"/>
      <c r="P101" s="667">
        <f t="shared" si="27"/>
        <v>19</v>
      </c>
      <c r="Q101" s="668">
        <f t="shared" ca="1" si="28"/>
        <v>0</v>
      </c>
      <c r="R101" s="669">
        <f t="shared" ca="1" si="26"/>
        <v>0</v>
      </c>
      <c r="S101" s="669">
        <f t="shared" ca="1" si="29"/>
        <v>0</v>
      </c>
      <c r="T101" s="670">
        <f t="shared" ca="1" si="30"/>
        <v>0</v>
      </c>
      <c r="U101" s="671">
        <f t="shared" ca="1" si="31"/>
        <v>7.7982935885325136E-2</v>
      </c>
      <c r="V101" s="672">
        <f t="shared" ca="1" si="32"/>
        <v>3.8991467942662568E-2</v>
      </c>
      <c r="W101" s="673">
        <f t="shared" ca="1" si="33"/>
        <v>0</v>
      </c>
      <c r="X101" s="674">
        <f t="shared" ca="1" si="34"/>
        <v>0</v>
      </c>
      <c r="Y101" s="675">
        <f t="shared" ca="1" si="35"/>
        <v>0</v>
      </c>
      <c r="Z101" s="675">
        <f t="shared" ca="1" si="36"/>
        <v>0</v>
      </c>
      <c r="AA101" s="676">
        <f t="shared" ca="1" si="37"/>
        <v>0</v>
      </c>
      <c r="AB101" s="670">
        <f t="shared" ca="1" si="38"/>
        <v>0</v>
      </c>
      <c r="AC101" s="677">
        <f t="shared" ca="1" si="39"/>
        <v>0</v>
      </c>
      <c r="AD101" s="679">
        <f t="shared" si="41"/>
        <v>0.24255812377771532</v>
      </c>
      <c r="AE101" s="678">
        <f t="shared" ca="1" si="40"/>
        <v>0</v>
      </c>
      <c r="AF101" s="651"/>
      <c r="AG101" s="654"/>
      <c r="AH101" s="654"/>
    </row>
    <row r="102" spans="2:34" x14ac:dyDescent="0.25">
      <c r="B102" s="651"/>
      <c r="C102" s="648"/>
      <c r="D102" s="649"/>
      <c r="E102" s="649"/>
      <c r="F102" s="649"/>
      <c r="G102" s="649"/>
      <c r="H102" s="649"/>
      <c r="I102" s="649"/>
      <c r="J102" s="649"/>
      <c r="K102" s="649"/>
      <c r="L102" s="649"/>
      <c r="M102" s="649"/>
      <c r="N102" s="650"/>
      <c r="O102" s="653"/>
      <c r="P102" s="667">
        <f t="shared" si="27"/>
        <v>20</v>
      </c>
      <c r="Q102" s="668">
        <f t="shared" ca="1" si="28"/>
        <v>0</v>
      </c>
      <c r="R102" s="669">
        <f t="shared" ca="1" si="26"/>
        <v>0</v>
      </c>
      <c r="S102" s="669">
        <f t="shared" ca="1" si="29"/>
        <v>0</v>
      </c>
      <c r="T102" s="670">
        <f t="shared" ca="1" si="30"/>
        <v>0</v>
      </c>
      <c r="U102" s="671">
        <f t="shared" ca="1" si="31"/>
        <v>7.9932509282458264E-2</v>
      </c>
      <c r="V102" s="672">
        <f t="shared" ca="1" si="32"/>
        <v>3.9966254641229132E-2</v>
      </c>
      <c r="W102" s="673">
        <f t="shared" ca="1" si="33"/>
        <v>0</v>
      </c>
      <c r="X102" s="674">
        <f t="shared" ca="1" si="34"/>
        <v>0</v>
      </c>
      <c r="Y102" s="675">
        <f t="shared" ca="1" si="35"/>
        <v>0</v>
      </c>
      <c r="Z102" s="675">
        <f t="shared" ca="1" si="36"/>
        <v>0</v>
      </c>
      <c r="AA102" s="676">
        <f t="shared" ca="1" si="37"/>
        <v>0</v>
      </c>
      <c r="AB102" s="670">
        <f t="shared" ca="1" si="38"/>
        <v>0</v>
      </c>
      <c r="AC102" s="677">
        <f t="shared" ca="1" si="39"/>
        <v>0</v>
      </c>
      <c r="AD102" s="679">
        <f t="shared" si="41"/>
        <v>0.24862207687215818</v>
      </c>
      <c r="AE102" s="678">
        <f t="shared" ca="1" si="40"/>
        <v>0</v>
      </c>
      <c r="AF102" s="651"/>
      <c r="AG102" s="654"/>
      <c r="AH102" s="654"/>
    </row>
    <row r="103" spans="2:34" ht="15.75" x14ac:dyDescent="0.25">
      <c r="B103" s="651"/>
      <c r="C103" s="651"/>
      <c r="D103" s="652" t="s">
        <v>508</v>
      </c>
      <c r="E103" s="653"/>
      <c r="F103" s="653"/>
      <c r="G103" s="653"/>
      <c r="H103" s="653"/>
      <c r="I103" s="653"/>
      <c r="J103" s="653"/>
      <c r="K103" s="653"/>
      <c r="L103" s="653"/>
      <c r="M103" s="653"/>
      <c r="N103" s="654"/>
      <c r="O103" s="653"/>
      <c r="P103" s="667">
        <f t="shared" si="27"/>
        <v>21</v>
      </c>
      <c r="Q103" s="668">
        <f t="shared" ca="1" si="28"/>
        <v>0</v>
      </c>
      <c r="R103" s="669">
        <f t="shared" ca="1" si="26"/>
        <v>0</v>
      </c>
      <c r="S103" s="669">
        <f t="shared" ca="1" si="29"/>
        <v>0</v>
      </c>
      <c r="T103" s="670">
        <f t="shared" ca="1" si="30"/>
        <v>0</v>
      </c>
      <c r="U103" s="671">
        <f t="shared" ca="1" si="31"/>
        <v>8.1930822014519719E-2</v>
      </c>
      <c r="V103" s="672">
        <f t="shared" ca="1" si="32"/>
        <v>4.096541100725986E-2</v>
      </c>
      <c r="W103" s="673">
        <f t="shared" ca="1" si="33"/>
        <v>0</v>
      </c>
      <c r="X103" s="674">
        <f t="shared" ca="1" si="34"/>
        <v>0</v>
      </c>
      <c r="Y103" s="675">
        <f t="shared" ca="1" si="35"/>
        <v>0</v>
      </c>
      <c r="Z103" s="675">
        <f t="shared" ca="1" si="36"/>
        <v>0</v>
      </c>
      <c r="AA103" s="676">
        <f t="shared" ca="1" si="37"/>
        <v>0</v>
      </c>
      <c r="AB103" s="670">
        <f t="shared" ca="1" si="38"/>
        <v>0</v>
      </c>
      <c r="AC103" s="677">
        <f t="shared" ca="1" si="39"/>
        <v>0</v>
      </c>
      <c r="AD103" s="679">
        <f t="shared" si="41"/>
        <v>0.2548376287939621</v>
      </c>
      <c r="AE103" s="678">
        <f t="shared" ca="1" si="40"/>
        <v>0</v>
      </c>
      <c r="AF103" s="651"/>
      <c r="AG103" s="654"/>
      <c r="AH103" s="654"/>
    </row>
    <row r="104" spans="2:34" x14ac:dyDescent="0.25">
      <c r="B104" s="651"/>
      <c r="C104" s="651"/>
      <c r="D104" s="653" t="s">
        <v>509</v>
      </c>
      <c r="E104" s="653"/>
      <c r="F104" s="653"/>
      <c r="G104" s="653"/>
      <c r="H104" s="653"/>
      <c r="I104" s="653"/>
      <c r="J104" s="653"/>
      <c r="K104" s="653"/>
      <c r="L104" s="653"/>
      <c r="M104" s="653"/>
      <c r="N104" s="654"/>
      <c r="O104" s="653"/>
      <c r="P104" s="667">
        <f t="shared" si="27"/>
        <v>22</v>
      </c>
      <c r="Q104" s="668">
        <f t="shared" ca="1" si="28"/>
        <v>0</v>
      </c>
      <c r="R104" s="669">
        <f t="shared" ca="1" si="26"/>
        <v>0</v>
      </c>
      <c r="S104" s="669">
        <f t="shared" ca="1" si="29"/>
        <v>0</v>
      </c>
      <c r="T104" s="670">
        <f t="shared" ca="1" si="30"/>
        <v>0</v>
      </c>
      <c r="U104" s="671">
        <f t="shared" ca="1" si="31"/>
        <v>8.3979092564882701E-2</v>
      </c>
      <c r="V104" s="672">
        <f t="shared" ca="1" si="32"/>
        <v>4.1989546282441351E-2</v>
      </c>
      <c r="W104" s="673">
        <f t="shared" ca="1" si="33"/>
        <v>0</v>
      </c>
      <c r="X104" s="674">
        <f t="shared" ca="1" si="34"/>
        <v>0</v>
      </c>
      <c r="Y104" s="675">
        <f t="shared" ca="1" si="35"/>
        <v>0</v>
      </c>
      <c r="Z104" s="675">
        <f t="shared" ca="1" si="36"/>
        <v>0</v>
      </c>
      <c r="AA104" s="676">
        <f t="shared" ca="1" si="37"/>
        <v>0</v>
      </c>
      <c r="AB104" s="670">
        <f t="shared" ca="1" si="38"/>
        <v>0</v>
      </c>
      <c r="AC104" s="677">
        <f t="shared" ca="1" si="39"/>
        <v>0</v>
      </c>
      <c r="AD104" s="679">
        <f t="shared" si="41"/>
        <v>0.26120856951381111</v>
      </c>
      <c r="AE104" s="678">
        <f t="shared" ca="1" si="40"/>
        <v>0</v>
      </c>
      <c r="AF104" s="651"/>
      <c r="AG104" s="654"/>
      <c r="AH104" s="654"/>
    </row>
    <row r="105" spans="2:34" x14ac:dyDescent="0.25">
      <c r="B105" s="651"/>
      <c r="C105" s="651"/>
      <c r="D105" s="653" t="s">
        <v>510</v>
      </c>
      <c r="E105" s="653"/>
      <c r="F105" s="653"/>
      <c r="G105" s="653"/>
      <c r="H105" s="653"/>
      <c r="I105" s="653"/>
      <c r="J105" s="653"/>
      <c r="K105" s="653"/>
      <c r="L105" s="653"/>
      <c r="M105" s="653"/>
      <c r="N105" s="654"/>
      <c r="O105" s="653"/>
      <c r="P105" s="667">
        <f t="shared" si="27"/>
        <v>23</v>
      </c>
      <c r="Q105" s="668">
        <f t="shared" ca="1" si="28"/>
        <v>0</v>
      </c>
      <c r="R105" s="669">
        <f t="shared" ca="1" si="26"/>
        <v>0</v>
      </c>
      <c r="S105" s="669">
        <f t="shared" ca="1" si="29"/>
        <v>0</v>
      </c>
      <c r="T105" s="670">
        <f t="shared" ca="1" si="30"/>
        <v>0</v>
      </c>
      <c r="U105" s="671">
        <f t="shared" ca="1" si="31"/>
        <v>8.6078569879004765E-2</v>
      </c>
      <c r="V105" s="672">
        <f t="shared" ca="1" si="32"/>
        <v>4.3039284939502383E-2</v>
      </c>
      <c r="W105" s="673">
        <f t="shared" ca="1" si="33"/>
        <v>0</v>
      </c>
      <c r="X105" s="674">
        <f t="shared" ca="1" si="34"/>
        <v>0</v>
      </c>
      <c r="Y105" s="675">
        <f t="shared" ca="1" si="35"/>
        <v>0</v>
      </c>
      <c r="Z105" s="675">
        <f t="shared" ca="1" si="36"/>
        <v>0</v>
      </c>
      <c r="AA105" s="676">
        <f t="shared" ca="1" si="37"/>
        <v>0</v>
      </c>
      <c r="AB105" s="670">
        <f t="shared" ca="1" si="38"/>
        <v>0</v>
      </c>
      <c r="AC105" s="677">
        <f t="shared" ca="1" si="39"/>
        <v>0</v>
      </c>
      <c r="AD105" s="679">
        <f t="shared" si="41"/>
        <v>0.26773878375165638</v>
      </c>
      <c r="AE105" s="678">
        <f t="shared" ca="1" si="40"/>
        <v>0</v>
      </c>
      <c r="AF105" s="651"/>
      <c r="AG105" s="654"/>
      <c r="AH105" s="654"/>
    </row>
    <row r="106" spans="2:34" x14ac:dyDescent="0.25">
      <c r="B106" s="651"/>
      <c r="C106" s="651"/>
      <c r="D106" s="653" t="s">
        <v>511</v>
      </c>
      <c r="E106" s="653"/>
      <c r="F106" s="653"/>
      <c r="G106" s="653"/>
      <c r="H106" s="653"/>
      <c r="I106" s="653"/>
      <c r="J106" s="653"/>
      <c r="K106" s="653"/>
      <c r="L106" s="653"/>
      <c r="M106" s="653"/>
      <c r="N106" s="654"/>
      <c r="O106" s="653"/>
      <c r="P106" s="667">
        <f t="shared" si="27"/>
        <v>24</v>
      </c>
      <c r="Q106" s="668">
        <f t="shared" ca="1" si="28"/>
        <v>0</v>
      </c>
      <c r="R106" s="669">
        <f t="shared" ca="1" si="26"/>
        <v>0</v>
      </c>
      <c r="S106" s="669">
        <f t="shared" ca="1" si="29"/>
        <v>0</v>
      </c>
      <c r="T106" s="670">
        <f t="shared" ca="1" si="30"/>
        <v>0</v>
      </c>
      <c r="U106" s="671">
        <f t="shared" ca="1" si="31"/>
        <v>8.8230534125979879E-2</v>
      </c>
      <c r="V106" s="672">
        <f t="shared" ca="1" si="32"/>
        <v>4.4115267062989939E-2</v>
      </c>
      <c r="W106" s="673">
        <f t="shared" ca="1" si="33"/>
        <v>0</v>
      </c>
      <c r="X106" s="674">
        <f t="shared" ca="1" si="34"/>
        <v>0</v>
      </c>
      <c r="Y106" s="675">
        <f t="shared" ca="1" si="35"/>
        <v>0</v>
      </c>
      <c r="Z106" s="675">
        <f t="shared" ca="1" si="36"/>
        <v>0</v>
      </c>
      <c r="AA106" s="676">
        <f t="shared" ca="1" si="37"/>
        <v>0</v>
      </c>
      <c r="AB106" s="670">
        <f t="shared" ca="1" si="38"/>
        <v>0</v>
      </c>
      <c r="AC106" s="677">
        <f t="shared" ca="1" si="39"/>
        <v>0</v>
      </c>
      <c r="AD106" s="679">
        <f t="shared" si="41"/>
        <v>0.2744322533454478</v>
      </c>
      <c r="AE106" s="678">
        <f t="shared" ca="1" si="40"/>
        <v>0</v>
      </c>
      <c r="AF106" s="651"/>
      <c r="AG106" s="654"/>
      <c r="AH106" s="654"/>
    </row>
    <row r="107" spans="2:34" x14ac:dyDescent="0.25">
      <c r="B107" s="651"/>
      <c r="C107" s="651"/>
      <c r="D107" s="653" t="s">
        <v>512</v>
      </c>
      <c r="E107" s="653"/>
      <c r="F107" s="653"/>
      <c r="G107" s="653"/>
      <c r="H107" s="653"/>
      <c r="I107" s="653"/>
      <c r="J107" s="653"/>
      <c r="K107" s="653"/>
      <c r="L107" s="653"/>
      <c r="M107" s="653"/>
      <c r="N107" s="654"/>
      <c r="O107" s="653"/>
      <c r="P107" s="667">
        <f t="shared" si="27"/>
        <v>25</v>
      </c>
      <c r="Q107" s="668">
        <f t="shared" ca="1" si="28"/>
        <v>0</v>
      </c>
      <c r="R107" s="669">
        <f t="shared" ca="1" si="26"/>
        <v>0</v>
      </c>
      <c r="S107" s="669">
        <f t="shared" ca="1" si="29"/>
        <v>0</v>
      </c>
      <c r="T107" s="670">
        <f t="shared" ca="1" si="30"/>
        <v>0</v>
      </c>
      <c r="U107" s="671">
        <f t="shared" ca="1" si="31"/>
        <v>9.0436297479129374E-2</v>
      </c>
      <c r="V107" s="672">
        <f t="shared" ca="1" si="32"/>
        <v>4.5218148739564687E-2</v>
      </c>
      <c r="W107" s="673">
        <f t="shared" ca="1" si="33"/>
        <v>0</v>
      </c>
      <c r="X107" s="674">
        <f t="shared" ca="1" si="34"/>
        <v>0</v>
      </c>
      <c r="Y107" s="675">
        <f t="shared" ca="1" si="35"/>
        <v>0</v>
      </c>
      <c r="Z107" s="675">
        <f t="shared" ca="1" si="36"/>
        <v>0</v>
      </c>
      <c r="AA107" s="676">
        <f t="shared" ca="1" si="37"/>
        <v>0</v>
      </c>
      <c r="AB107" s="670">
        <f t="shared" ca="1" si="38"/>
        <v>0</v>
      </c>
      <c r="AC107" s="677">
        <f t="shared" ca="1" si="39"/>
        <v>0</v>
      </c>
      <c r="AD107" s="679">
        <f t="shared" si="41"/>
        <v>0.28129305967908397</v>
      </c>
      <c r="AE107" s="678">
        <f t="shared" ca="1" si="40"/>
        <v>0</v>
      </c>
      <c r="AF107" s="651"/>
      <c r="AG107" s="654"/>
      <c r="AH107" s="654"/>
    </row>
    <row r="108" spans="2:34" ht="15.75" thickBot="1" x14ac:dyDescent="0.3">
      <c r="B108" s="651"/>
      <c r="C108" s="680"/>
      <c r="D108" s="681" t="s">
        <v>513</v>
      </c>
      <c r="E108" s="681"/>
      <c r="F108" s="681"/>
      <c r="G108" s="681"/>
      <c r="H108" s="681"/>
      <c r="I108" s="681"/>
      <c r="J108" s="681"/>
      <c r="K108" s="681"/>
      <c r="L108" s="681"/>
      <c r="M108" s="681"/>
      <c r="N108" s="666"/>
      <c r="O108" s="653"/>
      <c r="P108" s="667">
        <f t="shared" si="27"/>
        <v>26</v>
      </c>
      <c r="Q108" s="668">
        <f t="shared" ca="1" si="28"/>
        <v>0</v>
      </c>
      <c r="R108" s="669">
        <f t="shared" ca="1" si="26"/>
        <v>0</v>
      </c>
      <c r="S108" s="669">
        <f t="shared" ca="1" si="29"/>
        <v>0</v>
      </c>
      <c r="T108" s="670">
        <f t="shared" ca="1" si="30"/>
        <v>0</v>
      </c>
      <c r="U108" s="671">
        <f t="shared" ca="1" si="31"/>
        <v>9.2697204916107598E-2</v>
      </c>
      <c r="V108" s="672">
        <f t="shared" ca="1" si="32"/>
        <v>4.6348602458053799E-2</v>
      </c>
      <c r="W108" s="673">
        <f t="shared" ca="1" si="33"/>
        <v>0</v>
      </c>
      <c r="X108" s="674">
        <f t="shared" ca="1" si="34"/>
        <v>0</v>
      </c>
      <c r="Y108" s="675">
        <f t="shared" ca="1" si="35"/>
        <v>0</v>
      </c>
      <c r="Z108" s="675">
        <f t="shared" ca="1" si="36"/>
        <v>0</v>
      </c>
      <c r="AA108" s="676">
        <f t="shared" ca="1" si="37"/>
        <v>0</v>
      </c>
      <c r="AB108" s="670">
        <f t="shared" ca="1" si="38"/>
        <v>0</v>
      </c>
      <c r="AC108" s="677">
        <f t="shared" ca="1" si="39"/>
        <v>0</v>
      </c>
      <c r="AD108" s="679">
        <f t="shared" si="41"/>
        <v>0.28832538617106102</v>
      </c>
      <c r="AE108" s="678">
        <f t="shared" ca="1" si="40"/>
        <v>0</v>
      </c>
      <c r="AF108" s="651"/>
      <c r="AG108" s="654"/>
      <c r="AH108" s="654"/>
    </row>
    <row r="109" spans="2:34" x14ac:dyDescent="0.25">
      <c r="B109" s="651"/>
      <c r="C109" s="653"/>
      <c r="D109" s="653"/>
      <c r="E109" s="653"/>
      <c r="F109" s="653"/>
      <c r="G109" s="653"/>
      <c r="H109" s="653"/>
      <c r="I109" s="653"/>
      <c r="J109" s="653"/>
      <c r="K109" s="653"/>
      <c r="L109" s="653"/>
      <c r="M109" s="653"/>
      <c r="N109" s="653"/>
      <c r="O109" s="653"/>
      <c r="P109" s="667">
        <f t="shared" si="27"/>
        <v>27</v>
      </c>
      <c r="Q109" s="668">
        <f t="shared" ca="1" si="28"/>
        <v>0</v>
      </c>
      <c r="R109" s="669">
        <f t="shared" ca="1" si="26"/>
        <v>0</v>
      </c>
      <c r="S109" s="669">
        <f t="shared" ca="1" si="29"/>
        <v>0</v>
      </c>
      <c r="T109" s="670">
        <f t="shared" ca="1" si="30"/>
        <v>0</v>
      </c>
      <c r="U109" s="671">
        <f t="shared" ca="1" si="31"/>
        <v>9.5014635039010281E-2</v>
      </c>
      <c r="V109" s="672">
        <f t="shared" ca="1" si="32"/>
        <v>4.7507317519505141E-2</v>
      </c>
      <c r="W109" s="673">
        <f t="shared" ca="1" si="33"/>
        <v>0</v>
      </c>
      <c r="X109" s="674">
        <f t="shared" ca="1" si="34"/>
        <v>0</v>
      </c>
      <c r="Y109" s="675">
        <f t="shared" ca="1" si="35"/>
        <v>0</v>
      </c>
      <c r="Z109" s="675">
        <f t="shared" ca="1" si="36"/>
        <v>0</v>
      </c>
      <c r="AA109" s="676">
        <f t="shared" ca="1" si="37"/>
        <v>0</v>
      </c>
      <c r="AB109" s="670">
        <f t="shared" ca="1" si="38"/>
        <v>0</v>
      </c>
      <c r="AC109" s="677">
        <f t="shared" ca="1" si="39"/>
        <v>0</v>
      </c>
      <c r="AD109" s="679">
        <f t="shared" si="41"/>
        <v>0.29553352082533751</v>
      </c>
      <c r="AE109" s="678">
        <f t="shared" ca="1" si="40"/>
        <v>0</v>
      </c>
      <c r="AF109" s="651"/>
      <c r="AG109" s="654"/>
      <c r="AH109" s="654"/>
    </row>
    <row r="110" spans="2:34" x14ac:dyDescent="0.25">
      <c r="B110" s="651"/>
      <c r="C110" s="653"/>
      <c r="D110" s="653"/>
      <c r="E110" s="653"/>
      <c r="F110" s="653"/>
      <c r="G110" s="653"/>
      <c r="H110" s="653"/>
      <c r="I110" s="653"/>
      <c r="J110" s="653"/>
      <c r="K110" s="653"/>
      <c r="L110" s="653"/>
      <c r="M110" s="653"/>
      <c r="N110" s="653"/>
      <c r="O110" s="653"/>
      <c r="P110" s="667">
        <f t="shared" si="27"/>
        <v>28</v>
      </c>
      <c r="Q110" s="668">
        <f t="shared" ca="1" si="28"/>
        <v>0</v>
      </c>
      <c r="R110" s="669">
        <f t="shared" ca="1" si="26"/>
        <v>0</v>
      </c>
      <c r="S110" s="669">
        <f t="shared" ca="1" si="29"/>
        <v>0</v>
      </c>
      <c r="T110" s="670">
        <f t="shared" ca="1" si="30"/>
        <v>0</v>
      </c>
      <c r="U110" s="671">
        <f t="shared" ca="1" si="31"/>
        <v>9.7390000914985536E-2</v>
      </c>
      <c r="V110" s="672">
        <f t="shared" ca="1" si="32"/>
        <v>4.8695000457492768E-2</v>
      </c>
      <c r="W110" s="673">
        <f t="shared" ca="1" si="33"/>
        <v>0</v>
      </c>
      <c r="X110" s="674">
        <f t="shared" ca="1" si="34"/>
        <v>0</v>
      </c>
      <c r="Y110" s="675">
        <f t="shared" ca="1" si="35"/>
        <v>0</v>
      </c>
      <c r="Z110" s="675">
        <f t="shared" ca="1" si="36"/>
        <v>0</v>
      </c>
      <c r="AA110" s="676">
        <f t="shared" ca="1" si="37"/>
        <v>0</v>
      </c>
      <c r="AB110" s="670">
        <f t="shared" ca="1" si="38"/>
        <v>0</v>
      </c>
      <c r="AC110" s="677">
        <f t="shared" ca="1" si="39"/>
        <v>0</v>
      </c>
      <c r="AD110" s="679">
        <f t="shared" si="41"/>
        <v>0.30292185884597095</v>
      </c>
      <c r="AE110" s="678">
        <f t="shared" ca="1" si="40"/>
        <v>0</v>
      </c>
      <c r="AF110" s="651"/>
      <c r="AG110" s="654"/>
      <c r="AH110" s="654"/>
    </row>
    <row r="111" spans="2:34" x14ac:dyDescent="0.25">
      <c r="B111" s="651"/>
      <c r="C111" s="653"/>
      <c r="D111" s="653"/>
      <c r="E111" s="653"/>
      <c r="F111" s="653"/>
      <c r="G111" s="653"/>
      <c r="H111" s="653"/>
      <c r="I111" s="653"/>
      <c r="J111" s="653"/>
      <c r="K111" s="653"/>
      <c r="L111" s="653"/>
      <c r="M111" s="653"/>
      <c r="N111" s="653"/>
      <c r="O111" s="653"/>
      <c r="P111" s="667">
        <f t="shared" si="27"/>
        <v>29</v>
      </c>
      <c r="Q111" s="668">
        <f t="shared" ca="1" si="28"/>
        <v>0</v>
      </c>
      <c r="R111" s="669">
        <f t="shared" ca="1" si="26"/>
        <v>0</v>
      </c>
      <c r="S111" s="669">
        <f t="shared" ca="1" si="29"/>
        <v>0</v>
      </c>
      <c r="T111" s="670">
        <f t="shared" ca="1" si="30"/>
        <v>0</v>
      </c>
      <c r="U111" s="671">
        <f t="shared" ca="1" si="31"/>
        <v>9.9824750937860168E-2</v>
      </c>
      <c r="V111" s="672">
        <f t="shared" ca="1" si="32"/>
        <v>4.9912375468930084E-2</v>
      </c>
      <c r="W111" s="673">
        <f t="shared" ca="1" si="33"/>
        <v>0</v>
      </c>
      <c r="X111" s="674">
        <f t="shared" ca="1" si="34"/>
        <v>0</v>
      </c>
      <c r="Y111" s="675">
        <f t="shared" ca="1" si="35"/>
        <v>0</v>
      </c>
      <c r="Z111" s="675">
        <f t="shared" ca="1" si="36"/>
        <v>0</v>
      </c>
      <c r="AA111" s="676">
        <f t="shared" ca="1" si="37"/>
        <v>0</v>
      </c>
      <c r="AB111" s="670">
        <f t="shared" ca="1" si="38"/>
        <v>0</v>
      </c>
      <c r="AC111" s="677">
        <f t="shared" ca="1" si="39"/>
        <v>0</v>
      </c>
      <c r="AD111" s="679">
        <f t="shared" si="41"/>
        <v>0.31049490531712021</v>
      </c>
      <c r="AE111" s="678">
        <f t="shared" ca="1" si="40"/>
        <v>0</v>
      </c>
      <c r="AF111" s="651"/>
      <c r="AG111" s="654"/>
      <c r="AH111" s="654"/>
    </row>
    <row r="112" spans="2:34" x14ac:dyDescent="0.25">
      <c r="B112" s="651"/>
      <c r="C112" s="653"/>
      <c r="D112" s="653"/>
      <c r="E112" s="653"/>
      <c r="F112" s="653"/>
      <c r="G112" s="653"/>
      <c r="H112" s="653"/>
      <c r="I112" s="653"/>
      <c r="J112" s="653"/>
      <c r="K112" s="653"/>
      <c r="L112" s="653"/>
      <c r="M112" s="653"/>
      <c r="N112" s="653"/>
      <c r="O112" s="653"/>
      <c r="P112" s="667">
        <f t="shared" si="27"/>
        <v>30</v>
      </c>
      <c r="Q112" s="668">
        <f t="shared" ca="1" si="28"/>
        <v>0</v>
      </c>
      <c r="R112" s="669">
        <f t="shared" ca="1" si="26"/>
        <v>0</v>
      </c>
      <c r="S112" s="669">
        <f t="shared" ca="1" si="29"/>
        <v>0</v>
      </c>
      <c r="T112" s="670">
        <f t="shared" ca="1" si="30"/>
        <v>0</v>
      </c>
      <c r="U112" s="671">
        <f t="shared" ca="1" si="31"/>
        <v>0.10232036971130666</v>
      </c>
      <c r="V112" s="672">
        <f t="shared" ca="1" si="32"/>
        <v>5.116018485565333E-2</v>
      </c>
      <c r="W112" s="673">
        <f t="shared" ca="1" si="33"/>
        <v>0</v>
      </c>
      <c r="X112" s="674">
        <f t="shared" ca="1" si="34"/>
        <v>0</v>
      </c>
      <c r="Y112" s="675">
        <f t="shared" ca="1" si="35"/>
        <v>0</v>
      </c>
      <c r="Z112" s="675">
        <f t="shared" ca="1" si="36"/>
        <v>0</v>
      </c>
      <c r="AA112" s="676">
        <f t="shared" ca="1" si="37"/>
        <v>0</v>
      </c>
      <c r="AB112" s="670">
        <f t="shared" ca="1" si="38"/>
        <v>0</v>
      </c>
      <c r="AC112" s="677">
        <f t="shared" ca="1" si="39"/>
        <v>0</v>
      </c>
      <c r="AD112" s="679">
        <f t="shared" si="41"/>
        <v>0.31825727795004821</v>
      </c>
      <c r="AE112" s="678">
        <f t="shared" ca="1" si="40"/>
        <v>0</v>
      </c>
      <c r="AF112" s="651"/>
      <c r="AG112" s="654"/>
      <c r="AH112" s="654"/>
    </row>
    <row r="113" spans="2:34" x14ac:dyDescent="0.25">
      <c r="B113" s="651"/>
      <c r="C113" s="653"/>
      <c r="D113" s="653"/>
      <c r="E113" s="653"/>
      <c r="F113" s="653"/>
      <c r="G113" s="653"/>
      <c r="H113" s="653"/>
      <c r="I113" s="653"/>
      <c r="J113" s="653"/>
      <c r="K113" s="653"/>
      <c r="L113" s="653"/>
      <c r="M113" s="653"/>
      <c r="N113" s="653"/>
      <c r="O113" s="653"/>
      <c r="P113" s="667">
        <f t="shared" si="27"/>
        <v>31</v>
      </c>
      <c r="Q113" s="668">
        <f t="shared" ca="1" si="28"/>
        <v>0</v>
      </c>
      <c r="R113" s="669">
        <f t="shared" ca="1" si="26"/>
        <v>0</v>
      </c>
      <c r="S113" s="669">
        <f t="shared" ca="1" si="29"/>
        <v>0</v>
      </c>
      <c r="T113" s="670">
        <f t="shared" ca="1" si="30"/>
        <v>0</v>
      </c>
      <c r="U113" s="671">
        <f t="shared" ca="1" si="31"/>
        <v>0.10487837895408932</v>
      </c>
      <c r="V113" s="672">
        <f t="shared" ca="1" si="32"/>
        <v>5.2439189477044658E-2</v>
      </c>
      <c r="W113" s="673">
        <f t="shared" ca="1" si="33"/>
        <v>0</v>
      </c>
      <c r="X113" s="674">
        <f t="shared" ca="1" si="34"/>
        <v>0</v>
      </c>
      <c r="Y113" s="675">
        <f t="shared" ca="1" si="35"/>
        <v>0</v>
      </c>
      <c r="Z113" s="675">
        <f t="shared" ca="1" si="36"/>
        <v>0</v>
      </c>
      <c r="AA113" s="676">
        <f t="shared" ca="1" si="37"/>
        <v>0</v>
      </c>
      <c r="AB113" s="670">
        <f t="shared" ca="1" si="38"/>
        <v>0</v>
      </c>
      <c r="AC113" s="677">
        <f t="shared" ca="1" si="39"/>
        <v>0</v>
      </c>
      <c r="AD113" s="679">
        <f t="shared" si="41"/>
        <v>0.32621370989879939</v>
      </c>
      <c r="AE113" s="678">
        <f t="shared" ca="1" si="40"/>
        <v>0</v>
      </c>
      <c r="AF113" s="651"/>
      <c r="AG113" s="654"/>
      <c r="AH113" s="654"/>
    </row>
    <row r="114" spans="2:34" x14ac:dyDescent="0.25">
      <c r="B114" s="651"/>
      <c r="C114" s="653"/>
      <c r="D114" s="653"/>
      <c r="E114" s="653"/>
      <c r="F114" s="653"/>
      <c r="G114" s="653"/>
      <c r="H114" s="653"/>
      <c r="I114" s="653"/>
      <c r="J114" s="653"/>
      <c r="K114" s="653"/>
      <c r="L114" s="653"/>
      <c r="M114" s="653"/>
      <c r="N114" s="653"/>
      <c r="O114" s="653"/>
      <c r="P114" s="667">
        <f t="shared" si="27"/>
        <v>32</v>
      </c>
      <c r="Q114" s="668">
        <f t="shared" ca="1" si="28"/>
        <v>0</v>
      </c>
      <c r="R114" s="669">
        <f t="shared" ca="1" si="26"/>
        <v>0</v>
      </c>
      <c r="S114" s="669">
        <f t="shared" ca="1" si="29"/>
        <v>0</v>
      </c>
      <c r="T114" s="670">
        <f t="shared" ca="1" si="30"/>
        <v>0</v>
      </c>
      <c r="U114" s="671">
        <f t="shared" ca="1" si="31"/>
        <v>0.10750033842794154</v>
      </c>
      <c r="V114" s="672">
        <f t="shared" ca="1" si="32"/>
        <v>5.3750169213970772E-2</v>
      </c>
      <c r="W114" s="673">
        <f t="shared" ca="1" si="33"/>
        <v>0</v>
      </c>
      <c r="X114" s="674">
        <f t="shared" ca="1" si="34"/>
        <v>0</v>
      </c>
      <c r="Y114" s="675">
        <f t="shared" ca="1" si="35"/>
        <v>0</v>
      </c>
      <c r="Z114" s="675">
        <f t="shared" ca="1" si="36"/>
        <v>0</v>
      </c>
      <c r="AA114" s="676">
        <f t="shared" ca="1" si="37"/>
        <v>0</v>
      </c>
      <c r="AB114" s="670">
        <f t="shared" ca="1" si="38"/>
        <v>0</v>
      </c>
      <c r="AC114" s="677">
        <f t="shared" ca="1" si="39"/>
        <v>0</v>
      </c>
      <c r="AD114" s="679">
        <f t="shared" si="41"/>
        <v>0.33436905264626932</v>
      </c>
      <c r="AE114" s="678">
        <f t="shared" ca="1" si="40"/>
        <v>0</v>
      </c>
      <c r="AF114" s="651"/>
      <c r="AG114" s="654"/>
      <c r="AH114" s="654"/>
    </row>
    <row r="115" spans="2:34" x14ac:dyDescent="0.25">
      <c r="B115" s="651"/>
      <c r="C115" s="653"/>
      <c r="D115" s="653"/>
      <c r="E115" s="653"/>
      <c r="F115" s="653"/>
      <c r="G115" s="653"/>
      <c r="H115" s="653"/>
      <c r="I115" s="653"/>
      <c r="J115" s="653"/>
      <c r="K115" s="653"/>
      <c r="L115" s="653"/>
      <c r="M115" s="653"/>
      <c r="N115" s="653"/>
      <c r="O115" s="653"/>
      <c r="P115" s="667">
        <f t="shared" si="27"/>
        <v>33</v>
      </c>
      <c r="Q115" s="668">
        <f t="shared" ca="1" si="28"/>
        <v>0</v>
      </c>
      <c r="R115" s="669">
        <f t="shared" ref="R115:R134" ca="1" si="42">IF(Q115="","",IF(P115&lt;=$R$9,IF(Q115&gt;$R$11,$R$11,Q115),0))</f>
        <v>0</v>
      </c>
      <c r="S115" s="669">
        <f t="shared" ca="1" si="29"/>
        <v>0</v>
      </c>
      <c r="T115" s="670">
        <f t="shared" ca="1" si="30"/>
        <v>0</v>
      </c>
      <c r="U115" s="671">
        <f t="shared" ca="1" si="31"/>
        <v>0.11018784688864007</v>
      </c>
      <c r="V115" s="672">
        <f t="shared" ca="1" si="32"/>
        <v>5.5093923444320035E-2</v>
      </c>
      <c r="W115" s="673">
        <f t="shared" ca="1" si="33"/>
        <v>0</v>
      </c>
      <c r="X115" s="674">
        <f t="shared" ca="1" si="34"/>
        <v>0</v>
      </c>
      <c r="Y115" s="675">
        <f t="shared" ca="1" si="35"/>
        <v>0</v>
      </c>
      <c r="Z115" s="675">
        <f t="shared" ca="1" si="36"/>
        <v>0</v>
      </c>
      <c r="AA115" s="676">
        <f t="shared" ca="1" si="37"/>
        <v>0</v>
      </c>
      <c r="AB115" s="670">
        <f t="shared" ca="1" si="38"/>
        <v>0</v>
      </c>
      <c r="AC115" s="677">
        <f t="shared" ca="1" si="39"/>
        <v>0</v>
      </c>
      <c r="AD115" s="679">
        <f t="shared" si="41"/>
        <v>0.34272827896242603</v>
      </c>
      <c r="AE115" s="678">
        <f t="shared" ca="1" si="40"/>
        <v>0</v>
      </c>
      <c r="AF115" s="651"/>
      <c r="AG115" s="654"/>
      <c r="AH115" s="654"/>
    </row>
    <row r="116" spans="2:34" x14ac:dyDescent="0.25">
      <c r="B116" s="651"/>
      <c r="C116" s="653"/>
      <c r="D116" s="653"/>
      <c r="E116" s="653"/>
      <c r="F116" s="653"/>
      <c r="G116" s="653"/>
      <c r="H116" s="653"/>
      <c r="I116" s="653"/>
      <c r="J116" s="653"/>
      <c r="K116" s="653"/>
      <c r="L116" s="653"/>
      <c r="M116" s="653"/>
      <c r="N116" s="653"/>
      <c r="O116" s="653"/>
      <c r="P116" s="667">
        <f t="shared" si="27"/>
        <v>34</v>
      </c>
      <c r="Q116" s="668">
        <f t="shared" ca="1" si="28"/>
        <v>0</v>
      </c>
      <c r="R116" s="669">
        <f t="shared" ca="1" si="42"/>
        <v>0</v>
      </c>
      <c r="S116" s="669">
        <f t="shared" ca="1" si="29"/>
        <v>0</v>
      </c>
      <c r="T116" s="670">
        <f t="shared" ca="1" si="30"/>
        <v>0</v>
      </c>
      <c r="U116" s="671">
        <f t="shared" ref="U116:U134" ca="1" si="43">IF(R116="","",U115*(1+$R$7))</f>
        <v>0.11294254306085606</v>
      </c>
      <c r="V116" s="672">
        <f t="shared" ref="V116:V134" ca="1" si="44">IF(S116="","",V115*(1+$T$7))</f>
        <v>5.6471271530428031E-2</v>
      </c>
      <c r="W116" s="673">
        <f t="shared" ref="W116:W134" ca="1" si="45">IF(T116="","",W115*(1+$V$7))</f>
        <v>0</v>
      </c>
      <c r="X116" s="674">
        <f t="shared" ca="1" si="34"/>
        <v>0</v>
      </c>
      <c r="Y116" s="675">
        <f t="shared" ca="1" si="35"/>
        <v>0</v>
      </c>
      <c r="Z116" s="675">
        <f t="shared" ca="1" si="36"/>
        <v>0</v>
      </c>
      <c r="AA116" s="676">
        <f t="shared" ca="1" si="37"/>
        <v>0</v>
      </c>
      <c r="AB116" s="670">
        <f t="shared" ca="1" si="38"/>
        <v>0</v>
      </c>
      <c r="AC116" s="677">
        <f t="shared" ca="1" si="39"/>
        <v>0</v>
      </c>
      <c r="AD116" s="679">
        <f t="shared" si="41"/>
        <v>0.35129648593648666</v>
      </c>
      <c r="AE116" s="678">
        <f t="shared" ca="1" si="40"/>
        <v>0</v>
      </c>
      <c r="AF116" s="651"/>
      <c r="AG116" s="654"/>
      <c r="AH116" s="654"/>
    </row>
    <row r="117" spans="2:34" x14ac:dyDescent="0.25">
      <c r="B117" s="651"/>
      <c r="C117" s="653"/>
      <c r="D117" s="653"/>
      <c r="E117" s="653"/>
      <c r="F117" s="653"/>
      <c r="G117" s="653"/>
      <c r="H117" s="653"/>
      <c r="I117" s="653"/>
      <c r="J117" s="653"/>
      <c r="K117" s="653"/>
      <c r="L117" s="653"/>
      <c r="M117" s="653"/>
      <c r="N117" s="653"/>
      <c r="O117" s="653"/>
      <c r="P117" s="667">
        <f t="shared" si="27"/>
        <v>35</v>
      </c>
      <c r="Q117" s="668">
        <f t="shared" ca="1" si="28"/>
        <v>0</v>
      </c>
      <c r="R117" s="669">
        <f t="shared" ca="1" si="42"/>
        <v>0</v>
      </c>
      <c r="S117" s="669">
        <f t="shared" ca="1" si="29"/>
        <v>0</v>
      </c>
      <c r="T117" s="670">
        <f t="shared" ca="1" si="30"/>
        <v>0</v>
      </c>
      <c r="U117" s="671">
        <f t="shared" ca="1" si="43"/>
        <v>0.11576610663737745</v>
      </c>
      <c r="V117" s="672">
        <f t="shared" ca="1" si="44"/>
        <v>5.7883053318688725E-2</v>
      </c>
      <c r="W117" s="673">
        <f t="shared" ca="1" si="45"/>
        <v>0</v>
      </c>
      <c r="X117" s="674">
        <f t="shared" ca="1" si="34"/>
        <v>0</v>
      </c>
      <c r="Y117" s="675">
        <f t="shared" ca="1" si="35"/>
        <v>0</v>
      </c>
      <c r="Z117" s="675">
        <f t="shared" ca="1" si="36"/>
        <v>0</v>
      </c>
      <c r="AA117" s="676">
        <f t="shared" ca="1" si="37"/>
        <v>0</v>
      </c>
      <c r="AB117" s="670">
        <f t="shared" ca="1" si="38"/>
        <v>0</v>
      </c>
      <c r="AC117" s="677">
        <f t="shared" ca="1" si="39"/>
        <v>0</v>
      </c>
      <c r="AD117" s="679">
        <f t="shared" si="41"/>
        <v>0.36007889808489879</v>
      </c>
      <c r="AE117" s="678">
        <f t="shared" ca="1" si="40"/>
        <v>0</v>
      </c>
      <c r="AF117" s="651"/>
      <c r="AG117" s="654"/>
      <c r="AH117" s="654"/>
    </row>
    <row r="118" spans="2:34" x14ac:dyDescent="0.25">
      <c r="B118" s="651"/>
      <c r="C118" s="653"/>
      <c r="D118" s="653"/>
      <c r="E118" s="653"/>
      <c r="F118" s="653"/>
      <c r="G118" s="653"/>
      <c r="H118" s="653"/>
      <c r="I118" s="653"/>
      <c r="J118" s="653"/>
      <c r="K118" s="653"/>
      <c r="L118" s="653"/>
      <c r="M118" s="653"/>
      <c r="N118" s="653"/>
      <c r="O118" s="653"/>
      <c r="P118" s="667" t="str">
        <f t="shared" si="27"/>
        <v/>
      </c>
      <c r="Q118" s="668" t="str">
        <f t="shared" si="28"/>
        <v/>
      </c>
      <c r="R118" s="669" t="str">
        <f t="shared" si="42"/>
        <v/>
      </c>
      <c r="S118" s="669" t="str">
        <f t="shared" si="29"/>
        <v/>
      </c>
      <c r="T118" s="670" t="str">
        <f t="shared" si="30"/>
        <v/>
      </c>
      <c r="U118" s="671" t="str">
        <f t="shared" si="43"/>
        <v/>
      </c>
      <c r="V118" s="672" t="str">
        <f t="shared" si="44"/>
        <v/>
      </c>
      <c r="W118" s="673" t="str">
        <f t="shared" si="45"/>
        <v/>
      </c>
      <c r="X118" s="674" t="str">
        <f t="shared" si="34"/>
        <v/>
      </c>
      <c r="Y118" s="675" t="str">
        <f t="shared" si="35"/>
        <v/>
      </c>
      <c r="Z118" s="675" t="str">
        <f t="shared" si="36"/>
        <v/>
      </c>
      <c r="AA118" s="676">
        <f t="shared" si="37"/>
        <v>0</v>
      </c>
      <c r="AB118" s="670">
        <f t="shared" si="38"/>
        <v>0</v>
      </c>
      <c r="AC118" s="677" t="str">
        <f t="shared" si="39"/>
        <v/>
      </c>
      <c r="AD118" s="679" t="str">
        <f t="shared" si="41"/>
        <v/>
      </c>
      <c r="AE118" s="678">
        <f t="shared" si="40"/>
        <v>0</v>
      </c>
      <c r="AF118" s="651"/>
      <c r="AG118" s="654"/>
      <c r="AH118" s="654"/>
    </row>
    <row r="119" spans="2:34" x14ac:dyDescent="0.25">
      <c r="B119" s="651"/>
      <c r="C119" s="653"/>
      <c r="D119" s="653"/>
      <c r="E119" s="653"/>
      <c r="F119" s="653"/>
      <c r="G119" s="653"/>
      <c r="H119" s="653"/>
      <c r="I119" s="653"/>
      <c r="J119" s="653"/>
      <c r="K119" s="653"/>
      <c r="L119" s="653"/>
      <c r="M119" s="653"/>
      <c r="N119" s="653"/>
      <c r="O119" s="653"/>
      <c r="P119" s="667" t="str">
        <f t="shared" si="27"/>
        <v/>
      </c>
      <c r="Q119" s="668" t="str">
        <f t="shared" si="28"/>
        <v/>
      </c>
      <c r="R119" s="669" t="str">
        <f t="shared" si="42"/>
        <v/>
      </c>
      <c r="S119" s="669" t="str">
        <f t="shared" si="29"/>
        <v/>
      </c>
      <c r="T119" s="670" t="str">
        <f t="shared" si="30"/>
        <v/>
      </c>
      <c r="U119" s="671" t="str">
        <f t="shared" si="43"/>
        <v/>
      </c>
      <c r="V119" s="672" t="str">
        <f t="shared" si="44"/>
        <v/>
      </c>
      <c r="W119" s="673" t="str">
        <f t="shared" si="45"/>
        <v/>
      </c>
      <c r="X119" s="674" t="str">
        <f t="shared" si="34"/>
        <v/>
      </c>
      <c r="Y119" s="675" t="str">
        <f t="shared" si="35"/>
        <v/>
      </c>
      <c r="Z119" s="675" t="str">
        <f t="shared" si="36"/>
        <v/>
      </c>
      <c r="AA119" s="676">
        <f t="shared" si="37"/>
        <v>0</v>
      </c>
      <c r="AB119" s="670">
        <f t="shared" si="38"/>
        <v>0</v>
      </c>
      <c r="AC119" s="677" t="str">
        <f t="shared" si="39"/>
        <v/>
      </c>
      <c r="AD119" s="679" t="str">
        <f t="shared" si="41"/>
        <v/>
      </c>
      <c r="AE119" s="678">
        <f t="shared" si="40"/>
        <v>0</v>
      </c>
      <c r="AF119" s="651"/>
      <c r="AG119" s="654"/>
      <c r="AH119" s="654"/>
    </row>
    <row r="120" spans="2:34" x14ac:dyDescent="0.25">
      <c r="B120" s="651"/>
      <c r="C120" s="653"/>
      <c r="D120" s="653"/>
      <c r="E120" s="653"/>
      <c r="F120" s="653"/>
      <c r="G120" s="653"/>
      <c r="H120" s="653"/>
      <c r="I120" s="653"/>
      <c r="J120" s="653"/>
      <c r="K120" s="653"/>
      <c r="L120" s="653"/>
      <c r="M120" s="653"/>
      <c r="N120" s="653"/>
      <c r="O120" s="653"/>
      <c r="P120" s="667" t="str">
        <f t="shared" si="27"/>
        <v/>
      </c>
      <c r="Q120" s="668" t="str">
        <f t="shared" si="28"/>
        <v/>
      </c>
      <c r="R120" s="669" t="str">
        <f t="shared" si="42"/>
        <v/>
      </c>
      <c r="S120" s="669" t="str">
        <f t="shared" si="29"/>
        <v/>
      </c>
      <c r="T120" s="670" t="str">
        <f t="shared" si="30"/>
        <v/>
      </c>
      <c r="U120" s="671" t="str">
        <f t="shared" si="43"/>
        <v/>
      </c>
      <c r="V120" s="672" t="str">
        <f t="shared" si="44"/>
        <v/>
      </c>
      <c r="W120" s="673" t="str">
        <f t="shared" si="45"/>
        <v/>
      </c>
      <c r="X120" s="674" t="str">
        <f t="shared" si="34"/>
        <v/>
      </c>
      <c r="Y120" s="675" t="str">
        <f t="shared" si="35"/>
        <v/>
      </c>
      <c r="Z120" s="675" t="str">
        <f t="shared" si="36"/>
        <v/>
      </c>
      <c r="AA120" s="676">
        <f t="shared" si="37"/>
        <v>0</v>
      </c>
      <c r="AB120" s="670">
        <f t="shared" si="38"/>
        <v>0</v>
      </c>
      <c r="AC120" s="677" t="str">
        <f t="shared" si="39"/>
        <v/>
      </c>
      <c r="AD120" s="679" t="str">
        <f t="shared" si="41"/>
        <v/>
      </c>
      <c r="AE120" s="678">
        <f t="shared" si="40"/>
        <v>0</v>
      </c>
      <c r="AF120" s="651"/>
      <c r="AG120" s="654"/>
      <c r="AH120" s="654"/>
    </row>
    <row r="121" spans="2:34" x14ac:dyDescent="0.25">
      <c r="B121" s="651"/>
      <c r="C121" s="653"/>
      <c r="D121" s="653"/>
      <c r="E121" s="653"/>
      <c r="F121" s="653"/>
      <c r="G121" s="653"/>
      <c r="H121" s="653"/>
      <c r="I121" s="653"/>
      <c r="J121" s="653"/>
      <c r="K121" s="653"/>
      <c r="L121" s="653"/>
      <c r="M121" s="653"/>
      <c r="N121" s="653"/>
      <c r="O121" s="653"/>
      <c r="P121" s="667" t="str">
        <f t="shared" si="27"/>
        <v/>
      </c>
      <c r="Q121" s="668" t="str">
        <f t="shared" si="28"/>
        <v/>
      </c>
      <c r="R121" s="669" t="str">
        <f t="shared" si="42"/>
        <v/>
      </c>
      <c r="S121" s="669" t="str">
        <f t="shared" si="29"/>
        <v/>
      </c>
      <c r="T121" s="670" t="str">
        <f t="shared" si="30"/>
        <v/>
      </c>
      <c r="U121" s="671" t="str">
        <f t="shared" si="43"/>
        <v/>
      </c>
      <c r="V121" s="672" t="str">
        <f t="shared" si="44"/>
        <v/>
      </c>
      <c r="W121" s="673" t="str">
        <f t="shared" si="45"/>
        <v/>
      </c>
      <c r="X121" s="674" t="str">
        <f t="shared" si="34"/>
        <v/>
      </c>
      <c r="Y121" s="675" t="str">
        <f t="shared" si="35"/>
        <v/>
      </c>
      <c r="Z121" s="675" t="str">
        <f t="shared" si="36"/>
        <v/>
      </c>
      <c r="AA121" s="676">
        <f t="shared" si="37"/>
        <v>0</v>
      </c>
      <c r="AB121" s="670">
        <f t="shared" si="38"/>
        <v>0</v>
      </c>
      <c r="AC121" s="677" t="str">
        <f t="shared" si="39"/>
        <v/>
      </c>
      <c r="AD121" s="679" t="str">
        <f t="shared" si="41"/>
        <v/>
      </c>
      <c r="AE121" s="678">
        <f t="shared" si="40"/>
        <v>0</v>
      </c>
      <c r="AF121" s="651"/>
      <c r="AG121" s="654"/>
      <c r="AH121" s="654"/>
    </row>
    <row r="122" spans="2:34" x14ac:dyDescent="0.25">
      <c r="B122" s="651"/>
      <c r="C122" s="653"/>
      <c r="D122" s="653"/>
      <c r="E122" s="653"/>
      <c r="F122" s="653"/>
      <c r="G122" s="653"/>
      <c r="H122" s="653"/>
      <c r="I122" s="653"/>
      <c r="J122" s="653"/>
      <c r="K122" s="653"/>
      <c r="L122" s="653"/>
      <c r="M122" s="653"/>
      <c r="N122" s="653"/>
      <c r="O122" s="653"/>
      <c r="P122" s="667" t="str">
        <f t="shared" si="27"/>
        <v/>
      </c>
      <c r="Q122" s="668" t="str">
        <f t="shared" si="28"/>
        <v/>
      </c>
      <c r="R122" s="669" t="str">
        <f t="shared" si="42"/>
        <v/>
      </c>
      <c r="S122" s="669" t="str">
        <f t="shared" si="29"/>
        <v/>
      </c>
      <c r="T122" s="670" t="str">
        <f t="shared" si="30"/>
        <v/>
      </c>
      <c r="U122" s="671" t="str">
        <f t="shared" si="43"/>
        <v/>
      </c>
      <c r="V122" s="672" t="str">
        <f t="shared" si="44"/>
        <v/>
      </c>
      <c r="W122" s="673" t="str">
        <f t="shared" si="45"/>
        <v/>
      </c>
      <c r="X122" s="674" t="str">
        <f t="shared" si="34"/>
        <v/>
      </c>
      <c r="Y122" s="675" t="str">
        <f t="shared" si="35"/>
        <v/>
      </c>
      <c r="Z122" s="675" t="str">
        <f t="shared" si="36"/>
        <v/>
      </c>
      <c r="AA122" s="676">
        <f t="shared" si="37"/>
        <v>0</v>
      </c>
      <c r="AB122" s="670">
        <f t="shared" si="38"/>
        <v>0</v>
      </c>
      <c r="AC122" s="677" t="str">
        <f t="shared" si="39"/>
        <v/>
      </c>
      <c r="AD122" s="679" t="str">
        <f t="shared" si="41"/>
        <v/>
      </c>
      <c r="AE122" s="678">
        <f t="shared" si="40"/>
        <v>0</v>
      </c>
      <c r="AF122" s="651"/>
      <c r="AG122" s="654"/>
      <c r="AH122" s="654"/>
    </row>
    <row r="123" spans="2:34" x14ac:dyDescent="0.25">
      <c r="B123" s="651"/>
      <c r="C123" s="653"/>
      <c r="D123" s="653"/>
      <c r="E123" s="653"/>
      <c r="F123" s="653"/>
      <c r="G123" s="653"/>
      <c r="H123" s="653"/>
      <c r="I123" s="653"/>
      <c r="J123" s="653"/>
      <c r="K123" s="653"/>
      <c r="L123" s="653"/>
      <c r="M123" s="653"/>
      <c r="N123" s="653"/>
      <c r="O123" s="653"/>
      <c r="P123" s="667" t="str">
        <f t="shared" si="27"/>
        <v/>
      </c>
      <c r="Q123" s="668" t="str">
        <f t="shared" si="28"/>
        <v/>
      </c>
      <c r="R123" s="669" t="str">
        <f t="shared" si="42"/>
        <v/>
      </c>
      <c r="S123" s="669" t="str">
        <f t="shared" si="29"/>
        <v/>
      </c>
      <c r="T123" s="670" t="str">
        <f t="shared" si="30"/>
        <v/>
      </c>
      <c r="U123" s="671" t="str">
        <f t="shared" si="43"/>
        <v/>
      </c>
      <c r="V123" s="672" t="str">
        <f t="shared" si="44"/>
        <v/>
      </c>
      <c r="W123" s="673" t="str">
        <f t="shared" si="45"/>
        <v/>
      </c>
      <c r="X123" s="674" t="str">
        <f t="shared" si="34"/>
        <v/>
      </c>
      <c r="Y123" s="675" t="str">
        <f t="shared" si="35"/>
        <v/>
      </c>
      <c r="Z123" s="675" t="str">
        <f t="shared" si="36"/>
        <v/>
      </c>
      <c r="AA123" s="676">
        <f t="shared" si="37"/>
        <v>0</v>
      </c>
      <c r="AB123" s="670">
        <f t="shared" si="38"/>
        <v>0</v>
      </c>
      <c r="AC123" s="677" t="str">
        <f t="shared" si="39"/>
        <v/>
      </c>
      <c r="AD123" s="679" t="str">
        <f t="shared" si="41"/>
        <v/>
      </c>
      <c r="AE123" s="678">
        <f t="shared" si="40"/>
        <v>0</v>
      </c>
      <c r="AF123" s="651"/>
      <c r="AG123" s="654"/>
      <c r="AH123" s="654"/>
    </row>
    <row r="124" spans="2:34" x14ac:dyDescent="0.25">
      <c r="B124" s="651"/>
      <c r="C124" s="653"/>
      <c r="D124" s="653"/>
      <c r="E124" s="653"/>
      <c r="F124" s="653"/>
      <c r="G124" s="653"/>
      <c r="H124" s="653"/>
      <c r="I124" s="653"/>
      <c r="J124" s="653"/>
      <c r="K124" s="653"/>
      <c r="L124" s="653"/>
      <c r="M124" s="653"/>
      <c r="N124" s="653"/>
      <c r="O124" s="653"/>
      <c r="P124" s="667" t="str">
        <f t="shared" si="27"/>
        <v/>
      </c>
      <c r="Q124" s="668" t="str">
        <f t="shared" si="28"/>
        <v/>
      </c>
      <c r="R124" s="669" t="str">
        <f t="shared" si="42"/>
        <v/>
      </c>
      <c r="S124" s="669" t="str">
        <f t="shared" si="29"/>
        <v/>
      </c>
      <c r="T124" s="670" t="str">
        <f t="shared" si="30"/>
        <v/>
      </c>
      <c r="U124" s="671" t="str">
        <f t="shared" si="43"/>
        <v/>
      </c>
      <c r="V124" s="672" t="str">
        <f t="shared" si="44"/>
        <v/>
      </c>
      <c r="W124" s="673" t="str">
        <f t="shared" si="45"/>
        <v/>
      </c>
      <c r="X124" s="674" t="str">
        <f t="shared" si="34"/>
        <v/>
      </c>
      <c r="Y124" s="675" t="str">
        <f t="shared" si="35"/>
        <v/>
      </c>
      <c r="Z124" s="675" t="str">
        <f t="shared" si="36"/>
        <v/>
      </c>
      <c r="AA124" s="676">
        <f t="shared" si="37"/>
        <v>0</v>
      </c>
      <c r="AB124" s="670">
        <f t="shared" si="38"/>
        <v>0</v>
      </c>
      <c r="AC124" s="677" t="str">
        <f t="shared" si="39"/>
        <v/>
      </c>
      <c r="AD124" s="679" t="str">
        <f t="shared" si="41"/>
        <v/>
      </c>
      <c r="AE124" s="678">
        <f t="shared" si="40"/>
        <v>0</v>
      </c>
      <c r="AF124" s="651"/>
      <c r="AG124" s="654"/>
      <c r="AH124" s="654"/>
    </row>
    <row r="125" spans="2:34" x14ac:dyDescent="0.25">
      <c r="B125" s="651"/>
      <c r="C125" s="653"/>
      <c r="D125" s="653"/>
      <c r="E125" s="653"/>
      <c r="F125" s="653"/>
      <c r="G125" s="653"/>
      <c r="H125" s="653"/>
      <c r="I125" s="653"/>
      <c r="J125" s="653"/>
      <c r="K125" s="653"/>
      <c r="L125" s="653"/>
      <c r="M125" s="653"/>
      <c r="N125" s="653"/>
      <c r="O125" s="653"/>
      <c r="P125" s="667" t="str">
        <f t="shared" si="27"/>
        <v/>
      </c>
      <c r="Q125" s="668" t="str">
        <f t="shared" si="28"/>
        <v/>
      </c>
      <c r="R125" s="669" t="str">
        <f t="shared" si="42"/>
        <v/>
      </c>
      <c r="S125" s="669" t="str">
        <f t="shared" si="29"/>
        <v/>
      </c>
      <c r="T125" s="670" t="str">
        <f t="shared" si="30"/>
        <v/>
      </c>
      <c r="U125" s="671" t="str">
        <f t="shared" si="43"/>
        <v/>
      </c>
      <c r="V125" s="672" t="str">
        <f t="shared" si="44"/>
        <v/>
      </c>
      <c r="W125" s="673" t="str">
        <f t="shared" si="45"/>
        <v/>
      </c>
      <c r="X125" s="674" t="str">
        <f t="shared" si="34"/>
        <v/>
      </c>
      <c r="Y125" s="675" t="str">
        <f t="shared" si="35"/>
        <v/>
      </c>
      <c r="Z125" s="675" t="str">
        <f t="shared" si="36"/>
        <v/>
      </c>
      <c r="AA125" s="676">
        <f t="shared" si="37"/>
        <v>0</v>
      </c>
      <c r="AB125" s="670">
        <f t="shared" si="38"/>
        <v>0</v>
      </c>
      <c r="AC125" s="677" t="str">
        <f t="shared" si="39"/>
        <v/>
      </c>
      <c r="AD125" s="679" t="str">
        <f t="shared" si="41"/>
        <v/>
      </c>
      <c r="AE125" s="678">
        <f t="shared" si="40"/>
        <v>0</v>
      </c>
      <c r="AF125" s="651"/>
      <c r="AG125" s="654"/>
      <c r="AH125" s="654"/>
    </row>
    <row r="126" spans="2:34" x14ac:dyDescent="0.25">
      <c r="B126" s="651"/>
      <c r="C126" s="653"/>
      <c r="D126" s="653"/>
      <c r="E126" s="653"/>
      <c r="F126" s="653"/>
      <c r="G126" s="653"/>
      <c r="H126" s="653"/>
      <c r="I126" s="653"/>
      <c r="J126" s="653"/>
      <c r="K126" s="653"/>
      <c r="L126" s="653"/>
      <c r="M126" s="653"/>
      <c r="N126" s="653"/>
      <c r="O126" s="653"/>
      <c r="P126" s="667" t="str">
        <f t="shared" si="27"/>
        <v/>
      </c>
      <c r="Q126" s="668" t="str">
        <f t="shared" si="28"/>
        <v/>
      </c>
      <c r="R126" s="669" t="str">
        <f t="shared" si="42"/>
        <v/>
      </c>
      <c r="S126" s="669" t="str">
        <f t="shared" si="29"/>
        <v/>
      </c>
      <c r="T126" s="670" t="str">
        <f t="shared" si="30"/>
        <v/>
      </c>
      <c r="U126" s="671" t="str">
        <f t="shared" si="43"/>
        <v/>
      </c>
      <c r="V126" s="672" t="str">
        <f t="shared" si="44"/>
        <v/>
      </c>
      <c r="W126" s="673" t="str">
        <f t="shared" si="45"/>
        <v/>
      </c>
      <c r="X126" s="674" t="str">
        <f t="shared" si="34"/>
        <v/>
      </c>
      <c r="Y126" s="675" t="str">
        <f t="shared" si="35"/>
        <v/>
      </c>
      <c r="Z126" s="675" t="str">
        <f t="shared" si="36"/>
        <v/>
      </c>
      <c r="AA126" s="676">
        <f t="shared" si="37"/>
        <v>0</v>
      </c>
      <c r="AB126" s="670">
        <f t="shared" si="38"/>
        <v>0</v>
      </c>
      <c r="AC126" s="677" t="str">
        <f t="shared" si="39"/>
        <v/>
      </c>
      <c r="AD126" s="679" t="str">
        <f t="shared" si="41"/>
        <v/>
      </c>
      <c r="AE126" s="678">
        <f t="shared" si="40"/>
        <v>0</v>
      </c>
      <c r="AF126" s="651"/>
      <c r="AG126" s="654"/>
      <c r="AH126" s="654"/>
    </row>
    <row r="127" spans="2:34" x14ac:dyDescent="0.25">
      <c r="B127" s="651"/>
      <c r="C127" s="653"/>
      <c r="D127" s="653"/>
      <c r="E127" s="653"/>
      <c r="F127" s="653"/>
      <c r="G127" s="653"/>
      <c r="H127" s="653"/>
      <c r="I127" s="653"/>
      <c r="J127" s="653"/>
      <c r="K127" s="653"/>
      <c r="L127" s="653"/>
      <c r="M127" s="653"/>
      <c r="N127" s="653"/>
      <c r="O127" s="653"/>
      <c r="P127" s="667" t="str">
        <f t="shared" si="27"/>
        <v/>
      </c>
      <c r="Q127" s="668" t="str">
        <f t="shared" si="28"/>
        <v/>
      </c>
      <c r="R127" s="669" t="str">
        <f t="shared" si="42"/>
        <v/>
      </c>
      <c r="S127" s="669" t="str">
        <f t="shared" si="29"/>
        <v/>
      </c>
      <c r="T127" s="670" t="str">
        <f t="shared" si="30"/>
        <v/>
      </c>
      <c r="U127" s="671" t="str">
        <f t="shared" si="43"/>
        <v/>
      </c>
      <c r="V127" s="672" t="str">
        <f t="shared" si="44"/>
        <v/>
      </c>
      <c r="W127" s="673" t="str">
        <f t="shared" si="45"/>
        <v/>
      </c>
      <c r="X127" s="674" t="str">
        <f t="shared" si="34"/>
        <v/>
      </c>
      <c r="Y127" s="675" t="str">
        <f t="shared" si="35"/>
        <v/>
      </c>
      <c r="Z127" s="675" t="str">
        <f t="shared" si="36"/>
        <v/>
      </c>
      <c r="AA127" s="676">
        <f t="shared" si="37"/>
        <v>0</v>
      </c>
      <c r="AB127" s="670">
        <f t="shared" si="38"/>
        <v>0</v>
      </c>
      <c r="AC127" s="677" t="str">
        <f t="shared" si="39"/>
        <v/>
      </c>
      <c r="AD127" s="679" t="str">
        <f t="shared" si="41"/>
        <v/>
      </c>
      <c r="AE127" s="678">
        <f t="shared" si="40"/>
        <v>0</v>
      </c>
      <c r="AF127" s="651"/>
      <c r="AG127" s="654"/>
      <c r="AH127" s="654"/>
    </row>
    <row r="128" spans="2:34" x14ac:dyDescent="0.25">
      <c r="B128" s="651"/>
      <c r="C128" s="653"/>
      <c r="D128" s="653"/>
      <c r="E128" s="653"/>
      <c r="F128" s="653"/>
      <c r="G128" s="653"/>
      <c r="H128" s="653"/>
      <c r="I128" s="653"/>
      <c r="J128" s="653"/>
      <c r="K128" s="653"/>
      <c r="L128" s="653"/>
      <c r="M128" s="653"/>
      <c r="N128" s="653"/>
      <c r="O128" s="653"/>
      <c r="P128" s="667" t="str">
        <f t="shared" si="27"/>
        <v/>
      </c>
      <c r="Q128" s="668" t="str">
        <f t="shared" si="28"/>
        <v/>
      </c>
      <c r="R128" s="669" t="str">
        <f t="shared" si="42"/>
        <v/>
      </c>
      <c r="S128" s="669" t="str">
        <f t="shared" si="29"/>
        <v/>
      </c>
      <c r="T128" s="670" t="str">
        <f t="shared" si="30"/>
        <v/>
      </c>
      <c r="U128" s="671" t="str">
        <f t="shared" si="43"/>
        <v/>
      </c>
      <c r="V128" s="672" t="str">
        <f t="shared" si="44"/>
        <v/>
      </c>
      <c r="W128" s="673" t="str">
        <f t="shared" si="45"/>
        <v/>
      </c>
      <c r="X128" s="674" t="str">
        <f t="shared" si="34"/>
        <v/>
      </c>
      <c r="Y128" s="675" t="str">
        <f t="shared" si="35"/>
        <v/>
      </c>
      <c r="Z128" s="675" t="str">
        <f t="shared" si="36"/>
        <v/>
      </c>
      <c r="AA128" s="676">
        <f t="shared" si="37"/>
        <v>0</v>
      </c>
      <c r="AB128" s="670">
        <f t="shared" si="38"/>
        <v>0</v>
      </c>
      <c r="AC128" s="677" t="str">
        <f t="shared" si="39"/>
        <v/>
      </c>
      <c r="AD128" s="679" t="str">
        <f t="shared" si="41"/>
        <v/>
      </c>
      <c r="AE128" s="678">
        <f t="shared" si="40"/>
        <v>0</v>
      </c>
      <c r="AF128" s="651"/>
      <c r="AG128" s="654"/>
      <c r="AH128" s="654"/>
    </row>
    <row r="129" spans="2:34" x14ac:dyDescent="0.25">
      <c r="B129" s="651"/>
      <c r="C129" s="653"/>
      <c r="D129" s="653"/>
      <c r="E129" s="653"/>
      <c r="F129" s="653"/>
      <c r="G129" s="653"/>
      <c r="H129" s="653"/>
      <c r="I129" s="653"/>
      <c r="J129" s="653"/>
      <c r="K129" s="653"/>
      <c r="L129" s="653"/>
      <c r="M129" s="653"/>
      <c r="N129" s="653"/>
      <c r="O129" s="653"/>
      <c r="P129" s="667" t="str">
        <f t="shared" si="27"/>
        <v/>
      </c>
      <c r="Q129" s="668" t="str">
        <f t="shared" si="28"/>
        <v/>
      </c>
      <c r="R129" s="669" t="str">
        <f t="shared" si="42"/>
        <v/>
      </c>
      <c r="S129" s="669" t="str">
        <f t="shared" si="29"/>
        <v/>
      </c>
      <c r="T129" s="670" t="str">
        <f t="shared" si="30"/>
        <v/>
      </c>
      <c r="U129" s="671" t="str">
        <f t="shared" si="43"/>
        <v/>
      </c>
      <c r="V129" s="672" t="str">
        <f t="shared" si="44"/>
        <v/>
      </c>
      <c r="W129" s="673" t="str">
        <f t="shared" si="45"/>
        <v/>
      </c>
      <c r="X129" s="674" t="str">
        <f t="shared" si="34"/>
        <v/>
      </c>
      <c r="Y129" s="675" t="str">
        <f t="shared" si="35"/>
        <v/>
      </c>
      <c r="Z129" s="675" t="str">
        <f t="shared" si="36"/>
        <v/>
      </c>
      <c r="AA129" s="676">
        <f t="shared" si="37"/>
        <v>0</v>
      </c>
      <c r="AB129" s="670">
        <f t="shared" si="38"/>
        <v>0</v>
      </c>
      <c r="AC129" s="677" t="str">
        <f t="shared" si="39"/>
        <v/>
      </c>
      <c r="AD129" s="679" t="str">
        <f t="shared" si="41"/>
        <v/>
      </c>
      <c r="AE129" s="678">
        <f t="shared" si="40"/>
        <v>0</v>
      </c>
      <c r="AF129" s="651"/>
      <c r="AG129" s="654"/>
      <c r="AH129" s="654"/>
    </row>
    <row r="130" spans="2:34" x14ac:dyDescent="0.25">
      <c r="B130" s="651"/>
      <c r="C130" s="653"/>
      <c r="D130" s="653"/>
      <c r="E130" s="653"/>
      <c r="F130" s="653"/>
      <c r="G130" s="653"/>
      <c r="H130" s="653"/>
      <c r="I130" s="653"/>
      <c r="J130" s="653"/>
      <c r="K130" s="653"/>
      <c r="L130" s="653"/>
      <c r="M130" s="653"/>
      <c r="N130" s="653"/>
      <c r="O130" s="653"/>
      <c r="P130" s="667" t="str">
        <f t="shared" si="27"/>
        <v/>
      </c>
      <c r="Q130" s="668" t="str">
        <f t="shared" si="28"/>
        <v/>
      </c>
      <c r="R130" s="669" t="str">
        <f t="shared" si="42"/>
        <v/>
      </c>
      <c r="S130" s="669" t="str">
        <f t="shared" si="29"/>
        <v/>
      </c>
      <c r="T130" s="670" t="str">
        <f t="shared" si="30"/>
        <v/>
      </c>
      <c r="U130" s="671" t="str">
        <f t="shared" si="43"/>
        <v/>
      </c>
      <c r="V130" s="672" t="str">
        <f t="shared" si="44"/>
        <v/>
      </c>
      <c r="W130" s="673" t="str">
        <f t="shared" si="45"/>
        <v/>
      </c>
      <c r="X130" s="674" t="str">
        <f t="shared" si="34"/>
        <v/>
      </c>
      <c r="Y130" s="675" t="str">
        <f t="shared" si="35"/>
        <v/>
      </c>
      <c r="Z130" s="675" t="str">
        <f t="shared" si="36"/>
        <v/>
      </c>
      <c r="AA130" s="676">
        <f t="shared" si="37"/>
        <v>0</v>
      </c>
      <c r="AB130" s="670">
        <f t="shared" si="38"/>
        <v>0</v>
      </c>
      <c r="AC130" s="677" t="str">
        <f t="shared" si="39"/>
        <v/>
      </c>
      <c r="AD130" s="679" t="str">
        <f t="shared" si="41"/>
        <v/>
      </c>
      <c r="AE130" s="678">
        <f t="shared" si="40"/>
        <v>0</v>
      </c>
      <c r="AF130" s="651"/>
      <c r="AG130" s="654"/>
      <c r="AH130" s="654"/>
    </row>
    <row r="131" spans="2:34" x14ac:dyDescent="0.25">
      <c r="B131" s="651"/>
      <c r="C131" s="653"/>
      <c r="D131" s="653"/>
      <c r="E131" s="653"/>
      <c r="F131" s="653"/>
      <c r="G131" s="653"/>
      <c r="H131" s="653"/>
      <c r="I131" s="653"/>
      <c r="J131" s="653"/>
      <c r="K131" s="653"/>
      <c r="L131" s="653"/>
      <c r="M131" s="653"/>
      <c r="N131" s="653"/>
      <c r="O131" s="653"/>
      <c r="P131" s="667" t="str">
        <f t="shared" si="27"/>
        <v/>
      </c>
      <c r="Q131" s="668" t="str">
        <f t="shared" si="28"/>
        <v/>
      </c>
      <c r="R131" s="669" t="str">
        <f t="shared" si="42"/>
        <v/>
      </c>
      <c r="S131" s="669" t="str">
        <f t="shared" si="29"/>
        <v/>
      </c>
      <c r="T131" s="670" t="str">
        <f t="shared" si="30"/>
        <v/>
      </c>
      <c r="U131" s="671" t="str">
        <f t="shared" si="43"/>
        <v/>
      </c>
      <c r="V131" s="672" t="str">
        <f t="shared" si="44"/>
        <v/>
      </c>
      <c r="W131" s="673" t="str">
        <f t="shared" si="45"/>
        <v/>
      </c>
      <c r="X131" s="674" t="str">
        <f t="shared" si="34"/>
        <v/>
      </c>
      <c r="Y131" s="675" t="str">
        <f t="shared" si="35"/>
        <v/>
      </c>
      <c r="Z131" s="675" t="str">
        <f t="shared" si="36"/>
        <v/>
      </c>
      <c r="AA131" s="676">
        <f t="shared" si="37"/>
        <v>0</v>
      </c>
      <c r="AB131" s="670">
        <f t="shared" si="38"/>
        <v>0</v>
      </c>
      <c r="AC131" s="677" t="str">
        <f t="shared" si="39"/>
        <v/>
      </c>
      <c r="AD131" s="679" t="str">
        <f t="shared" si="41"/>
        <v/>
      </c>
      <c r="AE131" s="678">
        <f t="shared" si="40"/>
        <v>0</v>
      </c>
      <c r="AF131" s="651"/>
      <c r="AG131" s="654"/>
      <c r="AH131" s="654"/>
    </row>
    <row r="132" spans="2:34" x14ac:dyDescent="0.25">
      <c r="B132" s="651"/>
      <c r="C132" s="653"/>
      <c r="D132" s="653"/>
      <c r="E132" s="653"/>
      <c r="F132" s="653"/>
      <c r="G132" s="653"/>
      <c r="H132" s="653"/>
      <c r="I132" s="653"/>
      <c r="J132" s="653"/>
      <c r="K132" s="653"/>
      <c r="L132" s="653"/>
      <c r="M132" s="653"/>
      <c r="N132" s="653"/>
      <c r="O132" s="653"/>
      <c r="P132" s="667" t="str">
        <f t="shared" si="27"/>
        <v/>
      </c>
      <c r="Q132" s="668" t="str">
        <f t="shared" si="28"/>
        <v/>
      </c>
      <c r="R132" s="669" t="str">
        <f t="shared" si="42"/>
        <v/>
      </c>
      <c r="S132" s="669" t="str">
        <f t="shared" si="29"/>
        <v/>
      </c>
      <c r="T132" s="670" t="str">
        <f t="shared" si="30"/>
        <v/>
      </c>
      <c r="U132" s="671" t="str">
        <f t="shared" si="43"/>
        <v/>
      </c>
      <c r="V132" s="672" t="str">
        <f t="shared" si="44"/>
        <v/>
      </c>
      <c r="W132" s="673" t="str">
        <f t="shared" si="45"/>
        <v/>
      </c>
      <c r="X132" s="674" t="str">
        <f t="shared" si="34"/>
        <v/>
      </c>
      <c r="Y132" s="675" t="str">
        <f t="shared" si="35"/>
        <v/>
      </c>
      <c r="Z132" s="675" t="str">
        <f t="shared" si="36"/>
        <v/>
      </c>
      <c r="AA132" s="676">
        <f t="shared" si="37"/>
        <v>0</v>
      </c>
      <c r="AB132" s="670">
        <f t="shared" si="38"/>
        <v>0</v>
      </c>
      <c r="AC132" s="677" t="str">
        <f t="shared" si="39"/>
        <v/>
      </c>
      <c r="AD132" s="679" t="str">
        <f t="shared" si="41"/>
        <v/>
      </c>
      <c r="AE132" s="678">
        <f t="shared" si="40"/>
        <v>0</v>
      </c>
      <c r="AF132" s="651"/>
      <c r="AG132" s="654"/>
      <c r="AH132" s="654"/>
    </row>
    <row r="133" spans="2:34" x14ac:dyDescent="0.25">
      <c r="B133" s="651"/>
      <c r="C133" s="653"/>
      <c r="D133" s="653"/>
      <c r="E133" s="653"/>
      <c r="F133" s="653"/>
      <c r="G133" s="653"/>
      <c r="H133" s="653"/>
      <c r="I133" s="653"/>
      <c r="J133" s="653"/>
      <c r="K133" s="653"/>
      <c r="L133" s="653"/>
      <c r="M133" s="653"/>
      <c r="N133" s="653"/>
      <c r="O133" s="653"/>
      <c r="P133" s="667" t="str">
        <f t="shared" si="27"/>
        <v/>
      </c>
      <c r="Q133" s="668"/>
      <c r="R133" s="669" t="str">
        <f t="shared" si="42"/>
        <v/>
      </c>
      <c r="S133" s="669" t="str">
        <f>IF(R133="","",IF(AND(P133&gt;=$T$8,P133&lt;=$T$9)=TRUE,IF($T$11="",Q133-R133,IF(Q133&gt;$T$11,$T$11-R133,Q133-R133)),0))</f>
        <v/>
      </c>
      <c r="T133" s="670" t="str">
        <f>IF(S133="","",IF(AND(P133&gt;=$V$8,P133&lt;=$V$9)=TRUE,IF($V$11="",Q133-R133-S133,IF(Q133&gt;$V$10,Q133-R133-S133,0)),0))</f>
        <v/>
      </c>
      <c r="U133" s="671" t="str">
        <f t="shared" si="43"/>
        <v/>
      </c>
      <c r="V133" s="672" t="str">
        <f t="shared" si="44"/>
        <v/>
      </c>
      <c r="W133" s="673" t="str">
        <f t="shared" si="45"/>
        <v/>
      </c>
      <c r="X133" s="674" t="str">
        <f t="shared" si="34"/>
        <v/>
      </c>
      <c r="Y133" s="675" t="str">
        <f t="shared" si="35"/>
        <v/>
      </c>
      <c r="Z133" s="675" t="str">
        <f t="shared" si="36"/>
        <v/>
      </c>
      <c r="AA133" s="676">
        <f t="shared" si="37"/>
        <v>0</v>
      </c>
      <c r="AB133" s="670">
        <f>IF(AA133="","",(IF(AND(P133&lt;=$R$9,P133&gt;=$R$8)=TRUE,$R$6,0)+IF(AND(P133&lt;=$T$9,P133&gt;=$T$8)=TRUE,$T$6,0)+IF(AND(P133&lt;=$V$9,P133&gt;=$V$8)=TRUE,$V$6,0))*-1)</f>
        <v>0</v>
      </c>
      <c r="AC133" s="677"/>
      <c r="AD133" s="679" t="str">
        <f t="shared" si="41"/>
        <v/>
      </c>
      <c r="AE133" s="678">
        <f t="shared" si="40"/>
        <v>0</v>
      </c>
      <c r="AF133" s="651"/>
      <c r="AG133" s="654"/>
      <c r="AH133" s="654"/>
    </row>
    <row r="134" spans="2:34" ht="15.75" thickBot="1" x14ac:dyDescent="0.3">
      <c r="B134" s="651"/>
      <c r="C134" s="653"/>
      <c r="D134" s="653"/>
      <c r="E134" s="653"/>
      <c r="F134" s="653"/>
      <c r="G134" s="653"/>
      <c r="H134" s="653"/>
      <c r="I134" s="653"/>
      <c r="J134" s="653"/>
      <c r="K134" s="653"/>
      <c r="L134" s="653"/>
      <c r="M134" s="653"/>
      <c r="N134" s="653"/>
      <c r="O134" s="653"/>
      <c r="P134" s="660" t="str">
        <f t="shared" si="27"/>
        <v/>
      </c>
      <c r="Q134" s="661"/>
      <c r="R134" s="662" t="str">
        <f t="shared" si="42"/>
        <v/>
      </c>
      <c r="S134" s="662" t="str">
        <f>IF(R134="","",IF(AND(P134&gt;=$T$8,P134&lt;=$T$9)=TRUE,IF($T$11="",Q134-R134,IF(Q134&gt;$T$11,$T$11-R134,Q134-R134)),0))</f>
        <v/>
      </c>
      <c r="T134" s="663" t="str">
        <f>IF(S134="","",IF(AND(P134&gt;=$V$8,P134&lt;=$V$9)=TRUE,IF($V$11="",Q134-R134-S134,IF(Q134&gt;$V$10,Q134-R134-S134,0)),0))</f>
        <v/>
      </c>
      <c r="U134" s="682" t="str">
        <f t="shared" si="43"/>
        <v/>
      </c>
      <c r="V134" s="683" t="str">
        <f t="shared" si="44"/>
        <v/>
      </c>
      <c r="W134" s="684" t="str">
        <f t="shared" si="45"/>
        <v/>
      </c>
      <c r="X134" s="685" t="str">
        <f t="shared" si="34"/>
        <v/>
      </c>
      <c r="Y134" s="686" t="str">
        <f t="shared" si="35"/>
        <v/>
      </c>
      <c r="Z134" s="686" t="str">
        <f t="shared" si="36"/>
        <v/>
      </c>
      <c r="AA134" s="676">
        <f t="shared" si="37"/>
        <v>0</v>
      </c>
      <c r="AB134" s="663">
        <f>IF(AA134="","",(IF(AND(P134&lt;=$R$9,P134&gt;=$R$8)=TRUE,$R$6,0)+IF(AND(P134&lt;=$T$9,P134&gt;=$T$8)=TRUE,$T$6,0)+IF(AND(P134&lt;=$V$9,P134&gt;=$V$8)=TRUE,$V$6,0))*-1)</f>
        <v>0</v>
      </c>
      <c r="AC134" s="687"/>
      <c r="AD134" s="688" t="str">
        <f t="shared" si="41"/>
        <v/>
      </c>
      <c r="AE134" s="678">
        <f t="shared" si="40"/>
        <v>0</v>
      </c>
      <c r="AF134" s="680"/>
      <c r="AG134" s="666"/>
      <c r="AH134" s="654"/>
    </row>
    <row r="135" spans="2:34" x14ac:dyDescent="0.25">
      <c r="B135" s="651"/>
      <c r="C135" s="653"/>
      <c r="D135" s="653"/>
      <c r="E135" s="653"/>
      <c r="F135" s="653"/>
      <c r="G135" s="653"/>
      <c r="H135" s="653"/>
      <c r="I135" s="653"/>
      <c r="J135" s="653"/>
      <c r="K135" s="653"/>
      <c r="L135" s="653"/>
      <c r="M135" s="653"/>
      <c r="N135" s="653"/>
      <c r="O135" s="653"/>
      <c r="P135" s="653"/>
      <c r="Q135" s="653"/>
      <c r="R135" s="653"/>
      <c r="S135" s="653"/>
      <c r="T135" s="653"/>
      <c r="U135" s="653"/>
      <c r="V135" s="653"/>
      <c r="W135" s="653"/>
      <c r="X135" s="653"/>
      <c r="Y135" s="653"/>
      <c r="Z135" s="653" t="s">
        <v>555</v>
      </c>
      <c r="AA135" s="798">
        <f ca="1">NPV(BERECHNUNG!$D$157,AA83:AA132)*-1</f>
        <v>0</v>
      </c>
      <c r="AB135" s="798">
        <f ca="1">NPV(BERECHNUNG!$D$157,AB83:AB132)*-1</f>
        <v>0</v>
      </c>
      <c r="AC135" s="653"/>
      <c r="AD135" s="653"/>
      <c r="AE135" s="798">
        <f ca="1">NPV(BERECHNUNG!$D$157,AE83:AE132)*-1</f>
        <v>0</v>
      </c>
      <c r="AF135" s="653"/>
      <c r="AG135" s="653"/>
      <c r="AH135" s="654"/>
    </row>
    <row r="136" spans="2:34" ht="15.75" thickBot="1" x14ac:dyDescent="0.3">
      <c r="B136" s="680"/>
      <c r="C136" s="681"/>
      <c r="D136" s="681"/>
      <c r="E136" s="681"/>
      <c r="F136" s="681"/>
      <c r="G136" s="681"/>
      <c r="H136" s="681"/>
      <c r="I136" s="681"/>
      <c r="J136" s="681"/>
      <c r="K136" s="681"/>
      <c r="L136" s="681"/>
      <c r="M136" s="681"/>
      <c r="N136" s="681"/>
      <c r="O136" s="681"/>
      <c r="P136" s="681"/>
      <c r="Q136" s="681"/>
      <c r="R136" s="681"/>
      <c r="S136" s="681"/>
      <c r="T136" s="681"/>
      <c r="U136" s="681"/>
      <c r="V136" s="681"/>
      <c r="W136" s="681"/>
      <c r="X136" s="681"/>
      <c r="Y136" s="681"/>
      <c r="Z136" s="681"/>
      <c r="AA136" s="681"/>
      <c r="AB136" s="681"/>
      <c r="AC136" s="681"/>
      <c r="AD136" s="681"/>
      <c r="AE136" s="681"/>
      <c r="AF136" s="681"/>
      <c r="AG136" s="681"/>
      <c r="AH136" s="666"/>
    </row>
    <row r="138" spans="2:34" ht="15.75" thickBot="1" x14ac:dyDescent="0.3"/>
    <row r="139" spans="2:34" x14ac:dyDescent="0.25">
      <c r="B139" s="648"/>
      <c r="C139" s="649"/>
      <c r="D139" s="649"/>
      <c r="E139" s="649"/>
      <c r="F139" s="649"/>
      <c r="G139" s="649"/>
      <c r="H139" s="649"/>
      <c r="I139" s="649"/>
      <c r="J139" s="649"/>
      <c r="K139" s="649"/>
      <c r="L139" s="649"/>
      <c r="M139" s="649"/>
      <c r="N139" s="649"/>
      <c r="O139" s="649"/>
      <c r="P139" s="649"/>
      <c r="Q139" s="649"/>
      <c r="R139" s="649"/>
      <c r="S139" s="649"/>
      <c r="T139" s="649"/>
      <c r="U139" s="649"/>
      <c r="V139" s="649"/>
      <c r="W139" s="649"/>
      <c r="X139" s="649"/>
      <c r="Y139" s="649"/>
      <c r="Z139" s="649"/>
      <c r="AA139" s="649"/>
      <c r="AB139" s="649"/>
      <c r="AC139" s="649"/>
      <c r="AD139" s="649"/>
      <c r="AE139" s="649"/>
      <c r="AF139" s="649"/>
      <c r="AG139" s="649"/>
      <c r="AH139" s="650"/>
    </row>
    <row r="140" spans="2:34" ht="36" x14ac:dyDescent="0.25">
      <c r="B140" s="651"/>
      <c r="C140" s="653"/>
      <c r="D140" s="697" t="str">
        <f>"Variante: "&amp;'1. Projektangaben'!C25&amp;" "</f>
        <v xml:space="preserve">Variante: PH-WDVS-WP-Abl-mittl.Sol-ohne PV </v>
      </c>
      <c r="E140" s="653"/>
      <c r="F140" s="653"/>
      <c r="G140" s="653"/>
      <c r="H140" s="653"/>
      <c r="I140" s="653"/>
      <c r="J140" s="653"/>
      <c r="K140" s="653"/>
      <c r="L140" s="653"/>
      <c r="M140" s="653"/>
      <c r="N140" s="653"/>
      <c r="O140" s="653"/>
      <c r="P140" s="653"/>
      <c r="Q140" s="653"/>
      <c r="R140" s="653"/>
      <c r="S140" s="653"/>
      <c r="T140" s="653"/>
      <c r="U140" s="653"/>
      <c r="V140" s="653"/>
      <c r="W140" s="653"/>
      <c r="X140" s="653"/>
      <c r="Y140" s="653"/>
      <c r="Z140" s="653"/>
      <c r="AA140" s="653"/>
      <c r="AB140" s="653"/>
      <c r="AC140" s="653"/>
      <c r="AD140" s="653"/>
      <c r="AE140" s="653"/>
      <c r="AF140" s="653"/>
      <c r="AG140" s="653"/>
      <c r="AH140" s="654"/>
    </row>
    <row r="141" spans="2:34" x14ac:dyDescent="0.25">
      <c r="B141" s="651"/>
      <c r="C141" s="653"/>
      <c r="D141" s="653"/>
      <c r="E141" s="653"/>
      <c r="F141" s="653"/>
      <c r="G141" s="653"/>
      <c r="H141" s="653"/>
      <c r="I141" s="653"/>
      <c r="J141" s="653"/>
      <c r="K141" s="653"/>
      <c r="L141" s="653"/>
      <c r="M141" s="653"/>
      <c r="N141" s="653"/>
      <c r="O141" s="653"/>
      <c r="P141" s="653"/>
      <c r="Q141" s="653"/>
      <c r="R141" s="653"/>
      <c r="S141" s="653"/>
      <c r="T141" s="653"/>
      <c r="U141" s="653"/>
      <c r="V141" s="653"/>
      <c r="W141" s="653"/>
      <c r="X141" s="653"/>
      <c r="Y141" s="653"/>
      <c r="Z141" s="653"/>
      <c r="AA141" s="653"/>
      <c r="AB141" s="653"/>
      <c r="AC141" s="653"/>
      <c r="AD141" s="653"/>
      <c r="AE141" s="653"/>
      <c r="AF141" s="653"/>
      <c r="AG141" s="653"/>
      <c r="AH141" s="654"/>
    </row>
    <row r="142" spans="2:34" ht="16.5" thickBot="1" x14ac:dyDescent="0.3">
      <c r="B142" s="651"/>
      <c r="C142" s="653"/>
      <c r="D142" s="652"/>
      <c r="E142" s="691"/>
      <c r="F142" s="691"/>
      <c r="G142" s="692"/>
      <c r="H142" s="691"/>
      <c r="I142" s="691"/>
      <c r="J142" s="691"/>
      <c r="K142" s="693"/>
      <c r="L142" s="691"/>
      <c r="M142" s="691"/>
      <c r="N142" s="653"/>
      <c r="O142" s="653"/>
      <c r="P142" s="653"/>
      <c r="Q142" s="653"/>
      <c r="R142" s="653"/>
      <c r="S142" s="653"/>
      <c r="T142" s="653"/>
      <c r="U142" s="653"/>
      <c r="V142" s="653"/>
      <c r="W142" s="653"/>
      <c r="X142" s="653"/>
      <c r="Y142" s="653"/>
      <c r="Z142" s="653"/>
      <c r="AA142" s="653"/>
      <c r="AB142" s="653"/>
      <c r="AC142" s="653"/>
      <c r="AD142" s="653"/>
      <c r="AE142" s="653"/>
      <c r="AF142" s="653"/>
      <c r="AG142" s="653"/>
      <c r="AH142" s="654"/>
    </row>
    <row r="143" spans="2:34" ht="16.5" thickBot="1" x14ac:dyDescent="0.3">
      <c r="B143" s="651"/>
      <c r="C143" s="653"/>
      <c r="D143" s="652"/>
      <c r="E143" s="691"/>
      <c r="F143" s="691"/>
      <c r="G143" s="692"/>
      <c r="H143" s="691"/>
      <c r="I143" s="691"/>
      <c r="J143" s="691"/>
      <c r="K143" s="693"/>
      <c r="L143" s="691"/>
      <c r="M143" s="691"/>
      <c r="N143" s="653"/>
      <c r="O143" s="653"/>
      <c r="P143" s="653"/>
      <c r="Q143" s="1689" t="s">
        <v>165</v>
      </c>
      <c r="R143" s="1690"/>
      <c r="S143" s="1690"/>
      <c r="T143" s="1690"/>
      <c r="U143" s="1690"/>
      <c r="V143" s="1690"/>
      <c r="W143" s="1690"/>
      <c r="X143" s="1690"/>
      <c r="Y143" s="1690"/>
      <c r="Z143" s="1690"/>
      <c r="AA143" s="1690"/>
      <c r="AB143" s="1691"/>
      <c r="AC143" s="1692" t="s">
        <v>475</v>
      </c>
      <c r="AD143" s="1693"/>
      <c r="AE143" s="1694"/>
      <c r="AF143" s="653"/>
      <c r="AG143" s="653"/>
      <c r="AH143" s="654"/>
    </row>
    <row r="144" spans="2:34" ht="45.75" thickBot="1" x14ac:dyDescent="0.3">
      <c r="B144" s="651"/>
      <c r="C144" s="653"/>
      <c r="D144" s="695"/>
      <c r="E144" s="653"/>
      <c r="F144" s="653"/>
      <c r="G144" s="653"/>
      <c r="H144" s="653"/>
      <c r="I144" s="653"/>
      <c r="J144" s="653"/>
      <c r="K144" s="653"/>
      <c r="L144" s="653"/>
      <c r="M144" s="653"/>
      <c r="N144" s="653"/>
      <c r="O144" s="653"/>
      <c r="P144" s="655"/>
      <c r="Q144" s="1695" t="s">
        <v>476</v>
      </c>
      <c r="R144" s="1696"/>
      <c r="S144" s="1696"/>
      <c r="T144" s="1697"/>
      <c r="U144" s="1695" t="s">
        <v>477</v>
      </c>
      <c r="V144" s="1696"/>
      <c r="W144" s="1697"/>
      <c r="X144" s="1695" t="s">
        <v>478</v>
      </c>
      <c r="Y144" s="1696"/>
      <c r="Z144" s="1696"/>
      <c r="AA144" s="1697"/>
      <c r="AB144" s="656" t="s">
        <v>479</v>
      </c>
      <c r="AC144" s="657" t="s">
        <v>475</v>
      </c>
      <c r="AD144" s="658" t="s">
        <v>477</v>
      </c>
      <c r="AE144" s="658" t="s">
        <v>480</v>
      </c>
      <c r="AF144" s="659"/>
      <c r="AG144" s="659"/>
      <c r="AH144" s="654"/>
    </row>
    <row r="145" spans="2:34" ht="15.75" thickBot="1" x14ac:dyDescent="0.3">
      <c r="B145" s="651"/>
      <c r="C145" s="648"/>
      <c r="D145" s="649"/>
      <c r="E145" s="649"/>
      <c r="F145" s="649"/>
      <c r="G145" s="649"/>
      <c r="H145" s="649"/>
      <c r="I145" s="649"/>
      <c r="J145" s="649"/>
      <c r="K145" s="649"/>
      <c r="L145" s="649"/>
      <c r="M145" s="649"/>
      <c r="N145" s="650"/>
      <c r="O145" s="653"/>
      <c r="P145" s="660" t="s">
        <v>248</v>
      </c>
      <c r="Q145" s="661" t="s">
        <v>369</v>
      </c>
      <c r="R145" s="662" t="s">
        <v>482</v>
      </c>
      <c r="S145" s="662" t="s">
        <v>483</v>
      </c>
      <c r="T145" s="663" t="s">
        <v>484</v>
      </c>
      <c r="U145" s="661" t="s">
        <v>482</v>
      </c>
      <c r="V145" s="662" t="s">
        <v>483</v>
      </c>
      <c r="W145" s="663" t="s">
        <v>484</v>
      </c>
      <c r="X145" s="661" t="s">
        <v>482</v>
      </c>
      <c r="Y145" s="662" t="s">
        <v>483</v>
      </c>
      <c r="Z145" s="662" t="s">
        <v>484</v>
      </c>
      <c r="AA145" s="663" t="s">
        <v>369</v>
      </c>
      <c r="AB145" s="663" t="s">
        <v>485</v>
      </c>
      <c r="AC145" s="664" t="s">
        <v>369</v>
      </c>
      <c r="AD145" s="665" t="s">
        <v>369</v>
      </c>
      <c r="AE145" s="665" t="s">
        <v>486</v>
      </c>
      <c r="AF145" s="666"/>
      <c r="AG145" s="666"/>
      <c r="AH145" s="654"/>
    </row>
    <row r="146" spans="2:34" ht="15.75" x14ac:dyDescent="0.25">
      <c r="B146" s="651"/>
      <c r="C146" s="651"/>
      <c r="D146" s="652" t="s">
        <v>330</v>
      </c>
      <c r="E146" s="653"/>
      <c r="F146" s="653"/>
      <c r="G146" s="653"/>
      <c r="H146" s="653"/>
      <c r="I146" s="653"/>
      <c r="J146" s="653"/>
      <c r="K146" s="653"/>
      <c r="L146" s="653"/>
      <c r="M146" s="653"/>
      <c r="N146" s="654"/>
      <c r="O146" s="653"/>
      <c r="P146" s="667">
        <f>IF($G$5&gt;1,1,"")</f>
        <v>1</v>
      </c>
      <c r="Q146" s="668">
        <f ca="1">IF(P146="","",$G$148-$G$149)</f>
        <v>0</v>
      </c>
      <c r="R146" s="669">
        <f t="shared" ref="R146:R177" ca="1" si="46">IF(Q146="","",IF(P146&lt;=$R$9,IF(Q146&gt;$R$11,$R$11,Q146),0))</f>
        <v>0</v>
      </c>
      <c r="S146" s="669">
        <f ca="1">IF(R146="","",IF(AND(P146&gt;=$T$8,P146&lt;=$T$9)=TRUE,IF(OR($T$11="",$T$11=0),Q146-R146,IF(Q146&gt;$T$11,$T$11-R146,Q146-R146)),0))</f>
        <v>0</v>
      </c>
      <c r="T146" s="670">
        <f ca="1">IF(S146="","",IF(AND(P146&gt;=$V$8,P146&lt;=$V$9)=TRUE,IF(OR($V$11="",$V$11=0),Q146-R146-S146,IF(Q146&gt;$V$10,Q146-R146-S146,0)),0))</f>
        <v>0</v>
      </c>
      <c r="U146" s="671">
        <f>$R$5</f>
        <v>0.05</v>
      </c>
      <c r="V146" s="672">
        <f>$T$5</f>
        <v>2.5000000000000001E-2</v>
      </c>
      <c r="W146" s="673">
        <f>$V$5</f>
        <v>0</v>
      </c>
      <c r="X146" s="674">
        <f ca="1">IF(W146="","",IF(R146&gt;0,(U146*R146),0))</f>
        <v>0</v>
      </c>
      <c r="Y146" s="675">
        <f ca="1">IF(X146="","",IF(S146&gt;0,(V146*S146),0))</f>
        <v>0</v>
      </c>
      <c r="Z146" s="675">
        <f ca="1">IF(Y146="","",IF(T146&gt;0,(W146*T146),0))</f>
        <v>0</v>
      </c>
      <c r="AA146" s="676">
        <f ca="1">IF(Z146="",0,SUM(X146:Z146))</f>
        <v>0</v>
      </c>
      <c r="AB146" s="670">
        <f ca="1">IF(OR(AA146="",AA146=0),0,(IF(AND(P146&lt;=$R$9,P146&gt;=$R$8)=TRUE,$R$6,0)+IF(AND(P146&lt;=$T$9,P146&gt;=$T$8)=TRUE,$T$6,0)+IF(AND(P146&lt;=$V$9,P146&gt;=$V$8)=TRUE,$V$6,0))*-1)</f>
        <v>0</v>
      </c>
      <c r="AC146" s="677">
        <f ca="1">IF(P146="","",$G$149)</f>
        <v>0</v>
      </c>
      <c r="AD146" s="679">
        <f>$G$6</f>
        <v>0.15551999999999999</v>
      </c>
      <c r="AE146" s="678">
        <f ca="1">IF(P146="",0,AC146*AD146)</f>
        <v>0</v>
      </c>
      <c r="AF146" s="648"/>
      <c r="AG146" s="650"/>
      <c r="AH146" s="654"/>
    </row>
    <row r="147" spans="2:34" ht="15.75" x14ac:dyDescent="0.25">
      <c r="B147" s="651"/>
      <c r="C147" s="651"/>
      <c r="D147" s="652"/>
      <c r="E147" s="653"/>
      <c r="F147" s="653"/>
      <c r="G147" s="653"/>
      <c r="H147" s="653"/>
      <c r="I147" s="653"/>
      <c r="J147" s="653"/>
      <c r="K147" s="653"/>
      <c r="L147" s="653"/>
      <c r="M147" s="653"/>
      <c r="N147" s="654"/>
      <c r="O147" s="653"/>
      <c r="P147" s="667">
        <f t="shared" ref="P147:P197" si="47">IF($G$5&gt;P146,P146+1,"")</f>
        <v>2</v>
      </c>
      <c r="Q147" s="668">
        <f t="shared" ref="Q147:Q195" ca="1" si="48">IF(P147="","",$G$148-$G$149)</f>
        <v>0</v>
      </c>
      <c r="R147" s="669">
        <f t="shared" ca="1" si="46"/>
        <v>0</v>
      </c>
      <c r="S147" s="669">
        <f t="shared" ref="S147:S195" ca="1" si="49">IF(R147="","",IF(AND(P147&gt;=$T$8,P147&lt;=$T$9)=TRUE,IF(OR($T$11="",$T$11=0),Q147-R147,IF(Q147&gt;$T$11,$T$11-R147,Q147-R147)),0))</f>
        <v>0</v>
      </c>
      <c r="T147" s="670">
        <f t="shared" ref="T147:T195" ca="1" si="50">IF(S147="","",IF(AND(P147&gt;=$V$8,P147&lt;=$V$9)=TRUE,IF(OR($V$11="",$V$11=0),Q147-R147-S147,IF(Q147&gt;$V$10,Q147-R147-S147,0)),0))</f>
        <v>0</v>
      </c>
      <c r="U147" s="671">
        <f t="shared" ref="U147:U178" ca="1" si="51">IF(R147="","",U146*(1+$R$7))</f>
        <v>5.1249999999999997E-2</v>
      </c>
      <c r="V147" s="672">
        <f t="shared" ref="V147:V178" ca="1" si="52">IF(S147="","",V146*(1+$T$7))</f>
        <v>2.5624999999999998E-2</v>
      </c>
      <c r="W147" s="673">
        <f t="shared" ref="W147:W178" ca="1" si="53">IF(T147="","",W146*(1+$V$7))</f>
        <v>0</v>
      </c>
      <c r="X147" s="674">
        <f t="shared" ref="X147:X197" ca="1" si="54">IF(W147="","",IF(R147&gt;0,(U147*R147),0))</f>
        <v>0</v>
      </c>
      <c r="Y147" s="675">
        <f t="shared" ref="Y147:Y197" ca="1" si="55">IF(X147="","",IF(S147&gt;0,(V147*S147),0))</f>
        <v>0</v>
      </c>
      <c r="Z147" s="675">
        <f t="shared" ref="Z147:Z197" ca="1" si="56">IF(Y147="","",IF(T147&gt;0,(W147*T147),0))</f>
        <v>0</v>
      </c>
      <c r="AA147" s="676">
        <f t="shared" ref="AA147:AA197" ca="1" si="57">IF(Z147="",0,SUM(X147:Z147))</f>
        <v>0</v>
      </c>
      <c r="AB147" s="670">
        <f t="shared" ref="AB147:AB195" ca="1" si="58">IF(OR(AA147="",AA147=0),0,(IF(AND(P147&lt;=$R$9,P147&gt;=$R$8)=TRUE,$R$6,0)+IF(AND(P147&lt;=$T$9,P147&gt;=$T$8)=TRUE,$T$6,0)+IF(AND(P147&lt;=$V$9,P147&gt;=$V$8)=TRUE,$V$6,0))*-1)</f>
        <v>0</v>
      </c>
      <c r="AC147" s="677">
        <f t="shared" ref="AC147:AC195" ca="1" si="59">IF(P147="","",$G$149)</f>
        <v>0</v>
      </c>
      <c r="AD147" s="679">
        <f>IF(P147="","",AD146*(1+$G$7))</f>
        <v>0.15940799999999997</v>
      </c>
      <c r="AE147" s="678">
        <f t="shared" ref="AE147:AE197" ca="1" si="60">IF(P147="",0,AC147*AD147)</f>
        <v>0</v>
      </c>
      <c r="AF147" s="651"/>
      <c r="AG147" s="654"/>
      <c r="AH147" s="654"/>
    </row>
    <row r="148" spans="2:34" x14ac:dyDescent="0.25">
      <c r="B148" s="651"/>
      <c r="C148" s="651"/>
      <c r="D148" s="653"/>
      <c r="E148" s="689" t="s">
        <v>487</v>
      </c>
      <c r="F148" s="689" t="s">
        <v>488</v>
      </c>
      <c r="G148" s="690">
        <f ca="1">'2. Energie KW.'!J98</f>
        <v>0</v>
      </c>
      <c r="H148" s="653"/>
      <c r="I148" s="653" t="s">
        <v>489</v>
      </c>
      <c r="J148" s="653"/>
      <c r="K148" s="653"/>
      <c r="L148" s="653"/>
      <c r="M148" s="653"/>
      <c r="N148" s="654"/>
      <c r="O148" s="653"/>
      <c r="P148" s="667">
        <f t="shared" si="47"/>
        <v>3</v>
      </c>
      <c r="Q148" s="668">
        <f t="shared" ca="1" si="48"/>
        <v>0</v>
      </c>
      <c r="R148" s="669">
        <f t="shared" ca="1" si="46"/>
        <v>0</v>
      </c>
      <c r="S148" s="669">
        <f t="shared" ca="1" si="49"/>
        <v>0</v>
      </c>
      <c r="T148" s="670">
        <f t="shared" ca="1" si="50"/>
        <v>0</v>
      </c>
      <c r="U148" s="671">
        <f t="shared" ca="1" si="51"/>
        <v>5.2531249999999995E-2</v>
      </c>
      <c r="V148" s="672">
        <f t="shared" ca="1" si="52"/>
        <v>2.6265624999999997E-2</v>
      </c>
      <c r="W148" s="673">
        <f t="shared" ca="1" si="53"/>
        <v>0</v>
      </c>
      <c r="X148" s="674">
        <f t="shared" ca="1" si="54"/>
        <v>0</v>
      </c>
      <c r="Y148" s="675">
        <f t="shared" ca="1" si="55"/>
        <v>0</v>
      </c>
      <c r="Z148" s="675">
        <f t="shared" ca="1" si="56"/>
        <v>0</v>
      </c>
      <c r="AA148" s="676">
        <f t="shared" ca="1" si="57"/>
        <v>0</v>
      </c>
      <c r="AB148" s="670">
        <f t="shared" ca="1" si="58"/>
        <v>0</v>
      </c>
      <c r="AC148" s="677">
        <f t="shared" ca="1" si="59"/>
        <v>0</v>
      </c>
      <c r="AD148" s="679">
        <f t="shared" ref="AD148:AD197" si="61">IF(P148="","",AD147*(1+$G$7))</f>
        <v>0.16339319999999996</v>
      </c>
      <c r="AE148" s="678">
        <f t="shared" ca="1" si="60"/>
        <v>0</v>
      </c>
      <c r="AF148" s="651"/>
      <c r="AG148" s="654"/>
      <c r="AH148" s="654"/>
    </row>
    <row r="149" spans="2:34" x14ac:dyDescent="0.25">
      <c r="B149" s="651"/>
      <c r="C149" s="651"/>
      <c r="D149" s="653"/>
      <c r="E149" s="689" t="s">
        <v>486</v>
      </c>
      <c r="F149" s="689" t="s">
        <v>488</v>
      </c>
      <c r="G149" s="690">
        <f ca="1">'2. Energie KW.'!J99</f>
        <v>0</v>
      </c>
      <c r="H149" s="653"/>
      <c r="I149" s="653" t="s">
        <v>490</v>
      </c>
      <c r="J149" s="653"/>
      <c r="K149" s="653"/>
      <c r="L149" s="653"/>
      <c r="M149" s="653"/>
      <c r="N149" s="654"/>
      <c r="O149" s="653"/>
      <c r="P149" s="667">
        <f t="shared" si="47"/>
        <v>4</v>
      </c>
      <c r="Q149" s="668">
        <f t="shared" ca="1" si="48"/>
        <v>0</v>
      </c>
      <c r="R149" s="669">
        <f t="shared" ca="1" si="46"/>
        <v>0</v>
      </c>
      <c r="S149" s="669">
        <f t="shared" ca="1" si="49"/>
        <v>0</v>
      </c>
      <c r="T149" s="670">
        <f t="shared" ca="1" si="50"/>
        <v>0</v>
      </c>
      <c r="U149" s="671">
        <f t="shared" ca="1" si="51"/>
        <v>5.3844531249999987E-2</v>
      </c>
      <c r="V149" s="672">
        <f t="shared" ca="1" si="52"/>
        <v>2.6922265624999994E-2</v>
      </c>
      <c r="W149" s="673">
        <f t="shared" ca="1" si="53"/>
        <v>0</v>
      </c>
      <c r="X149" s="674">
        <f t="shared" ca="1" si="54"/>
        <v>0</v>
      </c>
      <c r="Y149" s="675">
        <f t="shared" ca="1" si="55"/>
        <v>0</v>
      </c>
      <c r="Z149" s="675">
        <f t="shared" ca="1" si="56"/>
        <v>0</v>
      </c>
      <c r="AA149" s="676">
        <f t="shared" ca="1" si="57"/>
        <v>0</v>
      </c>
      <c r="AB149" s="670">
        <f t="shared" ca="1" si="58"/>
        <v>0</v>
      </c>
      <c r="AC149" s="677">
        <f t="shared" ca="1" si="59"/>
        <v>0</v>
      </c>
      <c r="AD149" s="679">
        <f t="shared" si="61"/>
        <v>0.16747802999999994</v>
      </c>
      <c r="AE149" s="678">
        <f t="shared" ca="1" si="60"/>
        <v>0</v>
      </c>
      <c r="AF149" s="651"/>
      <c r="AG149" s="654"/>
      <c r="AH149" s="654"/>
    </row>
    <row r="150" spans="2:34" x14ac:dyDescent="0.25">
      <c r="B150" s="651"/>
      <c r="C150" s="651"/>
      <c r="D150" s="653"/>
      <c r="E150" s="653"/>
      <c r="F150" s="653"/>
      <c r="G150" s="653"/>
      <c r="H150" s="653"/>
      <c r="I150" s="653"/>
      <c r="J150" s="653"/>
      <c r="K150" s="653"/>
      <c r="L150" s="653"/>
      <c r="M150" s="653"/>
      <c r="N150" s="654"/>
      <c r="O150" s="653"/>
      <c r="P150" s="667">
        <f t="shared" si="47"/>
        <v>5</v>
      </c>
      <c r="Q150" s="668">
        <f t="shared" ca="1" si="48"/>
        <v>0</v>
      </c>
      <c r="R150" s="669">
        <f t="shared" ca="1" si="46"/>
        <v>0</v>
      </c>
      <c r="S150" s="669">
        <f t="shared" ca="1" si="49"/>
        <v>0</v>
      </c>
      <c r="T150" s="670">
        <f t="shared" ca="1" si="50"/>
        <v>0</v>
      </c>
      <c r="U150" s="671">
        <f t="shared" ca="1" si="51"/>
        <v>5.5190644531249979E-2</v>
      </c>
      <c r="V150" s="672">
        <f t="shared" ca="1" si="52"/>
        <v>2.7595322265624989E-2</v>
      </c>
      <c r="W150" s="673">
        <f t="shared" ca="1" si="53"/>
        <v>0</v>
      </c>
      <c r="X150" s="674">
        <f t="shared" ca="1" si="54"/>
        <v>0</v>
      </c>
      <c r="Y150" s="675">
        <f t="shared" ca="1" si="55"/>
        <v>0</v>
      </c>
      <c r="Z150" s="675">
        <f t="shared" ca="1" si="56"/>
        <v>0</v>
      </c>
      <c r="AA150" s="676">
        <f t="shared" ca="1" si="57"/>
        <v>0</v>
      </c>
      <c r="AB150" s="670">
        <f t="shared" ca="1" si="58"/>
        <v>0</v>
      </c>
      <c r="AC150" s="677">
        <f t="shared" ca="1" si="59"/>
        <v>0</v>
      </c>
      <c r="AD150" s="679">
        <f t="shared" si="61"/>
        <v>0.17166498074999992</v>
      </c>
      <c r="AE150" s="678">
        <f t="shared" ca="1" si="60"/>
        <v>0</v>
      </c>
      <c r="AF150" s="651"/>
      <c r="AG150" s="654"/>
      <c r="AH150" s="654"/>
    </row>
    <row r="151" spans="2:34" x14ac:dyDescent="0.25">
      <c r="B151" s="651"/>
      <c r="C151" s="651"/>
      <c r="D151" s="653"/>
      <c r="E151" s="653"/>
      <c r="F151" s="653"/>
      <c r="G151" s="653"/>
      <c r="H151" s="653"/>
      <c r="I151" s="653"/>
      <c r="J151" s="653"/>
      <c r="K151" s="653"/>
      <c r="L151" s="653"/>
      <c r="M151" s="653"/>
      <c r="N151" s="654"/>
      <c r="O151" s="653"/>
      <c r="P151" s="667">
        <f t="shared" si="47"/>
        <v>6</v>
      </c>
      <c r="Q151" s="668">
        <f t="shared" ca="1" si="48"/>
        <v>0</v>
      </c>
      <c r="R151" s="669">
        <f t="shared" ca="1" si="46"/>
        <v>0</v>
      </c>
      <c r="S151" s="669">
        <f t="shared" ca="1" si="49"/>
        <v>0</v>
      </c>
      <c r="T151" s="670">
        <f t="shared" ca="1" si="50"/>
        <v>0</v>
      </c>
      <c r="U151" s="671">
        <f t="shared" ca="1" si="51"/>
        <v>5.6570410644531222E-2</v>
      </c>
      <c r="V151" s="672">
        <f t="shared" ca="1" si="52"/>
        <v>2.8285205322265611E-2</v>
      </c>
      <c r="W151" s="673">
        <f t="shared" ca="1" si="53"/>
        <v>0</v>
      </c>
      <c r="X151" s="674">
        <f t="shared" ca="1" si="54"/>
        <v>0</v>
      </c>
      <c r="Y151" s="675">
        <f t="shared" ca="1" si="55"/>
        <v>0</v>
      </c>
      <c r="Z151" s="675">
        <f t="shared" ca="1" si="56"/>
        <v>0</v>
      </c>
      <c r="AA151" s="676">
        <f t="shared" ca="1" si="57"/>
        <v>0</v>
      </c>
      <c r="AB151" s="670">
        <f t="shared" ca="1" si="58"/>
        <v>0</v>
      </c>
      <c r="AC151" s="677">
        <f t="shared" ca="1" si="59"/>
        <v>0</v>
      </c>
      <c r="AD151" s="679">
        <f t="shared" si="61"/>
        <v>0.1759566052687499</v>
      </c>
      <c r="AE151" s="678">
        <f t="shared" ca="1" si="60"/>
        <v>0</v>
      </c>
      <c r="AF151" s="651"/>
      <c r="AG151" s="654"/>
      <c r="AH151" s="654"/>
    </row>
    <row r="152" spans="2:34" ht="15.75" x14ac:dyDescent="0.25">
      <c r="B152" s="651"/>
      <c r="C152" s="651"/>
      <c r="D152" s="652"/>
      <c r="E152" s="653"/>
      <c r="F152" s="653"/>
      <c r="G152" s="653"/>
      <c r="H152" s="653"/>
      <c r="I152" s="653"/>
      <c r="J152" s="653"/>
      <c r="K152" s="653"/>
      <c r="L152" s="653"/>
      <c r="M152" s="653"/>
      <c r="N152" s="654"/>
      <c r="O152" s="653"/>
      <c r="P152" s="667">
        <f t="shared" si="47"/>
        <v>7</v>
      </c>
      <c r="Q152" s="668">
        <f t="shared" ca="1" si="48"/>
        <v>0</v>
      </c>
      <c r="R152" s="669">
        <f t="shared" ca="1" si="46"/>
        <v>0</v>
      </c>
      <c r="S152" s="669">
        <f t="shared" ca="1" si="49"/>
        <v>0</v>
      </c>
      <c r="T152" s="670">
        <f t="shared" ca="1" si="50"/>
        <v>0</v>
      </c>
      <c r="U152" s="671">
        <f t="shared" ca="1" si="51"/>
        <v>5.7984670910644499E-2</v>
      </c>
      <c r="V152" s="672">
        <f t="shared" ca="1" si="52"/>
        <v>2.899233545532225E-2</v>
      </c>
      <c r="W152" s="673">
        <f t="shared" ca="1" si="53"/>
        <v>0</v>
      </c>
      <c r="X152" s="674">
        <f t="shared" ca="1" si="54"/>
        <v>0</v>
      </c>
      <c r="Y152" s="675">
        <f t="shared" ca="1" si="55"/>
        <v>0</v>
      </c>
      <c r="Z152" s="675">
        <f t="shared" ca="1" si="56"/>
        <v>0</v>
      </c>
      <c r="AA152" s="676">
        <f t="shared" ca="1" si="57"/>
        <v>0</v>
      </c>
      <c r="AB152" s="670">
        <f t="shared" ca="1" si="58"/>
        <v>0</v>
      </c>
      <c r="AC152" s="677">
        <f t="shared" ca="1" si="59"/>
        <v>0</v>
      </c>
      <c r="AD152" s="679">
        <f t="shared" si="61"/>
        <v>0.18035552040046862</v>
      </c>
      <c r="AE152" s="678">
        <f t="shared" ca="1" si="60"/>
        <v>0</v>
      </c>
      <c r="AF152" s="651"/>
      <c r="AG152" s="654"/>
      <c r="AH152" s="654"/>
    </row>
    <row r="153" spans="2:34" x14ac:dyDescent="0.25">
      <c r="B153" s="651"/>
      <c r="C153" s="651"/>
      <c r="D153" s="653"/>
      <c r="E153" s="653"/>
      <c r="F153" s="653"/>
      <c r="G153" s="653"/>
      <c r="H153" s="653"/>
      <c r="I153" s="653"/>
      <c r="J153" s="653"/>
      <c r="K153" s="653"/>
      <c r="L153" s="653"/>
      <c r="M153" s="653"/>
      <c r="N153" s="654"/>
      <c r="O153" s="653"/>
      <c r="P153" s="667">
        <f t="shared" si="47"/>
        <v>8</v>
      </c>
      <c r="Q153" s="668">
        <f t="shared" ca="1" si="48"/>
        <v>0</v>
      </c>
      <c r="R153" s="669">
        <f t="shared" ca="1" si="46"/>
        <v>0</v>
      </c>
      <c r="S153" s="669">
        <f t="shared" ca="1" si="49"/>
        <v>0</v>
      </c>
      <c r="T153" s="670">
        <f t="shared" ca="1" si="50"/>
        <v>0</v>
      </c>
      <c r="U153" s="671">
        <f t="shared" ca="1" si="51"/>
        <v>5.9434287683410608E-2</v>
      </c>
      <c r="V153" s="672">
        <f t="shared" ca="1" si="52"/>
        <v>2.9717143841705304E-2</v>
      </c>
      <c r="W153" s="673">
        <f t="shared" ca="1" si="53"/>
        <v>0</v>
      </c>
      <c r="X153" s="674">
        <f t="shared" ca="1" si="54"/>
        <v>0</v>
      </c>
      <c r="Y153" s="675">
        <f t="shared" ca="1" si="55"/>
        <v>0</v>
      </c>
      <c r="Z153" s="675">
        <f t="shared" ca="1" si="56"/>
        <v>0</v>
      </c>
      <c r="AA153" s="676">
        <f t="shared" ca="1" si="57"/>
        <v>0</v>
      </c>
      <c r="AB153" s="670">
        <f t="shared" ca="1" si="58"/>
        <v>0</v>
      </c>
      <c r="AC153" s="677">
        <f t="shared" ca="1" si="59"/>
        <v>0</v>
      </c>
      <c r="AD153" s="679">
        <f t="shared" si="61"/>
        <v>0.18486440841048032</v>
      </c>
      <c r="AE153" s="678">
        <f t="shared" ca="1" si="60"/>
        <v>0</v>
      </c>
      <c r="AF153" s="651"/>
      <c r="AG153" s="654"/>
      <c r="AH153" s="654"/>
    </row>
    <row r="154" spans="2:34" x14ac:dyDescent="0.25">
      <c r="B154" s="651"/>
      <c r="C154" s="651"/>
      <c r="D154" s="653"/>
      <c r="E154" s="653"/>
      <c r="F154" s="653"/>
      <c r="G154" s="653"/>
      <c r="H154" s="653"/>
      <c r="I154" s="653"/>
      <c r="J154" s="653"/>
      <c r="K154" s="653"/>
      <c r="L154" s="653"/>
      <c r="M154" s="653"/>
      <c r="N154" s="653"/>
      <c r="O154" s="653"/>
      <c r="P154" s="667">
        <f t="shared" si="47"/>
        <v>9</v>
      </c>
      <c r="Q154" s="668">
        <f t="shared" ca="1" si="48"/>
        <v>0</v>
      </c>
      <c r="R154" s="669">
        <f t="shared" ca="1" si="46"/>
        <v>0</v>
      </c>
      <c r="S154" s="669">
        <f t="shared" ca="1" si="49"/>
        <v>0</v>
      </c>
      <c r="T154" s="670">
        <f t="shared" ca="1" si="50"/>
        <v>0</v>
      </c>
      <c r="U154" s="671">
        <f t="shared" ca="1" si="51"/>
        <v>6.0920144875495866E-2</v>
      </c>
      <c r="V154" s="672">
        <f t="shared" ca="1" si="52"/>
        <v>3.0460072437747933E-2</v>
      </c>
      <c r="W154" s="673">
        <f t="shared" ca="1" si="53"/>
        <v>0</v>
      </c>
      <c r="X154" s="674">
        <f t="shared" ca="1" si="54"/>
        <v>0</v>
      </c>
      <c r="Y154" s="675">
        <f t="shared" ca="1" si="55"/>
        <v>0</v>
      </c>
      <c r="Z154" s="675">
        <f t="shared" ca="1" si="56"/>
        <v>0</v>
      </c>
      <c r="AA154" s="676">
        <f t="shared" ca="1" si="57"/>
        <v>0</v>
      </c>
      <c r="AB154" s="670">
        <f t="shared" ca="1" si="58"/>
        <v>0</v>
      </c>
      <c r="AC154" s="677">
        <f t="shared" ca="1" si="59"/>
        <v>0</v>
      </c>
      <c r="AD154" s="679">
        <f t="shared" si="61"/>
        <v>0.18948601862074232</v>
      </c>
      <c r="AE154" s="678">
        <f t="shared" ca="1" si="60"/>
        <v>0</v>
      </c>
      <c r="AF154" s="651"/>
      <c r="AG154" s="654"/>
      <c r="AH154" s="654"/>
    </row>
    <row r="155" spans="2:34" ht="15.75" thickBot="1" x14ac:dyDescent="0.3">
      <c r="B155" s="651"/>
      <c r="C155" s="680"/>
      <c r="D155" s="681"/>
      <c r="E155" s="681"/>
      <c r="F155" s="681"/>
      <c r="G155" s="681"/>
      <c r="H155" s="681"/>
      <c r="I155" s="681"/>
      <c r="J155" s="681"/>
      <c r="K155" s="681"/>
      <c r="L155" s="681"/>
      <c r="M155" s="681"/>
      <c r="N155" s="666"/>
      <c r="O155" s="653"/>
      <c r="P155" s="667">
        <f t="shared" si="47"/>
        <v>10</v>
      </c>
      <c r="Q155" s="668">
        <f t="shared" ca="1" si="48"/>
        <v>0</v>
      </c>
      <c r="R155" s="669">
        <f t="shared" ca="1" si="46"/>
        <v>0</v>
      </c>
      <c r="S155" s="669">
        <f t="shared" ca="1" si="49"/>
        <v>0</v>
      </c>
      <c r="T155" s="670">
        <f t="shared" ca="1" si="50"/>
        <v>0</v>
      </c>
      <c r="U155" s="671">
        <f t="shared" ca="1" si="51"/>
        <v>6.2443148497383257E-2</v>
      </c>
      <c r="V155" s="672">
        <f t="shared" ca="1" si="52"/>
        <v>3.1221574248691628E-2</v>
      </c>
      <c r="W155" s="673">
        <f t="shared" ca="1" si="53"/>
        <v>0</v>
      </c>
      <c r="X155" s="674">
        <f t="shared" ca="1" si="54"/>
        <v>0</v>
      </c>
      <c r="Y155" s="675">
        <f t="shared" ca="1" si="55"/>
        <v>0</v>
      </c>
      <c r="Z155" s="675">
        <f t="shared" ca="1" si="56"/>
        <v>0</v>
      </c>
      <c r="AA155" s="676">
        <f t="shared" ca="1" si="57"/>
        <v>0</v>
      </c>
      <c r="AB155" s="670">
        <f t="shared" ca="1" si="58"/>
        <v>0</v>
      </c>
      <c r="AC155" s="677">
        <f t="shared" ca="1" si="59"/>
        <v>0</v>
      </c>
      <c r="AD155" s="679">
        <f t="shared" si="61"/>
        <v>0.19422316908626086</v>
      </c>
      <c r="AE155" s="678">
        <f t="shared" ca="1" si="60"/>
        <v>0</v>
      </c>
      <c r="AF155" s="651"/>
      <c r="AG155" s="654"/>
      <c r="AH155" s="654"/>
    </row>
    <row r="156" spans="2:34" ht="15.75" thickBot="1" x14ac:dyDescent="0.3">
      <c r="B156" s="651"/>
      <c r="C156" s="653"/>
      <c r="D156" s="653"/>
      <c r="E156" s="653"/>
      <c r="F156" s="653"/>
      <c r="G156" s="653"/>
      <c r="H156" s="653"/>
      <c r="I156" s="653"/>
      <c r="J156" s="653"/>
      <c r="K156" s="653"/>
      <c r="L156" s="653"/>
      <c r="M156" s="653"/>
      <c r="N156" s="653"/>
      <c r="O156" s="653"/>
      <c r="P156" s="667">
        <f t="shared" si="47"/>
        <v>11</v>
      </c>
      <c r="Q156" s="668">
        <f t="shared" ca="1" si="48"/>
        <v>0</v>
      </c>
      <c r="R156" s="669">
        <f t="shared" ca="1" si="46"/>
        <v>0</v>
      </c>
      <c r="S156" s="669">
        <f t="shared" ca="1" si="49"/>
        <v>0</v>
      </c>
      <c r="T156" s="670">
        <f t="shared" ca="1" si="50"/>
        <v>0</v>
      </c>
      <c r="U156" s="671">
        <f t="shared" ca="1" si="51"/>
        <v>6.4004227209817827E-2</v>
      </c>
      <c r="V156" s="672">
        <f t="shared" ca="1" si="52"/>
        <v>3.2002113604908913E-2</v>
      </c>
      <c r="W156" s="673">
        <f t="shared" ca="1" si="53"/>
        <v>0</v>
      </c>
      <c r="X156" s="674">
        <f t="shared" ca="1" si="54"/>
        <v>0</v>
      </c>
      <c r="Y156" s="675">
        <f t="shared" ca="1" si="55"/>
        <v>0</v>
      </c>
      <c r="Z156" s="675">
        <f t="shared" ca="1" si="56"/>
        <v>0</v>
      </c>
      <c r="AA156" s="676">
        <f t="shared" ca="1" si="57"/>
        <v>0</v>
      </c>
      <c r="AB156" s="670">
        <f t="shared" ca="1" si="58"/>
        <v>0</v>
      </c>
      <c r="AC156" s="677">
        <f t="shared" ca="1" si="59"/>
        <v>0</v>
      </c>
      <c r="AD156" s="679">
        <f t="shared" si="61"/>
        <v>0.19907874831341738</v>
      </c>
      <c r="AE156" s="678">
        <f t="shared" ca="1" si="60"/>
        <v>0</v>
      </c>
      <c r="AF156" s="651"/>
      <c r="AG156" s="654"/>
      <c r="AH156" s="654"/>
    </row>
    <row r="157" spans="2:34" x14ac:dyDescent="0.25">
      <c r="B157" s="651"/>
      <c r="C157" s="648"/>
      <c r="D157" s="649"/>
      <c r="E157" s="649"/>
      <c r="F157" s="649"/>
      <c r="G157" s="649"/>
      <c r="H157" s="649"/>
      <c r="I157" s="649"/>
      <c r="J157" s="649"/>
      <c r="K157" s="649"/>
      <c r="L157" s="649"/>
      <c r="M157" s="649"/>
      <c r="N157" s="650"/>
      <c r="O157" s="653"/>
      <c r="P157" s="667">
        <f t="shared" si="47"/>
        <v>12</v>
      </c>
      <c r="Q157" s="668">
        <f t="shared" ca="1" si="48"/>
        <v>0</v>
      </c>
      <c r="R157" s="669">
        <f t="shared" ca="1" si="46"/>
        <v>0</v>
      </c>
      <c r="S157" s="669">
        <f t="shared" ca="1" si="49"/>
        <v>0</v>
      </c>
      <c r="T157" s="670">
        <f t="shared" ca="1" si="50"/>
        <v>0</v>
      </c>
      <c r="U157" s="671">
        <f t="shared" ca="1" si="51"/>
        <v>6.5604332890063261E-2</v>
      </c>
      <c r="V157" s="672">
        <f t="shared" ca="1" si="52"/>
        <v>3.280216644503163E-2</v>
      </c>
      <c r="W157" s="673">
        <f t="shared" ca="1" si="53"/>
        <v>0</v>
      </c>
      <c r="X157" s="674">
        <f t="shared" ca="1" si="54"/>
        <v>0</v>
      </c>
      <c r="Y157" s="675">
        <f t="shared" ca="1" si="55"/>
        <v>0</v>
      </c>
      <c r="Z157" s="675">
        <f t="shared" ca="1" si="56"/>
        <v>0</v>
      </c>
      <c r="AA157" s="676">
        <f t="shared" ca="1" si="57"/>
        <v>0</v>
      </c>
      <c r="AB157" s="670">
        <f t="shared" ca="1" si="58"/>
        <v>0</v>
      </c>
      <c r="AC157" s="677">
        <f t="shared" ca="1" si="59"/>
        <v>0</v>
      </c>
      <c r="AD157" s="679">
        <f t="shared" si="61"/>
        <v>0.2040557170212528</v>
      </c>
      <c r="AE157" s="678">
        <f t="shared" ca="1" si="60"/>
        <v>0</v>
      </c>
      <c r="AF157" s="651"/>
      <c r="AG157" s="654"/>
      <c r="AH157" s="654"/>
    </row>
    <row r="158" spans="2:34" ht="15.75" x14ac:dyDescent="0.25">
      <c r="B158" s="651"/>
      <c r="C158" s="651"/>
      <c r="D158" s="652" t="s">
        <v>504</v>
      </c>
      <c r="E158" s="653"/>
      <c r="F158" s="653"/>
      <c r="G158" s="653"/>
      <c r="H158" s="653"/>
      <c r="I158" s="653"/>
      <c r="J158" s="653"/>
      <c r="K158" s="653"/>
      <c r="L158" s="653"/>
      <c r="M158" s="653"/>
      <c r="N158" s="654"/>
      <c r="O158" s="653"/>
      <c r="P158" s="667">
        <f t="shared" si="47"/>
        <v>13</v>
      </c>
      <c r="Q158" s="668">
        <f t="shared" ca="1" si="48"/>
        <v>0</v>
      </c>
      <c r="R158" s="669">
        <f t="shared" ca="1" si="46"/>
        <v>0</v>
      </c>
      <c r="S158" s="669">
        <f t="shared" ca="1" si="49"/>
        <v>0</v>
      </c>
      <c r="T158" s="670">
        <f t="shared" ca="1" si="50"/>
        <v>0</v>
      </c>
      <c r="U158" s="671">
        <f t="shared" ca="1" si="51"/>
        <v>6.7244441212314834E-2</v>
      </c>
      <c r="V158" s="672">
        <f t="shared" ca="1" si="52"/>
        <v>3.3622220606157417E-2</v>
      </c>
      <c r="W158" s="673">
        <f t="shared" ca="1" si="53"/>
        <v>0</v>
      </c>
      <c r="X158" s="674">
        <f t="shared" ca="1" si="54"/>
        <v>0</v>
      </c>
      <c r="Y158" s="675">
        <f t="shared" ca="1" si="55"/>
        <v>0</v>
      </c>
      <c r="Z158" s="675">
        <f t="shared" ca="1" si="56"/>
        <v>0</v>
      </c>
      <c r="AA158" s="676">
        <f t="shared" ca="1" si="57"/>
        <v>0</v>
      </c>
      <c r="AB158" s="670">
        <f t="shared" ca="1" si="58"/>
        <v>0</v>
      </c>
      <c r="AC158" s="677">
        <f t="shared" ca="1" si="59"/>
        <v>0</v>
      </c>
      <c r="AD158" s="679">
        <f t="shared" si="61"/>
        <v>0.2091571099467841</v>
      </c>
      <c r="AE158" s="678">
        <f t="shared" ca="1" si="60"/>
        <v>0</v>
      </c>
      <c r="AF158" s="651"/>
      <c r="AG158" s="654"/>
      <c r="AH158" s="654"/>
    </row>
    <row r="159" spans="2:34" x14ac:dyDescent="0.25">
      <c r="B159" s="651"/>
      <c r="C159" s="651"/>
      <c r="D159" s="653" t="s">
        <v>505</v>
      </c>
      <c r="E159" s="653"/>
      <c r="F159" s="653"/>
      <c r="G159" s="653"/>
      <c r="H159" s="653"/>
      <c r="I159" s="653"/>
      <c r="J159" s="653"/>
      <c r="K159" s="653"/>
      <c r="L159" s="653"/>
      <c r="M159" s="653"/>
      <c r="N159" s="654"/>
      <c r="O159" s="653"/>
      <c r="P159" s="667">
        <f t="shared" si="47"/>
        <v>14</v>
      </c>
      <c r="Q159" s="668">
        <f t="shared" ca="1" si="48"/>
        <v>0</v>
      </c>
      <c r="R159" s="669">
        <f t="shared" ca="1" si="46"/>
        <v>0</v>
      </c>
      <c r="S159" s="669">
        <f t="shared" ca="1" si="49"/>
        <v>0</v>
      </c>
      <c r="T159" s="670">
        <f t="shared" ca="1" si="50"/>
        <v>0</v>
      </c>
      <c r="U159" s="671">
        <f t="shared" ca="1" si="51"/>
        <v>6.8925552242622701E-2</v>
      </c>
      <c r="V159" s="672">
        <f t="shared" ca="1" si="52"/>
        <v>3.446277612131135E-2</v>
      </c>
      <c r="W159" s="673">
        <f t="shared" ca="1" si="53"/>
        <v>0</v>
      </c>
      <c r="X159" s="674">
        <f t="shared" ca="1" si="54"/>
        <v>0</v>
      </c>
      <c r="Y159" s="675">
        <f t="shared" ca="1" si="55"/>
        <v>0</v>
      </c>
      <c r="Z159" s="675">
        <f t="shared" ca="1" si="56"/>
        <v>0</v>
      </c>
      <c r="AA159" s="676">
        <f t="shared" ca="1" si="57"/>
        <v>0</v>
      </c>
      <c r="AB159" s="670">
        <f t="shared" ca="1" si="58"/>
        <v>0</v>
      </c>
      <c r="AC159" s="677">
        <f t="shared" ca="1" si="59"/>
        <v>0</v>
      </c>
      <c r="AD159" s="679">
        <f t="shared" si="61"/>
        <v>0.2143860376954537</v>
      </c>
      <c r="AE159" s="678">
        <f t="shared" ca="1" si="60"/>
        <v>0</v>
      </c>
      <c r="AF159" s="651"/>
      <c r="AG159" s="654"/>
      <c r="AH159" s="654"/>
    </row>
    <row r="160" spans="2:34" x14ac:dyDescent="0.25">
      <c r="B160" s="651"/>
      <c r="C160" s="651"/>
      <c r="D160" s="653" t="s">
        <v>506</v>
      </c>
      <c r="E160" s="653"/>
      <c r="F160" s="653"/>
      <c r="G160" s="653"/>
      <c r="H160" s="653"/>
      <c r="I160" s="653"/>
      <c r="J160" s="653"/>
      <c r="K160" s="653"/>
      <c r="L160" s="653"/>
      <c r="M160" s="653"/>
      <c r="N160" s="654"/>
      <c r="O160" s="653"/>
      <c r="P160" s="667">
        <f t="shared" si="47"/>
        <v>15</v>
      </c>
      <c r="Q160" s="668">
        <f t="shared" ca="1" si="48"/>
        <v>0</v>
      </c>
      <c r="R160" s="669">
        <f t="shared" ca="1" si="46"/>
        <v>0</v>
      </c>
      <c r="S160" s="669">
        <f t="shared" ca="1" si="49"/>
        <v>0</v>
      </c>
      <c r="T160" s="670">
        <f t="shared" ca="1" si="50"/>
        <v>0</v>
      </c>
      <c r="U160" s="671">
        <f t="shared" ca="1" si="51"/>
        <v>7.0648691048688261E-2</v>
      </c>
      <c r="V160" s="672">
        <f t="shared" ca="1" si="52"/>
        <v>3.5324345524344131E-2</v>
      </c>
      <c r="W160" s="673">
        <f t="shared" ca="1" si="53"/>
        <v>0</v>
      </c>
      <c r="X160" s="674">
        <f t="shared" ca="1" si="54"/>
        <v>0</v>
      </c>
      <c r="Y160" s="675">
        <f t="shared" ca="1" si="55"/>
        <v>0</v>
      </c>
      <c r="Z160" s="675">
        <f t="shared" ca="1" si="56"/>
        <v>0</v>
      </c>
      <c r="AA160" s="676">
        <f t="shared" ca="1" si="57"/>
        <v>0</v>
      </c>
      <c r="AB160" s="670">
        <f t="shared" ca="1" si="58"/>
        <v>0</v>
      </c>
      <c r="AC160" s="677">
        <f t="shared" ca="1" si="59"/>
        <v>0</v>
      </c>
      <c r="AD160" s="679">
        <f t="shared" si="61"/>
        <v>0.21974568863784003</v>
      </c>
      <c r="AE160" s="678">
        <f t="shared" ca="1" si="60"/>
        <v>0</v>
      </c>
      <c r="AF160" s="651"/>
      <c r="AG160" s="654"/>
      <c r="AH160" s="654"/>
    </row>
    <row r="161" spans="2:34" x14ac:dyDescent="0.25">
      <c r="B161" s="651"/>
      <c r="C161" s="651"/>
      <c r="D161" s="653" t="s">
        <v>507</v>
      </c>
      <c r="E161" s="653"/>
      <c r="F161" s="653"/>
      <c r="G161" s="653"/>
      <c r="H161" s="653"/>
      <c r="I161" s="653"/>
      <c r="J161" s="653"/>
      <c r="K161" s="653"/>
      <c r="L161" s="653"/>
      <c r="M161" s="653"/>
      <c r="N161" s="654"/>
      <c r="O161" s="653"/>
      <c r="P161" s="667">
        <f t="shared" si="47"/>
        <v>16</v>
      </c>
      <c r="Q161" s="668">
        <f t="shared" ca="1" si="48"/>
        <v>0</v>
      </c>
      <c r="R161" s="669">
        <f t="shared" ca="1" si="46"/>
        <v>0</v>
      </c>
      <c r="S161" s="669">
        <f t="shared" ca="1" si="49"/>
        <v>0</v>
      </c>
      <c r="T161" s="670">
        <f t="shared" ca="1" si="50"/>
        <v>0</v>
      </c>
      <c r="U161" s="671">
        <f t="shared" ca="1" si="51"/>
        <v>7.2414908324905464E-2</v>
      </c>
      <c r="V161" s="672">
        <f t="shared" ca="1" si="52"/>
        <v>3.6207454162452732E-2</v>
      </c>
      <c r="W161" s="673">
        <f t="shared" ca="1" si="53"/>
        <v>0</v>
      </c>
      <c r="X161" s="674">
        <f t="shared" ca="1" si="54"/>
        <v>0</v>
      </c>
      <c r="Y161" s="675">
        <f t="shared" ca="1" si="55"/>
        <v>0</v>
      </c>
      <c r="Z161" s="675">
        <f t="shared" ca="1" si="56"/>
        <v>0</v>
      </c>
      <c r="AA161" s="676">
        <f t="shared" ca="1" si="57"/>
        <v>0</v>
      </c>
      <c r="AB161" s="670">
        <f t="shared" ca="1" si="58"/>
        <v>0</v>
      </c>
      <c r="AC161" s="677">
        <f t="shared" ca="1" si="59"/>
        <v>0</v>
      </c>
      <c r="AD161" s="679">
        <f t="shared" si="61"/>
        <v>0.225239330853786</v>
      </c>
      <c r="AE161" s="678">
        <f t="shared" ca="1" si="60"/>
        <v>0</v>
      </c>
      <c r="AF161" s="651"/>
      <c r="AG161" s="654"/>
      <c r="AH161" s="654"/>
    </row>
    <row r="162" spans="2:34" x14ac:dyDescent="0.25">
      <c r="B162" s="651"/>
      <c r="C162" s="651"/>
      <c r="D162" s="653"/>
      <c r="E162" s="653"/>
      <c r="F162" s="653"/>
      <c r="G162" s="653"/>
      <c r="H162" s="653"/>
      <c r="I162" s="653"/>
      <c r="J162" s="653"/>
      <c r="K162" s="653"/>
      <c r="L162" s="653"/>
      <c r="M162" s="653"/>
      <c r="N162" s="654"/>
      <c r="O162" s="653"/>
      <c r="P162" s="667">
        <f t="shared" si="47"/>
        <v>17</v>
      </c>
      <c r="Q162" s="668">
        <f t="shared" ca="1" si="48"/>
        <v>0</v>
      </c>
      <c r="R162" s="669">
        <f t="shared" ca="1" si="46"/>
        <v>0</v>
      </c>
      <c r="S162" s="669">
        <f t="shared" ca="1" si="49"/>
        <v>0</v>
      </c>
      <c r="T162" s="670">
        <f t="shared" ca="1" si="50"/>
        <v>0</v>
      </c>
      <c r="U162" s="671">
        <f t="shared" ca="1" si="51"/>
        <v>7.4225281033028098E-2</v>
      </c>
      <c r="V162" s="672">
        <f t="shared" ca="1" si="52"/>
        <v>3.7112640516514049E-2</v>
      </c>
      <c r="W162" s="673">
        <f t="shared" ca="1" si="53"/>
        <v>0</v>
      </c>
      <c r="X162" s="674">
        <f t="shared" ca="1" si="54"/>
        <v>0</v>
      </c>
      <c r="Y162" s="675">
        <f t="shared" ca="1" si="55"/>
        <v>0</v>
      </c>
      <c r="Z162" s="675">
        <f t="shared" ca="1" si="56"/>
        <v>0</v>
      </c>
      <c r="AA162" s="676">
        <f t="shared" ca="1" si="57"/>
        <v>0</v>
      </c>
      <c r="AB162" s="670">
        <f t="shared" ca="1" si="58"/>
        <v>0</v>
      </c>
      <c r="AC162" s="677">
        <f t="shared" ca="1" si="59"/>
        <v>0</v>
      </c>
      <c r="AD162" s="679">
        <f t="shared" si="61"/>
        <v>0.23087031412513062</v>
      </c>
      <c r="AE162" s="678">
        <f t="shared" ca="1" si="60"/>
        <v>0</v>
      </c>
      <c r="AF162" s="651"/>
      <c r="AG162" s="654"/>
      <c r="AH162" s="654"/>
    </row>
    <row r="163" spans="2:34" ht="15.75" thickBot="1" x14ac:dyDescent="0.3">
      <c r="B163" s="651"/>
      <c r="C163" s="680"/>
      <c r="D163" s="681"/>
      <c r="E163" s="681"/>
      <c r="F163" s="681"/>
      <c r="G163" s="681"/>
      <c r="H163" s="681"/>
      <c r="I163" s="681"/>
      <c r="J163" s="681"/>
      <c r="K163" s="681"/>
      <c r="L163" s="681"/>
      <c r="M163" s="681"/>
      <c r="N163" s="666"/>
      <c r="O163" s="653"/>
      <c r="P163" s="667">
        <f t="shared" si="47"/>
        <v>18</v>
      </c>
      <c r="Q163" s="668">
        <f t="shared" ca="1" si="48"/>
        <v>0</v>
      </c>
      <c r="R163" s="669">
        <f t="shared" ca="1" si="46"/>
        <v>0</v>
      </c>
      <c r="S163" s="669">
        <f t="shared" ca="1" si="49"/>
        <v>0</v>
      </c>
      <c r="T163" s="670">
        <f t="shared" ca="1" si="50"/>
        <v>0</v>
      </c>
      <c r="U163" s="671">
        <f t="shared" ca="1" si="51"/>
        <v>7.6080913058853797E-2</v>
      </c>
      <c r="V163" s="672">
        <f t="shared" ca="1" si="52"/>
        <v>3.8040456529426898E-2</v>
      </c>
      <c r="W163" s="673">
        <f t="shared" ca="1" si="53"/>
        <v>0</v>
      </c>
      <c r="X163" s="674">
        <f t="shared" ca="1" si="54"/>
        <v>0</v>
      </c>
      <c r="Y163" s="675">
        <f t="shared" ca="1" si="55"/>
        <v>0</v>
      </c>
      <c r="Z163" s="675">
        <f t="shared" ca="1" si="56"/>
        <v>0</v>
      </c>
      <c r="AA163" s="676">
        <f t="shared" ca="1" si="57"/>
        <v>0</v>
      </c>
      <c r="AB163" s="670">
        <f t="shared" ca="1" si="58"/>
        <v>0</v>
      </c>
      <c r="AC163" s="677">
        <f t="shared" ca="1" si="59"/>
        <v>0</v>
      </c>
      <c r="AD163" s="679">
        <f t="shared" si="61"/>
        <v>0.23664207197825887</v>
      </c>
      <c r="AE163" s="678">
        <f t="shared" ca="1" si="60"/>
        <v>0</v>
      </c>
      <c r="AF163" s="651"/>
      <c r="AG163" s="654"/>
      <c r="AH163" s="654"/>
    </row>
    <row r="164" spans="2:34" ht="15.75" thickBot="1" x14ac:dyDescent="0.3">
      <c r="B164" s="651"/>
      <c r="C164" s="653"/>
      <c r="D164" s="653"/>
      <c r="E164" s="653"/>
      <c r="F164" s="653"/>
      <c r="G164" s="653"/>
      <c r="H164" s="653"/>
      <c r="I164" s="653"/>
      <c r="J164" s="653"/>
      <c r="K164" s="653"/>
      <c r="L164" s="653"/>
      <c r="M164" s="653"/>
      <c r="N164" s="653"/>
      <c r="O164" s="653"/>
      <c r="P164" s="667">
        <f t="shared" si="47"/>
        <v>19</v>
      </c>
      <c r="Q164" s="668">
        <f t="shared" ca="1" si="48"/>
        <v>0</v>
      </c>
      <c r="R164" s="669">
        <f t="shared" ca="1" si="46"/>
        <v>0</v>
      </c>
      <c r="S164" s="669">
        <f t="shared" ca="1" si="49"/>
        <v>0</v>
      </c>
      <c r="T164" s="670">
        <f t="shared" ca="1" si="50"/>
        <v>0</v>
      </c>
      <c r="U164" s="671">
        <f t="shared" ca="1" si="51"/>
        <v>7.7982935885325136E-2</v>
      </c>
      <c r="V164" s="672">
        <f t="shared" ca="1" si="52"/>
        <v>3.8991467942662568E-2</v>
      </c>
      <c r="W164" s="673">
        <f t="shared" ca="1" si="53"/>
        <v>0</v>
      </c>
      <c r="X164" s="674">
        <f t="shared" ca="1" si="54"/>
        <v>0</v>
      </c>
      <c r="Y164" s="675">
        <f t="shared" ca="1" si="55"/>
        <v>0</v>
      </c>
      <c r="Z164" s="675">
        <f t="shared" ca="1" si="56"/>
        <v>0</v>
      </c>
      <c r="AA164" s="676">
        <f t="shared" ca="1" si="57"/>
        <v>0</v>
      </c>
      <c r="AB164" s="670">
        <f t="shared" ca="1" si="58"/>
        <v>0</v>
      </c>
      <c r="AC164" s="677">
        <f t="shared" ca="1" si="59"/>
        <v>0</v>
      </c>
      <c r="AD164" s="679">
        <f t="shared" si="61"/>
        <v>0.24255812377771532</v>
      </c>
      <c r="AE164" s="678">
        <f t="shared" ca="1" si="60"/>
        <v>0</v>
      </c>
      <c r="AF164" s="651"/>
      <c r="AG164" s="654"/>
      <c r="AH164" s="654"/>
    </row>
    <row r="165" spans="2:34" x14ac:dyDescent="0.25">
      <c r="B165" s="651"/>
      <c r="C165" s="648"/>
      <c r="D165" s="649"/>
      <c r="E165" s="649"/>
      <c r="F165" s="649"/>
      <c r="G165" s="649"/>
      <c r="H165" s="649"/>
      <c r="I165" s="649"/>
      <c r="J165" s="649"/>
      <c r="K165" s="649"/>
      <c r="L165" s="649"/>
      <c r="M165" s="649"/>
      <c r="N165" s="650"/>
      <c r="O165" s="653"/>
      <c r="P165" s="667">
        <f t="shared" si="47"/>
        <v>20</v>
      </c>
      <c r="Q165" s="668">
        <f t="shared" ca="1" si="48"/>
        <v>0</v>
      </c>
      <c r="R165" s="669">
        <f t="shared" ca="1" si="46"/>
        <v>0</v>
      </c>
      <c r="S165" s="669">
        <f t="shared" ca="1" si="49"/>
        <v>0</v>
      </c>
      <c r="T165" s="670">
        <f t="shared" ca="1" si="50"/>
        <v>0</v>
      </c>
      <c r="U165" s="671">
        <f t="shared" ca="1" si="51"/>
        <v>7.9932509282458264E-2</v>
      </c>
      <c r="V165" s="672">
        <f t="shared" ca="1" si="52"/>
        <v>3.9966254641229132E-2</v>
      </c>
      <c r="W165" s="673">
        <f t="shared" ca="1" si="53"/>
        <v>0</v>
      </c>
      <c r="X165" s="674">
        <f t="shared" ca="1" si="54"/>
        <v>0</v>
      </c>
      <c r="Y165" s="675">
        <f t="shared" ca="1" si="55"/>
        <v>0</v>
      </c>
      <c r="Z165" s="675">
        <f t="shared" ca="1" si="56"/>
        <v>0</v>
      </c>
      <c r="AA165" s="676">
        <f t="shared" ca="1" si="57"/>
        <v>0</v>
      </c>
      <c r="AB165" s="670">
        <f t="shared" ca="1" si="58"/>
        <v>0</v>
      </c>
      <c r="AC165" s="677">
        <f t="shared" ca="1" si="59"/>
        <v>0</v>
      </c>
      <c r="AD165" s="679">
        <f t="shared" si="61"/>
        <v>0.24862207687215818</v>
      </c>
      <c r="AE165" s="678">
        <f t="shared" ca="1" si="60"/>
        <v>0</v>
      </c>
      <c r="AF165" s="651"/>
      <c r="AG165" s="654"/>
      <c r="AH165" s="654"/>
    </row>
    <row r="166" spans="2:34" ht="15.75" x14ac:dyDescent="0.25">
      <c r="B166" s="651"/>
      <c r="C166" s="651"/>
      <c r="D166" s="652" t="s">
        <v>508</v>
      </c>
      <c r="E166" s="653"/>
      <c r="F166" s="653"/>
      <c r="G166" s="653"/>
      <c r="H166" s="653"/>
      <c r="I166" s="653"/>
      <c r="J166" s="653"/>
      <c r="K166" s="653"/>
      <c r="L166" s="653"/>
      <c r="M166" s="653"/>
      <c r="N166" s="654"/>
      <c r="O166" s="653"/>
      <c r="P166" s="667">
        <f t="shared" si="47"/>
        <v>21</v>
      </c>
      <c r="Q166" s="668">
        <f t="shared" ca="1" si="48"/>
        <v>0</v>
      </c>
      <c r="R166" s="669">
        <f t="shared" ca="1" si="46"/>
        <v>0</v>
      </c>
      <c r="S166" s="669">
        <f t="shared" ca="1" si="49"/>
        <v>0</v>
      </c>
      <c r="T166" s="670">
        <f t="shared" ca="1" si="50"/>
        <v>0</v>
      </c>
      <c r="U166" s="671">
        <f t="shared" ca="1" si="51"/>
        <v>8.1930822014519719E-2</v>
      </c>
      <c r="V166" s="672">
        <f t="shared" ca="1" si="52"/>
        <v>4.096541100725986E-2</v>
      </c>
      <c r="W166" s="673">
        <f t="shared" ca="1" si="53"/>
        <v>0</v>
      </c>
      <c r="X166" s="674">
        <f t="shared" ca="1" si="54"/>
        <v>0</v>
      </c>
      <c r="Y166" s="675">
        <f t="shared" ca="1" si="55"/>
        <v>0</v>
      </c>
      <c r="Z166" s="675">
        <f t="shared" ca="1" si="56"/>
        <v>0</v>
      </c>
      <c r="AA166" s="676">
        <f t="shared" ca="1" si="57"/>
        <v>0</v>
      </c>
      <c r="AB166" s="670">
        <f t="shared" ca="1" si="58"/>
        <v>0</v>
      </c>
      <c r="AC166" s="677">
        <f t="shared" ca="1" si="59"/>
        <v>0</v>
      </c>
      <c r="AD166" s="679">
        <f t="shared" si="61"/>
        <v>0.2548376287939621</v>
      </c>
      <c r="AE166" s="678">
        <f t="shared" ca="1" si="60"/>
        <v>0</v>
      </c>
      <c r="AF166" s="651"/>
      <c r="AG166" s="654"/>
      <c r="AH166" s="654"/>
    </row>
    <row r="167" spans="2:34" x14ac:dyDescent="0.25">
      <c r="B167" s="651"/>
      <c r="C167" s="651"/>
      <c r="D167" s="653" t="s">
        <v>509</v>
      </c>
      <c r="E167" s="653"/>
      <c r="F167" s="653"/>
      <c r="G167" s="653"/>
      <c r="H167" s="653"/>
      <c r="I167" s="653"/>
      <c r="J167" s="653"/>
      <c r="K167" s="653"/>
      <c r="L167" s="653"/>
      <c r="M167" s="653"/>
      <c r="N167" s="654"/>
      <c r="O167" s="653"/>
      <c r="P167" s="667">
        <f t="shared" si="47"/>
        <v>22</v>
      </c>
      <c r="Q167" s="668">
        <f t="shared" ca="1" si="48"/>
        <v>0</v>
      </c>
      <c r="R167" s="669">
        <f t="shared" ca="1" si="46"/>
        <v>0</v>
      </c>
      <c r="S167" s="669">
        <f t="shared" ca="1" si="49"/>
        <v>0</v>
      </c>
      <c r="T167" s="670">
        <f t="shared" ca="1" si="50"/>
        <v>0</v>
      </c>
      <c r="U167" s="671">
        <f t="shared" ca="1" si="51"/>
        <v>8.3979092564882701E-2</v>
      </c>
      <c r="V167" s="672">
        <f t="shared" ca="1" si="52"/>
        <v>4.1989546282441351E-2</v>
      </c>
      <c r="W167" s="673">
        <f t="shared" ca="1" si="53"/>
        <v>0</v>
      </c>
      <c r="X167" s="674">
        <f t="shared" ca="1" si="54"/>
        <v>0</v>
      </c>
      <c r="Y167" s="675">
        <f t="shared" ca="1" si="55"/>
        <v>0</v>
      </c>
      <c r="Z167" s="675">
        <f t="shared" ca="1" si="56"/>
        <v>0</v>
      </c>
      <c r="AA167" s="676">
        <f t="shared" ca="1" si="57"/>
        <v>0</v>
      </c>
      <c r="AB167" s="670">
        <f t="shared" ca="1" si="58"/>
        <v>0</v>
      </c>
      <c r="AC167" s="677">
        <f t="shared" ca="1" si="59"/>
        <v>0</v>
      </c>
      <c r="AD167" s="679">
        <f t="shared" si="61"/>
        <v>0.26120856951381111</v>
      </c>
      <c r="AE167" s="678">
        <f t="shared" ca="1" si="60"/>
        <v>0</v>
      </c>
      <c r="AF167" s="651"/>
      <c r="AG167" s="654"/>
      <c r="AH167" s="654"/>
    </row>
    <row r="168" spans="2:34" x14ac:dyDescent="0.25">
      <c r="B168" s="651"/>
      <c r="C168" s="651"/>
      <c r="D168" s="653" t="s">
        <v>510</v>
      </c>
      <c r="E168" s="653"/>
      <c r="F168" s="653"/>
      <c r="G168" s="653"/>
      <c r="H168" s="653"/>
      <c r="I168" s="653"/>
      <c r="J168" s="653"/>
      <c r="K168" s="653"/>
      <c r="L168" s="653"/>
      <c r="M168" s="653"/>
      <c r="N168" s="654"/>
      <c r="O168" s="653"/>
      <c r="P168" s="667">
        <f t="shared" si="47"/>
        <v>23</v>
      </c>
      <c r="Q168" s="668">
        <f t="shared" ca="1" si="48"/>
        <v>0</v>
      </c>
      <c r="R168" s="669">
        <f t="shared" ca="1" si="46"/>
        <v>0</v>
      </c>
      <c r="S168" s="669">
        <f t="shared" ca="1" si="49"/>
        <v>0</v>
      </c>
      <c r="T168" s="670">
        <f t="shared" ca="1" si="50"/>
        <v>0</v>
      </c>
      <c r="U168" s="671">
        <f t="shared" ca="1" si="51"/>
        <v>8.6078569879004765E-2</v>
      </c>
      <c r="V168" s="672">
        <f t="shared" ca="1" si="52"/>
        <v>4.3039284939502383E-2</v>
      </c>
      <c r="W168" s="673">
        <f t="shared" ca="1" si="53"/>
        <v>0</v>
      </c>
      <c r="X168" s="674">
        <f t="shared" ca="1" si="54"/>
        <v>0</v>
      </c>
      <c r="Y168" s="675">
        <f t="shared" ca="1" si="55"/>
        <v>0</v>
      </c>
      <c r="Z168" s="675">
        <f t="shared" ca="1" si="56"/>
        <v>0</v>
      </c>
      <c r="AA168" s="676">
        <f t="shared" ca="1" si="57"/>
        <v>0</v>
      </c>
      <c r="AB168" s="670">
        <f t="shared" ca="1" si="58"/>
        <v>0</v>
      </c>
      <c r="AC168" s="677">
        <f t="shared" ca="1" si="59"/>
        <v>0</v>
      </c>
      <c r="AD168" s="679">
        <f t="shared" si="61"/>
        <v>0.26773878375165638</v>
      </c>
      <c r="AE168" s="678">
        <f t="shared" ca="1" si="60"/>
        <v>0</v>
      </c>
      <c r="AF168" s="651"/>
      <c r="AG168" s="654"/>
      <c r="AH168" s="654"/>
    </row>
    <row r="169" spans="2:34" x14ac:dyDescent="0.25">
      <c r="B169" s="651"/>
      <c r="C169" s="651"/>
      <c r="D169" s="653" t="s">
        <v>511</v>
      </c>
      <c r="E169" s="653"/>
      <c r="F169" s="653"/>
      <c r="G169" s="653"/>
      <c r="H169" s="653"/>
      <c r="I169" s="653"/>
      <c r="J169" s="653"/>
      <c r="K169" s="653"/>
      <c r="L169" s="653"/>
      <c r="M169" s="653"/>
      <c r="N169" s="654"/>
      <c r="O169" s="653"/>
      <c r="P169" s="667">
        <f t="shared" si="47"/>
        <v>24</v>
      </c>
      <c r="Q169" s="668">
        <f t="shared" ca="1" si="48"/>
        <v>0</v>
      </c>
      <c r="R169" s="669">
        <f t="shared" ca="1" si="46"/>
        <v>0</v>
      </c>
      <c r="S169" s="669">
        <f t="shared" ca="1" si="49"/>
        <v>0</v>
      </c>
      <c r="T169" s="670">
        <f t="shared" ca="1" si="50"/>
        <v>0</v>
      </c>
      <c r="U169" s="671">
        <f t="shared" ca="1" si="51"/>
        <v>8.8230534125979879E-2</v>
      </c>
      <c r="V169" s="672">
        <f t="shared" ca="1" si="52"/>
        <v>4.4115267062989939E-2</v>
      </c>
      <c r="W169" s="673">
        <f t="shared" ca="1" si="53"/>
        <v>0</v>
      </c>
      <c r="X169" s="674">
        <f t="shared" ca="1" si="54"/>
        <v>0</v>
      </c>
      <c r="Y169" s="675">
        <f t="shared" ca="1" si="55"/>
        <v>0</v>
      </c>
      <c r="Z169" s="675">
        <f t="shared" ca="1" si="56"/>
        <v>0</v>
      </c>
      <c r="AA169" s="676">
        <f t="shared" ca="1" si="57"/>
        <v>0</v>
      </c>
      <c r="AB169" s="670">
        <f t="shared" ca="1" si="58"/>
        <v>0</v>
      </c>
      <c r="AC169" s="677">
        <f t="shared" ca="1" si="59"/>
        <v>0</v>
      </c>
      <c r="AD169" s="679">
        <f t="shared" si="61"/>
        <v>0.2744322533454478</v>
      </c>
      <c r="AE169" s="678">
        <f t="shared" ca="1" si="60"/>
        <v>0</v>
      </c>
      <c r="AF169" s="651"/>
      <c r="AG169" s="654"/>
      <c r="AH169" s="654"/>
    </row>
    <row r="170" spans="2:34" x14ac:dyDescent="0.25">
      <c r="B170" s="651"/>
      <c r="C170" s="651"/>
      <c r="D170" s="653" t="s">
        <v>512</v>
      </c>
      <c r="E170" s="653"/>
      <c r="F170" s="653"/>
      <c r="G170" s="653"/>
      <c r="H170" s="653"/>
      <c r="I170" s="653"/>
      <c r="J170" s="653"/>
      <c r="K170" s="653"/>
      <c r="L170" s="653"/>
      <c r="M170" s="653"/>
      <c r="N170" s="654"/>
      <c r="O170" s="653"/>
      <c r="P170" s="667">
        <f t="shared" si="47"/>
        <v>25</v>
      </c>
      <c r="Q170" s="668">
        <f t="shared" ca="1" si="48"/>
        <v>0</v>
      </c>
      <c r="R170" s="669">
        <f t="shared" ca="1" si="46"/>
        <v>0</v>
      </c>
      <c r="S170" s="669">
        <f t="shared" ca="1" si="49"/>
        <v>0</v>
      </c>
      <c r="T170" s="670">
        <f t="shared" ca="1" si="50"/>
        <v>0</v>
      </c>
      <c r="U170" s="671">
        <f t="shared" ca="1" si="51"/>
        <v>9.0436297479129374E-2</v>
      </c>
      <c r="V170" s="672">
        <f t="shared" ca="1" si="52"/>
        <v>4.5218148739564687E-2</v>
      </c>
      <c r="W170" s="673">
        <f t="shared" ca="1" si="53"/>
        <v>0</v>
      </c>
      <c r="X170" s="674">
        <f t="shared" ca="1" si="54"/>
        <v>0</v>
      </c>
      <c r="Y170" s="675">
        <f t="shared" ca="1" si="55"/>
        <v>0</v>
      </c>
      <c r="Z170" s="675">
        <f t="shared" ca="1" si="56"/>
        <v>0</v>
      </c>
      <c r="AA170" s="676">
        <f t="shared" ca="1" si="57"/>
        <v>0</v>
      </c>
      <c r="AB170" s="670">
        <f t="shared" ca="1" si="58"/>
        <v>0</v>
      </c>
      <c r="AC170" s="677">
        <f t="shared" ca="1" si="59"/>
        <v>0</v>
      </c>
      <c r="AD170" s="679">
        <f t="shared" si="61"/>
        <v>0.28129305967908397</v>
      </c>
      <c r="AE170" s="678">
        <f t="shared" ca="1" si="60"/>
        <v>0</v>
      </c>
      <c r="AF170" s="651"/>
      <c r="AG170" s="654"/>
      <c r="AH170" s="654"/>
    </row>
    <row r="171" spans="2:34" ht="15.75" thickBot="1" x14ac:dyDescent="0.3">
      <c r="B171" s="651"/>
      <c r="C171" s="680"/>
      <c r="D171" s="681" t="s">
        <v>513</v>
      </c>
      <c r="E171" s="681"/>
      <c r="F171" s="681"/>
      <c r="G171" s="681"/>
      <c r="H171" s="681"/>
      <c r="I171" s="681"/>
      <c r="J171" s="681"/>
      <c r="K171" s="681"/>
      <c r="L171" s="681"/>
      <c r="M171" s="681"/>
      <c r="N171" s="666"/>
      <c r="O171" s="653"/>
      <c r="P171" s="667">
        <f t="shared" si="47"/>
        <v>26</v>
      </c>
      <c r="Q171" s="668">
        <f t="shared" ca="1" si="48"/>
        <v>0</v>
      </c>
      <c r="R171" s="669">
        <f t="shared" ca="1" si="46"/>
        <v>0</v>
      </c>
      <c r="S171" s="669">
        <f t="shared" ca="1" si="49"/>
        <v>0</v>
      </c>
      <c r="T171" s="670">
        <f t="shared" ca="1" si="50"/>
        <v>0</v>
      </c>
      <c r="U171" s="671">
        <f t="shared" ca="1" si="51"/>
        <v>9.2697204916107598E-2</v>
      </c>
      <c r="V171" s="672">
        <f t="shared" ca="1" si="52"/>
        <v>4.6348602458053799E-2</v>
      </c>
      <c r="W171" s="673">
        <f t="shared" ca="1" si="53"/>
        <v>0</v>
      </c>
      <c r="X171" s="674">
        <f t="shared" ca="1" si="54"/>
        <v>0</v>
      </c>
      <c r="Y171" s="675">
        <f t="shared" ca="1" si="55"/>
        <v>0</v>
      </c>
      <c r="Z171" s="675">
        <f t="shared" ca="1" si="56"/>
        <v>0</v>
      </c>
      <c r="AA171" s="676">
        <f t="shared" ca="1" si="57"/>
        <v>0</v>
      </c>
      <c r="AB171" s="670">
        <f t="shared" ca="1" si="58"/>
        <v>0</v>
      </c>
      <c r="AC171" s="677">
        <f t="shared" ca="1" si="59"/>
        <v>0</v>
      </c>
      <c r="AD171" s="679">
        <f t="shared" si="61"/>
        <v>0.28832538617106102</v>
      </c>
      <c r="AE171" s="678">
        <f t="shared" ca="1" si="60"/>
        <v>0</v>
      </c>
      <c r="AF171" s="651"/>
      <c r="AG171" s="654"/>
      <c r="AH171" s="654"/>
    </row>
    <row r="172" spans="2:34" x14ac:dyDescent="0.25">
      <c r="B172" s="651"/>
      <c r="C172" s="653"/>
      <c r="D172" s="653"/>
      <c r="E172" s="653"/>
      <c r="F172" s="653"/>
      <c r="G172" s="653"/>
      <c r="H172" s="653"/>
      <c r="I172" s="653"/>
      <c r="J172" s="653"/>
      <c r="K172" s="653"/>
      <c r="L172" s="653"/>
      <c r="M172" s="653"/>
      <c r="N172" s="653"/>
      <c r="O172" s="653"/>
      <c r="P172" s="667">
        <f t="shared" si="47"/>
        <v>27</v>
      </c>
      <c r="Q172" s="668">
        <f t="shared" ca="1" si="48"/>
        <v>0</v>
      </c>
      <c r="R172" s="669">
        <f t="shared" ca="1" si="46"/>
        <v>0</v>
      </c>
      <c r="S172" s="669">
        <f t="shared" ca="1" si="49"/>
        <v>0</v>
      </c>
      <c r="T172" s="670">
        <f t="shared" ca="1" si="50"/>
        <v>0</v>
      </c>
      <c r="U172" s="671">
        <f t="shared" ca="1" si="51"/>
        <v>9.5014635039010281E-2</v>
      </c>
      <c r="V172" s="672">
        <f t="shared" ca="1" si="52"/>
        <v>4.7507317519505141E-2</v>
      </c>
      <c r="W172" s="673">
        <f t="shared" ca="1" si="53"/>
        <v>0</v>
      </c>
      <c r="X172" s="674">
        <f t="shared" ca="1" si="54"/>
        <v>0</v>
      </c>
      <c r="Y172" s="675">
        <f t="shared" ca="1" si="55"/>
        <v>0</v>
      </c>
      <c r="Z172" s="675">
        <f t="shared" ca="1" si="56"/>
        <v>0</v>
      </c>
      <c r="AA172" s="676">
        <f t="shared" ca="1" si="57"/>
        <v>0</v>
      </c>
      <c r="AB172" s="670">
        <f t="shared" ca="1" si="58"/>
        <v>0</v>
      </c>
      <c r="AC172" s="677">
        <f t="shared" ca="1" si="59"/>
        <v>0</v>
      </c>
      <c r="AD172" s="679">
        <f t="shared" si="61"/>
        <v>0.29553352082533751</v>
      </c>
      <c r="AE172" s="678">
        <f t="shared" ca="1" si="60"/>
        <v>0</v>
      </c>
      <c r="AF172" s="651"/>
      <c r="AG172" s="654"/>
      <c r="AH172" s="654"/>
    </row>
    <row r="173" spans="2:34" x14ac:dyDescent="0.25">
      <c r="B173" s="651"/>
      <c r="C173" s="653"/>
      <c r="D173" s="653"/>
      <c r="E173" s="653"/>
      <c r="F173" s="653"/>
      <c r="G173" s="653"/>
      <c r="H173" s="653"/>
      <c r="I173" s="653"/>
      <c r="J173" s="653"/>
      <c r="K173" s="653"/>
      <c r="L173" s="653"/>
      <c r="M173" s="653"/>
      <c r="N173" s="653"/>
      <c r="O173" s="653"/>
      <c r="P173" s="667">
        <f t="shared" si="47"/>
        <v>28</v>
      </c>
      <c r="Q173" s="668">
        <f t="shared" ca="1" si="48"/>
        <v>0</v>
      </c>
      <c r="R173" s="669">
        <f t="shared" ca="1" si="46"/>
        <v>0</v>
      </c>
      <c r="S173" s="669">
        <f t="shared" ca="1" si="49"/>
        <v>0</v>
      </c>
      <c r="T173" s="670">
        <f t="shared" ca="1" si="50"/>
        <v>0</v>
      </c>
      <c r="U173" s="671">
        <f t="shared" ca="1" si="51"/>
        <v>9.7390000914985536E-2</v>
      </c>
      <c r="V173" s="672">
        <f t="shared" ca="1" si="52"/>
        <v>4.8695000457492768E-2</v>
      </c>
      <c r="W173" s="673">
        <f t="shared" ca="1" si="53"/>
        <v>0</v>
      </c>
      <c r="X173" s="674">
        <f t="shared" ca="1" si="54"/>
        <v>0</v>
      </c>
      <c r="Y173" s="675">
        <f t="shared" ca="1" si="55"/>
        <v>0</v>
      </c>
      <c r="Z173" s="675">
        <f t="shared" ca="1" si="56"/>
        <v>0</v>
      </c>
      <c r="AA173" s="676">
        <f t="shared" ca="1" si="57"/>
        <v>0</v>
      </c>
      <c r="AB173" s="670">
        <f t="shared" ca="1" si="58"/>
        <v>0</v>
      </c>
      <c r="AC173" s="677">
        <f t="shared" ca="1" si="59"/>
        <v>0</v>
      </c>
      <c r="AD173" s="679">
        <f t="shared" si="61"/>
        <v>0.30292185884597095</v>
      </c>
      <c r="AE173" s="678">
        <f t="shared" ca="1" si="60"/>
        <v>0</v>
      </c>
      <c r="AF173" s="651"/>
      <c r="AG173" s="654"/>
      <c r="AH173" s="654"/>
    </row>
    <row r="174" spans="2:34" x14ac:dyDescent="0.25">
      <c r="B174" s="651"/>
      <c r="C174" s="653"/>
      <c r="D174" s="653"/>
      <c r="E174" s="653"/>
      <c r="F174" s="653"/>
      <c r="G174" s="653"/>
      <c r="H174" s="653"/>
      <c r="I174" s="653"/>
      <c r="J174" s="653"/>
      <c r="K174" s="653"/>
      <c r="L174" s="653"/>
      <c r="M174" s="653"/>
      <c r="N174" s="653"/>
      <c r="O174" s="653"/>
      <c r="P174" s="667">
        <f t="shared" si="47"/>
        <v>29</v>
      </c>
      <c r="Q174" s="668">
        <f t="shared" ca="1" si="48"/>
        <v>0</v>
      </c>
      <c r="R174" s="669">
        <f t="shared" ca="1" si="46"/>
        <v>0</v>
      </c>
      <c r="S174" s="669">
        <f t="shared" ca="1" si="49"/>
        <v>0</v>
      </c>
      <c r="T174" s="670">
        <f t="shared" ca="1" si="50"/>
        <v>0</v>
      </c>
      <c r="U174" s="671">
        <f t="shared" ca="1" si="51"/>
        <v>9.9824750937860168E-2</v>
      </c>
      <c r="V174" s="672">
        <f t="shared" ca="1" si="52"/>
        <v>4.9912375468930084E-2</v>
      </c>
      <c r="W174" s="673">
        <f t="shared" ca="1" si="53"/>
        <v>0</v>
      </c>
      <c r="X174" s="674">
        <f t="shared" ca="1" si="54"/>
        <v>0</v>
      </c>
      <c r="Y174" s="675">
        <f t="shared" ca="1" si="55"/>
        <v>0</v>
      </c>
      <c r="Z174" s="675">
        <f t="shared" ca="1" si="56"/>
        <v>0</v>
      </c>
      <c r="AA174" s="676">
        <f t="shared" ca="1" si="57"/>
        <v>0</v>
      </c>
      <c r="AB174" s="670">
        <f t="shared" ca="1" si="58"/>
        <v>0</v>
      </c>
      <c r="AC174" s="677">
        <f t="shared" ca="1" si="59"/>
        <v>0</v>
      </c>
      <c r="AD174" s="679">
        <f t="shared" si="61"/>
        <v>0.31049490531712021</v>
      </c>
      <c r="AE174" s="678">
        <f t="shared" ca="1" si="60"/>
        <v>0</v>
      </c>
      <c r="AF174" s="651"/>
      <c r="AG174" s="654"/>
      <c r="AH174" s="654"/>
    </row>
    <row r="175" spans="2:34" x14ac:dyDescent="0.25">
      <c r="B175" s="651"/>
      <c r="C175" s="653"/>
      <c r="D175" s="653"/>
      <c r="E175" s="653"/>
      <c r="F175" s="653"/>
      <c r="G175" s="653"/>
      <c r="H175" s="653"/>
      <c r="I175" s="653"/>
      <c r="J175" s="653"/>
      <c r="K175" s="653"/>
      <c r="L175" s="653"/>
      <c r="M175" s="653"/>
      <c r="N175" s="653"/>
      <c r="O175" s="653"/>
      <c r="P175" s="667">
        <f t="shared" si="47"/>
        <v>30</v>
      </c>
      <c r="Q175" s="668">
        <f t="shared" ca="1" si="48"/>
        <v>0</v>
      </c>
      <c r="R175" s="669">
        <f t="shared" ca="1" si="46"/>
        <v>0</v>
      </c>
      <c r="S175" s="669">
        <f t="shared" ca="1" si="49"/>
        <v>0</v>
      </c>
      <c r="T175" s="670">
        <f t="shared" ca="1" si="50"/>
        <v>0</v>
      </c>
      <c r="U175" s="671">
        <f t="shared" ca="1" si="51"/>
        <v>0.10232036971130666</v>
      </c>
      <c r="V175" s="672">
        <f t="shared" ca="1" si="52"/>
        <v>5.116018485565333E-2</v>
      </c>
      <c r="W175" s="673">
        <f t="shared" ca="1" si="53"/>
        <v>0</v>
      </c>
      <c r="X175" s="674">
        <f t="shared" ca="1" si="54"/>
        <v>0</v>
      </c>
      <c r="Y175" s="675">
        <f t="shared" ca="1" si="55"/>
        <v>0</v>
      </c>
      <c r="Z175" s="675">
        <f t="shared" ca="1" si="56"/>
        <v>0</v>
      </c>
      <c r="AA175" s="676">
        <f t="shared" ca="1" si="57"/>
        <v>0</v>
      </c>
      <c r="AB175" s="670">
        <f t="shared" ca="1" si="58"/>
        <v>0</v>
      </c>
      <c r="AC175" s="677">
        <f t="shared" ca="1" si="59"/>
        <v>0</v>
      </c>
      <c r="AD175" s="679">
        <f t="shared" si="61"/>
        <v>0.31825727795004821</v>
      </c>
      <c r="AE175" s="678">
        <f t="shared" ca="1" si="60"/>
        <v>0</v>
      </c>
      <c r="AF175" s="651"/>
      <c r="AG175" s="654"/>
      <c r="AH175" s="654"/>
    </row>
    <row r="176" spans="2:34" x14ac:dyDescent="0.25">
      <c r="B176" s="651"/>
      <c r="C176" s="653"/>
      <c r="D176" s="653"/>
      <c r="E176" s="653"/>
      <c r="F176" s="653"/>
      <c r="G176" s="653"/>
      <c r="H176" s="653"/>
      <c r="I176" s="653"/>
      <c r="J176" s="653"/>
      <c r="K176" s="653"/>
      <c r="L176" s="653"/>
      <c r="M176" s="653"/>
      <c r="N176" s="653"/>
      <c r="O176" s="653"/>
      <c r="P176" s="667">
        <f t="shared" si="47"/>
        <v>31</v>
      </c>
      <c r="Q176" s="668">
        <f t="shared" ca="1" si="48"/>
        <v>0</v>
      </c>
      <c r="R176" s="669">
        <f t="shared" ca="1" si="46"/>
        <v>0</v>
      </c>
      <c r="S176" s="669">
        <f t="shared" ca="1" si="49"/>
        <v>0</v>
      </c>
      <c r="T176" s="670">
        <f t="shared" ca="1" si="50"/>
        <v>0</v>
      </c>
      <c r="U176" s="671">
        <f t="shared" ca="1" si="51"/>
        <v>0.10487837895408932</v>
      </c>
      <c r="V176" s="672">
        <f t="shared" ca="1" si="52"/>
        <v>5.2439189477044658E-2</v>
      </c>
      <c r="W176" s="673">
        <f t="shared" ca="1" si="53"/>
        <v>0</v>
      </c>
      <c r="X176" s="674">
        <f t="shared" ca="1" si="54"/>
        <v>0</v>
      </c>
      <c r="Y176" s="675">
        <f t="shared" ca="1" si="55"/>
        <v>0</v>
      </c>
      <c r="Z176" s="675">
        <f t="shared" ca="1" si="56"/>
        <v>0</v>
      </c>
      <c r="AA176" s="676">
        <f t="shared" ca="1" si="57"/>
        <v>0</v>
      </c>
      <c r="AB176" s="670">
        <f t="shared" ca="1" si="58"/>
        <v>0</v>
      </c>
      <c r="AC176" s="677">
        <f t="shared" ca="1" si="59"/>
        <v>0</v>
      </c>
      <c r="AD176" s="679">
        <f t="shared" si="61"/>
        <v>0.32621370989879939</v>
      </c>
      <c r="AE176" s="678">
        <f t="shared" ca="1" si="60"/>
        <v>0</v>
      </c>
      <c r="AF176" s="651"/>
      <c r="AG176" s="654"/>
      <c r="AH176" s="654"/>
    </row>
    <row r="177" spans="2:34" x14ac:dyDescent="0.25">
      <c r="B177" s="651"/>
      <c r="C177" s="653"/>
      <c r="D177" s="653"/>
      <c r="E177" s="653"/>
      <c r="F177" s="653"/>
      <c r="G177" s="653"/>
      <c r="H177" s="653"/>
      <c r="I177" s="653"/>
      <c r="J177" s="653"/>
      <c r="K177" s="653"/>
      <c r="L177" s="653"/>
      <c r="M177" s="653"/>
      <c r="N177" s="653"/>
      <c r="O177" s="653"/>
      <c r="P177" s="667">
        <f t="shared" si="47"/>
        <v>32</v>
      </c>
      <c r="Q177" s="668">
        <f t="shared" ca="1" si="48"/>
        <v>0</v>
      </c>
      <c r="R177" s="669">
        <f t="shared" ca="1" si="46"/>
        <v>0</v>
      </c>
      <c r="S177" s="669">
        <f t="shared" ca="1" si="49"/>
        <v>0</v>
      </c>
      <c r="T177" s="670">
        <f t="shared" ca="1" si="50"/>
        <v>0</v>
      </c>
      <c r="U177" s="671">
        <f t="shared" ca="1" si="51"/>
        <v>0.10750033842794154</v>
      </c>
      <c r="V177" s="672">
        <f t="shared" ca="1" si="52"/>
        <v>5.3750169213970772E-2</v>
      </c>
      <c r="W177" s="673">
        <f t="shared" ca="1" si="53"/>
        <v>0</v>
      </c>
      <c r="X177" s="674">
        <f t="shared" ca="1" si="54"/>
        <v>0</v>
      </c>
      <c r="Y177" s="675">
        <f t="shared" ca="1" si="55"/>
        <v>0</v>
      </c>
      <c r="Z177" s="675">
        <f t="shared" ca="1" si="56"/>
        <v>0</v>
      </c>
      <c r="AA177" s="676">
        <f t="shared" ca="1" si="57"/>
        <v>0</v>
      </c>
      <c r="AB177" s="670">
        <f t="shared" ca="1" si="58"/>
        <v>0</v>
      </c>
      <c r="AC177" s="677">
        <f t="shared" ca="1" si="59"/>
        <v>0</v>
      </c>
      <c r="AD177" s="679">
        <f t="shared" si="61"/>
        <v>0.33436905264626932</v>
      </c>
      <c r="AE177" s="678">
        <f t="shared" ca="1" si="60"/>
        <v>0</v>
      </c>
      <c r="AF177" s="651"/>
      <c r="AG177" s="654"/>
      <c r="AH177" s="654"/>
    </row>
    <row r="178" spans="2:34" x14ac:dyDescent="0.25">
      <c r="B178" s="651"/>
      <c r="C178" s="653"/>
      <c r="D178" s="653"/>
      <c r="E178" s="653"/>
      <c r="F178" s="653"/>
      <c r="G178" s="653"/>
      <c r="H178" s="653"/>
      <c r="I178" s="653"/>
      <c r="J178" s="653"/>
      <c r="K178" s="653"/>
      <c r="L178" s="653"/>
      <c r="M178" s="653"/>
      <c r="N178" s="653"/>
      <c r="O178" s="653"/>
      <c r="P178" s="667">
        <f t="shared" si="47"/>
        <v>33</v>
      </c>
      <c r="Q178" s="668">
        <f t="shared" ca="1" si="48"/>
        <v>0</v>
      </c>
      <c r="R178" s="669">
        <f t="shared" ref="R178:R197" ca="1" si="62">IF(Q178="","",IF(P178&lt;=$R$9,IF(Q178&gt;$R$11,$R$11,Q178),0))</f>
        <v>0</v>
      </c>
      <c r="S178" s="669">
        <f t="shared" ca="1" si="49"/>
        <v>0</v>
      </c>
      <c r="T178" s="670">
        <f t="shared" ca="1" si="50"/>
        <v>0</v>
      </c>
      <c r="U178" s="671">
        <f t="shared" ca="1" si="51"/>
        <v>0.11018784688864007</v>
      </c>
      <c r="V178" s="672">
        <f t="shared" ca="1" si="52"/>
        <v>5.5093923444320035E-2</v>
      </c>
      <c r="W178" s="673">
        <f t="shared" ca="1" si="53"/>
        <v>0</v>
      </c>
      <c r="X178" s="674">
        <f t="shared" ca="1" si="54"/>
        <v>0</v>
      </c>
      <c r="Y178" s="675">
        <f t="shared" ca="1" si="55"/>
        <v>0</v>
      </c>
      <c r="Z178" s="675">
        <f t="shared" ca="1" si="56"/>
        <v>0</v>
      </c>
      <c r="AA178" s="676">
        <f t="shared" ca="1" si="57"/>
        <v>0</v>
      </c>
      <c r="AB178" s="670">
        <f t="shared" ca="1" si="58"/>
        <v>0</v>
      </c>
      <c r="AC178" s="677">
        <f t="shared" ca="1" si="59"/>
        <v>0</v>
      </c>
      <c r="AD178" s="679">
        <f t="shared" si="61"/>
        <v>0.34272827896242603</v>
      </c>
      <c r="AE178" s="678">
        <f t="shared" ca="1" si="60"/>
        <v>0</v>
      </c>
      <c r="AF178" s="651"/>
      <c r="AG178" s="654"/>
      <c r="AH178" s="654"/>
    </row>
    <row r="179" spans="2:34" x14ac:dyDescent="0.25">
      <c r="B179" s="651"/>
      <c r="C179" s="653"/>
      <c r="D179" s="653"/>
      <c r="E179" s="653"/>
      <c r="F179" s="653"/>
      <c r="G179" s="653"/>
      <c r="H179" s="653"/>
      <c r="I179" s="653"/>
      <c r="J179" s="653"/>
      <c r="K179" s="653"/>
      <c r="L179" s="653"/>
      <c r="M179" s="653"/>
      <c r="N179" s="653"/>
      <c r="O179" s="653"/>
      <c r="P179" s="667">
        <f t="shared" si="47"/>
        <v>34</v>
      </c>
      <c r="Q179" s="668">
        <f t="shared" ca="1" si="48"/>
        <v>0</v>
      </c>
      <c r="R179" s="669">
        <f t="shared" ca="1" si="62"/>
        <v>0</v>
      </c>
      <c r="S179" s="669">
        <f t="shared" ca="1" si="49"/>
        <v>0</v>
      </c>
      <c r="T179" s="670">
        <f t="shared" ca="1" si="50"/>
        <v>0</v>
      </c>
      <c r="U179" s="671">
        <f t="shared" ref="U179:U197" ca="1" si="63">IF(R179="","",U178*(1+$R$7))</f>
        <v>0.11294254306085606</v>
      </c>
      <c r="V179" s="672">
        <f t="shared" ref="V179:V197" ca="1" si="64">IF(S179="","",V178*(1+$T$7))</f>
        <v>5.6471271530428031E-2</v>
      </c>
      <c r="W179" s="673">
        <f t="shared" ref="W179:W197" ca="1" si="65">IF(T179="","",W178*(1+$V$7))</f>
        <v>0</v>
      </c>
      <c r="X179" s="674">
        <f t="shared" ca="1" si="54"/>
        <v>0</v>
      </c>
      <c r="Y179" s="675">
        <f t="shared" ca="1" si="55"/>
        <v>0</v>
      </c>
      <c r="Z179" s="675">
        <f t="shared" ca="1" si="56"/>
        <v>0</v>
      </c>
      <c r="AA179" s="676">
        <f t="shared" ca="1" si="57"/>
        <v>0</v>
      </c>
      <c r="AB179" s="670">
        <f t="shared" ca="1" si="58"/>
        <v>0</v>
      </c>
      <c r="AC179" s="677">
        <f t="shared" ca="1" si="59"/>
        <v>0</v>
      </c>
      <c r="AD179" s="679">
        <f t="shared" si="61"/>
        <v>0.35129648593648666</v>
      </c>
      <c r="AE179" s="678">
        <f t="shared" ca="1" si="60"/>
        <v>0</v>
      </c>
      <c r="AF179" s="651"/>
      <c r="AG179" s="654"/>
      <c r="AH179" s="654"/>
    </row>
    <row r="180" spans="2:34" x14ac:dyDescent="0.25">
      <c r="B180" s="651"/>
      <c r="C180" s="653"/>
      <c r="D180" s="653"/>
      <c r="E180" s="653"/>
      <c r="F180" s="653"/>
      <c r="G180" s="653"/>
      <c r="H180" s="653"/>
      <c r="I180" s="653"/>
      <c r="J180" s="653"/>
      <c r="K180" s="653"/>
      <c r="L180" s="653"/>
      <c r="M180" s="653"/>
      <c r="N180" s="653"/>
      <c r="O180" s="653"/>
      <c r="P180" s="667">
        <f t="shared" si="47"/>
        <v>35</v>
      </c>
      <c r="Q180" s="668">
        <f t="shared" ca="1" si="48"/>
        <v>0</v>
      </c>
      <c r="R180" s="669">
        <f t="shared" ca="1" si="62"/>
        <v>0</v>
      </c>
      <c r="S180" s="669">
        <f t="shared" ca="1" si="49"/>
        <v>0</v>
      </c>
      <c r="T180" s="670">
        <f t="shared" ca="1" si="50"/>
        <v>0</v>
      </c>
      <c r="U180" s="671">
        <f t="shared" ca="1" si="63"/>
        <v>0.11576610663737745</v>
      </c>
      <c r="V180" s="672">
        <f t="shared" ca="1" si="64"/>
        <v>5.7883053318688725E-2</v>
      </c>
      <c r="W180" s="673">
        <f t="shared" ca="1" si="65"/>
        <v>0</v>
      </c>
      <c r="X180" s="674">
        <f t="shared" ca="1" si="54"/>
        <v>0</v>
      </c>
      <c r="Y180" s="675">
        <f t="shared" ca="1" si="55"/>
        <v>0</v>
      </c>
      <c r="Z180" s="675">
        <f t="shared" ca="1" si="56"/>
        <v>0</v>
      </c>
      <c r="AA180" s="676">
        <f t="shared" ca="1" si="57"/>
        <v>0</v>
      </c>
      <c r="AB180" s="670">
        <f t="shared" ca="1" si="58"/>
        <v>0</v>
      </c>
      <c r="AC180" s="677">
        <f t="shared" ca="1" si="59"/>
        <v>0</v>
      </c>
      <c r="AD180" s="679">
        <f t="shared" si="61"/>
        <v>0.36007889808489879</v>
      </c>
      <c r="AE180" s="678">
        <f t="shared" ca="1" si="60"/>
        <v>0</v>
      </c>
      <c r="AF180" s="651"/>
      <c r="AG180" s="654"/>
      <c r="AH180" s="654"/>
    </row>
    <row r="181" spans="2:34" x14ac:dyDescent="0.25">
      <c r="B181" s="651"/>
      <c r="C181" s="653"/>
      <c r="D181" s="653"/>
      <c r="E181" s="653"/>
      <c r="F181" s="653"/>
      <c r="G181" s="653"/>
      <c r="H181" s="653"/>
      <c r="I181" s="653"/>
      <c r="J181" s="653"/>
      <c r="K181" s="653"/>
      <c r="L181" s="653"/>
      <c r="M181" s="653"/>
      <c r="N181" s="653"/>
      <c r="O181" s="653"/>
      <c r="P181" s="667" t="str">
        <f t="shared" si="47"/>
        <v/>
      </c>
      <c r="Q181" s="668" t="str">
        <f t="shared" si="48"/>
        <v/>
      </c>
      <c r="R181" s="669" t="str">
        <f t="shared" si="62"/>
        <v/>
      </c>
      <c r="S181" s="669" t="str">
        <f t="shared" si="49"/>
        <v/>
      </c>
      <c r="T181" s="670" t="str">
        <f t="shared" si="50"/>
        <v/>
      </c>
      <c r="U181" s="671" t="str">
        <f t="shared" si="63"/>
        <v/>
      </c>
      <c r="V181" s="672" t="str">
        <f t="shared" si="64"/>
        <v/>
      </c>
      <c r="W181" s="673" t="str">
        <f t="shared" si="65"/>
        <v/>
      </c>
      <c r="X181" s="674" t="str">
        <f t="shared" si="54"/>
        <v/>
      </c>
      <c r="Y181" s="675" t="str">
        <f t="shared" si="55"/>
        <v/>
      </c>
      <c r="Z181" s="675" t="str">
        <f t="shared" si="56"/>
        <v/>
      </c>
      <c r="AA181" s="676">
        <f t="shared" si="57"/>
        <v>0</v>
      </c>
      <c r="AB181" s="670">
        <f t="shared" si="58"/>
        <v>0</v>
      </c>
      <c r="AC181" s="677" t="str">
        <f t="shared" si="59"/>
        <v/>
      </c>
      <c r="AD181" s="679" t="str">
        <f t="shared" si="61"/>
        <v/>
      </c>
      <c r="AE181" s="678">
        <f t="shared" si="60"/>
        <v>0</v>
      </c>
      <c r="AF181" s="651"/>
      <c r="AG181" s="654"/>
      <c r="AH181" s="654"/>
    </row>
    <row r="182" spans="2:34" x14ac:dyDescent="0.25">
      <c r="B182" s="651"/>
      <c r="C182" s="653"/>
      <c r="D182" s="653"/>
      <c r="E182" s="653"/>
      <c r="F182" s="653"/>
      <c r="G182" s="653"/>
      <c r="H182" s="653"/>
      <c r="I182" s="653"/>
      <c r="J182" s="653"/>
      <c r="K182" s="653"/>
      <c r="L182" s="653"/>
      <c r="M182" s="653"/>
      <c r="N182" s="653"/>
      <c r="O182" s="653"/>
      <c r="P182" s="667" t="str">
        <f t="shared" si="47"/>
        <v/>
      </c>
      <c r="Q182" s="668" t="str">
        <f t="shared" si="48"/>
        <v/>
      </c>
      <c r="R182" s="669" t="str">
        <f t="shared" si="62"/>
        <v/>
      </c>
      <c r="S182" s="669" t="str">
        <f t="shared" si="49"/>
        <v/>
      </c>
      <c r="T182" s="670" t="str">
        <f t="shared" si="50"/>
        <v/>
      </c>
      <c r="U182" s="671" t="str">
        <f t="shared" si="63"/>
        <v/>
      </c>
      <c r="V182" s="672" t="str">
        <f t="shared" si="64"/>
        <v/>
      </c>
      <c r="W182" s="673" t="str">
        <f t="shared" si="65"/>
        <v/>
      </c>
      <c r="X182" s="674" t="str">
        <f t="shared" si="54"/>
        <v/>
      </c>
      <c r="Y182" s="675" t="str">
        <f t="shared" si="55"/>
        <v/>
      </c>
      <c r="Z182" s="675" t="str">
        <f t="shared" si="56"/>
        <v/>
      </c>
      <c r="AA182" s="676">
        <f t="shared" si="57"/>
        <v>0</v>
      </c>
      <c r="AB182" s="670">
        <f t="shared" si="58"/>
        <v>0</v>
      </c>
      <c r="AC182" s="677" t="str">
        <f t="shared" si="59"/>
        <v/>
      </c>
      <c r="AD182" s="679" t="str">
        <f t="shared" si="61"/>
        <v/>
      </c>
      <c r="AE182" s="678">
        <f t="shared" si="60"/>
        <v>0</v>
      </c>
      <c r="AF182" s="651"/>
      <c r="AG182" s="654"/>
      <c r="AH182" s="654"/>
    </row>
    <row r="183" spans="2:34" x14ac:dyDescent="0.25">
      <c r="B183" s="651"/>
      <c r="C183" s="653"/>
      <c r="D183" s="653"/>
      <c r="E183" s="653"/>
      <c r="F183" s="653"/>
      <c r="G183" s="653"/>
      <c r="H183" s="653"/>
      <c r="I183" s="653"/>
      <c r="J183" s="653"/>
      <c r="K183" s="653"/>
      <c r="L183" s="653"/>
      <c r="M183" s="653"/>
      <c r="N183" s="653"/>
      <c r="O183" s="653"/>
      <c r="P183" s="667" t="str">
        <f t="shared" si="47"/>
        <v/>
      </c>
      <c r="Q183" s="668" t="str">
        <f t="shared" si="48"/>
        <v/>
      </c>
      <c r="R183" s="669" t="str">
        <f t="shared" si="62"/>
        <v/>
      </c>
      <c r="S183" s="669" t="str">
        <f t="shared" si="49"/>
        <v/>
      </c>
      <c r="T183" s="670" t="str">
        <f t="shared" si="50"/>
        <v/>
      </c>
      <c r="U183" s="671" t="str">
        <f t="shared" si="63"/>
        <v/>
      </c>
      <c r="V183" s="672" t="str">
        <f t="shared" si="64"/>
        <v/>
      </c>
      <c r="W183" s="673" t="str">
        <f t="shared" si="65"/>
        <v/>
      </c>
      <c r="X183" s="674" t="str">
        <f t="shared" si="54"/>
        <v/>
      </c>
      <c r="Y183" s="675" t="str">
        <f t="shared" si="55"/>
        <v/>
      </c>
      <c r="Z183" s="675" t="str">
        <f t="shared" si="56"/>
        <v/>
      </c>
      <c r="AA183" s="676">
        <f t="shared" si="57"/>
        <v>0</v>
      </c>
      <c r="AB183" s="670">
        <f t="shared" si="58"/>
        <v>0</v>
      </c>
      <c r="AC183" s="677" t="str">
        <f t="shared" si="59"/>
        <v/>
      </c>
      <c r="AD183" s="679" t="str">
        <f t="shared" si="61"/>
        <v/>
      </c>
      <c r="AE183" s="678">
        <f t="shared" si="60"/>
        <v>0</v>
      </c>
      <c r="AF183" s="651"/>
      <c r="AG183" s="654"/>
      <c r="AH183" s="654"/>
    </row>
    <row r="184" spans="2:34" x14ac:dyDescent="0.25">
      <c r="B184" s="651"/>
      <c r="C184" s="653"/>
      <c r="D184" s="653"/>
      <c r="E184" s="653"/>
      <c r="F184" s="653"/>
      <c r="G184" s="653"/>
      <c r="H184" s="653"/>
      <c r="I184" s="653"/>
      <c r="J184" s="653"/>
      <c r="K184" s="653"/>
      <c r="L184" s="653"/>
      <c r="M184" s="653"/>
      <c r="N184" s="653"/>
      <c r="O184" s="653"/>
      <c r="P184" s="667" t="str">
        <f t="shared" si="47"/>
        <v/>
      </c>
      <c r="Q184" s="668" t="str">
        <f t="shared" si="48"/>
        <v/>
      </c>
      <c r="R184" s="669" t="str">
        <f t="shared" si="62"/>
        <v/>
      </c>
      <c r="S184" s="669" t="str">
        <f t="shared" si="49"/>
        <v/>
      </c>
      <c r="T184" s="670" t="str">
        <f t="shared" si="50"/>
        <v/>
      </c>
      <c r="U184" s="671" t="str">
        <f t="shared" si="63"/>
        <v/>
      </c>
      <c r="V184" s="672" t="str">
        <f t="shared" si="64"/>
        <v/>
      </c>
      <c r="W184" s="673" t="str">
        <f t="shared" si="65"/>
        <v/>
      </c>
      <c r="X184" s="674" t="str">
        <f t="shared" si="54"/>
        <v/>
      </c>
      <c r="Y184" s="675" t="str">
        <f t="shared" si="55"/>
        <v/>
      </c>
      <c r="Z184" s="675" t="str">
        <f t="shared" si="56"/>
        <v/>
      </c>
      <c r="AA184" s="676">
        <f t="shared" si="57"/>
        <v>0</v>
      </c>
      <c r="AB184" s="670">
        <f t="shared" si="58"/>
        <v>0</v>
      </c>
      <c r="AC184" s="677" t="str">
        <f t="shared" si="59"/>
        <v/>
      </c>
      <c r="AD184" s="679" t="str">
        <f t="shared" si="61"/>
        <v/>
      </c>
      <c r="AE184" s="678">
        <f t="shared" si="60"/>
        <v>0</v>
      </c>
      <c r="AF184" s="651"/>
      <c r="AG184" s="654"/>
      <c r="AH184" s="654"/>
    </row>
    <row r="185" spans="2:34" x14ac:dyDescent="0.25">
      <c r="B185" s="651"/>
      <c r="C185" s="653"/>
      <c r="D185" s="653"/>
      <c r="E185" s="653"/>
      <c r="F185" s="653"/>
      <c r="G185" s="653"/>
      <c r="H185" s="653"/>
      <c r="I185" s="653"/>
      <c r="J185" s="653"/>
      <c r="K185" s="653"/>
      <c r="L185" s="653"/>
      <c r="M185" s="653"/>
      <c r="N185" s="653"/>
      <c r="O185" s="653"/>
      <c r="P185" s="667" t="str">
        <f t="shared" si="47"/>
        <v/>
      </c>
      <c r="Q185" s="668" t="str">
        <f t="shared" si="48"/>
        <v/>
      </c>
      <c r="R185" s="669" t="str">
        <f t="shared" si="62"/>
        <v/>
      </c>
      <c r="S185" s="669" t="str">
        <f t="shared" si="49"/>
        <v/>
      </c>
      <c r="T185" s="670" t="str">
        <f t="shared" si="50"/>
        <v/>
      </c>
      <c r="U185" s="671" t="str">
        <f t="shared" si="63"/>
        <v/>
      </c>
      <c r="V185" s="672" t="str">
        <f t="shared" si="64"/>
        <v/>
      </c>
      <c r="W185" s="673" t="str">
        <f t="shared" si="65"/>
        <v/>
      </c>
      <c r="X185" s="674" t="str">
        <f t="shared" si="54"/>
        <v/>
      </c>
      <c r="Y185" s="675" t="str">
        <f t="shared" si="55"/>
        <v/>
      </c>
      <c r="Z185" s="675" t="str">
        <f t="shared" si="56"/>
        <v/>
      </c>
      <c r="AA185" s="676">
        <f t="shared" si="57"/>
        <v>0</v>
      </c>
      <c r="AB185" s="670">
        <f t="shared" si="58"/>
        <v>0</v>
      </c>
      <c r="AC185" s="677" t="str">
        <f t="shared" si="59"/>
        <v/>
      </c>
      <c r="AD185" s="679" t="str">
        <f t="shared" si="61"/>
        <v/>
      </c>
      <c r="AE185" s="678">
        <f t="shared" si="60"/>
        <v>0</v>
      </c>
      <c r="AF185" s="651"/>
      <c r="AG185" s="654"/>
      <c r="AH185" s="654"/>
    </row>
    <row r="186" spans="2:34" x14ac:dyDescent="0.25">
      <c r="B186" s="651"/>
      <c r="C186" s="653"/>
      <c r="D186" s="653"/>
      <c r="E186" s="653"/>
      <c r="F186" s="653"/>
      <c r="G186" s="653"/>
      <c r="H186" s="653"/>
      <c r="I186" s="653"/>
      <c r="J186" s="653"/>
      <c r="K186" s="653"/>
      <c r="L186" s="653"/>
      <c r="M186" s="653"/>
      <c r="N186" s="653"/>
      <c r="O186" s="653"/>
      <c r="P186" s="667" t="str">
        <f t="shared" si="47"/>
        <v/>
      </c>
      <c r="Q186" s="668" t="str">
        <f t="shared" si="48"/>
        <v/>
      </c>
      <c r="R186" s="669" t="str">
        <f t="shared" si="62"/>
        <v/>
      </c>
      <c r="S186" s="669" t="str">
        <f t="shared" si="49"/>
        <v/>
      </c>
      <c r="T186" s="670" t="str">
        <f t="shared" si="50"/>
        <v/>
      </c>
      <c r="U186" s="671" t="str">
        <f t="shared" si="63"/>
        <v/>
      </c>
      <c r="V186" s="672" t="str">
        <f t="shared" si="64"/>
        <v/>
      </c>
      <c r="W186" s="673" t="str">
        <f t="shared" si="65"/>
        <v/>
      </c>
      <c r="X186" s="674" t="str">
        <f t="shared" si="54"/>
        <v/>
      </c>
      <c r="Y186" s="675" t="str">
        <f t="shared" si="55"/>
        <v/>
      </c>
      <c r="Z186" s="675" t="str">
        <f t="shared" si="56"/>
        <v/>
      </c>
      <c r="AA186" s="676">
        <f t="shared" si="57"/>
        <v>0</v>
      </c>
      <c r="AB186" s="670">
        <f t="shared" si="58"/>
        <v>0</v>
      </c>
      <c r="AC186" s="677" t="str">
        <f t="shared" si="59"/>
        <v/>
      </c>
      <c r="AD186" s="679" t="str">
        <f t="shared" si="61"/>
        <v/>
      </c>
      <c r="AE186" s="678">
        <f t="shared" si="60"/>
        <v>0</v>
      </c>
      <c r="AF186" s="651"/>
      <c r="AG186" s="654"/>
      <c r="AH186" s="654"/>
    </row>
    <row r="187" spans="2:34" x14ac:dyDescent="0.25">
      <c r="B187" s="651"/>
      <c r="C187" s="653"/>
      <c r="D187" s="653"/>
      <c r="E187" s="653"/>
      <c r="F187" s="653"/>
      <c r="G187" s="653"/>
      <c r="H187" s="653"/>
      <c r="I187" s="653"/>
      <c r="J187" s="653"/>
      <c r="K187" s="653"/>
      <c r="L187" s="653"/>
      <c r="M187" s="653"/>
      <c r="N187" s="653"/>
      <c r="O187" s="653"/>
      <c r="P187" s="667" t="str">
        <f t="shared" si="47"/>
        <v/>
      </c>
      <c r="Q187" s="668" t="str">
        <f t="shared" si="48"/>
        <v/>
      </c>
      <c r="R187" s="669" t="str">
        <f t="shared" si="62"/>
        <v/>
      </c>
      <c r="S187" s="669" t="str">
        <f t="shared" si="49"/>
        <v/>
      </c>
      <c r="T187" s="670" t="str">
        <f t="shared" si="50"/>
        <v/>
      </c>
      <c r="U187" s="671" t="str">
        <f t="shared" si="63"/>
        <v/>
      </c>
      <c r="V187" s="672" t="str">
        <f t="shared" si="64"/>
        <v/>
      </c>
      <c r="W187" s="673" t="str">
        <f t="shared" si="65"/>
        <v/>
      </c>
      <c r="X187" s="674" t="str">
        <f t="shared" si="54"/>
        <v/>
      </c>
      <c r="Y187" s="675" t="str">
        <f t="shared" si="55"/>
        <v/>
      </c>
      <c r="Z187" s="675" t="str">
        <f t="shared" si="56"/>
        <v/>
      </c>
      <c r="AA187" s="676">
        <f t="shared" si="57"/>
        <v>0</v>
      </c>
      <c r="AB187" s="670">
        <f t="shared" si="58"/>
        <v>0</v>
      </c>
      <c r="AC187" s="677" t="str">
        <f t="shared" si="59"/>
        <v/>
      </c>
      <c r="AD187" s="679" t="str">
        <f t="shared" si="61"/>
        <v/>
      </c>
      <c r="AE187" s="678">
        <f t="shared" si="60"/>
        <v>0</v>
      </c>
      <c r="AF187" s="651"/>
      <c r="AG187" s="654"/>
      <c r="AH187" s="654"/>
    </row>
    <row r="188" spans="2:34" x14ac:dyDescent="0.25">
      <c r="B188" s="651"/>
      <c r="C188" s="653"/>
      <c r="D188" s="653"/>
      <c r="E188" s="653"/>
      <c r="F188" s="653"/>
      <c r="G188" s="653"/>
      <c r="H188" s="653"/>
      <c r="I188" s="653"/>
      <c r="J188" s="653"/>
      <c r="K188" s="653"/>
      <c r="L188" s="653"/>
      <c r="M188" s="653"/>
      <c r="N188" s="653"/>
      <c r="O188" s="653"/>
      <c r="P188" s="667" t="str">
        <f t="shared" si="47"/>
        <v/>
      </c>
      <c r="Q188" s="668" t="str">
        <f t="shared" si="48"/>
        <v/>
      </c>
      <c r="R188" s="669" t="str">
        <f t="shared" si="62"/>
        <v/>
      </c>
      <c r="S188" s="669" t="str">
        <f t="shared" si="49"/>
        <v/>
      </c>
      <c r="T188" s="670" t="str">
        <f t="shared" si="50"/>
        <v/>
      </c>
      <c r="U188" s="671" t="str">
        <f t="shared" si="63"/>
        <v/>
      </c>
      <c r="V188" s="672" t="str">
        <f t="shared" si="64"/>
        <v/>
      </c>
      <c r="W188" s="673" t="str">
        <f t="shared" si="65"/>
        <v/>
      </c>
      <c r="X188" s="674" t="str">
        <f t="shared" si="54"/>
        <v/>
      </c>
      <c r="Y188" s="675" t="str">
        <f t="shared" si="55"/>
        <v/>
      </c>
      <c r="Z188" s="675" t="str">
        <f t="shared" si="56"/>
        <v/>
      </c>
      <c r="AA188" s="676">
        <f t="shared" si="57"/>
        <v>0</v>
      </c>
      <c r="AB188" s="670">
        <f t="shared" si="58"/>
        <v>0</v>
      </c>
      <c r="AC188" s="677" t="str">
        <f t="shared" si="59"/>
        <v/>
      </c>
      <c r="AD188" s="679" t="str">
        <f t="shared" si="61"/>
        <v/>
      </c>
      <c r="AE188" s="678">
        <f t="shared" si="60"/>
        <v>0</v>
      </c>
      <c r="AF188" s="651"/>
      <c r="AG188" s="654"/>
      <c r="AH188" s="654"/>
    </row>
    <row r="189" spans="2:34" x14ac:dyDescent="0.25">
      <c r="B189" s="651"/>
      <c r="C189" s="653"/>
      <c r="D189" s="653"/>
      <c r="E189" s="653"/>
      <c r="F189" s="653"/>
      <c r="G189" s="653"/>
      <c r="H189" s="653"/>
      <c r="I189" s="653"/>
      <c r="J189" s="653"/>
      <c r="K189" s="653"/>
      <c r="L189" s="653"/>
      <c r="M189" s="653"/>
      <c r="N189" s="653"/>
      <c r="O189" s="653"/>
      <c r="P189" s="667" t="str">
        <f t="shared" si="47"/>
        <v/>
      </c>
      <c r="Q189" s="668" t="str">
        <f t="shared" si="48"/>
        <v/>
      </c>
      <c r="R189" s="669" t="str">
        <f t="shared" si="62"/>
        <v/>
      </c>
      <c r="S189" s="669" t="str">
        <f t="shared" si="49"/>
        <v/>
      </c>
      <c r="T189" s="670" t="str">
        <f t="shared" si="50"/>
        <v/>
      </c>
      <c r="U189" s="671" t="str">
        <f t="shared" si="63"/>
        <v/>
      </c>
      <c r="V189" s="672" t="str">
        <f t="shared" si="64"/>
        <v/>
      </c>
      <c r="W189" s="673" t="str">
        <f t="shared" si="65"/>
        <v/>
      </c>
      <c r="X189" s="674" t="str">
        <f t="shared" si="54"/>
        <v/>
      </c>
      <c r="Y189" s="675" t="str">
        <f t="shared" si="55"/>
        <v/>
      </c>
      <c r="Z189" s="675" t="str">
        <f t="shared" si="56"/>
        <v/>
      </c>
      <c r="AA189" s="676">
        <f t="shared" si="57"/>
        <v>0</v>
      </c>
      <c r="AB189" s="670">
        <f t="shared" si="58"/>
        <v>0</v>
      </c>
      <c r="AC189" s="677" t="str">
        <f t="shared" si="59"/>
        <v/>
      </c>
      <c r="AD189" s="679" t="str">
        <f t="shared" si="61"/>
        <v/>
      </c>
      <c r="AE189" s="678">
        <f t="shared" si="60"/>
        <v>0</v>
      </c>
      <c r="AF189" s="651"/>
      <c r="AG189" s="654"/>
      <c r="AH189" s="654"/>
    </row>
    <row r="190" spans="2:34" x14ac:dyDescent="0.25">
      <c r="B190" s="651"/>
      <c r="C190" s="653"/>
      <c r="D190" s="653"/>
      <c r="E190" s="653"/>
      <c r="F190" s="653"/>
      <c r="G190" s="653"/>
      <c r="H190" s="653"/>
      <c r="I190" s="653"/>
      <c r="J190" s="653"/>
      <c r="K190" s="653"/>
      <c r="L190" s="653"/>
      <c r="M190" s="653"/>
      <c r="N190" s="653"/>
      <c r="O190" s="653"/>
      <c r="P190" s="667" t="str">
        <f t="shared" si="47"/>
        <v/>
      </c>
      <c r="Q190" s="668" t="str">
        <f t="shared" si="48"/>
        <v/>
      </c>
      <c r="R190" s="669" t="str">
        <f t="shared" si="62"/>
        <v/>
      </c>
      <c r="S190" s="669" t="str">
        <f t="shared" si="49"/>
        <v/>
      </c>
      <c r="T190" s="670" t="str">
        <f t="shared" si="50"/>
        <v/>
      </c>
      <c r="U190" s="671" t="str">
        <f t="shared" si="63"/>
        <v/>
      </c>
      <c r="V190" s="672" t="str">
        <f t="shared" si="64"/>
        <v/>
      </c>
      <c r="W190" s="673" t="str">
        <f t="shared" si="65"/>
        <v/>
      </c>
      <c r="X190" s="674" t="str">
        <f t="shared" si="54"/>
        <v/>
      </c>
      <c r="Y190" s="675" t="str">
        <f t="shared" si="55"/>
        <v/>
      </c>
      <c r="Z190" s="675" t="str">
        <f t="shared" si="56"/>
        <v/>
      </c>
      <c r="AA190" s="676">
        <f t="shared" si="57"/>
        <v>0</v>
      </c>
      <c r="AB190" s="670">
        <f t="shared" si="58"/>
        <v>0</v>
      </c>
      <c r="AC190" s="677" t="str">
        <f t="shared" si="59"/>
        <v/>
      </c>
      <c r="AD190" s="679" t="str">
        <f t="shared" si="61"/>
        <v/>
      </c>
      <c r="AE190" s="678">
        <f t="shared" si="60"/>
        <v>0</v>
      </c>
      <c r="AF190" s="651"/>
      <c r="AG190" s="654"/>
      <c r="AH190" s="654"/>
    </row>
    <row r="191" spans="2:34" x14ac:dyDescent="0.25">
      <c r="B191" s="651"/>
      <c r="C191" s="653"/>
      <c r="D191" s="653"/>
      <c r="E191" s="653"/>
      <c r="F191" s="653"/>
      <c r="G191" s="653"/>
      <c r="H191" s="653"/>
      <c r="I191" s="653"/>
      <c r="J191" s="653"/>
      <c r="K191" s="653"/>
      <c r="L191" s="653"/>
      <c r="M191" s="653"/>
      <c r="N191" s="653"/>
      <c r="O191" s="653"/>
      <c r="P191" s="667" t="str">
        <f t="shared" si="47"/>
        <v/>
      </c>
      <c r="Q191" s="668" t="str">
        <f t="shared" si="48"/>
        <v/>
      </c>
      <c r="R191" s="669" t="str">
        <f t="shared" si="62"/>
        <v/>
      </c>
      <c r="S191" s="669" t="str">
        <f t="shared" si="49"/>
        <v/>
      </c>
      <c r="T191" s="670" t="str">
        <f t="shared" si="50"/>
        <v/>
      </c>
      <c r="U191" s="671" t="str">
        <f t="shared" si="63"/>
        <v/>
      </c>
      <c r="V191" s="672" t="str">
        <f t="shared" si="64"/>
        <v/>
      </c>
      <c r="W191" s="673" t="str">
        <f t="shared" si="65"/>
        <v/>
      </c>
      <c r="X191" s="674" t="str">
        <f t="shared" si="54"/>
        <v/>
      </c>
      <c r="Y191" s="675" t="str">
        <f t="shared" si="55"/>
        <v/>
      </c>
      <c r="Z191" s="675" t="str">
        <f t="shared" si="56"/>
        <v/>
      </c>
      <c r="AA191" s="676">
        <f t="shared" si="57"/>
        <v>0</v>
      </c>
      <c r="AB191" s="670">
        <f t="shared" si="58"/>
        <v>0</v>
      </c>
      <c r="AC191" s="677" t="str">
        <f t="shared" si="59"/>
        <v/>
      </c>
      <c r="AD191" s="679" t="str">
        <f t="shared" si="61"/>
        <v/>
      </c>
      <c r="AE191" s="678">
        <f t="shared" si="60"/>
        <v>0</v>
      </c>
      <c r="AF191" s="651"/>
      <c r="AG191" s="654"/>
      <c r="AH191" s="654"/>
    </row>
    <row r="192" spans="2:34" x14ac:dyDescent="0.25">
      <c r="B192" s="651"/>
      <c r="C192" s="653"/>
      <c r="D192" s="653"/>
      <c r="E192" s="653"/>
      <c r="F192" s="653"/>
      <c r="G192" s="653"/>
      <c r="H192" s="653"/>
      <c r="I192" s="653"/>
      <c r="J192" s="653"/>
      <c r="K192" s="653"/>
      <c r="L192" s="653"/>
      <c r="M192" s="653"/>
      <c r="N192" s="653"/>
      <c r="O192" s="653"/>
      <c r="P192" s="667" t="str">
        <f t="shared" si="47"/>
        <v/>
      </c>
      <c r="Q192" s="668" t="str">
        <f t="shared" si="48"/>
        <v/>
      </c>
      <c r="R192" s="669" t="str">
        <f t="shared" si="62"/>
        <v/>
      </c>
      <c r="S192" s="669" t="str">
        <f t="shared" si="49"/>
        <v/>
      </c>
      <c r="T192" s="670" t="str">
        <f t="shared" si="50"/>
        <v/>
      </c>
      <c r="U192" s="671" t="str">
        <f t="shared" si="63"/>
        <v/>
      </c>
      <c r="V192" s="672" t="str">
        <f t="shared" si="64"/>
        <v/>
      </c>
      <c r="W192" s="673" t="str">
        <f t="shared" si="65"/>
        <v/>
      </c>
      <c r="X192" s="674" t="str">
        <f t="shared" si="54"/>
        <v/>
      </c>
      <c r="Y192" s="675" t="str">
        <f t="shared" si="55"/>
        <v/>
      </c>
      <c r="Z192" s="675" t="str">
        <f t="shared" si="56"/>
        <v/>
      </c>
      <c r="AA192" s="676">
        <f t="shared" si="57"/>
        <v>0</v>
      </c>
      <c r="AB192" s="670">
        <f t="shared" si="58"/>
        <v>0</v>
      </c>
      <c r="AC192" s="677" t="str">
        <f t="shared" si="59"/>
        <v/>
      </c>
      <c r="AD192" s="679" t="str">
        <f t="shared" si="61"/>
        <v/>
      </c>
      <c r="AE192" s="678">
        <f t="shared" si="60"/>
        <v>0</v>
      </c>
      <c r="AF192" s="651"/>
      <c r="AG192" s="654"/>
      <c r="AH192" s="654"/>
    </row>
    <row r="193" spans="2:34" x14ac:dyDescent="0.25">
      <c r="B193" s="651"/>
      <c r="C193" s="653"/>
      <c r="D193" s="653"/>
      <c r="E193" s="653"/>
      <c r="F193" s="653"/>
      <c r="G193" s="653"/>
      <c r="H193" s="653"/>
      <c r="I193" s="653"/>
      <c r="J193" s="653"/>
      <c r="K193" s="653"/>
      <c r="L193" s="653"/>
      <c r="M193" s="653"/>
      <c r="N193" s="653"/>
      <c r="O193" s="653"/>
      <c r="P193" s="667" t="str">
        <f t="shared" si="47"/>
        <v/>
      </c>
      <c r="Q193" s="668" t="str">
        <f t="shared" si="48"/>
        <v/>
      </c>
      <c r="R193" s="669" t="str">
        <f t="shared" si="62"/>
        <v/>
      </c>
      <c r="S193" s="669" t="str">
        <f t="shared" si="49"/>
        <v/>
      </c>
      <c r="T193" s="670" t="str">
        <f t="shared" si="50"/>
        <v/>
      </c>
      <c r="U193" s="671" t="str">
        <f t="shared" si="63"/>
        <v/>
      </c>
      <c r="V193" s="672" t="str">
        <f t="shared" si="64"/>
        <v/>
      </c>
      <c r="W193" s="673" t="str">
        <f t="shared" si="65"/>
        <v/>
      </c>
      <c r="X193" s="674" t="str">
        <f t="shared" si="54"/>
        <v/>
      </c>
      <c r="Y193" s="675" t="str">
        <f t="shared" si="55"/>
        <v/>
      </c>
      <c r="Z193" s="675" t="str">
        <f t="shared" si="56"/>
        <v/>
      </c>
      <c r="AA193" s="676">
        <f t="shared" si="57"/>
        <v>0</v>
      </c>
      <c r="AB193" s="670">
        <f t="shared" si="58"/>
        <v>0</v>
      </c>
      <c r="AC193" s="677" t="str">
        <f t="shared" si="59"/>
        <v/>
      </c>
      <c r="AD193" s="679" t="str">
        <f t="shared" si="61"/>
        <v/>
      </c>
      <c r="AE193" s="678">
        <f t="shared" si="60"/>
        <v>0</v>
      </c>
      <c r="AF193" s="651"/>
      <c r="AG193" s="654"/>
      <c r="AH193" s="654"/>
    </row>
    <row r="194" spans="2:34" x14ac:dyDescent="0.25">
      <c r="B194" s="651"/>
      <c r="C194" s="653"/>
      <c r="D194" s="653"/>
      <c r="E194" s="653"/>
      <c r="F194" s="653"/>
      <c r="G194" s="653"/>
      <c r="H194" s="653"/>
      <c r="I194" s="653"/>
      <c r="J194" s="653"/>
      <c r="K194" s="653"/>
      <c r="L194" s="653"/>
      <c r="M194" s="653"/>
      <c r="N194" s="653"/>
      <c r="O194" s="653"/>
      <c r="P194" s="667" t="str">
        <f t="shared" si="47"/>
        <v/>
      </c>
      <c r="Q194" s="668" t="str">
        <f t="shared" si="48"/>
        <v/>
      </c>
      <c r="R194" s="669" t="str">
        <f t="shared" si="62"/>
        <v/>
      </c>
      <c r="S194" s="669" t="str">
        <f t="shared" si="49"/>
        <v/>
      </c>
      <c r="T194" s="670" t="str">
        <f t="shared" si="50"/>
        <v/>
      </c>
      <c r="U194" s="671" t="str">
        <f t="shared" si="63"/>
        <v/>
      </c>
      <c r="V194" s="672" t="str">
        <f t="shared" si="64"/>
        <v/>
      </c>
      <c r="W194" s="673" t="str">
        <f t="shared" si="65"/>
        <v/>
      </c>
      <c r="X194" s="674" t="str">
        <f t="shared" si="54"/>
        <v/>
      </c>
      <c r="Y194" s="675" t="str">
        <f t="shared" si="55"/>
        <v/>
      </c>
      <c r="Z194" s="675" t="str">
        <f t="shared" si="56"/>
        <v/>
      </c>
      <c r="AA194" s="676">
        <f t="shared" si="57"/>
        <v>0</v>
      </c>
      <c r="AB194" s="670">
        <f t="shared" si="58"/>
        <v>0</v>
      </c>
      <c r="AC194" s="677" t="str">
        <f t="shared" si="59"/>
        <v/>
      </c>
      <c r="AD194" s="679" t="str">
        <f t="shared" si="61"/>
        <v/>
      </c>
      <c r="AE194" s="678">
        <f t="shared" si="60"/>
        <v>0</v>
      </c>
      <c r="AF194" s="651"/>
      <c r="AG194" s="654"/>
      <c r="AH194" s="654"/>
    </row>
    <row r="195" spans="2:34" x14ac:dyDescent="0.25">
      <c r="B195" s="651"/>
      <c r="C195" s="653"/>
      <c r="D195" s="653"/>
      <c r="E195" s="653"/>
      <c r="F195" s="653"/>
      <c r="G195" s="653"/>
      <c r="H195" s="653"/>
      <c r="I195" s="653"/>
      <c r="J195" s="653"/>
      <c r="K195" s="653"/>
      <c r="L195" s="653"/>
      <c r="M195" s="653"/>
      <c r="N195" s="653"/>
      <c r="O195" s="653"/>
      <c r="P195" s="667" t="str">
        <f t="shared" si="47"/>
        <v/>
      </c>
      <c r="Q195" s="668" t="str">
        <f t="shared" si="48"/>
        <v/>
      </c>
      <c r="R195" s="669" t="str">
        <f t="shared" si="62"/>
        <v/>
      </c>
      <c r="S195" s="669" t="str">
        <f t="shared" si="49"/>
        <v/>
      </c>
      <c r="T195" s="670" t="str">
        <f t="shared" si="50"/>
        <v/>
      </c>
      <c r="U195" s="671" t="str">
        <f t="shared" si="63"/>
        <v/>
      </c>
      <c r="V195" s="672" t="str">
        <f t="shared" si="64"/>
        <v/>
      </c>
      <c r="W195" s="673" t="str">
        <f t="shared" si="65"/>
        <v/>
      </c>
      <c r="X195" s="674" t="str">
        <f t="shared" si="54"/>
        <v/>
      </c>
      <c r="Y195" s="675" t="str">
        <f t="shared" si="55"/>
        <v/>
      </c>
      <c r="Z195" s="675" t="str">
        <f t="shared" si="56"/>
        <v/>
      </c>
      <c r="AA195" s="676">
        <f t="shared" si="57"/>
        <v>0</v>
      </c>
      <c r="AB195" s="670">
        <f t="shared" si="58"/>
        <v>0</v>
      </c>
      <c r="AC195" s="677" t="str">
        <f t="shared" si="59"/>
        <v/>
      </c>
      <c r="AD195" s="679" t="str">
        <f t="shared" si="61"/>
        <v/>
      </c>
      <c r="AE195" s="678">
        <f t="shared" si="60"/>
        <v>0</v>
      </c>
      <c r="AF195" s="651"/>
      <c r="AG195" s="654"/>
      <c r="AH195" s="654"/>
    </row>
    <row r="196" spans="2:34" x14ac:dyDescent="0.25">
      <c r="B196" s="651"/>
      <c r="C196" s="653"/>
      <c r="D196" s="653"/>
      <c r="E196" s="653"/>
      <c r="F196" s="653"/>
      <c r="G196" s="653"/>
      <c r="H196" s="653"/>
      <c r="I196" s="653"/>
      <c r="J196" s="653"/>
      <c r="K196" s="653"/>
      <c r="L196" s="653"/>
      <c r="M196" s="653"/>
      <c r="N196" s="653"/>
      <c r="O196" s="653"/>
      <c r="P196" s="667" t="str">
        <f t="shared" si="47"/>
        <v/>
      </c>
      <c r="Q196" s="668"/>
      <c r="R196" s="669" t="str">
        <f t="shared" si="62"/>
        <v/>
      </c>
      <c r="S196" s="669" t="str">
        <f>IF(R196="","",IF(AND(P196&gt;=$T$8,P196&lt;=$T$9)=TRUE,IF($T$11="",Q196-R196,IF(Q196&gt;$T$11,$T$11-R196,Q196-R196)),0))</f>
        <v/>
      </c>
      <c r="T196" s="670" t="str">
        <f>IF(S196="","",IF(AND(P196&gt;=$V$8,P196&lt;=$V$9)=TRUE,IF($V$11="",Q196-R196-S196,IF(Q196&gt;$V$10,Q196-R196-S196,0)),0))</f>
        <v/>
      </c>
      <c r="U196" s="671" t="str">
        <f t="shared" si="63"/>
        <v/>
      </c>
      <c r="V196" s="672" t="str">
        <f t="shared" si="64"/>
        <v/>
      </c>
      <c r="W196" s="673" t="str">
        <f t="shared" si="65"/>
        <v/>
      </c>
      <c r="X196" s="674" t="str">
        <f t="shared" si="54"/>
        <v/>
      </c>
      <c r="Y196" s="675" t="str">
        <f t="shared" si="55"/>
        <v/>
      </c>
      <c r="Z196" s="675" t="str">
        <f t="shared" si="56"/>
        <v/>
      </c>
      <c r="AA196" s="676">
        <f t="shared" si="57"/>
        <v>0</v>
      </c>
      <c r="AB196" s="670">
        <f>IF(AA196="","",(IF(AND(P196&lt;=$R$9,P196&gt;=$R$8)=TRUE,$R$6,0)+IF(AND(P196&lt;=$T$9,P196&gt;=$T$8)=TRUE,$T$6,0)+IF(AND(P196&lt;=$V$9,P196&gt;=$V$8)=TRUE,$V$6,0))*-1)</f>
        <v>0</v>
      </c>
      <c r="AC196" s="677"/>
      <c r="AD196" s="679" t="str">
        <f t="shared" si="61"/>
        <v/>
      </c>
      <c r="AE196" s="678">
        <f t="shared" si="60"/>
        <v>0</v>
      </c>
      <c r="AF196" s="651"/>
      <c r="AG196" s="654"/>
      <c r="AH196" s="654"/>
    </row>
    <row r="197" spans="2:34" ht="15.75" thickBot="1" x14ac:dyDescent="0.3">
      <c r="B197" s="651"/>
      <c r="C197" s="653"/>
      <c r="D197" s="653"/>
      <c r="E197" s="653"/>
      <c r="F197" s="653"/>
      <c r="G197" s="653"/>
      <c r="H197" s="653"/>
      <c r="I197" s="653"/>
      <c r="J197" s="653"/>
      <c r="K197" s="653"/>
      <c r="L197" s="653"/>
      <c r="M197" s="653"/>
      <c r="N197" s="653"/>
      <c r="O197" s="653"/>
      <c r="P197" s="660" t="str">
        <f t="shared" si="47"/>
        <v/>
      </c>
      <c r="Q197" s="661"/>
      <c r="R197" s="662" t="str">
        <f t="shared" si="62"/>
        <v/>
      </c>
      <c r="S197" s="662" t="str">
        <f>IF(R197="","",IF(AND(P197&gt;=$T$8,P197&lt;=$T$9)=TRUE,IF($T$11="",Q197-R197,IF(Q197&gt;$T$11,$T$11-R197,Q197-R197)),0))</f>
        <v/>
      </c>
      <c r="T197" s="663" t="str">
        <f>IF(S197="","",IF(AND(P197&gt;=$V$8,P197&lt;=$V$9)=TRUE,IF($V$11="",Q197-R197-S197,IF(Q197&gt;$V$10,Q197-R197-S197,0)),0))</f>
        <v/>
      </c>
      <c r="U197" s="682" t="str">
        <f t="shared" si="63"/>
        <v/>
      </c>
      <c r="V197" s="683" t="str">
        <f t="shared" si="64"/>
        <v/>
      </c>
      <c r="W197" s="684" t="str">
        <f t="shared" si="65"/>
        <v/>
      </c>
      <c r="X197" s="685" t="str">
        <f t="shared" si="54"/>
        <v/>
      </c>
      <c r="Y197" s="686" t="str">
        <f t="shared" si="55"/>
        <v/>
      </c>
      <c r="Z197" s="686" t="str">
        <f t="shared" si="56"/>
        <v/>
      </c>
      <c r="AA197" s="676">
        <f t="shared" si="57"/>
        <v>0</v>
      </c>
      <c r="AB197" s="663">
        <f>IF(AA197="","",(IF(AND(P197&lt;=$R$9,P197&gt;=$R$8)=TRUE,$R$6,0)+IF(AND(P197&lt;=$T$9,P197&gt;=$T$8)=TRUE,$T$6,0)+IF(AND(P197&lt;=$V$9,P197&gt;=$V$8)=TRUE,$V$6,0))*-1)</f>
        <v>0</v>
      </c>
      <c r="AC197" s="687"/>
      <c r="AD197" s="688" t="str">
        <f t="shared" si="61"/>
        <v/>
      </c>
      <c r="AE197" s="678">
        <f t="shared" si="60"/>
        <v>0</v>
      </c>
      <c r="AF197" s="680"/>
      <c r="AG197" s="666"/>
      <c r="AH197" s="654"/>
    </row>
    <row r="198" spans="2:34" x14ac:dyDescent="0.25">
      <c r="B198" s="651"/>
      <c r="C198" s="653"/>
      <c r="D198" s="653"/>
      <c r="E198" s="653"/>
      <c r="F198" s="653"/>
      <c r="G198" s="653"/>
      <c r="H198" s="653"/>
      <c r="I198" s="653"/>
      <c r="J198" s="653"/>
      <c r="K198" s="653"/>
      <c r="L198" s="653"/>
      <c r="M198" s="653"/>
      <c r="N198" s="653"/>
      <c r="O198" s="653"/>
      <c r="P198" s="653"/>
      <c r="Q198" s="653"/>
      <c r="R198" s="653"/>
      <c r="S198" s="653"/>
      <c r="T198" s="653"/>
      <c r="U198" s="653"/>
      <c r="V198" s="653"/>
      <c r="W198" s="653"/>
      <c r="X198" s="653"/>
      <c r="Y198" s="653"/>
      <c r="Z198" s="653" t="s">
        <v>555</v>
      </c>
      <c r="AA198" s="798">
        <f ca="1">NPV(BERECHNUNG!$D$157,AA146:AA195)*-1</f>
        <v>0</v>
      </c>
      <c r="AB198" s="798">
        <f ca="1">NPV(BERECHNUNG!$D$157,AB146:AB195)*-1</f>
        <v>0</v>
      </c>
      <c r="AC198" s="653"/>
      <c r="AD198" s="653"/>
      <c r="AE198" s="798">
        <f ca="1">NPV(BERECHNUNG!$D$157,AE146:AE195)*-1</f>
        <v>0</v>
      </c>
      <c r="AF198" s="653"/>
      <c r="AG198" s="653"/>
      <c r="AH198" s="654"/>
    </row>
    <row r="199" spans="2:34" ht="15.75" thickBot="1" x14ac:dyDescent="0.3">
      <c r="B199" s="680"/>
      <c r="C199" s="681"/>
      <c r="D199" s="681"/>
      <c r="E199" s="681"/>
      <c r="F199" s="681"/>
      <c r="G199" s="681"/>
      <c r="H199" s="681"/>
      <c r="I199" s="681"/>
      <c r="J199" s="681"/>
      <c r="K199" s="681"/>
      <c r="L199" s="681"/>
      <c r="M199" s="681"/>
      <c r="N199" s="681"/>
      <c r="O199" s="681"/>
      <c r="P199" s="681"/>
      <c r="Q199" s="681"/>
      <c r="R199" s="681"/>
      <c r="S199" s="681"/>
      <c r="T199" s="681"/>
      <c r="U199" s="681"/>
      <c r="V199" s="681"/>
      <c r="W199" s="681"/>
      <c r="X199" s="681"/>
      <c r="Y199" s="681"/>
      <c r="Z199" s="681"/>
      <c r="AA199" s="681"/>
      <c r="AB199" s="681"/>
      <c r="AC199" s="681"/>
      <c r="AD199" s="681"/>
      <c r="AE199" s="681"/>
      <c r="AF199" s="681"/>
      <c r="AG199" s="681"/>
      <c r="AH199" s="666"/>
    </row>
    <row r="201" spans="2:34" ht="15.75" thickBot="1" x14ac:dyDescent="0.3"/>
    <row r="202" spans="2:34" x14ac:dyDescent="0.25">
      <c r="B202" s="648"/>
      <c r="C202" s="649"/>
      <c r="D202" s="649"/>
      <c r="E202" s="649"/>
      <c r="F202" s="649"/>
      <c r="G202" s="649"/>
      <c r="H202" s="649"/>
      <c r="I202" s="649"/>
      <c r="J202" s="649"/>
      <c r="K202" s="649"/>
      <c r="L202" s="649"/>
      <c r="M202" s="649"/>
      <c r="N202" s="649"/>
      <c r="O202" s="649"/>
      <c r="P202" s="649"/>
      <c r="Q202" s="649"/>
      <c r="R202" s="649"/>
      <c r="S202" s="649"/>
      <c r="T202" s="649"/>
      <c r="U202" s="649"/>
      <c r="V202" s="649"/>
      <c r="W202" s="649"/>
      <c r="X202" s="649"/>
      <c r="Y202" s="649"/>
      <c r="Z202" s="649"/>
      <c r="AA202" s="649"/>
      <c r="AB202" s="649"/>
      <c r="AC202" s="649"/>
      <c r="AD202" s="649"/>
      <c r="AE202" s="649"/>
      <c r="AF202" s="649"/>
      <c r="AG202" s="649"/>
      <c r="AH202" s="650"/>
    </row>
    <row r="203" spans="2:34" ht="36" x14ac:dyDescent="0.25">
      <c r="B203" s="651"/>
      <c r="C203" s="653"/>
      <c r="D203" s="697" t="str">
        <f>"Variante: "&amp;'1. Projektangaben'!C26&amp;" "</f>
        <v xml:space="preserve">Variante: PH-WDVS-WP-WRG-mittl.Sol-ohne PV </v>
      </c>
      <c r="E203" s="653"/>
      <c r="F203" s="653"/>
      <c r="G203" s="653"/>
      <c r="H203" s="653"/>
      <c r="I203" s="653"/>
      <c r="J203" s="653"/>
      <c r="K203" s="653"/>
      <c r="L203" s="653"/>
      <c r="M203" s="653"/>
      <c r="N203" s="653"/>
      <c r="O203" s="653"/>
      <c r="P203" s="653"/>
      <c r="Q203" s="653"/>
      <c r="R203" s="653"/>
      <c r="S203" s="653"/>
      <c r="T203" s="653"/>
      <c r="U203" s="653"/>
      <c r="V203" s="653"/>
      <c r="W203" s="653"/>
      <c r="X203" s="653"/>
      <c r="Y203" s="653"/>
      <c r="Z203" s="653"/>
      <c r="AA203" s="653"/>
      <c r="AB203" s="653"/>
      <c r="AC203" s="653"/>
      <c r="AD203" s="653"/>
      <c r="AE203" s="653"/>
      <c r="AF203" s="653"/>
      <c r="AG203" s="653"/>
      <c r="AH203" s="654"/>
    </row>
    <row r="204" spans="2:34" x14ac:dyDescent="0.25">
      <c r="B204" s="651"/>
      <c r="C204" s="653"/>
      <c r="D204" s="653"/>
      <c r="E204" s="653"/>
      <c r="F204" s="653"/>
      <c r="G204" s="653"/>
      <c r="H204" s="653"/>
      <c r="I204" s="653"/>
      <c r="J204" s="653"/>
      <c r="K204" s="653"/>
      <c r="L204" s="653"/>
      <c r="M204" s="653"/>
      <c r="N204" s="653"/>
      <c r="O204" s="653"/>
      <c r="P204" s="653"/>
      <c r="Q204" s="653"/>
      <c r="R204" s="653"/>
      <c r="S204" s="653"/>
      <c r="T204" s="653"/>
      <c r="U204" s="653"/>
      <c r="V204" s="653"/>
      <c r="W204" s="653"/>
      <c r="X204" s="653"/>
      <c r="Y204" s="653"/>
      <c r="Z204" s="653"/>
      <c r="AA204" s="653"/>
      <c r="AB204" s="653"/>
      <c r="AC204" s="653"/>
      <c r="AD204" s="653"/>
      <c r="AE204" s="653"/>
      <c r="AF204" s="653"/>
      <c r="AG204" s="653"/>
      <c r="AH204" s="654"/>
    </row>
    <row r="205" spans="2:34" ht="16.5" thickBot="1" x14ac:dyDescent="0.3">
      <c r="B205" s="651"/>
      <c r="C205" s="653"/>
      <c r="D205" s="652"/>
      <c r="E205" s="691"/>
      <c r="F205" s="691"/>
      <c r="G205" s="692"/>
      <c r="H205" s="691"/>
      <c r="I205" s="691"/>
      <c r="J205" s="691"/>
      <c r="K205" s="693"/>
      <c r="L205" s="691"/>
      <c r="M205" s="691"/>
      <c r="N205" s="653"/>
      <c r="O205" s="653"/>
      <c r="P205" s="653"/>
      <c r="Q205" s="653"/>
      <c r="R205" s="653"/>
      <c r="S205" s="653"/>
      <c r="T205" s="653"/>
      <c r="U205" s="653"/>
      <c r="V205" s="653"/>
      <c r="W205" s="653"/>
      <c r="X205" s="653"/>
      <c r="Y205" s="653"/>
      <c r="Z205" s="653"/>
      <c r="AA205" s="653"/>
      <c r="AB205" s="653"/>
      <c r="AC205" s="653"/>
      <c r="AD205" s="653"/>
      <c r="AE205" s="653"/>
      <c r="AF205" s="653"/>
      <c r="AG205" s="653"/>
      <c r="AH205" s="654"/>
    </row>
    <row r="206" spans="2:34" ht="16.5" thickBot="1" x14ac:dyDescent="0.3">
      <c r="B206" s="651"/>
      <c r="C206" s="653"/>
      <c r="D206" s="652"/>
      <c r="E206" s="691"/>
      <c r="F206" s="691"/>
      <c r="G206" s="692"/>
      <c r="H206" s="691"/>
      <c r="I206" s="691"/>
      <c r="J206" s="691"/>
      <c r="K206" s="693"/>
      <c r="L206" s="691"/>
      <c r="M206" s="691"/>
      <c r="N206" s="653"/>
      <c r="O206" s="653"/>
      <c r="P206" s="653"/>
      <c r="Q206" s="1689" t="s">
        <v>165</v>
      </c>
      <c r="R206" s="1690"/>
      <c r="S206" s="1690"/>
      <c r="T206" s="1690"/>
      <c r="U206" s="1690"/>
      <c r="V206" s="1690"/>
      <c r="W206" s="1690"/>
      <c r="X206" s="1690"/>
      <c r="Y206" s="1690"/>
      <c r="Z206" s="1690"/>
      <c r="AA206" s="1690"/>
      <c r="AB206" s="1691"/>
      <c r="AC206" s="1692" t="s">
        <v>475</v>
      </c>
      <c r="AD206" s="1693"/>
      <c r="AE206" s="1694"/>
      <c r="AF206" s="653"/>
      <c r="AG206" s="653"/>
      <c r="AH206" s="654"/>
    </row>
    <row r="207" spans="2:34" ht="45.75" thickBot="1" x14ac:dyDescent="0.3">
      <c r="B207" s="651"/>
      <c r="C207" s="653"/>
      <c r="D207" s="695"/>
      <c r="E207" s="653"/>
      <c r="F207" s="653"/>
      <c r="G207" s="653"/>
      <c r="H207" s="653"/>
      <c r="I207" s="653"/>
      <c r="J207" s="653"/>
      <c r="K207" s="653"/>
      <c r="L207" s="653"/>
      <c r="M207" s="653"/>
      <c r="N207" s="653"/>
      <c r="O207" s="653"/>
      <c r="P207" s="655"/>
      <c r="Q207" s="1695" t="s">
        <v>476</v>
      </c>
      <c r="R207" s="1696"/>
      <c r="S207" s="1696"/>
      <c r="T207" s="1697"/>
      <c r="U207" s="1695" t="s">
        <v>477</v>
      </c>
      <c r="V207" s="1696"/>
      <c r="W207" s="1697"/>
      <c r="X207" s="1695" t="s">
        <v>478</v>
      </c>
      <c r="Y207" s="1696"/>
      <c r="Z207" s="1696"/>
      <c r="AA207" s="1697"/>
      <c r="AB207" s="656" t="s">
        <v>479</v>
      </c>
      <c r="AC207" s="657" t="s">
        <v>475</v>
      </c>
      <c r="AD207" s="658" t="s">
        <v>477</v>
      </c>
      <c r="AE207" s="658" t="s">
        <v>480</v>
      </c>
      <c r="AF207" s="659"/>
      <c r="AG207" s="659"/>
      <c r="AH207" s="654"/>
    </row>
    <row r="208" spans="2:34" ht="15.75" thickBot="1" x14ac:dyDescent="0.3">
      <c r="B208" s="651"/>
      <c r="C208" s="648"/>
      <c r="D208" s="649"/>
      <c r="E208" s="649"/>
      <c r="F208" s="649"/>
      <c r="G208" s="649"/>
      <c r="H208" s="649"/>
      <c r="I208" s="649"/>
      <c r="J208" s="649"/>
      <c r="K208" s="649"/>
      <c r="L208" s="649"/>
      <c r="M208" s="649"/>
      <c r="N208" s="650"/>
      <c r="O208" s="653"/>
      <c r="P208" s="660" t="s">
        <v>248</v>
      </c>
      <c r="Q208" s="661" t="s">
        <v>369</v>
      </c>
      <c r="R208" s="662" t="s">
        <v>482</v>
      </c>
      <c r="S208" s="662" t="s">
        <v>483</v>
      </c>
      <c r="T208" s="663" t="s">
        <v>484</v>
      </c>
      <c r="U208" s="661" t="s">
        <v>482</v>
      </c>
      <c r="V208" s="662" t="s">
        <v>483</v>
      </c>
      <c r="W208" s="663" t="s">
        <v>484</v>
      </c>
      <c r="X208" s="661" t="s">
        <v>482</v>
      </c>
      <c r="Y208" s="662" t="s">
        <v>483</v>
      </c>
      <c r="Z208" s="662" t="s">
        <v>484</v>
      </c>
      <c r="AA208" s="663" t="s">
        <v>369</v>
      </c>
      <c r="AB208" s="663" t="s">
        <v>485</v>
      </c>
      <c r="AC208" s="664" t="s">
        <v>369</v>
      </c>
      <c r="AD208" s="665" t="s">
        <v>369</v>
      </c>
      <c r="AE208" s="665" t="s">
        <v>486</v>
      </c>
      <c r="AF208" s="666"/>
      <c r="AG208" s="666"/>
      <c r="AH208" s="654"/>
    </row>
    <row r="209" spans="2:34" ht="15.75" x14ac:dyDescent="0.25">
      <c r="B209" s="651"/>
      <c r="C209" s="651"/>
      <c r="D209" s="652" t="s">
        <v>330</v>
      </c>
      <c r="E209" s="653"/>
      <c r="F209" s="653"/>
      <c r="G209" s="653"/>
      <c r="H209" s="653"/>
      <c r="I209" s="653"/>
      <c r="J209" s="653"/>
      <c r="K209" s="653"/>
      <c r="L209" s="653"/>
      <c r="M209" s="653"/>
      <c r="N209" s="654"/>
      <c r="O209" s="653"/>
      <c r="P209" s="667">
        <f>IF($G$5&gt;1,1,"")</f>
        <v>1</v>
      </c>
      <c r="Q209" s="668">
        <f ca="1">IF(P209="","",$G$211-$G$212)</f>
        <v>0</v>
      </c>
      <c r="R209" s="669">
        <f t="shared" ref="R209:R240" ca="1" si="66">IF(Q209="","",IF(P209&lt;=$R$9,IF(Q209&gt;$R$11,$R$11,Q209),0))</f>
        <v>0</v>
      </c>
      <c r="S209" s="669">
        <f ca="1">IF(R209="","",IF(AND(P209&gt;=$T$8,P209&lt;=$T$9)=TRUE,IF(OR($T$11="",$T$11=0),Q209-R209,IF(Q209&gt;$T$11,$T$11-R209,Q209-R209)),0))</f>
        <v>0</v>
      </c>
      <c r="T209" s="670">
        <f ca="1">IF(S209="","",IF(AND(P209&gt;=$V$8,P209&lt;=$V$9)=TRUE,IF(OR($V$11="",$V$11=0),Q209-R209-S209,IF(Q209&gt;$V$10,Q209-R209-S209,0)),0))</f>
        <v>0</v>
      </c>
      <c r="U209" s="671">
        <f>$R$5</f>
        <v>0.05</v>
      </c>
      <c r="V209" s="672">
        <f>$T$5</f>
        <v>2.5000000000000001E-2</v>
      </c>
      <c r="W209" s="673">
        <f>$V$5</f>
        <v>0</v>
      </c>
      <c r="X209" s="674">
        <f ca="1">IF(W209="","",IF(R209&gt;0,(U209*R209),0))</f>
        <v>0</v>
      </c>
      <c r="Y209" s="675">
        <f ca="1">IF(X209="","",IF(S209&gt;0,(V209*S209),0))</f>
        <v>0</v>
      </c>
      <c r="Z209" s="675">
        <f ca="1">IF(Y209="","",IF(T209&gt;0,(W209*T209),0))</f>
        <v>0</v>
      </c>
      <c r="AA209" s="676">
        <f ca="1">IF(Z209="",0,SUM(X209:Z209))</f>
        <v>0</v>
      </c>
      <c r="AB209" s="670">
        <f ca="1">IF(OR(AA209="",AA209=0),0,(IF(AND(P209&lt;=$R$9,P209&gt;=$R$8)=TRUE,$R$6,0)+IF(AND(P209&lt;=$T$9,P209&gt;=$T$8)=TRUE,$T$6,0)+IF(AND(P209&lt;=$V$9,P209&gt;=$V$8)=TRUE,$V$6,0))*-1)</f>
        <v>0</v>
      </c>
      <c r="AC209" s="677">
        <f ca="1">IF(P209="","",$G$212)</f>
        <v>0</v>
      </c>
      <c r="AD209" s="679">
        <f>$G$6</f>
        <v>0.15551999999999999</v>
      </c>
      <c r="AE209" s="678">
        <f ca="1">IF(P209="",0,AC209*AD209)</f>
        <v>0</v>
      </c>
      <c r="AF209" s="648"/>
      <c r="AG209" s="650"/>
      <c r="AH209" s="654"/>
    </row>
    <row r="210" spans="2:34" ht="15.75" x14ac:dyDescent="0.25">
      <c r="B210" s="651"/>
      <c r="C210" s="651"/>
      <c r="D210" s="652"/>
      <c r="E210" s="653"/>
      <c r="F210" s="653"/>
      <c r="G210" s="653"/>
      <c r="H210" s="653"/>
      <c r="I210" s="653"/>
      <c r="J210" s="653"/>
      <c r="K210" s="653"/>
      <c r="L210" s="653"/>
      <c r="M210" s="653"/>
      <c r="N210" s="654"/>
      <c r="O210" s="653"/>
      <c r="P210" s="667">
        <f t="shared" ref="P210:P260" si="67">IF($G$5&gt;P209,P209+1,"")</f>
        <v>2</v>
      </c>
      <c r="Q210" s="668">
        <f t="shared" ref="Q210:Q258" ca="1" si="68">IF(P210="","",$G$211-$G$212)</f>
        <v>0</v>
      </c>
      <c r="R210" s="669">
        <f t="shared" ca="1" si="66"/>
        <v>0</v>
      </c>
      <c r="S210" s="669">
        <f t="shared" ref="S210:S258" ca="1" si="69">IF(R210="","",IF(AND(P210&gt;=$T$8,P210&lt;=$T$9)=TRUE,IF(OR($T$11="",$T$11=0),Q210-R210,IF(Q210&gt;$T$11,$T$11-R210,Q210-R210)),0))</f>
        <v>0</v>
      </c>
      <c r="T210" s="670">
        <f t="shared" ref="T210:T258" ca="1" si="70">IF(S210="","",IF(AND(P210&gt;=$V$8,P210&lt;=$V$9)=TRUE,IF(OR($V$11="",$V$11=0),Q210-R210-S210,IF(Q210&gt;$V$10,Q210-R210-S210,0)),0))</f>
        <v>0</v>
      </c>
      <c r="U210" s="671">
        <f t="shared" ref="U210:U241" ca="1" si="71">IF(R210="","",U209*(1+$R$7))</f>
        <v>5.1249999999999997E-2</v>
      </c>
      <c r="V210" s="672">
        <f t="shared" ref="V210:V241" ca="1" si="72">IF(S210="","",V209*(1+$T$7))</f>
        <v>2.5624999999999998E-2</v>
      </c>
      <c r="W210" s="673">
        <f t="shared" ref="W210:W241" ca="1" si="73">IF(T210="","",W209*(1+$V$7))</f>
        <v>0</v>
      </c>
      <c r="X210" s="674">
        <f t="shared" ref="X210:X260" ca="1" si="74">IF(W210="","",IF(R210&gt;0,(U210*R210),0))</f>
        <v>0</v>
      </c>
      <c r="Y210" s="675">
        <f t="shared" ref="Y210:Y260" ca="1" si="75">IF(X210="","",IF(S210&gt;0,(V210*S210),0))</f>
        <v>0</v>
      </c>
      <c r="Z210" s="675">
        <f t="shared" ref="Z210:Z260" ca="1" si="76">IF(Y210="","",IF(T210&gt;0,(W210*T210),0))</f>
        <v>0</v>
      </c>
      <c r="AA210" s="676">
        <f t="shared" ref="AA210:AA260" ca="1" si="77">IF(Z210="",0,SUM(X210:Z210))</f>
        <v>0</v>
      </c>
      <c r="AB210" s="670">
        <f t="shared" ref="AB210:AB258" ca="1" si="78">IF(OR(AA210="",AA210=0),0,(IF(AND(P210&lt;=$R$9,P210&gt;=$R$8)=TRUE,$R$6,0)+IF(AND(P210&lt;=$T$9,P210&gt;=$T$8)=TRUE,$T$6,0)+IF(AND(P210&lt;=$V$9,P210&gt;=$V$8)=TRUE,$V$6,0))*-1)</f>
        <v>0</v>
      </c>
      <c r="AC210" s="677">
        <f t="shared" ref="AC210:AC258" ca="1" si="79">IF(P210="","",$G$212)</f>
        <v>0</v>
      </c>
      <c r="AD210" s="679">
        <f>IF(P210="","",AD209*(1+$G$7))</f>
        <v>0.15940799999999997</v>
      </c>
      <c r="AE210" s="678">
        <f t="shared" ref="AE210:AE260" ca="1" si="80">IF(P210="",0,AC210*AD210)</f>
        <v>0</v>
      </c>
      <c r="AF210" s="651"/>
      <c r="AG210" s="654"/>
      <c r="AH210" s="654"/>
    </row>
    <row r="211" spans="2:34" x14ac:dyDescent="0.25">
      <c r="B211" s="651"/>
      <c r="C211" s="651"/>
      <c r="D211" s="653"/>
      <c r="E211" s="689" t="s">
        <v>487</v>
      </c>
      <c r="F211" s="689" t="s">
        <v>488</v>
      </c>
      <c r="G211" s="690">
        <f ca="1">'2. Energie KW.'!J129</f>
        <v>0</v>
      </c>
      <c r="H211" s="653"/>
      <c r="I211" s="653" t="s">
        <v>489</v>
      </c>
      <c r="J211" s="653"/>
      <c r="K211" s="653"/>
      <c r="L211" s="653"/>
      <c r="M211" s="653"/>
      <c r="N211" s="654"/>
      <c r="O211" s="653"/>
      <c r="P211" s="667">
        <f t="shared" si="67"/>
        <v>3</v>
      </c>
      <c r="Q211" s="668">
        <f t="shared" ca="1" si="68"/>
        <v>0</v>
      </c>
      <c r="R211" s="669">
        <f t="shared" ca="1" si="66"/>
        <v>0</v>
      </c>
      <c r="S211" s="669">
        <f t="shared" ca="1" si="69"/>
        <v>0</v>
      </c>
      <c r="T211" s="670">
        <f t="shared" ca="1" si="70"/>
        <v>0</v>
      </c>
      <c r="U211" s="671">
        <f t="shared" ca="1" si="71"/>
        <v>5.2531249999999995E-2</v>
      </c>
      <c r="V211" s="672">
        <f t="shared" ca="1" si="72"/>
        <v>2.6265624999999997E-2</v>
      </c>
      <c r="W211" s="673">
        <f t="shared" ca="1" si="73"/>
        <v>0</v>
      </c>
      <c r="X211" s="674">
        <f t="shared" ca="1" si="74"/>
        <v>0</v>
      </c>
      <c r="Y211" s="675">
        <f t="shared" ca="1" si="75"/>
        <v>0</v>
      </c>
      <c r="Z211" s="675">
        <f t="shared" ca="1" si="76"/>
        <v>0</v>
      </c>
      <c r="AA211" s="676">
        <f t="shared" ca="1" si="77"/>
        <v>0</v>
      </c>
      <c r="AB211" s="670">
        <f t="shared" ca="1" si="78"/>
        <v>0</v>
      </c>
      <c r="AC211" s="677">
        <f t="shared" ca="1" si="79"/>
        <v>0</v>
      </c>
      <c r="AD211" s="679">
        <f t="shared" ref="AD211:AD260" si="81">IF(P211="","",AD210*(1+$G$7))</f>
        <v>0.16339319999999996</v>
      </c>
      <c r="AE211" s="678">
        <f t="shared" ca="1" si="80"/>
        <v>0</v>
      </c>
      <c r="AF211" s="651"/>
      <c r="AG211" s="654"/>
      <c r="AH211" s="654"/>
    </row>
    <row r="212" spans="2:34" x14ac:dyDescent="0.25">
      <c r="B212" s="651"/>
      <c r="C212" s="651"/>
      <c r="D212" s="653"/>
      <c r="E212" s="689" t="s">
        <v>486</v>
      </c>
      <c r="F212" s="689" t="s">
        <v>488</v>
      </c>
      <c r="G212" s="690">
        <f ca="1">'2. Energie KW.'!J130</f>
        <v>0</v>
      </c>
      <c r="H212" s="653"/>
      <c r="I212" s="653" t="s">
        <v>490</v>
      </c>
      <c r="J212" s="653"/>
      <c r="K212" s="653"/>
      <c r="L212" s="653"/>
      <c r="M212" s="653"/>
      <c r="N212" s="654"/>
      <c r="O212" s="653"/>
      <c r="P212" s="667">
        <f t="shared" si="67"/>
        <v>4</v>
      </c>
      <c r="Q212" s="668">
        <f t="shared" ca="1" si="68"/>
        <v>0</v>
      </c>
      <c r="R212" s="669">
        <f t="shared" ca="1" si="66"/>
        <v>0</v>
      </c>
      <c r="S212" s="669">
        <f t="shared" ca="1" si="69"/>
        <v>0</v>
      </c>
      <c r="T212" s="670">
        <f t="shared" ca="1" si="70"/>
        <v>0</v>
      </c>
      <c r="U212" s="671">
        <f t="shared" ca="1" si="71"/>
        <v>5.3844531249999987E-2</v>
      </c>
      <c r="V212" s="672">
        <f t="shared" ca="1" si="72"/>
        <v>2.6922265624999994E-2</v>
      </c>
      <c r="W212" s="673">
        <f t="shared" ca="1" si="73"/>
        <v>0</v>
      </c>
      <c r="X212" s="674">
        <f t="shared" ca="1" si="74"/>
        <v>0</v>
      </c>
      <c r="Y212" s="675">
        <f t="shared" ca="1" si="75"/>
        <v>0</v>
      </c>
      <c r="Z212" s="675">
        <f t="shared" ca="1" si="76"/>
        <v>0</v>
      </c>
      <c r="AA212" s="676">
        <f t="shared" ca="1" si="77"/>
        <v>0</v>
      </c>
      <c r="AB212" s="670">
        <f t="shared" ca="1" si="78"/>
        <v>0</v>
      </c>
      <c r="AC212" s="677">
        <f t="shared" ca="1" si="79"/>
        <v>0</v>
      </c>
      <c r="AD212" s="679">
        <f t="shared" si="81"/>
        <v>0.16747802999999994</v>
      </c>
      <c r="AE212" s="678">
        <f t="shared" ca="1" si="80"/>
        <v>0</v>
      </c>
      <c r="AF212" s="651"/>
      <c r="AG212" s="654"/>
      <c r="AH212" s="654"/>
    </row>
    <row r="213" spans="2:34" x14ac:dyDescent="0.25">
      <c r="B213" s="651"/>
      <c r="C213" s="651"/>
      <c r="D213" s="653"/>
      <c r="E213" s="653"/>
      <c r="F213" s="653"/>
      <c r="G213" s="653"/>
      <c r="H213" s="653"/>
      <c r="I213" s="653"/>
      <c r="J213" s="653"/>
      <c r="K213" s="653"/>
      <c r="L213" s="653"/>
      <c r="M213" s="653"/>
      <c r="N213" s="654"/>
      <c r="O213" s="653"/>
      <c r="P213" s="667">
        <f t="shared" si="67"/>
        <v>5</v>
      </c>
      <c r="Q213" s="668">
        <f t="shared" ca="1" si="68"/>
        <v>0</v>
      </c>
      <c r="R213" s="669">
        <f t="shared" ca="1" si="66"/>
        <v>0</v>
      </c>
      <c r="S213" s="669">
        <f t="shared" ca="1" si="69"/>
        <v>0</v>
      </c>
      <c r="T213" s="670">
        <f t="shared" ca="1" si="70"/>
        <v>0</v>
      </c>
      <c r="U213" s="671">
        <f t="shared" ca="1" si="71"/>
        <v>5.5190644531249979E-2</v>
      </c>
      <c r="V213" s="672">
        <f t="shared" ca="1" si="72"/>
        <v>2.7595322265624989E-2</v>
      </c>
      <c r="W213" s="673">
        <f t="shared" ca="1" si="73"/>
        <v>0</v>
      </c>
      <c r="X213" s="674">
        <f t="shared" ca="1" si="74"/>
        <v>0</v>
      </c>
      <c r="Y213" s="675">
        <f t="shared" ca="1" si="75"/>
        <v>0</v>
      </c>
      <c r="Z213" s="675">
        <f t="shared" ca="1" si="76"/>
        <v>0</v>
      </c>
      <c r="AA213" s="676">
        <f t="shared" ca="1" si="77"/>
        <v>0</v>
      </c>
      <c r="AB213" s="670">
        <f t="shared" ca="1" si="78"/>
        <v>0</v>
      </c>
      <c r="AC213" s="677">
        <f t="shared" ca="1" si="79"/>
        <v>0</v>
      </c>
      <c r="AD213" s="679">
        <f t="shared" si="81"/>
        <v>0.17166498074999992</v>
      </c>
      <c r="AE213" s="678">
        <f t="shared" ca="1" si="80"/>
        <v>0</v>
      </c>
      <c r="AF213" s="651"/>
      <c r="AG213" s="654"/>
      <c r="AH213" s="654"/>
    </row>
    <row r="214" spans="2:34" x14ac:dyDescent="0.25">
      <c r="B214" s="651"/>
      <c r="C214" s="651"/>
      <c r="D214" s="653"/>
      <c r="E214" s="653"/>
      <c r="F214" s="653"/>
      <c r="G214" s="653"/>
      <c r="H214" s="653"/>
      <c r="I214" s="653"/>
      <c r="J214" s="653"/>
      <c r="K214" s="653"/>
      <c r="L214" s="653"/>
      <c r="M214" s="653"/>
      <c r="N214" s="654"/>
      <c r="O214" s="653"/>
      <c r="P214" s="667">
        <f t="shared" si="67"/>
        <v>6</v>
      </c>
      <c r="Q214" s="668">
        <f t="shared" ca="1" si="68"/>
        <v>0</v>
      </c>
      <c r="R214" s="669">
        <f t="shared" ca="1" si="66"/>
        <v>0</v>
      </c>
      <c r="S214" s="669">
        <f t="shared" ca="1" si="69"/>
        <v>0</v>
      </c>
      <c r="T214" s="670">
        <f t="shared" ca="1" si="70"/>
        <v>0</v>
      </c>
      <c r="U214" s="671">
        <f t="shared" ca="1" si="71"/>
        <v>5.6570410644531222E-2</v>
      </c>
      <c r="V214" s="672">
        <f t="shared" ca="1" si="72"/>
        <v>2.8285205322265611E-2</v>
      </c>
      <c r="W214" s="673">
        <f t="shared" ca="1" si="73"/>
        <v>0</v>
      </c>
      <c r="X214" s="674">
        <f t="shared" ca="1" si="74"/>
        <v>0</v>
      </c>
      <c r="Y214" s="675">
        <f t="shared" ca="1" si="75"/>
        <v>0</v>
      </c>
      <c r="Z214" s="675">
        <f t="shared" ca="1" si="76"/>
        <v>0</v>
      </c>
      <c r="AA214" s="676">
        <f t="shared" ca="1" si="77"/>
        <v>0</v>
      </c>
      <c r="AB214" s="670">
        <f t="shared" ca="1" si="78"/>
        <v>0</v>
      </c>
      <c r="AC214" s="677">
        <f t="shared" ca="1" si="79"/>
        <v>0</v>
      </c>
      <c r="AD214" s="679">
        <f t="shared" si="81"/>
        <v>0.1759566052687499</v>
      </c>
      <c r="AE214" s="678">
        <f t="shared" ca="1" si="80"/>
        <v>0</v>
      </c>
      <c r="AF214" s="651"/>
      <c r="AG214" s="654"/>
      <c r="AH214" s="654"/>
    </row>
    <row r="215" spans="2:34" ht="15.75" x14ac:dyDescent="0.25">
      <c r="B215" s="651"/>
      <c r="C215" s="651"/>
      <c r="D215" s="652"/>
      <c r="E215" s="653"/>
      <c r="F215" s="653"/>
      <c r="G215" s="653"/>
      <c r="H215" s="653"/>
      <c r="I215" s="653"/>
      <c r="J215" s="653"/>
      <c r="K215" s="653"/>
      <c r="L215" s="653"/>
      <c r="M215" s="653"/>
      <c r="N215" s="654"/>
      <c r="O215" s="653"/>
      <c r="P215" s="667">
        <f t="shared" si="67"/>
        <v>7</v>
      </c>
      <c r="Q215" s="668">
        <f t="shared" ca="1" si="68"/>
        <v>0</v>
      </c>
      <c r="R215" s="669">
        <f t="shared" ca="1" si="66"/>
        <v>0</v>
      </c>
      <c r="S215" s="669">
        <f t="shared" ca="1" si="69"/>
        <v>0</v>
      </c>
      <c r="T215" s="670">
        <f t="shared" ca="1" si="70"/>
        <v>0</v>
      </c>
      <c r="U215" s="671">
        <f t="shared" ca="1" si="71"/>
        <v>5.7984670910644499E-2</v>
      </c>
      <c r="V215" s="672">
        <f t="shared" ca="1" si="72"/>
        <v>2.899233545532225E-2</v>
      </c>
      <c r="W215" s="673">
        <f t="shared" ca="1" si="73"/>
        <v>0</v>
      </c>
      <c r="X215" s="674">
        <f t="shared" ca="1" si="74"/>
        <v>0</v>
      </c>
      <c r="Y215" s="675">
        <f t="shared" ca="1" si="75"/>
        <v>0</v>
      </c>
      <c r="Z215" s="675">
        <f t="shared" ca="1" si="76"/>
        <v>0</v>
      </c>
      <c r="AA215" s="676">
        <f t="shared" ca="1" si="77"/>
        <v>0</v>
      </c>
      <c r="AB215" s="670">
        <f t="shared" ca="1" si="78"/>
        <v>0</v>
      </c>
      <c r="AC215" s="677">
        <f t="shared" ca="1" si="79"/>
        <v>0</v>
      </c>
      <c r="AD215" s="679">
        <f t="shared" si="81"/>
        <v>0.18035552040046862</v>
      </c>
      <c r="AE215" s="678">
        <f t="shared" ca="1" si="80"/>
        <v>0</v>
      </c>
      <c r="AF215" s="651"/>
      <c r="AG215" s="654"/>
      <c r="AH215" s="654"/>
    </row>
    <row r="216" spans="2:34" x14ac:dyDescent="0.25">
      <c r="B216" s="651"/>
      <c r="C216" s="651"/>
      <c r="D216" s="653"/>
      <c r="E216" s="653"/>
      <c r="F216" s="653"/>
      <c r="G216" s="653"/>
      <c r="H216" s="653"/>
      <c r="I216" s="653"/>
      <c r="J216" s="653"/>
      <c r="K216" s="653"/>
      <c r="L216" s="653"/>
      <c r="M216" s="653"/>
      <c r="N216" s="654"/>
      <c r="O216" s="653"/>
      <c r="P216" s="667">
        <f t="shared" si="67"/>
        <v>8</v>
      </c>
      <c r="Q216" s="668">
        <f t="shared" ca="1" si="68"/>
        <v>0</v>
      </c>
      <c r="R216" s="669">
        <f t="shared" ca="1" si="66"/>
        <v>0</v>
      </c>
      <c r="S216" s="669">
        <f t="shared" ca="1" si="69"/>
        <v>0</v>
      </c>
      <c r="T216" s="670">
        <f t="shared" ca="1" si="70"/>
        <v>0</v>
      </c>
      <c r="U216" s="671">
        <f t="shared" ca="1" si="71"/>
        <v>5.9434287683410608E-2</v>
      </c>
      <c r="V216" s="672">
        <f t="shared" ca="1" si="72"/>
        <v>2.9717143841705304E-2</v>
      </c>
      <c r="W216" s="673">
        <f t="shared" ca="1" si="73"/>
        <v>0</v>
      </c>
      <c r="X216" s="674">
        <f t="shared" ca="1" si="74"/>
        <v>0</v>
      </c>
      <c r="Y216" s="675">
        <f t="shared" ca="1" si="75"/>
        <v>0</v>
      </c>
      <c r="Z216" s="675">
        <f t="shared" ca="1" si="76"/>
        <v>0</v>
      </c>
      <c r="AA216" s="676">
        <f t="shared" ca="1" si="77"/>
        <v>0</v>
      </c>
      <c r="AB216" s="670">
        <f t="shared" ca="1" si="78"/>
        <v>0</v>
      </c>
      <c r="AC216" s="677">
        <f t="shared" ca="1" si="79"/>
        <v>0</v>
      </c>
      <c r="AD216" s="679">
        <f t="shared" si="81"/>
        <v>0.18486440841048032</v>
      </c>
      <c r="AE216" s="678">
        <f t="shared" ca="1" si="80"/>
        <v>0</v>
      </c>
      <c r="AF216" s="651"/>
      <c r="AG216" s="654"/>
      <c r="AH216" s="654"/>
    </row>
    <row r="217" spans="2:34" x14ac:dyDescent="0.25">
      <c r="B217" s="651"/>
      <c r="C217" s="651"/>
      <c r="D217" s="653"/>
      <c r="E217" s="653"/>
      <c r="F217" s="653"/>
      <c r="G217" s="653"/>
      <c r="H217" s="653"/>
      <c r="I217" s="653"/>
      <c r="J217" s="653"/>
      <c r="K217" s="653"/>
      <c r="L217" s="653"/>
      <c r="M217" s="653"/>
      <c r="N217" s="653"/>
      <c r="O217" s="653"/>
      <c r="P217" s="667">
        <f t="shared" si="67"/>
        <v>9</v>
      </c>
      <c r="Q217" s="668">
        <f t="shared" ca="1" si="68"/>
        <v>0</v>
      </c>
      <c r="R217" s="669">
        <f t="shared" ca="1" si="66"/>
        <v>0</v>
      </c>
      <c r="S217" s="669">
        <f t="shared" ca="1" si="69"/>
        <v>0</v>
      </c>
      <c r="T217" s="670">
        <f t="shared" ca="1" si="70"/>
        <v>0</v>
      </c>
      <c r="U217" s="671">
        <f t="shared" ca="1" si="71"/>
        <v>6.0920144875495866E-2</v>
      </c>
      <c r="V217" s="672">
        <f t="shared" ca="1" si="72"/>
        <v>3.0460072437747933E-2</v>
      </c>
      <c r="W217" s="673">
        <f t="shared" ca="1" si="73"/>
        <v>0</v>
      </c>
      <c r="X217" s="674">
        <f t="shared" ca="1" si="74"/>
        <v>0</v>
      </c>
      <c r="Y217" s="675">
        <f t="shared" ca="1" si="75"/>
        <v>0</v>
      </c>
      <c r="Z217" s="675">
        <f t="shared" ca="1" si="76"/>
        <v>0</v>
      </c>
      <c r="AA217" s="676">
        <f t="shared" ca="1" si="77"/>
        <v>0</v>
      </c>
      <c r="AB217" s="670">
        <f t="shared" ca="1" si="78"/>
        <v>0</v>
      </c>
      <c r="AC217" s="677">
        <f t="shared" ca="1" si="79"/>
        <v>0</v>
      </c>
      <c r="AD217" s="679">
        <f t="shared" si="81"/>
        <v>0.18948601862074232</v>
      </c>
      <c r="AE217" s="678">
        <f t="shared" ca="1" si="80"/>
        <v>0</v>
      </c>
      <c r="AF217" s="651"/>
      <c r="AG217" s="654"/>
      <c r="AH217" s="654"/>
    </row>
    <row r="218" spans="2:34" ht="15.75" thickBot="1" x14ac:dyDescent="0.3">
      <c r="B218" s="651"/>
      <c r="C218" s="680"/>
      <c r="D218" s="681"/>
      <c r="E218" s="681"/>
      <c r="F218" s="681"/>
      <c r="G218" s="681"/>
      <c r="H218" s="681"/>
      <c r="I218" s="681"/>
      <c r="J218" s="681"/>
      <c r="K218" s="681"/>
      <c r="L218" s="681"/>
      <c r="M218" s="681"/>
      <c r="N218" s="666"/>
      <c r="O218" s="653"/>
      <c r="P218" s="667">
        <f t="shared" si="67"/>
        <v>10</v>
      </c>
      <c r="Q218" s="668">
        <f t="shared" ca="1" si="68"/>
        <v>0</v>
      </c>
      <c r="R218" s="669">
        <f t="shared" ca="1" si="66"/>
        <v>0</v>
      </c>
      <c r="S218" s="669">
        <f t="shared" ca="1" si="69"/>
        <v>0</v>
      </c>
      <c r="T218" s="670">
        <f t="shared" ca="1" si="70"/>
        <v>0</v>
      </c>
      <c r="U218" s="671">
        <f t="shared" ca="1" si="71"/>
        <v>6.2443148497383257E-2</v>
      </c>
      <c r="V218" s="672">
        <f t="shared" ca="1" si="72"/>
        <v>3.1221574248691628E-2</v>
      </c>
      <c r="W218" s="673">
        <f t="shared" ca="1" si="73"/>
        <v>0</v>
      </c>
      <c r="X218" s="674">
        <f t="shared" ca="1" si="74"/>
        <v>0</v>
      </c>
      <c r="Y218" s="675">
        <f t="shared" ca="1" si="75"/>
        <v>0</v>
      </c>
      <c r="Z218" s="675">
        <f t="shared" ca="1" si="76"/>
        <v>0</v>
      </c>
      <c r="AA218" s="676">
        <f t="shared" ca="1" si="77"/>
        <v>0</v>
      </c>
      <c r="AB218" s="670">
        <f t="shared" ca="1" si="78"/>
        <v>0</v>
      </c>
      <c r="AC218" s="677">
        <f t="shared" ca="1" si="79"/>
        <v>0</v>
      </c>
      <c r="AD218" s="679">
        <f t="shared" si="81"/>
        <v>0.19422316908626086</v>
      </c>
      <c r="AE218" s="678">
        <f t="shared" ca="1" si="80"/>
        <v>0</v>
      </c>
      <c r="AF218" s="651"/>
      <c r="AG218" s="654"/>
      <c r="AH218" s="654"/>
    </row>
    <row r="219" spans="2:34" ht="15.75" thickBot="1" x14ac:dyDescent="0.3">
      <c r="B219" s="651"/>
      <c r="C219" s="653"/>
      <c r="D219" s="653"/>
      <c r="E219" s="653"/>
      <c r="F219" s="653"/>
      <c r="G219" s="653"/>
      <c r="H219" s="653"/>
      <c r="I219" s="653"/>
      <c r="J219" s="653"/>
      <c r="K219" s="653"/>
      <c r="L219" s="653"/>
      <c r="M219" s="653"/>
      <c r="N219" s="653"/>
      <c r="O219" s="653"/>
      <c r="P219" s="667">
        <f t="shared" si="67"/>
        <v>11</v>
      </c>
      <c r="Q219" s="668">
        <f t="shared" ca="1" si="68"/>
        <v>0</v>
      </c>
      <c r="R219" s="669">
        <f t="shared" ca="1" si="66"/>
        <v>0</v>
      </c>
      <c r="S219" s="669">
        <f t="shared" ca="1" si="69"/>
        <v>0</v>
      </c>
      <c r="T219" s="670">
        <f t="shared" ca="1" si="70"/>
        <v>0</v>
      </c>
      <c r="U219" s="671">
        <f t="shared" ca="1" si="71"/>
        <v>6.4004227209817827E-2</v>
      </c>
      <c r="V219" s="672">
        <f t="shared" ca="1" si="72"/>
        <v>3.2002113604908913E-2</v>
      </c>
      <c r="W219" s="673">
        <f t="shared" ca="1" si="73"/>
        <v>0</v>
      </c>
      <c r="X219" s="674">
        <f t="shared" ca="1" si="74"/>
        <v>0</v>
      </c>
      <c r="Y219" s="675">
        <f t="shared" ca="1" si="75"/>
        <v>0</v>
      </c>
      <c r="Z219" s="675">
        <f t="shared" ca="1" si="76"/>
        <v>0</v>
      </c>
      <c r="AA219" s="676">
        <f t="shared" ca="1" si="77"/>
        <v>0</v>
      </c>
      <c r="AB219" s="670">
        <f t="shared" ca="1" si="78"/>
        <v>0</v>
      </c>
      <c r="AC219" s="677">
        <f t="shared" ca="1" si="79"/>
        <v>0</v>
      </c>
      <c r="AD219" s="679">
        <f t="shared" si="81"/>
        <v>0.19907874831341738</v>
      </c>
      <c r="AE219" s="678">
        <f t="shared" ca="1" si="80"/>
        <v>0</v>
      </c>
      <c r="AF219" s="651"/>
      <c r="AG219" s="654"/>
      <c r="AH219" s="654"/>
    </row>
    <row r="220" spans="2:34" x14ac:dyDescent="0.25">
      <c r="B220" s="651"/>
      <c r="C220" s="648"/>
      <c r="D220" s="649"/>
      <c r="E220" s="649"/>
      <c r="F220" s="649"/>
      <c r="G220" s="649"/>
      <c r="H220" s="649"/>
      <c r="I220" s="649"/>
      <c r="J220" s="649"/>
      <c r="K220" s="649"/>
      <c r="L220" s="649"/>
      <c r="M220" s="649"/>
      <c r="N220" s="650"/>
      <c r="O220" s="653"/>
      <c r="P220" s="667">
        <f t="shared" si="67"/>
        <v>12</v>
      </c>
      <c r="Q220" s="668">
        <f t="shared" ca="1" si="68"/>
        <v>0</v>
      </c>
      <c r="R220" s="669">
        <f t="shared" ca="1" si="66"/>
        <v>0</v>
      </c>
      <c r="S220" s="669">
        <f t="shared" ca="1" si="69"/>
        <v>0</v>
      </c>
      <c r="T220" s="670">
        <f t="shared" ca="1" si="70"/>
        <v>0</v>
      </c>
      <c r="U220" s="671">
        <f t="shared" ca="1" si="71"/>
        <v>6.5604332890063261E-2</v>
      </c>
      <c r="V220" s="672">
        <f t="shared" ca="1" si="72"/>
        <v>3.280216644503163E-2</v>
      </c>
      <c r="W220" s="673">
        <f t="shared" ca="1" si="73"/>
        <v>0</v>
      </c>
      <c r="X220" s="674">
        <f t="shared" ca="1" si="74"/>
        <v>0</v>
      </c>
      <c r="Y220" s="675">
        <f t="shared" ca="1" si="75"/>
        <v>0</v>
      </c>
      <c r="Z220" s="675">
        <f t="shared" ca="1" si="76"/>
        <v>0</v>
      </c>
      <c r="AA220" s="676">
        <f t="shared" ca="1" si="77"/>
        <v>0</v>
      </c>
      <c r="AB220" s="670">
        <f t="shared" ca="1" si="78"/>
        <v>0</v>
      </c>
      <c r="AC220" s="677">
        <f t="shared" ca="1" si="79"/>
        <v>0</v>
      </c>
      <c r="AD220" s="679">
        <f t="shared" si="81"/>
        <v>0.2040557170212528</v>
      </c>
      <c r="AE220" s="678">
        <f t="shared" ca="1" si="80"/>
        <v>0</v>
      </c>
      <c r="AF220" s="651"/>
      <c r="AG220" s="654"/>
      <c r="AH220" s="654"/>
    </row>
    <row r="221" spans="2:34" ht="15.75" x14ac:dyDescent="0.25">
      <c r="B221" s="651"/>
      <c r="C221" s="651"/>
      <c r="D221" s="652" t="s">
        <v>504</v>
      </c>
      <c r="E221" s="653"/>
      <c r="F221" s="653"/>
      <c r="G221" s="653"/>
      <c r="H221" s="653"/>
      <c r="I221" s="653"/>
      <c r="J221" s="653"/>
      <c r="K221" s="653"/>
      <c r="L221" s="653"/>
      <c r="M221" s="653"/>
      <c r="N221" s="654"/>
      <c r="O221" s="653"/>
      <c r="P221" s="667">
        <f t="shared" si="67"/>
        <v>13</v>
      </c>
      <c r="Q221" s="668">
        <f t="shared" ca="1" si="68"/>
        <v>0</v>
      </c>
      <c r="R221" s="669">
        <f t="shared" ca="1" si="66"/>
        <v>0</v>
      </c>
      <c r="S221" s="669">
        <f t="shared" ca="1" si="69"/>
        <v>0</v>
      </c>
      <c r="T221" s="670">
        <f t="shared" ca="1" si="70"/>
        <v>0</v>
      </c>
      <c r="U221" s="671">
        <f t="shared" ca="1" si="71"/>
        <v>6.7244441212314834E-2</v>
      </c>
      <c r="V221" s="672">
        <f t="shared" ca="1" si="72"/>
        <v>3.3622220606157417E-2</v>
      </c>
      <c r="W221" s="673">
        <f t="shared" ca="1" si="73"/>
        <v>0</v>
      </c>
      <c r="X221" s="674">
        <f t="shared" ca="1" si="74"/>
        <v>0</v>
      </c>
      <c r="Y221" s="675">
        <f t="shared" ca="1" si="75"/>
        <v>0</v>
      </c>
      <c r="Z221" s="675">
        <f t="shared" ca="1" si="76"/>
        <v>0</v>
      </c>
      <c r="AA221" s="676">
        <f t="shared" ca="1" si="77"/>
        <v>0</v>
      </c>
      <c r="AB221" s="670">
        <f t="shared" ca="1" si="78"/>
        <v>0</v>
      </c>
      <c r="AC221" s="677">
        <f t="shared" ca="1" si="79"/>
        <v>0</v>
      </c>
      <c r="AD221" s="679">
        <f t="shared" si="81"/>
        <v>0.2091571099467841</v>
      </c>
      <c r="AE221" s="678">
        <f t="shared" ca="1" si="80"/>
        <v>0</v>
      </c>
      <c r="AF221" s="651"/>
      <c r="AG221" s="654"/>
      <c r="AH221" s="654"/>
    </row>
    <row r="222" spans="2:34" x14ac:dyDescent="0.25">
      <c r="B222" s="651"/>
      <c r="C222" s="651"/>
      <c r="D222" s="653" t="s">
        <v>505</v>
      </c>
      <c r="E222" s="653"/>
      <c r="F222" s="653"/>
      <c r="G222" s="653"/>
      <c r="H222" s="653"/>
      <c r="I222" s="653"/>
      <c r="J222" s="653"/>
      <c r="K222" s="653"/>
      <c r="L222" s="653"/>
      <c r="M222" s="653"/>
      <c r="N222" s="654"/>
      <c r="O222" s="653"/>
      <c r="P222" s="667">
        <f t="shared" si="67"/>
        <v>14</v>
      </c>
      <c r="Q222" s="668">
        <f t="shared" ca="1" si="68"/>
        <v>0</v>
      </c>
      <c r="R222" s="669">
        <f t="shared" ca="1" si="66"/>
        <v>0</v>
      </c>
      <c r="S222" s="669">
        <f t="shared" ca="1" si="69"/>
        <v>0</v>
      </c>
      <c r="T222" s="670">
        <f t="shared" ca="1" si="70"/>
        <v>0</v>
      </c>
      <c r="U222" s="671">
        <f t="shared" ca="1" si="71"/>
        <v>6.8925552242622701E-2</v>
      </c>
      <c r="V222" s="672">
        <f t="shared" ca="1" si="72"/>
        <v>3.446277612131135E-2</v>
      </c>
      <c r="W222" s="673">
        <f t="shared" ca="1" si="73"/>
        <v>0</v>
      </c>
      <c r="X222" s="674">
        <f t="shared" ca="1" si="74"/>
        <v>0</v>
      </c>
      <c r="Y222" s="675">
        <f t="shared" ca="1" si="75"/>
        <v>0</v>
      </c>
      <c r="Z222" s="675">
        <f t="shared" ca="1" si="76"/>
        <v>0</v>
      </c>
      <c r="AA222" s="676">
        <f t="shared" ca="1" si="77"/>
        <v>0</v>
      </c>
      <c r="AB222" s="670">
        <f t="shared" ca="1" si="78"/>
        <v>0</v>
      </c>
      <c r="AC222" s="677">
        <f t="shared" ca="1" si="79"/>
        <v>0</v>
      </c>
      <c r="AD222" s="679">
        <f t="shared" si="81"/>
        <v>0.2143860376954537</v>
      </c>
      <c r="AE222" s="678">
        <f t="shared" ca="1" si="80"/>
        <v>0</v>
      </c>
      <c r="AF222" s="651"/>
      <c r="AG222" s="654"/>
      <c r="AH222" s="654"/>
    </row>
    <row r="223" spans="2:34" x14ac:dyDescent="0.25">
      <c r="B223" s="651"/>
      <c r="C223" s="651"/>
      <c r="D223" s="653" t="s">
        <v>506</v>
      </c>
      <c r="E223" s="653"/>
      <c r="F223" s="653"/>
      <c r="G223" s="653"/>
      <c r="H223" s="653"/>
      <c r="I223" s="653"/>
      <c r="J223" s="653"/>
      <c r="K223" s="653"/>
      <c r="L223" s="653"/>
      <c r="M223" s="653"/>
      <c r="N223" s="654"/>
      <c r="O223" s="653"/>
      <c r="P223" s="667">
        <f t="shared" si="67"/>
        <v>15</v>
      </c>
      <c r="Q223" s="668">
        <f t="shared" ca="1" si="68"/>
        <v>0</v>
      </c>
      <c r="R223" s="669">
        <f t="shared" ca="1" si="66"/>
        <v>0</v>
      </c>
      <c r="S223" s="669">
        <f t="shared" ca="1" si="69"/>
        <v>0</v>
      </c>
      <c r="T223" s="670">
        <f t="shared" ca="1" si="70"/>
        <v>0</v>
      </c>
      <c r="U223" s="671">
        <f t="shared" ca="1" si="71"/>
        <v>7.0648691048688261E-2</v>
      </c>
      <c r="V223" s="672">
        <f t="shared" ca="1" si="72"/>
        <v>3.5324345524344131E-2</v>
      </c>
      <c r="W223" s="673">
        <f t="shared" ca="1" si="73"/>
        <v>0</v>
      </c>
      <c r="X223" s="674">
        <f t="shared" ca="1" si="74"/>
        <v>0</v>
      </c>
      <c r="Y223" s="675">
        <f t="shared" ca="1" si="75"/>
        <v>0</v>
      </c>
      <c r="Z223" s="675">
        <f t="shared" ca="1" si="76"/>
        <v>0</v>
      </c>
      <c r="AA223" s="676">
        <f t="shared" ca="1" si="77"/>
        <v>0</v>
      </c>
      <c r="AB223" s="670">
        <f t="shared" ca="1" si="78"/>
        <v>0</v>
      </c>
      <c r="AC223" s="677">
        <f t="shared" ca="1" si="79"/>
        <v>0</v>
      </c>
      <c r="AD223" s="679">
        <f t="shared" si="81"/>
        <v>0.21974568863784003</v>
      </c>
      <c r="AE223" s="678">
        <f t="shared" ca="1" si="80"/>
        <v>0</v>
      </c>
      <c r="AF223" s="651"/>
      <c r="AG223" s="654"/>
      <c r="AH223" s="654"/>
    </row>
    <row r="224" spans="2:34" x14ac:dyDescent="0.25">
      <c r="B224" s="651"/>
      <c r="C224" s="651"/>
      <c r="D224" s="653" t="s">
        <v>507</v>
      </c>
      <c r="E224" s="653"/>
      <c r="F224" s="653"/>
      <c r="G224" s="653"/>
      <c r="H224" s="653"/>
      <c r="I224" s="653"/>
      <c r="J224" s="653"/>
      <c r="K224" s="653"/>
      <c r="L224" s="653"/>
      <c r="M224" s="653"/>
      <c r="N224" s="654"/>
      <c r="O224" s="653"/>
      <c r="P224" s="667">
        <f t="shared" si="67"/>
        <v>16</v>
      </c>
      <c r="Q224" s="668">
        <f t="shared" ca="1" si="68"/>
        <v>0</v>
      </c>
      <c r="R224" s="669">
        <f t="shared" ca="1" si="66"/>
        <v>0</v>
      </c>
      <c r="S224" s="669">
        <f t="shared" ca="1" si="69"/>
        <v>0</v>
      </c>
      <c r="T224" s="670">
        <f t="shared" ca="1" si="70"/>
        <v>0</v>
      </c>
      <c r="U224" s="671">
        <f t="shared" ca="1" si="71"/>
        <v>7.2414908324905464E-2</v>
      </c>
      <c r="V224" s="672">
        <f t="shared" ca="1" si="72"/>
        <v>3.6207454162452732E-2</v>
      </c>
      <c r="W224" s="673">
        <f t="shared" ca="1" si="73"/>
        <v>0</v>
      </c>
      <c r="X224" s="674">
        <f t="shared" ca="1" si="74"/>
        <v>0</v>
      </c>
      <c r="Y224" s="675">
        <f t="shared" ca="1" si="75"/>
        <v>0</v>
      </c>
      <c r="Z224" s="675">
        <f t="shared" ca="1" si="76"/>
        <v>0</v>
      </c>
      <c r="AA224" s="676">
        <f t="shared" ca="1" si="77"/>
        <v>0</v>
      </c>
      <c r="AB224" s="670">
        <f t="shared" ca="1" si="78"/>
        <v>0</v>
      </c>
      <c r="AC224" s="677">
        <f t="shared" ca="1" si="79"/>
        <v>0</v>
      </c>
      <c r="AD224" s="679">
        <f t="shared" si="81"/>
        <v>0.225239330853786</v>
      </c>
      <c r="AE224" s="678">
        <f t="shared" ca="1" si="80"/>
        <v>0</v>
      </c>
      <c r="AF224" s="651"/>
      <c r="AG224" s="654"/>
      <c r="AH224" s="654"/>
    </row>
    <row r="225" spans="2:34" x14ac:dyDescent="0.25">
      <c r="B225" s="651"/>
      <c r="C225" s="651"/>
      <c r="D225" s="653"/>
      <c r="E225" s="653"/>
      <c r="F225" s="653"/>
      <c r="G225" s="653"/>
      <c r="H225" s="653"/>
      <c r="I225" s="653"/>
      <c r="J225" s="653"/>
      <c r="K225" s="653"/>
      <c r="L225" s="653"/>
      <c r="M225" s="653"/>
      <c r="N225" s="654"/>
      <c r="O225" s="653"/>
      <c r="P225" s="667">
        <f t="shared" si="67"/>
        <v>17</v>
      </c>
      <c r="Q225" s="668">
        <f t="shared" ca="1" si="68"/>
        <v>0</v>
      </c>
      <c r="R225" s="669">
        <f t="shared" ca="1" si="66"/>
        <v>0</v>
      </c>
      <c r="S225" s="669">
        <f t="shared" ca="1" si="69"/>
        <v>0</v>
      </c>
      <c r="T225" s="670">
        <f t="shared" ca="1" si="70"/>
        <v>0</v>
      </c>
      <c r="U225" s="671">
        <f t="shared" ca="1" si="71"/>
        <v>7.4225281033028098E-2</v>
      </c>
      <c r="V225" s="672">
        <f t="shared" ca="1" si="72"/>
        <v>3.7112640516514049E-2</v>
      </c>
      <c r="W225" s="673">
        <f t="shared" ca="1" si="73"/>
        <v>0</v>
      </c>
      <c r="X225" s="674">
        <f t="shared" ca="1" si="74"/>
        <v>0</v>
      </c>
      <c r="Y225" s="675">
        <f t="shared" ca="1" si="75"/>
        <v>0</v>
      </c>
      <c r="Z225" s="675">
        <f t="shared" ca="1" si="76"/>
        <v>0</v>
      </c>
      <c r="AA225" s="676">
        <f t="shared" ca="1" si="77"/>
        <v>0</v>
      </c>
      <c r="AB225" s="670">
        <f t="shared" ca="1" si="78"/>
        <v>0</v>
      </c>
      <c r="AC225" s="677">
        <f t="shared" ca="1" si="79"/>
        <v>0</v>
      </c>
      <c r="AD225" s="679">
        <f t="shared" si="81"/>
        <v>0.23087031412513062</v>
      </c>
      <c r="AE225" s="678">
        <f t="shared" ca="1" si="80"/>
        <v>0</v>
      </c>
      <c r="AF225" s="651"/>
      <c r="AG225" s="654"/>
      <c r="AH225" s="654"/>
    </row>
    <row r="226" spans="2:34" ht="15.75" thickBot="1" x14ac:dyDescent="0.3">
      <c r="B226" s="651"/>
      <c r="C226" s="680"/>
      <c r="D226" s="681"/>
      <c r="E226" s="681"/>
      <c r="F226" s="681"/>
      <c r="G226" s="681"/>
      <c r="H226" s="681"/>
      <c r="I226" s="681"/>
      <c r="J226" s="681"/>
      <c r="K226" s="681"/>
      <c r="L226" s="681"/>
      <c r="M226" s="681"/>
      <c r="N226" s="666"/>
      <c r="O226" s="653"/>
      <c r="P226" s="667">
        <f t="shared" si="67"/>
        <v>18</v>
      </c>
      <c r="Q226" s="668">
        <f t="shared" ca="1" si="68"/>
        <v>0</v>
      </c>
      <c r="R226" s="669">
        <f t="shared" ca="1" si="66"/>
        <v>0</v>
      </c>
      <c r="S226" s="669">
        <f t="shared" ca="1" si="69"/>
        <v>0</v>
      </c>
      <c r="T226" s="670">
        <f t="shared" ca="1" si="70"/>
        <v>0</v>
      </c>
      <c r="U226" s="671">
        <f t="shared" ca="1" si="71"/>
        <v>7.6080913058853797E-2</v>
      </c>
      <c r="V226" s="672">
        <f t="shared" ca="1" si="72"/>
        <v>3.8040456529426898E-2</v>
      </c>
      <c r="W226" s="673">
        <f t="shared" ca="1" si="73"/>
        <v>0</v>
      </c>
      <c r="X226" s="674">
        <f t="shared" ca="1" si="74"/>
        <v>0</v>
      </c>
      <c r="Y226" s="675">
        <f t="shared" ca="1" si="75"/>
        <v>0</v>
      </c>
      <c r="Z226" s="675">
        <f t="shared" ca="1" si="76"/>
        <v>0</v>
      </c>
      <c r="AA226" s="676">
        <f t="shared" ca="1" si="77"/>
        <v>0</v>
      </c>
      <c r="AB226" s="670">
        <f t="shared" ca="1" si="78"/>
        <v>0</v>
      </c>
      <c r="AC226" s="677">
        <f t="shared" ca="1" si="79"/>
        <v>0</v>
      </c>
      <c r="AD226" s="679">
        <f t="shared" si="81"/>
        <v>0.23664207197825887</v>
      </c>
      <c r="AE226" s="678">
        <f t="shared" ca="1" si="80"/>
        <v>0</v>
      </c>
      <c r="AF226" s="651"/>
      <c r="AG226" s="654"/>
      <c r="AH226" s="654"/>
    </row>
    <row r="227" spans="2:34" ht="15.75" thickBot="1" x14ac:dyDescent="0.3">
      <c r="B227" s="651"/>
      <c r="C227" s="653"/>
      <c r="D227" s="653"/>
      <c r="E227" s="653"/>
      <c r="F227" s="653"/>
      <c r="G227" s="653"/>
      <c r="H227" s="653"/>
      <c r="I227" s="653"/>
      <c r="J227" s="653"/>
      <c r="K227" s="653"/>
      <c r="L227" s="653"/>
      <c r="M227" s="653"/>
      <c r="N227" s="653"/>
      <c r="O227" s="653"/>
      <c r="P227" s="667">
        <f t="shared" si="67"/>
        <v>19</v>
      </c>
      <c r="Q227" s="668">
        <f t="shared" ca="1" si="68"/>
        <v>0</v>
      </c>
      <c r="R227" s="669">
        <f t="shared" ca="1" si="66"/>
        <v>0</v>
      </c>
      <c r="S227" s="669">
        <f t="shared" ca="1" si="69"/>
        <v>0</v>
      </c>
      <c r="T227" s="670">
        <f t="shared" ca="1" si="70"/>
        <v>0</v>
      </c>
      <c r="U227" s="671">
        <f t="shared" ca="1" si="71"/>
        <v>7.7982935885325136E-2</v>
      </c>
      <c r="V227" s="672">
        <f t="shared" ca="1" si="72"/>
        <v>3.8991467942662568E-2</v>
      </c>
      <c r="W227" s="673">
        <f t="shared" ca="1" si="73"/>
        <v>0</v>
      </c>
      <c r="X227" s="674">
        <f t="shared" ca="1" si="74"/>
        <v>0</v>
      </c>
      <c r="Y227" s="675">
        <f t="shared" ca="1" si="75"/>
        <v>0</v>
      </c>
      <c r="Z227" s="675">
        <f t="shared" ca="1" si="76"/>
        <v>0</v>
      </c>
      <c r="AA227" s="676">
        <f t="shared" ca="1" si="77"/>
        <v>0</v>
      </c>
      <c r="AB227" s="670">
        <f t="shared" ca="1" si="78"/>
        <v>0</v>
      </c>
      <c r="AC227" s="677">
        <f t="shared" ca="1" si="79"/>
        <v>0</v>
      </c>
      <c r="AD227" s="679">
        <f t="shared" si="81"/>
        <v>0.24255812377771532</v>
      </c>
      <c r="AE227" s="678">
        <f t="shared" ca="1" si="80"/>
        <v>0</v>
      </c>
      <c r="AF227" s="651"/>
      <c r="AG227" s="654"/>
      <c r="AH227" s="654"/>
    </row>
    <row r="228" spans="2:34" x14ac:dyDescent="0.25">
      <c r="B228" s="651"/>
      <c r="C228" s="648"/>
      <c r="D228" s="649"/>
      <c r="E228" s="649"/>
      <c r="F228" s="649"/>
      <c r="G228" s="649"/>
      <c r="H228" s="649"/>
      <c r="I228" s="649"/>
      <c r="J228" s="649"/>
      <c r="K228" s="649"/>
      <c r="L228" s="649"/>
      <c r="M228" s="649"/>
      <c r="N228" s="650"/>
      <c r="O228" s="653"/>
      <c r="P228" s="667">
        <f t="shared" si="67"/>
        <v>20</v>
      </c>
      <c r="Q228" s="668">
        <f t="shared" ca="1" si="68"/>
        <v>0</v>
      </c>
      <c r="R228" s="669">
        <f t="shared" ca="1" si="66"/>
        <v>0</v>
      </c>
      <c r="S228" s="669">
        <f t="shared" ca="1" si="69"/>
        <v>0</v>
      </c>
      <c r="T228" s="670">
        <f t="shared" ca="1" si="70"/>
        <v>0</v>
      </c>
      <c r="U228" s="671">
        <f t="shared" ca="1" si="71"/>
        <v>7.9932509282458264E-2</v>
      </c>
      <c r="V228" s="672">
        <f t="shared" ca="1" si="72"/>
        <v>3.9966254641229132E-2</v>
      </c>
      <c r="W228" s="673">
        <f t="shared" ca="1" si="73"/>
        <v>0</v>
      </c>
      <c r="X228" s="674">
        <f t="shared" ca="1" si="74"/>
        <v>0</v>
      </c>
      <c r="Y228" s="675">
        <f t="shared" ca="1" si="75"/>
        <v>0</v>
      </c>
      <c r="Z228" s="675">
        <f t="shared" ca="1" si="76"/>
        <v>0</v>
      </c>
      <c r="AA228" s="676">
        <f t="shared" ca="1" si="77"/>
        <v>0</v>
      </c>
      <c r="AB228" s="670">
        <f t="shared" ca="1" si="78"/>
        <v>0</v>
      </c>
      <c r="AC228" s="677">
        <f t="shared" ca="1" si="79"/>
        <v>0</v>
      </c>
      <c r="AD228" s="679">
        <f t="shared" si="81"/>
        <v>0.24862207687215818</v>
      </c>
      <c r="AE228" s="678">
        <f t="shared" ca="1" si="80"/>
        <v>0</v>
      </c>
      <c r="AF228" s="651"/>
      <c r="AG228" s="654"/>
      <c r="AH228" s="654"/>
    </row>
    <row r="229" spans="2:34" ht="15.75" x14ac:dyDescent="0.25">
      <c r="B229" s="651"/>
      <c r="C229" s="651"/>
      <c r="D229" s="652" t="s">
        <v>508</v>
      </c>
      <c r="E229" s="653"/>
      <c r="F229" s="653"/>
      <c r="G229" s="653"/>
      <c r="H229" s="653"/>
      <c r="I229" s="653"/>
      <c r="J229" s="653"/>
      <c r="K229" s="653"/>
      <c r="L229" s="653"/>
      <c r="M229" s="653"/>
      <c r="N229" s="654"/>
      <c r="O229" s="653"/>
      <c r="P229" s="667">
        <f t="shared" si="67"/>
        <v>21</v>
      </c>
      <c r="Q229" s="668">
        <f t="shared" ca="1" si="68"/>
        <v>0</v>
      </c>
      <c r="R229" s="669">
        <f t="shared" ca="1" si="66"/>
        <v>0</v>
      </c>
      <c r="S229" s="669">
        <f t="shared" ca="1" si="69"/>
        <v>0</v>
      </c>
      <c r="T229" s="670">
        <f t="shared" ca="1" si="70"/>
        <v>0</v>
      </c>
      <c r="U229" s="671">
        <f t="shared" ca="1" si="71"/>
        <v>8.1930822014519719E-2</v>
      </c>
      <c r="V229" s="672">
        <f t="shared" ca="1" si="72"/>
        <v>4.096541100725986E-2</v>
      </c>
      <c r="W229" s="673">
        <f t="shared" ca="1" si="73"/>
        <v>0</v>
      </c>
      <c r="X229" s="674">
        <f t="shared" ca="1" si="74"/>
        <v>0</v>
      </c>
      <c r="Y229" s="675">
        <f t="shared" ca="1" si="75"/>
        <v>0</v>
      </c>
      <c r="Z229" s="675">
        <f t="shared" ca="1" si="76"/>
        <v>0</v>
      </c>
      <c r="AA229" s="676">
        <f t="shared" ca="1" si="77"/>
        <v>0</v>
      </c>
      <c r="AB229" s="670">
        <f t="shared" ca="1" si="78"/>
        <v>0</v>
      </c>
      <c r="AC229" s="677">
        <f t="shared" ca="1" si="79"/>
        <v>0</v>
      </c>
      <c r="AD229" s="679">
        <f t="shared" si="81"/>
        <v>0.2548376287939621</v>
      </c>
      <c r="AE229" s="678">
        <f t="shared" ca="1" si="80"/>
        <v>0</v>
      </c>
      <c r="AF229" s="651"/>
      <c r="AG229" s="654"/>
      <c r="AH229" s="654"/>
    </row>
    <row r="230" spans="2:34" x14ac:dyDescent="0.25">
      <c r="B230" s="651"/>
      <c r="C230" s="651"/>
      <c r="D230" s="653" t="s">
        <v>509</v>
      </c>
      <c r="E230" s="653"/>
      <c r="F230" s="653"/>
      <c r="G230" s="653"/>
      <c r="H230" s="653"/>
      <c r="I230" s="653"/>
      <c r="J230" s="653"/>
      <c r="K230" s="653"/>
      <c r="L230" s="653"/>
      <c r="M230" s="653"/>
      <c r="N230" s="654"/>
      <c r="O230" s="653"/>
      <c r="P230" s="667">
        <f t="shared" si="67"/>
        <v>22</v>
      </c>
      <c r="Q230" s="668">
        <f t="shared" ca="1" si="68"/>
        <v>0</v>
      </c>
      <c r="R230" s="669">
        <f t="shared" ca="1" si="66"/>
        <v>0</v>
      </c>
      <c r="S230" s="669">
        <f t="shared" ca="1" si="69"/>
        <v>0</v>
      </c>
      <c r="T230" s="670">
        <f t="shared" ca="1" si="70"/>
        <v>0</v>
      </c>
      <c r="U230" s="671">
        <f t="shared" ca="1" si="71"/>
        <v>8.3979092564882701E-2</v>
      </c>
      <c r="V230" s="672">
        <f t="shared" ca="1" si="72"/>
        <v>4.1989546282441351E-2</v>
      </c>
      <c r="W230" s="673">
        <f t="shared" ca="1" si="73"/>
        <v>0</v>
      </c>
      <c r="X230" s="674">
        <f t="shared" ca="1" si="74"/>
        <v>0</v>
      </c>
      <c r="Y230" s="675">
        <f t="shared" ca="1" si="75"/>
        <v>0</v>
      </c>
      <c r="Z230" s="675">
        <f t="shared" ca="1" si="76"/>
        <v>0</v>
      </c>
      <c r="AA230" s="676">
        <f t="shared" ca="1" si="77"/>
        <v>0</v>
      </c>
      <c r="AB230" s="670">
        <f t="shared" ca="1" si="78"/>
        <v>0</v>
      </c>
      <c r="AC230" s="677">
        <f t="shared" ca="1" si="79"/>
        <v>0</v>
      </c>
      <c r="AD230" s="679">
        <f t="shared" si="81"/>
        <v>0.26120856951381111</v>
      </c>
      <c r="AE230" s="678">
        <f t="shared" ca="1" si="80"/>
        <v>0</v>
      </c>
      <c r="AF230" s="651"/>
      <c r="AG230" s="654"/>
      <c r="AH230" s="654"/>
    </row>
    <row r="231" spans="2:34" x14ac:dyDescent="0.25">
      <c r="B231" s="651"/>
      <c r="C231" s="651"/>
      <c r="D231" s="653" t="s">
        <v>510</v>
      </c>
      <c r="E231" s="653"/>
      <c r="F231" s="653"/>
      <c r="G231" s="653"/>
      <c r="H231" s="653"/>
      <c r="I231" s="653"/>
      <c r="J231" s="653"/>
      <c r="K231" s="653"/>
      <c r="L231" s="653"/>
      <c r="M231" s="653"/>
      <c r="N231" s="654"/>
      <c r="O231" s="653"/>
      <c r="P231" s="667">
        <f t="shared" si="67"/>
        <v>23</v>
      </c>
      <c r="Q231" s="668">
        <f t="shared" ca="1" si="68"/>
        <v>0</v>
      </c>
      <c r="R231" s="669">
        <f t="shared" ca="1" si="66"/>
        <v>0</v>
      </c>
      <c r="S231" s="669">
        <f t="shared" ca="1" si="69"/>
        <v>0</v>
      </c>
      <c r="T231" s="670">
        <f t="shared" ca="1" si="70"/>
        <v>0</v>
      </c>
      <c r="U231" s="671">
        <f t="shared" ca="1" si="71"/>
        <v>8.6078569879004765E-2</v>
      </c>
      <c r="V231" s="672">
        <f t="shared" ca="1" si="72"/>
        <v>4.3039284939502383E-2</v>
      </c>
      <c r="W231" s="673">
        <f t="shared" ca="1" si="73"/>
        <v>0</v>
      </c>
      <c r="X231" s="674">
        <f t="shared" ca="1" si="74"/>
        <v>0</v>
      </c>
      <c r="Y231" s="675">
        <f t="shared" ca="1" si="75"/>
        <v>0</v>
      </c>
      <c r="Z231" s="675">
        <f t="shared" ca="1" si="76"/>
        <v>0</v>
      </c>
      <c r="AA231" s="676">
        <f t="shared" ca="1" si="77"/>
        <v>0</v>
      </c>
      <c r="AB231" s="670">
        <f t="shared" ca="1" si="78"/>
        <v>0</v>
      </c>
      <c r="AC231" s="677">
        <f t="shared" ca="1" si="79"/>
        <v>0</v>
      </c>
      <c r="AD231" s="679">
        <f t="shared" si="81"/>
        <v>0.26773878375165638</v>
      </c>
      <c r="AE231" s="678">
        <f t="shared" ca="1" si="80"/>
        <v>0</v>
      </c>
      <c r="AF231" s="651"/>
      <c r="AG231" s="654"/>
      <c r="AH231" s="654"/>
    </row>
    <row r="232" spans="2:34" x14ac:dyDescent="0.25">
      <c r="B232" s="651"/>
      <c r="C232" s="651"/>
      <c r="D232" s="653" t="s">
        <v>511</v>
      </c>
      <c r="E232" s="653"/>
      <c r="F232" s="653"/>
      <c r="G232" s="653"/>
      <c r="H232" s="653"/>
      <c r="I232" s="653"/>
      <c r="J232" s="653"/>
      <c r="K232" s="653"/>
      <c r="L232" s="653"/>
      <c r="M232" s="653"/>
      <c r="N232" s="654"/>
      <c r="O232" s="653"/>
      <c r="P232" s="667">
        <f t="shared" si="67"/>
        <v>24</v>
      </c>
      <c r="Q232" s="668">
        <f t="shared" ca="1" si="68"/>
        <v>0</v>
      </c>
      <c r="R232" s="669">
        <f t="shared" ca="1" si="66"/>
        <v>0</v>
      </c>
      <c r="S232" s="669">
        <f t="shared" ca="1" si="69"/>
        <v>0</v>
      </c>
      <c r="T232" s="670">
        <f t="shared" ca="1" si="70"/>
        <v>0</v>
      </c>
      <c r="U232" s="671">
        <f t="shared" ca="1" si="71"/>
        <v>8.8230534125979879E-2</v>
      </c>
      <c r="V232" s="672">
        <f t="shared" ca="1" si="72"/>
        <v>4.4115267062989939E-2</v>
      </c>
      <c r="W232" s="673">
        <f t="shared" ca="1" si="73"/>
        <v>0</v>
      </c>
      <c r="X232" s="674">
        <f t="shared" ca="1" si="74"/>
        <v>0</v>
      </c>
      <c r="Y232" s="675">
        <f t="shared" ca="1" si="75"/>
        <v>0</v>
      </c>
      <c r="Z232" s="675">
        <f t="shared" ca="1" si="76"/>
        <v>0</v>
      </c>
      <c r="AA232" s="676">
        <f t="shared" ca="1" si="77"/>
        <v>0</v>
      </c>
      <c r="AB232" s="670">
        <f t="shared" ca="1" si="78"/>
        <v>0</v>
      </c>
      <c r="AC232" s="677">
        <f t="shared" ca="1" si="79"/>
        <v>0</v>
      </c>
      <c r="AD232" s="679">
        <f t="shared" si="81"/>
        <v>0.2744322533454478</v>
      </c>
      <c r="AE232" s="678">
        <f t="shared" ca="1" si="80"/>
        <v>0</v>
      </c>
      <c r="AF232" s="651"/>
      <c r="AG232" s="654"/>
      <c r="AH232" s="654"/>
    </row>
    <row r="233" spans="2:34" x14ac:dyDescent="0.25">
      <c r="B233" s="651"/>
      <c r="C233" s="651"/>
      <c r="D233" s="653" t="s">
        <v>512</v>
      </c>
      <c r="E233" s="653"/>
      <c r="F233" s="653"/>
      <c r="G233" s="653"/>
      <c r="H233" s="653"/>
      <c r="I233" s="653"/>
      <c r="J233" s="653"/>
      <c r="K233" s="653"/>
      <c r="L233" s="653"/>
      <c r="M233" s="653"/>
      <c r="N233" s="654"/>
      <c r="O233" s="653"/>
      <c r="P233" s="667">
        <f t="shared" si="67"/>
        <v>25</v>
      </c>
      <c r="Q233" s="668">
        <f t="shared" ca="1" si="68"/>
        <v>0</v>
      </c>
      <c r="R233" s="669">
        <f t="shared" ca="1" si="66"/>
        <v>0</v>
      </c>
      <c r="S233" s="669">
        <f t="shared" ca="1" si="69"/>
        <v>0</v>
      </c>
      <c r="T233" s="670">
        <f t="shared" ca="1" si="70"/>
        <v>0</v>
      </c>
      <c r="U233" s="671">
        <f t="shared" ca="1" si="71"/>
        <v>9.0436297479129374E-2</v>
      </c>
      <c r="V233" s="672">
        <f t="shared" ca="1" si="72"/>
        <v>4.5218148739564687E-2</v>
      </c>
      <c r="W233" s="673">
        <f t="shared" ca="1" si="73"/>
        <v>0</v>
      </c>
      <c r="X233" s="674">
        <f t="shared" ca="1" si="74"/>
        <v>0</v>
      </c>
      <c r="Y233" s="675">
        <f t="shared" ca="1" si="75"/>
        <v>0</v>
      </c>
      <c r="Z233" s="675">
        <f t="shared" ca="1" si="76"/>
        <v>0</v>
      </c>
      <c r="AA233" s="676">
        <f t="shared" ca="1" si="77"/>
        <v>0</v>
      </c>
      <c r="AB233" s="670">
        <f t="shared" ca="1" si="78"/>
        <v>0</v>
      </c>
      <c r="AC233" s="677">
        <f t="shared" ca="1" si="79"/>
        <v>0</v>
      </c>
      <c r="AD233" s="679">
        <f t="shared" si="81"/>
        <v>0.28129305967908397</v>
      </c>
      <c r="AE233" s="678">
        <f t="shared" ca="1" si="80"/>
        <v>0</v>
      </c>
      <c r="AF233" s="651"/>
      <c r="AG233" s="654"/>
      <c r="AH233" s="654"/>
    </row>
    <row r="234" spans="2:34" ht="15.75" thickBot="1" x14ac:dyDescent="0.3">
      <c r="B234" s="651"/>
      <c r="C234" s="680"/>
      <c r="D234" s="681" t="s">
        <v>513</v>
      </c>
      <c r="E234" s="681"/>
      <c r="F234" s="681"/>
      <c r="G234" s="681"/>
      <c r="H234" s="681"/>
      <c r="I234" s="681"/>
      <c r="J234" s="681"/>
      <c r="K234" s="681"/>
      <c r="L234" s="681"/>
      <c r="M234" s="681"/>
      <c r="N234" s="666"/>
      <c r="O234" s="653"/>
      <c r="P234" s="667">
        <f t="shared" si="67"/>
        <v>26</v>
      </c>
      <c r="Q234" s="668">
        <f t="shared" ca="1" si="68"/>
        <v>0</v>
      </c>
      <c r="R234" s="669">
        <f t="shared" ca="1" si="66"/>
        <v>0</v>
      </c>
      <c r="S234" s="669">
        <f t="shared" ca="1" si="69"/>
        <v>0</v>
      </c>
      <c r="T234" s="670">
        <f t="shared" ca="1" si="70"/>
        <v>0</v>
      </c>
      <c r="U234" s="671">
        <f t="shared" ca="1" si="71"/>
        <v>9.2697204916107598E-2</v>
      </c>
      <c r="V234" s="672">
        <f t="shared" ca="1" si="72"/>
        <v>4.6348602458053799E-2</v>
      </c>
      <c r="W234" s="673">
        <f t="shared" ca="1" si="73"/>
        <v>0</v>
      </c>
      <c r="X234" s="674">
        <f t="shared" ca="1" si="74"/>
        <v>0</v>
      </c>
      <c r="Y234" s="675">
        <f t="shared" ca="1" si="75"/>
        <v>0</v>
      </c>
      <c r="Z234" s="675">
        <f t="shared" ca="1" si="76"/>
        <v>0</v>
      </c>
      <c r="AA234" s="676">
        <f t="shared" ca="1" si="77"/>
        <v>0</v>
      </c>
      <c r="AB234" s="670">
        <f t="shared" ca="1" si="78"/>
        <v>0</v>
      </c>
      <c r="AC234" s="677">
        <f t="shared" ca="1" si="79"/>
        <v>0</v>
      </c>
      <c r="AD234" s="679">
        <f t="shared" si="81"/>
        <v>0.28832538617106102</v>
      </c>
      <c r="AE234" s="678">
        <f t="shared" ca="1" si="80"/>
        <v>0</v>
      </c>
      <c r="AF234" s="651"/>
      <c r="AG234" s="654"/>
      <c r="AH234" s="654"/>
    </row>
    <row r="235" spans="2:34" x14ac:dyDescent="0.25">
      <c r="B235" s="651"/>
      <c r="C235" s="653"/>
      <c r="D235" s="653"/>
      <c r="E235" s="653"/>
      <c r="F235" s="653"/>
      <c r="G235" s="653"/>
      <c r="H235" s="653"/>
      <c r="I235" s="653"/>
      <c r="J235" s="653"/>
      <c r="K235" s="653"/>
      <c r="L235" s="653"/>
      <c r="M235" s="653"/>
      <c r="N235" s="653"/>
      <c r="O235" s="653"/>
      <c r="P235" s="667">
        <f t="shared" si="67"/>
        <v>27</v>
      </c>
      <c r="Q235" s="668">
        <f t="shared" ca="1" si="68"/>
        <v>0</v>
      </c>
      <c r="R235" s="669">
        <f t="shared" ca="1" si="66"/>
        <v>0</v>
      </c>
      <c r="S235" s="669">
        <f t="shared" ca="1" si="69"/>
        <v>0</v>
      </c>
      <c r="T235" s="670">
        <f t="shared" ca="1" si="70"/>
        <v>0</v>
      </c>
      <c r="U235" s="671">
        <f t="shared" ca="1" si="71"/>
        <v>9.5014635039010281E-2</v>
      </c>
      <c r="V235" s="672">
        <f t="shared" ca="1" si="72"/>
        <v>4.7507317519505141E-2</v>
      </c>
      <c r="W235" s="673">
        <f t="shared" ca="1" si="73"/>
        <v>0</v>
      </c>
      <c r="X235" s="674">
        <f t="shared" ca="1" si="74"/>
        <v>0</v>
      </c>
      <c r="Y235" s="675">
        <f t="shared" ca="1" si="75"/>
        <v>0</v>
      </c>
      <c r="Z235" s="675">
        <f t="shared" ca="1" si="76"/>
        <v>0</v>
      </c>
      <c r="AA235" s="676">
        <f t="shared" ca="1" si="77"/>
        <v>0</v>
      </c>
      <c r="AB235" s="670">
        <f t="shared" ca="1" si="78"/>
        <v>0</v>
      </c>
      <c r="AC235" s="677">
        <f t="shared" ca="1" si="79"/>
        <v>0</v>
      </c>
      <c r="AD235" s="679">
        <f t="shared" si="81"/>
        <v>0.29553352082533751</v>
      </c>
      <c r="AE235" s="678">
        <f t="shared" ca="1" si="80"/>
        <v>0</v>
      </c>
      <c r="AF235" s="651"/>
      <c r="AG235" s="654"/>
      <c r="AH235" s="654"/>
    </row>
    <row r="236" spans="2:34" x14ac:dyDescent="0.25">
      <c r="B236" s="651"/>
      <c r="C236" s="653"/>
      <c r="D236" s="653"/>
      <c r="E236" s="653"/>
      <c r="F236" s="653"/>
      <c r="G236" s="653"/>
      <c r="H236" s="653"/>
      <c r="I236" s="653"/>
      <c r="J236" s="653"/>
      <c r="K236" s="653"/>
      <c r="L236" s="653"/>
      <c r="M236" s="653"/>
      <c r="N236" s="653"/>
      <c r="O236" s="653"/>
      <c r="P236" s="667">
        <f t="shared" si="67"/>
        <v>28</v>
      </c>
      <c r="Q236" s="668">
        <f t="shared" ca="1" si="68"/>
        <v>0</v>
      </c>
      <c r="R236" s="669">
        <f t="shared" ca="1" si="66"/>
        <v>0</v>
      </c>
      <c r="S236" s="669">
        <f t="shared" ca="1" si="69"/>
        <v>0</v>
      </c>
      <c r="T236" s="670">
        <f t="shared" ca="1" si="70"/>
        <v>0</v>
      </c>
      <c r="U236" s="671">
        <f t="shared" ca="1" si="71"/>
        <v>9.7390000914985536E-2</v>
      </c>
      <c r="V236" s="672">
        <f t="shared" ca="1" si="72"/>
        <v>4.8695000457492768E-2</v>
      </c>
      <c r="W236" s="673">
        <f t="shared" ca="1" si="73"/>
        <v>0</v>
      </c>
      <c r="X236" s="674">
        <f t="shared" ca="1" si="74"/>
        <v>0</v>
      </c>
      <c r="Y236" s="675">
        <f t="shared" ca="1" si="75"/>
        <v>0</v>
      </c>
      <c r="Z236" s="675">
        <f t="shared" ca="1" si="76"/>
        <v>0</v>
      </c>
      <c r="AA236" s="676">
        <f t="shared" ca="1" si="77"/>
        <v>0</v>
      </c>
      <c r="AB236" s="670">
        <f t="shared" ca="1" si="78"/>
        <v>0</v>
      </c>
      <c r="AC236" s="677">
        <f t="shared" ca="1" si="79"/>
        <v>0</v>
      </c>
      <c r="AD236" s="679">
        <f t="shared" si="81"/>
        <v>0.30292185884597095</v>
      </c>
      <c r="AE236" s="678">
        <f t="shared" ca="1" si="80"/>
        <v>0</v>
      </c>
      <c r="AF236" s="651"/>
      <c r="AG236" s="654"/>
      <c r="AH236" s="654"/>
    </row>
    <row r="237" spans="2:34" x14ac:dyDescent="0.25">
      <c r="B237" s="651"/>
      <c r="C237" s="653"/>
      <c r="D237" s="653"/>
      <c r="E237" s="653"/>
      <c r="F237" s="653"/>
      <c r="G237" s="653"/>
      <c r="H237" s="653"/>
      <c r="I237" s="653"/>
      <c r="J237" s="653"/>
      <c r="K237" s="653"/>
      <c r="L237" s="653"/>
      <c r="M237" s="653"/>
      <c r="N237" s="653"/>
      <c r="O237" s="653"/>
      <c r="P237" s="667">
        <f t="shared" si="67"/>
        <v>29</v>
      </c>
      <c r="Q237" s="668">
        <f t="shared" ca="1" si="68"/>
        <v>0</v>
      </c>
      <c r="R237" s="669">
        <f t="shared" ca="1" si="66"/>
        <v>0</v>
      </c>
      <c r="S237" s="669">
        <f t="shared" ca="1" si="69"/>
        <v>0</v>
      </c>
      <c r="T237" s="670">
        <f t="shared" ca="1" si="70"/>
        <v>0</v>
      </c>
      <c r="U237" s="671">
        <f t="shared" ca="1" si="71"/>
        <v>9.9824750937860168E-2</v>
      </c>
      <c r="V237" s="672">
        <f t="shared" ca="1" si="72"/>
        <v>4.9912375468930084E-2</v>
      </c>
      <c r="W237" s="673">
        <f t="shared" ca="1" si="73"/>
        <v>0</v>
      </c>
      <c r="X237" s="674">
        <f t="shared" ca="1" si="74"/>
        <v>0</v>
      </c>
      <c r="Y237" s="675">
        <f t="shared" ca="1" si="75"/>
        <v>0</v>
      </c>
      <c r="Z237" s="675">
        <f t="shared" ca="1" si="76"/>
        <v>0</v>
      </c>
      <c r="AA237" s="676">
        <f t="shared" ca="1" si="77"/>
        <v>0</v>
      </c>
      <c r="AB237" s="670">
        <f t="shared" ca="1" si="78"/>
        <v>0</v>
      </c>
      <c r="AC237" s="677">
        <f t="shared" ca="1" si="79"/>
        <v>0</v>
      </c>
      <c r="AD237" s="679">
        <f t="shared" si="81"/>
        <v>0.31049490531712021</v>
      </c>
      <c r="AE237" s="678">
        <f t="shared" ca="1" si="80"/>
        <v>0</v>
      </c>
      <c r="AF237" s="651"/>
      <c r="AG237" s="654"/>
      <c r="AH237" s="654"/>
    </row>
    <row r="238" spans="2:34" x14ac:dyDescent="0.25">
      <c r="B238" s="651"/>
      <c r="C238" s="653"/>
      <c r="D238" s="653"/>
      <c r="E238" s="653"/>
      <c r="F238" s="653"/>
      <c r="G238" s="653"/>
      <c r="H238" s="653"/>
      <c r="I238" s="653"/>
      <c r="J238" s="653"/>
      <c r="K238" s="653"/>
      <c r="L238" s="653"/>
      <c r="M238" s="653"/>
      <c r="N238" s="653"/>
      <c r="O238" s="653"/>
      <c r="P238" s="667">
        <f t="shared" si="67"/>
        <v>30</v>
      </c>
      <c r="Q238" s="668">
        <f t="shared" ca="1" si="68"/>
        <v>0</v>
      </c>
      <c r="R238" s="669">
        <f t="shared" ca="1" si="66"/>
        <v>0</v>
      </c>
      <c r="S238" s="669">
        <f t="shared" ca="1" si="69"/>
        <v>0</v>
      </c>
      <c r="T238" s="670">
        <f t="shared" ca="1" si="70"/>
        <v>0</v>
      </c>
      <c r="U238" s="671">
        <f t="shared" ca="1" si="71"/>
        <v>0.10232036971130666</v>
      </c>
      <c r="V238" s="672">
        <f t="shared" ca="1" si="72"/>
        <v>5.116018485565333E-2</v>
      </c>
      <c r="W238" s="673">
        <f t="shared" ca="1" si="73"/>
        <v>0</v>
      </c>
      <c r="X238" s="674">
        <f t="shared" ca="1" si="74"/>
        <v>0</v>
      </c>
      <c r="Y238" s="675">
        <f t="shared" ca="1" si="75"/>
        <v>0</v>
      </c>
      <c r="Z238" s="675">
        <f t="shared" ca="1" si="76"/>
        <v>0</v>
      </c>
      <c r="AA238" s="676">
        <f t="shared" ca="1" si="77"/>
        <v>0</v>
      </c>
      <c r="AB238" s="670">
        <f t="shared" ca="1" si="78"/>
        <v>0</v>
      </c>
      <c r="AC238" s="677">
        <f t="shared" ca="1" si="79"/>
        <v>0</v>
      </c>
      <c r="AD238" s="679">
        <f t="shared" si="81"/>
        <v>0.31825727795004821</v>
      </c>
      <c r="AE238" s="678">
        <f t="shared" ca="1" si="80"/>
        <v>0</v>
      </c>
      <c r="AF238" s="651"/>
      <c r="AG238" s="654"/>
      <c r="AH238" s="654"/>
    </row>
    <row r="239" spans="2:34" x14ac:dyDescent="0.25">
      <c r="B239" s="651"/>
      <c r="C239" s="653"/>
      <c r="D239" s="653"/>
      <c r="E239" s="653"/>
      <c r="F239" s="653"/>
      <c r="G239" s="653"/>
      <c r="H239" s="653"/>
      <c r="I239" s="653"/>
      <c r="J239" s="653"/>
      <c r="K239" s="653"/>
      <c r="L239" s="653"/>
      <c r="M239" s="653"/>
      <c r="N239" s="653"/>
      <c r="O239" s="653"/>
      <c r="P239" s="667">
        <f t="shared" si="67"/>
        <v>31</v>
      </c>
      <c r="Q239" s="668">
        <f t="shared" ca="1" si="68"/>
        <v>0</v>
      </c>
      <c r="R239" s="669">
        <f t="shared" ca="1" si="66"/>
        <v>0</v>
      </c>
      <c r="S239" s="669">
        <f t="shared" ca="1" si="69"/>
        <v>0</v>
      </c>
      <c r="T239" s="670">
        <f t="shared" ca="1" si="70"/>
        <v>0</v>
      </c>
      <c r="U239" s="671">
        <f t="shared" ca="1" si="71"/>
        <v>0.10487837895408932</v>
      </c>
      <c r="V239" s="672">
        <f t="shared" ca="1" si="72"/>
        <v>5.2439189477044658E-2</v>
      </c>
      <c r="W239" s="673">
        <f t="shared" ca="1" si="73"/>
        <v>0</v>
      </c>
      <c r="X239" s="674">
        <f t="shared" ca="1" si="74"/>
        <v>0</v>
      </c>
      <c r="Y239" s="675">
        <f t="shared" ca="1" si="75"/>
        <v>0</v>
      </c>
      <c r="Z239" s="675">
        <f t="shared" ca="1" si="76"/>
        <v>0</v>
      </c>
      <c r="AA239" s="676">
        <f t="shared" ca="1" si="77"/>
        <v>0</v>
      </c>
      <c r="AB239" s="670">
        <f t="shared" ca="1" si="78"/>
        <v>0</v>
      </c>
      <c r="AC239" s="677">
        <f t="shared" ca="1" si="79"/>
        <v>0</v>
      </c>
      <c r="AD239" s="679">
        <f t="shared" si="81"/>
        <v>0.32621370989879939</v>
      </c>
      <c r="AE239" s="678">
        <f t="shared" ca="1" si="80"/>
        <v>0</v>
      </c>
      <c r="AF239" s="651"/>
      <c r="AG239" s="654"/>
      <c r="AH239" s="654"/>
    </row>
    <row r="240" spans="2:34" x14ac:dyDescent="0.25">
      <c r="B240" s="651"/>
      <c r="C240" s="653"/>
      <c r="D240" s="653"/>
      <c r="E240" s="653"/>
      <c r="F240" s="653"/>
      <c r="G240" s="653"/>
      <c r="H240" s="653"/>
      <c r="I240" s="653"/>
      <c r="J240" s="653"/>
      <c r="K240" s="653"/>
      <c r="L240" s="653"/>
      <c r="M240" s="653"/>
      <c r="N240" s="653"/>
      <c r="O240" s="653"/>
      <c r="P240" s="667">
        <f t="shared" si="67"/>
        <v>32</v>
      </c>
      <c r="Q240" s="668">
        <f t="shared" ca="1" si="68"/>
        <v>0</v>
      </c>
      <c r="R240" s="669">
        <f t="shared" ca="1" si="66"/>
        <v>0</v>
      </c>
      <c r="S240" s="669">
        <f t="shared" ca="1" si="69"/>
        <v>0</v>
      </c>
      <c r="T240" s="670">
        <f t="shared" ca="1" si="70"/>
        <v>0</v>
      </c>
      <c r="U240" s="671">
        <f t="shared" ca="1" si="71"/>
        <v>0.10750033842794154</v>
      </c>
      <c r="V240" s="672">
        <f t="shared" ca="1" si="72"/>
        <v>5.3750169213970772E-2</v>
      </c>
      <c r="W240" s="673">
        <f t="shared" ca="1" si="73"/>
        <v>0</v>
      </c>
      <c r="X240" s="674">
        <f t="shared" ca="1" si="74"/>
        <v>0</v>
      </c>
      <c r="Y240" s="675">
        <f t="shared" ca="1" si="75"/>
        <v>0</v>
      </c>
      <c r="Z240" s="675">
        <f t="shared" ca="1" si="76"/>
        <v>0</v>
      </c>
      <c r="AA240" s="676">
        <f t="shared" ca="1" si="77"/>
        <v>0</v>
      </c>
      <c r="AB240" s="670">
        <f t="shared" ca="1" si="78"/>
        <v>0</v>
      </c>
      <c r="AC240" s="677">
        <f t="shared" ca="1" si="79"/>
        <v>0</v>
      </c>
      <c r="AD240" s="679">
        <f t="shared" si="81"/>
        <v>0.33436905264626932</v>
      </c>
      <c r="AE240" s="678">
        <f t="shared" ca="1" si="80"/>
        <v>0</v>
      </c>
      <c r="AF240" s="651"/>
      <c r="AG240" s="654"/>
      <c r="AH240" s="654"/>
    </row>
    <row r="241" spans="2:34" x14ac:dyDescent="0.25">
      <c r="B241" s="651"/>
      <c r="C241" s="653"/>
      <c r="D241" s="653"/>
      <c r="E241" s="653"/>
      <c r="F241" s="653"/>
      <c r="G241" s="653"/>
      <c r="H241" s="653"/>
      <c r="I241" s="653"/>
      <c r="J241" s="653"/>
      <c r="K241" s="653"/>
      <c r="L241" s="653"/>
      <c r="M241" s="653"/>
      <c r="N241" s="653"/>
      <c r="O241" s="653"/>
      <c r="P241" s="667">
        <f t="shared" si="67"/>
        <v>33</v>
      </c>
      <c r="Q241" s="668">
        <f t="shared" ca="1" si="68"/>
        <v>0</v>
      </c>
      <c r="R241" s="669">
        <f t="shared" ref="R241:R260" ca="1" si="82">IF(Q241="","",IF(P241&lt;=$R$9,IF(Q241&gt;$R$11,$R$11,Q241),0))</f>
        <v>0</v>
      </c>
      <c r="S241" s="669">
        <f t="shared" ca="1" si="69"/>
        <v>0</v>
      </c>
      <c r="T241" s="670">
        <f t="shared" ca="1" si="70"/>
        <v>0</v>
      </c>
      <c r="U241" s="671">
        <f t="shared" ca="1" si="71"/>
        <v>0.11018784688864007</v>
      </c>
      <c r="V241" s="672">
        <f t="shared" ca="1" si="72"/>
        <v>5.5093923444320035E-2</v>
      </c>
      <c r="W241" s="673">
        <f t="shared" ca="1" si="73"/>
        <v>0</v>
      </c>
      <c r="X241" s="674">
        <f t="shared" ca="1" si="74"/>
        <v>0</v>
      </c>
      <c r="Y241" s="675">
        <f t="shared" ca="1" si="75"/>
        <v>0</v>
      </c>
      <c r="Z241" s="675">
        <f t="shared" ca="1" si="76"/>
        <v>0</v>
      </c>
      <c r="AA241" s="676">
        <f t="shared" ca="1" si="77"/>
        <v>0</v>
      </c>
      <c r="AB241" s="670">
        <f t="shared" ca="1" si="78"/>
        <v>0</v>
      </c>
      <c r="AC241" s="677">
        <f t="shared" ca="1" si="79"/>
        <v>0</v>
      </c>
      <c r="AD241" s="679">
        <f t="shared" si="81"/>
        <v>0.34272827896242603</v>
      </c>
      <c r="AE241" s="678">
        <f t="shared" ca="1" si="80"/>
        <v>0</v>
      </c>
      <c r="AF241" s="651"/>
      <c r="AG241" s="654"/>
      <c r="AH241" s="654"/>
    </row>
    <row r="242" spans="2:34" x14ac:dyDescent="0.25">
      <c r="B242" s="651"/>
      <c r="C242" s="653"/>
      <c r="D242" s="653"/>
      <c r="E242" s="653"/>
      <c r="F242" s="653"/>
      <c r="G242" s="653"/>
      <c r="H242" s="653"/>
      <c r="I242" s="653"/>
      <c r="J242" s="653"/>
      <c r="K242" s="653"/>
      <c r="L242" s="653"/>
      <c r="M242" s="653"/>
      <c r="N242" s="653"/>
      <c r="O242" s="653"/>
      <c r="P242" s="667">
        <f t="shared" si="67"/>
        <v>34</v>
      </c>
      <c r="Q242" s="668">
        <f t="shared" ca="1" si="68"/>
        <v>0</v>
      </c>
      <c r="R242" s="669">
        <f t="shared" ca="1" si="82"/>
        <v>0</v>
      </c>
      <c r="S242" s="669">
        <f t="shared" ca="1" si="69"/>
        <v>0</v>
      </c>
      <c r="T242" s="670">
        <f t="shared" ca="1" si="70"/>
        <v>0</v>
      </c>
      <c r="U242" s="671">
        <f t="shared" ref="U242:U260" ca="1" si="83">IF(R242="","",U241*(1+$R$7))</f>
        <v>0.11294254306085606</v>
      </c>
      <c r="V242" s="672">
        <f t="shared" ref="V242:V260" ca="1" si="84">IF(S242="","",V241*(1+$T$7))</f>
        <v>5.6471271530428031E-2</v>
      </c>
      <c r="W242" s="673">
        <f t="shared" ref="W242:W260" ca="1" si="85">IF(T242="","",W241*(1+$V$7))</f>
        <v>0</v>
      </c>
      <c r="X242" s="674">
        <f t="shared" ca="1" si="74"/>
        <v>0</v>
      </c>
      <c r="Y242" s="675">
        <f t="shared" ca="1" si="75"/>
        <v>0</v>
      </c>
      <c r="Z242" s="675">
        <f t="shared" ca="1" si="76"/>
        <v>0</v>
      </c>
      <c r="AA242" s="676">
        <f t="shared" ca="1" si="77"/>
        <v>0</v>
      </c>
      <c r="AB242" s="670">
        <f t="shared" ca="1" si="78"/>
        <v>0</v>
      </c>
      <c r="AC242" s="677">
        <f t="shared" ca="1" si="79"/>
        <v>0</v>
      </c>
      <c r="AD242" s="679">
        <f t="shared" si="81"/>
        <v>0.35129648593648666</v>
      </c>
      <c r="AE242" s="678">
        <f t="shared" ca="1" si="80"/>
        <v>0</v>
      </c>
      <c r="AF242" s="651"/>
      <c r="AG242" s="654"/>
      <c r="AH242" s="654"/>
    </row>
    <row r="243" spans="2:34" x14ac:dyDescent="0.25">
      <c r="B243" s="651"/>
      <c r="C243" s="653"/>
      <c r="D243" s="653"/>
      <c r="E243" s="653"/>
      <c r="F243" s="653"/>
      <c r="G243" s="653"/>
      <c r="H243" s="653"/>
      <c r="I243" s="653"/>
      <c r="J243" s="653"/>
      <c r="K243" s="653"/>
      <c r="L243" s="653"/>
      <c r="M243" s="653"/>
      <c r="N243" s="653"/>
      <c r="O243" s="653"/>
      <c r="P243" s="667">
        <f t="shared" si="67"/>
        <v>35</v>
      </c>
      <c r="Q243" s="668">
        <f t="shared" ca="1" si="68"/>
        <v>0</v>
      </c>
      <c r="R243" s="669">
        <f t="shared" ca="1" si="82"/>
        <v>0</v>
      </c>
      <c r="S243" s="669">
        <f t="shared" ca="1" si="69"/>
        <v>0</v>
      </c>
      <c r="T243" s="670">
        <f t="shared" ca="1" si="70"/>
        <v>0</v>
      </c>
      <c r="U243" s="671">
        <f t="shared" ca="1" si="83"/>
        <v>0.11576610663737745</v>
      </c>
      <c r="V243" s="672">
        <f t="shared" ca="1" si="84"/>
        <v>5.7883053318688725E-2</v>
      </c>
      <c r="W243" s="673">
        <f t="shared" ca="1" si="85"/>
        <v>0</v>
      </c>
      <c r="X243" s="674">
        <f t="shared" ca="1" si="74"/>
        <v>0</v>
      </c>
      <c r="Y243" s="675">
        <f t="shared" ca="1" si="75"/>
        <v>0</v>
      </c>
      <c r="Z243" s="675">
        <f t="shared" ca="1" si="76"/>
        <v>0</v>
      </c>
      <c r="AA243" s="676">
        <f t="shared" ca="1" si="77"/>
        <v>0</v>
      </c>
      <c r="AB243" s="670">
        <f t="shared" ca="1" si="78"/>
        <v>0</v>
      </c>
      <c r="AC243" s="677">
        <f t="shared" ca="1" si="79"/>
        <v>0</v>
      </c>
      <c r="AD243" s="679">
        <f t="shared" si="81"/>
        <v>0.36007889808489879</v>
      </c>
      <c r="AE243" s="678">
        <f t="shared" ca="1" si="80"/>
        <v>0</v>
      </c>
      <c r="AF243" s="651"/>
      <c r="AG243" s="654"/>
      <c r="AH243" s="654"/>
    </row>
    <row r="244" spans="2:34" x14ac:dyDescent="0.25">
      <c r="B244" s="651"/>
      <c r="C244" s="653"/>
      <c r="D244" s="653"/>
      <c r="E244" s="653"/>
      <c r="F244" s="653"/>
      <c r="G244" s="653"/>
      <c r="H244" s="653"/>
      <c r="I244" s="653"/>
      <c r="J244" s="653"/>
      <c r="K244" s="653"/>
      <c r="L244" s="653"/>
      <c r="M244" s="653"/>
      <c r="N244" s="653"/>
      <c r="O244" s="653"/>
      <c r="P244" s="667" t="str">
        <f t="shared" si="67"/>
        <v/>
      </c>
      <c r="Q244" s="668" t="str">
        <f t="shared" si="68"/>
        <v/>
      </c>
      <c r="R244" s="669" t="str">
        <f t="shared" si="82"/>
        <v/>
      </c>
      <c r="S244" s="669" t="str">
        <f t="shared" si="69"/>
        <v/>
      </c>
      <c r="T244" s="670" t="str">
        <f t="shared" si="70"/>
        <v/>
      </c>
      <c r="U244" s="671" t="str">
        <f t="shared" si="83"/>
        <v/>
      </c>
      <c r="V244" s="672" t="str">
        <f t="shared" si="84"/>
        <v/>
      </c>
      <c r="W244" s="673" t="str">
        <f t="shared" si="85"/>
        <v/>
      </c>
      <c r="X244" s="674" t="str">
        <f t="shared" si="74"/>
        <v/>
      </c>
      <c r="Y244" s="675" t="str">
        <f t="shared" si="75"/>
        <v/>
      </c>
      <c r="Z244" s="675" t="str">
        <f t="shared" si="76"/>
        <v/>
      </c>
      <c r="AA244" s="676">
        <f t="shared" si="77"/>
        <v>0</v>
      </c>
      <c r="AB244" s="670">
        <f t="shared" si="78"/>
        <v>0</v>
      </c>
      <c r="AC244" s="677" t="str">
        <f t="shared" si="79"/>
        <v/>
      </c>
      <c r="AD244" s="679" t="str">
        <f t="shared" si="81"/>
        <v/>
      </c>
      <c r="AE244" s="678">
        <f t="shared" si="80"/>
        <v>0</v>
      </c>
      <c r="AF244" s="651"/>
      <c r="AG244" s="654"/>
      <c r="AH244" s="654"/>
    </row>
    <row r="245" spans="2:34" x14ac:dyDescent="0.25">
      <c r="B245" s="651"/>
      <c r="C245" s="653"/>
      <c r="D245" s="653"/>
      <c r="E245" s="653"/>
      <c r="F245" s="653"/>
      <c r="G245" s="653"/>
      <c r="H245" s="653"/>
      <c r="I245" s="653"/>
      <c r="J245" s="653"/>
      <c r="K245" s="653"/>
      <c r="L245" s="653"/>
      <c r="M245" s="653"/>
      <c r="N245" s="653"/>
      <c r="O245" s="653"/>
      <c r="P245" s="667" t="str">
        <f t="shared" si="67"/>
        <v/>
      </c>
      <c r="Q245" s="668" t="str">
        <f t="shared" si="68"/>
        <v/>
      </c>
      <c r="R245" s="669" t="str">
        <f t="shared" si="82"/>
        <v/>
      </c>
      <c r="S245" s="669" t="str">
        <f t="shared" si="69"/>
        <v/>
      </c>
      <c r="T245" s="670" t="str">
        <f t="shared" si="70"/>
        <v/>
      </c>
      <c r="U245" s="671" t="str">
        <f t="shared" si="83"/>
        <v/>
      </c>
      <c r="V245" s="672" t="str">
        <f t="shared" si="84"/>
        <v/>
      </c>
      <c r="W245" s="673" t="str">
        <f t="shared" si="85"/>
        <v/>
      </c>
      <c r="X245" s="674" t="str">
        <f t="shared" si="74"/>
        <v/>
      </c>
      <c r="Y245" s="675" t="str">
        <f t="shared" si="75"/>
        <v/>
      </c>
      <c r="Z245" s="675" t="str">
        <f t="shared" si="76"/>
        <v/>
      </c>
      <c r="AA245" s="676">
        <f t="shared" si="77"/>
        <v>0</v>
      </c>
      <c r="AB245" s="670">
        <f t="shared" si="78"/>
        <v>0</v>
      </c>
      <c r="AC245" s="677" t="str">
        <f t="shared" si="79"/>
        <v/>
      </c>
      <c r="AD245" s="679" t="str">
        <f t="shared" si="81"/>
        <v/>
      </c>
      <c r="AE245" s="678">
        <f t="shared" si="80"/>
        <v>0</v>
      </c>
      <c r="AF245" s="651"/>
      <c r="AG245" s="654"/>
      <c r="AH245" s="654"/>
    </row>
    <row r="246" spans="2:34" x14ac:dyDescent="0.25">
      <c r="B246" s="651"/>
      <c r="C246" s="653"/>
      <c r="D246" s="653"/>
      <c r="E246" s="653"/>
      <c r="F246" s="653"/>
      <c r="G246" s="653"/>
      <c r="H246" s="653"/>
      <c r="I246" s="653"/>
      <c r="J246" s="653"/>
      <c r="K246" s="653"/>
      <c r="L246" s="653"/>
      <c r="M246" s="653"/>
      <c r="N246" s="653"/>
      <c r="O246" s="653"/>
      <c r="P246" s="667" t="str">
        <f t="shared" si="67"/>
        <v/>
      </c>
      <c r="Q246" s="668" t="str">
        <f t="shared" si="68"/>
        <v/>
      </c>
      <c r="R246" s="669" t="str">
        <f t="shared" si="82"/>
        <v/>
      </c>
      <c r="S246" s="669" t="str">
        <f t="shared" si="69"/>
        <v/>
      </c>
      <c r="T246" s="670" t="str">
        <f t="shared" si="70"/>
        <v/>
      </c>
      <c r="U246" s="671" t="str">
        <f t="shared" si="83"/>
        <v/>
      </c>
      <c r="V246" s="672" t="str">
        <f t="shared" si="84"/>
        <v/>
      </c>
      <c r="W246" s="673" t="str">
        <f t="shared" si="85"/>
        <v/>
      </c>
      <c r="X246" s="674" t="str">
        <f t="shared" si="74"/>
        <v/>
      </c>
      <c r="Y246" s="675" t="str">
        <f t="shared" si="75"/>
        <v/>
      </c>
      <c r="Z246" s="675" t="str">
        <f t="shared" si="76"/>
        <v/>
      </c>
      <c r="AA246" s="676">
        <f t="shared" si="77"/>
        <v>0</v>
      </c>
      <c r="AB246" s="670">
        <f t="shared" si="78"/>
        <v>0</v>
      </c>
      <c r="AC246" s="677" t="str">
        <f t="shared" si="79"/>
        <v/>
      </c>
      <c r="AD246" s="679" t="str">
        <f t="shared" si="81"/>
        <v/>
      </c>
      <c r="AE246" s="678">
        <f t="shared" si="80"/>
        <v>0</v>
      </c>
      <c r="AF246" s="651"/>
      <c r="AG246" s="654"/>
      <c r="AH246" s="654"/>
    </row>
    <row r="247" spans="2:34" x14ac:dyDescent="0.25">
      <c r="B247" s="651"/>
      <c r="C247" s="653"/>
      <c r="D247" s="653"/>
      <c r="E247" s="653"/>
      <c r="F247" s="653"/>
      <c r="G247" s="653"/>
      <c r="H247" s="653"/>
      <c r="I247" s="653"/>
      <c r="J247" s="653"/>
      <c r="K247" s="653"/>
      <c r="L247" s="653"/>
      <c r="M247" s="653"/>
      <c r="N247" s="653"/>
      <c r="O247" s="653"/>
      <c r="P247" s="667" t="str">
        <f t="shared" si="67"/>
        <v/>
      </c>
      <c r="Q247" s="668" t="str">
        <f t="shared" si="68"/>
        <v/>
      </c>
      <c r="R247" s="669" t="str">
        <f t="shared" si="82"/>
        <v/>
      </c>
      <c r="S247" s="669" t="str">
        <f t="shared" si="69"/>
        <v/>
      </c>
      <c r="T247" s="670" t="str">
        <f t="shared" si="70"/>
        <v/>
      </c>
      <c r="U247" s="671" t="str">
        <f t="shared" si="83"/>
        <v/>
      </c>
      <c r="V247" s="672" t="str">
        <f t="shared" si="84"/>
        <v/>
      </c>
      <c r="W247" s="673" t="str">
        <f t="shared" si="85"/>
        <v/>
      </c>
      <c r="X247" s="674" t="str">
        <f t="shared" si="74"/>
        <v/>
      </c>
      <c r="Y247" s="675" t="str">
        <f t="shared" si="75"/>
        <v/>
      </c>
      <c r="Z247" s="675" t="str">
        <f t="shared" si="76"/>
        <v/>
      </c>
      <c r="AA247" s="676">
        <f t="shared" si="77"/>
        <v>0</v>
      </c>
      <c r="AB247" s="670">
        <f t="shared" si="78"/>
        <v>0</v>
      </c>
      <c r="AC247" s="677" t="str">
        <f t="shared" si="79"/>
        <v/>
      </c>
      <c r="AD247" s="679" t="str">
        <f t="shared" si="81"/>
        <v/>
      </c>
      <c r="AE247" s="678">
        <f t="shared" si="80"/>
        <v>0</v>
      </c>
      <c r="AF247" s="651"/>
      <c r="AG247" s="654"/>
      <c r="AH247" s="654"/>
    </row>
    <row r="248" spans="2:34" x14ac:dyDescent="0.25">
      <c r="B248" s="651"/>
      <c r="C248" s="653"/>
      <c r="D248" s="653"/>
      <c r="E248" s="653"/>
      <c r="F248" s="653"/>
      <c r="G248" s="653"/>
      <c r="H248" s="653"/>
      <c r="I248" s="653"/>
      <c r="J248" s="653"/>
      <c r="K248" s="653"/>
      <c r="L248" s="653"/>
      <c r="M248" s="653"/>
      <c r="N248" s="653"/>
      <c r="O248" s="653"/>
      <c r="P248" s="667" t="str">
        <f t="shared" si="67"/>
        <v/>
      </c>
      <c r="Q248" s="668" t="str">
        <f t="shared" si="68"/>
        <v/>
      </c>
      <c r="R248" s="669" t="str">
        <f t="shared" si="82"/>
        <v/>
      </c>
      <c r="S248" s="669" t="str">
        <f t="shared" si="69"/>
        <v/>
      </c>
      <c r="T248" s="670" t="str">
        <f t="shared" si="70"/>
        <v/>
      </c>
      <c r="U248" s="671" t="str">
        <f t="shared" si="83"/>
        <v/>
      </c>
      <c r="V248" s="672" t="str">
        <f t="shared" si="84"/>
        <v/>
      </c>
      <c r="W248" s="673" t="str">
        <f t="shared" si="85"/>
        <v/>
      </c>
      <c r="X248" s="674" t="str">
        <f t="shared" si="74"/>
        <v/>
      </c>
      <c r="Y248" s="675" t="str">
        <f t="shared" si="75"/>
        <v/>
      </c>
      <c r="Z248" s="675" t="str">
        <f t="shared" si="76"/>
        <v/>
      </c>
      <c r="AA248" s="676">
        <f t="shared" si="77"/>
        <v>0</v>
      </c>
      <c r="AB248" s="670">
        <f t="shared" si="78"/>
        <v>0</v>
      </c>
      <c r="AC248" s="677" t="str">
        <f t="shared" si="79"/>
        <v/>
      </c>
      <c r="AD248" s="679" t="str">
        <f t="shared" si="81"/>
        <v/>
      </c>
      <c r="AE248" s="678">
        <f t="shared" si="80"/>
        <v>0</v>
      </c>
      <c r="AF248" s="651"/>
      <c r="AG248" s="654"/>
      <c r="AH248" s="654"/>
    </row>
    <row r="249" spans="2:34" x14ac:dyDescent="0.25">
      <c r="B249" s="651"/>
      <c r="C249" s="653"/>
      <c r="D249" s="653"/>
      <c r="E249" s="653"/>
      <c r="F249" s="653"/>
      <c r="G249" s="653"/>
      <c r="H249" s="653"/>
      <c r="I249" s="653"/>
      <c r="J249" s="653"/>
      <c r="K249" s="653"/>
      <c r="L249" s="653"/>
      <c r="M249" s="653"/>
      <c r="N249" s="653"/>
      <c r="O249" s="653"/>
      <c r="P249" s="667" t="str">
        <f t="shared" si="67"/>
        <v/>
      </c>
      <c r="Q249" s="668" t="str">
        <f t="shared" si="68"/>
        <v/>
      </c>
      <c r="R249" s="669" t="str">
        <f t="shared" si="82"/>
        <v/>
      </c>
      <c r="S249" s="669" t="str">
        <f t="shared" si="69"/>
        <v/>
      </c>
      <c r="T249" s="670" t="str">
        <f t="shared" si="70"/>
        <v/>
      </c>
      <c r="U249" s="671" t="str">
        <f t="shared" si="83"/>
        <v/>
      </c>
      <c r="V249" s="672" t="str">
        <f t="shared" si="84"/>
        <v/>
      </c>
      <c r="W249" s="673" t="str">
        <f t="shared" si="85"/>
        <v/>
      </c>
      <c r="X249" s="674" t="str">
        <f t="shared" si="74"/>
        <v/>
      </c>
      <c r="Y249" s="675" t="str">
        <f t="shared" si="75"/>
        <v/>
      </c>
      <c r="Z249" s="675" t="str">
        <f t="shared" si="76"/>
        <v/>
      </c>
      <c r="AA249" s="676">
        <f t="shared" si="77"/>
        <v>0</v>
      </c>
      <c r="AB249" s="670">
        <f t="shared" si="78"/>
        <v>0</v>
      </c>
      <c r="AC249" s="677" t="str">
        <f t="shared" si="79"/>
        <v/>
      </c>
      <c r="AD249" s="679" t="str">
        <f t="shared" si="81"/>
        <v/>
      </c>
      <c r="AE249" s="678">
        <f t="shared" si="80"/>
        <v>0</v>
      </c>
      <c r="AF249" s="651"/>
      <c r="AG249" s="654"/>
      <c r="AH249" s="654"/>
    </row>
    <row r="250" spans="2:34" x14ac:dyDescent="0.25">
      <c r="B250" s="651"/>
      <c r="C250" s="653"/>
      <c r="D250" s="653"/>
      <c r="E250" s="653"/>
      <c r="F250" s="653"/>
      <c r="G250" s="653"/>
      <c r="H250" s="653"/>
      <c r="I250" s="653"/>
      <c r="J250" s="653"/>
      <c r="K250" s="653"/>
      <c r="L250" s="653"/>
      <c r="M250" s="653"/>
      <c r="N250" s="653"/>
      <c r="O250" s="653"/>
      <c r="P250" s="667" t="str">
        <f t="shared" si="67"/>
        <v/>
      </c>
      <c r="Q250" s="668" t="str">
        <f t="shared" si="68"/>
        <v/>
      </c>
      <c r="R250" s="669" t="str">
        <f t="shared" si="82"/>
        <v/>
      </c>
      <c r="S250" s="669" t="str">
        <f t="shared" si="69"/>
        <v/>
      </c>
      <c r="T250" s="670" t="str">
        <f t="shared" si="70"/>
        <v/>
      </c>
      <c r="U250" s="671" t="str">
        <f t="shared" si="83"/>
        <v/>
      </c>
      <c r="V250" s="672" t="str">
        <f t="shared" si="84"/>
        <v/>
      </c>
      <c r="W250" s="673" t="str">
        <f t="shared" si="85"/>
        <v/>
      </c>
      <c r="X250" s="674" t="str">
        <f t="shared" si="74"/>
        <v/>
      </c>
      <c r="Y250" s="675" t="str">
        <f t="shared" si="75"/>
        <v/>
      </c>
      <c r="Z250" s="675" t="str">
        <f t="shared" si="76"/>
        <v/>
      </c>
      <c r="AA250" s="676">
        <f t="shared" si="77"/>
        <v>0</v>
      </c>
      <c r="AB250" s="670">
        <f t="shared" si="78"/>
        <v>0</v>
      </c>
      <c r="AC250" s="677" t="str">
        <f t="shared" si="79"/>
        <v/>
      </c>
      <c r="AD250" s="679" t="str">
        <f t="shared" si="81"/>
        <v/>
      </c>
      <c r="AE250" s="678">
        <f t="shared" si="80"/>
        <v>0</v>
      </c>
      <c r="AF250" s="651"/>
      <c r="AG250" s="654"/>
      <c r="AH250" s="654"/>
    </row>
    <row r="251" spans="2:34" x14ac:dyDescent="0.25">
      <c r="B251" s="651"/>
      <c r="C251" s="653"/>
      <c r="D251" s="653"/>
      <c r="E251" s="653"/>
      <c r="F251" s="653"/>
      <c r="G251" s="653"/>
      <c r="H251" s="653"/>
      <c r="I251" s="653"/>
      <c r="J251" s="653"/>
      <c r="K251" s="653"/>
      <c r="L251" s="653"/>
      <c r="M251" s="653"/>
      <c r="N251" s="653"/>
      <c r="O251" s="653"/>
      <c r="P251" s="667" t="str">
        <f t="shared" si="67"/>
        <v/>
      </c>
      <c r="Q251" s="668" t="str">
        <f t="shared" si="68"/>
        <v/>
      </c>
      <c r="R251" s="669" t="str">
        <f t="shared" si="82"/>
        <v/>
      </c>
      <c r="S251" s="669" t="str">
        <f t="shared" si="69"/>
        <v/>
      </c>
      <c r="T251" s="670" t="str">
        <f t="shared" si="70"/>
        <v/>
      </c>
      <c r="U251" s="671" t="str">
        <f t="shared" si="83"/>
        <v/>
      </c>
      <c r="V251" s="672" t="str">
        <f t="shared" si="84"/>
        <v/>
      </c>
      <c r="W251" s="673" t="str">
        <f t="shared" si="85"/>
        <v/>
      </c>
      <c r="X251" s="674" t="str">
        <f t="shared" si="74"/>
        <v/>
      </c>
      <c r="Y251" s="675" t="str">
        <f t="shared" si="75"/>
        <v/>
      </c>
      <c r="Z251" s="675" t="str">
        <f t="shared" si="76"/>
        <v/>
      </c>
      <c r="AA251" s="676">
        <f t="shared" si="77"/>
        <v>0</v>
      </c>
      <c r="AB251" s="670">
        <f t="shared" si="78"/>
        <v>0</v>
      </c>
      <c r="AC251" s="677" t="str">
        <f t="shared" si="79"/>
        <v/>
      </c>
      <c r="AD251" s="679" t="str">
        <f t="shared" si="81"/>
        <v/>
      </c>
      <c r="AE251" s="678">
        <f t="shared" si="80"/>
        <v>0</v>
      </c>
      <c r="AF251" s="651"/>
      <c r="AG251" s="654"/>
      <c r="AH251" s="654"/>
    </row>
    <row r="252" spans="2:34" x14ac:dyDescent="0.25">
      <c r="B252" s="651"/>
      <c r="C252" s="653"/>
      <c r="D252" s="653"/>
      <c r="E252" s="653"/>
      <c r="F252" s="653"/>
      <c r="G252" s="653"/>
      <c r="H252" s="653"/>
      <c r="I252" s="653"/>
      <c r="J252" s="653"/>
      <c r="K252" s="653"/>
      <c r="L252" s="653"/>
      <c r="M252" s="653"/>
      <c r="N252" s="653"/>
      <c r="O252" s="653"/>
      <c r="P252" s="667" t="str">
        <f t="shared" si="67"/>
        <v/>
      </c>
      <c r="Q252" s="668" t="str">
        <f t="shared" si="68"/>
        <v/>
      </c>
      <c r="R252" s="669" t="str">
        <f t="shared" si="82"/>
        <v/>
      </c>
      <c r="S252" s="669" t="str">
        <f t="shared" si="69"/>
        <v/>
      </c>
      <c r="T252" s="670" t="str">
        <f t="shared" si="70"/>
        <v/>
      </c>
      <c r="U252" s="671" t="str">
        <f t="shared" si="83"/>
        <v/>
      </c>
      <c r="V252" s="672" t="str">
        <f t="shared" si="84"/>
        <v/>
      </c>
      <c r="W252" s="673" t="str">
        <f t="shared" si="85"/>
        <v/>
      </c>
      <c r="X252" s="674" t="str">
        <f t="shared" si="74"/>
        <v/>
      </c>
      <c r="Y252" s="675" t="str">
        <f t="shared" si="75"/>
        <v/>
      </c>
      <c r="Z252" s="675" t="str">
        <f t="shared" si="76"/>
        <v/>
      </c>
      <c r="AA252" s="676">
        <f t="shared" si="77"/>
        <v>0</v>
      </c>
      <c r="AB252" s="670">
        <f t="shared" si="78"/>
        <v>0</v>
      </c>
      <c r="AC252" s="677" t="str">
        <f t="shared" si="79"/>
        <v/>
      </c>
      <c r="AD252" s="679" t="str">
        <f t="shared" si="81"/>
        <v/>
      </c>
      <c r="AE252" s="678">
        <f t="shared" si="80"/>
        <v>0</v>
      </c>
      <c r="AF252" s="651"/>
      <c r="AG252" s="654"/>
      <c r="AH252" s="654"/>
    </row>
    <row r="253" spans="2:34" x14ac:dyDescent="0.25">
      <c r="B253" s="651"/>
      <c r="C253" s="653"/>
      <c r="D253" s="653"/>
      <c r="E253" s="653"/>
      <c r="F253" s="653"/>
      <c r="G253" s="653"/>
      <c r="H253" s="653"/>
      <c r="I253" s="653"/>
      <c r="J253" s="653"/>
      <c r="K253" s="653"/>
      <c r="L253" s="653"/>
      <c r="M253" s="653"/>
      <c r="N253" s="653"/>
      <c r="O253" s="653"/>
      <c r="P253" s="667" t="str">
        <f t="shared" si="67"/>
        <v/>
      </c>
      <c r="Q253" s="668" t="str">
        <f t="shared" si="68"/>
        <v/>
      </c>
      <c r="R253" s="669" t="str">
        <f t="shared" si="82"/>
        <v/>
      </c>
      <c r="S253" s="669" t="str">
        <f t="shared" si="69"/>
        <v/>
      </c>
      <c r="T253" s="670" t="str">
        <f t="shared" si="70"/>
        <v/>
      </c>
      <c r="U253" s="671" t="str">
        <f t="shared" si="83"/>
        <v/>
      </c>
      <c r="V253" s="672" t="str">
        <f t="shared" si="84"/>
        <v/>
      </c>
      <c r="W253" s="673" t="str">
        <f t="shared" si="85"/>
        <v/>
      </c>
      <c r="X253" s="674" t="str">
        <f t="shared" si="74"/>
        <v/>
      </c>
      <c r="Y253" s="675" t="str">
        <f t="shared" si="75"/>
        <v/>
      </c>
      <c r="Z253" s="675" t="str">
        <f t="shared" si="76"/>
        <v/>
      </c>
      <c r="AA253" s="676">
        <f t="shared" si="77"/>
        <v>0</v>
      </c>
      <c r="AB253" s="670">
        <f t="shared" si="78"/>
        <v>0</v>
      </c>
      <c r="AC253" s="677" t="str">
        <f t="shared" si="79"/>
        <v/>
      </c>
      <c r="AD253" s="679" t="str">
        <f t="shared" si="81"/>
        <v/>
      </c>
      <c r="AE253" s="678">
        <f t="shared" si="80"/>
        <v>0</v>
      </c>
      <c r="AF253" s="651"/>
      <c r="AG253" s="654"/>
      <c r="AH253" s="654"/>
    </row>
    <row r="254" spans="2:34" x14ac:dyDescent="0.25">
      <c r="B254" s="651"/>
      <c r="C254" s="653"/>
      <c r="D254" s="653"/>
      <c r="E254" s="653"/>
      <c r="F254" s="653"/>
      <c r="G254" s="653"/>
      <c r="H254" s="653"/>
      <c r="I254" s="653"/>
      <c r="J254" s="653"/>
      <c r="K254" s="653"/>
      <c r="L254" s="653"/>
      <c r="M254" s="653"/>
      <c r="N254" s="653"/>
      <c r="O254" s="653"/>
      <c r="P254" s="667" t="str">
        <f t="shared" si="67"/>
        <v/>
      </c>
      <c r="Q254" s="668" t="str">
        <f t="shared" si="68"/>
        <v/>
      </c>
      <c r="R254" s="669" t="str">
        <f t="shared" si="82"/>
        <v/>
      </c>
      <c r="S254" s="669" t="str">
        <f t="shared" si="69"/>
        <v/>
      </c>
      <c r="T254" s="670" t="str">
        <f t="shared" si="70"/>
        <v/>
      </c>
      <c r="U254" s="671" t="str">
        <f t="shared" si="83"/>
        <v/>
      </c>
      <c r="V254" s="672" t="str">
        <f t="shared" si="84"/>
        <v/>
      </c>
      <c r="W254" s="673" t="str">
        <f t="shared" si="85"/>
        <v/>
      </c>
      <c r="X254" s="674" t="str">
        <f t="shared" si="74"/>
        <v/>
      </c>
      <c r="Y254" s="675" t="str">
        <f t="shared" si="75"/>
        <v/>
      </c>
      <c r="Z254" s="675" t="str">
        <f t="shared" si="76"/>
        <v/>
      </c>
      <c r="AA254" s="676">
        <f t="shared" si="77"/>
        <v>0</v>
      </c>
      <c r="AB254" s="670">
        <f t="shared" si="78"/>
        <v>0</v>
      </c>
      <c r="AC254" s="677" t="str">
        <f t="shared" si="79"/>
        <v/>
      </c>
      <c r="AD254" s="679" t="str">
        <f t="shared" si="81"/>
        <v/>
      </c>
      <c r="AE254" s="678">
        <f t="shared" si="80"/>
        <v>0</v>
      </c>
      <c r="AF254" s="651"/>
      <c r="AG254" s="654"/>
      <c r="AH254" s="654"/>
    </row>
    <row r="255" spans="2:34" x14ac:dyDescent="0.25">
      <c r="B255" s="651"/>
      <c r="C255" s="653"/>
      <c r="D255" s="653"/>
      <c r="E255" s="653"/>
      <c r="F255" s="653"/>
      <c r="G255" s="653"/>
      <c r="H255" s="653"/>
      <c r="I255" s="653"/>
      <c r="J255" s="653"/>
      <c r="K255" s="653"/>
      <c r="L255" s="653"/>
      <c r="M255" s="653"/>
      <c r="N255" s="653"/>
      <c r="O255" s="653"/>
      <c r="P255" s="667" t="str">
        <f t="shared" si="67"/>
        <v/>
      </c>
      <c r="Q255" s="668" t="str">
        <f t="shared" si="68"/>
        <v/>
      </c>
      <c r="R255" s="669" t="str">
        <f t="shared" si="82"/>
        <v/>
      </c>
      <c r="S255" s="669" t="str">
        <f t="shared" si="69"/>
        <v/>
      </c>
      <c r="T255" s="670" t="str">
        <f t="shared" si="70"/>
        <v/>
      </c>
      <c r="U255" s="671" t="str">
        <f t="shared" si="83"/>
        <v/>
      </c>
      <c r="V255" s="672" t="str">
        <f t="shared" si="84"/>
        <v/>
      </c>
      <c r="W255" s="673" t="str">
        <f t="shared" si="85"/>
        <v/>
      </c>
      <c r="X255" s="674" t="str">
        <f t="shared" si="74"/>
        <v/>
      </c>
      <c r="Y255" s="675" t="str">
        <f t="shared" si="75"/>
        <v/>
      </c>
      <c r="Z255" s="675" t="str">
        <f t="shared" si="76"/>
        <v/>
      </c>
      <c r="AA255" s="676">
        <f t="shared" si="77"/>
        <v>0</v>
      </c>
      <c r="AB255" s="670">
        <f t="shared" si="78"/>
        <v>0</v>
      </c>
      <c r="AC255" s="677" t="str">
        <f t="shared" si="79"/>
        <v/>
      </c>
      <c r="AD255" s="679" t="str">
        <f t="shared" si="81"/>
        <v/>
      </c>
      <c r="AE255" s="678">
        <f t="shared" si="80"/>
        <v>0</v>
      </c>
      <c r="AF255" s="651"/>
      <c r="AG255" s="654"/>
      <c r="AH255" s="654"/>
    </row>
    <row r="256" spans="2:34" x14ac:dyDescent="0.25">
      <c r="B256" s="651"/>
      <c r="C256" s="653"/>
      <c r="D256" s="653"/>
      <c r="E256" s="653"/>
      <c r="F256" s="653"/>
      <c r="G256" s="653"/>
      <c r="H256" s="653"/>
      <c r="I256" s="653"/>
      <c r="J256" s="653"/>
      <c r="K256" s="653"/>
      <c r="L256" s="653"/>
      <c r="M256" s="653"/>
      <c r="N256" s="653"/>
      <c r="O256" s="653"/>
      <c r="P256" s="667" t="str">
        <f t="shared" si="67"/>
        <v/>
      </c>
      <c r="Q256" s="668" t="str">
        <f t="shared" si="68"/>
        <v/>
      </c>
      <c r="R256" s="669" t="str">
        <f t="shared" si="82"/>
        <v/>
      </c>
      <c r="S256" s="669" t="str">
        <f t="shared" si="69"/>
        <v/>
      </c>
      <c r="T256" s="670" t="str">
        <f t="shared" si="70"/>
        <v/>
      </c>
      <c r="U256" s="671" t="str">
        <f t="shared" si="83"/>
        <v/>
      </c>
      <c r="V256" s="672" t="str">
        <f t="shared" si="84"/>
        <v/>
      </c>
      <c r="W256" s="673" t="str">
        <f t="shared" si="85"/>
        <v/>
      </c>
      <c r="X256" s="674" t="str">
        <f t="shared" si="74"/>
        <v/>
      </c>
      <c r="Y256" s="675" t="str">
        <f t="shared" si="75"/>
        <v/>
      </c>
      <c r="Z256" s="675" t="str">
        <f t="shared" si="76"/>
        <v/>
      </c>
      <c r="AA256" s="676">
        <f t="shared" si="77"/>
        <v>0</v>
      </c>
      <c r="AB256" s="670">
        <f t="shared" si="78"/>
        <v>0</v>
      </c>
      <c r="AC256" s="677" t="str">
        <f t="shared" si="79"/>
        <v/>
      </c>
      <c r="AD256" s="679" t="str">
        <f t="shared" si="81"/>
        <v/>
      </c>
      <c r="AE256" s="678">
        <f t="shared" si="80"/>
        <v>0</v>
      </c>
      <c r="AF256" s="651"/>
      <c r="AG256" s="654"/>
      <c r="AH256" s="654"/>
    </row>
    <row r="257" spans="2:34" x14ac:dyDescent="0.25">
      <c r="B257" s="651"/>
      <c r="C257" s="653"/>
      <c r="D257" s="653"/>
      <c r="E257" s="653"/>
      <c r="F257" s="653"/>
      <c r="G257" s="653"/>
      <c r="H257" s="653"/>
      <c r="I257" s="653"/>
      <c r="J257" s="653"/>
      <c r="K257" s="653"/>
      <c r="L257" s="653"/>
      <c r="M257" s="653"/>
      <c r="N257" s="653"/>
      <c r="O257" s="653"/>
      <c r="P257" s="667" t="str">
        <f t="shared" si="67"/>
        <v/>
      </c>
      <c r="Q257" s="668" t="str">
        <f t="shared" si="68"/>
        <v/>
      </c>
      <c r="R257" s="669" t="str">
        <f t="shared" si="82"/>
        <v/>
      </c>
      <c r="S257" s="669" t="str">
        <f t="shared" si="69"/>
        <v/>
      </c>
      <c r="T257" s="670" t="str">
        <f t="shared" si="70"/>
        <v/>
      </c>
      <c r="U257" s="671" t="str">
        <f t="shared" si="83"/>
        <v/>
      </c>
      <c r="V257" s="672" t="str">
        <f t="shared" si="84"/>
        <v/>
      </c>
      <c r="W257" s="673" t="str">
        <f t="shared" si="85"/>
        <v/>
      </c>
      <c r="X257" s="674" t="str">
        <f t="shared" si="74"/>
        <v/>
      </c>
      <c r="Y257" s="675" t="str">
        <f t="shared" si="75"/>
        <v/>
      </c>
      <c r="Z257" s="675" t="str">
        <f t="shared" si="76"/>
        <v/>
      </c>
      <c r="AA257" s="676">
        <f t="shared" si="77"/>
        <v>0</v>
      </c>
      <c r="AB257" s="670">
        <f t="shared" si="78"/>
        <v>0</v>
      </c>
      <c r="AC257" s="677" t="str">
        <f t="shared" si="79"/>
        <v/>
      </c>
      <c r="AD257" s="679" t="str">
        <f t="shared" si="81"/>
        <v/>
      </c>
      <c r="AE257" s="678">
        <f t="shared" si="80"/>
        <v>0</v>
      </c>
      <c r="AF257" s="651"/>
      <c r="AG257" s="654"/>
      <c r="AH257" s="654"/>
    </row>
    <row r="258" spans="2:34" x14ac:dyDescent="0.25">
      <c r="B258" s="651"/>
      <c r="C258" s="653"/>
      <c r="D258" s="653"/>
      <c r="E258" s="653"/>
      <c r="F258" s="653"/>
      <c r="G258" s="653"/>
      <c r="H258" s="653"/>
      <c r="I258" s="653"/>
      <c r="J258" s="653"/>
      <c r="K258" s="653"/>
      <c r="L258" s="653"/>
      <c r="M258" s="653"/>
      <c r="N258" s="653"/>
      <c r="O258" s="653"/>
      <c r="P258" s="667" t="str">
        <f t="shared" si="67"/>
        <v/>
      </c>
      <c r="Q258" s="668" t="str">
        <f t="shared" si="68"/>
        <v/>
      </c>
      <c r="R258" s="669" t="str">
        <f t="shared" si="82"/>
        <v/>
      </c>
      <c r="S258" s="669" t="str">
        <f t="shared" si="69"/>
        <v/>
      </c>
      <c r="T258" s="670" t="str">
        <f t="shared" si="70"/>
        <v/>
      </c>
      <c r="U258" s="671" t="str">
        <f t="shared" si="83"/>
        <v/>
      </c>
      <c r="V258" s="672" t="str">
        <f t="shared" si="84"/>
        <v/>
      </c>
      <c r="W258" s="673" t="str">
        <f t="shared" si="85"/>
        <v/>
      </c>
      <c r="X258" s="674" t="str">
        <f t="shared" si="74"/>
        <v/>
      </c>
      <c r="Y258" s="675" t="str">
        <f t="shared" si="75"/>
        <v/>
      </c>
      <c r="Z258" s="675" t="str">
        <f t="shared" si="76"/>
        <v/>
      </c>
      <c r="AA258" s="676">
        <f t="shared" si="77"/>
        <v>0</v>
      </c>
      <c r="AB258" s="670">
        <f t="shared" si="78"/>
        <v>0</v>
      </c>
      <c r="AC258" s="677" t="str">
        <f t="shared" si="79"/>
        <v/>
      </c>
      <c r="AD258" s="679" t="str">
        <f t="shared" si="81"/>
        <v/>
      </c>
      <c r="AE258" s="678">
        <f t="shared" si="80"/>
        <v>0</v>
      </c>
      <c r="AF258" s="651"/>
      <c r="AG258" s="654"/>
      <c r="AH258" s="654"/>
    </row>
    <row r="259" spans="2:34" x14ac:dyDescent="0.25">
      <c r="B259" s="651"/>
      <c r="C259" s="653"/>
      <c r="D259" s="653"/>
      <c r="E259" s="653"/>
      <c r="F259" s="653"/>
      <c r="G259" s="653"/>
      <c r="H259" s="653"/>
      <c r="I259" s="653"/>
      <c r="J259" s="653"/>
      <c r="K259" s="653"/>
      <c r="L259" s="653"/>
      <c r="M259" s="653"/>
      <c r="N259" s="653"/>
      <c r="O259" s="653"/>
      <c r="P259" s="667" t="str">
        <f t="shared" si="67"/>
        <v/>
      </c>
      <c r="Q259" s="668"/>
      <c r="R259" s="669" t="str">
        <f t="shared" si="82"/>
        <v/>
      </c>
      <c r="S259" s="669" t="str">
        <f>IF(R259="","",IF(AND(P259&gt;=$T$8,P259&lt;=$T$9)=TRUE,IF($T$11="",Q259-R259,IF(Q259&gt;$T$11,$T$11-R259,Q259-R259)),0))</f>
        <v/>
      </c>
      <c r="T259" s="670" t="str">
        <f>IF(S259="","",IF(AND(P259&gt;=$V$8,P259&lt;=$V$9)=TRUE,IF($V$11="",Q259-R259-S259,IF(Q259&gt;$V$10,Q259-R259-S259,0)),0))</f>
        <v/>
      </c>
      <c r="U259" s="671" t="str">
        <f t="shared" si="83"/>
        <v/>
      </c>
      <c r="V259" s="672" t="str">
        <f t="shared" si="84"/>
        <v/>
      </c>
      <c r="W259" s="673" t="str">
        <f t="shared" si="85"/>
        <v/>
      </c>
      <c r="X259" s="674" t="str">
        <f t="shared" si="74"/>
        <v/>
      </c>
      <c r="Y259" s="675" t="str">
        <f t="shared" si="75"/>
        <v/>
      </c>
      <c r="Z259" s="675" t="str">
        <f t="shared" si="76"/>
        <v/>
      </c>
      <c r="AA259" s="676">
        <f t="shared" si="77"/>
        <v>0</v>
      </c>
      <c r="AB259" s="670">
        <f>IF(AA259="","",(IF(AND(P259&lt;=$R$9,P259&gt;=$R$8)=TRUE,$R$6,0)+IF(AND(P259&lt;=$T$9,P259&gt;=$T$8)=TRUE,$T$6,0)+IF(AND(P259&lt;=$V$9,P259&gt;=$V$8)=TRUE,$V$6,0))*-1)</f>
        <v>0</v>
      </c>
      <c r="AC259" s="677"/>
      <c r="AD259" s="679" t="str">
        <f t="shared" si="81"/>
        <v/>
      </c>
      <c r="AE259" s="678">
        <f t="shared" si="80"/>
        <v>0</v>
      </c>
      <c r="AF259" s="651"/>
      <c r="AG259" s="654"/>
      <c r="AH259" s="654"/>
    </row>
    <row r="260" spans="2:34" ht="15.75" thickBot="1" x14ac:dyDescent="0.3">
      <c r="B260" s="651"/>
      <c r="C260" s="653"/>
      <c r="D260" s="653"/>
      <c r="E260" s="653"/>
      <c r="F260" s="653"/>
      <c r="G260" s="653"/>
      <c r="H260" s="653"/>
      <c r="I260" s="653"/>
      <c r="J260" s="653"/>
      <c r="K260" s="653"/>
      <c r="L260" s="653"/>
      <c r="M260" s="653"/>
      <c r="N260" s="653"/>
      <c r="O260" s="653"/>
      <c r="P260" s="660" t="str">
        <f t="shared" si="67"/>
        <v/>
      </c>
      <c r="Q260" s="661"/>
      <c r="R260" s="662" t="str">
        <f t="shared" si="82"/>
        <v/>
      </c>
      <c r="S260" s="662" t="str">
        <f>IF(R260="","",IF(AND(P260&gt;=$T$8,P260&lt;=$T$9)=TRUE,IF($T$11="",Q260-R260,IF(Q260&gt;$T$11,$T$11-R260,Q260-R260)),0))</f>
        <v/>
      </c>
      <c r="T260" s="663" t="str">
        <f>IF(S260="","",IF(AND(P260&gt;=$V$8,P260&lt;=$V$9)=TRUE,IF($V$11="",Q260-R260-S260,IF(Q260&gt;$V$10,Q260-R260-S260,0)),0))</f>
        <v/>
      </c>
      <c r="U260" s="682" t="str">
        <f t="shared" si="83"/>
        <v/>
      </c>
      <c r="V260" s="683" t="str">
        <f t="shared" si="84"/>
        <v/>
      </c>
      <c r="W260" s="684" t="str">
        <f t="shared" si="85"/>
        <v/>
      </c>
      <c r="X260" s="685" t="str">
        <f t="shared" si="74"/>
        <v/>
      </c>
      <c r="Y260" s="686" t="str">
        <f t="shared" si="75"/>
        <v/>
      </c>
      <c r="Z260" s="686" t="str">
        <f t="shared" si="76"/>
        <v/>
      </c>
      <c r="AA260" s="676">
        <f t="shared" si="77"/>
        <v>0</v>
      </c>
      <c r="AB260" s="663">
        <f>IF(AA260="","",(IF(AND(P260&lt;=$R$9,P260&gt;=$R$8)=TRUE,$R$6,0)+IF(AND(P260&lt;=$T$9,P260&gt;=$T$8)=TRUE,$T$6,0)+IF(AND(P260&lt;=$V$9,P260&gt;=$V$8)=TRUE,$V$6,0))*-1)</f>
        <v>0</v>
      </c>
      <c r="AC260" s="687"/>
      <c r="AD260" s="688" t="str">
        <f t="shared" si="81"/>
        <v/>
      </c>
      <c r="AE260" s="678">
        <f t="shared" si="80"/>
        <v>0</v>
      </c>
      <c r="AF260" s="680"/>
      <c r="AG260" s="666"/>
      <c r="AH260" s="654"/>
    </row>
    <row r="261" spans="2:34" x14ac:dyDescent="0.25">
      <c r="B261" s="651"/>
      <c r="C261" s="653"/>
      <c r="D261" s="653"/>
      <c r="E261" s="653"/>
      <c r="F261" s="653"/>
      <c r="G261" s="653"/>
      <c r="H261" s="653"/>
      <c r="I261" s="653"/>
      <c r="J261" s="653"/>
      <c r="K261" s="653"/>
      <c r="L261" s="653"/>
      <c r="M261" s="653"/>
      <c r="N261" s="653"/>
      <c r="O261" s="653"/>
      <c r="P261" s="653"/>
      <c r="Q261" s="653"/>
      <c r="R261" s="653"/>
      <c r="S261" s="653"/>
      <c r="T261" s="653"/>
      <c r="U261" s="653"/>
      <c r="V261" s="653"/>
      <c r="W261" s="653"/>
      <c r="X261" s="653"/>
      <c r="Y261" s="653"/>
      <c r="Z261" s="653" t="s">
        <v>555</v>
      </c>
      <c r="AA261" s="798">
        <f ca="1">NPV(BERECHNUNG!$D$157,AA209:AA258)*-1</f>
        <v>0</v>
      </c>
      <c r="AB261" s="798">
        <f ca="1">NPV(BERECHNUNG!$D$157,AB209:AB258)*-1</f>
        <v>0</v>
      </c>
      <c r="AC261" s="653"/>
      <c r="AD261" s="653"/>
      <c r="AE261" s="798">
        <f ca="1">NPV(BERECHNUNG!$D$157,AE209:AE258)*-1</f>
        <v>0</v>
      </c>
      <c r="AF261" s="653"/>
      <c r="AG261" s="653"/>
      <c r="AH261" s="654"/>
    </row>
    <row r="262" spans="2:34" ht="15.75" thickBot="1" x14ac:dyDescent="0.3">
      <c r="B262" s="680"/>
      <c r="C262" s="681"/>
      <c r="D262" s="681"/>
      <c r="E262" s="681"/>
      <c r="F262" s="681"/>
      <c r="G262" s="681"/>
      <c r="H262" s="681"/>
      <c r="I262" s="681"/>
      <c r="J262" s="681"/>
      <c r="K262" s="681"/>
      <c r="L262" s="681"/>
      <c r="M262" s="681"/>
      <c r="N262" s="681"/>
      <c r="O262" s="681"/>
      <c r="P262" s="681"/>
      <c r="Q262" s="681"/>
      <c r="R262" s="681"/>
      <c r="S262" s="681"/>
      <c r="T262" s="681"/>
      <c r="U262" s="681"/>
      <c r="V262" s="681"/>
      <c r="W262" s="681"/>
      <c r="X262" s="681"/>
      <c r="Y262" s="681"/>
      <c r="Z262" s="681"/>
      <c r="AA262" s="681"/>
      <c r="AB262" s="681"/>
      <c r="AC262" s="681"/>
      <c r="AD262" s="681"/>
      <c r="AE262" s="681"/>
      <c r="AF262" s="681"/>
      <c r="AG262" s="681"/>
      <c r="AH262" s="666"/>
    </row>
    <row r="264" spans="2:34" ht="15.75" thickBot="1" x14ac:dyDescent="0.3"/>
    <row r="265" spans="2:34" x14ac:dyDescent="0.25">
      <c r="B265" s="648"/>
      <c r="C265" s="649"/>
      <c r="D265" s="649"/>
      <c r="E265" s="649"/>
      <c r="F265" s="649"/>
      <c r="G265" s="649"/>
      <c r="H265" s="649"/>
      <c r="I265" s="649"/>
      <c r="J265" s="649"/>
      <c r="K265" s="649"/>
      <c r="L265" s="649"/>
      <c r="M265" s="649"/>
      <c r="N265" s="649"/>
      <c r="O265" s="649"/>
      <c r="P265" s="649"/>
      <c r="Q265" s="649"/>
      <c r="R265" s="649"/>
      <c r="S265" s="649"/>
      <c r="T265" s="649"/>
      <c r="U265" s="649"/>
      <c r="V265" s="649"/>
      <c r="W265" s="649"/>
      <c r="X265" s="649"/>
      <c r="Y265" s="649"/>
      <c r="Z265" s="649"/>
      <c r="AA265" s="649"/>
      <c r="AB265" s="649"/>
      <c r="AC265" s="649"/>
      <c r="AD265" s="649"/>
      <c r="AE265" s="649"/>
      <c r="AF265" s="649"/>
      <c r="AG265" s="649"/>
      <c r="AH265" s="650"/>
    </row>
    <row r="266" spans="2:34" ht="36" x14ac:dyDescent="0.25">
      <c r="B266" s="651"/>
      <c r="C266" s="653"/>
      <c r="D266" s="697" t="str">
        <f>"Variante: "&amp;'1. Projektangaben'!C27&amp;" "</f>
        <v xml:space="preserve">Variante: PH-WDVS-WP-WRG-mittl.Sol-mit PV </v>
      </c>
      <c r="E266" s="653"/>
      <c r="F266" s="653"/>
      <c r="G266" s="653"/>
      <c r="H266" s="653"/>
      <c r="I266" s="653"/>
      <c r="J266" s="653"/>
      <c r="K266" s="653"/>
      <c r="L266" s="653"/>
      <c r="M266" s="653"/>
      <c r="N266" s="653"/>
      <c r="O266" s="653"/>
      <c r="P266" s="653"/>
      <c r="Q266" s="653"/>
      <c r="R266" s="653"/>
      <c r="S266" s="653"/>
      <c r="T266" s="653"/>
      <c r="U266" s="653"/>
      <c r="V266" s="653"/>
      <c r="W266" s="653"/>
      <c r="X266" s="653"/>
      <c r="Y266" s="653"/>
      <c r="Z266" s="653"/>
      <c r="AA266" s="653"/>
      <c r="AB266" s="653"/>
      <c r="AC266" s="653"/>
      <c r="AD266" s="653"/>
      <c r="AE266" s="653"/>
      <c r="AF266" s="653"/>
      <c r="AG266" s="653"/>
      <c r="AH266" s="654"/>
    </row>
    <row r="267" spans="2:34" x14ac:dyDescent="0.25">
      <c r="B267" s="651"/>
      <c r="C267" s="653"/>
      <c r="D267" s="653"/>
      <c r="E267" s="653"/>
      <c r="F267" s="653"/>
      <c r="G267" s="653"/>
      <c r="H267" s="653"/>
      <c r="I267" s="653"/>
      <c r="J267" s="653"/>
      <c r="K267" s="653"/>
      <c r="L267" s="653"/>
      <c r="M267" s="653"/>
      <c r="N267" s="653"/>
      <c r="O267" s="653"/>
      <c r="P267" s="653"/>
      <c r="Q267" s="653"/>
      <c r="R267" s="653"/>
      <c r="S267" s="653"/>
      <c r="T267" s="653"/>
      <c r="U267" s="653"/>
      <c r="V267" s="653"/>
      <c r="W267" s="653"/>
      <c r="X267" s="653"/>
      <c r="Y267" s="653"/>
      <c r="Z267" s="653"/>
      <c r="AA267" s="653"/>
      <c r="AB267" s="653"/>
      <c r="AC267" s="653"/>
      <c r="AD267" s="653"/>
      <c r="AE267" s="653"/>
      <c r="AF267" s="653"/>
      <c r="AG267" s="653"/>
      <c r="AH267" s="654"/>
    </row>
    <row r="268" spans="2:34" ht="16.5" thickBot="1" x14ac:dyDescent="0.3">
      <c r="B268" s="651"/>
      <c r="C268" s="653"/>
      <c r="D268" s="652"/>
      <c r="E268" s="691"/>
      <c r="F268" s="691"/>
      <c r="G268" s="692"/>
      <c r="H268" s="691"/>
      <c r="I268" s="691"/>
      <c r="J268" s="691"/>
      <c r="K268" s="693"/>
      <c r="L268" s="691"/>
      <c r="M268" s="691"/>
      <c r="N268" s="653"/>
      <c r="O268" s="653"/>
      <c r="P268" s="653"/>
      <c r="Q268" s="653"/>
      <c r="R268" s="653"/>
      <c r="S268" s="653"/>
      <c r="T268" s="653"/>
      <c r="U268" s="653"/>
      <c r="V268" s="653"/>
      <c r="W268" s="653"/>
      <c r="X268" s="653"/>
      <c r="Y268" s="653"/>
      <c r="Z268" s="653"/>
      <c r="AA268" s="653"/>
      <c r="AB268" s="653"/>
      <c r="AC268" s="653"/>
      <c r="AD268" s="653"/>
      <c r="AE268" s="653"/>
      <c r="AF268" s="653"/>
      <c r="AG268" s="653"/>
      <c r="AH268" s="654"/>
    </row>
    <row r="269" spans="2:34" ht="16.5" thickBot="1" x14ac:dyDescent="0.3">
      <c r="B269" s="651"/>
      <c r="C269" s="653"/>
      <c r="D269" s="652"/>
      <c r="E269" s="691"/>
      <c r="F269" s="691"/>
      <c r="G269" s="692"/>
      <c r="H269" s="691"/>
      <c r="I269" s="691"/>
      <c r="J269" s="691"/>
      <c r="K269" s="693"/>
      <c r="L269" s="691"/>
      <c r="M269" s="691"/>
      <c r="N269" s="653"/>
      <c r="O269" s="653"/>
      <c r="P269" s="653"/>
      <c r="Q269" s="1689" t="s">
        <v>165</v>
      </c>
      <c r="R269" s="1690"/>
      <c r="S269" s="1690"/>
      <c r="T269" s="1690"/>
      <c r="U269" s="1690"/>
      <c r="V269" s="1690"/>
      <c r="W269" s="1690"/>
      <c r="X269" s="1690"/>
      <c r="Y269" s="1690"/>
      <c r="Z269" s="1690"/>
      <c r="AA269" s="1690"/>
      <c r="AB269" s="1691"/>
      <c r="AC269" s="1692" t="s">
        <v>475</v>
      </c>
      <c r="AD269" s="1693"/>
      <c r="AE269" s="1694"/>
      <c r="AF269" s="653"/>
      <c r="AG269" s="653"/>
      <c r="AH269" s="654"/>
    </row>
    <row r="270" spans="2:34" ht="45.75" thickBot="1" x14ac:dyDescent="0.3">
      <c r="B270" s="651"/>
      <c r="C270" s="653"/>
      <c r="D270" s="695"/>
      <c r="E270" s="653"/>
      <c r="F270" s="653"/>
      <c r="G270" s="653"/>
      <c r="H270" s="653"/>
      <c r="I270" s="653"/>
      <c r="J270" s="653"/>
      <c r="K270" s="653"/>
      <c r="L270" s="653"/>
      <c r="M270" s="653"/>
      <c r="N270" s="653"/>
      <c r="O270" s="653"/>
      <c r="P270" s="655"/>
      <c r="Q270" s="1695" t="s">
        <v>476</v>
      </c>
      <c r="R270" s="1696"/>
      <c r="S270" s="1696"/>
      <c r="T270" s="1697"/>
      <c r="U270" s="1695" t="s">
        <v>477</v>
      </c>
      <c r="V270" s="1696"/>
      <c r="W270" s="1697"/>
      <c r="X270" s="1695" t="s">
        <v>478</v>
      </c>
      <c r="Y270" s="1696"/>
      <c r="Z270" s="1696"/>
      <c r="AA270" s="1697"/>
      <c r="AB270" s="656" t="s">
        <v>479</v>
      </c>
      <c r="AC270" s="657" t="s">
        <v>475</v>
      </c>
      <c r="AD270" s="658" t="s">
        <v>477</v>
      </c>
      <c r="AE270" s="658" t="s">
        <v>480</v>
      </c>
      <c r="AF270" s="659"/>
      <c r="AG270" s="659"/>
      <c r="AH270" s="654"/>
    </row>
    <row r="271" spans="2:34" ht="15.75" thickBot="1" x14ac:dyDescent="0.3">
      <c r="B271" s="651"/>
      <c r="C271" s="648"/>
      <c r="D271" s="649"/>
      <c r="E271" s="649"/>
      <c r="F271" s="649"/>
      <c r="G271" s="649"/>
      <c r="H271" s="649"/>
      <c r="I271" s="649"/>
      <c r="J271" s="649"/>
      <c r="K271" s="649"/>
      <c r="L271" s="649"/>
      <c r="M271" s="649"/>
      <c r="N271" s="650"/>
      <c r="O271" s="653"/>
      <c r="P271" s="660" t="s">
        <v>248</v>
      </c>
      <c r="Q271" s="661" t="s">
        <v>369</v>
      </c>
      <c r="R271" s="662" t="s">
        <v>482</v>
      </c>
      <c r="S271" s="662" t="s">
        <v>483</v>
      </c>
      <c r="T271" s="663" t="s">
        <v>484</v>
      </c>
      <c r="U271" s="661" t="s">
        <v>482</v>
      </c>
      <c r="V271" s="662" t="s">
        <v>483</v>
      </c>
      <c r="W271" s="663" t="s">
        <v>484</v>
      </c>
      <c r="X271" s="661" t="s">
        <v>482</v>
      </c>
      <c r="Y271" s="662" t="s">
        <v>483</v>
      </c>
      <c r="Z271" s="662" t="s">
        <v>484</v>
      </c>
      <c r="AA271" s="663" t="s">
        <v>369</v>
      </c>
      <c r="AB271" s="663" t="s">
        <v>485</v>
      </c>
      <c r="AC271" s="664" t="s">
        <v>369</v>
      </c>
      <c r="AD271" s="665" t="s">
        <v>369</v>
      </c>
      <c r="AE271" s="665" t="s">
        <v>486</v>
      </c>
      <c r="AF271" s="666"/>
      <c r="AG271" s="666"/>
      <c r="AH271" s="654"/>
    </row>
    <row r="272" spans="2:34" ht="15.75" x14ac:dyDescent="0.25">
      <c r="B272" s="651"/>
      <c r="C272" s="651"/>
      <c r="D272" s="652" t="s">
        <v>330</v>
      </c>
      <c r="E272" s="653"/>
      <c r="F272" s="653"/>
      <c r="G272" s="653"/>
      <c r="H272" s="653"/>
      <c r="I272" s="653"/>
      <c r="J272" s="653"/>
      <c r="K272" s="653"/>
      <c r="L272" s="653"/>
      <c r="M272" s="653"/>
      <c r="N272" s="654"/>
      <c r="O272" s="653"/>
      <c r="P272" s="667">
        <f>IF($G$5&gt;1,1,"")</f>
        <v>1</v>
      </c>
      <c r="Q272" s="668">
        <f>IF(P272="","",$G$274-$G$275)</f>
        <v>12067</v>
      </c>
      <c r="R272" s="669">
        <f ca="1">IF(Q272="","",IF(P272&lt;=$R$9,IF(Q272&gt;$R$11,$R$11,Q272),0))</f>
        <v>12067</v>
      </c>
      <c r="S272" s="669">
        <f ca="1">IF(R272="","",IF(AND(P272&gt;=$T$8,P272&lt;=$T$9)=TRUE,IF(OR($T$11="",$T$11=0),Q272-R272,IF(Q272&gt;$T$11,$T$11-R272,Q272-R272)),0))</f>
        <v>0</v>
      </c>
      <c r="T272" s="670">
        <f ca="1">IF(S272="","",IF(AND(P272&gt;=$V$8,P272&lt;=$V$9)=TRUE,IF(OR($V$11="",$V$11=0),Q272-R272-S272,IF(Q272&gt;$V$10,Q272-R272-S272,0)),0))</f>
        <v>0</v>
      </c>
      <c r="U272" s="671">
        <f>$R$5</f>
        <v>0.05</v>
      </c>
      <c r="V272" s="672">
        <f>$T$5</f>
        <v>2.5000000000000001E-2</v>
      </c>
      <c r="W272" s="673">
        <f>$V$5</f>
        <v>0</v>
      </c>
      <c r="X272" s="674">
        <f ca="1">IF(W272="","",IF(R272&gt;0,(U272*R272),0))</f>
        <v>603.35</v>
      </c>
      <c r="Y272" s="675">
        <f ca="1">IF(X272="","",IF(S272&gt;0,(V272*S272),0))</f>
        <v>0</v>
      </c>
      <c r="Z272" s="675">
        <f ca="1">IF(Y272="","",IF(T272&gt;0,(W272*T272),0))</f>
        <v>0</v>
      </c>
      <c r="AA272" s="676">
        <f ca="1">IF(Z272="",0,SUM(X272:Z272))</f>
        <v>603.35</v>
      </c>
      <c r="AB272" s="670">
        <f ca="1">IF(OR(AA272="",AA272=0),0,(IF(AND(P272&lt;=$R$9,P272&gt;=$R$8)=TRUE,$R$6,0)+IF(AND(P272&lt;=$T$9,P272&gt;=$T$8)=TRUE,$T$6,0)+IF(AND(P272&lt;=$V$9,P272&gt;=$V$8)=TRUE,$V$6,0))*-1)</f>
        <v>0</v>
      </c>
      <c r="AC272" s="677">
        <f>IF(P272="","",$G$275)</f>
        <v>10000</v>
      </c>
      <c r="AD272" s="679">
        <f>$G$6</f>
        <v>0.15551999999999999</v>
      </c>
      <c r="AE272" s="678">
        <f>IF(P272="",0,AC272*AD272)</f>
        <v>1555.1999999999998</v>
      </c>
      <c r="AF272" s="648"/>
      <c r="AG272" s="650"/>
      <c r="AH272" s="654"/>
    </row>
    <row r="273" spans="2:34" ht="15.75" x14ac:dyDescent="0.25">
      <c r="B273" s="651"/>
      <c r="C273" s="651"/>
      <c r="D273" s="652"/>
      <c r="E273" s="653"/>
      <c r="F273" s="653"/>
      <c r="G273" s="653"/>
      <c r="H273" s="653"/>
      <c r="I273" s="653"/>
      <c r="J273" s="653"/>
      <c r="K273" s="653"/>
      <c r="L273" s="653"/>
      <c r="M273" s="653"/>
      <c r="N273" s="654"/>
      <c r="O273" s="653"/>
      <c r="P273" s="667">
        <f t="shared" ref="P273:P323" si="86">IF($G$5&gt;P272,P272+1,"")</f>
        <v>2</v>
      </c>
      <c r="Q273" s="668">
        <f t="shared" ref="Q273:Q321" si="87">IF(P273="","",$G$274-$G$275)</f>
        <v>12067</v>
      </c>
      <c r="R273" s="669">
        <f t="shared" ref="R273:R303" ca="1" si="88">IF(Q273="","",IF(P273&lt;=$R$9,IF(Q273&gt;$R$11,$R$11,Q273),0))</f>
        <v>12067</v>
      </c>
      <c r="S273" s="669">
        <f t="shared" ref="S273:S321" ca="1" si="89">IF(R273="","",IF(AND(P273&gt;=$T$8,P273&lt;=$T$9)=TRUE,IF(OR($T$11="",$T$11=0),Q273-R273,IF(Q273&gt;$T$11,$T$11-R273,Q273-R273)),0))</f>
        <v>0</v>
      </c>
      <c r="T273" s="670">
        <f t="shared" ref="T273:T321" ca="1" si="90">IF(S273="","",IF(AND(P273&gt;=$V$8,P273&lt;=$V$9)=TRUE,IF(OR($V$11="",$V$11=0),Q273-R273-S273,IF(Q273&gt;$V$10,Q273-R273-S273,0)),0))</f>
        <v>0</v>
      </c>
      <c r="U273" s="671">
        <f t="shared" ref="U273:U304" ca="1" si="91">IF(R273="","",U272*(1+$R$7))</f>
        <v>5.1249999999999997E-2</v>
      </c>
      <c r="V273" s="672">
        <f t="shared" ref="V273:V304" ca="1" si="92">IF(S273="","",V272*(1+$T$7))</f>
        <v>2.5624999999999998E-2</v>
      </c>
      <c r="W273" s="673">
        <f t="shared" ref="W273:W304" ca="1" si="93">IF(T273="","",W272*(1+$V$7))</f>
        <v>0</v>
      </c>
      <c r="X273" s="674">
        <f t="shared" ref="X273:X323" ca="1" si="94">IF(W273="","",IF(R273&gt;0,(U273*R273),0))</f>
        <v>618.43374999999992</v>
      </c>
      <c r="Y273" s="675">
        <f t="shared" ref="Y273:Y323" ca="1" si="95">IF(X273="","",IF(S273&gt;0,(V273*S273),0))</f>
        <v>0</v>
      </c>
      <c r="Z273" s="675">
        <f t="shared" ref="Z273:Z323" ca="1" si="96">IF(Y273="","",IF(T273&gt;0,(W273*T273),0))</f>
        <v>0</v>
      </c>
      <c r="AA273" s="676">
        <f t="shared" ref="AA273:AA323" ca="1" si="97">IF(Z273="",0,SUM(X273:Z273))</f>
        <v>618.43374999999992</v>
      </c>
      <c r="AB273" s="670">
        <f t="shared" ref="AB273:AB321" ca="1" si="98">IF(OR(AA273="",AA273=0),0,(IF(AND(P273&lt;=$R$9,P273&gt;=$R$8)=TRUE,$R$6,0)+IF(AND(P273&lt;=$T$9,P273&gt;=$T$8)=TRUE,$T$6,0)+IF(AND(P273&lt;=$V$9,P273&gt;=$V$8)=TRUE,$V$6,0))*-1)</f>
        <v>0</v>
      </c>
      <c r="AC273" s="677">
        <f t="shared" ref="AC273:AC321" si="99">IF(P273="","",$G$275)</f>
        <v>10000</v>
      </c>
      <c r="AD273" s="679">
        <f>IF(P273="","",AD272*(1+$G$7))</f>
        <v>0.15940799999999997</v>
      </c>
      <c r="AE273" s="678">
        <f t="shared" ref="AE273:AE323" si="100">IF(P273="",0,AC273*AD273)</f>
        <v>1594.0799999999997</v>
      </c>
      <c r="AF273" s="651"/>
      <c r="AG273" s="654"/>
      <c r="AH273" s="654"/>
    </row>
    <row r="274" spans="2:34" x14ac:dyDescent="0.25">
      <c r="B274" s="651"/>
      <c r="C274" s="651"/>
      <c r="D274" s="653"/>
      <c r="E274" s="689" t="s">
        <v>487</v>
      </c>
      <c r="F274" s="689" t="s">
        <v>488</v>
      </c>
      <c r="G274" s="690">
        <f>'2. Energie KW.'!J160</f>
        <v>22067</v>
      </c>
      <c r="H274" s="653"/>
      <c r="I274" s="653" t="s">
        <v>489</v>
      </c>
      <c r="J274" s="653"/>
      <c r="K274" s="653"/>
      <c r="L274" s="653"/>
      <c r="M274" s="653"/>
      <c r="N274" s="654"/>
      <c r="O274" s="653"/>
      <c r="P274" s="667">
        <f t="shared" si="86"/>
        <v>3</v>
      </c>
      <c r="Q274" s="668">
        <f t="shared" si="87"/>
        <v>12067</v>
      </c>
      <c r="R274" s="669">
        <f t="shared" ca="1" si="88"/>
        <v>12067</v>
      </c>
      <c r="S274" s="669">
        <f t="shared" ca="1" si="89"/>
        <v>0</v>
      </c>
      <c r="T274" s="670">
        <f t="shared" ca="1" si="90"/>
        <v>0</v>
      </c>
      <c r="U274" s="671">
        <f t="shared" ca="1" si="91"/>
        <v>5.2531249999999995E-2</v>
      </c>
      <c r="V274" s="672">
        <f t="shared" ca="1" si="92"/>
        <v>2.6265624999999997E-2</v>
      </c>
      <c r="W274" s="673">
        <f t="shared" ca="1" si="93"/>
        <v>0</v>
      </c>
      <c r="X274" s="674">
        <f t="shared" ca="1" si="94"/>
        <v>633.8945937499999</v>
      </c>
      <c r="Y274" s="675">
        <f t="shared" ca="1" si="95"/>
        <v>0</v>
      </c>
      <c r="Z274" s="675">
        <f t="shared" ca="1" si="96"/>
        <v>0</v>
      </c>
      <c r="AA274" s="676">
        <f t="shared" ca="1" si="97"/>
        <v>633.8945937499999</v>
      </c>
      <c r="AB274" s="670">
        <f t="shared" ca="1" si="98"/>
        <v>0</v>
      </c>
      <c r="AC274" s="677">
        <f t="shared" si="99"/>
        <v>10000</v>
      </c>
      <c r="AD274" s="679">
        <f t="shared" ref="AD274:AD323" si="101">IF(P274="","",AD273*(1+$G$7))</f>
        <v>0.16339319999999996</v>
      </c>
      <c r="AE274" s="678">
        <f t="shared" si="100"/>
        <v>1633.9319999999996</v>
      </c>
      <c r="AF274" s="651"/>
      <c r="AG274" s="654"/>
      <c r="AH274" s="654"/>
    </row>
    <row r="275" spans="2:34" x14ac:dyDescent="0.25">
      <c r="B275" s="651"/>
      <c r="C275" s="651"/>
      <c r="D275" s="653"/>
      <c r="E275" s="689" t="s">
        <v>486</v>
      </c>
      <c r="F275" s="689" t="s">
        <v>488</v>
      </c>
      <c r="G275" s="690">
        <f>'2. Energie KW.'!J161</f>
        <v>10000</v>
      </c>
      <c r="H275" s="653"/>
      <c r="I275" s="653" t="s">
        <v>490</v>
      </c>
      <c r="J275" s="653"/>
      <c r="K275" s="653"/>
      <c r="L275" s="653"/>
      <c r="M275" s="653"/>
      <c r="N275" s="654"/>
      <c r="O275" s="653"/>
      <c r="P275" s="667">
        <f t="shared" si="86"/>
        <v>4</v>
      </c>
      <c r="Q275" s="668">
        <f t="shared" si="87"/>
        <v>12067</v>
      </c>
      <c r="R275" s="669">
        <f t="shared" si="88"/>
        <v>0</v>
      </c>
      <c r="S275" s="669">
        <f t="shared" ca="1" si="89"/>
        <v>12067</v>
      </c>
      <c r="T275" s="670">
        <f t="shared" ca="1" si="90"/>
        <v>0</v>
      </c>
      <c r="U275" s="671">
        <f t="shared" ca="1" si="91"/>
        <v>5.3844531249999987E-2</v>
      </c>
      <c r="V275" s="672">
        <f t="shared" ca="1" si="92"/>
        <v>2.6922265624999994E-2</v>
      </c>
      <c r="W275" s="673">
        <f t="shared" ca="1" si="93"/>
        <v>0</v>
      </c>
      <c r="X275" s="674">
        <f t="shared" ca="1" si="94"/>
        <v>0</v>
      </c>
      <c r="Y275" s="675">
        <f t="shared" ca="1" si="95"/>
        <v>324.87097929687491</v>
      </c>
      <c r="Z275" s="675">
        <f t="shared" ca="1" si="96"/>
        <v>0</v>
      </c>
      <c r="AA275" s="676">
        <f t="shared" ca="1" si="97"/>
        <v>324.87097929687491</v>
      </c>
      <c r="AB275" s="670">
        <f t="shared" ca="1" si="98"/>
        <v>0</v>
      </c>
      <c r="AC275" s="677">
        <f t="shared" si="99"/>
        <v>10000</v>
      </c>
      <c r="AD275" s="679">
        <f t="shared" si="101"/>
        <v>0.16747802999999994</v>
      </c>
      <c r="AE275" s="678">
        <f t="shared" si="100"/>
        <v>1674.7802999999994</v>
      </c>
      <c r="AF275" s="651"/>
      <c r="AG275" s="654"/>
      <c r="AH275" s="654"/>
    </row>
    <row r="276" spans="2:34" x14ac:dyDescent="0.25">
      <c r="B276" s="651"/>
      <c r="C276" s="651"/>
      <c r="D276" s="653"/>
      <c r="E276" s="653"/>
      <c r="F276" s="653"/>
      <c r="G276" s="653"/>
      <c r="H276" s="653"/>
      <c r="I276" s="653"/>
      <c r="J276" s="653"/>
      <c r="K276" s="653"/>
      <c r="L276" s="653"/>
      <c r="M276" s="653"/>
      <c r="N276" s="654"/>
      <c r="O276" s="653"/>
      <c r="P276" s="667">
        <f t="shared" si="86"/>
        <v>5</v>
      </c>
      <c r="Q276" s="668">
        <f t="shared" si="87"/>
        <v>12067</v>
      </c>
      <c r="R276" s="669">
        <f t="shared" si="88"/>
        <v>0</v>
      </c>
      <c r="S276" s="669">
        <f t="shared" ca="1" si="89"/>
        <v>12067</v>
      </c>
      <c r="T276" s="670">
        <f t="shared" ca="1" si="90"/>
        <v>0</v>
      </c>
      <c r="U276" s="671">
        <f t="shared" ca="1" si="91"/>
        <v>5.5190644531249979E-2</v>
      </c>
      <c r="V276" s="672">
        <f t="shared" ca="1" si="92"/>
        <v>2.7595322265624989E-2</v>
      </c>
      <c r="W276" s="673">
        <f t="shared" ca="1" si="93"/>
        <v>0</v>
      </c>
      <c r="X276" s="674">
        <f t="shared" ca="1" si="94"/>
        <v>0</v>
      </c>
      <c r="Y276" s="675">
        <f t="shared" ca="1" si="95"/>
        <v>332.99275377929672</v>
      </c>
      <c r="Z276" s="675">
        <f t="shared" ca="1" si="96"/>
        <v>0</v>
      </c>
      <c r="AA276" s="676">
        <f t="shared" ca="1" si="97"/>
        <v>332.99275377929672</v>
      </c>
      <c r="AB276" s="670">
        <f t="shared" ca="1" si="98"/>
        <v>0</v>
      </c>
      <c r="AC276" s="677">
        <f t="shared" si="99"/>
        <v>10000</v>
      </c>
      <c r="AD276" s="679">
        <f t="shared" si="101"/>
        <v>0.17166498074999992</v>
      </c>
      <c r="AE276" s="678">
        <f t="shared" si="100"/>
        <v>1716.6498074999993</v>
      </c>
      <c r="AF276" s="651"/>
      <c r="AG276" s="654"/>
      <c r="AH276" s="654"/>
    </row>
    <row r="277" spans="2:34" x14ac:dyDescent="0.25">
      <c r="B277" s="651"/>
      <c r="C277" s="651"/>
      <c r="D277" s="653"/>
      <c r="E277" s="653"/>
      <c r="F277" s="653"/>
      <c r="G277" s="653"/>
      <c r="H277" s="653"/>
      <c r="I277" s="653"/>
      <c r="J277" s="653"/>
      <c r="K277" s="653"/>
      <c r="L277" s="653"/>
      <c r="M277" s="653"/>
      <c r="N277" s="654"/>
      <c r="O277" s="653"/>
      <c r="P277" s="667">
        <f t="shared" si="86"/>
        <v>6</v>
      </c>
      <c r="Q277" s="668">
        <f t="shared" si="87"/>
        <v>12067</v>
      </c>
      <c r="R277" s="669">
        <f t="shared" si="88"/>
        <v>0</v>
      </c>
      <c r="S277" s="669">
        <f t="shared" ca="1" si="89"/>
        <v>12067</v>
      </c>
      <c r="T277" s="670">
        <f t="shared" ca="1" si="90"/>
        <v>0</v>
      </c>
      <c r="U277" s="671">
        <f t="shared" ca="1" si="91"/>
        <v>5.6570410644531222E-2</v>
      </c>
      <c r="V277" s="672">
        <f t="shared" ca="1" si="92"/>
        <v>2.8285205322265611E-2</v>
      </c>
      <c r="W277" s="673">
        <f t="shared" ca="1" si="93"/>
        <v>0</v>
      </c>
      <c r="X277" s="674">
        <f t="shared" ca="1" si="94"/>
        <v>0</v>
      </c>
      <c r="Y277" s="675">
        <f t="shared" ca="1" si="95"/>
        <v>341.31757262377914</v>
      </c>
      <c r="Z277" s="675">
        <f t="shared" ca="1" si="96"/>
        <v>0</v>
      </c>
      <c r="AA277" s="676">
        <f t="shared" ca="1" si="97"/>
        <v>341.31757262377914</v>
      </c>
      <c r="AB277" s="670">
        <f t="shared" ca="1" si="98"/>
        <v>0</v>
      </c>
      <c r="AC277" s="677">
        <f t="shared" si="99"/>
        <v>10000</v>
      </c>
      <c r="AD277" s="679">
        <f t="shared" si="101"/>
        <v>0.1759566052687499</v>
      </c>
      <c r="AE277" s="678">
        <f t="shared" si="100"/>
        <v>1759.566052687499</v>
      </c>
      <c r="AF277" s="651"/>
      <c r="AG277" s="654"/>
      <c r="AH277" s="654"/>
    </row>
    <row r="278" spans="2:34" ht="15.75" x14ac:dyDescent="0.25">
      <c r="B278" s="651"/>
      <c r="C278" s="651"/>
      <c r="D278" s="652"/>
      <c r="E278" s="653"/>
      <c r="F278" s="653"/>
      <c r="G278" s="653"/>
      <c r="H278" s="653"/>
      <c r="I278" s="653"/>
      <c r="J278" s="653"/>
      <c r="K278" s="653"/>
      <c r="L278" s="653"/>
      <c r="M278" s="653"/>
      <c r="N278" s="654"/>
      <c r="O278" s="653"/>
      <c r="P278" s="667">
        <f t="shared" si="86"/>
        <v>7</v>
      </c>
      <c r="Q278" s="668">
        <f t="shared" si="87"/>
        <v>12067</v>
      </c>
      <c r="R278" s="669">
        <f t="shared" si="88"/>
        <v>0</v>
      </c>
      <c r="S278" s="669">
        <f t="shared" ca="1" si="89"/>
        <v>12067</v>
      </c>
      <c r="T278" s="670">
        <f t="shared" ca="1" si="90"/>
        <v>0</v>
      </c>
      <c r="U278" s="671">
        <f t="shared" ca="1" si="91"/>
        <v>5.7984670910644499E-2</v>
      </c>
      <c r="V278" s="672">
        <f t="shared" ca="1" si="92"/>
        <v>2.899233545532225E-2</v>
      </c>
      <c r="W278" s="673">
        <f t="shared" ca="1" si="93"/>
        <v>0</v>
      </c>
      <c r="X278" s="674">
        <f t="shared" ca="1" si="94"/>
        <v>0</v>
      </c>
      <c r="Y278" s="675">
        <f t="shared" ca="1" si="95"/>
        <v>349.85051193937358</v>
      </c>
      <c r="Z278" s="675">
        <f t="shared" ca="1" si="96"/>
        <v>0</v>
      </c>
      <c r="AA278" s="676">
        <f t="shared" ca="1" si="97"/>
        <v>349.85051193937358</v>
      </c>
      <c r="AB278" s="670">
        <f t="shared" ca="1" si="98"/>
        <v>0</v>
      </c>
      <c r="AC278" s="677">
        <f t="shared" si="99"/>
        <v>10000</v>
      </c>
      <c r="AD278" s="679">
        <f t="shared" si="101"/>
        <v>0.18035552040046862</v>
      </c>
      <c r="AE278" s="678">
        <f t="shared" si="100"/>
        <v>1803.5552040046862</v>
      </c>
      <c r="AF278" s="651"/>
      <c r="AG278" s="654"/>
      <c r="AH278" s="654"/>
    </row>
    <row r="279" spans="2:34" x14ac:dyDescent="0.25">
      <c r="B279" s="651"/>
      <c r="C279" s="651"/>
      <c r="D279" s="653"/>
      <c r="E279" s="653"/>
      <c r="F279" s="653"/>
      <c r="G279" s="653"/>
      <c r="H279" s="653"/>
      <c r="I279" s="653"/>
      <c r="J279" s="653"/>
      <c r="K279" s="653"/>
      <c r="L279" s="653"/>
      <c r="M279" s="653"/>
      <c r="N279" s="654"/>
      <c r="O279" s="653"/>
      <c r="P279" s="667">
        <f t="shared" si="86"/>
        <v>8</v>
      </c>
      <c r="Q279" s="668">
        <f t="shared" si="87"/>
        <v>12067</v>
      </c>
      <c r="R279" s="669">
        <f t="shared" si="88"/>
        <v>0</v>
      </c>
      <c r="S279" s="669">
        <f t="shared" ca="1" si="89"/>
        <v>12067</v>
      </c>
      <c r="T279" s="670">
        <f t="shared" ca="1" si="90"/>
        <v>0</v>
      </c>
      <c r="U279" s="671">
        <f t="shared" ca="1" si="91"/>
        <v>5.9434287683410608E-2</v>
      </c>
      <c r="V279" s="672">
        <f t="shared" ca="1" si="92"/>
        <v>2.9717143841705304E-2</v>
      </c>
      <c r="W279" s="673">
        <f t="shared" ca="1" si="93"/>
        <v>0</v>
      </c>
      <c r="X279" s="674">
        <f t="shared" ca="1" si="94"/>
        <v>0</v>
      </c>
      <c r="Y279" s="675">
        <f t="shared" ca="1" si="95"/>
        <v>358.59677473785791</v>
      </c>
      <c r="Z279" s="675">
        <f t="shared" ca="1" si="96"/>
        <v>0</v>
      </c>
      <c r="AA279" s="676">
        <f t="shared" ca="1" si="97"/>
        <v>358.59677473785791</v>
      </c>
      <c r="AB279" s="670">
        <f t="shared" ca="1" si="98"/>
        <v>0</v>
      </c>
      <c r="AC279" s="677">
        <f t="shared" si="99"/>
        <v>10000</v>
      </c>
      <c r="AD279" s="679">
        <f t="shared" si="101"/>
        <v>0.18486440841048032</v>
      </c>
      <c r="AE279" s="678">
        <f t="shared" si="100"/>
        <v>1848.6440841048031</v>
      </c>
      <c r="AF279" s="651"/>
      <c r="AG279" s="654"/>
      <c r="AH279" s="654"/>
    </row>
    <row r="280" spans="2:34" x14ac:dyDescent="0.25">
      <c r="B280" s="651"/>
      <c r="C280" s="651"/>
      <c r="D280" s="653"/>
      <c r="E280" s="653"/>
      <c r="F280" s="653"/>
      <c r="G280" s="653"/>
      <c r="H280" s="653"/>
      <c r="I280" s="653"/>
      <c r="J280" s="653"/>
      <c r="K280" s="653"/>
      <c r="L280" s="653"/>
      <c r="M280" s="653"/>
      <c r="N280" s="653"/>
      <c r="O280" s="653"/>
      <c r="P280" s="667">
        <f t="shared" si="86"/>
        <v>9</v>
      </c>
      <c r="Q280" s="668">
        <f t="shared" si="87"/>
        <v>12067</v>
      </c>
      <c r="R280" s="669">
        <f t="shared" si="88"/>
        <v>0</v>
      </c>
      <c r="S280" s="669">
        <f t="shared" ca="1" si="89"/>
        <v>12067</v>
      </c>
      <c r="T280" s="670">
        <f t="shared" ca="1" si="90"/>
        <v>0</v>
      </c>
      <c r="U280" s="671">
        <f t="shared" ca="1" si="91"/>
        <v>6.0920144875495866E-2</v>
      </c>
      <c r="V280" s="672">
        <f t="shared" ca="1" si="92"/>
        <v>3.0460072437747933E-2</v>
      </c>
      <c r="W280" s="673">
        <f t="shared" ca="1" si="93"/>
        <v>0</v>
      </c>
      <c r="X280" s="674">
        <f t="shared" ca="1" si="94"/>
        <v>0</v>
      </c>
      <c r="Y280" s="675">
        <f t="shared" ca="1" si="95"/>
        <v>367.56169410630429</v>
      </c>
      <c r="Z280" s="675">
        <f t="shared" ca="1" si="96"/>
        <v>0</v>
      </c>
      <c r="AA280" s="676">
        <f t="shared" ca="1" si="97"/>
        <v>367.56169410630429</v>
      </c>
      <c r="AB280" s="670">
        <f t="shared" ca="1" si="98"/>
        <v>0</v>
      </c>
      <c r="AC280" s="677">
        <f t="shared" si="99"/>
        <v>10000</v>
      </c>
      <c r="AD280" s="679">
        <f t="shared" si="101"/>
        <v>0.18948601862074232</v>
      </c>
      <c r="AE280" s="678">
        <f t="shared" si="100"/>
        <v>1894.8601862074233</v>
      </c>
      <c r="AF280" s="651"/>
      <c r="AG280" s="654"/>
      <c r="AH280" s="654"/>
    </row>
    <row r="281" spans="2:34" ht="15.75" thickBot="1" x14ac:dyDescent="0.3">
      <c r="B281" s="651"/>
      <c r="C281" s="680"/>
      <c r="D281" s="681"/>
      <c r="E281" s="681"/>
      <c r="F281" s="681"/>
      <c r="G281" s="681"/>
      <c r="H281" s="681"/>
      <c r="I281" s="681"/>
      <c r="J281" s="681"/>
      <c r="K281" s="681"/>
      <c r="L281" s="681"/>
      <c r="M281" s="681"/>
      <c r="N281" s="666"/>
      <c r="O281" s="653"/>
      <c r="P281" s="667">
        <f t="shared" si="86"/>
        <v>10</v>
      </c>
      <c r="Q281" s="668">
        <f t="shared" si="87"/>
        <v>12067</v>
      </c>
      <c r="R281" s="669">
        <f t="shared" si="88"/>
        <v>0</v>
      </c>
      <c r="S281" s="669">
        <f t="shared" ca="1" si="89"/>
        <v>12067</v>
      </c>
      <c r="T281" s="670">
        <f t="shared" ca="1" si="90"/>
        <v>0</v>
      </c>
      <c r="U281" s="671">
        <f t="shared" ca="1" si="91"/>
        <v>6.2443148497383257E-2</v>
      </c>
      <c r="V281" s="672">
        <f t="shared" ca="1" si="92"/>
        <v>3.1221574248691628E-2</v>
      </c>
      <c r="W281" s="673">
        <f t="shared" ca="1" si="93"/>
        <v>0</v>
      </c>
      <c r="X281" s="674">
        <f t="shared" ca="1" si="94"/>
        <v>0</v>
      </c>
      <c r="Y281" s="675">
        <f t="shared" ca="1" si="95"/>
        <v>376.75073645896185</v>
      </c>
      <c r="Z281" s="675">
        <f t="shared" ca="1" si="96"/>
        <v>0</v>
      </c>
      <c r="AA281" s="676">
        <f t="shared" ca="1" si="97"/>
        <v>376.75073645896185</v>
      </c>
      <c r="AB281" s="670">
        <f t="shared" ca="1" si="98"/>
        <v>0</v>
      </c>
      <c r="AC281" s="677">
        <f t="shared" si="99"/>
        <v>10000</v>
      </c>
      <c r="AD281" s="679">
        <f t="shared" si="101"/>
        <v>0.19422316908626086</v>
      </c>
      <c r="AE281" s="678">
        <f t="shared" si="100"/>
        <v>1942.2316908626085</v>
      </c>
      <c r="AF281" s="651"/>
      <c r="AG281" s="654"/>
      <c r="AH281" s="654"/>
    </row>
    <row r="282" spans="2:34" ht="15.75" thickBot="1" x14ac:dyDescent="0.3">
      <c r="B282" s="651"/>
      <c r="C282" s="653"/>
      <c r="D282" s="653"/>
      <c r="E282" s="653"/>
      <c r="F282" s="653"/>
      <c r="G282" s="653"/>
      <c r="H282" s="653"/>
      <c r="I282" s="653"/>
      <c r="J282" s="653"/>
      <c r="K282" s="653"/>
      <c r="L282" s="653"/>
      <c r="M282" s="653"/>
      <c r="N282" s="653"/>
      <c r="O282" s="653"/>
      <c r="P282" s="667">
        <f t="shared" si="86"/>
        <v>11</v>
      </c>
      <c r="Q282" s="668">
        <f t="shared" si="87"/>
        <v>12067</v>
      </c>
      <c r="R282" s="669">
        <f t="shared" si="88"/>
        <v>0</v>
      </c>
      <c r="S282" s="669">
        <f t="shared" ca="1" si="89"/>
        <v>12067</v>
      </c>
      <c r="T282" s="670">
        <f t="shared" ca="1" si="90"/>
        <v>0</v>
      </c>
      <c r="U282" s="671">
        <f t="shared" ca="1" si="91"/>
        <v>6.4004227209817827E-2</v>
      </c>
      <c r="V282" s="672">
        <f t="shared" ca="1" si="92"/>
        <v>3.2002113604908913E-2</v>
      </c>
      <c r="W282" s="673">
        <f t="shared" ca="1" si="93"/>
        <v>0</v>
      </c>
      <c r="X282" s="674">
        <f t="shared" ca="1" si="94"/>
        <v>0</v>
      </c>
      <c r="Y282" s="675">
        <f t="shared" ca="1" si="95"/>
        <v>386.16950487043584</v>
      </c>
      <c r="Z282" s="675">
        <f t="shared" ca="1" si="96"/>
        <v>0</v>
      </c>
      <c r="AA282" s="676">
        <f t="shared" ca="1" si="97"/>
        <v>386.16950487043584</v>
      </c>
      <c r="AB282" s="670">
        <f t="shared" ca="1" si="98"/>
        <v>0</v>
      </c>
      <c r="AC282" s="677">
        <f t="shared" si="99"/>
        <v>10000</v>
      </c>
      <c r="AD282" s="679">
        <f t="shared" si="101"/>
        <v>0.19907874831341738</v>
      </c>
      <c r="AE282" s="678">
        <f t="shared" si="100"/>
        <v>1990.7874831341737</v>
      </c>
      <c r="AF282" s="651"/>
      <c r="AG282" s="654"/>
      <c r="AH282" s="654"/>
    </row>
    <row r="283" spans="2:34" x14ac:dyDescent="0.25">
      <c r="B283" s="651"/>
      <c r="C283" s="648"/>
      <c r="D283" s="649"/>
      <c r="E283" s="649"/>
      <c r="F283" s="649"/>
      <c r="G283" s="649"/>
      <c r="H283" s="649"/>
      <c r="I283" s="649"/>
      <c r="J283" s="649"/>
      <c r="K283" s="649"/>
      <c r="L283" s="649"/>
      <c r="M283" s="649"/>
      <c r="N283" s="650"/>
      <c r="O283" s="653"/>
      <c r="P283" s="667">
        <f t="shared" si="86"/>
        <v>12</v>
      </c>
      <c r="Q283" s="668">
        <f t="shared" si="87"/>
        <v>12067</v>
      </c>
      <c r="R283" s="669">
        <f t="shared" si="88"/>
        <v>0</v>
      </c>
      <c r="S283" s="669">
        <f t="shared" ca="1" si="89"/>
        <v>12067</v>
      </c>
      <c r="T283" s="670">
        <f t="shared" ca="1" si="90"/>
        <v>0</v>
      </c>
      <c r="U283" s="671">
        <f t="shared" ca="1" si="91"/>
        <v>6.5604332890063261E-2</v>
      </c>
      <c r="V283" s="672">
        <f t="shared" ca="1" si="92"/>
        <v>3.280216644503163E-2</v>
      </c>
      <c r="W283" s="673">
        <f t="shared" ca="1" si="93"/>
        <v>0</v>
      </c>
      <c r="X283" s="674">
        <f t="shared" ca="1" si="94"/>
        <v>0</v>
      </c>
      <c r="Y283" s="675">
        <f t="shared" ca="1" si="95"/>
        <v>395.82374249219669</v>
      </c>
      <c r="Z283" s="675">
        <f t="shared" ca="1" si="96"/>
        <v>0</v>
      </c>
      <c r="AA283" s="676">
        <f t="shared" ca="1" si="97"/>
        <v>395.82374249219669</v>
      </c>
      <c r="AB283" s="670">
        <f t="shared" ca="1" si="98"/>
        <v>0</v>
      </c>
      <c r="AC283" s="677">
        <f t="shared" si="99"/>
        <v>10000</v>
      </c>
      <c r="AD283" s="679">
        <f t="shared" si="101"/>
        <v>0.2040557170212528</v>
      </c>
      <c r="AE283" s="678">
        <f t="shared" si="100"/>
        <v>2040.557170212528</v>
      </c>
      <c r="AF283" s="651"/>
      <c r="AG283" s="654"/>
      <c r="AH283" s="654"/>
    </row>
    <row r="284" spans="2:34" ht="15.75" x14ac:dyDescent="0.25">
      <c r="B284" s="651"/>
      <c r="C284" s="651"/>
      <c r="D284" s="652" t="s">
        <v>504</v>
      </c>
      <c r="E284" s="653"/>
      <c r="F284" s="653"/>
      <c r="G284" s="653"/>
      <c r="H284" s="653"/>
      <c r="I284" s="653"/>
      <c r="J284" s="653"/>
      <c r="K284" s="653"/>
      <c r="L284" s="653"/>
      <c r="M284" s="653"/>
      <c r="N284" s="654"/>
      <c r="O284" s="653"/>
      <c r="P284" s="667">
        <f t="shared" si="86"/>
        <v>13</v>
      </c>
      <c r="Q284" s="668">
        <f t="shared" si="87"/>
        <v>12067</v>
      </c>
      <c r="R284" s="669">
        <f t="shared" si="88"/>
        <v>0</v>
      </c>
      <c r="S284" s="669">
        <f t="shared" ca="1" si="89"/>
        <v>12067</v>
      </c>
      <c r="T284" s="670">
        <f t="shared" ca="1" si="90"/>
        <v>0</v>
      </c>
      <c r="U284" s="671">
        <f t="shared" ca="1" si="91"/>
        <v>6.7244441212314834E-2</v>
      </c>
      <c r="V284" s="672">
        <f t="shared" ca="1" si="92"/>
        <v>3.3622220606157417E-2</v>
      </c>
      <c r="W284" s="673">
        <f t="shared" ca="1" si="93"/>
        <v>0</v>
      </c>
      <c r="X284" s="674">
        <f t="shared" ca="1" si="94"/>
        <v>0</v>
      </c>
      <c r="Y284" s="675">
        <f t="shared" ca="1" si="95"/>
        <v>405.71933605450153</v>
      </c>
      <c r="Z284" s="675">
        <f t="shared" ca="1" si="96"/>
        <v>0</v>
      </c>
      <c r="AA284" s="676">
        <f t="shared" ca="1" si="97"/>
        <v>405.71933605450153</v>
      </c>
      <c r="AB284" s="670">
        <f t="shared" ca="1" si="98"/>
        <v>0</v>
      </c>
      <c r="AC284" s="677">
        <f t="shared" si="99"/>
        <v>10000</v>
      </c>
      <c r="AD284" s="679">
        <f t="shared" si="101"/>
        <v>0.2091571099467841</v>
      </c>
      <c r="AE284" s="678">
        <f t="shared" si="100"/>
        <v>2091.5710994678411</v>
      </c>
      <c r="AF284" s="651"/>
      <c r="AG284" s="654"/>
      <c r="AH284" s="654"/>
    </row>
    <row r="285" spans="2:34" x14ac:dyDescent="0.25">
      <c r="B285" s="651"/>
      <c r="C285" s="651"/>
      <c r="D285" s="653" t="s">
        <v>505</v>
      </c>
      <c r="E285" s="653"/>
      <c r="F285" s="653"/>
      <c r="G285" s="653"/>
      <c r="H285" s="653"/>
      <c r="I285" s="653"/>
      <c r="J285" s="653"/>
      <c r="K285" s="653"/>
      <c r="L285" s="653"/>
      <c r="M285" s="653"/>
      <c r="N285" s="654"/>
      <c r="O285" s="653"/>
      <c r="P285" s="667">
        <f t="shared" si="86"/>
        <v>14</v>
      </c>
      <c r="Q285" s="668">
        <f t="shared" si="87"/>
        <v>12067</v>
      </c>
      <c r="R285" s="669">
        <f t="shared" si="88"/>
        <v>0</v>
      </c>
      <c r="S285" s="669">
        <f t="shared" ca="1" si="89"/>
        <v>12067</v>
      </c>
      <c r="T285" s="670">
        <f t="shared" ca="1" si="90"/>
        <v>0</v>
      </c>
      <c r="U285" s="671">
        <f t="shared" ca="1" si="91"/>
        <v>6.8925552242622701E-2</v>
      </c>
      <c r="V285" s="672">
        <f t="shared" ca="1" si="92"/>
        <v>3.446277612131135E-2</v>
      </c>
      <c r="W285" s="673">
        <f t="shared" ca="1" si="93"/>
        <v>0</v>
      </c>
      <c r="X285" s="674">
        <f t="shared" ca="1" si="94"/>
        <v>0</v>
      </c>
      <c r="Y285" s="675">
        <f t="shared" ca="1" si="95"/>
        <v>415.86231945586405</v>
      </c>
      <c r="Z285" s="675">
        <f t="shared" ca="1" si="96"/>
        <v>0</v>
      </c>
      <c r="AA285" s="676">
        <f t="shared" ca="1" si="97"/>
        <v>415.86231945586405</v>
      </c>
      <c r="AB285" s="670">
        <f t="shared" ca="1" si="98"/>
        <v>0</v>
      </c>
      <c r="AC285" s="677">
        <f t="shared" si="99"/>
        <v>10000</v>
      </c>
      <c r="AD285" s="679">
        <f t="shared" si="101"/>
        <v>0.2143860376954537</v>
      </c>
      <c r="AE285" s="678">
        <f t="shared" si="100"/>
        <v>2143.8603769545371</v>
      </c>
      <c r="AF285" s="651"/>
      <c r="AG285" s="654"/>
      <c r="AH285" s="654"/>
    </row>
    <row r="286" spans="2:34" x14ac:dyDescent="0.25">
      <c r="B286" s="651"/>
      <c r="C286" s="651"/>
      <c r="D286" s="653" t="s">
        <v>506</v>
      </c>
      <c r="E286" s="653"/>
      <c r="F286" s="653"/>
      <c r="G286" s="653"/>
      <c r="H286" s="653"/>
      <c r="I286" s="653"/>
      <c r="J286" s="653"/>
      <c r="K286" s="653"/>
      <c r="L286" s="653"/>
      <c r="M286" s="653"/>
      <c r="N286" s="654"/>
      <c r="O286" s="653"/>
      <c r="P286" s="667">
        <f t="shared" si="86"/>
        <v>15</v>
      </c>
      <c r="Q286" s="668">
        <f t="shared" si="87"/>
        <v>12067</v>
      </c>
      <c r="R286" s="669">
        <f t="shared" si="88"/>
        <v>0</v>
      </c>
      <c r="S286" s="669">
        <f t="shared" ca="1" si="89"/>
        <v>12067</v>
      </c>
      <c r="T286" s="670">
        <f t="shared" ca="1" si="90"/>
        <v>0</v>
      </c>
      <c r="U286" s="671">
        <f t="shared" ca="1" si="91"/>
        <v>7.0648691048688261E-2</v>
      </c>
      <c r="V286" s="672">
        <f t="shared" ca="1" si="92"/>
        <v>3.5324345524344131E-2</v>
      </c>
      <c r="W286" s="673">
        <f t="shared" ca="1" si="93"/>
        <v>0</v>
      </c>
      <c r="X286" s="674">
        <f t="shared" ca="1" si="94"/>
        <v>0</v>
      </c>
      <c r="Y286" s="675">
        <f t="shared" ca="1" si="95"/>
        <v>426.2588774422606</v>
      </c>
      <c r="Z286" s="675">
        <f t="shared" ca="1" si="96"/>
        <v>0</v>
      </c>
      <c r="AA286" s="676">
        <f t="shared" ca="1" si="97"/>
        <v>426.2588774422606</v>
      </c>
      <c r="AB286" s="670">
        <f t="shared" ca="1" si="98"/>
        <v>0</v>
      </c>
      <c r="AC286" s="677">
        <f t="shared" si="99"/>
        <v>10000</v>
      </c>
      <c r="AD286" s="679">
        <f t="shared" si="101"/>
        <v>0.21974568863784003</v>
      </c>
      <c r="AE286" s="678">
        <f t="shared" si="100"/>
        <v>2197.4568863784002</v>
      </c>
      <c r="AF286" s="651"/>
      <c r="AG286" s="654"/>
      <c r="AH286" s="654"/>
    </row>
    <row r="287" spans="2:34" x14ac:dyDescent="0.25">
      <c r="B287" s="651"/>
      <c r="C287" s="651"/>
      <c r="D287" s="653" t="s">
        <v>507</v>
      </c>
      <c r="E287" s="653"/>
      <c r="F287" s="653"/>
      <c r="G287" s="653"/>
      <c r="H287" s="653"/>
      <c r="I287" s="653"/>
      <c r="J287" s="653"/>
      <c r="K287" s="653"/>
      <c r="L287" s="653"/>
      <c r="M287" s="653"/>
      <c r="N287" s="654"/>
      <c r="O287" s="653"/>
      <c r="P287" s="667">
        <f t="shared" si="86"/>
        <v>16</v>
      </c>
      <c r="Q287" s="668">
        <f t="shared" si="87"/>
        <v>12067</v>
      </c>
      <c r="R287" s="669">
        <f t="shared" si="88"/>
        <v>0</v>
      </c>
      <c r="S287" s="669">
        <f t="shared" ca="1" si="89"/>
        <v>12067</v>
      </c>
      <c r="T287" s="670">
        <f t="shared" ca="1" si="90"/>
        <v>0</v>
      </c>
      <c r="U287" s="671">
        <f t="shared" ca="1" si="91"/>
        <v>7.2414908324905464E-2</v>
      </c>
      <c r="V287" s="672">
        <f t="shared" ca="1" si="92"/>
        <v>3.6207454162452732E-2</v>
      </c>
      <c r="W287" s="673">
        <f t="shared" ca="1" si="93"/>
        <v>0</v>
      </c>
      <c r="X287" s="674">
        <f t="shared" ca="1" si="94"/>
        <v>0</v>
      </c>
      <c r="Y287" s="675">
        <f t="shared" ca="1" si="95"/>
        <v>436.9153493783171</v>
      </c>
      <c r="Z287" s="675">
        <f t="shared" ca="1" si="96"/>
        <v>0</v>
      </c>
      <c r="AA287" s="676">
        <f t="shared" ca="1" si="97"/>
        <v>436.9153493783171</v>
      </c>
      <c r="AB287" s="670">
        <f t="shared" ca="1" si="98"/>
        <v>0</v>
      </c>
      <c r="AC287" s="677">
        <f t="shared" si="99"/>
        <v>10000</v>
      </c>
      <c r="AD287" s="679">
        <f t="shared" si="101"/>
        <v>0.225239330853786</v>
      </c>
      <c r="AE287" s="678">
        <f t="shared" si="100"/>
        <v>2252.3933085378599</v>
      </c>
      <c r="AF287" s="651"/>
      <c r="AG287" s="654"/>
      <c r="AH287" s="654"/>
    </row>
    <row r="288" spans="2:34" x14ac:dyDescent="0.25">
      <c r="B288" s="651"/>
      <c r="C288" s="651"/>
      <c r="D288" s="653"/>
      <c r="E288" s="653"/>
      <c r="F288" s="653"/>
      <c r="G288" s="653"/>
      <c r="H288" s="653"/>
      <c r="I288" s="653"/>
      <c r="J288" s="653"/>
      <c r="K288" s="653"/>
      <c r="L288" s="653"/>
      <c r="M288" s="653"/>
      <c r="N288" s="654"/>
      <c r="O288" s="653"/>
      <c r="P288" s="667">
        <f t="shared" si="86"/>
        <v>17</v>
      </c>
      <c r="Q288" s="668">
        <f t="shared" si="87"/>
        <v>12067</v>
      </c>
      <c r="R288" s="669">
        <f t="shared" si="88"/>
        <v>0</v>
      </c>
      <c r="S288" s="669">
        <f t="shared" ca="1" si="89"/>
        <v>12067</v>
      </c>
      <c r="T288" s="670">
        <f t="shared" ca="1" si="90"/>
        <v>0</v>
      </c>
      <c r="U288" s="671">
        <f t="shared" ca="1" si="91"/>
        <v>7.4225281033028098E-2</v>
      </c>
      <c r="V288" s="672">
        <f t="shared" ca="1" si="92"/>
        <v>3.7112640516514049E-2</v>
      </c>
      <c r="W288" s="673">
        <f t="shared" ca="1" si="93"/>
        <v>0</v>
      </c>
      <c r="X288" s="674">
        <f t="shared" ca="1" si="94"/>
        <v>0</v>
      </c>
      <c r="Y288" s="675">
        <f t="shared" ca="1" si="95"/>
        <v>447.83823311277501</v>
      </c>
      <c r="Z288" s="675">
        <f t="shared" ca="1" si="96"/>
        <v>0</v>
      </c>
      <c r="AA288" s="676">
        <f t="shared" ca="1" si="97"/>
        <v>447.83823311277501</v>
      </c>
      <c r="AB288" s="670">
        <f t="shared" ca="1" si="98"/>
        <v>0</v>
      </c>
      <c r="AC288" s="677">
        <f t="shared" si="99"/>
        <v>10000</v>
      </c>
      <c r="AD288" s="679">
        <f t="shared" si="101"/>
        <v>0.23087031412513062</v>
      </c>
      <c r="AE288" s="678">
        <f t="shared" si="100"/>
        <v>2308.7031412513061</v>
      </c>
      <c r="AF288" s="651"/>
      <c r="AG288" s="654"/>
      <c r="AH288" s="654"/>
    </row>
    <row r="289" spans="2:34" ht="15.75" thickBot="1" x14ac:dyDescent="0.3">
      <c r="B289" s="651"/>
      <c r="C289" s="680"/>
      <c r="D289" s="681"/>
      <c r="E289" s="681"/>
      <c r="F289" s="681"/>
      <c r="G289" s="681"/>
      <c r="H289" s="681"/>
      <c r="I289" s="681"/>
      <c r="J289" s="681"/>
      <c r="K289" s="681"/>
      <c r="L289" s="681"/>
      <c r="M289" s="681"/>
      <c r="N289" s="666"/>
      <c r="O289" s="653"/>
      <c r="P289" s="667">
        <f t="shared" si="86"/>
        <v>18</v>
      </c>
      <c r="Q289" s="668">
        <f t="shared" si="87"/>
        <v>12067</v>
      </c>
      <c r="R289" s="669">
        <f t="shared" si="88"/>
        <v>0</v>
      </c>
      <c r="S289" s="669">
        <f t="shared" ca="1" si="89"/>
        <v>12067</v>
      </c>
      <c r="T289" s="670">
        <f t="shared" ca="1" si="90"/>
        <v>0</v>
      </c>
      <c r="U289" s="671">
        <f t="shared" ca="1" si="91"/>
        <v>7.6080913058853797E-2</v>
      </c>
      <c r="V289" s="672">
        <f t="shared" ca="1" si="92"/>
        <v>3.8040456529426898E-2</v>
      </c>
      <c r="W289" s="673">
        <f t="shared" ca="1" si="93"/>
        <v>0</v>
      </c>
      <c r="X289" s="674">
        <f t="shared" ca="1" si="94"/>
        <v>0</v>
      </c>
      <c r="Y289" s="675">
        <f t="shared" ca="1" si="95"/>
        <v>459.03418894059439</v>
      </c>
      <c r="Z289" s="675">
        <f t="shared" ca="1" si="96"/>
        <v>0</v>
      </c>
      <c r="AA289" s="676">
        <f t="shared" ca="1" si="97"/>
        <v>459.03418894059439</v>
      </c>
      <c r="AB289" s="670">
        <f t="shared" ca="1" si="98"/>
        <v>0</v>
      </c>
      <c r="AC289" s="677">
        <f t="shared" si="99"/>
        <v>10000</v>
      </c>
      <c r="AD289" s="679">
        <f t="shared" si="101"/>
        <v>0.23664207197825887</v>
      </c>
      <c r="AE289" s="678">
        <f t="shared" si="100"/>
        <v>2366.4207197825885</v>
      </c>
      <c r="AF289" s="651"/>
      <c r="AG289" s="654"/>
      <c r="AH289" s="654"/>
    </row>
    <row r="290" spans="2:34" ht="15.75" thickBot="1" x14ac:dyDescent="0.3">
      <c r="B290" s="651"/>
      <c r="C290" s="653"/>
      <c r="D290" s="653"/>
      <c r="E290" s="653"/>
      <c r="F290" s="653"/>
      <c r="G290" s="653"/>
      <c r="H290" s="653"/>
      <c r="I290" s="653"/>
      <c r="J290" s="653"/>
      <c r="K290" s="653"/>
      <c r="L290" s="653"/>
      <c r="M290" s="653"/>
      <c r="N290" s="653"/>
      <c r="O290" s="653"/>
      <c r="P290" s="667">
        <f t="shared" si="86"/>
        <v>19</v>
      </c>
      <c r="Q290" s="668">
        <f t="shared" si="87"/>
        <v>12067</v>
      </c>
      <c r="R290" s="669">
        <f t="shared" si="88"/>
        <v>0</v>
      </c>
      <c r="S290" s="669">
        <f t="shared" ca="1" si="89"/>
        <v>12067</v>
      </c>
      <c r="T290" s="670">
        <f t="shared" ca="1" si="90"/>
        <v>0</v>
      </c>
      <c r="U290" s="671">
        <f t="shared" ca="1" si="91"/>
        <v>7.7982935885325136E-2</v>
      </c>
      <c r="V290" s="672">
        <f t="shared" ca="1" si="92"/>
        <v>3.8991467942662568E-2</v>
      </c>
      <c r="W290" s="673">
        <f t="shared" ca="1" si="93"/>
        <v>0</v>
      </c>
      <c r="X290" s="674">
        <f t="shared" ca="1" si="94"/>
        <v>0</v>
      </c>
      <c r="Y290" s="675">
        <f t="shared" ca="1" si="95"/>
        <v>470.51004366410922</v>
      </c>
      <c r="Z290" s="675">
        <f t="shared" ca="1" si="96"/>
        <v>0</v>
      </c>
      <c r="AA290" s="676">
        <f t="shared" ca="1" si="97"/>
        <v>470.51004366410922</v>
      </c>
      <c r="AB290" s="670">
        <f t="shared" ca="1" si="98"/>
        <v>0</v>
      </c>
      <c r="AC290" s="677">
        <f t="shared" si="99"/>
        <v>10000</v>
      </c>
      <c r="AD290" s="679">
        <f t="shared" si="101"/>
        <v>0.24255812377771532</v>
      </c>
      <c r="AE290" s="678">
        <f t="shared" si="100"/>
        <v>2425.5812377771531</v>
      </c>
      <c r="AF290" s="651"/>
      <c r="AG290" s="654"/>
      <c r="AH290" s="654"/>
    </row>
    <row r="291" spans="2:34" x14ac:dyDescent="0.25">
      <c r="B291" s="651"/>
      <c r="C291" s="648"/>
      <c r="D291" s="649"/>
      <c r="E291" s="649"/>
      <c r="F291" s="649"/>
      <c r="G291" s="649"/>
      <c r="H291" s="649"/>
      <c r="I291" s="649"/>
      <c r="J291" s="649"/>
      <c r="K291" s="649"/>
      <c r="L291" s="649"/>
      <c r="M291" s="649"/>
      <c r="N291" s="650"/>
      <c r="O291" s="653"/>
      <c r="P291" s="667">
        <f t="shared" si="86"/>
        <v>20</v>
      </c>
      <c r="Q291" s="668">
        <f t="shared" si="87"/>
        <v>12067</v>
      </c>
      <c r="R291" s="669">
        <f t="shared" si="88"/>
        <v>0</v>
      </c>
      <c r="S291" s="669">
        <f t="shared" ca="1" si="89"/>
        <v>12067</v>
      </c>
      <c r="T291" s="670">
        <f t="shared" ca="1" si="90"/>
        <v>0</v>
      </c>
      <c r="U291" s="671">
        <f t="shared" ca="1" si="91"/>
        <v>7.9932509282458264E-2</v>
      </c>
      <c r="V291" s="672">
        <f t="shared" ca="1" si="92"/>
        <v>3.9966254641229132E-2</v>
      </c>
      <c r="W291" s="673">
        <f t="shared" ca="1" si="93"/>
        <v>0</v>
      </c>
      <c r="X291" s="674">
        <f t="shared" ca="1" si="94"/>
        <v>0</v>
      </c>
      <c r="Y291" s="675">
        <f t="shared" ca="1" si="95"/>
        <v>482.27279475571191</v>
      </c>
      <c r="Z291" s="675">
        <f t="shared" ca="1" si="96"/>
        <v>0</v>
      </c>
      <c r="AA291" s="676">
        <f t="shared" ca="1" si="97"/>
        <v>482.27279475571191</v>
      </c>
      <c r="AB291" s="670">
        <f t="shared" ca="1" si="98"/>
        <v>0</v>
      </c>
      <c r="AC291" s="677">
        <f t="shared" si="99"/>
        <v>10000</v>
      </c>
      <c r="AD291" s="679">
        <f t="shared" si="101"/>
        <v>0.24862207687215818</v>
      </c>
      <c r="AE291" s="678">
        <f t="shared" si="100"/>
        <v>2486.2207687215819</v>
      </c>
      <c r="AF291" s="651"/>
      <c r="AG291" s="654"/>
      <c r="AH291" s="654"/>
    </row>
    <row r="292" spans="2:34" ht="15.75" x14ac:dyDescent="0.25">
      <c r="B292" s="651"/>
      <c r="C292" s="651"/>
      <c r="D292" s="652" t="s">
        <v>508</v>
      </c>
      <c r="E292" s="653"/>
      <c r="F292" s="653"/>
      <c r="G292" s="653"/>
      <c r="H292" s="653"/>
      <c r="I292" s="653"/>
      <c r="J292" s="653"/>
      <c r="K292" s="653"/>
      <c r="L292" s="653"/>
      <c r="M292" s="653"/>
      <c r="N292" s="654"/>
      <c r="O292" s="653"/>
      <c r="P292" s="667">
        <f t="shared" si="86"/>
        <v>21</v>
      </c>
      <c r="Q292" s="668">
        <f t="shared" si="87"/>
        <v>12067</v>
      </c>
      <c r="R292" s="669">
        <f t="shared" si="88"/>
        <v>0</v>
      </c>
      <c r="S292" s="669">
        <f t="shared" ca="1" si="89"/>
        <v>12067</v>
      </c>
      <c r="T292" s="670">
        <f t="shared" ca="1" si="90"/>
        <v>0</v>
      </c>
      <c r="U292" s="671">
        <f t="shared" ca="1" si="91"/>
        <v>8.1930822014519719E-2</v>
      </c>
      <c r="V292" s="672">
        <f t="shared" ca="1" si="92"/>
        <v>4.096541100725986E-2</v>
      </c>
      <c r="W292" s="673">
        <f t="shared" ca="1" si="93"/>
        <v>0</v>
      </c>
      <c r="X292" s="674">
        <f t="shared" ca="1" si="94"/>
        <v>0</v>
      </c>
      <c r="Y292" s="675">
        <f t="shared" ca="1" si="95"/>
        <v>494.32961462460474</v>
      </c>
      <c r="Z292" s="675">
        <f t="shared" ca="1" si="96"/>
        <v>0</v>
      </c>
      <c r="AA292" s="676">
        <f t="shared" ca="1" si="97"/>
        <v>494.32961462460474</v>
      </c>
      <c r="AB292" s="670">
        <f t="shared" ca="1" si="98"/>
        <v>0</v>
      </c>
      <c r="AC292" s="677">
        <f t="shared" si="99"/>
        <v>10000</v>
      </c>
      <c r="AD292" s="679">
        <f t="shared" si="101"/>
        <v>0.2548376287939621</v>
      </c>
      <c r="AE292" s="678">
        <f t="shared" si="100"/>
        <v>2548.3762879396209</v>
      </c>
      <c r="AF292" s="651"/>
      <c r="AG292" s="654"/>
      <c r="AH292" s="654"/>
    </row>
    <row r="293" spans="2:34" x14ac:dyDescent="0.25">
      <c r="B293" s="651"/>
      <c r="C293" s="651"/>
      <c r="D293" s="653" t="s">
        <v>509</v>
      </c>
      <c r="E293" s="653"/>
      <c r="F293" s="653"/>
      <c r="G293" s="653"/>
      <c r="H293" s="653"/>
      <c r="I293" s="653"/>
      <c r="J293" s="653"/>
      <c r="K293" s="653"/>
      <c r="L293" s="653"/>
      <c r="M293" s="653"/>
      <c r="N293" s="654"/>
      <c r="O293" s="653"/>
      <c r="P293" s="667">
        <f t="shared" si="86"/>
        <v>22</v>
      </c>
      <c r="Q293" s="668">
        <f t="shared" si="87"/>
        <v>12067</v>
      </c>
      <c r="R293" s="669">
        <f t="shared" si="88"/>
        <v>0</v>
      </c>
      <c r="S293" s="669">
        <f t="shared" ca="1" si="89"/>
        <v>12067</v>
      </c>
      <c r="T293" s="670">
        <f t="shared" ca="1" si="90"/>
        <v>0</v>
      </c>
      <c r="U293" s="671">
        <f t="shared" ca="1" si="91"/>
        <v>8.3979092564882701E-2</v>
      </c>
      <c r="V293" s="672">
        <f t="shared" ca="1" si="92"/>
        <v>4.1989546282441351E-2</v>
      </c>
      <c r="W293" s="673">
        <f t="shared" ca="1" si="93"/>
        <v>0</v>
      </c>
      <c r="X293" s="674">
        <f t="shared" ca="1" si="94"/>
        <v>0</v>
      </c>
      <c r="Y293" s="675">
        <f t="shared" ca="1" si="95"/>
        <v>506.68785499021976</v>
      </c>
      <c r="Z293" s="675">
        <f t="shared" ca="1" si="96"/>
        <v>0</v>
      </c>
      <c r="AA293" s="676">
        <f t="shared" ca="1" si="97"/>
        <v>506.68785499021976</v>
      </c>
      <c r="AB293" s="670">
        <f t="shared" ca="1" si="98"/>
        <v>0</v>
      </c>
      <c r="AC293" s="677">
        <f t="shared" si="99"/>
        <v>10000</v>
      </c>
      <c r="AD293" s="679">
        <f t="shared" si="101"/>
        <v>0.26120856951381111</v>
      </c>
      <c r="AE293" s="678">
        <f t="shared" si="100"/>
        <v>2612.0856951381111</v>
      </c>
      <c r="AF293" s="651"/>
      <c r="AG293" s="654"/>
      <c r="AH293" s="654"/>
    </row>
    <row r="294" spans="2:34" x14ac:dyDescent="0.25">
      <c r="B294" s="651"/>
      <c r="C294" s="651"/>
      <c r="D294" s="653" t="s">
        <v>510</v>
      </c>
      <c r="E294" s="653"/>
      <c r="F294" s="653"/>
      <c r="G294" s="653"/>
      <c r="H294" s="653"/>
      <c r="I294" s="653"/>
      <c r="J294" s="653"/>
      <c r="K294" s="653"/>
      <c r="L294" s="653"/>
      <c r="M294" s="653"/>
      <c r="N294" s="654"/>
      <c r="O294" s="653"/>
      <c r="P294" s="667">
        <f t="shared" si="86"/>
        <v>23</v>
      </c>
      <c r="Q294" s="668">
        <f t="shared" si="87"/>
        <v>12067</v>
      </c>
      <c r="R294" s="669">
        <f t="shared" si="88"/>
        <v>0</v>
      </c>
      <c r="S294" s="669">
        <f t="shared" ca="1" si="89"/>
        <v>12067</v>
      </c>
      <c r="T294" s="670">
        <f t="shared" ca="1" si="90"/>
        <v>0</v>
      </c>
      <c r="U294" s="671">
        <f t="shared" ca="1" si="91"/>
        <v>8.6078569879004765E-2</v>
      </c>
      <c r="V294" s="672">
        <f t="shared" ca="1" si="92"/>
        <v>4.3039284939502383E-2</v>
      </c>
      <c r="W294" s="673">
        <f t="shared" ca="1" si="93"/>
        <v>0</v>
      </c>
      <c r="X294" s="674">
        <f t="shared" ca="1" si="94"/>
        <v>0</v>
      </c>
      <c r="Y294" s="675">
        <f t="shared" ca="1" si="95"/>
        <v>519.35505136497522</v>
      </c>
      <c r="Z294" s="675">
        <f t="shared" ca="1" si="96"/>
        <v>0</v>
      </c>
      <c r="AA294" s="676">
        <f t="shared" ca="1" si="97"/>
        <v>519.35505136497522</v>
      </c>
      <c r="AB294" s="670">
        <f t="shared" ca="1" si="98"/>
        <v>0</v>
      </c>
      <c r="AC294" s="677">
        <f t="shared" si="99"/>
        <v>10000</v>
      </c>
      <c r="AD294" s="679">
        <f t="shared" si="101"/>
        <v>0.26773878375165638</v>
      </c>
      <c r="AE294" s="678">
        <f t="shared" si="100"/>
        <v>2677.3878375165636</v>
      </c>
      <c r="AF294" s="651"/>
      <c r="AG294" s="654"/>
      <c r="AH294" s="654"/>
    </row>
    <row r="295" spans="2:34" x14ac:dyDescent="0.25">
      <c r="B295" s="651"/>
      <c r="C295" s="651"/>
      <c r="D295" s="653" t="s">
        <v>511</v>
      </c>
      <c r="E295" s="653"/>
      <c r="F295" s="653"/>
      <c r="G295" s="653"/>
      <c r="H295" s="653"/>
      <c r="I295" s="653"/>
      <c r="J295" s="653"/>
      <c r="K295" s="653"/>
      <c r="L295" s="653"/>
      <c r="M295" s="653"/>
      <c r="N295" s="654"/>
      <c r="O295" s="653"/>
      <c r="P295" s="667">
        <f t="shared" si="86"/>
        <v>24</v>
      </c>
      <c r="Q295" s="668">
        <f t="shared" si="87"/>
        <v>12067</v>
      </c>
      <c r="R295" s="669">
        <f t="shared" si="88"/>
        <v>0</v>
      </c>
      <c r="S295" s="669">
        <f t="shared" ca="1" si="89"/>
        <v>12067</v>
      </c>
      <c r="T295" s="670">
        <f t="shared" ca="1" si="90"/>
        <v>0</v>
      </c>
      <c r="U295" s="671">
        <f t="shared" ca="1" si="91"/>
        <v>8.8230534125979879E-2</v>
      </c>
      <c r="V295" s="672">
        <f t="shared" ca="1" si="92"/>
        <v>4.4115267062989939E-2</v>
      </c>
      <c r="W295" s="673">
        <f t="shared" ca="1" si="93"/>
        <v>0</v>
      </c>
      <c r="X295" s="674">
        <f t="shared" ca="1" si="94"/>
        <v>0</v>
      </c>
      <c r="Y295" s="675">
        <f t="shared" ca="1" si="95"/>
        <v>532.33892764909956</v>
      </c>
      <c r="Z295" s="675">
        <f t="shared" ca="1" si="96"/>
        <v>0</v>
      </c>
      <c r="AA295" s="676">
        <f t="shared" ca="1" si="97"/>
        <v>532.33892764909956</v>
      </c>
      <c r="AB295" s="670">
        <f t="shared" ca="1" si="98"/>
        <v>0</v>
      </c>
      <c r="AC295" s="677">
        <f t="shared" si="99"/>
        <v>10000</v>
      </c>
      <c r="AD295" s="679">
        <f t="shared" si="101"/>
        <v>0.2744322533454478</v>
      </c>
      <c r="AE295" s="678">
        <f t="shared" si="100"/>
        <v>2744.3225334544782</v>
      </c>
      <c r="AF295" s="651"/>
      <c r="AG295" s="654"/>
      <c r="AH295" s="654"/>
    </row>
    <row r="296" spans="2:34" x14ac:dyDescent="0.25">
      <c r="B296" s="651"/>
      <c r="C296" s="651"/>
      <c r="D296" s="653" t="s">
        <v>512</v>
      </c>
      <c r="E296" s="653"/>
      <c r="F296" s="653"/>
      <c r="G296" s="653"/>
      <c r="H296" s="653"/>
      <c r="I296" s="653"/>
      <c r="J296" s="653"/>
      <c r="K296" s="653"/>
      <c r="L296" s="653"/>
      <c r="M296" s="653"/>
      <c r="N296" s="654"/>
      <c r="O296" s="653"/>
      <c r="P296" s="667">
        <f t="shared" si="86"/>
        <v>25</v>
      </c>
      <c r="Q296" s="668">
        <f t="shared" si="87"/>
        <v>12067</v>
      </c>
      <c r="R296" s="669">
        <f t="shared" si="88"/>
        <v>0</v>
      </c>
      <c r="S296" s="669">
        <f t="shared" ca="1" si="89"/>
        <v>12067</v>
      </c>
      <c r="T296" s="670">
        <f t="shared" ca="1" si="90"/>
        <v>0</v>
      </c>
      <c r="U296" s="671">
        <f t="shared" ca="1" si="91"/>
        <v>9.0436297479129374E-2</v>
      </c>
      <c r="V296" s="672">
        <f t="shared" ca="1" si="92"/>
        <v>4.5218148739564687E-2</v>
      </c>
      <c r="W296" s="673">
        <f t="shared" ca="1" si="93"/>
        <v>0</v>
      </c>
      <c r="X296" s="674">
        <f t="shared" ca="1" si="94"/>
        <v>0</v>
      </c>
      <c r="Y296" s="675">
        <f t="shared" ca="1" si="95"/>
        <v>545.64740084032712</v>
      </c>
      <c r="Z296" s="675">
        <f t="shared" ca="1" si="96"/>
        <v>0</v>
      </c>
      <c r="AA296" s="676">
        <f t="shared" ca="1" si="97"/>
        <v>545.64740084032712</v>
      </c>
      <c r="AB296" s="670">
        <f t="shared" ca="1" si="98"/>
        <v>0</v>
      </c>
      <c r="AC296" s="677">
        <f t="shared" si="99"/>
        <v>10000</v>
      </c>
      <c r="AD296" s="679">
        <f t="shared" si="101"/>
        <v>0.28129305967908397</v>
      </c>
      <c r="AE296" s="678">
        <f t="shared" si="100"/>
        <v>2812.9305967908399</v>
      </c>
      <c r="AF296" s="651"/>
      <c r="AG296" s="654"/>
      <c r="AH296" s="654"/>
    </row>
    <row r="297" spans="2:34" ht="15.75" thickBot="1" x14ac:dyDescent="0.3">
      <c r="B297" s="651"/>
      <c r="C297" s="680"/>
      <c r="D297" s="681" t="s">
        <v>513</v>
      </c>
      <c r="E297" s="681"/>
      <c r="F297" s="681"/>
      <c r="G297" s="681"/>
      <c r="H297" s="681"/>
      <c r="I297" s="681"/>
      <c r="J297" s="681"/>
      <c r="K297" s="681"/>
      <c r="L297" s="681"/>
      <c r="M297" s="681"/>
      <c r="N297" s="666"/>
      <c r="O297" s="653"/>
      <c r="P297" s="667">
        <f t="shared" si="86"/>
        <v>26</v>
      </c>
      <c r="Q297" s="668">
        <f t="shared" si="87"/>
        <v>12067</v>
      </c>
      <c r="R297" s="669">
        <f t="shared" si="88"/>
        <v>0</v>
      </c>
      <c r="S297" s="669">
        <f t="shared" ca="1" si="89"/>
        <v>12067</v>
      </c>
      <c r="T297" s="670">
        <f t="shared" ca="1" si="90"/>
        <v>0</v>
      </c>
      <c r="U297" s="671">
        <f t="shared" ca="1" si="91"/>
        <v>9.2697204916107598E-2</v>
      </c>
      <c r="V297" s="672">
        <f t="shared" ca="1" si="92"/>
        <v>4.6348602458053799E-2</v>
      </c>
      <c r="W297" s="673">
        <f t="shared" ca="1" si="93"/>
        <v>0</v>
      </c>
      <c r="X297" s="674">
        <f t="shared" ca="1" si="94"/>
        <v>0</v>
      </c>
      <c r="Y297" s="675">
        <f t="shared" ca="1" si="95"/>
        <v>559.28858586133515</v>
      </c>
      <c r="Z297" s="675">
        <f t="shared" ca="1" si="96"/>
        <v>0</v>
      </c>
      <c r="AA297" s="676">
        <f t="shared" ca="1" si="97"/>
        <v>559.28858586133515</v>
      </c>
      <c r="AB297" s="670">
        <f t="shared" ca="1" si="98"/>
        <v>0</v>
      </c>
      <c r="AC297" s="677">
        <f t="shared" si="99"/>
        <v>10000</v>
      </c>
      <c r="AD297" s="679">
        <f t="shared" si="101"/>
        <v>0.28832538617106102</v>
      </c>
      <c r="AE297" s="678">
        <f t="shared" si="100"/>
        <v>2883.2538617106102</v>
      </c>
      <c r="AF297" s="651"/>
      <c r="AG297" s="654"/>
      <c r="AH297" s="654"/>
    </row>
    <row r="298" spans="2:34" x14ac:dyDescent="0.25">
      <c r="B298" s="651"/>
      <c r="C298" s="653"/>
      <c r="D298" s="653"/>
      <c r="E298" s="653"/>
      <c r="F298" s="653"/>
      <c r="G298" s="653"/>
      <c r="H298" s="653"/>
      <c r="I298" s="653"/>
      <c r="J298" s="653"/>
      <c r="K298" s="653"/>
      <c r="L298" s="653"/>
      <c r="M298" s="653"/>
      <c r="N298" s="653"/>
      <c r="O298" s="653"/>
      <c r="P298" s="667">
        <f t="shared" si="86"/>
        <v>27</v>
      </c>
      <c r="Q298" s="668">
        <f t="shared" si="87"/>
        <v>12067</v>
      </c>
      <c r="R298" s="669">
        <f t="shared" si="88"/>
        <v>0</v>
      </c>
      <c r="S298" s="669">
        <f t="shared" ca="1" si="89"/>
        <v>12067</v>
      </c>
      <c r="T298" s="670">
        <f t="shared" ca="1" si="90"/>
        <v>0</v>
      </c>
      <c r="U298" s="671">
        <f t="shared" ca="1" si="91"/>
        <v>9.5014635039010281E-2</v>
      </c>
      <c r="V298" s="672">
        <f t="shared" ca="1" si="92"/>
        <v>4.7507317519505141E-2</v>
      </c>
      <c r="W298" s="673">
        <f t="shared" ca="1" si="93"/>
        <v>0</v>
      </c>
      <c r="X298" s="674">
        <f t="shared" ca="1" si="94"/>
        <v>0</v>
      </c>
      <c r="Y298" s="675">
        <f t="shared" ca="1" si="95"/>
        <v>573.27080050786856</v>
      </c>
      <c r="Z298" s="675">
        <f t="shared" ca="1" si="96"/>
        <v>0</v>
      </c>
      <c r="AA298" s="676">
        <f t="shared" ca="1" si="97"/>
        <v>573.27080050786856</v>
      </c>
      <c r="AB298" s="670">
        <f t="shared" ca="1" si="98"/>
        <v>0</v>
      </c>
      <c r="AC298" s="677">
        <f t="shared" si="99"/>
        <v>10000</v>
      </c>
      <c r="AD298" s="679">
        <f t="shared" si="101"/>
        <v>0.29553352082533751</v>
      </c>
      <c r="AE298" s="678">
        <f t="shared" si="100"/>
        <v>2955.3352082533752</v>
      </c>
      <c r="AF298" s="651"/>
      <c r="AG298" s="654"/>
      <c r="AH298" s="654"/>
    </row>
    <row r="299" spans="2:34" x14ac:dyDescent="0.25">
      <c r="B299" s="651"/>
      <c r="C299" s="653"/>
      <c r="D299" s="653"/>
      <c r="E299" s="653"/>
      <c r="F299" s="653"/>
      <c r="G299" s="653"/>
      <c r="H299" s="653"/>
      <c r="I299" s="653"/>
      <c r="J299" s="653"/>
      <c r="K299" s="653"/>
      <c r="L299" s="653"/>
      <c r="M299" s="653"/>
      <c r="N299" s="653"/>
      <c r="O299" s="653"/>
      <c r="P299" s="667">
        <f t="shared" si="86"/>
        <v>28</v>
      </c>
      <c r="Q299" s="668">
        <f t="shared" si="87"/>
        <v>12067</v>
      </c>
      <c r="R299" s="669">
        <f t="shared" si="88"/>
        <v>0</v>
      </c>
      <c r="S299" s="669">
        <f t="shared" ca="1" si="89"/>
        <v>12067</v>
      </c>
      <c r="T299" s="670">
        <f t="shared" ca="1" si="90"/>
        <v>0</v>
      </c>
      <c r="U299" s="671">
        <f t="shared" ca="1" si="91"/>
        <v>9.7390000914985536E-2</v>
      </c>
      <c r="V299" s="672">
        <f t="shared" ca="1" si="92"/>
        <v>4.8695000457492768E-2</v>
      </c>
      <c r="W299" s="673">
        <f t="shared" ca="1" si="93"/>
        <v>0</v>
      </c>
      <c r="X299" s="674">
        <f t="shared" ca="1" si="94"/>
        <v>0</v>
      </c>
      <c r="Y299" s="675">
        <f t="shared" ca="1" si="95"/>
        <v>587.60257052056522</v>
      </c>
      <c r="Z299" s="675">
        <f t="shared" ca="1" si="96"/>
        <v>0</v>
      </c>
      <c r="AA299" s="676">
        <f t="shared" ca="1" si="97"/>
        <v>587.60257052056522</v>
      </c>
      <c r="AB299" s="670">
        <f t="shared" ca="1" si="98"/>
        <v>0</v>
      </c>
      <c r="AC299" s="677">
        <f t="shared" si="99"/>
        <v>10000</v>
      </c>
      <c r="AD299" s="679">
        <f t="shared" si="101"/>
        <v>0.30292185884597095</v>
      </c>
      <c r="AE299" s="678">
        <f t="shared" si="100"/>
        <v>3029.2185884597093</v>
      </c>
      <c r="AF299" s="651"/>
      <c r="AG299" s="654"/>
      <c r="AH299" s="654"/>
    </row>
    <row r="300" spans="2:34" x14ac:dyDescent="0.25">
      <c r="B300" s="651"/>
      <c r="C300" s="653"/>
      <c r="D300" s="653"/>
      <c r="E300" s="653"/>
      <c r="F300" s="653"/>
      <c r="G300" s="653"/>
      <c r="H300" s="653"/>
      <c r="I300" s="653"/>
      <c r="J300" s="653"/>
      <c r="K300" s="653"/>
      <c r="L300" s="653"/>
      <c r="M300" s="653"/>
      <c r="N300" s="653"/>
      <c r="O300" s="653"/>
      <c r="P300" s="667">
        <f t="shared" si="86"/>
        <v>29</v>
      </c>
      <c r="Q300" s="668">
        <f t="shared" si="87"/>
        <v>12067</v>
      </c>
      <c r="R300" s="669">
        <f t="shared" si="88"/>
        <v>0</v>
      </c>
      <c r="S300" s="669">
        <f t="shared" ca="1" si="89"/>
        <v>12067</v>
      </c>
      <c r="T300" s="670">
        <f t="shared" ca="1" si="90"/>
        <v>0</v>
      </c>
      <c r="U300" s="671">
        <f t="shared" ca="1" si="91"/>
        <v>9.9824750937860168E-2</v>
      </c>
      <c r="V300" s="672">
        <f t="shared" ca="1" si="92"/>
        <v>4.9912375468930084E-2</v>
      </c>
      <c r="W300" s="673">
        <f t="shared" ca="1" si="93"/>
        <v>0</v>
      </c>
      <c r="X300" s="674">
        <f t="shared" ca="1" si="94"/>
        <v>0</v>
      </c>
      <c r="Y300" s="675">
        <f t="shared" ca="1" si="95"/>
        <v>602.29263478357927</v>
      </c>
      <c r="Z300" s="675">
        <f t="shared" ca="1" si="96"/>
        <v>0</v>
      </c>
      <c r="AA300" s="676">
        <f t="shared" ca="1" si="97"/>
        <v>602.29263478357927</v>
      </c>
      <c r="AB300" s="670">
        <f t="shared" ca="1" si="98"/>
        <v>0</v>
      </c>
      <c r="AC300" s="677">
        <f t="shared" si="99"/>
        <v>10000</v>
      </c>
      <c r="AD300" s="679">
        <f t="shared" si="101"/>
        <v>0.31049490531712021</v>
      </c>
      <c r="AE300" s="678">
        <f t="shared" si="100"/>
        <v>3104.9490531712022</v>
      </c>
      <c r="AF300" s="651"/>
      <c r="AG300" s="654"/>
      <c r="AH300" s="654"/>
    </row>
    <row r="301" spans="2:34" x14ac:dyDescent="0.25">
      <c r="B301" s="651"/>
      <c r="C301" s="653"/>
      <c r="D301" s="653"/>
      <c r="E301" s="653"/>
      <c r="F301" s="653"/>
      <c r="G301" s="653"/>
      <c r="H301" s="653"/>
      <c r="I301" s="653"/>
      <c r="J301" s="653"/>
      <c r="K301" s="653"/>
      <c r="L301" s="653"/>
      <c r="M301" s="653"/>
      <c r="N301" s="653"/>
      <c r="O301" s="653"/>
      <c r="P301" s="667">
        <f t="shared" si="86"/>
        <v>30</v>
      </c>
      <c r="Q301" s="668">
        <f t="shared" si="87"/>
        <v>12067</v>
      </c>
      <c r="R301" s="669">
        <f t="shared" si="88"/>
        <v>0</v>
      </c>
      <c r="S301" s="669">
        <f t="shared" ca="1" si="89"/>
        <v>12067</v>
      </c>
      <c r="T301" s="670">
        <f t="shared" ca="1" si="90"/>
        <v>0</v>
      </c>
      <c r="U301" s="671">
        <f t="shared" ca="1" si="91"/>
        <v>0.10232036971130666</v>
      </c>
      <c r="V301" s="672">
        <f t="shared" ca="1" si="92"/>
        <v>5.116018485565333E-2</v>
      </c>
      <c r="W301" s="673">
        <f t="shared" ca="1" si="93"/>
        <v>0</v>
      </c>
      <c r="X301" s="674">
        <f t="shared" ca="1" si="94"/>
        <v>0</v>
      </c>
      <c r="Y301" s="675">
        <f t="shared" ca="1" si="95"/>
        <v>617.34995065316878</v>
      </c>
      <c r="Z301" s="675">
        <f t="shared" ca="1" si="96"/>
        <v>0</v>
      </c>
      <c r="AA301" s="676">
        <f t="shared" ca="1" si="97"/>
        <v>617.34995065316878</v>
      </c>
      <c r="AB301" s="670">
        <f t="shared" ca="1" si="98"/>
        <v>0</v>
      </c>
      <c r="AC301" s="677">
        <f t="shared" si="99"/>
        <v>10000</v>
      </c>
      <c r="AD301" s="679">
        <f t="shared" si="101"/>
        <v>0.31825727795004821</v>
      </c>
      <c r="AE301" s="678">
        <f t="shared" si="100"/>
        <v>3182.5727795004823</v>
      </c>
      <c r="AF301" s="651"/>
      <c r="AG301" s="654"/>
      <c r="AH301" s="654"/>
    </row>
    <row r="302" spans="2:34" x14ac:dyDescent="0.25">
      <c r="B302" s="651"/>
      <c r="C302" s="653"/>
      <c r="D302" s="653"/>
      <c r="E302" s="653"/>
      <c r="F302" s="653"/>
      <c r="G302" s="653"/>
      <c r="H302" s="653"/>
      <c r="I302" s="653"/>
      <c r="J302" s="653"/>
      <c r="K302" s="653"/>
      <c r="L302" s="653"/>
      <c r="M302" s="653"/>
      <c r="N302" s="653"/>
      <c r="O302" s="653"/>
      <c r="P302" s="667">
        <f t="shared" si="86"/>
        <v>31</v>
      </c>
      <c r="Q302" s="668">
        <f t="shared" si="87"/>
        <v>12067</v>
      </c>
      <c r="R302" s="669">
        <f t="shared" si="88"/>
        <v>0</v>
      </c>
      <c r="S302" s="669">
        <f t="shared" ca="1" si="89"/>
        <v>12067</v>
      </c>
      <c r="T302" s="670">
        <f t="shared" ca="1" si="90"/>
        <v>0</v>
      </c>
      <c r="U302" s="671">
        <f t="shared" ca="1" si="91"/>
        <v>0.10487837895408932</v>
      </c>
      <c r="V302" s="672">
        <f t="shared" ca="1" si="92"/>
        <v>5.2439189477044658E-2</v>
      </c>
      <c r="W302" s="673">
        <f t="shared" ca="1" si="93"/>
        <v>0</v>
      </c>
      <c r="X302" s="674">
        <f t="shared" ca="1" si="94"/>
        <v>0</v>
      </c>
      <c r="Y302" s="675">
        <f t="shared" ca="1" si="95"/>
        <v>632.78369941949791</v>
      </c>
      <c r="Z302" s="675">
        <f t="shared" ca="1" si="96"/>
        <v>0</v>
      </c>
      <c r="AA302" s="676">
        <f t="shared" ca="1" si="97"/>
        <v>632.78369941949791</v>
      </c>
      <c r="AB302" s="670">
        <f t="shared" ca="1" si="98"/>
        <v>0</v>
      </c>
      <c r="AC302" s="677">
        <f t="shared" si="99"/>
        <v>10000</v>
      </c>
      <c r="AD302" s="679">
        <f t="shared" si="101"/>
        <v>0.32621370989879939</v>
      </c>
      <c r="AE302" s="678">
        <f t="shared" si="100"/>
        <v>3262.1370989879938</v>
      </c>
      <c r="AF302" s="651"/>
      <c r="AG302" s="654"/>
      <c r="AH302" s="654"/>
    </row>
    <row r="303" spans="2:34" x14ac:dyDescent="0.25">
      <c r="B303" s="651"/>
      <c r="C303" s="653"/>
      <c r="D303" s="653"/>
      <c r="E303" s="653"/>
      <c r="F303" s="653"/>
      <c r="G303" s="653"/>
      <c r="H303" s="653"/>
      <c r="I303" s="653"/>
      <c r="J303" s="653"/>
      <c r="K303" s="653"/>
      <c r="L303" s="653"/>
      <c r="M303" s="653"/>
      <c r="N303" s="653"/>
      <c r="O303" s="653"/>
      <c r="P303" s="667">
        <f t="shared" si="86"/>
        <v>32</v>
      </c>
      <c r="Q303" s="668">
        <f t="shared" si="87"/>
        <v>12067</v>
      </c>
      <c r="R303" s="669">
        <f t="shared" si="88"/>
        <v>0</v>
      </c>
      <c r="S303" s="669">
        <f t="shared" ca="1" si="89"/>
        <v>12067</v>
      </c>
      <c r="T303" s="670">
        <f t="shared" ca="1" si="90"/>
        <v>0</v>
      </c>
      <c r="U303" s="671">
        <f t="shared" ca="1" si="91"/>
        <v>0.10750033842794154</v>
      </c>
      <c r="V303" s="672">
        <f t="shared" ca="1" si="92"/>
        <v>5.3750169213970772E-2</v>
      </c>
      <c r="W303" s="673">
        <f t="shared" ca="1" si="93"/>
        <v>0</v>
      </c>
      <c r="X303" s="674">
        <f t="shared" ca="1" si="94"/>
        <v>0</v>
      </c>
      <c r="Y303" s="675">
        <f t="shared" ca="1" si="95"/>
        <v>648.60329190498533</v>
      </c>
      <c r="Z303" s="675">
        <f t="shared" ca="1" si="96"/>
        <v>0</v>
      </c>
      <c r="AA303" s="676">
        <f t="shared" ca="1" si="97"/>
        <v>648.60329190498533</v>
      </c>
      <c r="AB303" s="670">
        <f t="shared" ca="1" si="98"/>
        <v>0</v>
      </c>
      <c r="AC303" s="677">
        <f t="shared" si="99"/>
        <v>10000</v>
      </c>
      <c r="AD303" s="679">
        <f t="shared" si="101"/>
        <v>0.33436905264626932</v>
      </c>
      <c r="AE303" s="678">
        <f t="shared" si="100"/>
        <v>3343.690526462693</v>
      </c>
      <c r="AF303" s="651"/>
      <c r="AG303" s="654"/>
      <c r="AH303" s="654"/>
    </row>
    <row r="304" spans="2:34" x14ac:dyDescent="0.25">
      <c r="B304" s="651"/>
      <c r="C304" s="653"/>
      <c r="D304" s="653"/>
      <c r="E304" s="653"/>
      <c r="F304" s="653"/>
      <c r="G304" s="653"/>
      <c r="H304" s="653"/>
      <c r="I304" s="653"/>
      <c r="J304" s="653"/>
      <c r="K304" s="653"/>
      <c r="L304" s="653"/>
      <c r="M304" s="653"/>
      <c r="N304" s="653"/>
      <c r="O304" s="653"/>
      <c r="P304" s="667">
        <f t="shared" si="86"/>
        <v>33</v>
      </c>
      <c r="Q304" s="668">
        <f t="shared" si="87"/>
        <v>12067</v>
      </c>
      <c r="R304" s="669">
        <f t="shared" ref="R304:R323" si="102">IF(Q304="","",IF(P304&lt;=$R$9,IF(Q304&gt;$R$11,$R$11,Q304),0))</f>
        <v>0</v>
      </c>
      <c r="S304" s="669">
        <f t="shared" ca="1" si="89"/>
        <v>12067</v>
      </c>
      <c r="T304" s="670">
        <f t="shared" ca="1" si="90"/>
        <v>0</v>
      </c>
      <c r="U304" s="671">
        <f t="shared" ca="1" si="91"/>
        <v>0.11018784688864007</v>
      </c>
      <c r="V304" s="672">
        <f t="shared" ca="1" si="92"/>
        <v>5.5093923444320035E-2</v>
      </c>
      <c r="W304" s="673">
        <f t="shared" ca="1" si="93"/>
        <v>0</v>
      </c>
      <c r="X304" s="674">
        <f t="shared" ca="1" si="94"/>
        <v>0</v>
      </c>
      <c r="Y304" s="675">
        <f t="shared" ca="1" si="95"/>
        <v>664.8183742026099</v>
      </c>
      <c r="Z304" s="675">
        <f t="shared" ca="1" si="96"/>
        <v>0</v>
      </c>
      <c r="AA304" s="676">
        <f t="shared" ca="1" si="97"/>
        <v>664.8183742026099</v>
      </c>
      <c r="AB304" s="670">
        <f t="shared" ca="1" si="98"/>
        <v>0</v>
      </c>
      <c r="AC304" s="677">
        <f t="shared" si="99"/>
        <v>10000</v>
      </c>
      <c r="AD304" s="679">
        <f t="shared" si="101"/>
        <v>0.34272827896242603</v>
      </c>
      <c r="AE304" s="678">
        <f t="shared" si="100"/>
        <v>3427.2827896242602</v>
      </c>
      <c r="AF304" s="651"/>
      <c r="AG304" s="654"/>
      <c r="AH304" s="654"/>
    </row>
    <row r="305" spans="2:34" x14ac:dyDescent="0.25">
      <c r="B305" s="651"/>
      <c r="C305" s="653"/>
      <c r="D305" s="653"/>
      <c r="E305" s="653"/>
      <c r="F305" s="653"/>
      <c r="G305" s="653"/>
      <c r="H305" s="653"/>
      <c r="I305" s="653"/>
      <c r="J305" s="653"/>
      <c r="K305" s="653"/>
      <c r="L305" s="653"/>
      <c r="M305" s="653"/>
      <c r="N305" s="653"/>
      <c r="O305" s="653"/>
      <c r="P305" s="667">
        <f t="shared" si="86"/>
        <v>34</v>
      </c>
      <c r="Q305" s="668">
        <f t="shared" si="87"/>
        <v>12067</v>
      </c>
      <c r="R305" s="669">
        <f t="shared" si="102"/>
        <v>0</v>
      </c>
      <c r="S305" s="669">
        <f t="shared" ca="1" si="89"/>
        <v>12067</v>
      </c>
      <c r="T305" s="670">
        <f t="shared" ca="1" si="90"/>
        <v>0</v>
      </c>
      <c r="U305" s="671">
        <f t="shared" ref="U305:U323" ca="1" si="103">IF(R305="","",U304*(1+$R$7))</f>
        <v>0.11294254306085606</v>
      </c>
      <c r="V305" s="672">
        <f t="shared" ref="V305:V323" ca="1" si="104">IF(S305="","",V304*(1+$T$7))</f>
        <v>5.6471271530428031E-2</v>
      </c>
      <c r="W305" s="673">
        <f t="shared" ref="W305:W323" ca="1" si="105">IF(T305="","",W304*(1+$V$7))</f>
        <v>0</v>
      </c>
      <c r="X305" s="674">
        <f t="shared" ca="1" si="94"/>
        <v>0</v>
      </c>
      <c r="Y305" s="675">
        <f t="shared" ca="1" si="95"/>
        <v>681.43883355767503</v>
      </c>
      <c r="Z305" s="675">
        <f t="shared" ca="1" si="96"/>
        <v>0</v>
      </c>
      <c r="AA305" s="676">
        <f t="shared" ca="1" si="97"/>
        <v>681.43883355767503</v>
      </c>
      <c r="AB305" s="670">
        <f t="shared" ca="1" si="98"/>
        <v>0</v>
      </c>
      <c r="AC305" s="677">
        <f t="shared" si="99"/>
        <v>10000</v>
      </c>
      <c r="AD305" s="679">
        <f t="shared" si="101"/>
        <v>0.35129648593648666</v>
      </c>
      <c r="AE305" s="678">
        <f t="shared" si="100"/>
        <v>3512.9648593648667</v>
      </c>
      <c r="AF305" s="651"/>
      <c r="AG305" s="654"/>
      <c r="AH305" s="654"/>
    </row>
    <row r="306" spans="2:34" x14ac:dyDescent="0.25">
      <c r="B306" s="651"/>
      <c r="C306" s="653"/>
      <c r="D306" s="653"/>
      <c r="E306" s="653"/>
      <c r="F306" s="653"/>
      <c r="G306" s="653"/>
      <c r="H306" s="653"/>
      <c r="I306" s="653"/>
      <c r="J306" s="653"/>
      <c r="K306" s="653"/>
      <c r="L306" s="653"/>
      <c r="M306" s="653"/>
      <c r="N306" s="653"/>
      <c r="O306" s="653"/>
      <c r="P306" s="667">
        <f t="shared" si="86"/>
        <v>35</v>
      </c>
      <c r="Q306" s="668">
        <f t="shared" si="87"/>
        <v>12067</v>
      </c>
      <c r="R306" s="669">
        <f t="shared" si="102"/>
        <v>0</v>
      </c>
      <c r="S306" s="669">
        <f t="shared" ca="1" si="89"/>
        <v>12067</v>
      </c>
      <c r="T306" s="670">
        <f t="shared" ca="1" si="90"/>
        <v>0</v>
      </c>
      <c r="U306" s="671">
        <f t="shared" ca="1" si="103"/>
        <v>0.11576610663737745</v>
      </c>
      <c r="V306" s="672">
        <f t="shared" ca="1" si="104"/>
        <v>5.7883053318688725E-2</v>
      </c>
      <c r="W306" s="673">
        <f t="shared" ca="1" si="105"/>
        <v>0</v>
      </c>
      <c r="X306" s="674">
        <f t="shared" ca="1" si="94"/>
        <v>0</v>
      </c>
      <c r="Y306" s="675">
        <f t="shared" ca="1" si="95"/>
        <v>698.47480439661683</v>
      </c>
      <c r="Z306" s="675">
        <f t="shared" ca="1" si="96"/>
        <v>0</v>
      </c>
      <c r="AA306" s="676">
        <f t="shared" ca="1" si="97"/>
        <v>698.47480439661683</v>
      </c>
      <c r="AB306" s="670">
        <f t="shared" ca="1" si="98"/>
        <v>0</v>
      </c>
      <c r="AC306" s="677">
        <f t="shared" si="99"/>
        <v>10000</v>
      </c>
      <c r="AD306" s="679">
        <f t="shared" si="101"/>
        <v>0.36007889808489879</v>
      </c>
      <c r="AE306" s="678">
        <f t="shared" si="100"/>
        <v>3600.7889808489881</v>
      </c>
      <c r="AF306" s="651"/>
      <c r="AG306" s="654"/>
      <c r="AH306" s="654"/>
    </row>
    <row r="307" spans="2:34" x14ac:dyDescent="0.25">
      <c r="B307" s="651"/>
      <c r="C307" s="653"/>
      <c r="D307" s="653"/>
      <c r="E307" s="653"/>
      <c r="F307" s="653"/>
      <c r="G307" s="653"/>
      <c r="H307" s="653"/>
      <c r="I307" s="653"/>
      <c r="J307" s="653"/>
      <c r="K307" s="653"/>
      <c r="L307" s="653"/>
      <c r="M307" s="653"/>
      <c r="N307" s="653"/>
      <c r="O307" s="653"/>
      <c r="P307" s="667" t="str">
        <f t="shared" si="86"/>
        <v/>
      </c>
      <c r="Q307" s="668" t="str">
        <f t="shared" si="87"/>
        <v/>
      </c>
      <c r="R307" s="669" t="str">
        <f t="shared" si="102"/>
        <v/>
      </c>
      <c r="S307" s="669" t="str">
        <f t="shared" si="89"/>
        <v/>
      </c>
      <c r="T307" s="670" t="str">
        <f t="shared" si="90"/>
        <v/>
      </c>
      <c r="U307" s="671" t="str">
        <f t="shared" si="103"/>
        <v/>
      </c>
      <c r="V307" s="672" t="str">
        <f t="shared" si="104"/>
        <v/>
      </c>
      <c r="W307" s="673" t="str">
        <f t="shared" si="105"/>
        <v/>
      </c>
      <c r="X307" s="674" t="str">
        <f t="shared" si="94"/>
        <v/>
      </c>
      <c r="Y307" s="675" t="str">
        <f t="shared" si="95"/>
        <v/>
      </c>
      <c r="Z307" s="675" t="str">
        <f t="shared" si="96"/>
        <v/>
      </c>
      <c r="AA307" s="676">
        <f t="shared" si="97"/>
        <v>0</v>
      </c>
      <c r="AB307" s="670">
        <f t="shared" si="98"/>
        <v>0</v>
      </c>
      <c r="AC307" s="677" t="str">
        <f t="shared" si="99"/>
        <v/>
      </c>
      <c r="AD307" s="679" t="str">
        <f t="shared" si="101"/>
        <v/>
      </c>
      <c r="AE307" s="678">
        <f t="shared" si="100"/>
        <v>0</v>
      </c>
      <c r="AF307" s="651"/>
      <c r="AG307" s="654"/>
      <c r="AH307" s="654"/>
    </row>
    <row r="308" spans="2:34" x14ac:dyDescent="0.25">
      <c r="B308" s="651"/>
      <c r="C308" s="653"/>
      <c r="D308" s="653"/>
      <c r="E308" s="653"/>
      <c r="F308" s="653"/>
      <c r="G308" s="653"/>
      <c r="H308" s="653"/>
      <c r="I308" s="653"/>
      <c r="J308" s="653"/>
      <c r="K308" s="653"/>
      <c r="L308" s="653"/>
      <c r="M308" s="653"/>
      <c r="N308" s="653"/>
      <c r="O308" s="653"/>
      <c r="P308" s="667" t="str">
        <f t="shared" si="86"/>
        <v/>
      </c>
      <c r="Q308" s="668" t="str">
        <f t="shared" si="87"/>
        <v/>
      </c>
      <c r="R308" s="669" t="str">
        <f t="shared" si="102"/>
        <v/>
      </c>
      <c r="S308" s="669" t="str">
        <f t="shared" si="89"/>
        <v/>
      </c>
      <c r="T308" s="670" t="str">
        <f t="shared" si="90"/>
        <v/>
      </c>
      <c r="U308" s="671" t="str">
        <f t="shared" si="103"/>
        <v/>
      </c>
      <c r="V308" s="672" t="str">
        <f t="shared" si="104"/>
        <v/>
      </c>
      <c r="W308" s="673" t="str">
        <f t="shared" si="105"/>
        <v/>
      </c>
      <c r="X308" s="674" t="str">
        <f t="shared" si="94"/>
        <v/>
      </c>
      <c r="Y308" s="675" t="str">
        <f t="shared" si="95"/>
        <v/>
      </c>
      <c r="Z308" s="675" t="str">
        <f t="shared" si="96"/>
        <v/>
      </c>
      <c r="AA308" s="676">
        <f t="shared" si="97"/>
        <v>0</v>
      </c>
      <c r="AB308" s="670">
        <f t="shared" si="98"/>
        <v>0</v>
      </c>
      <c r="AC308" s="677" t="str">
        <f t="shared" si="99"/>
        <v/>
      </c>
      <c r="AD308" s="679" t="str">
        <f t="shared" si="101"/>
        <v/>
      </c>
      <c r="AE308" s="678">
        <f t="shared" si="100"/>
        <v>0</v>
      </c>
      <c r="AF308" s="651"/>
      <c r="AG308" s="654"/>
      <c r="AH308" s="654"/>
    </row>
    <row r="309" spans="2:34" x14ac:dyDescent="0.25">
      <c r="B309" s="651"/>
      <c r="C309" s="653"/>
      <c r="D309" s="653"/>
      <c r="E309" s="653"/>
      <c r="F309" s="653"/>
      <c r="G309" s="653"/>
      <c r="H309" s="653"/>
      <c r="I309" s="653"/>
      <c r="J309" s="653"/>
      <c r="K309" s="653"/>
      <c r="L309" s="653"/>
      <c r="M309" s="653"/>
      <c r="N309" s="653"/>
      <c r="O309" s="653"/>
      <c r="P309" s="667" t="str">
        <f t="shared" si="86"/>
        <v/>
      </c>
      <c r="Q309" s="668" t="str">
        <f t="shared" si="87"/>
        <v/>
      </c>
      <c r="R309" s="669" t="str">
        <f t="shared" si="102"/>
        <v/>
      </c>
      <c r="S309" s="669" t="str">
        <f t="shared" si="89"/>
        <v/>
      </c>
      <c r="T309" s="670" t="str">
        <f t="shared" si="90"/>
        <v/>
      </c>
      <c r="U309" s="671" t="str">
        <f t="shared" si="103"/>
        <v/>
      </c>
      <c r="V309" s="672" t="str">
        <f t="shared" si="104"/>
        <v/>
      </c>
      <c r="W309" s="673" t="str">
        <f t="shared" si="105"/>
        <v/>
      </c>
      <c r="X309" s="674" t="str">
        <f t="shared" si="94"/>
        <v/>
      </c>
      <c r="Y309" s="675" t="str">
        <f t="shared" si="95"/>
        <v/>
      </c>
      <c r="Z309" s="675" t="str">
        <f t="shared" si="96"/>
        <v/>
      </c>
      <c r="AA309" s="676">
        <f t="shared" si="97"/>
        <v>0</v>
      </c>
      <c r="AB309" s="670">
        <f t="shared" si="98"/>
        <v>0</v>
      </c>
      <c r="AC309" s="677" t="str">
        <f t="shared" si="99"/>
        <v/>
      </c>
      <c r="AD309" s="679" t="str">
        <f t="shared" si="101"/>
        <v/>
      </c>
      <c r="AE309" s="678">
        <f t="shared" si="100"/>
        <v>0</v>
      </c>
      <c r="AF309" s="651"/>
      <c r="AG309" s="654"/>
      <c r="AH309" s="654"/>
    </row>
    <row r="310" spans="2:34" x14ac:dyDescent="0.25">
      <c r="B310" s="651"/>
      <c r="C310" s="653"/>
      <c r="D310" s="653"/>
      <c r="E310" s="653"/>
      <c r="F310" s="653"/>
      <c r="G310" s="653"/>
      <c r="H310" s="653"/>
      <c r="I310" s="653"/>
      <c r="J310" s="653"/>
      <c r="K310" s="653"/>
      <c r="L310" s="653"/>
      <c r="M310" s="653"/>
      <c r="N310" s="653"/>
      <c r="O310" s="653"/>
      <c r="P310" s="667" t="str">
        <f t="shared" si="86"/>
        <v/>
      </c>
      <c r="Q310" s="668" t="str">
        <f t="shared" si="87"/>
        <v/>
      </c>
      <c r="R310" s="669" t="str">
        <f t="shared" si="102"/>
        <v/>
      </c>
      <c r="S310" s="669" t="str">
        <f t="shared" si="89"/>
        <v/>
      </c>
      <c r="T310" s="670" t="str">
        <f t="shared" si="90"/>
        <v/>
      </c>
      <c r="U310" s="671" t="str">
        <f t="shared" si="103"/>
        <v/>
      </c>
      <c r="V310" s="672" t="str">
        <f t="shared" si="104"/>
        <v/>
      </c>
      <c r="W310" s="673" t="str">
        <f t="shared" si="105"/>
        <v/>
      </c>
      <c r="X310" s="674" t="str">
        <f t="shared" si="94"/>
        <v/>
      </c>
      <c r="Y310" s="675" t="str">
        <f t="shared" si="95"/>
        <v/>
      </c>
      <c r="Z310" s="675" t="str">
        <f t="shared" si="96"/>
        <v/>
      </c>
      <c r="AA310" s="676">
        <f t="shared" si="97"/>
        <v>0</v>
      </c>
      <c r="AB310" s="670">
        <f t="shared" si="98"/>
        <v>0</v>
      </c>
      <c r="AC310" s="677" t="str">
        <f t="shared" si="99"/>
        <v/>
      </c>
      <c r="AD310" s="679" t="str">
        <f t="shared" si="101"/>
        <v/>
      </c>
      <c r="AE310" s="678">
        <f t="shared" si="100"/>
        <v>0</v>
      </c>
      <c r="AF310" s="651"/>
      <c r="AG310" s="654"/>
      <c r="AH310" s="654"/>
    </row>
    <row r="311" spans="2:34" x14ac:dyDescent="0.25">
      <c r="B311" s="651"/>
      <c r="C311" s="653"/>
      <c r="D311" s="653"/>
      <c r="E311" s="653"/>
      <c r="F311" s="653"/>
      <c r="G311" s="653"/>
      <c r="H311" s="653"/>
      <c r="I311" s="653"/>
      <c r="J311" s="653"/>
      <c r="K311" s="653"/>
      <c r="L311" s="653"/>
      <c r="M311" s="653"/>
      <c r="N311" s="653"/>
      <c r="O311" s="653"/>
      <c r="P311" s="667" t="str">
        <f t="shared" si="86"/>
        <v/>
      </c>
      <c r="Q311" s="668" t="str">
        <f t="shared" si="87"/>
        <v/>
      </c>
      <c r="R311" s="669" t="str">
        <f t="shared" si="102"/>
        <v/>
      </c>
      <c r="S311" s="669" t="str">
        <f t="shared" si="89"/>
        <v/>
      </c>
      <c r="T311" s="670" t="str">
        <f t="shared" si="90"/>
        <v/>
      </c>
      <c r="U311" s="671" t="str">
        <f t="shared" si="103"/>
        <v/>
      </c>
      <c r="V311" s="672" t="str">
        <f t="shared" si="104"/>
        <v/>
      </c>
      <c r="W311" s="673" t="str">
        <f t="shared" si="105"/>
        <v/>
      </c>
      <c r="X311" s="674" t="str">
        <f t="shared" si="94"/>
        <v/>
      </c>
      <c r="Y311" s="675" t="str">
        <f t="shared" si="95"/>
        <v/>
      </c>
      <c r="Z311" s="675" t="str">
        <f t="shared" si="96"/>
        <v/>
      </c>
      <c r="AA311" s="676">
        <f t="shared" si="97"/>
        <v>0</v>
      </c>
      <c r="AB311" s="670">
        <f t="shared" si="98"/>
        <v>0</v>
      </c>
      <c r="AC311" s="677" t="str">
        <f t="shared" si="99"/>
        <v/>
      </c>
      <c r="AD311" s="679" t="str">
        <f t="shared" si="101"/>
        <v/>
      </c>
      <c r="AE311" s="678">
        <f t="shared" si="100"/>
        <v>0</v>
      </c>
      <c r="AF311" s="651"/>
      <c r="AG311" s="654"/>
      <c r="AH311" s="654"/>
    </row>
    <row r="312" spans="2:34" x14ac:dyDescent="0.25">
      <c r="B312" s="651"/>
      <c r="C312" s="653"/>
      <c r="D312" s="653"/>
      <c r="E312" s="653"/>
      <c r="F312" s="653"/>
      <c r="G312" s="653"/>
      <c r="H312" s="653"/>
      <c r="I312" s="653"/>
      <c r="J312" s="653"/>
      <c r="K312" s="653"/>
      <c r="L312" s="653"/>
      <c r="M312" s="653"/>
      <c r="N312" s="653"/>
      <c r="O312" s="653"/>
      <c r="P312" s="667" t="str">
        <f t="shared" si="86"/>
        <v/>
      </c>
      <c r="Q312" s="668" t="str">
        <f t="shared" si="87"/>
        <v/>
      </c>
      <c r="R312" s="669" t="str">
        <f t="shared" si="102"/>
        <v/>
      </c>
      <c r="S312" s="669" t="str">
        <f t="shared" si="89"/>
        <v/>
      </c>
      <c r="T312" s="670" t="str">
        <f t="shared" si="90"/>
        <v/>
      </c>
      <c r="U312" s="671" t="str">
        <f t="shared" si="103"/>
        <v/>
      </c>
      <c r="V312" s="672" t="str">
        <f t="shared" si="104"/>
        <v/>
      </c>
      <c r="W312" s="673" t="str">
        <f t="shared" si="105"/>
        <v/>
      </c>
      <c r="X312" s="674" t="str">
        <f t="shared" si="94"/>
        <v/>
      </c>
      <c r="Y312" s="675" t="str">
        <f t="shared" si="95"/>
        <v/>
      </c>
      <c r="Z312" s="675" t="str">
        <f t="shared" si="96"/>
        <v/>
      </c>
      <c r="AA312" s="676">
        <f t="shared" si="97"/>
        <v>0</v>
      </c>
      <c r="AB312" s="670">
        <f t="shared" si="98"/>
        <v>0</v>
      </c>
      <c r="AC312" s="677" t="str">
        <f t="shared" si="99"/>
        <v/>
      </c>
      <c r="AD312" s="679" t="str">
        <f t="shared" si="101"/>
        <v/>
      </c>
      <c r="AE312" s="678">
        <f t="shared" si="100"/>
        <v>0</v>
      </c>
      <c r="AF312" s="651"/>
      <c r="AG312" s="654"/>
      <c r="AH312" s="654"/>
    </row>
    <row r="313" spans="2:34" x14ac:dyDescent="0.25">
      <c r="B313" s="651"/>
      <c r="C313" s="653"/>
      <c r="D313" s="653"/>
      <c r="E313" s="653"/>
      <c r="F313" s="653"/>
      <c r="G313" s="653"/>
      <c r="H313" s="653"/>
      <c r="I313" s="653"/>
      <c r="J313" s="653"/>
      <c r="K313" s="653"/>
      <c r="L313" s="653"/>
      <c r="M313" s="653"/>
      <c r="N313" s="653"/>
      <c r="O313" s="653"/>
      <c r="P313" s="667" t="str">
        <f t="shared" si="86"/>
        <v/>
      </c>
      <c r="Q313" s="668" t="str">
        <f t="shared" si="87"/>
        <v/>
      </c>
      <c r="R313" s="669" t="str">
        <f t="shared" si="102"/>
        <v/>
      </c>
      <c r="S313" s="669" t="str">
        <f t="shared" si="89"/>
        <v/>
      </c>
      <c r="T313" s="670" t="str">
        <f t="shared" si="90"/>
        <v/>
      </c>
      <c r="U313" s="671" t="str">
        <f t="shared" si="103"/>
        <v/>
      </c>
      <c r="V313" s="672" t="str">
        <f t="shared" si="104"/>
        <v/>
      </c>
      <c r="W313" s="673" t="str">
        <f t="shared" si="105"/>
        <v/>
      </c>
      <c r="X313" s="674" t="str">
        <f t="shared" si="94"/>
        <v/>
      </c>
      <c r="Y313" s="675" t="str">
        <f t="shared" si="95"/>
        <v/>
      </c>
      <c r="Z313" s="675" t="str">
        <f t="shared" si="96"/>
        <v/>
      </c>
      <c r="AA313" s="676">
        <f t="shared" si="97"/>
        <v>0</v>
      </c>
      <c r="AB313" s="670">
        <f t="shared" si="98"/>
        <v>0</v>
      </c>
      <c r="AC313" s="677" t="str">
        <f t="shared" si="99"/>
        <v/>
      </c>
      <c r="AD313" s="679" t="str">
        <f t="shared" si="101"/>
        <v/>
      </c>
      <c r="AE313" s="678">
        <f t="shared" si="100"/>
        <v>0</v>
      </c>
      <c r="AF313" s="651"/>
      <c r="AG313" s="654"/>
      <c r="AH313" s="654"/>
    </row>
    <row r="314" spans="2:34" x14ac:dyDescent="0.25">
      <c r="B314" s="651"/>
      <c r="C314" s="653"/>
      <c r="D314" s="653"/>
      <c r="E314" s="653"/>
      <c r="F314" s="653"/>
      <c r="G314" s="653"/>
      <c r="H314" s="653"/>
      <c r="I314" s="653"/>
      <c r="J314" s="653"/>
      <c r="K314" s="653"/>
      <c r="L314" s="653"/>
      <c r="M314" s="653"/>
      <c r="N314" s="653"/>
      <c r="O314" s="653"/>
      <c r="P314" s="667" t="str">
        <f t="shared" si="86"/>
        <v/>
      </c>
      <c r="Q314" s="668" t="str">
        <f t="shared" si="87"/>
        <v/>
      </c>
      <c r="R314" s="669" t="str">
        <f t="shared" si="102"/>
        <v/>
      </c>
      <c r="S314" s="669" t="str">
        <f t="shared" si="89"/>
        <v/>
      </c>
      <c r="T314" s="670" t="str">
        <f t="shared" si="90"/>
        <v/>
      </c>
      <c r="U314" s="671" t="str">
        <f t="shared" si="103"/>
        <v/>
      </c>
      <c r="V314" s="672" t="str">
        <f t="shared" si="104"/>
        <v/>
      </c>
      <c r="W314" s="673" t="str">
        <f t="shared" si="105"/>
        <v/>
      </c>
      <c r="X314" s="674" t="str">
        <f t="shared" si="94"/>
        <v/>
      </c>
      <c r="Y314" s="675" t="str">
        <f t="shared" si="95"/>
        <v/>
      </c>
      <c r="Z314" s="675" t="str">
        <f t="shared" si="96"/>
        <v/>
      </c>
      <c r="AA314" s="676">
        <f t="shared" si="97"/>
        <v>0</v>
      </c>
      <c r="AB314" s="670">
        <f t="shared" si="98"/>
        <v>0</v>
      </c>
      <c r="AC314" s="677" t="str">
        <f t="shared" si="99"/>
        <v/>
      </c>
      <c r="AD314" s="679" t="str">
        <f t="shared" si="101"/>
        <v/>
      </c>
      <c r="AE314" s="678">
        <f t="shared" si="100"/>
        <v>0</v>
      </c>
      <c r="AF314" s="651"/>
      <c r="AG314" s="654"/>
      <c r="AH314" s="654"/>
    </row>
    <row r="315" spans="2:34" x14ac:dyDescent="0.25">
      <c r="B315" s="651"/>
      <c r="C315" s="653"/>
      <c r="D315" s="653"/>
      <c r="E315" s="653"/>
      <c r="F315" s="653"/>
      <c r="G315" s="653"/>
      <c r="H315" s="653"/>
      <c r="I315" s="653"/>
      <c r="J315" s="653"/>
      <c r="K315" s="653"/>
      <c r="L315" s="653"/>
      <c r="M315" s="653"/>
      <c r="N315" s="653"/>
      <c r="O315" s="653"/>
      <c r="P315" s="667" t="str">
        <f t="shared" si="86"/>
        <v/>
      </c>
      <c r="Q315" s="668" t="str">
        <f t="shared" si="87"/>
        <v/>
      </c>
      <c r="R315" s="669" t="str">
        <f t="shared" si="102"/>
        <v/>
      </c>
      <c r="S315" s="669" t="str">
        <f t="shared" si="89"/>
        <v/>
      </c>
      <c r="T315" s="670" t="str">
        <f t="shared" si="90"/>
        <v/>
      </c>
      <c r="U315" s="671" t="str">
        <f t="shared" si="103"/>
        <v/>
      </c>
      <c r="V315" s="672" t="str">
        <f t="shared" si="104"/>
        <v/>
      </c>
      <c r="W315" s="673" t="str">
        <f t="shared" si="105"/>
        <v/>
      </c>
      <c r="X315" s="674" t="str">
        <f t="shared" si="94"/>
        <v/>
      </c>
      <c r="Y315" s="675" t="str">
        <f t="shared" si="95"/>
        <v/>
      </c>
      <c r="Z315" s="675" t="str">
        <f t="shared" si="96"/>
        <v/>
      </c>
      <c r="AA315" s="676">
        <f t="shared" si="97"/>
        <v>0</v>
      </c>
      <c r="AB315" s="670">
        <f t="shared" si="98"/>
        <v>0</v>
      </c>
      <c r="AC315" s="677" t="str">
        <f t="shared" si="99"/>
        <v/>
      </c>
      <c r="AD315" s="679" t="str">
        <f t="shared" si="101"/>
        <v/>
      </c>
      <c r="AE315" s="678">
        <f t="shared" si="100"/>
        <v>0</v>
      </c>
      <c r="AF315" s="651"/>
      <c r="AG315" s="654"/>
      <c r="AH315" s="654"/>
    </row>
    <row r="316" spans="2:34" x14ac:dyDescent="0.25">
      <c r="B316" s="651"/>
      <c r="C316" s="653"/>
      <c r="D316" s="653"/>
      <c r="E316" s="653"/>
      <c r="F316" s="653"/>
      <c r="G316" s="653"/>
      <c r="H316" s="653"/>
      <c r="I316" s="653"/>
      <c r="J316" s="653"/>
      <c r="K316" s="653"/>
      <c r="L316" s="653"/>
      <c r="M316" s="653"/>
      <c r="N316" s="653"/>
      <c r="O316" s="653"/>
      <c r="P316" s="667" t="str">
        <f t="shared" si="86"/>
        <v/>
      </c>
      <c r="Q316" s="668" t="str">
        <f t="shared" si="87"/>
        <v/>
      </c>
      <c r="R316" s="669" t="str">
        <f t="shared" si="102"/>
        <v/>
      </c>
      <c r="S316" s="669" t="str">
        <f t="shared" si="89"/>
        <v/>
      </c>
      <c r="T316" s="670" t="str">
        <f t="shared" si="90"/>
        <v/>
      </c>
      <c r="U316" s="671" t="str">
        <f t="shared" si="103"/>
        <v/>
      </c>
      <c r="V316" s="672" t="str">
        <f t="shared" si="104"/>
        <v/>
      </c>
      <c r="W316" s="673" t="str">
        <f t="shared" si="105"/>
        <v/>
      </c>
      <c r="X316" s="674" t="str">
        <f t="shared" si="94"/>
        <v/>
      </c>
      <c r="Y316" s="675" t="str">
        <f t="shared" si="95"/>
        <v/>
      </c>
      <c r="Z316" s="675" t="str">
        <f t="shared" si="96"/>
        <v/>
      </c>
      <c r="AA316" s="676">
        <f t="shared" si="97"/>
        <v>0</v>
      </c>
      <c r="AB316" s="670">
        <f t="shared" si="98"/>
        <v>0</v>
      </c>
      <c r="AC316" s="677" t="str">
        <f t="shared" si="99"/>
        <v/>
      </c>
      <c r="AD316" s="679" t="str">
        <f t="shared" si="101"/>
        <v/>
      </c>
      <c r="AE316" s="678">
        <f t="shared" si="100"/>
        <v>0</v>
      </c>
      <c r="AF316" s="651"/>
      <c r="AG316" s="654"/>
      <c r="AH316" s="654"/>
    </row>
    <row r="317" spans="2:34" x14ac:dyDescent="0.25">
      <c r="B317" s="651"/>
      <c r="C317" s="653"/>
      <c r="D317" s="653"/>
      <c r="E317" s="653"/>
      <c r="F317" s="653"/>
      <c r="G317" s="653"/>
      <c r="H317" s="653"/>
      <c r="I317" s="653"/>
      <c r="J317" s="653"/>
      <c r="K317" s="653"/>
      <c r="L317" s="653"/>
      <c r="M317" s="653"/>
      <c r="N317" s="653"/>
      <c r="O317" s="653"/>
      <c r="P317" s="667" t="str">
        <f t="shared" si="86"/>
        <v/>
      </c>
      <c r="Q317" s="668" t="str">
        <f t="shared" si="87"/>
        <v/>
      </c>
      <c r="R317" s="669" t="str">
        <f t="shared" si="102"/>
        <v/>
      </c>
      <c r="S317" s="669" t="str">
        <f t="shared" si="89"/>
        <v/>
      </c>
      <c r="T317" s="670" t="str">
        <f t="shared" si="90"/>
        <v/>
      </c>
      <c r="U317" s="671" t="str">
        <f t="shared" si="103"/>
        <v/>
      </c>
      <c r="V317" s="672" t="str">
        <f t="shared" si="104"/>
        <v/>
      </c>
      <c r="W317" s="673" t="str">
        <f t="shared" si="105"/>
        <v/>
      </c>
      <c r="X317" s="674" t="str">
        <f t="shared" si="94"/>
        <v/>
      </c>
      <c r="Y317" s="675" t="str">
        <f t="shared" si="95"/>
        <v/>
      </c>
      <c r="Z317" s="675" t="str">
        <f t="shared" si="96"/>
        <v/>
      </c>
      <c r="AA317" s="676">
        <f t="shared" si="97"/>
        <v>0</v>
      </c>
      <c r="AB317" s="670">
        <f t="shared" si="98"/>
        <v>0</v>
      </c>
      <c r="AC317" s="677" t="str">
        <f t="shared" si="99"/>
        <v/>
      </c>
      <c r="AD317" s="679" t="str">
        <f t="shared" si="101"/>
        <v/>
      </c>
      <c r="AE317" s="678">
        <f t="shared" si="100"/>
        <v>0</v>
      </c>
      <c r="AF317" s="651"/>
      <c r="AG317" s="654"/>
      <c r="AH317" s="654"/>
    </row>
    <row r="318" spans="2:34" x14ac:dyDescent="0.25">
      <c r="B318" s="651"/>
      <c r="C318" s="653"/>
      <c r="D318" s="653"/>
      <c r="E318" s="653"/>
      <c r="F318" s="653"/>
      <c r="G318" s="653"/>
      <c r="H318" s="653"/>
      <c r="I318" s="653"/>
      <c r="J318" s="653"/>
      <c r="K318" s="653"/>
      <c r="L318" s="653"/>
      <c r="M318" s="653"/>
      <c r="N318" s="653"/>
      <c r="O318" s="653"/>
      <c r="P318" s="667" t="str">
        <f t="shared" si="86"/>
        <v/>
      </c>
      <c r="Q318" s="668" t="str">
        <f t="shared" si="87"/>
        <v/>
      </c>
      <c r="R318" s="669" t="str">
        <f t="shared" si="102"/>
        <v/>
      </c>
      <c r="S318" s="669" t="str">
        <f t="shared" si="89"/>
        <v/>
      </c>
      <c r="T318" s="670" t="str">
        <f t="shared" si="90"/>
        <v/>
      </c>
      <c r="U318" s="671" t="str">
        <f t="shared" si="103"/>
        <v/>
      </c>
      <c r="V318" s="672" t="str">
        <f t="shared" si="104"/>
        <v/>
      </c>
      <c r="W318" s="673" t="str">
        <f t="shared" si="105"/>
        <v/>
      </c>
      <c r="X318" s="674" t="str">
        <f t="shared" si="94"/>
        <v/>
      </c>
      <c r="Y318" s="675" t="str">
        <f t="shared" si="95"/>
        <v/>
      </c>
      <c r="Z318" s="675" t="str">
        <f t="shared" si="96"/>
        <v/>
      </c>
      <c r="AA318" s="676">
        <f t="shared" si="97"/>
        <v>0</v>
      </c>
      <c r="AB318" s="670">
        <f t="shared" si="98"/>
        <v>0</v>
      </c>
      <c r="AC318" s="677" t="str">
        <f t="shared" si="99"/>
        <v/>
      </c>
      <c r="AD318" s="679" t="str">
        <f t="shared" si="101"/>
        <v/>
      </c>
      <c r="AE318" s="678">
        <f t="shared" si="100"/>
        <v>0</v>
      </c>
      <c r="AF318" s="651"/>
      <c r="AG318" s="654"/>
      <c r="AH318" s="654"/>
    </row>
    <row r="319" spans="2:34" x14ac:dyDescent="0.25">
      <c r="B319" s="651"/>
      <c r="C319" s="653"/>
      <c r="D319" s="653"/>
      <c r="E319" s="653"/>
      <c r="F319" s="653"/>
      <c r="G319" s="653"/>
      <c r="H319" s="653"/>
      <c r="I319" s="653"/>
      <c r="J319" s="653"/>
      <c r="K319" s="653"/>
      <c r="L319" s="653"/>
      <c r="M319" s="653"/>
      <c r="N319" s="653"/>
      <c r="O319" s="653"/>
      <c r="P319" s="667" t="str">
        <f t="shared" si="86"/>
        <v/>
      </c>
      <c r="Q319" s="668" t="str">
        <f t="shared" si="87"/>
        <v/>
      </c>
      <c r="R319" s="669" t="str">
        <f t="shared" si="102"/>
        <v/>
      </c>
      <c r="S319" s="669" t="str">
        <f t="shared" si="89"/>
        <v/>
      </c>
      <c r="T319" s="670" t="str">
        <f t="shared" si="90"/>
        <v/>
      </c>
      <c r="U319" s="671" t="str">
        <f t="shared" si="103"/>
        <v/>
      </c>
      <c r="V319" s="672" t="str">
        <f t="shared" si="104"/>
        <v/>
      </c>
      <c r="W319" s="673" t="str">
        <f t="shared" si="105"/>
        <v/>
      </c>
      <c r="X319" s="674" t="str">
        <f t="shared" si="94"/>
        <v/>
      </c>
      <c r="Y319" s="675" t="str">
        <f t="shared" si="95"/>
        <v/>
      </c>
      <c r="Z319" s="675" t="str">
        <f t="shared" si="96"/>
        <v/>
      </c>
      <c r="AA319" s="676">
        <f t="shared" si="97"/>
        <v>0</v>
      </c>
      <c r="AB319" s="670">
        <f t="shared" si="98"/>
        <v>0</v>
      </c>
      <c r="AC319" s="677" t="str">
        <f t="shared" si="99"/>
        <v/>
      </c>
      <c r="AD319" s="679" t="str">
        <f t="shared" si="101"/>
        <v/>
      </c>
      <c r="AE319" s="678">
        <f t="shared" si="100"/>
        <v>0</v>
      </c>
      <c r="AF319" s="651"/>
      <c r="AG319" s="654"/>
      <c r="AH319" s="654"/>
    </row>
    <row r="320" spans="2:34" x14ac:dyDescent="0.25">
      <c r="B320" s="651"/>
      <c r="C320" s="653"/>
      <c r="D320" s="653"/>
      <c r="E320" s="653"/>
      <c r="F320" s="653"/>
      <c r="G320" s="653"/>
      <c r="H320" s="653"/>
      <c r="I320" s="653"/>
      <c r="J320" s="653"/>
      <c r="K320" s="653"/>
      <c r="L320" s="653"/>
      <c r="M320" s="653"/>
      <c r="N320" s="653"/>
      <c r="O320" s="653"/>
      <c r="P320" s="667" t="str">
        <f t="shared" si="86"/>
        <v/>
      </c>
      <c r="Q320" s="668" t="str">
        <f t="shared" si="87"/>
        <v/>
      </c>
      <c r="R320" s="669" t="str">
        <f t="shared" si="102"/>
        <v/>
      </c>
      <c r="S320" s="669" t="str">
        <f t="shared" si="89"/>
        <v/>
      </c>
      <c r="T320" s="670" t="str">
        <f t="shared" si="90"/>
        <v/>
      </c>
      <c r="U320" s="671" t="str">
        <f t="shared" si="103"/>
        <v/>
      </c>
      <c r="V320" s="672" t="str">
        <f t="shared" si="104"/>
        <v/>
      </c>
      <c r="W320" s="673" t="str">
        <f t="shared" si="105"/>
        <v/>
      </c>
      <c r="X320" s="674" t="str">
        <f t="shared" si="94"/>
        <v/>
      </c>
      <c r="Y320" s="675" t="str">
        <f t="shared" si="95"/>
        <v/>
      </c>
      <c r="Z320" s="675" t="str">
        <f t="shared" si="96"/>
        <v/>
      </c>
      <c r="AA320" s="676">
        <f t="shared" si="97"/>
        <v>0</v>
      </c>
      <c r="AB320" s="670">
        <f t="shared" si="98"/>
        <v>0</v>
      </c>
      <c r="AC320" s="677" t="str">
        <f t="shared" si="99"/>
        <v/>
      </c>
      <c r="AD320" s="679" t="str">
        <f t="shared" si="101"/>
        <v/>
      </c>
      <c r="AE320" s="678">
        <f t="shared" si="100"/>
        <v>0</v>
      </c>
      <c r="AF320" s="651"/>
      <c r="AG320" s="654"/>
      <c r="AH320" s="654"/>
    </row>
    <row r="321" spans="2:34" x14ac:dyDescent="0.25">
      <c r="B321" s="651"/>
      <c r="C321" s="653"/>
      <c r="D321" s="653"/>
      <c r="E321" s="653"/>
      <c r="F321" s="653"/>
      <c r="G321" s="653"/>
      <c r="H321" s="653"/>
      <c r="I321" s="653"/>
      <c r="J321" s="653"/>
      <c r="K321" s="653"/>
      <c r="L321" s="653"/>
      <c r="M321" s="653"/>
      <c r="N321" s="653"/>
      <c r="O321" s="653"/>
      <c r="P321" s="667" t="str">
        <f t="shared" si="86"/>
        <v/>
      </c>
      <c r="Q321" s="668" t="str">
        <f t="shared" si="87"/>
        <v/>
      </c>
      <c r="R321" s="669" t="str">
        <f t="shared" si="102"/>
        <v/>
      </c>
      <c r="S321" s="669" t="str">
        <f t="shared" si="89"/>
        <v/>
      </c>
      <c r="T321" s="670" t="str">
        <f t="shared" si="90"/>
        <v/>
      </c>
      <c r="U321" s="671" t="str">
        <f t="shared" si="103"/>
        <v/>
      </c>
      <c r="V321" s="672" t="str">
        <f t="shared" si="104"/>
        <v/>
      </c>
      <c r="W321" s="673" t="str">
        <f t="shared" si="105"/>
        <v/>
      </c>
      <c r="X321" s="674" t="str">
        <f t="shared" si="94"/>
        <v/>
      </c>
      <c r="Y321" s="675" t="str">
        <f t="shared" si="95"/>
        <v/>
      </c>
      <c r="Z321" s="675" t="str">
        <f t="shared" si="96"/>
        <v/>
      </c>
      <c r="AA321" s="676">
        <f t="shared" si="97"/>
        <v>0</v>
      </c>
      <c r="AB321" s="670">
        <f t="shared" si="98"/>
        <v>0</v>
      </c>
      <c r="AC321" s="677" t="str">
        <f t="shared" si="99"/>
        <v/>
      </c>
      <c r="AD321" s="679" t="str">
        <f t="shared" si="101"/>
        <v/>
      </c>
      <c r="AE321" s="678">
        <f t="shared" si="100"/>
        <v>0</v>
      </c>
      <c r="AF321" s="651"/>
      <c r="AG321" s="654"/>
      <c r="AH321" s="654"/>
    </row>
    <row r="322" spans="2:34" x14ac:dyDescent="0.25">
      <c r="B322" s="651"/>
      <c r="C322" s="653"/>
      <c r="D322" s="653"/>
      <c r="E322" s="653"/>
      <c r="F322" s="653"/>
      <c r="G322" s="653"/>
      <c r="H322" s="653"/>
      <c r="I322" s="653"/>
      <c r="J322" s="653"/>
      <c r="K322" s="653"/>
      <c r="L322" s="653"/>
      <c r="M322" s="653"/>
      <c r="N322" s="653"/>
      <c r="O322" s="653"/>
      <c r="P322" s="667" t="str">
        <f t="shared" si="86"/>
        <v/>
      </c>
      <c r="Q322" s="668"/>
      <c r="R322" s="669" t="str">
        <f t="shared" si="102"/>
        <v/>
      </c>
      <c r="S322" s="669" t="str">
        <f>IF(R322="","",IF(AND(P322&gt;=$T$8,P322&lt;=$T$9)=TRUE,IF($T$11="",Q322-R322,IF(Q322&gt;$T$11,$T$11-R322,Q322-R322)),0))</f>
        <v/>
      </c>
      <c r="T322" s="670" t="str">
        <f>IF(S322="","",IF(AND(P322&gt;=$V$8,P322&lt;=$V$9)=TRUE,IF($V$11="",Q322-R322-S322,IF(Q322&gt;$V$10,Q322-R322-S322,0)),0))</f>
        <v/>
      </c>
      <c r="U322" s="671" t="str">
        <f t="shared" si="103"/>
        <v/>
      </c>
      <c r="V322" s="672" t="str">
        <f t="shared" si="104"/>
        <v/>
      </c>
      <c r="W322" s="673" t="str">
        <f t="shared" si="105"/>
        <v/>
      </c>
      <c r="X322" s="674" t="str">
        <f t="shared" si="94"/>
        <v/>
      </c>
      <c r="Y322" s="675" t="str">
        <f t="shared" si="95"/>
        <v/>
      </c>
      <c r="Z322" s="675" t="str">
        <f t="shared" si="96"/>
        <v/>
      </c>
      <c r="AA322" s="676">
        <f t="shared" si="97"/>
        <v>0</v>
      </c>
      <c r="AB322" s="670">
        <f>IF(AA322="","",(IF(AND(P322&lt;=$R$9,P322&gt;=$R$8)=TRUE,$R$6,0)+IF(AND(P322&lt;=$T$9,P322&gt;=$T$8)=TRUE,$T$6,0)+IF(AND(P322&lt;=$V$9,P322&gt;=$V$8)=TRUE,$V$6,0))*-1)</f>
        <v>0</v>
      </c>
      <c r="AC322" s="677"/>
      <c r="AD322" s="679" t="str">
        <f t="shared" si="101"/>
        <v/>
      </c>
      <c r="AE322" s="678">
        <f t="shared" si="100"/>
        <v>0</v>
      </c>
      <c r="AF322" s="651"/>
      <c r="AG322" s="654"/>
      <c r="AH322" s="654"/>
    </row>
    <row r="323" spans="2:34" ht="15.75" thickBot="1" x14ac:dyDescent="0.3">
      <c r="B323" s="651"/>
      <c r="C323" s="653"/>
      <c r="D323" s="653"/>
      <c r="E323" s="653"/>
      <c r="F323" s="653"/>
      <c r="G323" s="653"/>
      <c r="H323" s="653"/>
      <c r="I323" s="653"/>
      <c r="J323" s="653"/>
      <c r="K323" s="653"/>
      <c r="L323" s="653"/>
      <c r="M323" s="653"/>
      <c r="N323" s="653"/>
      <c r="O323" s="653"/>
      <c r="P323" s="660" t="str">
        <f t="shared" si="86"/>
        <v/>
      </c>
      <c r="Q323" s="661"/>
      <c r="R323" s="662" t="str">
        <f t="shared" si="102"/>
        <v/>
      </c>
      <c r="S323" s="662" t="str">
        <f>IF(R323="","",IF(AND(P323&gt;=$T$8,P323&lt;=$T$9)=TRUE,IF($T$11="",Q323-R323,IF(Q323&gt;$T$11,$T$11-R323,Q323-R323)),0))</f>
        <v/>
      </c>
      <c r="T323" s="663" t="str">
        <f>IF(S323="","",IF(AND(P323&gt;=$V$8,P323&lt;=$V$9)=TRUE,IF($V$11="",Q323-R323-S323,IF(Q323&gt;$V$10,Q323-R323-S323,0)),0))</f>
        <v/>
      </c>
      <c r="U323" s="682" t="str">
        <f t="shared" si="103"/>
        <v/>
      </c>
      <c r="V323" s="683" t="str">
        <f t="shared" si="104"/>
        <v/>
      </c>
      <c r="W323" s="684" t="str">
        <f t="shared" si="105"/>
        <v/>
      </c>
      <c r="X323" s="685" t="str">
        <f t="shared" si="94"/>
        <v/>
      </c>
      <c r="Y323" s="686" t="str">
        <f t="shared" si="95"/>
        <v/>
      </c>
      <c r="Z323" s="686" t="str">
        <f t="shared" si="96"/>
        <v/>
      </c>
      <c r="AA323" s="676">
        <f t="shared" si="97"/>
        <v>0</v>
      </c>
      <c r="AB323" s="663">
        <f>IF(AA323="","",(IF(AND(P323&lt;=$R$9,P323&gt;=$R$8)=TRUE,$R$6,0)+IF(AND(P323&lt;=$T$9,P323&gt;=$T$8)=TRUE,$T$6,0)+IF(AND(P323&lt;=$V$9,P323&gt;=$V$8)=TRUE,$V$6,0))*-1)</f>
        <v>0</v>
      </c>
      <c r="AC323" s="687"/>
      <c r="AD323" s="688" t="str">
        <f t="shared" si="101"/>
        <v/>
      </c>
      <c r="AE323" s="678">
        <f t="shared" si="100"/>
        <v>0</v>
      </c>
      <c r="AF323" s="680"/>
      <c r="AG323" s="666"/>
      <c r="AH323" s="654"/>
    </row>
    <row r="324" spans="2:34" x14ac:dyDescent="0.25">
      <c r="B324" s="651"/>
      <c r="C324" s="653"/>
      <c r="D324" s="653"/>
      <c r="E324" s="653"/>
      <c r="F324" s="653"/>
      <c r="G324" s="653"/>
      <c r="H324" s="653"/>
      <c r="I324" s="653"/>
      <c r="J324" s="653"/>
      <c r="K324" s="653"/>
      <c r="L324" s="653"/>
      <c r="M324" s="653"/>
      <c r="N324" s="653"/>
      <c r="O324" s="653"/>
      <c r="P324" s="653"/>
      <c r="Q324" s="653"/>
      <c r="R324" s="653"/>
      <c r="S324" s="653"/>
      <c r="T324" s="653"/>
      <c r="U324" s="653"/>
      <c r="V324" s="653"/>
      <c r="W324" s="653"/>
      <c r="X324" s="653"/>
      <c r="Y324" s="653"/>
      <c r="Z324" s="653" t="s">
        <v>555</v>
      </c>
      <c r="AA324" s="798">
        <f ca="1">NPV(BERECHNUNG!$D$157,AA272:AA321)*-1</f>
        <v>-12154.257261502009</v>
      </c>
      <c r="AB324" s="798">
        <f ca="1">NPV(BERECHNUNG!$D$157,AB272:AB321)*-1</f>
        <v>0</v>
      </c>
      <c r="AC324" s="653"/>
      <c r="AD324" s="653"/>
      <c r="AE324" s="798">
        <f>NPV(BERECHNUNG!$D$157,AE272:AE321)*-1</f>
        <v>-58061.253662397947</v>
      </c>
      <c r="AF324" s="653"/>
      <c r="AG324" s="653"/>
      <c r="AH324" s="654"/>
    </row>
    <row r="325" spans="2:34" ht="15.75" thickBot="1" x14ac:dyDescent="0.3">
      <c r="B325" s="680"/>
      <c r="C325" s="681"/>
      <c r="D325" s="681"/>
      <c r="E325" s="681"/>
      <c r="F325" s="681"/>
      <c r="G325" s="681"/>
      <c r="H325" s="681"/>
      <c r="I325" s="681"/>
      <c r="J325" s="681"/>
      <c r="K325" s="681"/>
      <c r="L325" s="681"/>
      <c r="M325" s="681"/>
      <c r="N325" s="681"/>
      <c r="O325" s="681"/>
      <c r="P325" s="681"/>
      <c r="Q325" s="681"/>
      <c r="R325" s="681"/>
      <c r="S325" s="681"/>
      <c r="T325" s="681"/>
      <c r="U325" s="681"/>
      <c r="V325" s="681"/>
      <c r="W325" s="681"/>
      <c r="X325" s="681"/>
      <c r="Y325" s="681"/>
      <c r="Z325" s="681"/>
      <c r="AA325" s="681"/>
      <c r="AB325" s="681"/>
      <c r="AC325" s="681"/>
      <c r="AD325" s="681"/>
      <c r="AE325" s="681"/>
      <c r="AF325" s="681"/>
      <c r="AG325" s="681"/>
      <c r="AH325" s="666"/>
    </row>
  </sheetData>
  <mergeCells count="27">
    <mergeCell ref="Q269:AB269"/>
    <mergeCell ref="AC269:AE269"/>
    <mergeCell ref="Q270:T270"/>
    <mergeCell ref="U270:W270"/>
    <mergeCell ref="X270:AA270"/>
    <mergeCell ref="Q206:AB206"/>
    <mergeCell ref="AC206:AE206"/>
    <mergeCell ref="Q207:T207"/>
    <mergeCell ref="U207:W207"/>
    <mergeCell ref="X207:AA207"/>
    <mergeCell ref="Q143:AB143"/>
    <mergeCell ref="AC143:AE143"/>
    <mergeCell ref="Q144:T144"/>
    <mergeCell ref="U144:W144"/>
    <mergeCell ref="X144:AA144"/>
    <mergeCell ref="Q80:AB80"/>
    <mergeCell ref="AC80:AE80"/>
    <mergeCell ref="Q81:T81"/>
    <mergeCell ref="U81:W81"/>
    <mergeCell ref="X81:AA81"/>
    <mergeCell ref="O5:O7"/>
    <mergeCell ref="O8:O11"/>
    <mergeCell ref="Q17:AB17"/>
    <mergeCell ref="AC17:AE17"/>
    <mergeCell ref="Q18:T18"/>
    <mergeCell ref="U18:W18"/>
    <mergeCell ref="X18:AA18"/>
  </mergeCells>
  <pageMargins left="0.7" right="0.7" top="0.78740157499999996" bottom="0.78740157499999996" header="0.3" footer="0.3"/>
  <pageSetup paperSize="9" orientation="portrait" horizontalDpi="1200" verticalDpi="1200"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1"/>
  </sheetPr>
  <dimension ref="B1:BV701"/>
  <sheetViews>
    <sheetView topLeftCell="O1" zoomScale="70" zoomScaleNormal="70" workbookViewId="0">
      <selection activeCell="O34" sqref="O34"/>
    </sheetView>
  </sheetViews>
  <sheetFormatPr baseColWidth="10" defaultRowHeight="15" x14ac:dyDescent="0.25"/>
  <cols>
    <col min="2" max="2" width="38.5703125" customWidth="1"/>
    <col min="3" max="3" width="11.28515625" customWidth="1"/>
    <col min="6" max="6" width="13.85546875" customWidth="1"/>
    <col min="7" max="7" width="20.5703125" customWidth="1"/>
    <col min="8" max="8" width="33.28515625" customWidth="1"/>
    <col min="9" max="9" width="52.7109375" customWidth="1"/>
    <col min="10" max="10" width="13.42578125" customWidth="1"/>
    <col min="11" max="11" width="52.7109375" customWidth="1"/>
    <col min="12" max="12" width="13.42578125" customWidth="1"/>
    <col min="13" max="13" width="52.7109375" customWidth="1"/>
    <col min="14" max="14" width="31.7109375" customWidth="1"/>
    <col min="15" max="15" width="52.7109375" customWidth="1"/>
    <col min="16" max="16" width="37.28515625" customWidth="1"/>
    <col min="17" max="17" width="64.7109375" customWidth="1"/>
    <col min="18" max="18" width="14.28515625" customWidth="1"/>
    <col min="24" max="24" width="31.28515625" customWidth="1"/>
    <col min="25" max="25" width="43" customWidth="1"/>
    <col min="26" max="26" width="25.5703125" customWidth="1"/>
    <col min="27" max="28" width="20.42578125" customWidth="1"/>
  </cols>
  <sheetData>
    <row r="1" spans="2:28" ht="15.75" thickBot="1" x14ac:dyDescent="0.3"/>
    <row r="2" spans="2:28" ht="27" thickBot="1" x14ac:dyDescent="0.45">
      <c r="B2" s="956" t="s">
        <v>694</v>
      </c>
      <c r="C2" s="957"/>
      <c r="D2" s="958"/>
    </row>
    <row r="3" spans="2:28" ht="27" thickBot="1" x14ac:dyDescent="0.45">
      <c r="B3" s="934"/>
      <c r="C3" s="935"/>
      <c r="D3" s="936"/>
      <c r="I3" s="1698" t="s">
        <v>622</v>
      </c>
      <c r="J3" s="1699"/>
      <c r="K3" s="1699"/>
      <c r="L3" s="1699"/>
      <c r="M3" s="1699"/>
      <c r="N3" s="1699"/>
      <c r="O3" s="1699"/>
      <c r="P3" s="1699"/>
      <c r="Q3" s="1699"/>
      <c r="R3" s="1700"/>
    </row>
    <row r="4" spans="2:28" ht="18.75" x14ac:dyDescent="0.3">
      <c r="B4" s="934"/>
      <c r="C4" s="937"/>
      <c r="D4" s="936"/>
      <c r="I4" s="1701" t="str">
        <f>"Variante: "&amp;'1. Projektangaben'!C23&amp;" "</f>
        <v xml:space="preserve">Variante: BTV-WDVS-WP-Abl-ohne Sol_PV </v>
      </c>
      <c r="J4" s="1702"/>
      <c r="K4" s="1701" t="str">
        <f>"Variante: "&amp;'1. Projektangaben'!C24&amp;" "</f>
        <v xml:space="preserve">Variante: PH-WDVS-WP-Abl-ohne Sol_PV </v>
      </c>
      <c r="L4" s="1702"/>
      <c r="M4" s="1701" t="str">
        <f>"Variante: "&amp;'1. Projektangaben'!C25&amp;" "</f>
        <v xml:space="preserve">Variante: PH-WDVS-WP-Abl-mittl.Sol-ohne PV </v>
      </c>
      <c r="N4" s="1702"/>
      <c r="O4" s="1701" t="str">
        <f>"Variante: "&amp;'1. Projektangaben'!C26&amp;" "</f>
        <v xml:space="preserve">Variante: PH-WDVS-WP-WRG-mittl.Sol-ohne PV </v>
      </c>
      <c r="P4" s="1702"/>
      <c r="Q4" s="1701" t="str">
        <f>"Variante: "&amp;'1. Projektangaben'!C27&amp;" "</f>
        <v xml:space="preserve">Variante: PH-WDVS-WP-WRG-mittl.Sol-mit PV </v>
      </c>
      <c r="R4" s="1702"/>
    </row>
    <row r="5" spans="2:28" ht="15.75" thickBot="1" x14ac:dyDescent="0.3">
      <c r="B5" s="934" t="s">
        <v>587</v>
      </c>
      <c r="C5" s="938">
        <f>'1. Projektangaben'!L12</f>
        <v>0.02</v>
      </c>
      <c r="D5" s="936"/>
      <c r="I5" s="1007" t="s">
        <v>654</v>
      </c>
      <c r="J5" s="1008">
        <f>Annuitätenzuschuss!$AK$54</f>
        <v>-4143249.2688095234</v>
      </c>
      <c r="K5" s="1007" t="s">
        <v>654</v>
      </c>
      <c r="L5" s="1008">
        <f ca="1">Annuitätenzuschuss!$AK$188</f>
        <v>-4159896.023792766</v>
      </c>
      <c r="M5" s="1007" t="s">
        <v>654</v>
      </c>
      <c r="N5" s="1008">
        <f ca="1">Annuitätenzuschuss!$AK$322</f>
        <v>-2466968.7329369914</v>
      </c>
      <c r="O5" s="1007" t="s">
        <v>654</v>
      </c>
      <c r="P5" s="1008">
        <f ca="1">Annuitätenzuschuss!$AK$456</f>
        <v>-2455843.80646569</v>
      </c>
      <c r="Q5" s="1007" t="s">
        <v>654</v>
      </c>
      <c r="R5" s="1008">
        <f ca="1">Annuitätenzuschuss!$AK$591</f>
        <v>-2456706.0133670983</v>
      </c>
    </row>
    <row r="6" spans="2:28" x14ac:dyDescent="0.25">
      <c r="B6" s="934" t="s">
        <v>667</v>
      </c>
      <c r="C6" s="938">
        <f>'1. Projektangaben'!F14</f>
        <v>0.02</v>
      </c>
      <c r="D6" s="936"/>
      <c r="I6" s="926" t="s">
        <v>656</v>
      </c>
      <c r="J6" s="927">
        <f>J5+Annuitätenzuschuss!$D$52</f>
        <v>-133847.88480952336</v>
      </c>
      <c r="K6" s="926" t="s">
        <v>656</v>
      </c>
      <c r="L6" s="927">
        <f ca="1">L5+Annuitätenzuschuss!$D$186</f>
        <v>-135566.53179276595</v>
      </c>
      <c r="M6" s="926" t="s">
        <v>656</v>
      </c>
      <c r="N6" s="927">
        <f ca="1">N5+Annuitätenzuschuss!$D$320</f>
        <v>1605173.5590630085</v>
      </c>
      <c r="O6" s="926" t="s">
        <v>656</v>
      </c>
      <c r="P6" s="927">
        <f ca="1">P5+Annuitätenzuschuss!$D$454</f>
        <v>1715573.4895343096</v>
      </c>
      <c r="Q6" s="926" t="s">
        <v>656</v>
      </c>
      <c r="R6" s="927">
        <f ca="1">R5+Annuitätenzuschuss!$D$589</f>
        <v>1754156.4826329011</v>
      </c>
      <c r="X6" s="1017" t="s">
        <v>702</v>
      </c>
      <c r="Y6" s="1018"/>
      <c r="Z6" s="649"/>
      <c r="AA6" s="649"/>
      <c r="AB6" s="650"/>
    </row>
    <row r="7" spans="2:28" x14ac:dyDescent="0.25">
      <c r="B7" s="987" t="s">
        <v>668</v>
      </c>
      <c r="C7" s="1134">
        <v>0.03</v>
      </c>
      <c r="D7" s="1010"/>
      <c r="E7" s="1011" t="s">
        <v>698</v>
      </c>
      <c r="F7" s="883"/>
      <c r="G7" s="883"/>
      <c r="H7" s="883"/>
      <c r="I7" s="926"/>
      <c r="J7" s="927"/>
      <c r="K7" s="926"/>
      <c r="L7" s="927"/>
      <c r="M7" s="926"/>
      <c r="N7" s="927"/>
      <c r="O7" s="926"/>
      <c r="P7" s="927"/>
      <c r="Q7" s="926"/>
      <c r="R7" s="927"/>
      <c r="X7" s="651"/>
      <c r="Y7" s="653"/>
      <c r="Z7" s="653"/>
      <c r="AA7" s="653"/>
      <c r="AB7" s="654"/>
    </row>
    <row r="8" spans="2:28" x14ac:dyDescent="0.25">
      <c r="B8" s="934" t="s">
        <v>200</v>
      </c>
      <c r="C8" s="935">
        <f>'1. Projektangaben'!F12</f>
        <v>35</v>
      </c>
      <c r="D8" s="936" t="s">
        <v>161</v>
      </c>
      <c r="I8" s="1703" t="s">
        <v>657</v>
      </c>
      <c r="J8" s="1704"/>
      <c r="K8" s="1703" t="s">
        <v>657</v>
      </c>
      <c r="L8" s="1704"/>
      <c r="M8" s="1703" t="s">
        <v>657</v>
      </c>
      <c r="N8" s="1704"/>
      <c r="O8" s="1703" t="s">
        <v>657</v>
      </c>
      <c r="P8" s="1704"/>
      <c r="Q8" s="1703" t="s">
        <v>657</v>
      </c>
      <c r="R8" s="1704"/>
      <c r="X8" s="651" t="str">
        <f>I4</f>
        <v xml:space="preserve">Variante: BTV-WDVS-WP-Abl-ohne Sol_PV </v>
      </c>
      <c r="Y8" s="653" t="str">
        <f>K4</f>
        <v xml:space="preserve">Variante: PH-WDVS-WP-Abl-ohne Sol_PV </v>
      </c>
      <c r="Z8" s="653" t="str">
        <f>M4</f>
        <v xml:space="preserve">Variante: PH-WDVS-WP-Abl-mittl.Sol-ohne PV </v>
      </c>
      <c r="AA8" s="653" t="str">
        <f>O4</f>
        <v xml:space="preserve">Variante: PH-WDVS-WP-WRG-mittl.Sol-ohne PV </v>
      </c>
      <c r="AB8" s="654" t="str">
        <f>Q4</f>
        <v xml:space="preserve">Variante: PH-WDVS-WP-WRG-mittl.Sol-mit PV </v>
      </c>
    </row>
    <row r="9" spans="2:28" ht="15.75" thickBot="1" x14ac:dyDescent="0.3">
      <c r="B9" s="934" t="s">
        <v>601</v>
      </c>
      <c r="C9" s="939">
        <f>'1. Projektangaben'!L82</f>
        <v>1</v>
      </c>
      <c r="D9" s="936"/>
      <c r="I9" s="930" t="s">
        <v>658</v>
      </c>
      <c r="J9" s="927">
        <f>Annuitätenzuschuss!$S$43*-1</f>
        <v>0</v>
      </c>
      <c r="K9" s="930" t="s">
        <v>658</v>
      </c>
      <c r="L9" s="927">
        <f ca="1">Annuitätenzuschuss!$S$177*-1</f>
        <v>0</v>
      </c>
      <c r="M9" s="930" t="s">
        <v>658</v>
      </c>
      <c r="N9" s="927">
        <f ca="1">Annuitätenzuschuss!$S$311*-1</f>
        <v>-1724713.9999999993</v>
      </c>
      <c r="O9" s="930" t="s">
        <v>658</v>
      </c>
      <c r="P9" s="927">
        <f ca="1">Annuitätenzuschuss!$S$445*-1</f>
        <v>-1866294.9999999998</v>
      </c>
      <c r="Q9" s="930" t="s">
        <v>658</v>
      </c>
      <c r="R9" s="927">
        <f ca="1">Annuitätenzuschuss!$S$580*-1</f>
        <v>-1925501.5999999999</v>
      </c>
      <c r="X9" s="1019">
        <f>J5</f>
        <v>-4143249.2688095234</v>
      </c>
      <c r="Y9" s="1020">
        <f ca="1">L5</f>
        <v>-4159896.023792766</v>
      </c>
      <c r="Z9" s="1020">
        <f ca="1">N5</f>
        <v>-2466968.7329369914</v>
      </c>
      <c r="AA9" s="1020">
        <f ca="1">P5</f>
        <v>-2455843.80646569</v>
      </c>
      <c r="AB9" s="1021">
        <f ca="1">R5</f>
        <v>-2456706.0133670983</v>
      </c>
    </row>
    <row r="10" spans="2:28" x14ac:dyDescent="0.25">
      <c r="B10" s="934" t="s">
        <v>669</v>
      </c>
      <c r="C10" s="939">
        <f>'1. Projektangaben'!O82</f>
        <v>0</v>
      </c>
      <c r="D10" s="936"/>
      <c r="F10" s="1453" t="s">
        <v>852</v>
      </c>
      <c r="I10" s="926" t="s">
        <v>659</v>
      </c>
      <c r="J10" s="927">
        <f>Annuitätenzuschuss!$AP$53</f>
        <v>0</v>
      </c>
      <c r="K10" s="926" t="s">
        <v>659</v>
      </c>
      <c r="L10" s="927">
        <f ca="1">Annuitätenzuschuss!$AP$187</f>
        <v>0</v>
      </c>
      <c r="M10" s="926" t="s">
        <v>659</v>
      </c>
      <c r="N10" s="927">
        <f ca="1">Annuitätenzuschuss!$AP$321</f>
        <v>396352.68326211948</v>
      </c>
      <c r="O10" s="926" t="s">
        <v>659</v>
      </c>
      <c r="P10" s="927">
        <f ca="1">Annuitätenzuschuss!$AP$455</f>
        <v>428867.93104446057</v>
      </c>
      <c r="Q10" s="926" t="s">
        <v>659</v>
      </c>
      <c r="R10" s="927">
        <f ca="1">Annuitätenzuschuss!$AP$590</f>
        <v>442465.21648071217</v>
      </c>
    </row>
    <row r="11" spans="2:28" ht="15.75" thickBot="1" x14ac:dyDescent="0.3">
      <c r="B11" s="934" t="s">
        <v>605</v>
      </c>
      <c r="C11" s="940">
        <f>'1. Projektangaben'!E82</f>
        <v>0.05</v>
      </c>
      <c r="D11" s="936"/>
      <c r="F11" s="1452" t="str">
        <f>IF('1. Projektangaben'!AA83=1,"Prozent","Absolut")</f>
        <v>Prozent</v>
      </c>
      <c r="I11" s="926" t="s">
        <v>660</v>
      </c>
      <c r="J11" s="931">
        <f>Annuitätenzuschuss!$AQ$53</f>
        <v>0</v>
      </c>
      <c r="K11" s="926" t="s">
        <v>660</v>
      </c>
      <c r="L11" s="931">
        <f>Annuitätenzuschuss!$AQ$187</f>
        <v>0</v>
      </c>
      <c r="M11" s="926" t="s">
        <v>660</v>
      </c>
      <c r="N11" s="931">
        <f ca="1">Annuitätenzuschuss!$AQ$321</f>
        <v>-364284.55862232239</v>
      </c>
      <c r="O11" s="926" t="s">
        <v>660</v>
      </c>
      <c r="P11" s="931">
        <f ca="1">Annuitätenzuschuss!$AQ$455</f>
        <v>-338487.54834096314</v>
      </c>
      <c r="Q11" s="926" t="s">
        <v>660</v>
      </c>
      <c r="R11" s="931">
        <f ca="1">Annuitätenzuschuss!$AQ$590</f>
        <v>-331040.45490902103</v>
      </c>
    </row>
    <row r="12" spans="2:28" x14ac:dyDescent="0.25">
      <c r="B12" s="934" t="s">
        <v>670</v>
      </c>
      <c r="C12" s="939">
        <f>'1. Projektangaben'!I82</f>
        <v>0.02</v>
      </c>
      <c r="D12" s="936"/>
      <c r="I12" s="926" t="s">
        <v>661</v>
      </c>
      <c r="J12" s="927">
        <f>Annuitätenzuschuss!$D$56*-1</f>
        <v>-10250</v>
      </c>
      <c r="K12" s="926" t="s">
        <v>661</v>
      </c>
      <c r="L12" s="927">
        <f>Annuitätenzuschuss!$D$190*-1</f>
        <v>-10250</v>
      </c>
      <c r="M12" s="926" t="s">
        <v>661</v>
      </c>
      <c r="N12" s="927">
        <f>Annuitätenzuschuss!$D$324*-1</f>
        <v>-20750</v>
      </c>
      <c r="O12" s="926" t="s">
        <v>661</v>
      </c>
      <c r="P12" s="927">
        <f>Annuitätenzuschuss!$D$458*-1</f>
        <v>-43250</v>
      </c>
      <c r="Q12" s="926" t="s">
        <v>661</v>
      </c>
      <c r="R12" s="927">
        <f>Annuitätenzuschuss!$D$593*-1</f>
        <v>-43250</v>
      </c>
    </row>
    <row r="13" spans="2:28" ht="15.75" thickBot="1" x14ac:dyDescent="0.3">
      <c r="B13" s="934" t="s">
        <v>671</v>
      </c>
      <c r="C13" s="939">
        <f>'1. Projektangaben'!H66</f>
        <v>0.03</v>
      </c>
      <c r="D13" s="936"/>
      <c r="I13" s="926" t="s">
        <v>662</v>
      </c>
      <c r="J13" s="932">
        <f>SUM(J9:J12)</f>
        <v>-10250</v>
      </c>
      <c r="K13" s="926" t="s">
        <v>662</v>
      </c>
      <c r="L13" s="932">
        <f ca="1">SUM(L9:L12)</f>
        <v>-10250</v>
      </c>
      <c r="M13" s="926" t="s">
        <v>662</v>
      </c>
      <c r="N13" s="932">
        <f ca="1">SUM(N9:N12)</f>
        <v>-1713395.875360202</v>
      </c>
      <c r="O13" s="926" t="s">
        <v>662</v>
      </c>
      <c r="P13" s="932">
        <f ca="1">SUM(P9:P12)</f>
        <v>-1819164.6172965025</v>
      </c>
      <c r="Q13" s="926" t="s">
        <v>662</v>
      </c>
      <c r="R13" s="932">
        <f ca="1">SUM(R9:R12)</f>
        <v>-1857326.8384283087</v>
      </c>
    </row>
    <row r="14" spans="2:28" ht="15.75" thickTop="1" x14ac:dyDescent="0.25">
      <c r="B14" s="934" t="s">
        <v>672</v>
      </c>
      <c r="C14" s="940">
        <f>'1. Projektangaben'!E66</f>
        <v>25</v>
      </c>
      <c r="D14" s="936" t="s">
        <v>161</v>
      </c>
      <c r="I14" s="926"/>
      <c r="J14" s="927"/>
      <c r="K14" s="926"/>
      <c r="L14" s="927"/>
      <c r="M14" s="926"/>
      <c r="N14" s="927"/>
      <c r="O14" s="926"/>
      <c r="P14" s="927"/>
      <c r="Q14" s="926"/>
      <c r="R14" s="927"/>
    </row>
    <row r="15" spans="2:28" x14ac:dyDescent="0.25">
      <c r="B15" s="934" t="s">
        <v>673</v>
      </c>
      <c r="C15" s="935">
        <f>'1. Projektangaben'!E78</f>
        <v>35</v>
      </c>
      <c r="D15" s="936" t="s">
        <v>68</v>
      </c>
      <c r="I15" s="926" t="s">
        <v>663</v>
      </c>
      <c r="J15" s="927">
        <f>Annuitätenzuschuss!$AD$51</f>
        <v>0</v>
      </c>
      <c r="K15" s="926" t="s">
        <v>663</v>
      </c>
      <c r="L15" s="927">
        <f>Annuitätenzuschuss!$AD$185</f>
        <v>0</v>
      </c>
      <c r="M15" s="926" t="s">
        <v>663</v>
      </c>
      <c r="N15" s="927">
        <f ca="1">Annuitätenzuschuss!$AD$319</f>
        <v>1069724.266091306</v>
      </c>
      <c r="O15" s="926" t="s">
        <v>663</v>
      </c>
      <c r="P15" s="927">
        <f ca="1">Annuitätenzuschuss!$AD$453</f>
        <v>992217.441611149</v>
      </c>
      <c r="Q15" s="926" t="s">
        <v>663</v>
      </c>
      <c r="R15" s="927">
        <f ca="1">Annuitätenzuschuss!$AD$588</f>
        <v>970387.58101894276</v>
      </c>
    </row>
    <row r="16" spans="2:28" ht="15.75" thickBot="1" x14ac:dyDescent="0.3">
      <c r="B16" s="934" t="s">
        <v>674</v>
      </c>
      <c r="C16" s="939">
        <f>'1. Projektangaben'!E70</f>
        <v>0</v>
      </c>
      <c r="D16" s="936"/>
      <c r="I16" s="926"/>
      <c r="J16" s="927"/>
      <c r="K16" s="926"/>
      <c r="L16" s="927"/>
      <c r="M16" s="926"/>
      <c r="N16" s="927"/>
      <c r="O16" s="926"/>
      <c r="P16" s="927"/>
      <c r="Q16" s="926"/>
      <c r="R16" s="927"/>
    </row>
    <row r="17" spans="2:18" x14ac:dyDescent="0.25">
      <c r="B17" s="996" t="str">
        <f>'1. Projektangaben'!N69</f>
        <v>Kreditlaufzeit in Jahren</v>
      </c>
      <c r="C17" s="883"/>
      <c r="D17" s="883"/>
      <c r="E17" s="990"/>
      <c r="F17" s="990" t="str">
        <f>'1. Projektangaben'!R69</f>
        <v>Kreditlaufzeit</v>
      </c>
      <c r="G17" s="991" t="str">
        <f>'1. Projektangaben'!S69</f>
        <v>Tilgung</v>
      </c>
      <c r="I17" s="1703" t="s">
        <v>664</v>
      </c>
      <c r="J17" s="1704"/>
      <c r="K17" s="1703" t="s">
        <v>664</v>
      </c>
      <c r="L17" s="1704"/>
      <c r="M17" s="1703" t="s">
        <v>664</v>
      </c>
      <c r="N17" s="1704"/>
      <c r="O17" s="1703" t="s">
        <v>664</v>
      </c>
      <c r="P17" s="1704"/>
      <c r="Q17" s="1703" t="s">
        <v>664</v>
      </c>
      <c r="R17" s="1704"/>
    </row>
    <row r="18" spans="2:18" x14ac:dyDescent="0.25">
      <c r="B18" s="934" t="str">
        <f>'1. Projektangaben'!N70</f>
        <v>von</v>
      </c>
      <c r="C18" s="883"/>
      <c r="D18" s="883" t="str">
        <f>'1. Projektangaben'!P70</f>
        <v>bis</v>
      </c>
      <c r="E18" s="899"/>
      <c r="F18" s="893" t="str">
        <f>'1. Projektangaben'!R70</f>
        <v>(a)</v>
      </c>
      <c r="G18" s="992" t="str">
        <f>'1. Projektangaben'!S70</f>
        <v>(%)</v>
      </c>
      <c r="I18" s="926" t="s">
        <v>665</v>
      </c>
      <c r="J18" s="931">
        <f>Annuitätenzuschuss!$C$47</f>
        <v>-2204983.7187676351</v>
      </c>
      <c r="K18" s="926" t="s">
        <v>665</v>
      </c>
      <c r="L18" s="931">
        <f ca="1">Annuitätenzuschuss!$C$181</f>
        <v>-2221630.4737508777</v>
      </c>
      <c r="M18" s="926" t="s">
        <v>665</v>
      </c>
      <c r="N18" s="931">
        <f ca="1">Annuitätenzuschuss!$C$315</f>
        <v>-528703.18289510324</v>
      </c>
      <c r="O18" s="926" t="s">
        <v>665</v>
      </c>
      <c r="P18" s="931">
        <f ca="1">Annuitätenzuschuss!$C$449</f>
        <v>-517578.25642380217</v>
      </c>
      <c r="Q18" s="926" t="s">
        <v>665</v>
      </c>
      <c r="R18" s="931">
        <f ca="1">Annuitätenzuschuss!$C$584</f>
        <v>-518440.46332521032</v>
      </c>
    </row>
    <row r="19" spans="2:18" ht="15.75" thickBot="1" x14ac:dyDescent="0.3">
      <c r="B19" s="996">
        <f>'1. Projektangaben'!N71</f>
        <v>1</v>
      </c>
      <c r="C19" s="989" t="str">
        <f>'1. Projektangaben'!O71</f>
        <v>-</v>
      </c>
      <c r="D19" s="883">
        <f>'1. Projektangaben'!P71</f>
        <v>25</v>
      </c>
      <c r="E19" s="899" t="str">
        <f>'1. Projektangaben'!Q71</f>
        <v/>
      </c>
      <c r="F19" s="899">
        <f>'1. Projektangaben'!R71</f>
        <v>25</v>
      </c>
      <c r="G19" s="1005">
        <f>'1. Projektangaben'!S71</f>
        <v>5.0000000000000001E-3</v>
      </c>
      <c r="I19" s="933" t="s">
        <v>666</v>
      </c>
      <c r="J19" s="1009">
        <f>Annuitätenzuschuss!$AG$54</f>
        <v>2436426.2662981339</v>
      </c>
      <c r="K19" s="933" t="s">
        <v>666</v>
      </c>
      <c r="L19" s="1009">
        <f>Annuitätenzuschuss!$AG$188</f>
        <v>2436426.2662981339</v>
      </c>
      <c r="M19" s="933" t="s">
        <v>666</v>
      </c>
      <c r="N19" s="1009">
        <f>Annuitätenzuschuss!$AG$322</f>
        <v>2436426.2662981339</v>
      </c>
      <c r="O19" s="933" t="s">
        <v>666</v>
      </c>
      <c r="P19" s="1009">
        <f>Annuitätenzuschuss!$AG$456</f>
        <v>2436426.2662981339</v>
      </c>
      <c r="Q19" s="933" t="s">
        <v>666</v>
      </c>
      <c r="R19" s="1009">
        <f>Annuitätenzuschuss!$AG$591</f>
        <v>2436426.2662981339</v>
      </c>
    </row>
    <row r="20" spans="2:18" x14ac:dyDescent="0.25">
      <c r="B20" s="996">
        <f>'1. Projektangaben'!N72</f>
        <v>26</v>
      </c>
      <c r="C20" s="989" t="str">
        <f>'1. Projektangaben'!O72</f>
        <v>-</v>
      </c>
      <c r="D20" s="883">
        <f>'1. Projektangaben'!P72</f>
        <v>45</v>
      </c>
      <c r="E20" s="899" t="str">
        <f>'1. Projektangaben'!Q72</f>
        <v/>
      </c>
      <c r="F20" s="899">
        <f>'1. Projektangaben'!R72</f>
        <v>20</v>
      </c>
      <c r="G20" s="1005">
        <f>'1. Projektangaben'!S72</f>
        <v>3.5000000000000003E-2</v>
      </c>
    </row>
    <row r="21" spans="2:18" x14ac:dyDescent="0.25">
      <c r="B21" s="996">
        <f>'1. Projektangaben'!N73</f>
        <v>46</v>
      </c>
      <c r="C21" s="989" t="str">
        <f>'1. Projektangaben'!O73</f>
        <v>-</v>
      </c>
      <c r="D21" s="883">
        <f>'1. Projektangaben'!P73</f>
        <v>50</v>
      </c>
      <c r="E21" s="899" t="str">
        <f>'1. Projektangaben'!Q73</f>
        <v/>
      </c>
      <c r="F21" s="899">
        <f>'1. Projektangaben'!R73</f>
        <v>5</v>
      </c>
      <c r="G21" s="1005">
        <f>'1. Projektangaben'!S73</f>
        <v>4.4999999999999998E-2</v>
      </c>
      <c r="J21" s="801"/>
    </row>
    <row r="22" spans="2:18" x14ac:dyDescent="0.25">
      <c r="B22" s="996" t="str">
        <f>'1. Projektangaben'!N74</f>
        <v/>
      </c>
      <c r="C22" s="989" t="str">
        <f>'1. Projektangaben'!O74</f>
        <v>-</v>
      </c>
      <c r="D22" s="883">
        <f>'1. Projektangaben'!P74</f>
        <v>0</v>
      </c>
      <c r="E22" s="899" t="str">
        <f>'1. Projektangaben'!Q74</f>
        <v/>
      </c>
      <c r="F22" s="899">
        <f>'1. Projektangaben'!R74</f>
        <v>0</v>
      </c>
      <c r="G22" s="1005">
        <f>'1. Projektangaben'!S74</f>
        <v>0</v>
      </c>
    </row>
    <row r="23" spans="2:18" ht="15.75" thickBot="1" x14ac:dyDescent="0.3">
      <c r="B23" s="996" t="str">
        <f>'1. Projektangaben'!N75</f>
        <v/>
      </c>
      <c r="C23" s="989" t="str">
        <f>'1. Projektangaben'!O75</f>
        <v>-</v>
      </c>
      <c r="D23" s="883">
        <f>'1. Projektangaben'!P75</f>
        <v>0</v>
      </c>
      <c r="E23" s="994" t="str">
        <f>'1. Projektangaben'!Q75</f>
        <v/>
      </c>
      <c r="F23" s="994">
        <f>'1. Projektangaben'!R75</f>
        <v>0</v>
      </c>
      <c r="G23" s="1006">
        <f>'1. Projektangaben'!S75</f>
        <v>0</v>
      </c>
    </row>
    <row r="24" spans="2:18" x14ac:dyDescent="0.25">
      <c r="B24" s="934"/>
      <c r="C24" s="938"/>
      <c r="D24" s="936"/>
      <c r="G24" s="988"/>
    </row>
    <row r="25" spans="2:18" x14ac:dyDescent="0.25">
      <c r="B25" s="934" t="s">
        <v>675</v>
      </c>
      <c r="C25" s="940">
        <f>'1. Projektangaben'!H70</f>
        <v>12</v>
      </c>
      <c r="D25" s="936" t="s">
        <v>371</v>
      </c>
      <c r="G25" s="988"/>
    </row>
    <row r="26" spans="2:18" x14ac:dyDescent="0.25">
      <c r="B26" s="934" t="s">
        <v>676</v>
      </c>
      <c r="C26" s="997">
        <f>'1. Projektangaben'!E74</f>
        <v>25</v>
      </c>
      <c r="D26" s="936" t="s">
        <v>161</v>
      </c>
    </row>
    <row r="27" spans="2:18" x14ac:dyDescent="0.25">
      <c r="B27" s="934" t="s">
        <v>614</v>
      </c>
      <c r="C27" s="940">
        <f>'1. Projektangaben'!H74</f>
        <v>5.0199999999999996</v>
      </c>
      <c r="D27" s="936" t="s">
        <v>615</v>
      </c>
    </row>
    <row r="28" spans="2:18" x14ac:dyDescent="0.25">
      <c r="B28" s="934"/>
      <c r="C28" s="940"/>
      <c r="D28" s="936"/>
    </row>
    <row r="29" spans="2:18" ht="15.75" thickBot="1" x14ac:dyDescent="0.3">
      <c r="B29" s="984"/>
      <c r="C29" s="985"/>
      <c r="D29" s="986"/>
    </row>
    <row r="34" spans="2:74" ht="15.75" thickBot="1" x14ac:dyDescent="0.3"/>
    <row r="35" spans="2:74" ht="47.25" thickBot="1" x14ac:dyDescent="0.75">
      <c r="B35" s="982" t="str">
        <f>"Variante: "&amp;'1. Projektangaben'!C23&amp;" "</f>
        <v xml:space="preserve">Variante: BTV-WDVS-WP-Abl-ohne Sol_PV </v>
      </c>
      <c r="C35" s="981"/>
      <c r="D35" s="981"/>
      <c r="E35" s="649"/>
      <c r="F35" s="649"/>
      <c r="G35" s="649"/>
      <c r="H35" s="649"/>
      <c r="I35" s="649"/>
      <c r="J35" s="649"/>
      <c r="K35" s="649"/>
      <c r="L35" s="649"/>
      <c r="M35" s="649"/>
      <c r="N35" s="649"/>
      <c r="O35" s="649"/>
      <c r="P35" s="649"/>
      <c r="Q35" s="649"/>
      <c r="R35" s="649"/>
      <c r="S35" s="649"/>
      <c r="T35" s="649"/>
      <c r="U35" s="649"/>
      <c r="V35" s="649"/>
      <c r="W35" s="649"/>
      <c r="X35" s="649"/>
      <c r="Y35" s="649"/>
      <c r="Z35" s="649"/>
      <c r="AA35" s="649"/>
      <c r="AB35" s="649"/>
      <c r="AC35" s="649"/>
      <c r="AD35" s="649"/>
      <c r="AE35" s="649"/>
      <c r="AF35" s="959"/>
      <c r="AG35" s="649"/>
      <c r="AH35" s="649"/>
      <c r="AI35" s="649"/>
      <c r="AJ35" s="649"/>
      <c r="AK35" s="649"/>
      <c r="AL35" s="649"/>
      <c r="AM35" s="649"/>
      <c r="AN35" s="649"/>
      <c r="AO35" s="649"/>
      <c r="AP35" s="649"/>
      <c r="AQ35" s="649"/>
      <c r="AR35" s="649"/>
      <c r="AS35" s="649"/>
      <c r="AT35" s="649"/>
      <c r="AU35" s="649"/>
      <c r="AV35" s="649"/>
      <c r="AW35" s="649"/>
      <c r="AX35" s="649"/>
      <c r="AY35" s="649"/>
      <c r="AZ35" s="649"/>
      <c r="BA35" s="649"/>
      <c r="BB35" s="649"/>
      <c r="BC35" s="649"/>
      <c r="BD35" s="649"/>
      <c r="BE35" s="649"/>
      <c r="BF35" s="649"/>
      <c r="BG35" s="649"/>
      <c r="BH35" s="649"/>
      <c r="BI35" s="649"/>
      <c r="BJ35" s="649"/>
      <c r="BK35" s="649"/>
      <c r="BL35" s="649"/>
      <c r="BM35" s="649"/>
      <c r="BN35" s="649"/>
      <c r="BO35" s="649"/>
      <c r="BP35" s="649"/>
      <c r="BQ35" s="649"/>
      <c r="BR35" s="649"/>
      <c r="BS35" s="649"/>
      <c r="BT35" s="649"/>
      <c r="BU35" s="649"/>
      <c r="BV35" s="650"/>
    </row>
    <row r="36" spans="2:74" ht="15.75" thickBot="1" x14ac:dyDescent="0.3">
      <c r="B36" s="651"/>
      <c r="C36" s="653"/>
      <c r="D36" s="653"/>
      <c r="E36" s="653"/>
      <c r="F36" s="653"/>
      <c r="G36" s="653"/>
      <c r="H36" s="653"/>
      <c r="I36" s="653"/>
      <c r="J36" s="653"/>
      <c r="K36" s="653"/>
      <c r="L36" s="653"/>
      <c r="M36" s="653"/>
      <c r="N36" s="653"/>
      <c r="O36" s="653"/>
      <c r="P36" s="653"/>
      <c r="Q36" s="653"/>
      <c r="R36" s="653"/>
      <c r="S36" s="653"/>
      <c r="T36" s="1004" t="s">
        <v>695</v>
      </c>
      <c r="U36" s="649" t="s">
        <v>596</v>
      </c>
      <c r="V36" s="999"/>
      <c r="W36" s="1000" t="str">
        <f>Annuitätenzuschuss!B17</f>
        <v>Kreditlaufzeit in Jahren</v>
      </c>
      <c r="X36" s="990"/>
      <c r="Y36" s="990"/>
      <c r="Z36" s="990"/>
      <c r="AA36" s="990" t="str">
        <f>Annuitätenzuschuss!F17</f>
        <v>Kreditlaufzeit</v>
      </c>
      <c r="AB36" s="991" t="str">
        <f>Annuitätenzuschuss!G17</f>
        <v>Tilgung</v>
      </c>
      <c r="AC36" s="653"/>
      <c r="AD36" s="653"/>
      <c r="AE36" s="653"/>
      <c r="AF36" s="1063"/>
      <c r="AG36" s="653"/>
      <c r="AH36" s="653"/>
      <c r="AI36" s="653"/>
      <c r="AJ36" s="653"/>
      <c r="AK36" s="653"/>
      <c r="AL36" s="653"/>
      <c r="AM36" s="653"/>
      <c r="AN36" s="653"/>
      <c r="AO36" s="653"/>
      <c r="AP36" s="653"/>
      <c r="AQ36" s="653"/>
      <c r="AR36" s="653"/>
      <c r="AS36" s="653"/>
      <c r="AT36" s="653"/>
      <c r="AU36" s="653"/>
      <c r="AV36" s="653"/>
      <c r="AW36" s="653"/>
      <c r="AX36" s="653"/>
      <c r="AY36" s="653"/>
      <c r="AZ36" s="653"/>
      <c r="BA36" s="653"/>
      <c r="BB36" s="653"/>
      <c r="BC36" s="653"/>
      <c r="BD36" s="653"/>
      <c r="BE36" s="653"/>
      <c r="BF36" s="653"/>
      <c r="BG36" s="653"/>
      <c r="BH36" s="653"/>
      <c r="BI36" s="653"/>
      <c r="BJ36" s="653"/>
      <c r="BK36" s="653"/>
      <c r="BL36" s="653"/>
      <c r="BM36" s="653"/>
      <c r="BN36" s="653"/>
      <c r="BO36" s="653"/>
      <c r="BP36" s="653"/>
      <c r="BQ36" s="653"/>
      <c r="BR36" s="653"/>
      <c r="BS36" s="653"/>
      <c r="BT36" s="653"/>
      <c r="BU36" s="653"/>
      <c r="BV36" s="654"/>
    </row>
    <row r="37" spans="2:74" x14ac:dyDescent="0.25">
      <c r="B37" s="651"/>
      <c r="C37" s="653"/>
      <c r="D37" s="653"/>
      <c r="E37" s="653"/>
      <c r="F37" s="653"/>
      <c r="G37" s="653"/>
      <c r="H37" s="653"/>
      <c r="I37" s="653"/>
      <c r="J37" s="653"/>
      <c r="K37" s="653"/>
      <c r="L37" s="653"/>
      <c r="M37" s="653"/>
      <c r="N37" s="653"/>
      <c r="O37" s="653"/>
      <c r="P37" s="653"/>
      <c r="Q37" s="653"/>
      <c r="R37" s="653"/>
      <c r="S37" s="653"/>
      <c r="T37" s="653"/>
      <c r="U37" s="1001">
        <f>Annuitätenzuschuss!$C$25</f>
        <v>12</v>
      </c>
      <c r="V37" s="879" t="s">
        <v>371</v>
      </c>
      <c r="W37" s="934" t="str">
        <f>Annuitätenzuschuss!B18</f>
        <v>von</v>
      </c>
      <c r="X37" s="899"/>
      <c r="Y37" s="899" t="str">
        <f>Annuitätenzuschuss!D18</f>
        <v>bis</v>
      </c>
      <c r="Z37" s="899"/>
      <c r="AA37" s="893" t="str">
        <f>Annuitätenzuschuss!F18</f>
        <v>(a)</v>
      </c>
      <c r="AB37" s="992" t="str">
        <f>Annuitätenzuschuss!G18</f>
        <v>(%)</v>
      </c>
      <c r="AC37" s="653"/>
      <c r="AD37" s="653"/>
      <c r="AE37" s="653"/>
      <c r="AF37" s="1063"/>
      <c r="AG37" s="653"/>
      <c r="AH37" s="653"/>
      <c r="AI37" s="653"/>
      <c r="AJ37" s="653"/>
      <c r="AK37" s="653"/>
      <c r="AL37" s="653"/>
      <c r="AM37" s="653"/>
      <c r="AN37" s="653"/>
      <c r="AO37" s="653"/>
      <c r="AP37" s="653"/>
      <c r="AQ37" s="653"/>
      <c r="AR37" s="653"/>
      <c r="AS37" s="653"/>
      <c r="AT37" s="653"/>
      <c r="AU37" s="653"/>
      <c r="AV37" s="653"/>
      <c r="AW37" s="653"/>
      <c r="AX37" s="653"/>
      <c r="AY37" s="653"/>
      <c r="AZ37" s="653"/>
      <c r="BA37" s="653"/>
      <c r="BB37" s="653"/>
      <c r="BC37" s="653"/>
      <c r="BD37" s="653"/>
      <c r="BE37" s="653"/>
      <c r="BF37" s="653"/>
      <c r="BG37" s="653"/>
      <c r="BH37" s="653"/>
      <c r="BI37" s="653"/>
      <c r="BJ37" s="653"/>
      <c r="BK37" s="653"/>
      <c r="BL37" s="653"/>
      <c r="BM37" s="653"/>
      <c r="BN37" s="653"/>
      <c r="BO37" s="653"/>
      <c r="BP37" s="653"/>
      <c r="BQ37" s="653"/>
      <c r="BR37" s="653"/>
      <c r="BS37" s="653"/>
      <c r="BT37" s="653"/>
      <c r="BU37" s="653"/>
      <c r="BV37" s="654"/>
    </row>
    <row r="38" spans="2:74" ht="15.75" thickBot="1" x14ac:dyDescent="0.3">
      <c r="B38" s="651"/>
      <c r="C38" s="653"/>
      <c r="D38" s="653"/>
      <c r="E38" s="653"/>
      <c r="F38" s="653"/>
      <c r="G38" s="653"/>
      <c r="H38" s="653"/>
      <c r="I38" s="653"/>
      <c r="J38" s="653"/>
      <c r="K38" s="653"/>
      <c r="L38" s="653"/>
      <c r="M38" s="653"/>
      <c r="N38" s="653"/>
      <c r="O38" s="653"/>
      <c r="P38" s="653" t="str">
        <f>Annuitätenzuschuss!B7</f>
        <v>Nominalzins Land Vorarlberg AUSGABEN</v>
      </c>
      <c r="Q38" s="960">
        <f>Annuitätenzuschuss!C7</f>
        <v>0.03</v>
      </c>
      <c r="R38" s="653"/>
      <c r="S38" s="653"/>
      <c r="T38" s="653"/>
      <c r="U38" s="651" t="s">
        <v>674</v>
      </c>
      <c r="V38" s="653"/>
      <c r="W38" s="996">
        <f>Annuitätenzuschuss!B19</f>
        <v>1</v>
      </c>
      <c r="X38" s="893" t="str">
        <f>Annuitätenzuschuss!C19</f>
        <v>-</v>
      </c>
      <c r="Y38" s="899">
        <f>Annuitätenzuschuss!D19</f>
        <v>25</v>
      </c>
      <c r="Z38" s="899" t="str">
        <f>Annuitätenzuschuss!E19</f>
        <v/>
      </c>
      <c r="AA38" s="899">
        <f>Annuitätenzuschuss!F19</f>
        <v>25</v>
      </c>
      <c r="AB38" s="1005">
        <f>Annuitätenzuschuss!G19</f>
        <v>5.0000000000000001E-3</v>
      </c>
      <c r="AC38" s="1063" t="str">
        <f>IF(OR($S$43="",$S$43=0,Y38=""),"",$S$43*AB38)</f>
        <v/>
      </c>
      <c r="AD38" s="653"/>
      <c r="AE38" s="653"/>
      <c r="AF38" s="653"/>
      <c r="AG38" s="653"/>
      <c r="AH38" s="653"/>
      <c r="AI38" s="653"/>
      <c r="AJ38" s="653"/>
      <c r="AK38" s="653"/>
      <c r="AL38" s="653"/>
      <c r="AM38" s="653"/>
      <c r="AN38" s="653"/>
      <c r="AO38" s="653"/>
      <c r="AP38" s="653"/>
      <c r="AQ38" s="653"/>
      <c r="AR38" s="653"/>
      <c r="AS38" s="653"/>
      <c r="AT38" s="653"/>
      <c r="AU38" s="653"/>
      <c r="AV38" s="653"/>
      <c r="AW38" s="653"/>
      <c r="AX38" s="653"/>
      <c r="AY38" s="653"/>
      <c r="AZ38" s="653"/>
      <c r="BA38" s="653"/>
      <c r="BB38" s="653"/>
      <c r="BC38" s="653"/>
      <c r="BD38" s="653"/>
      <c r="BE38" s="653"/>
      <c r="BF38" s="653"/>
      <c r="BG38" s="653"/>
      <c r="BH38" s="653"/>
      <c r="BI38" s="653"/>
      <c r="BJ38" s="653"/>
      <c r="BK38" s="653"/>
      <c r="BL38" s="653"/>
      <c r="BM38" s="653"/>
      <c r="BN38" s="653"/>
      <c r="BO38" s="653"/>
      <c r="BP38" s="653"/>
      <c r="BQ38" s="653"/>
      <c r="BR38" s="653"/>
      <c r="BS38" s="653"/>
      <c r="BT38" s="653"/>
      <c r="BU38" s="653"/>
      <c r="BV38" s="654"/>
    </row>
    <row r="39" spans="2:74" x14ac:dyDescent="0.25">
      <c r="B39" s="648"/>
      <c r="C39" s="649"/>
      <c r="D39" s="649"/>
      <c r="E39" s="649"/>
      <c r="F39" s="650"/>
      <c r="G39" s="653"/>
      <c r="H39" s="653"/>
      <c r="I39" s="653"/>
      <c r="J39" s="653"/>
      <c r="K39" s="653"/>
      <c r="L39" s="653"/>
      <c r="M39" s="653"/>
      <c r="N39" s="653"/>
      <c r="O39" s="653"/>
      <c r="P39" s="653" t="s">
        <v>587</v>
      </c>
      <c r="Q39" s="961">
        <f>Annuitätenzuschuss!$C$5</f>
        <v>0.02</v>
      </c>
      <c r="R39" s="653"/>
      <c r="S39" s="653"/>
      <c r="T39" s="653"/>
      <c r="U39" s="968">
        <f>Annuitätenzuschuss!$C$16</f>
        <v>0</v>
      </c>
      <c r="V39" s="653"/>
      <c r="W39" s="996">
        <f>Annuitätenzuschuss!B20</f>
        <v>26</v>
      </c>
      <c r="X39" s="893" t="str">
        <f>Annuitätenzuschuss!C20</f>
        <v>-</v>
      </c>
      <c r="Y39" s="899">
        <f>Annuitätenzuschuss!D20</f>
        <v>45</v>
      </c>
      <c r="Z39" s="899" t="str">
        <f>Annuitätenzuschuss!E20</f>
        <v/>
      </c>
      <c r="AA39" s="899">
        <f>Annuitätenzuschuss!F20</f>
        <v>20</v>
      </c>
      <c r="AB39" s="1005">
        <f>Annuitätenzuschuss!G20</f>
        <v>3.5000000000000003E-2</v>
      </c>
      <c r="AC39" s="1063" t="str">
        <f>IF(OR($S$43="",$S$43=0,Y39=""),"",$S$43*AB39)</f>
        <v/>
      </c>
      <c r="AD39" s="653"/>
      <c r="AE39" s="653"/>
      <c r="AF39" s="653"/>
      <c r="AG39" s="653"/>
      <c r="AH39" s="653"/>
      <c r="AI39" s="653"/>
      <c r="AJ39" s="653"/>
      <c r="AK39" s="653"/>
      <c r="AL39" s="653"/>
      <c r="AM39" s="653"/>
      <c r="AN39" s="653"/>
      <c r="AO39" s="653"/>
      <c r="AP39" s="653"/>
      <c r="AQ39" s="653"/>
      <c r="AR39" s="653"/>
      <c r="AS39" s="653"/>
      <c r="AT39" s="653"/>
      <c r="AU39" s="653"/>
      <c r="AV39" s="653"/>
      <c r="AW39" s="653"/>
      <c r="AX39" s="653"/>
      <c r="AY39" s="653"/>
      <c r="AZ39" s="653"/>
      <c r="BA39" s="653"/>
      <c r="BB39" s="653"/>
      <c r="BC39" s="653"/>
      <c r="BD39" s="653"/>
      <c r="BE39" s="653"/>
      <c r="BF39" s="653"/>
      <c r="BG39" s="653"/>
      <c r="BH39" s="653"/>
      <c r="BI39" s="653"/>
      <c r="BJ39" s="653"/>
      <c r="BK39" s="653"/>
      <c r="BL39" s="653"/>
      <c r="BM39" s="653"/>
      <c r="BN39" s="653"/>
      <c r="BO39" s="653"/>
      <c r="BP39" s="653"/>
      <c r="BQ39" s="653"/>
      <c r="BR39" s="653"/>
      <c r="BS39" s="653"/>
      <c r="BT39" s="653"/>
      <c r="BU39" s="653"/>
      <c r="BV39" s="654"/>
    </row>
    <row r="40" spans="2:74" x14ac:dyDescent="0.25">
      <c r="B40" s="651"/>
      <c r="C40" s="653"/>
      <c r="D40" s="653"/>
      <c r="E40" s="653"/>
      <c r="F40" s="654"/>
      <c r="G40" s="653"/>
      <c r="H40" s="653"/>
      <c r="I40" s="653"/>
      <c r="J40" s="653"/>
      <c r="K40" s="653"/>
      <c r="L40" s="653"/>
      <c r="M40" s="653"/>
      <c r="N40" s="653"/>
      <c r="O40" s="653"/>
      <c r="P40" s="653" t="s">
        <v>588</v>
      </c>
      <c r="Q40" s="961">
        <f>Annuitätenzuschuss!$C$6</f>
        <v>0.02</v>
      </c>
      <c r="R40" s="962"/>
      <c r="S40" s="653" t="str">
        <f>IF(SUM(R43:R46,R48:R49)&gt;R50,"WARNUNG","OK")</f>
        <v>OK</v>
      </c>
      <c r="T40" s="653"/>
      <c r="U40" s="651"/>
      <c r="V40" s="653"/>
      <c r="W40" s="996">
        <f>Annuitätenzuschuss!B21</f>
        <v>46</v>
      </c>
      <c r="X40" s="893" t="str">
        <f>Annuitätenzuschuss!C21</f>
        <v>-</v>
      </c>
      <c r="Y40" s="899">
        <f>Annuitätenzuschuss!D21</f>
        <v>50</v>
      </c>
      <c r="Z40" s="899" t="str">
        <f>Annuitätenzuschuss!E21</f>
        <v/>
      </c>
      <c r="AA40" s="899">
        <f>Annuitätenzuschuss!F21</f>
        <v>5</v>
      </c>
      <c r="AB40" s="1005">
        <f>Annuitätenzuschuss!G21</f>
        <v>4.4999999999999998E-2</v>
      </c>
      <c r="AC40" s="1063" t="str">
        <f>IF(OR($S$43="",$S$43=0,Y40=""),"",$S$43*AB40)</f>
        <v/>
      </c>
      <c r="AD40" s="653"/>
      <c r="AE40" s="653"/>
      <c r="AF40" s="653"/>
      <c r="AG40" s="653"/>
      <c r="AH40" s="653"/>
      <c r="AI40" s="653"/>
      <c r="AJ40" s="653"/>
      <c r="AK40" s="653"/>
      <c r="AL40" s="653"/>
      <c r="AM40" s="653"/>
      <c r="AN40" s="653"/>
      <c r="AO40" s="653"/>
      <c r="AP40" s="653"/>
      <c r="AQ40" s="653"/>
      <c r="AR40" s="653"/>
      <c r="AS40" s="653"/>
      <c r="AT40" s="653"/>
      <c r="AU40" s="653"/>
      <c r="AV40" s="653"/>
      <c r="AW40" s="653"/>
      <c r="AX40" s="653"/>
      <c r="AY40" s="653"/>
      <c r="AZ40" s="653"/>
      <c r="BA40" s="653"/>
      <c r="BB40" s="653"/>
      <c r="BC40" s="653"/>
      <c r="BD40" s="653"/>
      <c r="BE40" s="653"/>
      <c r="BF40" s="653"/>
      <c r="BG40" s="653"/>
      <c r="BH40" s="653"/>
      <c r="BI40" s="653"/>
      <c r="BJ40" s="653"/>
      <c r="BK40" s="653"/>
      <c r="BL40" s="653"/>
      <c r="BM40" s="653"/>
      <c r="BN40" s="653"/>
      <c r="BO40" s="653"/>
      <c r="BP40" s="653"/>
      <c r="BQ40" s="653"/>
      <c r="BR40" s="653"/>
      <c r="BS40" s="653"/>
      <c r="BT40" s="653"/>
      <c r="BU40" s="653"/>
      <c r="BV40" s="654"/>
    </row>
    <row r="41" spans="2:74" x14ac:dyDescent="0.25">
      <c r="B41" s="651"/>
      <c r="C41" s="875" t="s">
        <v>589</v>
      </c>
      <c r="D41" s="876"/>
      <c r="E41" s="876"/>
      <c r="F41" s="654"/>
      <c r="G41" s="653"/>
      <c r="H41" s="653"/>
      <c r="I41" s="691"/>
      <c r="J41" s="691"/>
      <c r="K41" s="653"/>
      <c r="L41" s="653"/>
      <c r="M41" s="653"/>
      <c r="N41" s="653"/>
      <c r="O41" s="653"/>
      <c r="P41" s="898" t="s">
        <v>200</v>
      </c>
      <c r="Q41" s="963">
        <f>Annuitätenzuschuss!$C$8</f>
        <v>35</v>
      </c>
      <c r="R41" s="653" t="s">
        <v>161</v>
      </c>
      <c r="S41" s="653"/>
      <c r="T41" s="653"/>
      <c r="U41" s="651"/>
      <c r="V41" s="653"/>
      <c r="W41" s="996" t="str">
        <f>Annuitätenzuschuss!B22</f>
        <v/>
      </c>
      <c r="X41" s="893" t="str">
        <f>Annuitätenzuschuss!C22</f>
        <v>-</v>
      </c>
      <c r="Y41" s="899">
        <f>Annuitätenzuschuss!D22</f>
        <v>0</v>
      </c>
      <c r="Z41" s="899" t="str">
        <f>Annuitätenzuschuss!E22</f>
        <v/>
      </c>
      <c r="AA41" s="899">
        <f>Annuitätenzuschuss!F22</f>
        <v>0</v>
      </c>
      <c r="AB41" s="1005">
        <f>Annuitätenzuschuss!G22</f>
        <v>0</v>
      </c>
      <c r="AC41" s="1063" t="str">
        <f>IF(OR($S$43="",$S$43=0,Y41=""),"",$S$43*AB41)</f>
        <v/>
      </c>
      <c r="AD41" s="653"/>
      <c r="AE41" s="653"/>
      <c r="AF41" s="653"/>
      <c r="AG41" s="653"/>
      <c r="AH41" s="653"/>
      <c r="AI41" s="653"/>
      <c r="AJ41" s="653"/>
      <c r="AK41" s="653"/>
      <c r="AL41" s="653"/>
      <c r="AM41" s="653"/>
      <c r="AN41" s="653"/>
      <c r="AO41" s="653"/>
      <c r="AP41" s="653"/>
      <c r="AQ41" s="653"/>
      <c r="AR41" s="653"/>
      <c r="AS41" s="653"/>
      <c r="AT41" s="653"/>
      <c r="AU41" s="653"/>
      <c r="AV41" s="653"/>
      <c r="AW41" s="653"/>
      <c r="AX41" s="653"/>
      <c r="AY41" s="653"/>
      <c r="AZ41" s="653"/>
      <c r="BA41" s="653"/>
      <c r="BB41" s="653"/>
      <c r="BC41" s="653"/>
      <c r="BD41" s="653"/>
      <c r="BE41" s="653"/>
      <c r="BF41" s="653"/>
      <c r="BG41" s="653"/>
      <c r="BH41" s="653"/>
      <c r="BI41" s="653"/>
      <c r="BJ41" s="653"/>
      <c r="BK41" s="653"/>
      <c r="BL41" s="653"/>
      <c r="BM41" s="653"/>
      <c r="BN41" s="653"/>
      <c r="BO41" s="653"/>
      <c r="BP41" s="653"/>
      <c r="BQ41" s="653"/>
      <c r="BR41" s="653"/>
      <c r="BS41" s="653"/>
      <c r="BT41" s="653"/>
      <c r="BU41" s="653"/>
      <c r="BV41" s="654"/>
    </row>
    <row r="42" spans="2:74" ht="15.75" thickBot="1" x14ac:dyDescent="0.3">
      <c r="B42" s="651"/>
      <c r="C42" s="877" t="e">
        <f>-(-AJ107/(1+$Q$40)^M107-AC107/(1+$Q$40)^M107)</f>
        <v>#VALUE!</v>
      </c>
      <c r="D42" s="876"/>
      <c r="E42" s="876"/>
      <c r="F42" s="654"/>
      <c r="G42" s="653"/>
      <c r="H42" s="653"/>
      <c r="I42" s="691"/>
      <c r="J42" s="691"/>
      <c r="K42" s="653"/>
      <c r="L42" s="653"/>
      <c r="M42" s="653"/>
      <c r="N42" s="653" t="s">
        <v>590</v>
      </c>
      <c r="O42" s="653"/>
      <c r="P42" s="653"/>
      <c r="Q42" s="653"/>
      <c r="R42" s="653"/>
      <c r="S42" s="653" t="s">
        <v>591</v>
      </c>
      <c r="T42" s="653"/>
      <c r="U42" s="680"/>
      <c r="V42" s="681"/>
      <c r="W42" s="1002" t="str">
        <f>Annuitätenzuschuss!B23</f>
        <v/>
      </c>
      <c r="X42" s="1003" t="str">
        <f>Annuitätenzuschuss!C23</f>
        <v>-</v>
      </c>
      <c r="Y42" s="994">
        <f>Annuitätenzuschuss!D23</f>
        <v>0</v>
      </c>
      <c r="Z42" s="994" t="str">
        <f>Annuitätenzuschuss!E23</f>
        <v/>
      </c>
      <c r="AA42" s="994">
        <f>Annuitätenzuschuss!F23</f>
        <v>0</v>
      </c>
      <c r="AB42" s="1006">
        <f>Annuitätenzuschuss!G23</f>
        <v>0</v>
      </c>
      <c r="AC42" s="1063" t="str">
        <f>IF(OR($S$43="",$S$43=0,Y42=""),"",$S$43*AB42)</f>
        <v/>
      </c>
      <c r="AD42" s="653"/>
      <c r="AE42" s="653"/>
      <c r="AF42" s="653"/>
      <c r="AG42" s="653"/>
      <c r="AH42" s="653"/>
      <c r="AI42" s="653"/>
      <c r="AJ42" s="653"/>
      <c r="AK42" s="653"/>
      <c r="AL42" s="653"/>
      <c r="AM42" s="653"/>
      <c r="AN42" s="653"/>
      <c r="AO42" s="653"/>
      <c r="AP42" s="653"/>
      <c r="AQ42" s="653"/>
      <c r="AR42" s="653"/>
      <c r="AS42" s="653"/>
      <c r="AT42" s="653"/>
      <c r="AU42" s="653"/>
      <c r="AV42" s="653"/>
      <c r="AW42" s="653"/>
      <c r="AX42" s="653"/>
      <c r="AY42" s="653"/>
      <c r="AZ42" s="653"/>
      <c r="BA42" s="653"/>
      <c r="BB42" s="653"/>
      <c r="BC42" s="653"/>
      <c r="BD42" s="653"/>
      <c r="BE42" s="653"/>
      <c r="BF42" s="653"/>
      <c r="BG42" s="653"/>
      <c r="BH42" s="653"/>
      <c r="BI42" s="653"/>
      <c r="BJ42" s="653"/>
      <c r="BK42" s="653"/>
      <c r="BL42" s="653"/>
      <c r="BM42" s="653"/>
      <c r="BN42" s="653"/>
      <c r="BO42" s="653"/>
      <c r="BP42" s="653"/>
      <c r="BQ42" s="653"/>
      <c r="BR42" s="653"/>
      <c r="BS42" s="653"/>
      <c r="BT42" s="653"/>
      <c r="BU42" s="653"/>
      <c r="BV42" s="654"/>
    </row>
    <row r="43" spans="2:74" x14ac:dyDescent="0.25">
      <c r="B43" s="651"/>
      <c r="C43" s="876"/>
      <c r="D43" s="876"/>
      <c r="E43" s="876"/>
      <c r="F43" s="654"/>
      <c r="G43" s="653"/>
      <c r="H43" s="653" t="s">
        <v>592</v>
      </c>
      <c r="I43" s="653"/>
      <c r="J43" s="653"/>
      <c r="K43" s="653"/>
      <c r="L43" s="653"/>
      <c r="M43" s="653"/>
      <c r="N43" s="653" t="s">
        <v>593</v>
      </c>
      <c r="O43" s="653"/>
      <c r="P43" s="964">
        <f>Annuitätenzuschuss!D55</f>
        <v>0</v>
      </c>
      <c r="Q43" s="653" t="s">
        <v>68</v>
      </c>
      <c r="R43" s="965">
        <f>P43*I49</f>
        <v>0</v>
      </c>
      <c r="S43" s="965">
        <f>IF(R47&lt;0,R43+R47,R43)</f>
        <v>0</v>
      </c>
      <c r="T43" s="966"/>
      <c r="U43" s="653" t="s">
        <v>594</v>
      </c>
      <c r="V43" s="653" t="s">
        <v>595</v>
      </c>
      <c r="W43" s="653"/>
      <c r="X43" s="691"/>
      <c r="Y43" s="653"/>
      <c r="AB43" s="653"/>
      <c r="AC43" s="653"/>
      <c r="AD43" s="653"/>
      <c r="AE43" s="653"/>
      <c r="AF43" s="653"/>
      <c r="AG43" s="653"/>
      <c r="AH43" s="653"/>
      <c r="AI43" s="653"/>
      <c r="AJ43" s="653"/>
      <c r="AK43" s="653"/>
      <c r="AL43" s="653"/>
      <c r="AM43" s="653"/>
      <c r="AN43" s="653"/>
      <c r="AO43" s="653"/>
      <c r="AP43" s="653"/>
      <c r="AQ43" s="653"/>
      <c r="AR43" s="653"/>
      <c r="AS43" s="653"/>
      <c r="AT43" s="653"/>
      <c r="AU43" s="653"/>
      <c r="AV43" s="653"/>
      <c r="AW43" s="653"/>
      <c r="AX43" s="653"/>
      <c r="AY43" s="653"/>
      <c r="AZ43" s="653"/>
      <c r="BA43" s="653"/>
      <c r="BB43" s="653"/>
      <c r="BC43" s="653"/>
      <c r="BD43" s="653"/>
      <c r="BE43" s="653"/>
      <c r="BF43" s="653"/>
      <c r="BG43" s="653"/>
      <c r="BH43" s="653"/>
      <c r="BI43" s="653"/>
      <c r="BJ43" s="653"/>
      <c r="BK43" s="653"/>
      <c r="BL43" s="653"/>
      <c r="BM43" s="653"/>
      <c r="BN43" s="653"/>
      <c r="BO43" s="653"/>
      <c r="BP43" s="653"/>
      <c r="BQ43" s="653"/>
      <c r="BR43" s="653"/>
      <c r="BS43" s="653"/>
      <c r="BT43" s="653"/>
      <c r="BU43" s="653"/>
      <c r="BV43" s="654"/>
    </row>
    <row r="44" spans="2:74" x14ac:dyDescent="0.25">
      <c r="B44" s="651"/>
      <c r="C44" s="875" t="s">
        <v>597</v>
      </c>
      <c r="D44" s="876"/>
      <c r="E44" s="876"/>
      <c r="F44" s="654"/>
      <c r="G44" s="653"/>
      <c r="H44" s="653" t="s">
        <v>598</v>
      </c>
      <c r="I44" s="962">
        <f>K44/$I$49</f>
        <v>335.63825654572298</v>
      </c>
      <c r="J44" s="653" t="s">
        <v>68</v>
      </c>
      <c r="K44" s="964">
        <f>D53</f>
        <v>432000</v>
      </c>
      <c r="L44" s="653" t="s">
        <v>363</v>
      </c>
      <c r="M44" s="653"/>
      <c r="N44" s="653" t="s">
        <v>599</v>
      </c>
      <c r="O44" s="653"/>
      <c r="P44" s="653"/>
      <c r="Q44" s="653"/>
      <c r="R44" s="965">
        <f>IF(K46-R43-R45-R46-R48-R49&lt;=0,0,K46-R43-R45-R46-R48-R49)</f>
        <v>3343232.8147999998</v>
      </c>
      <c r="S44" s="965">
        <f>R44</f>
        <v>3343232.8147999998</v>
      </c>
      <c r="T44" s="966"/>
      <c r="U44" s="967"/>
      <c r="W44" s="998"/>
      <c r="X44" s="691"/>
      <c r="Y44" s="653"/>
      <c r="AB44" s="653"/>
      <c r="AC44" s="653"/>
      <c r="AD44" s="969"/>
      <c r="AE44" s="969"/>
      <c r="AF44" s="969"/>
      <c r="AG44" s="969"/>
      <c r="AH44" s="653"/>
      <c r="AI44" s="653"/>
      <c r="AJ44" s="653"/>
      <c r="AK44" s="653"/>
      <c r="AL44" s="653"/>
      <c r="AM44" s="653"/>
      <c r="AN44" s="653"/>
      <c r="AO44" s="653"/>
      <c r="AP44" s="653"/>
      <c r="AQ44" s="653"/>
      <c r="AR44" s="653"/>
      <c r="AS44" s="653"/>
      <c r="AT44" s="653"/>
      <c r="AU44" s="653"/>
      <c r="AV44" s="653"/>
      <c r="AW44" s="653"/>
      <c r="AX44" s="653"/>
      <c r="AY44" s="653"/>
      <c r="AZ44" s="653"/>
      <c r="BA44" s="653"/>
      <c r="BB44" s="653"/>
      <c r="BC44" s="653"/>
      <c r="BD44" s="653"/>
      <c r="BE44" s="653"/>
      <c r="BF44" s="653"/>
      <c r="BG44" s="653"/>
      <c r="BH44" s="653"/>
      <c r="BI44" s="653"/>
      <c r="BJ44" s="653"/>
      <c r="BK44" s="653"/>
      <c r="BL44" s="653"/>
      <c r="BM44" s="653"/>
      <c r="BN44" s="653"/>
      <c r="BO44" s="653"/>
      <c r="BP44" s="653"/>
      <c r="BQ44" s="653"/>
      <c r="BR44" s="653"/>
      <c r="BS44" s="653"/>
      <c r="BT44" s="653"/>
      <c r="BU44" s="653"/>
      <c r="BV44" s="654"/>
    </row>
    <row r="45" spans="2:74" x14ac:dyDescent="0.25">
      <c r="B45" s="651"/>
      <c r="C45" s="877">
        <f>SUM(AF57:AF107)</f>
        <v>442648.83236387745</v>
      </c>
      <c r="D45" s="876"/>
      <c r="E45" s="876"/>
      <c r="F45" s="654"/>
      <c r="G45" s="653"/>
      <c r="H45" s="880" t="s">
        <v>600</v>
      </c>
      <c r="I45" s="881">
        <f>K45/$I$49</f>
        <v>2779.4276932639268</v>
      </c>
      <c r="J45" s="880" t="s">
        <v>68</v>
      </c>
      <c r="K45" s="882">
        <f>K46-K44</f>
        <v>3577401.3840000001</v>
      </c>
      <c r="L45" s="880" t="s">
        <v>363</v>
      </c>
      <c r="M45" s="653"/>
      <c r="N45" s="653" t="s">
        <v>601</v>
      </c>
      <c r="O45" s="653"/>
      <c r="P45" s="970">
        <f>Annuitätenzuschuss!$C$9</f>
        <v>1</v>
      </c>
      <c r="Q45" s="653" t="s">
        <v>602</v>
      </c>
      <c r="R45" s="965">
        <f>K44*P45</f>
        <v>432000</v>
      </c>
      <c r="S45" s="965">
        <f>R45</f>
        <v>432000</v>
      </c>
      <c r="T45" s="653"/>
      <c r="U45" s="968">
        <f>Annuitätenzuschuss!$C$13</f>
        <v>0.03</v>
      </c>
      <c r="V45" s="899">
        <f>Annuitätenzuschuss!$C$14</f>
        <v>25</v>
      </c>
      <c r="W45" s="653" t="s">
        <v>161</v>
      </c>
      <c r="X45" s="691"/>
      <c r="Y45" s="653"/>
      <c r="Z45" s="653"/>
      <c r="AA45" s="1063"/>
      <c r="AB45" s="653"/>
      <c r="AC45" s="653"/>
      <c r="AD45" s="653"/>
      <c r="AE45" s="653"/>
      <c r="AF45" s="653"/>
      <c r="AG45" s="653"/>
      <c r="AH45" s="653"/>
      <c r="AI45" s="653"/>
      <c r="AJ45" s="653"/>
      <c r="AK45" s="653"/>
      <c r="AL45" s="653"/>
      <c r="AM45" s="653"/>
      <c r="AN45" s="653"/>
      <c r="AO45" s="653"/>
      <c r="AP45" s="653"/>
      <c r="AQ45" s="653"/>
      <c r="AR45" s="653"/>
      <c r="AS45" s="653"/>
      <c r="AT45" s="653"/>
      <c r="AU45" s="653"/>
      <c r="AV45" s="653"/>
      <c r="AW45" s="653"/>
      <c r="AX45" s="653"/>
      <c r="AY45" s="653"/>
      <c r="AZ45" s="653"/>
      <c r="BA45" s="653"/>
      <c r="BB45" s="653"/>
      <c r="BC45" s="653"/>
      <c r="BD45" s="653"/>
      <c r="BE45" s="653"/>
      <c r="BF45" s="653"/>
      <c r="BG45" s="653"/>
      <c r="BH45" s="653"/>
      <c r="BI45" s="653"/>
      <c r="BJ45" s="653"/>
      <c r="BK45" s="653"/>
      <c r="BL45" s="653"/>
      <c r="BM45" s="653"/>
      <c r="BN45" s="653"/>
      <c r="BO45" s="653"/>
      <c r="BP45" s="653"/>
      <c r="BQ45" s="653"/>
      <c r="BR45" s="653"/>
      <c r="BS45" s="653"/>
      <c r="BT45" s="653"/>
      <c r="BU45" s="653"/>
      <c r="BV45" s="654"/>
    </row>
    <row r="46" spans="2:74" ht="23.25" x14ac:dyDescent="0.35">
      <c r="B46" s="651"/>
      <c r="C46" s="884" t="s">
        <v>603</v>
      </c>
      <c r="D46" s="885"/>
      <c r="E46" s="885"/>
      <c r="F46" s="654"/>
      <c r="G46" s="653"/>
      <c r="H46" s="653" t="s">
        <v>604</v>
      </c>
      <c r="I46" s="962">
        <f>K46/$I$49</f>
        <v>3115.0659498096497</v>
      </c>
      <c r="J46" s="653" t="s">
        <v>68</v>
      </c>
      <c r="K46" s="964">
        <f>Annuitätenzuschuss!D52</f>
        <v>4009401.3840000001</v>
      </c>
      <c r="L46" s="653" t="s">
        <v>363</v>
      </c>
      <c r="M46" s="653"/>
      <c r="N46" s="653" t="s">
        <v>605</v>
      </c>
      <c r="O46" s="653"/>
      <c r="P46" s="1454">
        <f>Annuitätenzuschuss!$C$11</f>
        <v>0.05</v>
      </c>
      <c r="Q46" s="653" t="str">
        <f>IF($F$11="Prozent","%Baukosten","AbsoluterWert")</f>
        <v>%Baukosten</v>
      </c>
      <c r="R46" s="965">
        <f>IF($F$11="Prozent",K45*P46,P46)</f>
        <v>178870.06920000003</v>
      </c>
      <c r="S46" s="965">
        <f>R46</f>
        <v>178870.06920000003</v>
      </c>
      <c r="T46" s="898" t="s">
        <v>205</v>
      </c>
      <c r="U46" s="968">
        <f>Annuitätenzuschuss!$C$10</f>
        <v>0</v>
      </c>
      <c r="V46" s="971">
        <v>2000</v>
      </c>
      <c r="W46" s="653" t="s">
        <v>606</v>
      </c>
      <c r="X46" s="691"/>
      <c r="Y46" s="653" t="s">
        <v>607</v>
      </c>
      <c r="Z46" s="653"/>
      <c r="AA46" s="1063"/>
      <c r="AB46" s="653"/>
      <c r="AC46" s="653"/>
      <c r="AD46" s="653"/>
      <c r="AE46" s="653"/>
      <c r="AF46" s="653"/>
      <c r="AG46" s="653"/>
      <c r="AH46" s="653"/>
      <c r="AI46" s="653"/>
      <c r="AJ46" s="653"/>
      <c r="AK46" s="653"/>
      <c r="AL46" s="653"/>
      <c r="AM46" s="653"/>
      <c r="AN46" s="653"/>
      <c r="AO46" s="653"/>
      <c r="AP46" s="653"/>
      <c r="AQ46" s="653"/>
      <c r="AR46" s="653"/>
      <c r="AS46" s="653"/>
      <c r="AT46" s="653"/>
      <c r="AU46" s="653"/>
      <c r="AV46" s="653"/>
      <c r="AW46" s="653"/>
      <c r="AX46" s="653"/>
      <c r="AY46" s="653"/>
      <c r="AZ46" s="653"/>
      <c r="BA46" s="653"/>
      <c r="BB46" s="653"/>
      <c r="BC46" s="653"/>
      <c r="BD46" s="653"/>
      <c r="BE46" s="653"/>
      <c r="BF46" s="653"/>
      <c r="BG46" s="653"/>
      <c r="BH46" s="653"/>
      <c r="BI46" s="653"/>
      <c r="BJ46" s="653"/>
      <c r="BK46" s="653"/>
      <c r="BL46" s="653"/>
      <c r="BM46" s="653"/>
      <c r="BN46" s="653"/>
      <c r="BO46" s="653"/>
      <c r="BP46" s="653"/>
      <c r="BQ46" s="653"/>
      <c r="BR46" s="653"/>
      <c r="BS46" s="653"/>
      <c r="BT46" s="653"/>
      <c r="BU46" s="653"/>
      <c r="BV46" s="654"/>
    </row>
    <row r="47" spans="2:74" ht="23.25" x14ac:dyDescent="0.35">
      <c r="B47" s="651"/>
      <c r="C47" s="886">
        <f>AL54</f>
        <v>-2204983.7187676351</v>
      </c>
      <c r="D47" s="885"/>
      <c r="E47" s="885"/>
      <c r="F47" s="654"/>
      <c r="G47" s="653"/>
      <c r="H47" s="653"/>
      <c r="I47" s="653"/>
      <c r="J47" s="653"/>
      <c r="K47" s="653"/>
      <c r="L47" s="653"/>
      <c r="M47" s="653"/>
      <c r="N47" s="653" t="s">
        <v>608</v>
      </c>
      <c r="O47" s="653"/>
      <c r="P47" s="653"/>
      <c r="Q47" s="653"/>
      <c r="R47" s="962">
        <f>IF(SUM(R43:R46,R48:R49)-K46&gt;0,-SUM(R43:R46,R48:R49)+K46,0)</f>
        <v>0</v>
      </c>
      <c r="S47" s="653"/>
      <c r="T47" s="898" t="s">
        <v>205</v>
      </c>
      <c r="U47" s="968">
        <f>Annuitätenzuschuss!$C$12</f>
        <v>0.02</v>
      </c>
      <c r="V47" s="971">
        <f>IF(S46=0,0,NPER(U47,-(U47+$Q$39)*S46,S46))</f>
        <v>35.002788781146499</v>
      </c>
      <c r="W47" s="653" t="s">
        <v>606</v>
      </c>
      <c r="X47" s="653"/>
      <c r="Y47" s="653" t="s">
        <v>609</v>
      </c>
      <c r="Z47" s="653"/>
      <c r="AA47" s="1063"/>
      <c r="AB47" s="653"/>
      <c r="AC47" s="653"/>
      <c r="AD47" s="653"/>
      <c r="AE47" s="653"/>
      <c r="AF47" s="653"/>
      <c r="AG47" s="653"/>
      <c r="AH47" s="653"/>
      <c r="AI47" s="653"/>
      <c r="AJ47" s="653"/>
      <c r="AK47" s="653"/>
      <c r="AL47" s="653"/>
      <c r="AM47" s="653"/>
      <c r="AN47" s="653"/>
      <c r="AO47" s="653"/>
      <c r="AP47" s="653"/>
      <c r="AQ47" s="653"/>
      <c r="AR47" s="653"/>
      <c r="AS47" s="653"/>
      <c r="AT47" s="653"/>
      <c r="AU47" s="653"/>
      <c r="AV47" s="653"/>
      <c r="AW47" s="653"/>
      <c r="AX47" s="653"/>
      <c r="AY47" s="653"/>
      <c r="AZ47" s="653"/>
      <c r="BA47" s="653"/>
      <c r="BB47" s="653"/>
      <c r="BC47" s="653"/>
      <c r="BD47" s="653"/>
      <c r="BE47" s="653"/>
      <c r="BF47" s="653"/>
      <c r="BG47" s="653"/>
      <c r="BH47" s="653"/>
      <c r="BI47" s="653"/>
      <c r="BJ47" s="653"/>
      <c r="BK47" s="653"/>
      <c r="BL47" s="653"/>
      <c r="BM47" s="653"/>
      <c r="BN47" s="653"/>
      <c r="BO47" s="653"/>
      <c r="BP47" s="653"/>
      <c r="BQ47" s="653"/>
      <c r="BR47" s="653"/>
      <c r="BS47" s="653"/>
      <c r="BT47" s="653"/>
      <c r="BU47" s="653"/>
      <c r="BV47" s="654"/>
    </row>
    <row r="48" spans="2:74" x14ac:dyDescent="0.25">
      <c r="B48" s="651"/>
      <c r="C48" s="653"/>
      <c r="D48" s="653"/>
      <c r="E48" s="653"/>
      <c r="F48" s="654"/>
      <c r="G48" s="653"/>
      <c r="H48" s="653" t="s">
        <v>610</v>
      </c>
      <c r="I48" s="653"/>
      <c r="J48" s="653"/>
      <c r="K48" s="653"/>
      <c r="L48" s="653"/>
      <c r="M48" s="653"/>
      <c r="N48" s="653" t="s">
        <v>611</v>
      </c>
      <c r="O48" s="653"/>
      <c r="P48" s="653"/>
      <c r="Q48" s="653"/>
      <c r="R48" s="964">
        <f>D56</f>
        <v>10250</v>
      </c>
      <c r="S48" s="965">
        <f>R48</f>
        <v>10250</v>
      </c>
      <c r="T48" s="653"/>
      <c r="U48" s="653"/>
      <c r="V48" s="653"/>
      <c r="W48" s="653"/>
      <c r="X48" s="653"/>
      <c r="Y48" s="653"/>
      <c r="Z48" s="653"/>
      <c r="AA48" s="1063"/>
      <c r="AB48" s="653"/>
      <c r="AC48" s="653"/>
      <c r="AD48" s="653"/>
      <c r="AE48" s="653"/>
      <c r="AF48" s="653"/>
      <c r="AG48" s="653"/>
      <c r="AH48" s="653"/>
      <c r="AI48" s="653"/>
      <c r="AJ48" s="653"/>
      <c r="AK48" s="653"/>
      <c r="AL48" s="653"/>
      <c r="AM48" s="653"/>
      <c r="AN48" s="653"/>
      <c r="AO48" s="653"/>
      <c r="AP48" s="653"/>
      <c r="AQ48" s="653"/>
      <c r="AR48" s="653"/>
      <c r="AS48" s="653"/>
      <c r="AT48" s="653"/>
      <c r="AU48" s="653"/>
      <c r="AV48" s="653"/>
      <c r="AW48" s="653"/>
      <c r="AX48" s="653"/>
      <c r="AY48" s="653"/>
      <c r="AZ48" s="653"/>
      <c r="BA48" s="653"/>
      <c r="BB48" s="653"/>
      <c r="BC48" s="653"/>
      <c r="BD48" s="653"/>
      <c r="BE48" s="653"/>
      <c r="BF48" s="653"/>
      <c r="BG48" s="653"/>
      <c r="BH48" s="653"/>
      <c r="BI48" s="653"/>
      <c r="BJ48" s="653"/>
      <c r="BK48" s="653"/>
      <c r="BL48" s="653"/>
      <c r="BM48" s="653"/>
      <c r="BN48" s="653"/>
      <c r="BO48" s="653"/>
      <c r="BP48" s="653"/>
      <c r="BQ48" s="653"/>
      <c r="BR48" s="653"/>
      <c r="BS48" s="653"/>
      <c r="BT48" s="653"/>
      <c r="BU48" s="653"/>
      <c r="BV48" s="654"/>
    </row>
    <row r="49" spans="2:74" ht="15.75" thickBot="1" x14ac:dyDescent="0.3">
      <c r="B49" s="680"/>
      <c r="C49" s="681"/>
      <c r="D49" s="681"/>
      <c r="E49" s="681"/>
      <c r="F49" s="666"/>
      <c r="G49" s="653"/>
      <c r="H49" s="653" t="s">
        <v>361</v>
      </c>
      <c r="I49" s="983">
        <f>D54</f>
        <v>1287.0999999999999</v>
      </c>
      <c r="J49" s="653" t="s">
        <v>67</v>
      </c>
      <c r="K49" s="653"/>
      <c r="L49" s="653"/>
      <c r="M49" s="653"/>
      <c r="N49" s="880" t="s">
        <v>612</v>
      </c>
      <c r="O49" s="880"/>
      <c r="P49" s="887">
        <f>Annuitätenzuschuss!$C$15</f>
        <v>35</v>
      </c>
      <c r="Q49" s="880" t="s">
        <v>68</v>
      </c>
      <c r="R49" s="888">
        <f>P49*I49</f>
        <v>45048.5</v>
      </c>
      <c r="S49" s="965">
        <f>R49</f>
        <v>45048.5</v>
      </c>
      <c r="T49" s="653"/>
      <c r="U49" s="878" t="s">
        <v>613</v>
      </c>
      <c r="V49" s="889"/>
      <c r="W49" s="889"/>
      <c r="X49" s="889"/>
      <c r="Y49" s="890"/>
      <c r="Z49" s="889"/>
      <c r="AA49" s="889"/>
      <c r="AB49" s="889"/>
      <c r="AC49" s="889"/>
      <c r="AD49" s="891"/>
      <c r="AE49" s="653"/>
      <c r="AF49" s="653"/>
      <c r="AG49" s="653"/>
      <c r="AH49" s="653"/>
      <c r="AI49" s="653"/>
      <c r="AJ49" s="653"/>
      <c r="AK49" s="653"/>
      <c r="AL49" s="653"/>
      <c r="AM49" s="653"/>
      <c r="AN49" s="653"/>
      <c r="AO49" s="653"/>
      <c r="AP49" s="653"/>
      <c r="AQ49" s="653"/>
      <c r="AR49" s="653"/>
      <c r="AS49" s="653"/>
      <c r="AT49" s="653"/>
      <c r="AU49" s="653"/>
      <c r="AV49" s="653"/>
      <c r="AW49" s="653"/>
      <c r="AX49" s="653"/>
      <c r="AY49" s="653"/>
      <c r="AZ49" s="653"/>
      <c r="BA49" s="653"/>
      <c r="BB49" s="653"/>
      <c r="BC49" s="653"/>
      <c r="BD49" s="653"/>
      <c r="BE49" s="653"/>
      <c r="BF49" s="653"/>
      <c r="BG49" s="653"/>
      <c r="BH49" s="653"/>
      <c r="BI49" s="653"/>
      <c r="BJ49" s="653"/>
      <c r="BK49" s="653"/>
      <c r="BL49" s="653"/>
      <c r="BM49" s="653"/>
      <c r="BN49" s="653"/>
      <c r="BO49" s="653"/>
      <c r="BP49" s="653"/>
      <c r="BQ49" s="653"/>
      <c r="BR49" s="653"/>
      <c r="BS49" s="653"/>
      <c r="BT49" s="653"/>
      <c r="BU49" s="653"/>
      <c r="BV49" s="654"/>
    </row>
    <row r="50" spans="2:74" ht="19.5" thickBot="1" x14ac:dyDescent="0.3">
      <c r="B50" s="651"/>
      <c r="C50" s="653"/>
      <c r="D50" s="653"/>
      <c r="E50" s="653"/>
      <c r="F50" s="653"/>
      <c r="G50" s="653"/>
      <c r="H50" s="653"/>
      <c r="I50" s="653"/>
      <c r="J50" s="653"/>
      <c r="K50" s="653"/>
      <c r="L50" s="653"/>
      <c r="M50" s="653"/>
      <c r="N50" s="653"/>
      <c r="O50" s="653"/>
      <c r="P50" s="653"/>
      <c r="Q50" s="653"/>
      <c r="R50" s="962">
        <f>SUM(R43:R49)</f>
        <v>4009401.3839999996</v>
      </c>
      <c r="S50" s="965">
        <f>SUM(S43:S49)</f>
        <v>4009401.3839999996</v>
      </c>
      <c r="T50" s="965"/>
      <c r="U50" s="892"/>
      <c r="V50" s="653" t="s">
        <v>614</v>
      </c>
      <c r="W50" s="653"/>
      <c r="X50" s="653"/>
      <c r="Y50" s="893">
        <f>Annuitätenzuschuss!$C$27</f>
        <v>5.0199999999999996</v>
      </c>
      <c r="Z50" s="653" t="s">
        <v>615</v>
      </c>
      <c r="AA50" s="876"/>
      <c r="AB50" s="876"/>
      <c r="AC50" s="894" t="s">
        <v>616</v>
      </c>
      <c r="AD50" s="895">
        <f>VLOOKUP($V$58,AM58:AN157,2,FALSE)-1</f>
        <v>35</v>
      </c>
      <c r="AE50" s="896"/>
      <c r="AF50" s="896"/>
      <c r="AG50" s="896"/>
      <c r="AH50" s="653"/>
      <c r="AI50" s="1705" t="s">
        <v>700</v>
      </c>
      <c r="AJ50" s="1705"/>
      <c r="AK50" s="1705"/>
      <c r="AL50" s="1705"/>
      <c r="AM50" s="653"/>
      <c r="AN50" s="653"/>
      <c r="AO50" s="1706" t="s">
        <v>700</v>
      </c>
      <c r="AP50" s="1706"/>
      <c r="AQ50" s="1706"/>
      <c r="AR50" s="653"/>
      <c r="AS50" s="653"/>
      <c r="AT50" s="653"/>
      <c r="AU50" s="653"/>
      <c r="AV50" s="653"/>
      <c r="AW50" s="653"/>
      <c r="AX50" s="653"/>
      <c r="AY50" s="653"/>
      <c r="AZ50" s="653"/>
      <c r="BA50" s="653"/>
      <c r="BB50" s="653"/>
      <c r="BC50" s="653"/>
      <c r="BD50" s="653"/>
      <c r="BE50" s="653"/>
      <c r="BF50" s="653"/>
      <c r="BG50" s="653"/>
      <c r="BH50" s="653"/>
      <c r="BI50" s="653"/>
      <c r="BJ50" s="653"/>
      <c r="BK50" s="653"/>
      <c r="BL50" s="653"/>
      <c r="BM50" s="653"/>
      <c r="BN50" s="653"/>
      <c r="BO50" s="653"/>
      <c r="BP50" s="653"/>
      <c r="BQ50" s="653"/>
      <c r="BR50" s="653"/>
      <c r="BS50" s="653"/>
      <c r="BT50" s="653"/>
      <c r="BU50" s="653"/>
      <c r="BV50" s="654"/>
    </row>
    <row r="51" spans="2:74" ht="27" thickBot="1" x14ac:dyDescent="0.45">
      <c r="B51" s="651"/>
      <c r="C51" s="1707" t="s">
        <v>693</v>
      </c>
      <c r="D51" s="1708"/>
      <c r="E51" s="1709"/>
      <c r="F51" s="653"/>
      <c r="G51" s="653"/>
      <c r="H51" s="653"/>
      <c r="I51" s="653"/>
      <c r="J51" s="653"/>
      <c r="K51" s="653"/>
      <c r="L51" s="653"/>
      <c r="M51" s="653"/>
      <c r="N51" s="653"/>
      <c r="O51" s="653"/>
      <c r="P51" s="653"/>
      <c r="Q51" s="653"/>
      <c r="R51" s="653"/>
      <c r="S51" s="965"/>
      <c r="T51" s="691"/>
      <c r="U51" s="897"/>
      <c r="V51" s="898" t="s">
        <v>617</v>
      </c>
      <c r="W51" s="899">
        <f>Annuitätenzuschuss!$C$26</f>
        <v>25</v>
      </c>
      <c r="X51" s="653" t="s">
        <v>481</v>
      </c>
      <c r="Y51" s="1063"/>
      <c r="Z51" s="653"/>
      <c r="AA51" s="876"/>
      <c r="AB51" s="876"/>
      <c r="AC51" s="894" t="s">
        <v>618</v>
      </c>
      <c r="AD51" s="895">
        <f>SUMIF(Y58:Y107,"&lt;0")*-1</f>
        <v>0</v>
      </c>
      <c r="AE51" s="896"/>
      <c r="AF51" s="896"/>
      <c r="AG51" s="896"/>
      <c r="AH51" s="653"/>
      <c r="AI51" s="653"/>
      <c r="AJ51" s="653"/>
      <c r="AK51" s="653"/>
      <c r="AL51" s="653"/>
      <c r="AM51" s="653"/>
      <c r="AN51" s="653"/>
      <c r="AO51" s="653"/>
      <c r="AP51" s="653"/>
      <c r="AQ51" s="653"/>
      <c r="AR51" s="653"/>
      <c r="AS51" s="653"/>
      <c r="AT51" s="653"/>
      <c r="AU51" s="653"/>
      <c r="AV51" s="653"/>
      <c r="AW51" s="653"/>
      <c r="AX51" s="653"/>
      <c r="AY51" s="653"/>
      <c r="AZ51" s="653"/>
      <c r="BA51" s="653"/>
      <c r="BB51" s="653"/>
      <c r="BC51" s="653"/>
      <c r="BD51" s="653"/>
      <c r="BE51" s="653"/>
      <c r="BF51" s="653"/>
      <c r="BG51" s="653"/>
      <c r="BH51" s="653"/>
      <c r="BI51" s="653"/>
      <c r="BJ51" s="653"/>
      <c r="BK51" s="653"/>
      <c r="BL51" s="653"/>
      <c r="BM51" s="653"/>
      <c r="BN51" s="653"/>
      <c r="BO51" s="653"/>
      <c r="BP51" s="653"/>
      <c r="BQ51" s="653"/>
      <c r="BR51" s="653"/>
      <c r="BS51" s="653"/>
      <c r="BT51" s="653"/>
      <c r="BU51" s="653"/>
      <c r="BV51" s="654"/>
    </row>
    <row r="52" spans="2:74" ht="15.75" thickBot="1" x14ac:dyDescent="0.3">
      <c r="B52" s="651"/>
      <c r="C52" s="924" t="s">
        <v>652</v>
      </c>
      <c r="D52" s="1012">
        <f>'3.1 Fi&amp;Fo'!$G$13</f>
        <v>4009401.3840000001</v>
      </c>
      <c r="E52" s="925" t="s">
        <v>363</v>
      </c>
      <c r="F52" s="653"/>
      <c r="G52" s="899" t="s">
        <v>619</v>
      </c>
      <c r="H52" s="899"/>
      <c r="I52" s="691"/>
      <c r="J52" s="691"/>
      <c r="K52" s="691"/>
      <c r="L52" s="653"/>
      <c r="M52" s="653"/>
      <c r="N52" s="653"/>
      <c r="O52" s="1711" t="s">
        <v>620</v>
      </c>
      <c r="P52" s="1712"/>
      <c r="Q52" s="1712"/>
      <c r="R52" s="1712"/>
      <c r="S52" s="1712"/>
      <c r="T52" s="1712"/>
      <c r="U52" s="1712"/>
      <c r="V52" s="1712"/>
      <c r="W52" s="1712"/>
      <c r="X52" s="1712"/>
      <c r="Y52" s="1712"/>
      <c r="Z52" s="1712"/>
      <c r="AA52" s="1712"/>
      <c r="AB52" s="1712"/>
      <c r="AC52" s="1712"/>
      <c r="AD52" s="1712"/>
      <c r="AE52" s="1712"/>
      <c r="AF52" s="1712"/>
      <c r="AG52" s="1712"/>
      <c r="AH52" s="1713"/>
      <c r="AI52" s="1714" t="s">
        <v>621</v>
      </c>
      <c r="AJ52" s="1715"/>
      <c r="AK52" s="1715"/>
      <c r="AL52" s="1716"/>
      <c r="AM52" s="691"/>
      <c r="AN52" s="691"/>
      <c r="AO52" s="653" t="s">
        <v>666</v>
      </c>
      <c r="AP52" s="653" t="s">
        <v>625</v>
      </c>
      <c r="AQ52" s="653" t="s">
        <v>626</v>
      </c>
      <c r="AR52" s="653"/>
      <c r="AS52" s="653"/>
      <c r="AT52" s="653"/>
      <c r="AU52" s="653"/>
      <c r="AV52" s="653"/>
      <c r="AW52" s="653"/>
      <c r="AX52" s="653"/>
      <c r="AY52" s="653"/>
      <c r="AZ52" s="653"/>
      <c r="BA52" s="653"/>
      <c r="BB52" s="653"/>
      <c r="BC52" s="653"/>
      <c r="BD52" s="653"/>
      <c r="BE52" s="653"/>
      <c r="BF52" s="653"/>
      <c r="BG52" s="653"/>
      <c r="BH52" s="653"/>
      <c r="BI52" s="653"/>
      <c r="BJ52" s="653"/>
      <c r="BK52" s="653"/>
      <c r="BL52" s="653"/>
      <c r="BM52" s="653"/>
      <c r="BN52" s="653"/>
      <c r="BO52" s="653"/>
      <c r="BP52" s="653"/>
      <c r="BQ52" s="653"/>
      <c r="BR52" s="653"/>
      <c r="BS52" s="653"/>
      <c r="BT52" s="653"/>
      <c r="BU52" s="653"/>
      <c r="BV52" s="654"/>
    </row>
    <row r="53" spans="2:74" ht="15.75" thickBot="1" x14ac:dyDescent="0.3">
      <c r="B53" s="651"/>
      <c r="C53" s="924" t="s">
        <v>598</v>
      </c>
      <c r="D53" s="1012">
        <f>'3.1 I&amp;W'!$S$27</f>
        <v>432000</v>
      </c>
      <c r="E53" s="925"/>
      <c r="F53" s="653"/>
      <c r="G53" s="876" t="s">
        <v>622</v>
      </c>
      <c r="H53" s="876"/>
      <c r="I53" s="691"/>
      <c r="J53" s="691"/>
      <c r="K53" s="691"/>
      <c r="L53" s="653"/>
      <c r="M53" s="653"/>
      <c r="N53" s="972"/>
      <c r="O53" s="691"/>
      <c r="P53" s="909"/>
      <c r="Q53" s="798"/>
      <c r="R53" s="798"/>
      <c r="S53" s="798"/>
      <c r="T53" s="798"/>
      <c r="U53" s="798"/>
      <c r="V53" s="653"/>
      <c r="W53" s="691"/>
      <c r="X53" s="691"/>
      <c r="Y53" s="691"/>
      <c r="Z53" s="691"/>
      <c r="AA53" s="691"/>
      <c r="AB53" s="691"/>
      <c r="AC53" s="691"/>
      <c r="AD53" s="691"/>
      <c r="AE53" s="691"/>
      <c r="AF53" s="691"/>
      <c r="AG53" s="973"/>
      <c r="AH53" s="691"/>
      <c r="AI53" s="1717" t="s">
        <v>623</v>
      </c>
      <c r="AJ53" s="1718"/>
      <c r="AK53" s="1719" t="s">
        <v>624</v>
      </c>
      <c r="AL53" s="1720"/>
      <c r="AM53" s="691"/>
      <c r="AN53" s="691"/>
      <c r="AO53" s="1014">
        <f>NPV($Q$40,AO57:AO106)</f>
        <v>1900260.3431783211</v>
      </c>
      <c r="AP53" s="1014">
        <f>NPV($Q$38,AP58:AP107)</f>
        <v>0</v>
      </c>
      <c r="AQ53" s="1014">
        <f>NPV($Q$38,AQ58:AQ107)</f>
        <v>0</v>
      </c>
      <c r="AR53" s="653"/>
      <c r="AS53" s="653"/>
      <c r="AT53" s="653"/>
      <c r="AU53" s="653"/>
      <c r="AV53" s="653"/>
      <c r="AW53" s="653"/>
      <c r="AX53" s="653"/>
      <c r="AY53" s="653"/>
      <c r="AZ53" s="653"/>
      <c r="BA53" s="653"/>
      <c r="BB53" s="653"/>
      <c r="BC53" s="653"/>
      <c r="BD53" s="653"/>
      <c r="BE53" s="653"/>
      <c r="BF53" s="653"/>
      <c r="BG53" s="653"/>
      <c r="BH53" s="653"/>
      <c r="BI53" s="653"/>
      <c r="BJ53" s="653"/>
      <c r="BK53" s="653"/>
      <c r="BL53" s="653"/>
      <c r="BM53" s="653"/>
      <c r="BN53" s="653"/>
      <c r="BO53" s="653"/>
      <c r="BP53" s="653"/>
      <c r="BQ53" s="653"/>
      <c r="BR53" s="653"/>
      <c r="BS53" s="653"/>
      <c r="BT53" s="653"/>
      <c r="BU53" s="653"/>
      <c r="BV53" s="654"/>
    </row>
    <row r="54" spans="2:74" x14ac:dyDescent="0.25">
      <c r="B54" s="651"/>
      <c r="C54" s="924" t="s">
        <v>361</v>
      </c>
      <c r="D54" s="1012">
        <f>'1. Projektangaben'!$F$88</f>
        <v>1287.0999999999999</v>
      </c>
      <c r="E54" s="925"/>
      <c r="F54" s="653"/>
      <c r="G54" s="974" t="s">
        <v>627</v>
      </c>
      <c r="H54" s="974"/>
      <c r="I54" s="653"/>
      <c r="J54" s="653"/>
      <c r="K54" s="653"/>
      <c r="L54" s="653"/>
      <c r="M54" s="653"/>
      <c r="N54" s="975">
        <f>NPV($Q$40,N58:N107)*-1</f>
        <v>0</v>
      </c>
      <c r="O54" s="975">
        <f>NPV($Q$40,O58:O107)*-1</f>
        <v>0</v>
      </c>
      <c r="P54" s="975"/>
      <c r="Q54" s="975">
        <f>NPV($Q$40,R58:R107)*-1</f>
        <v>-3748401.0069877142</v>
      </c>
      <c r="R54" s="916"/>
      <c r="S54" s="916"/>
      <c r="T54" s="916"/>
      <c r="U54" s="916"/>
      <c r="V54" s="916"/>
      <c r="W54" s="916"/>
      <c r="X54" s="916"/>
      <c r="Y54" s="916"/>
      <c r="Z54" s="916"/>
      <c r="AA54" s="916"/>
      <c r="AB54" s="916"/>
      <c r="AC54" s="975">
        <f>NPV($Q$40,AC58:AC107)</f>
        <v>-1.8261226953244676E-9</v>
      </c>
      <c r="AD54" s="975"/>
      <c r="AE54" s="975"/>
      <c r="AF54" s="975"/>
      <c r="AG54" s="975">
        <f>NPV($Q$40,AG58:AG107)</f>
        <v>2436426.2662981339</v>
      </c>
      <c r="AH54" s="975"/>
      <c r="AI54" s="1014">
        <f>NPV($Q$40,AI58:AI107)</f>
        <v>-4143249.2688095216</v>
      </c>
      <c r="AJ54" s="1014">
        <f>NPV($Q$40,AJ58:AJ107)</f>
        <v>-2204983.7187676332</v>
      </c>
      <c r="AK54" s="1014">
        <f>NPV($Q$40,AK58:AK107)</f>
        <v>-4143249.2688095234</v>
      </c>
      <c r="AL54" s="1014">
        <f>NPV($Q$40,AL58:AL107)</f>
        <v>-2204983.7187676351</v>
      </c>
      <c r="AM54" s="975"/>
      <c r="AN54" s="975"/>
      <c r="AO54" s="975"/>
      <c r="AR54" s="653"/>
      <c r="AS54" s="653"/>
      <c r="AT54" s="653"/>
      <c r="AU54" s="653"/>
      <c r="AV54" s="653"/>
      <c r="AW54" s="653"/>
      <c r="AX54" s="653"/>
      <c r="AY54" s="653"/>
      <c r="AZ54" s="653"/>
      <c r="BA54" s="653"/>
      <c r="BB54" s="653"/>
      <c r="BC54" s="653"/>
      <c r="BD54" s="653"/>
      <c r="BE54" s="653"/>
      <c r="BF54" s="653"/>
      <c r="BG54" s="653"/>
      <c r="BH54" s="653"/>
      <c r="BI54" s="653"/>
      <c r="BJ54" s="653"/>
      <c r="BK54" s="653"/>
      <c r="BL54" s="653"/>
      <c r="BM54" s="653"/>
      <c r="BN54" s="653"/>
      <c r="BO54" s="653"/>
      <c r="BP54" s="653"/>
      <c r="BQ54" s="653"/>
      <c r="BR54" s="653"/>
      <c r="BS54" s="653"/>
      <c r="BT54" s="653"/>
      <c r="BU54" s="653"/>
      <c r="BV54" s="654"/>
    </row>
    <row r="55" spans="2:74" ht="15.75" thickBot="1" x14ac:dyDescent="0.3">
      <c r="B55" s="651"/>
      <c r="C55" s="924" t="s">
        <v>653</v>
      </c>
      <c r="D55" s="1012">
        <f>'1. Projektangaben'!$H$88</f>
        <v>0</v>
      </c>
      <c r="E55" s="925" t="s">
        <v>68</v>
      </c>
      <c r="F55" s="653"/>
      <c r="G55" s="976" t="s">
        <v>628</v>
      </c>
      <c r="H55" s="976"/>
      <c r="I55" s="653"/>
      <c r="J55" s="653"/>
      <c r="K55" s="653"/>
      <c r="L55" s="653"/>
      <c r="M55" s="653"/>
      <c r="N55" s="691"/>
      <c r="O55" s="691"/>
      <c r="P55" s="691"/>
      <c r="Q55" s="653"/>
      <c r="R55" s="653"/>
      <c r="S55" s="653"/>
      <c r="T55" s="653"/>
      <c r="U55" s="909"/>
      <c r="V55" s="909"/>
      <c r="W55" s="653"/>
      <c r="X55" s="691"/>
      <c r="Y55" s="691"/>
      <c r="Z55" s="691"/>
      <c r="AA55" s="1721" t="s">
        <v>629</v>
      </c>
      <c r="AB55" s="1721"/>
      <c r="AC55" s="691"/>
      <c r="AD55" s="691"/>
      <c r="AE55" s="691"/>
      <c r="AF55" s="691"/>
      <c r="AG55" s="691"/>
      <c r="AH55" s="691"/>
      <c r="AI55" s="691"/>
      <c r="AJ55" s="691"/>
      <c r="AK55" s="691"/>
      <c r="AL55" s="691"/>
      <c r="AM55" s="977" t="s">
        <v>630</v>
      </c>
      <c r="AN55" s="978"/>
      <c r="AO55" s="691"/>
      <c r="AP55" s="691"/>
      <c r="AQ55" s="691"/>
      <c r="AR55" s="691"/>
      <c r="AS55" s="653"/>
      <c r="AT55" s="653"/>
      <c r="AU55" s="653"/>
      <c r="AV55" s="653"/>
      <c r="AW55" s="653"/>
      <c r="AX55" s="653"/>
      <c r="AY55" s="653"/>
      <c r="AZ55" s="653"/>
      <c r="BA55" s="653"/>
      <c r="BB55" s="653"/>
      <c r="BC55" s="1710" t="s">
        <v>677</v>
      </c>
      <c r="BD55" s="1710"/>
      <c r="BE55" s="1710"/>
      <c r="BF55" s="1710"/>
      <c r="BG55" s="1710"/>
      <c r="BH55" s="1710"/>
      <c r="BI55" s="1710"/>
      <c r="BJ55" s="653"/>
      <c r="BK55" s="653"/>
      <c r="BL55" s="653"/>
      <c r="BM55" s="653"/>
      <c r="BN55" s="653"/>
      <c r="BO55" s="653"/>
      <c r="BP55" s="653"/>
      <c r="BQ55" s="653"/>
      <c r="BR55" s="653"/>
      <c r="BS55" s="653"/>
      <c r="BT55" s="653"/>
      <c r="BU55" s="653"/>
      <c r="BV55" s="654"/>
    </row>
    <row r="56" spans="2:74" ht="270.75" thickBot="1" x14ac:dyDescent="0.3">
      <c r="B56" s="651"/>
      <c r="C56" s="928" t="s">
        <v>655</v>
      </c>
      <c r="D56" s="1013">
        <f>'1. Projektangaben'!$J$88</f>
        <v>10250</v>
      </c>
      <c r="E56" s="929" t="s">
        <v>363</v>
      </c>
      <c r="F56" s="653"/>
      <c r="G56" s="653"/>
      <c r="H56" s="653"/>
      <c r="I56" s="653"/>
      <c r="J56" s="653"/>
      <c r="K56" s="653"/>
      <c r="L56" s="653"/>
      <c r="M56" s="648" t="s">
        <v>481</v>
      </c>
      <c r="N56" s="900" t="s">
        <v>696</v>
      </c>
      <c r="O56" s="900" t="s">
        <v>632</v>
      </c>
      <c r="P56" s="900" t="s">
        <v>697</v>
      </c>
      <c r="Q56" s="901" t="s">
        <v>633</v>
      </c>
      <c r="R56" s="902" t="s">
        <v>245</v>
      </c>
      <c r="S56" s="902" t="s">
        <v>246</v>
      </c>
      <c r="T56" s="902" t="s">
        <v>205</v>
      </c>
      <c r="U56" s="902" t="s">
        <v>247</v>
      </c>
      <c r="V56" s="902" t="s">
        <v>601</v>
      </c>
      <c r="W56" s="902" t="s">
        <v>605</v>
      </c>
      <c r="X56" s="902" t="s">
        <v>635</v>
      </c>
      <c r="Y56" s="902" t="s">
        <v>636</v>
      </c>
      <c r="Z56" s="901" t="s">
        <v>637</v>
      </c>
      <c r="AA56" s="903" t="s">
        <v>638</v>
      </c>
      <c r="AB56" s="903" t="s">
        <v>639</v>
      </c>
      <c r="AC56" s="904" t="s">
        <v>640</v>
      </c>
      <c r="AD56" s="904" t="s">
        <v>641</v>
      </c>
      <c r="AE56" s="902" t="s">
        <v>642</v>
      </c>
      <c r="AF56" s="902" t="s">
        <v>643</v>
      </c>
      <c r="AG56" s="902" t="s">
        <v>644</v>
      </c>
      <c r="AH56" s="905" t="s">
        <v>645</v>
      </c>
      <c r="AI56" s="906" t="s">
        <v>646</v>
      </c>
      <c r="AJ56" s="906" t="s">
        <v>647</v>
      </c>
      <c r="AK56" s="906" t="s">
        <v>648</v>
      </c>
      <c r="AL56" s="653"/>
      <c r="AM56" s="907" t="s">
        <v>649</v>
      </c>
      <c r="AN56" s="908" t="s">
        <v>481</v>
      </c>
      <c r="AO56" s="906" t="s">
        <v>699</v>
      </c>
      <c r="AP56" s="979" t="s">
        <v>650</v>
      </c>
      <c r="AQ56" s="979" t="s">
        <v>651</v>
      </c>
      <c r="AR56" s="653"/>
      <c r="AS56" s="653" t="s">
        <v>481</v>
      </c>
      <c r="AT56" s="653" t="s">
        <v>631</v>
      </c>
      <c r="AU56" s="653" t="s">
        <v>634</v>
      </c>
      <c r="AV56" s="653" t="s">
        <v>678</v>
      </c>
      <c r="AW56" s="653" t="s">
        <v>613</v>
      </c>
      <c r="AX56" s="653" t="s">
        <v>679</v>
      </c>
      <c r="AY56" s="653" t="s">
        <v>680</v>
      </c>
      <c r="AZ56" s="653" t="s">
        <v>681</v>
      </c>
      <c r="BA56" s="653"/>
      <c r="BB56" s="653" t="str">
        <f t="shared" ref="BB56:BI56" si="0">AS56</f>
        <v>Jahre</v>
      </c>
      <c r="BC56" s="653" t="str">
        <f t="shared" si="0"/>
        <v>WBF Darlehen</v>
      </c>
      <c r="BD56" s="653" t="str">
        <f t="shared" si="0"/>
        <v>Bankdarlehen</v>
      </c>
      <c r="BE56" s="653" t="str">
        <f t="shared" si="0"/>
        <v>Eigenkapital</v>
      </c>
      <c r="BF56" s="653" t="str">
        <f t="shared" si="0"/>
        <v>Annuitätenzuschuss</v>
      </c>
      <c r="BG56" s="653" t="str">
        <f t="shared" si="0"/>
        <v>Entgeltstundung</v>
      </c>
      <c r="BH56" s="653" t="str">
        <f t="shared" si="0"/>
        <v>(Mieteinnahmen)</v>
      </c>
      <c r="BI56" s="653" t="str">
        <f t="shared" si="0"/>
        <v>Barwert Gesamt</v>
      </c>
      <c r="BJ56" s="653"/>
      <c r="BK56" s="653" t="s">
        <v>481</v>
      </c>
      <c r="BL56" s="653" t="str">
        <f t="shared" ref="BL56:BQ56" si="1">BC56</f>
        <v>WBF Darlehen</v>
      </c>
      <c r="BM56" s="653" t="str">
        <f t="shared" si="1"/>
        <v>Bankdarlehen</v>
      </c>
      <c r="BN56" s="653" t="str">
        <f t="shared" si="1"/>
        <v>Eigenkapital</v>
      </c>
      <c r="BO56" s="653" t="str">
        <f t="shared" si="1"/>
        <v>Annuitätenzuschuss</v>
      </c>
      <c r="BP56" s="653" t="str">
        <f t="shared" si="1"/>
        <v>Entgeltstundung</v>
      </c>
      <c r="BQ56" s="653" t="str">
        <f t="shared" si="1"/>
        <v>(Mieteinnahmen)</v>
      </c>
      <c r="BR56" s="653" t="s">
        <v>682</v>
      </c>
      <c r="BS56" s="653"/>
      <c r="BT56" s="653"/>
      <c r="BU56" s="653"/>
      <c r="BV56" s="654"/>
    </row>
    <row r="57" spans="2:74" x14ac:dyDescent="0.25">
      <c r="B57" s="651"/>
      <c r="C57" s="653"/>
      <c r="D57" s="653"/>
      <c r="E57" s="653"/>
      <c r="F57" s="653"/>
      <c r="G57" s="653"/>
      <c r="H57" s="653"/>
      <c r="I57" s="653"/>
      <c r="J57" s="653"/>
      <c r="K57" s="653"/>
      <c r="L57" s="653"/>
      <c r="M57" s="651">
        <v>0</v>
      </c>
      <c r="N57" s="909">
        <v>0</v>
      </c>
      <c r="O57" s="909">
        <v>0</v>
      </c>
      <c r="P57" s="909">
        <v>0</v>
      </c>
      <c r="Q57" s="910">
        <f>S43</f>
        <v>0</v>
      </c>
      <c r="R57" s="909">
        <v>0</v>
      </c>
      <c r="S57" s="909"/>
      <c r="T57" s="909"/>
      <c r="U57" s="909">
        <f>S44</f>
        <v>3343232.8147999998</v>
      </c>
      <c r="V57" s="909">
        <v>0</v>
      </c>
      <c r="W57" s="909">
        <v>0</v>
      </c>
      <c r="X57" s="909">
        <f>N57+R57+V57+W57</f>
        <v>0</v>
      </c>
      <c r="Y57" s="909">
        <v>0</v>
      </c>
      <c r="Z57" s="910">
        <v>0</v>
      </c>
      <c r="AA57" s="909">
        <v>0</v>
      </c>
      <c r="AB57" s="910">
        <v>0</v>
      </c>
      <c r="AC57" s="911">
        <v>0</v>
      </c>
      <c r="AD57" s="911">
        <v>0</v>
      </c>
      <c r="AE57" s="909">
        <v>0</v>
      </c>
      <c r="AF57" s="912">
        <f t="shared" ref="AF57:AF88" si="2">AE57/(1+$Q$40)^M57</f>
        <v>0</v>
      </c>
      <c r="AG57" s="909">
        <v>0</v>
      </c>
      <c r="AH57" s="913">
        <v>0</v>
      </c>
      <c r="AI57" s="909"/>
      <c r="AJ57" s="909"/>
      <c r="AK57" s="909"/>
      <c r="AL57" s="653"/>
      <c r="AM57" s="914"/>
      <c r="AN57" s="915">
        <f t="shared" ref="AN57:AN88" si="3">M57</f>
        <v>0</v>
      </c>
      <c r="AO57" s="653">
        <v>0</v>
      </c>
      <c r="AP57" s="916">
        <v>0</v>
      </c>
      <c r="AQ57" s="916">
        <f>Y57</f>
        <v>0</v>
      </c>
      <c r="AR57" s="653"/>
      <c r="AS57" s="653">
        <v>1</v>
      </c>
      <c r="AT57" s="909">
        <f t="shared" ref="AT57:AT88" si="4">-(N57+O57)*(1+$Q$38)^-M57</f>
        <v>0</v>
      </c>
      <c r="AU57" s="909">
        <f t="shared" ref="AU57:AU88" si="5">-R57*(1+$Q$38)^-M57</f>
        <v>0</v>
      </c>
      <c r="AV57" s="909">
        <f t="shared" ref="AV57:AV88" si="6">-(V57+W57)*(1+$Q$38)^-M57</f>
        <v>0</v>
      </c>
      <c r="AW57" s="909">
        <f t="shared" ref="AW57:AW88" si="7">-Y57*(1+$Q$38)^-M57</f>
        <v>0</v>
      </c>
      <c r="AX57" s="909">
        <f t="shared" ref="AX57:AX88" si="8">AC57*(1+$Q$38)^-M57</f>
        <v>0</v>
      </c>
      <c r="AY57" s="909">
        <f t="shared" ref="AY57:AY88" si="9">AG57*(1+$Q$38)^-M57</f>
        <v>0</v>
      </c>
      <c r="AZ57" s="909">
        <f t="shared" ref="AZ57:AZ88" si="10">SUM(AT57:AX57)</f>
        <v>0</v>
      </c>
      <c r="BA57" s="653"/>
      <c r="BB57" s="653">
        <v>1</v>
      </c>
      <c r="BC57" s="653">
        <f>0</f>
        <v>0</v>
      </c>
      <c r="BD57" s="653">
        <v>0</v>
      </c>
      <c r="BE57" s="653">
        <v>0</v>
      </c>
      <c r="BF57" s="653">
        <v>0</v>
      </c>
      <c r="BG57" s="653">
        <v>0</v>
      </c>
      <c r="BH57" s="653">
        <v>1</v>
      </c>
      <c r="BI57" s="653">
        <v>0</v>
      </c>
      <c r="BJ57" s="653"/>
      <c r="BK57" s="653">
        <v>1</v>
      </c>
      <c r="BL57" s="909">
        <f t="shared" ref="BL57:BL88" si="11">-(N57+O57)</f>
        <v>0</v>
      </c>
      <c r="BM57" s="909">
        <f t="shared" ref="BM57:BM88" si="12">-R57</f>
        <v>0</v>
      </c>
      <c r="BN57" s="909">
        <f t="shared" ref="BN57:BN88" si="13">-(V57+W57)</f>
        <v>0</v>
      </c>
      <c r="BO57" s="909">
        <f t="shared" ref="BO57:BO88" si="14">-Y57</f>
        <v>0</v>
      </c>
      <c r="BP57" s="909">
        <f t="shared" ref="BP57:BP88" si="15">AC57</f>
        <v>0</v>
      </c>
      <c r="BQ57" s="909">
        <f t="shared" ref="BQ57:BQ88" si="16">AG57</f>
        <v>0</v>
      </c>
      <c r="BR57" s="909">
        <f t="shared" ref="BR57:BR88" si="17">SUM(BL57:BP57)</f>
        <v>0</v>
      </c>
      <c r="BS57" s="653"/>
      <c r="BT57" s="653"/>
      <c r="BU57" s="653"/>
      <c r="BV57" s="654"/>
    </row>
    <row r="58" spans="2:74" x14ac:dyDescent="0.25">
      <c r="B58" s="651"/>
      <c r="C58" s="653"/>
      <c r="D58" s="653"/>
      <c r="E58" s="653"/>
      <c r="F58" s="653"/>
      <c r="G58" s="653"/>
      <c r="H58" s="653"/>
      <c r="I58" s="653"/>
      <c r="J58" s="653"/>
      <c r="K58" s="653"/>
      <c r="L58" s="653"/>
      <c r="M58" s="651">
        <v>1</v>
      </c>
      <c r="N58" s="909">
        <f t="shared" ref="N58:N89" si="18">MIN(IF(Q57&lt;=0,0,IF(M58&lt;=$Y$38,$AC$38,IF(M58&lt;=$Y$39,$AC$39,IF(M58&lt;=$Y$40,$AC$40,IF(M58&lt;=$Y$41,$AC$41,IF(M58&lt;=$Y$42,$AC$42)))))),Q57)</f>
        <v>0</v>
      </c>
      <c r="O58" s="909">
        <f t="shared" ref="O58:O89" si="19">MAX(MIN(AG58-X58+AC58-Y58,Q57-N58),0)</f>
        <v>0</v>
      </c>
      <c r="P58" s="909">
        <f t="shared" ref="P58:P89" si="20">IF(Q57=0,0,Q57*$U$39+$U$37)</f>
        <v>0</v>
      </c>
      <c r="Q58" s="910">
        <f t="shared" ref="Q58:Q89" si="21">IF(Q57=0,0,Q57-N58-O58)</f>
        <v>0</v>
      </c>
      <c r="R58" s="909">
        <f t="shared" ref="R58:R89" si="22">IF(M58&lt;=$V$45,-PMT($U$45,$V$45,$S$44),0)</f>
        <v>191994.74294211459</v>
      </c>
      <c r="S58" s="909">
        <f t="shared" ref="S58:S89" si="23">U57*$U$45</f>
        <v>100296.98444399999</v>
      </c>
      <c r="T58" s="909">
        <f t="shared" ref="T58:T89" si="24">R58-S58</f>
        <v>91697.758498114606</v>
      </c>
      <c r="U58" s="909">
        <f t="shared" ref="U58:U89" si="25">U57-T58</f>
        <v>3251535.0563018853</v>
      </c>
      <c r="V58" s="909">
        <f t="shared" ref="V58:V89" si="26">IF(M58&lt;=$V$46,($Q$39+$U$46)*$S$45,0)</f>
        <v>8640</v>
      </c>
      <c r="W58" s="909">
        <f t="shared" ref="W58:W89" si="27">IF(M58&lt;=$V$47,($Q$39+$U$47)*$S$46,0)</f>
        <v>7154.8027680000014</v>
      </c>
      <c r="X58" s="909">
        <f t="shared" ref="X58:X89" si="28">N58+R58+V58+W58+P58</f>
        <v>207789.54571011459</v>
      </c>
      <c r="Y58" s="909">
        <f t="shared" ref="Y58:Y89" si="29">IF($R$43&gt;0,IF(M58&gt;=$Q$41,Z57*-1,IF(M58&gt;$W$51,IF(X58&gt;=AG58,0,IF(Z57+AG58-X58&gt;=0,-Z57,AG58-X58)),IF(AG58-X58&gt;=0,0,AG58-X58))),0)</f>
        <v>0</v>
      </c>
      <c r="Z58" s="910">
        <f t="shared" ref="Z58:Z89" si="30">IF(Z57+Y58&gt;=0,0,Z57+Y58)</f>
        <v>0</v>
      </c>
      <c r="AA58" s="909">
        <f t="shared" ref="AA58:AA89" si="31">IF($S$43&gt;0,IF(M58&gt;$W$51,IF(X58&gt;=AG58,0,IF(AB57+AG58&gt;=0,-AB57,AG58-X58)),IF(AG58-X58&gt;=0,0,AG58-X58)),0)</f>
        <v>0</v>
      </c>
      <c r="AB58" s="910">
        <f t="shared" ref="AB58:AB89" si="32">IF(AB57+AA58&gt;=0,0,AB57+AA58)</f>
        <v>0</v>
      </c>
      <c r="AC58" s="911">
        <f t="shared" ref="AC58:AC89" si="33">IF(M58&gt;=$Q$41,AD57*-1*(1+$Q$39),MAX(X58+Y58-AG58,AD57*-1*(1+$Q$39)))</f>
        <v>130254.64171011459</v>
      </c>
      <c r="AD58" s="911">
        <f t="shared" ref="AD58:AD89" si="34">AC58+AD57*(1+$Q$39)</f>
        <v>130254.64171011459</v>
      </c>
      <c r="AE58" s="909">
        <f t="shared" ref="AE58:AE89" si="35">IF(AG58-Y58-X58+AC58&lt;0,0,AG58-Y58-X58+AC58-O58)</f>
        <v>0</v>
      </c>
      <c r="AF58" s="912">
        <f t="shared" si="2"/>
        <v>0</v>
      </c>
      <c r="AG58" s="909">
        <f t="shared" ref="AG58:AG89" si="36">$Y$50*$I$49*12</f>
        <v>77534.903999999995</v>
      </c>
      <c r="AH58" s="917">
        <f t="shared" ref="AH58:AH89" si="37">(X58+Y58)</f>
        <v>207789.54571011459</v>
      </c>
      <c r="AI58" s="909">
        <f t="shared" ref="AI58:AI89" si="38">IF(M58&gt;$Q$41,"",(X58+Y58+O58)*-1)</f>
        <v>-207789.54571011459</v>
      </c>
      <c r="AJ58" s="916">
        <f t="shared" ref="AJ58:AJ89" si="39">IF(M58&gt;$Q$41,"",AI58+AG58)</f>
        <v>-130254.64171011459</v>
      </c>
      <c r="AK58" s="916">
        <f t="shared" ref="AK58:AK89" si="40">IF(M58&gt;$Q$41,"",(N58+O58+P58+R58+V58+W58+Y58-AC58)*-1)</f>
        <v>-77534.903999999995</v>
      </c>
      <c r="AL58" s="909">
        <f t="shared" ref="AL58:AL89" si="41">IF(M58&gt;$Q$41,"",AK58+AG58)</f>
        <v>0</v>
      </c>
      <c r="AM58" s="918">
        <f t="shared" ref="AM58:AM89" si="42">X58+Y58+O58</f>
        <v>207789.54571011459</v>
      </c>
      <c r="AN58" s="915">
        <f t="shared" si="3"/>
        <v>1</v>
      </c>
      <c r="AO58" s="653">
        <f t="shared" ref="AO58:AO89" si="43">IF(M58&gt;$Q$41,"",AG58)</f>
        <v>77534.903999999995</v>
      </c>
      <c r="AP58" s="916">
        <f t="shared" ref="AP58:AP89" si="44">IF(M58&gt;$Q$41,"",N58+O58+P58)</f>
        <v>0</v>
      </c>
      <c r="AQ58" s="916">
        <f t="shared" ref="AQ58:AQ89" si="45">IF(M58&gt;$Q$41,"",Y58)</f>
        <v>0</v>
      </c>
      <c r="AR58" s="653"/>
      <c r="AS58" s="653">
        <v>1</v>
      </c>
      <c r="AT58" s="909">
        <f t="shared" si="4"/>
        <v>0</v>
      </c>
      <c r="AU58" s="909">
        <f t="shared" si="5"/>
        <v>-186402.66305059669</v>
      </c>
      <c r="AV58" s="909">
        <f t="shared" si="6"/>
        <v>-15334.75996893204</v>
      </c>
      <c r="AW58" s="909">
        <f t="shared" si="7"/>
        <v>0</v>
      </c>
      <c r="AX58" s="909">
        <f t="shared" si="8"/>
        <v>126460.81719428602</v>
      </c>
      <c r="AY58" s="909">
        <f t="shared" si="9"/>
        <v>75276.605825242717</v>
      </c>
      <c r="AZ58" s="909">
        <f t="shared" si="10"/>
        <v>-75276.605825242717</v>
      </c>
      <c r="BA58" s="653"/>
      <c r="BB58" s="653">
        <f t="shared" ref="BB58:BB89" si="46">AS58</f>
        <v>1</v>
      </c>
      <c r="BC58" s="909">
        <f t="shared" ref="BC58:BC89" si="47">BC57+AT58</f>
        <v>0</v>
      </c>
      <c r="BD58" s="909">
        <f t="shared" ref="BD58:BD89" si="48">BD57+AU58</f>
        <v>-186402.66305059669</v>
      </c>
      <c r="BE58" s="909">
        <f t="shared" ref="BE58:BE89" si="49">BE57+AV58</f>
        <v>-15334.75996893204</v>
      </c>
      <c r="BF58" s="909">
        <f t="shared" ref="BF58:BF89" si="50">BF57+AW58</f>
        <v>0</v>
      </c>
      <c r="BG58" s="909">
        <f t="shared" ref="BG58:BG89" si="51">BG57+AX58</f>
        <v>126460.81719428602</v>
      </c>
      <c r="BH58" s="909">
        <f t="shared" ref="BH58:BH89" si="52">BH57+AY58</f>
        <v>75277.605825242717</v>
      </c>
      <c r="BI58" s="909">
        <f t="shared" ref="BI58:BI89" si="53">BI57+AZ58</f>
        <v>-75276.605825242717</v>
      </c>
      <c r="BJ58" s="909"/>
      <c r="BK58" s="653">
        <v>1</v>
      </c>
      <c r="BL58" s="909">
        <f t="shared" si="11"/>
        <v>0</v>
      </c>
      <c r="BM58" s="909">
        <f t="shared" si="12"/>
        <v>-191994.74294211459</v>
      </c>
      <c r="BN58" s="909">
        <f t="shared" si="13"/>
        <v>-15794.802768000001</v>
      </c>
      <c r="BO58" s="909">
        <f t="shared" si="14"/>
        <v>0</v>
      </c>
      <c r="BP58" s="909">
        <f t="shared" si="15"/>
        <v>130254.64171011459</v>
      </c>
      <c r="BQ58" s="909">
        <f t="shared" si="16"/>
        <v>77534.903999999995</v>
      </c>
      <c r="BR58" s="909">
        <f t="shared" si="17"/>
        <v>-77534.903999999995</v>
      </c>
      <c r="BS58" s="653"/>
      <c r="BT58" s="653"/>
      <c r="BU58" s="653"/>
      <c r="BV58" s="654"/>
    </row>
    <row r="59" spans="2:74" x14ac:dyDescent="0.25">
      <c r="B59" s="651"/>
      <c r="C59" s="653"/>
      <c r="D59" s="653"/>
      <c r="E59" s="653"/>
      <c r="F59" s="653"/>
      <c r="G59" s="653"/>
      <c r="H59" s="653"/>
      <c r="I59" s="653"/>
      <c r="J59" s="653"/>
      <c r="K59" s="653"/>
      <c r="L59" s="653"/>
      <c r="M59" s="651">
        <v>2</v>
      </c>
      <c r="N59" s="909">
        <f t="shared" si="18"/>
        <v>0</v>
      </c>
      <c r="O59" s="909">
        <f t="shared" si="19"/>
        <v>0</v>
      </c>
      <c r="P59" s="909">
        <f t="shared" si="20"/>
        <v>0</v>
      </c>
      <c r="Q59" s="910">
        <f t="shared" si="21"/>
        <v>0</v>
      </c>
      <c r="R59" s="909">
        <f t="shared" si="22"/>
        <v>191994.74294211459</v>
      </c>
      <c r="S59" s="909">
        <f t="shared" si="23"/>
        <v>97546.051689056549</v>
      </c>
      <c r="T59" s="909">
        <f t="shared" si="24"/>
        <v>94448.691253058045</v>
      </c>
      <c r="U59" s="909">
        <f t="shared" si="25"/>
        <v>3157086.3650488271</v>
      </c>
      <c r="V59" s="909">
        <f t="shared" si="26"/>
        <v>8640</v>
      </c>
      <c r="W59" s="909">
        <f t="shared" si="27"/>
        <v>7154.8027680000014</v>
      </c>
      <c r="X59" s="909">
        <f t="shared" si="28"/>
        <v>207789.54571011459</v>
      </c>
      <c r="Y59" s="909">
        <f t="shared" si="29"/>
        <v>0</v>
      </c>
      <c r="Z59" s="910">
        <f t="shared" si="30"/>
        <v>0</v>
      </c>
      <c r="AA59" s="909">
        <f t="shared" si="31"/>
        <v>0</v>
      </c>
      <c r="AB59" s="910">
        <f t="shared" si="32"/>
        <v>0</v>
      </c>
      <c r="AC59" s="911">
        <f t="shared" si="33"/>
        <v>130254.64171011459</v>
      </c>
      <c r="AD59" s="911">
        <f t="shared" si="34"/>
        <v>263114.3762544315</v>
      </c>
      <c r="AE59" s="909">
        <f t="shared" si="35"/>
        <v>0</v>
      </c>
      <c r="AF59" s="912">
        <f t="shared" si="2"/>
        <v>0</v>
      </c>
      <c r="AG59" s="909">
        <f t="shared" si="36"/>
        <v>77534.903999999995</v>
      </c>
      <c r="AH59" s="917">
        <f t="shared" si="37"/>
        <v>207789.54571011459</v>
      </c>
      <c r="AI59" s="909">
        <f t="shared" si="38"/>
        <v>-207789.54571011459</v>
      </c>
      <c r="AJ59" s="916">
        <f t="shared" si="39"/>
        <v>-130254.64171011459</v>
      </c>
      <c r="AK59" s="916">
        <f t="shared" si="40"/>
        <v>-77534.903999999995</v>
      </c>
      <c r="AL59" s="909">
        <f t="shared" si="41"/>
        <v>0</v>
      </c>
      <c r="AM59" s="918">
        <f t="shared" si="42"/>
        <v>207789.54571011459</v>
      </c>
      <c r="AN59" s="915">
        <f t="shared" si="3"/>
        <v>2</v>
      </c>
      <c r="AO59" s="653">
        <f t="shared" si="43"/>
        <v>77534.903999999995</v>
      </c>
      <c r="AP59" s="916">
        <f t="shared" si="44"/>
        <v>0</v>
      </c>
      <c r="AQ59" s="916">
        <f t="shared" si="45"/>
        <v>0</v>
      </c>
      <c r="AR59" s="653"/>
      <c r="AS59" s="653">
        <v>2</v>
      </c>
      <c r="AT59" s="909">
        <f t="shared" si="4"/>
        <v>0</v>
      </c>
      <c r="AU59" s="909">
        <f t="shared" si="5"/>
        <v>-180973.45927242396</v>
      </c>
      <c r="AV59" s="909">
        <f t="shared" si="6"/>
        <v>-14888.116474691302</v>
      </c>
      <c r="AW59" s="909">
        <f t="shared" si="7"/>
        <v>0</v>
      </c>
      <c r="AX59" s="909">
        <f t="shared" si="8"/>
        <v>122777.49242163691</v>
      </c>
      <c r="AY59" s="909">
        <f t="shared" si="9"/>
        <v>73084.083325478365</v>
      </c>
      <c r="AZ59" s="909">
        <f t="shared" si="10"/>
        <v>-73084.083325478365</v>
      </c>
      <c r="BA59" s="653"/>
      <c r="BB59" s="653">
        <f t="shared" si="46"/>
        <v>2</v>
      </c>
      <c r="BC59" s="909">
        <f t="shared" si="47"/>
        <v>0</v>
      </c>
      <c r="BD59" s="909">
        <f t="shared" si="48"/>
        <v>-367376.12232302065</v>
      </c>
      <c r="BE59" s="909">
        <f t="shared" si="49"/>
        <v>-30222.87644362334</v>
      </c>
      <c r="BF59" s="909">
        <f t="shared" si="50"/>
        <v>0</v>
      </c>
      <c r="BG59" s="909">
        <f t="shared" si="51"/>
        <v>249238.30961592292</v>
      </c>
      <c r="BH59" s="909">
        <f t="shared" si="52"/>
        <v>148361.68915072107</v>
      </c>
      <c r="BI59" s="909">
        <f t="shared" si="53"/>
        <v>-148360.68915072107</v>
      </c>
      <c r="BJ59" s="909"/>
      <c r="BK59" s="653">
        <v>2</v>
      </c>
      <c r="BL59" s="909">
        <f t="shared" si="11"/>
        <v>0</v>
      </c>
      <c r="BM59" s="909">
        <f t="shared" si="12"/>
        <v>-191994.74294211459</v>
      </c>
      <c r="BN59" s="909">
        <f t="shared" si="13"/>
        <v>-15794.802768000001</v>
      </c>
      <c r="BO59" s="909">
        <f t="shared" si="14"/>
        <v>0</v>
      </c>
      <c r="BP59" s="909">
        <f t="shared" si="15"/>
        <v>130254.64171011459</v>
      </c>
      <c r="BQ59" s="909">
        <f t="shared" si="16"/>
        <v>77534.903999999995</v>
      </c>
      <c r="BR59" s="909">
        <f t="shared" si="17"/>
        <v>-77534.903999999995</v>
      </c>
      <c r="BS59" s="653"/>
      <c r="BT59" s="653"/>
      <c r="BU59" s="653"/>
      <c r="BV59" s="654"/>
    </row>
    <row r="60" spans="2:74" x14ac:dyDescent="0.25">
      <c r="B60" s="651"/>
      <c r="C60" s="653"/>
      <c r="D60" s="653"/>
      <c r="E60" s="653"/>
      <c r="F60" s="653"/>
      <c r="G60" s="653"/>
      <c r="H60" s="653"/>
      <c r="I60" s="653"/>
      <c r="J60" s="653"/>
      <c r="K60" s="653"/>
      <c r="L60" s="653"/>
      <c r="M60" s="651">
        <v>3</v>
      </c>
      <c r="N60" s="909">
        <f t="shared" si="18"/>
        <v>0</v>
      </c>
      <c r="O60" s="909">
        <f t="shared" si="19"/>
        <v>0</v>
      </c>
      <c r="P60" s="909">
        <f t="shared" si="20"/>
        <v>0</v>
      </c>
      <c r="Q60" s="910">
        <f t="shared" si="21"/>
        <v>0</v>
      </c>
      <c r="R60" s="909">
        <f t="shared" si="22"/>
        <v>191994.74294211459</v>
      </c>
      <c r="S60" s="909">
        <f t="shared" si="23"/>
        <v>94712.590951464808</v>
      </c>
      <c r="T60" s="909">
        <f t="shared" si="24"/>
        <v>97282.151990649785</v>
      </c>
      <c r="U60" s="909">
        <f t="shared" si="25"/>
        <v>3059804.2130581774</v>
      </c>
      <c r="V60" s="909">
        <f t="shared" si="26"/>
        <v>8640</v>
      </c>
      <c r="W60" s="909">
        <f t="shared" si="27"/>
        <v>7154.8027680000014</v>
      </c>
      <c r="X60" s="909">
        <f t="shared" si="28"/>
        <v>207789.54571011459</v>
      </c>
      <c r="Y60" s="909">
        <f t="shared" si="29"/>
        <v>0</v>
      </c>
      <c r="Z60" s="910">
        <f t="shared" si="30"/>
        <v>0</v>
      </c>
      <c r="AA60" s="909">
        <f t="shared" si="31"/>
        <v>0</v>
      </c>
      <c r="AB60" s="910">
        <f t="shared" si="32"/>
        <v>0</v>
      </c>
      <c r="AC60" s="911">
        <f t="shared" si="33"/>
        <v>130254.64171011459</v>
      </c>
      <c r="AD60" s="911">
        <f t="shared" si="34"/>
        <v>398631.30548963475</v>
      </c>
      <c r="AE60" s="909">
        <f t="shared" si="35"/>
        <v>0</v>
      </c>
      <c r="AF60" s="912">
        <f t="shared" si="2"/>
        <v>0</v>
      </c>
      <c r="AG60" s="909">
        <f t="shared" si="36"/>
        <v>77534.903999999995</v>
      </c>
      <c r="AH60" s="917">
        <f t="shared" si="37"/>
        <v>207789.54571011459</v>
      </c>
      <c r="AI60" s="909">
        <f t="shared" si="38"/>
        <v>-207789.54571011459</v>
      </c>
      <c r="AJ60" s="916">
        <f t="shared" si="39"/>
        <v>-130254.64171011459</v>
      </c>
      <c r="AK60" s="916">
        <f t="shared" si="40"/>
        <v>-77534.903999999995</v>
      </c>
      <c r="AL60" s="909">
        <f t="shared" si="41"/>
        <v>0</v>
      </c>
      <c r="AM60" s="918">
        <f t="shared" si="42"/>
        <v>207789.54571011459</v>
      </c>
      <c r="AN60" s="915">
        <f t="shared" si="3"/>
        <v>3</v>
      </c>
      <c r="AO60" s="653">
        <f t="shared" si="43"/>
        <v>77534.903999999995</v>
      </c>
      <c r="AP60" s="916">
        <f t="shared" si="44"/>
        <v>0</v>
      </c>
      <c r="AQ60" s="916">
        <f t="shared" si="45"/>
        <v>0</v>
      </c>
      <c r="AR60" s="653"/>
      <c r="AS60" s="653">
        <v>3</v>
      </c>
      <c r="AT60" s="909">
        <f t="shared" si="4"/>
        <v>0</v>
      </c>
      <c r="AU60" s="909">
        <f t="shared" si="5"/>
        <v>-175702.38764313009</v>
      </c>
      <c r="AV60" s="909">
        <f t="shared" si="6"/>
        <v>-14454.4820142634</v>
      </c>
      <c r="AW60" s="909">
        <f t="shared" si="7"/>
        <v>0</v>
      </c>
      <c r="AX60" s="909">
        <f t="shared" si="8"/>
        <v>119201.44895304555</v>
      </c>
      <c r="AY60" s="909">
        <f t="shared" si="9"/>
        <v>70955.420704347925</v>
      </c>
      <c r="AZ60" s="909">
        <f t="shared" si="10"/>
        <v>-70955.42070434794</v>
      </c>
      <c r="BA60" s="653"/>
      <c r="BB60" s="653">
        <f t="shared" si="46"/>
        <v>3</v>
      </c>
      <c r="BC60" s="909">
        <f t="shared" si="47"/>
        <v>0</v>
      </c>
      <c r="BD60" s="909">
        <f t="shared" si="48"/>
        <v>-543078.50996615074</v>
      </c>
      <c r="BE60" s="909">
        <f t="shared" si="49"/>
        <v>-44677.358457886738</v>
      </c>
      <c r="BF60" s="909">
        <f t="shared" si="50"/>
        <v>0</v>
      </c>
      <c r="BG60" s="909">
        <f t="shared" si="51"/>
        <v>368439.75856896845</v>
      </c>
      <c r="BH60" s="909">
        <f t="shared" si="52"/>
        <v>219317.10985506899</v>
      </c>
      <c r="BI60" s="909">
        <f t="shared" si="53"/>
        <v>-219316.10985506902</v>
      </c>
      <c r="BJ60" s="909"/>
      <c r="BK60" s="653">
        <v>3</v>
      </c>
      <c r="BL60" s="909">
        <f t="shared" si="11"/>
        <v>0</v>
      </c>
      <c r="BM60" s="909">
        <f t="shared" si="12"/>
        <v>-191994.74294211459</v>
      </c>
      <c r="BN60" s="909">
        <f t="shared" si="13"/>
        <v>-15794.802768000001</v>
      </c>
      <c r="BO60" s="909">
        <f t="shared" si="14"/>
        <v>0</v>
      </c>
      <c r="BP60" s="909">
        <f t="shared" si="15"/>
        <v>130254.64171011459</v>
      </c>
      <c r="BQ60" s="909">
        <f t="shared" si="16"/>
        <v>77534.903999999995</v>
      </c>
      <c r="BR60" s="909">
        <f t="shared" si="17"/>
        <v>-77534.903999999995</v>
      </c>
      <c r="BS60" s="653"/>
      <c r="BT60" s="653"/>
      <c r="BU60" s="653"/>
      <c r="BV60" s="654"/>
    </row>
    <row r="61" spans="2:74" x14ac:dyDescent="0.25">
      <c r="B61" s="651"/>
      <c r="C61" s="653"/>
      <c r="D61" s="653"/>
      <c r="E61" s="653"/>
      <c r="F61" s="653"/>
      <c r="G61" s="653"/>
      <c r="H61" s="653"/>
      <c r="I61" s="653"/>
      <c r="J61" s="653"/>
      <c r="K61" s="653"/>
      <c r="L61" s="653"/>
      <c r="M61" s="651">
        <v>4</v>
      </c>
      <c r="N61" s="909">
        <f t="shared" si="18"/>
        <v>0</v>
      </c>
      <c r="O61" s="909">
        <f t="shared" si="19"/>
        <v>0</v>
      </c>
      <c r="P61" s="909">
        <f t="shared" si="20"/>
        <v>0</v>
      </c>
      <c r="Q61" s="910">
        <f t="shared" si="21"/>
        <v>0</v>
      </c>
      <c r="R61" s="909">
        <f t="shared" si="22"/>
        <v>191994.74294211459</v>
      </c>
      <c r="S61" s="909">
        <f t="shared" si="23"/>
        <v>91794.126391745318</v>
      </c>
      <c r="T61" s="909">
        <f t="shared" si="24"/>
        <v>100200.61655036928</v>
      </c>
      <c r="U61" s="909">
        <f t="shared" si="25"/>
        <v>2959603.5965078082</v>
      </c>
      <c r="V61" s="909">
        <f t="shared" si="26"/>
        <v>8640</v>
      </c>
      <c r="W61" s="909">
        <f t="shared" si="27"/>
        <v>7154.8027680000014</v>
      </c>
      <c r="X61" s="909">
        <f t="shared" si="28"/>
        <v>207789.54571011459</v>
      </c>
      <c r="Y61" s="909">
        <f t="shared" si="29"/>
        <v>0</v>
      </c>
      <c r="Z61" s="910">
        <f t="shared" si="30"/>
        <v>0</v>
      </c>
      <c r="AA61" s="909">
        <f t="shared" si="31"/>
        <v>0</v>
      </c>
      <c r="AB61" s="910">
        <f t="shared" si="32"/>
        <v>0</v>
      </c>
      <c r="AC61" s="911">
        <f t="shared" si="33"/>
        <v>130254.64171011459</v>
      </c>
      <c r="AD61" s="911">
        <f t="shared" si="34"/>
        <v>536858.57330954203</v>
      </c>
      <c r="AE61" s="909">
        <f t="shared" si="35"/>
        <v>0</v>
      </c>
      <c r="AF61" s="912">
        <f t="shared" si="2"/>
        <v>0</v>
      </c>
      <c r="AG61" s="909">
        <f t="shared" si="36"/>
        <v>77534.903999999995</v>
      </c>
      <c r="AH61" s="917">
        <f t="shared" si="37"/>
        <v>207789.54571011459</v>
      </c>
      <c r="AI61" s="909">
        <f t="shared" si="38"/>
        <v>-207789.54571011459</v>
      </c>
      <c r="AJ61" s="916">
        <f t="shared" si="39"/>
        <v>-130254.64171011459</v>
      </c>
      <c r="AK61" s="916">
        <f t="shared" si="40"/>
        <v>-77534.903999999995</v>
      </c>
      <c r="AL61" s="909">
        <f t="shared" si="41"/>
        <v>0</v>
      </c>
      <c r="AM61" s="918">
        <f t="shared" si="42"/>
        <v>207789.54571011459</v>
      </c>
      <c r="AN61" s="915">
        <f t="shared" si="3"/>
        <v>4</v>
      </c>
      <c r="AO61" s="653">
        <f t="shared" si="43"/>
        <v>77534.903999999995</v>
      </c>
      <c r="AP61" s="916">
        <f t="shared" si="44"/>
        <v>0</v>
      </c>
      <c r="AQ61" s="916">
        <f t="shared" si="45"/>
        <v>0</v>
      </c>
      <c r="AR61" s="653"/>
      <c r="AS61" s="653">
        <v>4</v>
      </c>
      <c r="AT61" s="909">
        <f t="shared" si="4"/>
        <v>0</v>
      </c>
      <c r="AU61" s="909">
        <f t="shared" si="5"/>
        <v>-170584.84237197097</v>
      </c>
      <c r="AV61" s="909">
        <f t="shared" si="6"/>
        <v>-14033.477683750874</v>
      </c>
      <c r="AW61" s="909">
        <f t="shared" si="7"/>
        <v>0</v>
      </c>
      <c r="AX61" s="909">
        <f t="shared" si="8"/>
        <v>115729.56209033549</v>
      </c>
      <c r="AY61" s="909">
        <f t="shared" si="9"/>
        <v>68888.757965386336</v>
      </c>
      <c r="AZ61" s="909">
        <f t="shared" si="10"/>
        <v>-68888.757965386365</v>
      </c>
      <c r="BA61" s="653"/>
      <c r="BB61" s="653">
        <f t="shared" si="46"/>
        <v>4</v>
      </c>
      <c r="BC61" s="909">
        <f t="shared" si="47"/>
        <v>0</v>
      </c>
      <c r="BD61" s="909">
        <f t="shared" si="48"/>
        <v>-713663.35233812174</v>
      </c>
      <c r="BE61" s="909">
        <f t="shared" si="49"/>
        <v>-58710.836141637614</v>
      </c>
      <c r="BF61" s="909">
        <f t="shared" si="50"/>
        <v>0</v>
      </c>
      <c r="BG61" s="909">
        <f t="shared" si="51"/>
        <v>484169.32065930392</v>
      </c>
      <c r="BH61" s="909">
        <f t="shared" si="52"/>
        <v>288205.86782045534</v>
      </c>
      <c r="BI61" s="909">
        <f t="shared" si="53"/>
        <v>-288204.8678204554</v>
      </c>
      <c r="BJ61" s="909"/>
      <c r="BK61" s="653">
        <v>4</v>
      </c>
      <c r="BL61" s="909">
        <f t="shared" si="11"/>
        <v>0</v>
      </c>
      <c r="BM61" s="909">
        <f t="shared" si="12"/>
        <v>-191994.74294211459</v>
      </c>
      <c r="BN61" s="909">
        <f t="shared" si="13"/>
        <v>-15794.802768000001</v>
      </c>
      <c r="BO61" s="909">
        <f t="shared" si="14"/>
        <v>0</v>
      </c>
      <c r="BP61" s="909">
        <f t="shared" si="15"/>
        <v>130254.64171011459</v>
      </c>
      <c r="BQ61" s="909">
        <f t="shared" si="16"/>
        <v>77534.903999999995</v>
      </c>
      <c r="BR61" s="909">
        <f t="shared" si="17"/>
        <v>-77534.903999999995</v>
      </c>
      <c r="BS61" s="653"/>
      <c r="BT61" s="653"/>
      <c r="BU61" s="653"/>
      <c r="BV61" s="654"/>
    </row>
    <row r="62" spans="2:74" x14ac:dyDescent="0.25">
      <c r="B62" s="651"/>
      <c r="C62" s="653"/>
      <c r="D62" s="653"/>
      <c r="E62" s="653"/>
      <c r="F62" s="653"/>
      <c r="G62" s="653"/>
      <c r="H62" s="653"/>
      <c r="I62" s="653"/>
      <c r="J62" s="653"/>
      <c r="K62" s="653"/>
      <c r="L62" s="653"/>
      <c r="M62" s="651">
        <v>5</v>
      </c>
      <c r="N62" s="909">
        <f t="shared" si="18"/>
        <v>0</v>
      </c>
      <c r="O62" s="909">
        <f t="shared" si="19"/>
        <v>0</v>
      </c>
      <c r="P62" s="909">
        <f t="shared" si="20"/>
        <v>0</v>
      </c>
      <c r="Q62" s="910">
        <f t="shared" si="21"/>
        <v>0</v>
      </c>
      <c r="R62" s="909">
        <f t="shared" si="22"/>
        <v>191994.74294211459</v>
      </c>
      <c r="S62" s="909">
        <f t="shared" si="23"/>
        <v>88788.107895234236</v>
      </c>
      <c r="T62" s="909">
        <f t="shared" si="24"/>
        <v>103206.63504688036</v>
      </c>
      <c r="U62" s="909">
        <f t="shared" si="25"/>
        <v>2856396.961460928</v>
      </c>
      <c r="V62" s="909">
        <f t="shared" si="26"/>
        <v>8640</v>
      </c>
      <c r="W62" s="909">
        <f t="shared" si="27"/>
        <v>7154.8027680000014</v>
      </c>
      <c r="X62" s="909">
        <f t="shared" si="28"/>
        <v>207789.54571011459</v>
      </c>
      <c r="Y62" s="909">
        <f t="shared" si="29"/>
        <v>0</v>
      </c>
      <c r="Z62" s="910">
        <f t="shared" si="30"/>
        <v>0</v>
      </c>
      <c r="AA62" s="909">
        <f t="shared" si="31"/>
        <v>0</v>
      </c>
      <c r="AB62" s="910">
        <f t="shared" si="32"/>
        <v>0</v>
      </c>
      <c r="AC62" s="911">
        <f t="shared" si="33"/>
        <v>130254.64171011459</v>
      </c>
      <c r="AD62" s="911">
        <f t="shared" si="34"/>
        <v>677850.38648584741</v>
      </c>
      <c r="AE62" s="909">
        <f t="shared" si="35"/>
        <v>0</v>
      </c>
      <c r="AF62" s="912">
        <f t="shared" si="2"/>
        <v>0</v>
      </c>
      <c r="AG62" s="909">
        <f t="shared" si="36"/>
        <v>77534.903999999995</v>
      </c>
      <c r="AH62" s="917">
        <f t="shared" si="37"/>
        <v>207789.54571011459</v>
      </c>
      <c r="AI62" s="909">
        <f t="shared" si="38"/>
        <v>-207789.54571011459</v>
      </c>
      <c r="AJ62" s="916">
        <f t="shared" si="39"/>
        <v>-130254.64171011459</v>
      </c>
      <c r="AK62" s="916">
        <f t="shared" si="40"/>
        <v>-77534.903999999995</v>
      </c>
      <c r="AL62" s="909">
        <f t="shared" si="41"/>
        <v>0</v>
      </c>
      <c r="AM62" s="918">
        <f t="shared" si="42"/>
        <v>207789.54571011459</v>
      </c>
      <c r="AN62" s="915">
        <f t="shared" si="3"/>
        <v>5</v>
      </c>
      <c r="AO62" s="653">
        <f t="shared" si="43"/>
        <v>77534.903999999995</v>
      </c>
      <c r="AP62" s="916">
        <f t="shared" si="44"/>
        <v>0</v>
      </c>
      <c r="AQ62" s="916">
        <f t="shared" si="45"/>
        <v>0</v>
      </c>
      <c r="AR62" s="653"/>
      <c r="AS62" s="653">
        <v>5</v>
      </c>
      <c r="AT62" s="909">
        <f t="shared" si="4"/>
        <v>0</v>
      </c>
      <c r="AU62" s="909">
        <f t="shared" si="5"/>
        <v>-165616.35181744755</v>
      </c>
      <c r="AV62" s="909">
        <f t="shared" si="6"/>
        <v>-13624.735615292111</v>
      </c>
      <c r="AW62" s="909">
        <f t="shared" si="7"/>
        <v>0</v>
      </c>
      <c r="AX62" s="909">
        <f t="shared" si="8"/>
        <v>112358.79814595678</v>
      </c>
      <c r="AY62" s="909">
        <f t="shared" si="9"/>
        <v>66882.289286782863</v>
      </c>
      <c r="AZ62" s="909">
        <f t="shared" si="10"/>
        <v>-66882.289286782863</v>
      </c>
      <c r="BA62" s="653"/>
      <c r="BB62" s="653">
        <f t="shared" si="46"/>
        <v>5</v>
      </c>
      <c r="BC62" s="909">
        <f t="shared" si="47"/>
        <v>0</v>
      </c>
      <c r="BD62" s="909">
        <f t="shared" si="48"/>
        <v>-879279.70415556931</v>
      </c>
      <c r="BE62" s="909">
        <f t="shared" si="49"/>
        <v>-72335.571756929727</v>
      </c>
      <c r="BF62" s="909">
        <f t="shared" si="50"/>
        <v>0</v>
      </c>
      <c r="BG62" s="909">
        <f t="shared" si="51"/>
        <v>596528.11880526075</v>
      </c>
      <c r="BH62" s="909">
        <f t="shared" si="52"/>
        <v>355088.15710723819</v>
      </c>
      <c r="BI62" s="909">
        <f t="shared" si="53"/>
        <v>-355087.15710723825</v>
      </c>
      <c r="BJ62" s="909"/>
      <c r="BK62" s="653">
        <v>5</v>
      </c>
      <c r="BL62" s="909">
        <f t="shared" si="11"/>
        <v>0</v>
      </c>
      <c r="BM62" s="909">
        <f t="shared" si="12"/>
        <v>-191994.74294211459</v>
      </c>
      <c r="BN62" s="909">
        <f t="shared" si="13"/>
        <v>-15794.802768000001</v>
      </c>
      <c r="BO62" s="909">
        <f t="shared" si="14"/>
        <v>0</v>
      </c>
      <c r="BP62" s="909">
        <f t="shared" si="15"/>
        <v>130254.64171011459</v>
      </c>
      <c r="BQ62" s="909">
        <f t="shared" si="16"/>
        <v>77534.903999999995</v>
      </c>
      <c r="BR62" s="909">
        <f t="shared" si="17"/>
        <v>-77534.903999999995</v>
      </c>
      <c r="BS62" s="653"/>
      <c r="BT62" s="653"/>
      <c r="BU62" s="653"/>
      <c r="BV62" s="654"/>
    </row>
    <row r="63" spans="2:74" x14ac:dyDescent="0.25">
      <c r="B63" s="651"/>
      <c r="C63" s="653"/>
      <c r="D63" s="653"/>
      <c r="E63" s="653"/>
      <c r="F63" s="653"/>
      <c r="G63" s="653"/>
      <c r="H63" s="653"/>
      <c r="I63" s="653"/>
      <c r="J63" s="653"/>
      <c r="K63" s="653"/>
      <c r="L63" s="653"/>
      <c r="M63" s="651">
        <v>6</v>
      </c>
      <c r="N63" s="909">
        <f t="shared" si="18"/>
        <v>0</v>
      </c>
      <c r="O63" s="909">
        <f t="shared" si="19"/>
        <v>0</v>
      </c>
      <c r="P63" s="909">
        <f t="shared" si="20"/>
        <v>0</v>
      </c>
      <c r="Q63" s="910">
        <f t="shared" si="21"/>
        <v>0</v>
      </c>
      <c r="R63" s="909">
        <f t="shared" si="22"/>
        <v>191994.74294211459</v>
      </c>
      <c r="S63" s="909">
        <f t="shared" si="23"/>
        <v>85691.908843827841</v>
      </c>
      <c r="T63" s="909">
        <f t="shared" si="24"/>
        <v>106302.83409828675</v>
      </c>
      <c r="U63" s="909">
        <f t="shared" si="25"/>
        <v>2750094.127362641</v>
      </c>
      <c r="V63" s="909">
        <f t="shared" si="26"/>
        <v>8640</v>
      </c>
      <c r="W63" s="909">
        <f t="shared" si="27"/>
        <v>7154.8027680000014</v>
      </c>
      <c r="X63" s="909">
        <f t="shared" si="28"/>
        <v>207789.54571011459</v>
      </c>
      <c r="Y63" s="909">
        <f t="shared" si="29"/>
        <v>0</v>
      </c>
      <c r="Z63" s="910">
        <f t="shared" si="30"/>
        <v>0</v>
      </c>
      <c r="AA63" s="909">
        <f t="shared" si="31"/>
        <v>0</v>
      </c>
      <c r="AB63" s="910">
        <f t="shared" si="32"/>
        <v>0</v>
      </c>
      <c r="AC63" s="911">
        <f t="shared" si="33"/>
        <v>130254.64171011459</v>
      </c>
      <c r="AD63" s="911">
        <f t="shared" si="34"/>
        <v>821662.03592567891</v>
      </c>
      <c r="AE63" s="909">
        <f t="shared" si="35"/>
        <v>0</v>
      </c>
      <c r="AF63" s="912">
        <f t="shared" si="2"/>
        <v>0</v>
      </c>
      <c r="AG63" s="909">
        <f t="shared" si="36"/>
        <v>77534.903999999995</v>
      </c>
      <c r="AH63" s="917">
        <f t="shared" si="37"/>
        <v>207789.54571011459</v>
      </c>
      <c r="AI63" s="909">
        <f t="shared" si="38"/>
        <v>-207789.54571011459</v>
      </c>
      <c r="AJ63" s="916">
        <f t="shared" si="39"/>
        <v>-130254.64171011459</v>
      </c>
      <c r="AK63" s="916">
        <f t="shared" si="40"/>
        <v>-77534.903999999995</v>
      </c>
      <c r="AL63" s="909">
        <f t="shared" si="41"/>
        <v>0</v>
      </c>
      <c r="AM63" s="918">
        <f t="shared" si="42"/>
        <v>207789.54571011459</v>
      </c>
      <c r="AN63" s="915">
        <f t="shared" si="3"/>
        <v>6</v>
      </c>
      <c r="AO63" s="653">
        <f t="shared" si="43"/>
        <v>77534.903999999995</v>
      </c>
      <c r="AP63" s="916">
        <f t="shared" si="44"/>
        <v>0</v>
      </c>
      <c r="AQ63" s="916">
        <f t="shared" si="45"/>
        <v>0</v>
      </c>
      <c r="AR63" s="653"/>
      <c r="AS63" s="653">
        <v>6</v>
      </c>
      <c r="AT63" s="909">
        <f t="shared" si="4"/>
        <v>0</v>
      </c>
      <c r="AU63" s="909">
        <f t="shared" si="5"/>
        <v>-160792.57458004614</v>
      </c>
      <c r="AV63" s="909">
        <f t="shared" si="6"/>
        <v>-13227.898655623409</v>
      </c>
      <c r="AW63" s="909">
        <f t="shared" si="7"/>
        <v>0</v>
      </c>
      <c r="AX63" s="909">
        <f t="shared" si="8"/>
        <v>109086.21179219105</v>
      </c>
      <c r="AY63" s="909">
        <f t="shared" si="9"/>
        <v>64934.261443478499</v>
      </c>
      <c r="AZ63" s="909">
        <f t="shared" si="10"/>
        <v>-64934.261443478492</v>
      </c>
      <c r="BA63" s="653"/>
      <c r="BB63" s="653">
        <f t="shared" si="46"/>
        <v>6</v>
      </c>
      <c r="BC63" s="909">
        <f t="shared" si="47"/>
        <v>0</v>
      </c>
      <c r="BD63" s="909">
        <f t="shared" si="48"/>
        <v>-1040072.2787356154</v>
      </c>
      <c r="BE63" s="909">
        <f t="shared" si="49"/>
        <v>-85563.470412553143</v>
      </c>
      <c r="BF63" s="909">
        <f t="shared" si="50"/>
        <v>0</v>
      </c>
      <c r="BG63" s="909">
        <f t="shared" si="51"/>
        <v>705614.33059745177</v>
      </c>
      <c r="BH63" s="909">
        <f t="shared" si="52"/>
        <v>420022.41855071671</v>
      </c>
      <c r="BI63" s="909">
        <f t="shared" si="53"/>
        <v>-420021.41855071671</v>
      </c>
      <c r="BJ63" s="909"/>
      <c r="BK63" s="653">
        <v>6</v>
      </c>
      <c r="BL63" s="909">
        <f t="shared" si="11"/>
        <v>0</v>
      </c>
      <c r="BM63" s="909">
        <f t="shared" si="12"/>
        <v>-191994.74294211459</v>
      </c>
      <c r="BN63" s="909">
        <f t="shared" si="13"/>
        <v>-15794.802768000001</v>
      </c>
      <c r="BO63" s="909">
        <f t="shared" si="14"/>
        <v>0</v>
      </c>
      <c r="BP63" s="909">
        <f t="shared" si="15"/>
        <v>130254.64171011459</v>
      </c>
      <c r="BQ63" s="909">
        <f t="shared" si="16"/>
        <v>77534.903999999995</v>
      </c>
      <c r="BR63" s="909">
        <f t="shared" si="17"/>
        <v>-77534.903999999995</v>
      </c>
      <c r="BS63" s="653"/>
      <c r="BT63" s="653"/>
      <c r="BU63" s="653"/>
      <c r="BV63" s="654"/>
    </row>
    <row r="64" spans="2:74" x14ac:dyDescent="0.25">
      <c r="B64" s="651"/>
      <c r="C64" s="653"/>
      <c r="D64" s="653"/>
      <c r="E64" s="653"/>
      <c r="F64" s="653"/>
      <c r="G64" s="653"/>
      <c r="H64" s="653"/>
      <c r="I64" s="653"/>
      <c r="J64" s="653"/>
      <c r="K64" s="653"/>
      <c r="L64" s="653"/>
      <c r="M64" s="651">
        <v>7</v>
      </c>
      <c r="N64" s="909">
        <f t="shared" si="18"/>
        <v>0</v>
      </c>
      <c r="O64" s="909">
        <f t="shared" si="19"/>
        <v>0</v>
      </c>
      <c r="P64" s="909">
        <f t="shared" si="20"/>
        <v>0</v>
      </c>
      <c r="Q64" s="910">
        <f t="shared" si="21"/>
        <v>0</v>
      </c>
      <c r="R64" s="909">
        <f t="shared" si="22"/>
        <v>191994.74294211459</v>
      </c>
      <c r="S64" s="909">
        <f t="shared" si="23"/>
        <v>82502.823820879232</v>
      </c>
      <c r="T64" s="909">
        <f t="shared" si="24"/>
        <v>109491.91912123536</v>
      </c>
      <c r="U64" s="909">
        <f t="shared" si="25"/>
        <v>2640602.2082414059</v>
      </c>
      <c r="V64" s="909">
        <f t="shared" si="26"/>
        <v>8640</v>
      </c>
      <c r="W64" s="909">
        <f t="shared" si="27"/>
        <v>7154.8027680000014</v>
      </c>
      <c r="X64" s="909">
        <f t="shared" si="28"/>
        <v>207789.54571011459</v>
      </c>
      <c r="Y64" s="909">
        <f t="shared" si="29"/>
        <v>0</v>
      </c>
      <c r="Z64" s="910">
        <f t="shared" si="30"/>
        <v>0</v>
      </c>
      <c r="AA64" s="909">
        <f t="shared" si="31"/>
        <v>0</v>
      </c>
      <c r="AB64" s="910">
        <f t="shared" si="32"/>
        <v>0</v>
      </c>
      <c r="AC64" s="911">
        <f t="shared" si="33"/>
        <v>130254.64171011459</v>
      </c>
      <c r="AD64" s="911">
        <f t="shared" si="34"/>
        <v>968349.91835430707</v>
      </c>
      <c r="AE64" s="909">
        <f t="shared" si="35"/>
        <v>0</v>
      </c>
      <c r="AF64" s="912">
        <f t="shared" si="2"/>
        <v>0</v>
      </c>
      <c r="AG64" s="909">
        <f t="shared" si="36"/>
        <v>77534.903999999995</v>
      </c>
      <c r="AH64" s="917">
        <f t="shared" si="37"/>
        <v>207789.54571011459</v>
      </c>
      <c r="AI64" s="909">
        <f t="shared" si="38"/>
        <v>-207789.54571011459</v>
      </c>
      <c r="AJ64" s="916">
        <f t="shared" si="39"/>
        <v>-130254.64171011459</v>
      </c>
      <c r="AK64" s="916">
        <f t="shared" si="40"/>
        <v>-77534.903999999995</v>
      </c>
      <c r="AL64" s="909">
        <f t="shared" si="41"/>
        <v>0</v>
      </c>
      <c r="AM64" s="918">
        <f t="shared" si="42"/>
        <v>207789.54571011459</v>
      </c>
      <c r="AN64" s="915">
        <f t="shared" si="3"/>
        <v>7</v>
      </c>
      <c r="AO64" s="653">
        <f t="shared" si="43"/>
        <v>77534.903999999995</v>
      </c>
      <c r="AP64" s="916">
        <f t="shared" si="44"/>
        <v>0</v>
      </c>
      <c r="AQ64" s="916">
        <f t="shared" si="45"/>
        <v>0</v>
      </c>
      <c r="AR64" s="653"/>
      <c r="AS64" s="653">
        <v>7</v>
      </c>
      <c r="AT64" s="909">
        <f t="shared" si="4"/>
        <v>0</v>
      </c>
      <c r="AU64" s="909">
        <f t="shared" si="5"/>
        <v>-156109.29570878265</v>
      </c>
      <c r="AV64" s="909">
        <f t="shared" si="6"/>
        <v>-12842.62005400331</v>
      </c>
      <c r="AW64" s="909">
        <f t="shared" si="7"/>
        <v>0</v>
      </c>
      <c r="AX64" s="909">
        <f t="shared" si="8"/>
        <v>105908.94348756412</v>
      </c>
      <c r="AY64" s="909">
        <f t="shared" si="9"/>
        <v>63042.972275221844</v>
      </c>
      <c r="AZ64" s="909">
        <f t="shared" si="10"/>
        <v>-63042.972275221851</v>
      </c>
      <c r="BA64" s="653"/>
      <c r="BB64" s="653">
        <f t="shared" si="46"/>
        <v>7</v>
      </c>
      <c r="BC64" s="909">
        <f t="shared" si="47"/>
        <v>0</v>
      </c>
      <c r="BD64" s="909">
        <f t="shared" si="48"/>
        <v>-1196181.5744443981</v>
      </c>
      <c r="BE64" s="909">
        <f t="shared" si="49"/>
        <v>-98406.090466556459</v>
      </c>
      <c r="BF64" s="909">
        <f t="shared" si="50"/>
        <v>0</v>
      </c>
      <c r="BG64" s="909">
        <f t="shared" si="51"/>
        <v>811523.27408501587</v>
      </c>
      <c r="BH64" s="909">
        <f t="shared" si="52"/>
        <v>483065.39082593855</v>
      </c>
      <c r="BI64" s="909">
        <f t="shared" si="53"/>
        <v>-483064.39082593855</v>
      </c>
      <c r="BJ64" s="909"/>
      <c r="BK64" s="653">
        <v>7</v>
      </c>
      <c r="BL64" s="909">
        <f t="shared" si="11"/>
        <v>0</v>
      </c>
      <c r="BM64" s="909">
        <f t="shared" si="12"/>
        <v>-191994.74294211459</v>
      </c>
      <c r="BN64" s="909">
        <f t="shared" si="13"/>
        <v>-15794.802768000001</v>
      </c>
      <c r="BO64" s="909">
        <f t="shared" si="14"/>
        <v>0</v>
      </c>
      <c r="BP64" s="909">
        <f t="shared" si="15"/>
        <v>130254.64171011459</v>
      </c>
      <c r="BQ64" s="909">
        <f t="shared" si="16"/>
        <v>77534.903999999995</v>
      </c>
      <c r="BR64" s="909">
        <f t="shared" si="17"/>
        <v>-77534.903999999995</v>
      </c>
      <c r="BS64" s="653"/>
      <c r="BT64" s="653"/>
      <c r="BU64" s="653"/>
      <c r="BV64" s="654"/>
    </row>
    <row r="65" spans="2:74" x14ac:dyDescent="0.25">
      <c r="B65" s="651"/>
      <c r="C65" s="653"/>
      <c r="D65" s="653"/>
      <c r="E65" s="653"/>
      <c r="F65" s="653"/>
      <c r="G65" s="653"/>
      <c r="H65" s="653"/>
      <c r="I65" s="653"/>
      <c r="J65" s="653"/>
      <c r="K65" s="653"/>
      <c r="L65" s="653"/>
      <c r="M65" s="651">
        <v>8</v>
      </c>
      <c r="N65" s="909">
        <f t="shared" si="18"/>
        <v>0</v>
      </c>
      <c r="O65" s="909">
        <f t="shared" si="19"/>
        <v>0</v>
      </c>
      <c r="P65" s="909">
        <f t="shared" si="20"/>
        <v>0</v>
      </c>
      <c r="Q65" s="910">
        <f t="shared" si="21"/>
        <v>0</v>
      </c>
      <c r="R65" s="909">
        <f t="shared" si="22"/>
        <v>191994.74294211459</v>
      </c>
      <c r="S65" s="909">
        <f t="shared" si="23"/>
        <v>79218.066247242168</v>
      </c>
      <c r="T65" s="909">
        <f t="shared" si="24"/>
        <v>112776.67669487243</v>
      </c>
      <c r="U65" s="909">
        <f t="shared" si="25"/>
        <v>2527825.5315465336</v>
      </c>
      <c r="V65" s="909">
        <f t="shared" si="26"/>
        <v>8640</v>
      </c>
      <c r="W65" s="909">
        <f t="shared" si="27"/>
        <v>7154.8027680000014</v>
      </c>
      <c r="X65" s="909">
        <f t="shared" si="28"/>
        <v>207789.54571011459</v>
      </c>
      <c r="Y65" s="909">
        <f t="shared" si="29"/>
        <v>0</v>
      </c>
      <c r="Z65" s="910">
        <f t="shared" si="30"/>
        <v>0</v>
      </c>
      <c r="AA65" s="909">
        <f t="shared" si="31"/>
        <v>0</v>
      </c>
      <c r="AB65" s="910">
        <f t="shared" si="32"/>
        <v>0</v>
      </c>
      <c r="AC65" s="911">
        <f t="shared" si="33"/>
        <v>130254.64171011459</v>
      </c>
      <c r="AD65" s="911">
        <f t="shared" si="34"/>
        <v>1117971.5584315078</v>
      </c>
      <c r="AE65" s="909">
        <f t="shared" si="35"/>
        <v>0</v>
      </c>
      <c r="AF65" s="912">
        <f t="shared" si="2"/>
        <v>0</v>
      </c>
      <c r="AG65" s="909">
        <f t="shared" si="36"/>
        <v>77534.903999999995</v>
      </c>
      <c r="AH65" s="917">
        <f t="shared" si="37"/>
        <v>207789.54571011459</v>
      </c>
      <c r="AI65" s="909">
        <f t="shared" si="38"/>
        <v>-207789.54571011459</v>
      </c>
      <c r="AJ65" s="916">
        <f t="shared" si="39"/>
        <v>-130254.64171011459</v>
      </c>
      <c r="AK65" s="916">
        <f t="shared" si="40"/>
        <v>-77534.903999999995</v>
      </c>
      <c r="AL65" s="909">
        <f t="shared" si="41"/>
        <v>0</v>
      </c>
      <c r="AM65" s="918">
        <f t="shared" si="42"/>
        <v>207789.54571011459</v>
      </c>
      <c r="AN65" s="915">
        <f t="shared" si="3"/>
        <v>8</v>
      </c>
      <c r="AO65" s="653">
        <f t="shared" si="43"/>
        <v>77534.903999999995</v>
      </c>
      <c r="AP65" s="916">
        <f t="shared" si="44"/>
        <v>0</v>
      </c>
      <c r="AQ65" s="916">
        <f t="shared" si="45"/>
        <v>0</v>
      </c>
      <c r="AR65" s="653"/>
      <c r="AS65" s="653">
        <v>8</v>
      </c>
      <c r="AT65" s="909">
        <f t="shared" si="4"/>
        <v>0</v>
      </c>
      <c r="AU65" s="909">
        <f t="shared" si="5"/>
        <v>-151562.4230182356</v>
      </c>
      <c r="AV65" s="909">
        <f t="shared" si="6"/>
        <v>-12468.563159226514</v>
      </c>
      <c r="AW65" s="909">
        <f t="shared" si="7"/>
        <v>0</v>
      </c>
      <c r="AX65" s="909">
        <f t="shared" si="8"/>
        <v>102824.21697821759</v>
      </c>
      <c r="AY65" s="909">
        <f t="shared" si="9"/>
        <v>61206.769199244511</v>
      </c>
      <c r="AZ65" s="909">
        <f t="shared" si="10"/>
        <v>-61206.769199244533</v>
      </c>
      <c r="BA65" s="653"/>
      <c r="BB65" s="653">
        <f t="shared" si="46"/>
        <v>8</v>
      </c>
      <c r="BC65" s="909">
        <f t="shared" si="47"/>
        <v>0</v>
      </c>
      <c r="BD65" s="909">
        <f t="shared" si="48"/>
        <v>-1347743.9974626335</v>
      </c>
      <c r="BE65" s="909">
        <f t="shared" si="49"/>
        <v>-110874.65362578297</v>
      </c>
      <c r="BF65" s="909">
        <f t="shared" si="50"/>
        <v>0</v>
      </c>
      <c r="BG65" s="909">
        <f t="shared" si="51"/>
        <v>914347.49106323346</v>
      </c>
      <c r="BH65" s="909">
        <f t="shared" si="52"/>
        <v>544272.16002518311</v>
      </c>
      <c r="BI65" s="909">
        <f t="shared" si="53"/>
        <v>-544271.16002518311</v>
      </c>
      <c r="BJ65" s="909"/>
      <c r="BK65" s="653">
        <v>8</v>
      </c>
      <c r="BL65" s="909">
        <f t="shared" si="11"/>
        <v>0</v>
      </c>
      <c r="BM65" s="909">
        <f t="shared" si="12"/>
        <v>-191994.74294211459</v>
      </c>
      <c r="BN65" s="909">
        <f t="shared" si="13"/>
        <v>-15794.802768000001</v>
      </c>
      <c r="BO65" s="909">
        <f t="shared" si="14"/>
        <v>0</v>
      </c>
      <c r="BP65" s="909">
        <f t="shared" si="15"/>
        <v>130254.64171011459</v>
      </c>
      <c r="BQ65" s="909">
        <f t="shared" si="16"/>
        <v>77534.903999999995</v>
      </c>
      <c r="BR65" s="909">
        <f t="shared" si="17"/>
        <v>-77534.903999999995</v>
      </c>
      <c r="BS65" s="653"/>
      <c r="BT65" s="653"/>
      <c r="BU65" s="653"/>
      <c r="BV65" s="654"/>
    </row>
    <row r="66" spans="2:74" x14ac:dyDescent="0.25">
      <c r="B66" s="651"/>
      <c r="C66" s="653"/>
      <c r="D66" s="653"/>
      <c r="E66" s="653"/>
      <c r="F66" s="653"/>
      <c r="G66" s="653"/>
      <c r="H66" s="653"/>
      <c r="I66" s="653"/>
      <c r="J66" s="653"/>
      <c r="K66" s="653"/>
      <c r="L66" s="653"/>
      <c r="M66" s="651">
        <v>9</v>
      </c>
      <c r="N66" s="909">
        <f t="shared" si="18"/>
        <v>0</v>
      </c>
      <c r="O66" s="909">
        <f t="shared" si="19"/>
        <v>0</v>
      </c>
      <c r="P66" s="909">
        <f t="shared" si="20"/>
        <v>0</v>
      </c>
      <c r="Q66" s="910">
        <f t="shared" si="21"/>
        <v>0</v>
      </c>
      <c r="R66" s="909">
        <f t="shared" si="22"/>
        <v>191994.74294211459</v>
      </c>
      <c r="S66" s="909">
        <f t="shared" si="23"/>
        <v>75834.765946396001</v>
      </c>
      <c r="T66" s="909">
        <f t="shared" si="24"/>
        <v>116159.97699571859</v>
      </c>
      <c r="U66" s="909">
        <f t="shared" si="25"/>
        <v>2411665.5545508149</v>
      </c>
      <c r="V66" s="909">
        <f t="shared" si="26"/>
        <v>8640</v>
      </c>
      <c r="W66" s="909">
        <f t="shared" si="27"/>
        <v>7154.8027680000014</v>
      </c>
      <c r="X66" s="909">
        <f t="shared" si="28"/>
        <v>207789.54571011459</v>
      </c>
      <c r="Y66" s="909">
        <f t="shared" si="29"/>
        <v>0</v>
      </c>
      <c r="Z66" s="910">
        <f t="shared" si="30"/>
        <v>0</v>
      </c>
      <c r="AA66" s="909">
        <f t="shared" si="31"/>
        <v>0</v>
      </c>
      <c r="AB66" s="910">
        <f t="shared" si="32"/>
        <v>0</v>
      </c>
      <c r="AC66" s="911">
        <f t="shared" si="33"/>
        <v>130254.64171011459</v>
      </c>
      <c r="AD66" s="911">
        <f t="shared" si="34"/>
        <v>1270585.6313102527</v>
      </c>
      <c r="AE66" s="909">
        <f t="shared" si="35"/>
        <v>0</v>
      </c>
      <c r="AF66" s="912">
        <f t="shared" si="2"/>
        <v>0</v>
      </c>
      <c r="AG66" s="909">
        <f t="shared" si="36"/>
        <v>77534.903999999995</v>
      </c>
      <c r="AH66" s="917">
        <f t="shared" si="37"/>
        <v>207789.54571011459</v>
      </c>
      <c r="AI66" s="909">
        <f t="shared" si="38"/>
        <v>-207789.54571011459</v>
      </c>
      <c r="AJ66" s="916">
        <f t="shared" si="39"/>
        <v>-130254.64171011459</v>
      </c>
      <c r="AK66" s="916">
        <f t="shared" si="40"/>
        <v>-77534.903999999995</v>
      </c>
      <c r="AL66" s="909">
        <f t="shared" si="41"/>
        <v>0</v>
      </c>
      <c r="AM66" s="918">
        <f t="shared" si="42"/>
        <v>207789.54571011459</v>
      </c>
      <c r="AN66" s="915">
        <f t="shared" si="3"/>
        <v>9</v>
      </c>
      <c r="AO66" s="653">
        <f t="shared" si="43"/>
        <v>77534.903999999995</v>
      </c>
      <c r="AP66" s="916">
        <f t="shared" si="44"/>
        <v>0</v>
      </c>
      <c r="AQ66" s="916">
        <f t="shared" si="45"/>
        <v>0</v>
      </c>
      <c r="AR66" s="909"/>
      <c r="AS66" s="653">
        <v>9</v>
      </c>
      <c r="AT66" s="909">
        <f t="shared" si="4"/>
        <v>0</v>
      </c>
      <c r="AU66" s="909">
        <f t="shared" si="5"/>
        <v>-147147.9835128501</v>
      </c>
      <c r="AV66" s="909">
        <f t="shared" si="6"/>
        <v>-12105.401125462635</v>
      </c>
      <c r="AW66" s="909">
        <f t="shared" si="7"/>
        <v>0</v>
      </c>
      <c r="AX66" s="909">
        <f t="shared" si="8"/>
        <v>99829.336872055923</v>
      </c>
      <c r="AY66" s="909">
        <f t="shared" si="9"/>
        <v>59424.047766256808</v>
      </c>
      <c r="AZ66" s="909">
        <f t="shared" si="10"/>
        <v>-59424.047766256816</v>
      </c>
      <c r="BA66" s="653"/>
      <c r="BB66" s="653">
        <f t="shared" si="46"/>
        <v>9</v>
      </c>
      <c r="BC66" s="909">
        <f t="shared" si="47"/>
        <v>0</v>
      </c>
      <c r="BD66" s="909">
        <f t="shared" si="48"/>
        <v>-1494891.9809754835</v>
      </c>
      <c r="BE66" s="909">
        <f t="shared" si="49"/>
        <v>-122980.05475124561</v>
      </c>
      <c r="BF66" s="909">
        <f t="shared" si="50"/>
        <v>0</v>
      </c>
      <c r="BG66" s="909">
        <f t="shared" si="51"/>
        <v>1014176.8279352894</v>
      </c>
      <c r="BH66" s="909">
        <f t="shared" si="52"/>
        <v>603696.20779143996</v>
      </c>
      <c r="BI66" s="909">
        <f t="shared" si="53"/>
        <v>-603695.20779143996</v>
      </c>
      <c r="BJ66" s="909"/>
      <c r="BK66" s="653">
        <v>9</v>
      </c>
      <c r="BL66" s="909">
        <f t="shared" si="11"/>
        <v>0</v>
      </c>
      <c r="BM66" s="909">
        <f t="shared" si="12"/>
        <v>-191994.74294211459</v>
      </c>
      <c r="BN66" s="909">
        <f t="shared" si="13"/>
        <v>-15794.802768000001</v>
      </c>
      <c r="BO66" s="909">
        <f t="shared" si="14"/>
        <v>0</v>
      </c>
      <c r="BP66" s="909">
        <f t="shared" si="15"/>
        <v>130254.64171011459</v>
      </c>
      <c r="BQ66" s="909">
        <f t="shared" si="16"/>
        <v>77534.903999999995</v>
      </c>
      <c r="BR66" s="909">
        <f t="shared" si="17"/>
        <v>-77534.903999999995</v>
      </c>
      <c r="BS66" s="653"/>
      <c r="BT66" s="653"/>
      <c r="BU66" s="653"/>
      <c r="BV66" s="654"/>
    </row>
    <row r="67" spans="2:74" x14ac:dyDescent="0.25">
      <c r="B67" s="651"/>
      <c r="C67" s="653"/>
      <c r="D67" s="653"/>
      <c r="E67" s="653"/>
      <c r="F67" s="653"/>
      <c r="G67" s="653"/>
      <c r="H67" s="653"/>
      <c r="I67" s="653"/>
      <c r="J67" s="653"/>
      <c r="K67" s="653"/>
      <c r="L67" s="653"/>
      <c r="M67" s="651">
        <v>10</v>
      </c>
      <c r="N67" s="909">
        <f t="shared" si="18"/>
        <v>0</v>
      </c>
      <c r="O67" s="909">
        <f t="shared" si="19"/>
        <v>0</v>
      </c>
      <c r="P67" s="909">
        <f t="shared" si="20"/>
        <v>0</v>
      </c>
      <c r="Q67" s="910">
        <f t="shared" si="21"/>
        <v>0</v>
      </c>
      <c r="R67" s="909">
        <f t="shared" si="22"/>
        <v>191994.74294211459</v>
      </c>
      <c r="S67" s="909">
        <f t="shared" si="23"/>
        <v>72349.966636524448</v>
      </c>
      <c r="T67" s="909">
        <f t="shared" si="24"/>
        <v>119644.77630559015</v>
      </c>
      <c r="U67" s="909">
        <f t="shared" si="25"/>
        <v>2292020.7782452246</v>
      </c>
      <c r="V67" s="909">
        <f t="shared" si="26"/>
        <v>8640</v>
      </c>
      <c r="W67" s="909">
        <f t="shared" si="27"/>
        <v>7154.8027680000014</v>
      </c>
      <c r="X67" s="909">
        <f t="shared" si="28"/>
        <v>207789.54571011459</v>
      </c>
      <c r="Y67" s="909">
        <f t="shared" si="29"/>
        <v>0</v>
      </c>
      <c r="Z67" s="910">
        <f t="shared" si="30"/>
        <v>0</v>
      </c>
      <c r="AA67" s="909">
        <f t="shared" si="31"/>
        <v>0</v>
      </c>
      <c r="AB67" s="910">
        <f t="shared" si="32"/>
        <v>0</v>
      </c>
      <c r="AC67" s="911">
        <f t="shared" si="33"/>
        <v>130254.64171011459</v>
      </c>
      <c r="AD67" s="911">
        <f t="shared" si="34"/>
        <v>1426251.9856465724</v>
      </c>
      <c r="AE67" s="909">
        <f t="shared" si="35"/>
        <v>0</v>
      </c>
      <c r="AF67" s="912">
        <f t="shared" si="2"/>
        <v>0</v>
      </c>
      <c r="AG67" s="909">
        <f t="shared" si="36"/>
        <v>77534.903999999995</v>
      </c>
      <c r="AH67" s="917">
        <f t="shared" si="37"/>
        <v>207789.54571011459</v>
      </c>
      <c r="AI67" s="909">
        <f t="shared" si="38"/>
        <v>-207789.54571011459</v>
      </c>
      <c r="AJ67" s="916">
        <f t="shared" si="39"/>
        <v>-130254.64171011459</v>
      </c>
      <c r="AK67" s="916">
        <f t="shared" si="40"/>
        <v>-77534.903999999995</v>
      </c>
      <c r="AL67" s="909">
        <f t="shared" si="41"/>
        <v>0</v>
      </c>
      <c r="AM67" s="918">
        <f t="shared" si="42"/>
        <v>207789.54571011459</v>
      </c>
      <c r="AN67" s="915">
        <f t="shared" si="3"/>
        <v>10</v>
      </c>
      <c r="AO67" s="653">
        <f t="shared" si="43"/>
        <v>77534.903999999995</v>
      </c>
      <c r="AP67" s="916">
        <f t="shared" si="44"/>
        <v>0</v>
      </c>
      <c r="AQ67" s="916">
        <f t="shared" si="45"/>
        <v>0</v>
      </c>
      <c r="AR67" s="653"/>
      <c r="AS67" s="653">
        <v>10</v>
      </c>
      <c r="AT67" s="909">
        <f t="shared" si="4"/>
        <v>0</v>
      </c>
      <c r="AU67" s="909">
        <f t="shared" si="5"/>
        <v>-142862.11991538844</v>
      </c>
      <c r="AV67" s="909">
        <f t="shared" si="6"/>
        <v>-11752.816626662752</v>
      </c>
      <c r="AW67" s="909">
        <f t="shared" si="7"/>
        <v>0</v>
      </c>
      <c r="AX67" s="909">
        <f t="shared" si="8"/>
        <v>96921.686283549439</v>
      </c>
      <c r="AY67" s="909">
        <f t="shared" si="9"/>
        <v>57693.25025850175</v>
      </c>
      <c r="AZ67" s="909">
        <f t="shared" si="10"/>
        <v>-57693.250258501765</v>
      </c>
      <c r="BA67" s="653"/>
      <c r="BB67" s="653">
        <f t="shared" si="46"/>
        <v>10</v>
      </c>
      <c r="BC67" s="909">
        <f t="shared" si="47"/>
        <v>0</v>
      </c>
      <c r="BD67" s="909">
        <f t="shared" si="48"/>
        <v>-1637754.1008908721</v>
      </c>
      <c r="BE67" s="909">
        <f t="shared" si="49"/>
        <v>-134732.87137790836</v>
      </c>
      <c r="BF67" s="909">
        <f t="shared" si="50"/>
        <v>0</v>
      </c>
      <c r="BG67" s="909">
        <f t="shared" si="51"/>
        <v>1111098.5142188389</v>
      </c>
      <c r="BH67" s="909">
        <f t="shared" si="52"/>
        <v>661389.45804994169</v>
      </c>
      <c r="BI67" s="909">
        <f t="shared" si="53"/>
        <v>-661388.45804994169</v>
      </c>
      <c r="BJ67" s="909"/>
      <c r="BK67" s="653">
        <v>10</v>
      </c>
      <c r="BL67" s="909">
        <f t="shared" si="11"/>
        <v>0</v>
      </c>
      <c r="BM67" s="909">
        <f t="shared" si="12"/>
        <v>-191994.74294211459</v>
      </c>
      <c r="BN67" s="909">
        <f t="shared" si="13"/>
        <v>-15794.802768000001</v>
      </c>
      <c r="BO67" s="909">
        <f t="shared" si="14"/>
        <v>0</v>
      </c>
      <c r="BP67" s="909">
        <f t="shared" si="15"/>
        <v>130254.64171011459</v>
      </c>
      <c r="BQ67" s="909">
        <f t="shared" si="16"/>
        <v>77534.903999999995</v>
      </c>
      <c r="BR67" s="909">
        <f t="shared" si="17"/>
        <v>-77534.903999999995</v>
      </c>
      <c r="BS67" s="653"/>
      <c r="BT67" s="653"/>
      <c r="BU67" s="653"/>
      <c r="BV67" s="654"/>
    </row>
    <row r="68" spans="2:74" x14ac:dyDescent="0.25">
      <c r="B68" s="651"/>
      <c r="C68" s="653"/>
      <c r="D68" s="653"/>
      <c r="E68" s="653"/>
      <c r="F68" s="653"/>
      <c r="G68" s="653"/>
      <c r="H68" s="653"/>
      <c r="I68" s="653"/>
      <c r="J68" s="653"/>
      <c r="K68" s="653"/>
      <c r="L68" s="653"/>
      <c r="M68" s="651">
        <v>11</v>
      </c>
      <c r="N68" s="909">
        <f t="shared" si="18"/>
        <v>0</v>
      </c>
      <c r="O68" s="909">
        <f t="shared" si="19"/>
        <v>0</v>
      </c>
      <c r="P68" s="909">
        <f t="shared" si="20"/>
        <v>0</v>
      </c>
      <c r="Q68" s="910">
        <f t="shared" si="21"/>
        <v>0</v>
      </c>
      <c r="R68" s="909">
        <f t="shared" si="22"/>
        <v>191994.74294211459</v>
      </c>
      <c r="S68" s="909">
        <f t="shared" si="23"/>
        <v>68760.623347356741</v>
      </c>
      <c r="T68" s="909">
        <f t="shared" si="24"/>
        <v>123234.11959475785</v>
      </c>
      <c r="U68" s="909">
        <f t="shared" si="25"/>
        <v>2168786.6586504667</v>
      </c>
      <c r="V68" s="909">
        <f t="shared" si="26"/>
        <v>8640</v>
      </c>
      <c r="W68" s="909">
        <f t="shared" si="27"/>
        <v>7154.8027680000014</v>
      </c>
      <c r="X68" s="909">
        <f t="shared" si="28"/>
        <v>207789.54571011459</v>
      </c>
      <c r="Y68" s="909">
        <f t="shared" si="29"/>
        <v>0</v>
      </c>
      <c r="Z68" s="910">
        <f t="shared" si="30"/>
        <v>0</v>
      </c>
      <c r="AA68" s="909">
        <f t="shared" si="31"/>
        <v>0</v>
      </c>
      <c r="AB68" s="910">
        <f t="shared" si="32"/>
        <v>0</v>
      </c>
      <c r="AC68" s="911">
        <f t="shared" si="33"/>
        <v>130254.64171011459</v>
      </c>
      <c r="AD68" s="911">
        <f t="shared" si="34"/>
        <v>1585031.6670696186</v>
      </c>
      <c r="AE68" s="909">
        <f t="shared" si="35"/>
        <v>0</v>
      </c>
      <c r="AF68" s="912">
        <f t="shared" si="2"/>
        <v>0</v>
      </c>
      <c r="AG68" s="909">
        <f t="shared" si="36"/>
        <v>77534.903999999995</v>
      </c>
      <c r="AH68" s="917">
        <f t="shared" si="37"/>
        <v>207789.54571011459</v>
      </c>
      <c r="AI68" s="909">
        <f t="shared" si="38"/>
        <v>-207789.54571011459</v>
      </c>
      <c r="AJ68" s="916">
        <f t="shared" si="39"/>
        <v>-130254.64171011459</v>
      </c>
      <c r="AK68" s="916">
        <f t="shared" si="40"/>
        <v>-77534.903999999995</v>
      </c>
      <c r="AL68" s="909">
        <f t="shared" si="41"/>
        <v>0</v>
      </c>
      <c r="AM68" s="918">
        <f t="shared" si="42"/>
        <v>207789.54571011459</v>
      </c>
      <c r="AN68" s="915">
        <f t="shared" si="3"/>
        <v>11</v>
      </c>
      <c r="AO68" s="653">
        <f t="shared" si="43"/>
        <v>77534.903999999995</v>
      </c>
      <c r="AP68" s="916">
        <f t="shared" si="44"/>
        <v>0</v>
      </c>
      <c r="AQ68" s="916">
        <f t="shared" si="45"/>
        <v>0</v>
      </c>
      <c r="AR68" s="653"/>
      <c r="AS68" s="653">
        <v>11</v>
      </c>
      <c r="AT68" s="909">
        <f t="shared" si="4"/>
        <v>0</v>
      </c>
      <c r="AU68" s="909">
        <f t="shared" si="5"/>
        <v>-138701.08729649364</v>
      </c>
      <c r="AV68" s="909">
        <f t="shared" si="6"/>
        <v>-11410.501579284226</v>
      </c>
      <c r="AW68" s="909">
        <f t="shared" si="7"/>
        <v>0</v>
      </c>
      <c r="AX68" s="909">
        <f t="shared" si="8"/>
        <v>94098.724547135382</v>
      </c>
      <c r="AY68" s="909">
        <f t="shared" si="9"/>
        <v>56012.864328642478</v>
      </c>
      <c r="AZ68" s="909">
        <f t="shared" si="10"/>
        <v>-56012.864328642492</v>
      </c>
      <c r="BA68" s="653"/>
      <c r="BB68" s="653">
        <f t="shared" si="46"/>
        <v>11</v>
      </c>
      <c r="BC68" s="909">
        <f t="shared" si="47"/>
        <v>0</v>
      </c>
      <c r="BD68" s="909">
        <f t="shared" si="48"/>
        <v>-1776455.1881873657</v>
      </c>
      <c r="BE68" s="909">
        <f t="shared" si="49"/>
        <v>-146143.37295719259</v>
      </c>
      <c r="BF68" s="909">
        <f t="shared" si="50"/>
        <v>0</v>
      </c>
      <c r="BG68" s="909">
        <f t="shared" si="51"/>
        <v>1205197.2387659743</v>
      </c>
      <c r="BH68" s="909">
        <f t="shared" si="52"/>
        <v>717402.32237858418</v>
      </c>
      <c r="BI68" s="909">
        <f t="shared" si="53"/>
        <v>-717401.32237858418</v>
      </c>
      <c r="BJ68" s="909"/>
      <c r="BK68" s="653">
        <v>11</v>
      </c>
      <c r="BL68" s="909">
        <f t="shared" si="11"/>
        <v>0</v>
      </c>
      <c r="BM68" s="909">
        <f t="shared" si="12"/>
        <v>-191994.74294211459</v>
      </c>
      <c r="BN68" s="909">
        <f t="shared" si="13"/>
        <v>-15794.802768000001</v>
      </c>
      <c r="BO68" s="909">
        <f t="shared" si="14"/>
        <v>0</v>
      </c>
      <c r="BP68" s="909">
        <f t="shared" si="15"/>
        <v>130254.64171011459</v>
      </c>
      <c r="BQ68" s="909">
        <f t="shared" si="16"/>
        <v>77534.903999999995</v>
      </c>
      <c r="BR68" s="909">
        <f t="shared" si="17"/>
        <v>-77534.903999999995</v>
      </c>
      <c r="BS68" s="653"/>
      <c r="BT68" s="653"/>
      <c r="BU68" s="653"/>
      <c r="BV68" s="654"/>
    </row>
    <row r="69" spans="2:74" x14ac:dyDescent="0.25">
      <c r="B69" s="651"/>
      <c r="C69" s="653"/>
      <c r="D69" s="653"/>
      <c r="E69" s="653"/>
      <c r="F69" s="653"/>
      <c r="G69" s="653"/>
      <c r="H69" s="653"/>
      <c r="I69" s="653"/>
      <c r="J69" s="653"/>
      <c r="K69" s="653"/>
      <c r="L69" s="653"/>
      <c r="M69" s="651">
        <v>12</v>
      </c>
      <c r="N69" s="909">
        <f t="shared" si="18"/>
        <v>0</v>
      </c>
      <c r="O69" s="909">
        <f t="shared" si="19"/>
        <v>0</v>
      </c>
      <c r="P69" s="909">
        <f t="shared" si="20"/>
        <v>0</v>
      </c>
      <c r="Q69" s="910">
        <f t="shared" si="21"/>
        <v>0</v>
      </c>
      <c r="R69" s="909">
        <f t="shared" si="22"/>
        <v>191994.74294211459</v>
      </c>
      <c r="S69" s="909">
        <f t="shared" si="23"/>
        <v>65063.599759514</v>
      </c>
      <c r="T69" s="909">
        <f t="shared" si="24"/>
        <v>126931.14318260059</v>
      </c>
      <c r="U69" s="909">
        <f t="shared" si="25"/>
        <v>2041855.5154678661</v>
      </c>
      <c r="V69" s="909">
        <f t="shared" si="26"/>
        <v>8640</v>
      </c>
      <c r="W69" s="909">
        <f t="shared" si="27"/>
        <v>7154.8027680000014</v>
      </c>
      <c r="X69" s="909">
        <f t="shared" si="28"/>
        <v>207789.54571011459</v>
      </c>
      <c r="Y69" s="909">
        <f t="shared" si="29"/>
        <v>0</v>
      </c>
      <c r="Z69" s="910">
        <f t="shared" si="30"/>
        <v>0</v>
      </c>
      <c r="AA69" s="909">
        <f t="shared" si="31"/>
        <v>0</v>
      </c>
      <c r="AB69" s="910">
        <f t="shared" si="32"/>
        <v>0</v>
      </c>
      <c r="AC69" s="911">
        <f t="shared" si="33"/>
        <v>130254.64171011459</v>
      </c>
      <c r="AD69" s="911">
        <f t="shared" si="34"/>
        <v>1746986.9421211258</v>
      </c>
      <c r="AE69" s="909">
        <f t="shared" si="35"/>
        <v>0</v>
      </c>
      <c r="AF69" s="912">
        <f t="shared" si="2"/>
        <v>0</v>
      </c>
      <c r="AG69" s="909">
        <f t="shared" si="36"/>
        <v>77534.903999999995</v>
      </c>
      <c r="AH69" s="917">
        <f t="shared" si="37"/>
        <v>207789.54571011459</v>
      </c>
      <c r="AI69" s="909">
        <f t="shared" si="38"/>
        <v>-207789.54571011459</v>
      </c>
      <c r="AJ69" s="916">
        <f t="shared" si="39"/>
        <v>-130254.64171011459</v>
      </c>
      <c r="AK69" s="916">
        <f t="shared" si="40"/>
        <v>-77534.903999999995</v>
      </c>
      <c r="AL69" s="909">
        <f t="shared" si="41"/>
        <v>0</v>
      </c>
      <c r="AM69" s="918">
        <f t="shared" si="42"/>
        <v>207789.54571011459</v>
      </c>
      <c r="AN69" s="915">
        <f t="shared" si="3"/>
        <v>12</v>
      </c>
      <c r="AO69" s="653">
        <f t="shared" si="43"/>
        <v>77534.903999999995</v>
      </c>
      <c r="AP69" s="916">
        <f t="shared" si="44"/>
        <v>0</v>
      </c>
      <c r="AQ69" s="916">
        <f t="shared" si="45"/>
        <v>0</v>
      </c>
      <c r="AR69" s="653"/>
      <c r="AS69" s="653">
        <v>12</v>
      </c>
      <c r="AT69" s="909">
        <f t="shared" si="4"/>
        <v>0</v>
      </c>
      <c r="AU69" s="909">
        <f t="shared" si="5"/>
        <v>-134661.24980242102</v>
      </c>
      <c r="AV69" s="909">
        <f t="shared" si="6"/>
        <v>-11078.156873091484</v>
      </c>
      <c r="AW69" s="909">
        <f t="shared" si="7"/>
        <v>0</v>
      </c>
      <c r="AX69" s="909">
        <f t="shared" si="8"/>
        <v>91357.984997218824</v>
      </c>
      <c r="AY69" s="909">
        <f t="shared" si="9"/>
        <v>54381.421678293678</v>
      </c>
      <c r="AZ69" s="909">
        <f t="shared" si="10"/>
        <v>-54381.421678293671</v>
      </c>
      <c r="BA69" s="653"/>
      <c r="BB69" s="653">
        <f t="shared" si="46"/>
        <v>12</v>
      </c>
      <c r="BC69" s="909">
        <f t="shared" si="47"/>
        <v>0</v>
      </c>
      <c r="BD69" s="909">
        <f t="shared" si="48"/>
        <v>-1911116.4379897867</v>
      </c>
      <c r="BE69" s="909">
        <f t="shared" si="49"/>
        <v>-157221.52983028407</v>
      </c>
      <c r="BF69" s="909">
        <f t="shared" si="50"/>
        <v>0</v>
      </c>
      <c r="BG69" s="909">
        <f t="shared" si="51"/>
        <v>1296555.223763193</v>
      </c>
      <c r="BH69" s="909">
        <f t="shared" si="52"/>
        <v>771783.74405687791</v>
      </c>
      <c r="BI69" s="909">
        <f t="shared" si="53"/>
        <v>-771782.74405687791</v>
      </c>
      <c r="BJ69" s="909"/>
      <c r="BK69" s="653">
        <v>12</v>
      </c>
      <c r="BL69" s="909">
        <f t="shared" si="11"/>
        <v>0</v>
      </c>
      <c r="BM69" s="909">
        <f t="shared" si="12"/>
        <v>-191994.74294211459</v>
      </c>
      <c r="BN69" s="909">
        <f t="shared" si="13"/>
        <v>-15794.802768000001</v>
      </c>
      <c r="BO69" s="909">
        <f t="shared" si="14"/>
        <v>0</v>
      </c>
      <c r="BP69" s="909">
        <f t="shared" si="15"/>
        <v>130254.64171011459</v>
      </c>
      <c r="BQ69" s="909">
        <f t="shared" si="16"/>
        <v>77534.903999999995</v>
      </c>
      <c r="BR69" s="909">
        <f t="shared" si="17"/>
        <v>-77534.903999999995</v>
      </c>
      <c r="BS69" s="653"/>
      <c r="BT69" s="653"/>
      <c r="BU69" s="653"/>
      <c r="BV69" s="654"/>
    </row>
    <row r="70" spans="2:74" x14ac:dyDescent="0.25">
      <c r="B70" s="651"/>
      <c r="C70" s="653"/>
      <c r="D70" s="653"/>
      <c r="E70" s="653"/>
      <c r="F70" s="653"/>
      <c r="G70" s="653"/>
      <c r="H70" s="653"/>
      <c r="I70" s="653"/>
      <c r="J70" s="653"/>
      <c r="K70" s="653"/>
      <c r="L70" s="653"/>
      <c r="M70" s="651">
        <v>13</v>
      </c>
      <c r="N70" s="909">
        <f t="shared" si="18"/>
        <v>0</v>
      </c>
      <c r="O70" s="909">
        <f t="shared" si="19"/>
        <v>0</v>
      </c>
      <c r="P70" s="909">
        <f t="shared" si="20"/>
        <v>0</v>
      </c>
      <c r="Q70" s="910">
        <f t="shared" si="21"/>
        <v>0</v>
      </c>
      <c r="R70" s="909">
        <f t="shared" si="22"/>
        <v>191994.74294211459</v>
      </c>
      <c r="S70" s="909">
        <f t="shared" si="23"/>
        <v>61255.665464035977</v>
      </c>
      <c r="T70" s="909">
        <f t="shared" si="24"/>
        <v>130739.07747807862</v>
      </c>
      <c r="U70" s="909">
        <f t="shared" si="25"/>
        <v>1911116.4379897874</v>
      </c>
      <c r="V70" s="909">
        <f t="shared" si="26"/>
        <v>8640</v>
      </c>
      <c r="W70" s="909">
        <f t="shared" si="27"/>
        <v>7154.8027680000014</v>
      </c>
      <c r="X70" s="909">
        <f t="shared" si="28"/>
        <v>207789.54571011459</v>
      </c>
      <c r="Y70" s="909">
        <f t="shared" si="29"/>
        <v>0</v>
      </c>
      <c r="Z70" s="910">
        <f t="shared" si="30"/>
        <v>0</v>
      </c>
      <c r="AA70" s="909">
        <f t="shared" si="31"/>
        <v>0</v>
      </c>
      <c r="AB70" s="910">
        <f t="shared" si="32"/>
        <v>0</v>
      </c>
      <c r="AC70" s="911">
        <f t="shared" si="33"/>
        <v>130254.64171011459</v>
      </c>
      <c r="AD70" s="911">
        <f t="shared" si="34"/>
        <v>1912181.322673663</v>
      </c>
      <c r="AE70" s="909">
        <f t="shared" si="35"/>
        <v>0</v>
      </c>
      <c r="AF70" s="912">
        <f t="shared" si="2"/>
        <v>0</v>
      </c>
      <c r="AG70" s="909">
        <f t="shared" si="36"/>
        <v>77534.903999999995</v>
      </c>
      <c r="AH70" s="917">
        <f t="shared" si="37"/>
        <v>207789.54571011459</v>
      </c>
      <c r="AI70" s="909">
        <f t="shared" si="38"/>
        <v>-207789.54571011459</v>
      </c>
      <c r="AJ70" s="916">
        <f t="shared" si="39"/>
        <v>-130254.64171011459</v>
      </c>
      <c r="AK70" s="916">
        <f t="shared" si="40"/>
        <v>-77534.903999999995</v>
      </c>
      <c r="AL70" s="909">
        <f t="shared" si="41"/>
        <v>0</v>
      </c>
      <c r="AM70" s="918">
        <f t="shared" si="42"/>
        <v>207789.54571011459</v>
      </c>
      <c r="AN70" s="915">
        <f t="shared" si="3"/>
        <v>13</v>
      </c>
      <c r="AO70" s="653">
        <f t="shared" si="43"/>
        <v>77534.903999999995</v>
      </c>
      <c r="AP70" s="916">
        <f t="shared" si="44"/>
        <v>0</v>
      </c>
      <c r="AQ70" s="916">
        <f t="shared" si="45"/>
        <v>0</v>
      </c>
      <c r="AR70" s="653"/>
      <c r="AS70" s="653">
        <v>13</v>
      </c>
      <c r="AT70" s="909">
        <f t="shared" si="4"/>
        <v>0</v>
      </c>
      <c r="AU70" s="909">
        <f t="shared" si="5"/>
        <v>-130739.07747807867</v>
      </c>
      <c r="AV70" s="909">
        <f t="shared" si="6"/>
        <v>-10755.492109797557</v>
      </c>
      <c r="AW70" s="909">
        <f t="shared" si="7"/>
        <v>0</v>
      </c>
      <c r="AX70" s="909">
        <f t="shared" si="8"/>
        <v>88697.072812833809</v>
      </c>
      <c r="AY70" s="909">
        <f t="shared" si="9"/>
        <v>52797.496775042404</v>
      </c>
      <c r="AZ70" s="909">
        <f t="shared" si="10"/>
        <v>-52797.496775042426</v>
      </c>
      <c r="BA70" s="653"/>
      <c r="BB70" s="653">
        <f t="shared" si="46"/>
        <v>13</v>
      </c>
      <c r="BC70" s="909">
        <f t="shared" si="47"/>
        <v>0</v>
      </c>
      <c r="BD70" s="909">
        <f t="shared" si="48"/>
        <v>-2041855.5154678654</v>
      </c>
      <c r="BE70" s="909">
        <f t="shared" si="49"/>
        <v>-167977.02194008161</v>
      </c>
      <c r="BF70" s="909">
        <f t="shared" si="50"/>
        <v>0</v>
      </c>
      <c r="BG70" s="909">
        <f t="shared" si="51"/>
        <v>1385252.2965760268</v>
      </c>
      <c r="BH70" s="909">
        <f t="shared" si="52"/>
        <v>824581.2408319203</v>
      </c>
      <c r="BI70" s="909">
        <f t="shared" si="53"/>
        <v>-824580.2408319203</v>
      </c>
      <c r="BJ70" s="909"/>
      <c r="BK70" s="653">
        <v>13</v>
      </c>
      <c r="BL70" s="909">
        <f t="shared" si="11"/>
        <v>0</v>
      </c>
      <c r="BM70" s="909">
        <f t="shared" si="12"/>
        <v>-191994.74294211459</v>
      </c>
      <c r="BN70" s="909">
        <f t="shared" si="13"/>
        <v>-15794.802768000001</v>
      </c>
      <c r="BO70" s="909">
        <f t="shared" si="14"/>
        <v>0</v>
      </c>
      <c r="BP70" s="909">
        <f t="shared" si="15"/>
        <v>130254.64171011459</v>
      </c>
      <c r="BQ70" s="909">
        <f t="shared" si="16"/>
        <v>77534.903999999995</v>
      </c>
      <c r="BR70" s="909">
        <f t="shared" si="17"/>
        <v>-77534.903999999995</v>
      </c>
      <c r="BS70" s="653"/>
      <c r="BT70" s="653"/>
      <c r="BU70" s="653"/>
      <c r="BV70" s="654"/>
    </row>
    <row r="71" spans="2:74" x14ac:dyDescent="0.25">
      <c r="B71" s="651"/>
      <c r="C71" s="653"/>
      <c r="D71" s="653"/>
      <c r="E71" s="653"/>
      <c r="F71" s="653"/>
      <c r="G71" s="653"/>
      <c r="H71" s="653"/>
      <c r="I71" s="653"/>
      <c r="J71" s="653"/>
      <c r="K71" s="653"/>
      <c r="L71" s="653"/>
      <c r="M71" s="651">
        <v>14</v>
      </c>
      <c r="N71" s="909">
        <f t="shared" si="18"/>
        <v>0</v>
      </c>
      <c r="O71" s="909">
        <f t="shared" si="19"/>
        <v>0</v>
      </c>
      <c r="P71" s="909">
        <f t="shared" si="20"/>
        <v>0</v>
      </c>
      <c r="Q71" s="910">
        <f t="shared" si="21"/>
        <v>0</v>
      </c>
      <c r="R71" s="909">
        <f t="shared" si="22"/>
        <v>191994.74294211459</v>
      </c>
      <c r="S71" s="909">
        <f t="shared" si="23"/>
        <v>57333.493139693623</v>
      </c>
      <c r="T71" s="909">
        <f t="shared" si="24"/>
        <v>134661.24980242096</v>
      </c>
      <c r="U71" s="909">
        <f t="shared" si="25"/>
        <v>1776455.1881873664</v>
      </c>
      <c r="V71" s="909">
        <f t="shared" si="26"/>
        <v>8640</v>
      </c>
      <c r="W71" s="909">
        <f t="shared" si="27"/>
        <v>7154.8027680000014</v>
      </c>
      <c r="X71" s="909">
        <f t="shared" si="28"/>
        <v>207789.54571011459</v>
      </c>
      <c r="Y71" s="909">
        <f t="shared" si="29"/>
        <v>0</v>
      </c>
      <c r="Z71" s="910">
        <f t="shared" si="30"/>
        <v>0</v>
      </c>
      <c r="AA71" s="909">
        <f t="shared" si="31"/>
        <v>0</v>
      </c>
      <c r="AB71" s="910">
        <f t="shared" si="32"/>
        <v>0</v>
      </c>
      <c r="AC71" s="911">
        <f t="shared" si="33"/>
        <v>130254.64171011459</v>
      </c>
      <c r="AD71" s="911">
        <f t="shared" si="34"/>
        <v>2080679.5908372509</v>
      </c>
      <c r="AE71" s="909">
        <f t="shared" si="35"/>
        <v>0</v>
      </c>
      <c r="AF71" s="912">
        <f t="shared" si="2"/>
        <v>0</v>
      </c>
      <c r="AG71" s="909">
        <f t="shared" si="36"/>
        <v>77534.903999999995</v>
      </c>
      <c r="AH71" s="917">
        <f t="shared" si="37"/>
        <v>207789.54571011459</v>
      </c>
      <c r="AI71" s="909">
        <f t="shared" si="38"/>
        <v>-207789.54571011459</v>
      </c>
      <c r="AJ71" s="916">
        <f t="shared" si="39"/>
        <v>-130254.64171011459</v>
      </c>
      <c r="AK71" s="916">
        <f t="shared" si="40"/>
        <v>-77534.903999999995</v>
      </c>
      <c r="AL71" s="909">
        <f t="shared" si="41"/>
        <v>0</v>
      </c>
      <c r="AM71" s="918">
        <f t="shared" si="42"/>
        <v>207789.54571011459</v>
      </c>
      <c r="AN71" s="915">
        <f t="shared" si="3"/>
        <v>14</v>
      </c>
      <c r="AO71" s="653">
        <f t="shared" si="43"/>
        <v>77534.903999999995</v>
      </c>
      <c r="AP71" s="916">
        <f t="shared" si="44"/>
        <v>0</v>
      </c>
      <c r="AQ71" s="916">
        <f t="shared" si="45"/>
        <v>0</v>
      </c>
      <c r="AR71" s="653"/>
      <c r="AS71" s="653">
        <v>14</v>
      </c>
      <c r="AT71" s="909">
        <f t="shared" si="4"/>
        <v>0</v>
      </c>
      <c r="AU71" s="909">
        <f t="shared" si="5"/>
        <v>-126931.14318260063</v>
      </c>
      <c r="AV71" s="909">
        <f t="shared" si="6"/>
        <v>-10442.225349318014</v>
      </c>
      <c r="AW71" s="909">
        <f t="shared" si="7"/>
        <v>0</v>
      </c>
      <c r="AX71" s="909">
        <f t="shared" si="8"/>
        <v>86113.662925081357</v>
      </c>
      <c r="AY71" s="909">
        <f t="shared" si="9"/>
        <v>51259.705606837277</v>
      </c>
      <c r="AZ71" s="909">
        <f t="shared" si="10"/>
        <v>-51259.705606837291</v>
      </c>
      <c r="BA71" s="653"/>
      <c r="BB71" s="653">
        <f t="shared" si="46"/>
        <v>14</v>
      </c>
      <c r="BC71" s="909">
        <f t="shared" si="47"/>
        <v>0</v>
      </c>
      <c r="BD71" s="909">
        <f t="shared" si="48"/>
        <v>-2168786.6586504662</v>
      </c>
      <c r="BE71" s="909">
        <f t="shared" si="49"/>
        <v>-178419.24728939962</v>
      </c>
      <c r="BF71" s="909">
        <f t="shared" si="50"/>
        <v>0</v>
      </c>
      <c r="BG71" s="909">
        <f t="shared" si="51"/>
        <v>1471365.9595011082</v>
      </c>
      <c r="BH71" s="909">
        <f t="shared" si="52"/>
        <v>875840.94643875759</v>
      </c>
      <c r="BI71" s="909">
        <f t="shared" si="53"/>
        <v>-875839.94643875759</v>
      </c>
      <c r="BJ71" s="909"/>
      <c r="BK71" s="653">
        <v>14</v>
      </c>
      <c r="BL71" s="909">
        <f t="shared" si="11"/>
        <v>0</v>
      </c>
      <c r="BM71" s="909">
        <f t="shared" si="12"/>
        <v>-191994.74294211459</v>
      </c>
      <c r="BN71" s="909">
        <f t="shared" si="13"/>
        <v>-15794.802768000001</v>
      </c>
      <c r="BO71" s="909">
        <f t="shared" si="14"/>
        <v>0</v>
      </c>
      <c r="BP71" s="909">
        <f t="shared" si="15"/>
        <v>130254.64171011459</v>
      </c>
      <c r="BQ71" s="909">
        <f t="shared" si="16"/>
        <v>77534.903999999995</v>
      </c>
      <c r="BR71" s="909">
        <f t="shared" si="17"/>
        <v>-77534.903999999995</v>
      </c>
      <c r="BS71" s="653"/>
      <c r="BT71" s="653"/>
      <c r="BU71" s="653"/>
      <c r="BV71" s="654"/>
    </row>
    <row r="72" spans="2:74" x14ac:dyDescent="0.25">
      <c r="B72" s="651"/>
      <c r="C72" s="653"/>
      <c r="D72" s="653"/>
      <c r="E72" s="653"/>
      <c r="F72" s="653"/>
      <c r="G72" s="653"/>
      <c r="H72" s="653"/>
      <c r="I72" s="653"/>
      <c r="J72" s="653"/>
      <c r="K72" s="653"/>
      <c r="L72" s="653"/>
      <c r="M72" s="651">
        <v>15</v>
      </c>
      <c r="N72" s="909">
        <f t="shared" si="18"/>
        <v>0</v>
      </c>
      <c r="O72" s="909">
        <f t="shared" si="19"/>
        <v>0</v>
      </c>
      <c r="P72" s="909">
        <f t="shared" si="20"/>
        <v>0</v>
      </c>
      <c r="Q72" s="910">
        <f t="shared" si="21"/>
        <v>0</v>
      </c>
      <c r="R72" s="909">
        <f t="shared" si="22"/>
        <v>191994.74294211459</v>
      </c>
      <c r="S72" s="909">
        <f t="shared" si="23"/>
        <v>53293.655645620987</v>
      </c>
      <c r="T72" s="909">
        <f t="shared" si="24"/>
        <v>138701.08729649361</v>
      </c>
      <c r="U72" s="909">
        <f t="shared" si="25"/>
        <v>1637754.1008908728</v>
      </c>
      <c r="V72" s="909">
        <f t="shared" si="26"/>
        <v>8640</v>
      </c>
      <c r="W72" s="909">
        <f t="shared" si="27"/>
        <v>7154.8027680000014</v>
      </c>
      <c r="X72" s="909">
        <f t="shared" si="28"/>
        <v>207789.54571011459</v>
      </c>
      <c r="Y72" s="909">
        <f t="shared" si="29"/>
        <v>0</v>
      </c>
      <c r="Z72" s="910">
        <f t="shared" si="30"/>
        <v>0</v>
      </c>
      <c r="AA72" s="909">
        <f t="shared" si="31"/>
        <v>0</v>
      </c>
      <c r="AB72" s="910">
        <f t="shared" si="32"/>
        <v>0</v>
      </c>
      <c r="AC72" s="911">
        <f t="shared" si="33"/>
        <v>130254.64171011459</v>
      </c>
      <c r="AD72" s="911">
        <f t="shared" si="34"/>
        <v>2252547.8243641108</v>
      </c>
      <c r="AE72" s="909">
        <f t="shared" si="35"/>
        <v>0</v>
      </c>
      <c r="AF72" s="912">
        <f t="shared" si="2"/>
        <v>0</v>
      </c>
      <c r="AG72" s="909">
        <f t="shared" si="36"/>
        <v>77534.903999999995</v>
      </c>
      <c r="AH72" s="917">
        <f t="shared" si="37"/>
        <v>207789.54571011459</v>
      </c>
      <c r="AI72" s="909">
        <f t="shared" si="38"/>
        <v>-207789.54571011459</v>
      </c>
      <c r="AJ72" s="916">
        <f t="shared" si="39"/>
        <v>-130254.64171011459</v>
      </c>
      <c r="AK72" s="916">
        <f t="shared" si="40"/>
        <v>-77534.903999999995</v>
      </c>
      <c r="AL72" s="909">
        <f t="shared" si="41"/>
        <v>0</v>
      </c>
      <c r="AM72" s="918">
        <f t="shared" si="42"/>
        <v>207789.54571011459</v>
      </c>
      <c r="AN72" s="915">
        <f t="shared" si="3"/>
        <v>15</v>
      </c>
      <c r="AO72" s="653">
        <f t="shared" si="43"/>
        <v>77534.903999999995</v>
      </c>
      <c r="AP72" s="916">
        <f t="shared" si="44"/>
        <v>0</v>
      </c>
      <c r="AQ72" s="916">
        <f t="shared" si="45"/>
        <v>0</v>
      </c>
      <c r="AR72" s="653"/>
      <c r="AS72" s="653">
        <v>15</v>
      </c>
      <c r="AT72" s="909">
        <f t="shared" si="4"/>
        <v>0</v>
      </c>
      <c r="AU72" s="909">
        <f t="shared" si="5"/>
        <v>-123234.11959475788</v>
      </c>
      <c r="AV72" s="909">
        <f t="shared" si="6"/>
        <v>-10138.082863415548</v>
      </c>
      <c r="AW72" s="909">
        <f t="shared" si="7"/>
        <v>0</v>
      </c>
      <c r="AX72" s="909">
        <f t="shared" si="8"/>
        <v>83605.497985515874</v>
      </c>
      <c r="AY72" s="909">
        <f t="shared" si="9"/>
        <v>49766.704472657548</v>
      </c>
      <c r="AZ72" s="909">
        <f t="shared" si="10"/>
        <v>-49766.70447265757</v>
      </c>
      <c r="BA72" s="653"/>
      <c r="BB72" s="653">
        <f t="shared" si="46"/>
        <v>15</v>
      </c>
      <c r="BC72" s="909">
        <f t="shared" si="47"/>
        <v>0</v>
      </c>
      <c r="BD72" s="909">
        <f t="shared" si="48"/>
        <v>-2292020.7782452242</v>
      </c>
      <c r="BE72" s="909">
        <f t="shared" si="49"/>
        <v>-188557.33015281515</v>
      </c>
      <c r="BF72" s="909">
        <f t="shared" si="50"/>
        <v>0</v>
      </c>
      <c r="BG72" s="909">
        <f t="shared" si="51"/>
        <v>1554971.4574866241</v>
      </c>
      <c r="BH72" s="909">
        <f t="shared" si="52"/>
        <v>925607.65091141511</v>
      </c>
      <c r="BI72" s="909">
        <f t="shared" si="53"/>
        <v>-925606.65091141511</v>
      </c>
      <c r="BJ72" s="909"/>
      <c r="BK72" s="653">
        <v>15</v>
      </c>
      <c r="BL72" s="909">
        <f t="shared" si="11"/>
        <v>0</v>
      </c>
      <c r="BM72" s="909">
        <f t="shared" si="12"/>
        <v>-191994.74294211459</v>
      </c>
      <c r="BN72" s="909">
        <f t="shared" si="13"/>
        <v>-15794.802768000001</v>
      </c>
      <c r="BO72" s="909">
        <f t="shared" si="14"/>
        <v>0</v>
      </c>
      <c r="BP72" s="909">
        <f t="shared" si="15"/>
        <v>130254.64171011459</v>
      </c>
      <c r="BQ72" s="909">
        <f t="shared" si="16"/>
        <v>77534.903999999995</v>
      </c>
      <c r="BR72" s="909">
        <f t="shared" si="17"/>
        <v>-77534.903999999995</v>
      </c>
      <c r="BS72" s="653"/>
      <c r="BT72" s="653"/>
      <c r="BU72" s="653"/>
      <c r="BV72" s="654"/>
    </row>
    <row r="73" spans="2:74" x14ac:dyDescent="0.25">
      <c r="B73" s="651"/>
      <c r="C73" s="653"/>
      <c r="D73" s="653"/>
      <c r="E73" s="653"/>
      <c r="F73" s="653"/>
      <c r="G73" s="653"/>
      <c r="H73" s="653"/>
      <c r="I73" s="653"/>
      <c r="J73" s="653"/>
      <c r="K73" s="653"/>
      <c r="L73" s="653"/>
      <c r="M73" s="651">
        <v>16</v>
      </c>
      <c r="N73" s="909">
        <f t="shared" si="18"/>
        <v>0</v>
      </c>
      <c r="O73" s="909">
        <f t="shared" si="19"/>
        <v>0</v>
      </c>
      <c r="P73" s="909">
        <f t="shared" si="20"/>
        <v>0</v>
      </c>
      <c r="Q73" s="910">
        <f t="shared" si="21"/>
        <v>0</v>
      </c>
      <c r="R73" s="909">
        <f t="shared" si="22"/>
        <v>191994.74294211459</v>
      </c>
      <c r="S73" s="909">
        <f t="shared" si="23"/>
        <v>49132.623026726178</v>
      </c>
      <c r="T73" s="909">
        <f t="shared" si="24"/>
        <v>142862.11991538841</v>
      </c>
      <c r="U73" s="909">
        <f t="shared" si="25"/>
        <v>1494891.9809754845</v>
      </c>
      <c r="V73" s="909">
        <f t="shared" si="26"/>
        <v>8640</v>
      </c>
      <c r="W73" s="909">
        <f t="shared" si="27"/>
        <v>7154.8027680000014</v>
      </c>
      <c r="X73" s="909">
        <f t="shared" si="28"/>
        <v>207789.54571011459</v>
      </c>
      <c r="Y73" s="909">
        <f t="shared" si="29"/>
        <v>0</v>
      </c>
      <c r="Z73" s="910">
        <f t="shared" si="30"/>
        <v>0</v>
      </c>
      <c r="AA73" s="909">
        <f t="shared" si="31"/>
        <v>0</v>
      </c>
      <c r="AB73" s="910">
        <f t="shared" si="32"/>
        <v>0</v>
      </c>
      <c r="AC73" s="911">
        <f t="shared" si="33"/>
        <v>130254.64171011459</v>
      </c>
      <c r="AD73" s="911">
        <f t="shared" si="34"/>
        <v>2427853.4225615077</v>
      </c>
      <c r="AE73" s="909">
        <f t="shared" si="35"/>
        <v>0</v>
      </c>
      <c r="AF73" s="912">
        <f t="shared" si="2"/>
        <v>0</v>
      </c>
      <c r="AG73" s="909">
        <f t="shared" si="36"/>
        <v>77534.903999999995</v>
      </c>
      <c r="AH73" s="917">
        <f t="shared" si="37"/>
        <v>207789.54571011459</v>
      </c>
      <c r="AI73" s="909">
        <f t="shared" si="38"/>
        <v>-207789.54571011459</v>
      </c>
      <c r="AJ73" s="916">
        <f t="shared" si="39"/>
        <v>-130254.64171011459</v>
      </c>
      <c r="AK73" s="916">
        <f t="shared" si="40"/>
        <v>-77534.903999999995</v>
      </c>
      <c r="AL73" s="909">
        <f t="shared" si="41"/>
        <v>0</v>
      </c>
      <c r="AM73" s="918">
        <f t="shared" si="42"/>
        <v>207789.54571011459</v>
      </c>
      <c r="AN73" s="915">
        <f t="shared" si="3"/>
        <v>16</v>
      </c>
      <c r="AO73" s="653">
        <f t="shared" si="43"/>
        <v>77534.903999999995</v>
      </c>
      <c r="AP73" s="916">
        <f t="shared" si="44"/>
        <v>0</v>
      </c>
      <c r="AQ73" s="916">
        <f t="shared" si="45"/>
        <v>0</v>
      </c>
      <c r="AR73" s="653"/>
      <c r="AS73" s="653">
        <v>16</v>
      </c>
      <c r="AT73" s="909">
        <f t="shared" si="4"/>
        <v>0</v>
      </c>
      <c r="AU73" s="909">
        <f t="shared" si="5"/>
        <v>-119644.7763055902</v>
      </c>
      <c r="AV73" s="909">
        <f t="shared" si="6"/>
        <v>-9842.7988965199511</v>
      </c>
      <c r="AW73" s="909">
        <f t="shared" si="7"/>
        <v>0</v>
      </c>
      <c r="AX73" s="909">
        <f t="shared" si="8"/>
        <v>81170.386393704757</v>
      </c>
      <c r="AY73" s="909">
        <f t="shared" si="9"/>
        <v>48317.188808405401</v>
      </c>
      <c r="AZ73" s="909">
        <f t="shared" si="10"/>
        <v>-48317.188808405394</v>
      </c>
      <c r="BA73" s="653"/>
      <c r="BB73" s="653">
        <f t="shared" si="46"/>
        <v>16</v>
      </c>
      <c r="BC73" s="909">
        <f t="shared" si="47"/>
        <v>0</v>
      </c>
      <c r="BD73" s="909">
        <f t="shared" si="48"/>
        <v>-2411665.5545508144</v>
      </c>
      <c r="BE73" s="909">
        <f t="shared" si="49"/>
        <v>-198400.12904933511</v>
      </c>
      <c r="BF73" s="909">
        <f t="shared" si="50"/>
        <v>0</v>
      </c>
      <c r="BG73" s="909">
        <f t="shared" si="51"/>
        <v>1636141.8438803288</v>
      </c>
      <c r="BH73" s="909">
        <f t="shared" si="52"/>
        <v>973924.83971982053</v>
      </c>
      <c r="BI73" s="909">
        <f t="shared" si="53"/>
        <v>-973923.83971982053</v>
      </c>
      <c r="BJ73" s="909"/>
      <c r="BK73" s="653">
        <v>16</v>
      </c>
      <c r="BL73" s="909">
        <f t="shared" si="11"/>
        <v>0</v>
      </c>
      <c r="BM73" s="909">
        <f t="shared" si="12"/>
        <v>-191994.74294211459</v>
      </c>
      <c r="BN73" s="909">
        <f t="shared" si="13"/>
        <v>-15794.802768000001</v>
      </c>
      <c r="BO73" s="909">
        <f t="shared" si="14"/>
        <v>0</v>
      </c>
      <c r="BP73" s="909">
        <f t="shared" si="15"/>
        <v>130254.64171011459</v>
      </c>
      <c r="BQ73" s="909">
        <f t="shared" si="16"/>
        <v>77534.903999999995</v>
      </c>
      <c r="BR73" s="909">
        <f t="shared" si="17"/>
        <v>-77534.903999999995</v>
      </c>
      <c r="BS73" s="653"/>
      <c r="BT73" s="653"/>
      <c r="BU73" s="653"/>
      <c r="BV73" s="654"/>
    </row>
    <row r="74" spans="2:74" x14ac:dyDescent="0.25">
      <c r="B74" s="651"/>
      <c r="C74" s="653"/>
      <c r="D74" s="653"/>
      <c r="E74" s="653"/>
      <c r="F74" s="653"/>
      <c r="G74" s="653"/>
      <c r="H74" s="653"/>
      <c r="I74" s="653"/>
      <c r="J74" s="653"/>
      <c r="K74" s="653"/>
      <c r="L74" s="653"/>
      <c r="M74" s="651">
        <v>17</v>
      </c>
      <c r="N74" s="909">
        <f t="shared" si="18"/>
        <v>0</v>
      </c>
      <c r="O74" s="909">
        <f t="shared" si="19"/>
        <v>0</v>
      </c>
      <c r="P74" s="909">
        <f t="shared" si="20"/>
        <v>0</v>
      </c>
      <c r="Q74" s="910">
        <f t="shared" si="21"/>
        <v>0</v>
      </c>
      <c r="R74" s="909">
        <f t="shared" si="22"/>
        <v>191994.74294211459</v>
      </c>
      <c r="S74" s="909">
        <f t="shared" si="23"/>
        <v>44846.75942926453</v>
      </c>
      <c r="T74" s="909">
        <f t="shared" si="24"/>
        <v>147147.98351285007</v>
      </c>
      <c r="U74" s="909">
        <f t="shared" si="25"/>
        <v>1347743.9974626345</v>
      </c>
      <c r="V74" s="909">
        <f t="shared" si="26"/>
        <v>8640</v>
      </c>
      <c r="W74" s="909">
        <f t="shared" si="27"/>
        <v>7154.8027680000014</v>
      </c>
      <c r="X74" s="909">
        <f t="shared" si="28"/>
        <v>207789.54571011459</v>
      </c>
      <c r="Y74" s="909">
        <f t="shared" si="29"/>
        <v>0</v>
      </c>
      <c r="Z74" s="910">
        <f t="shared" si="30"/>
        <v>0</v>
      </c>
      <c r="AA74" s="909">
        <f t="shared" si="31"/>
        <v>0</v>
      </c>
      <c r="AB74" s="910">
        <f t="shared" si="32"/>
        <v>0</v>
      </c>
      <c r="AC74" s="911">
        <f t="shared" si="33"/>
        <v>130254.64171011459</v>
      </c>
      <c r="AD74" s="911">
        <f t="shared" si="34"/>
        <v>2606665.1327228528</v>
      </c>
      <c r="AE74" s="909">
        <f t="shared" si="35"/>
        <v>0</v>
      </c>
      <c r="AF74" s="912">
        <f t="shared" si="2"/>
        <v>0</v>
      </c>
      <c r="AG74" s="909">
        <f t="shared" si="36"/>
        <v>77534.903999999995</v>
      </c>
      <c r="AH74" s="917">
        <f t="shared" si="37"/>
        <v>207789.54571011459</v>
      </c>
      <c r="AI74" s="909">
        <f t="shared" si="38"/>
        <v>-207789.54571011459</v>
      </c>
      <c r="AJ74" s="916">
        <f t="shared" si="39"/>
        <v>-130254.64171011459</v>
      </c>
      <c r="AK74" s="916">
        <f t="shared" si="40"/>
        <v>-77534.903999999995</v>
      </c>
      <c r="AL74" s="909">
        <f t="shared" si="41"/>
        <v>0</v>
      </c>
      <c r="AM74" s="918">
        <f t="shared" si="42"/>
        <v>207789.54571011459</v>
      </c>
      <c r="AN74" s="915">
        <f t="shared" si="3"/>
        <v>17</v>
      </c>
      <c r="AO74" s="653">
        <f t="shared" si="43"/>
        <v>77534.903999999995</v>
      </c>
      <c r="AP74" s="916">
        <f t="shared" si="44"/>
        <v>0</v>
      </c>
      <c r="AQ74" s="916">
        <f t="shared" si="45"/>
        <v>0</v>
      </c>
      <c r="AR74" s="653"/>
      <c r="AS74" s="653">
        <v>17</v>
      </c>
      <c r="AT74" s="909">
        <f t="shared" si="4"/>
        <v>0</v>
      </c>
      <c r="AU74" s="909">
        <f t="shared" si="5"/>
        <v>-116159.97699571865</v>
      </c>
      <c r="AV74" s="909">
        <f t="shared" si="6"/>
        <v>-9556.1154335145147</v>
      </c>
      <c r="AW74" s="909">
        <f t="shared" si="7"/>
        <v>0</v>
      </c>
      <c r="AX74" s="909">
        <f t="shared" si="8"/>
        <v>78806.200382237628</v>
      </c>
      <c r="AY74" s="909">
        <f t="shared" si="9"/>
        <v>46909.892046995534</v>
      </c>
      <c r="AZ74" s="909">
        <f t="shared" si="10"/>
        <v>-46909.892046995534</v>
      </c>
      <c r="BA74" s="653"/>
      <c r="BB74" s="653">
        <f t="shared" si="46"/>
        <v>17</v>
      </c>
      <c r="BC74" s="909">
        <f t="shared" si="47"/>
        <v>0</v>
      </c>
      <c r="BD74" s="909">
        <f t="shared" si="48"/>
        <v>-2527825.5315465331</v>
      </c>
      <c r="BE74" s="909">
        <f t="shared" si="49"/>
        <v>-207956.24448284964</v>
      </c>
      <c r="BF74" s="909">
        <f t="shared" si="50"/>
        <v>0</v>
      </c>
      <c r="BG74" s="909">
        <f t="shared" si="51"/>
        <v>1714948.0442625664</v>
      </c>
      <c r="BH74" s="909">
        <f t="shared" si="52"/>
        <v>1020834.7317668161</v>
      </c>
      <c r="BI74" s="909">
        <f t="shared" si="53"/>
        <v>-1020833.7317668161</v>
      </c>
      <c r="BJ74" s="909"/>
      <c r="BK74" s="653">
        <v>17</v>
      </c>
      <c r="BL74" s="909">
        <f t="shared" si="11"/>
        <v>0</v>
      </c>
      <c r="BM74" s="909">
        <f t="shared" si="12"/>
        <v>-191994.74294211459</v>
      </c>
      <c r="BN74" s="909">
        <f t="shared" si="13"/>
        <v>-15794.802768000001</v>
      </c>
      <c r="BO74" s="909">
        <f t="shared" si="14"/>
        <v>0</v>
      </c>
      <c r="BP74" s="909">
        <f t="shared" si="15"/>
        <v>130254.64171011459</v>
      </c>
      <c r="BQ74" s="909">
        <f t="shared" si="16"/>
        <v>77534.903999999995</v>
      </c>
      <c r="BR74" s="909">
        <f t="shared" si="17"/>
        <v>-77534.903999999995</v>
      </c>
      <c r="BS74" s="653"/>
      <c r="BT74" s="653"/>
      <c r="BU74" s="653"/>
      <c r="BV74" s="654"/>
    </row>
    <row r="75" spans="2:74" x14ac:dyDescent="0.25">
      <c r="B75" s="651"/>
      <c r="C75" s="653"/>
      <c r="D75" s="653"/>
      <c r="E75" s="653"/>
      <c r="F75" s="653"/>
      <c r="G75" s="653"/>
      <c r="H75" s="653"/>
      <c r="I75" s="653"/>
      <c r="J75" s="653"/>
      <c r="K75" s="653"/>
      <c r="L75" s="653"/>
      <c r="M75" s="651">
        <v>18</v>
      </c>
      <c r="N75" s="909">
        <f t="shared" si="18"/>
        <v>0</v>
      </c>
      <c r="O75" s="909">
        <f t="shared" si="19"/>
        <v>0</v>
      </c>
      <c r="P75" s="909">
        <f t="shared" si="20"/>
        <v>0</v>
      </c>
      <c r="Q75" s="910">
        <f t="shared" si="21"/>
        <v>0</v>
      </c>
      <c r="R75" s="909">
        <f t="shared" si="22"/>
        <v>191994.74294211459</v>
      </c>
      <c r="S75" s="909">
        <f t="shared" si="23"/>
        <v>40432.319923879033</v>
      </c>
      <c r="T75" s="909">
        <f t="shared" si="24"/>
        <v>151562.42301823557</v>
      </c>
      <c r="U75" s="909">
        <f t="shared" si="25"/>
        <v>1196181.574444399</v>
      </c>
      <c r="V75" s="909">
        <f t="shared" si="26"/>
        <v>8640</v>
      </c>
      <c r="W75" s="909">
        <f t="shared" si="27"/>
        <v>7154.8027680000014</v>
      </c>
      <c r="X75" s="909">
        <f t="shared" si="28"/>
        <v>207789.54571011459</v>
      </c>
      <c r="Y75" s="909">
        <f t="shared" si="29"/>
        <v>0</v>
      </c>
      <c r="Z75" s="910">
        <f t="shared" si="30"/>
        <v>0</v>
      </c>
      <c r="AA75" s="909">
        <f t="shared" si="31"/>
        <v>0</v>
      </c>
      <c r="AB75" s="910">
        <f t="shared" si="32"/>
        <v>0</v>
      </c>
      <c r="AC75" s="911">
        <f t="shared" si="33"/>
        <v>130254.64171011459</v>
      </c>
      <c r="AD75" s="911">
        <f t="shared" si="34"/>
        <v>2789053.0770874247</v>
      </c>
      <c r="AE75" s="909">
        <f t="shared" si="35"/>
        <v>0</v>
      </c>
      <c r="AF75" s="912">
        <f t="shared" si="2"/>
        <v>0</v>
      </c>
      <c r="AG75" s="909">
        <f t="shared" si="36"/>
        <v>77534.903999999995</v>
      </c>
      <c r="AH75" s="917">
        <f t="shared" si="37"/>
        <v>207789.54571011459</v>
      </c>
      <c r="AI75" s="909">
        <f t="shared" si="38"/>
        <v>-207789.54571011459</v>
      </c>
      <c r="AJ75" s="916">
        <f t="shared" si="39"/>
        <v>-130254.64171011459</v>
      </c>
      <c r="AK75" s="916">
        <f t="shared" si="40"/>
        <v>-77534.903999999995</v>
      </c>
      <c r="AL75" s="909">
        <f t="shared" si="41"/>
        <v>0</v>
      </c>
      <c r="AM75" s="918">
        <f t="shared" si="42"/>
        <v>207789.54571011459</v>
      </c>
      <c r="AN75" s="915">
        <f t="shared" si="3"/>
        <v>18</v>
      </c>
      <c r="AO75" s="653">
        <f t="shared" si="43"/>
        <v>77534.903999999995</v>
      </c>
      <c r="AP75" s="916">
        <f t="shared" si="44"/>
        <v>0</v>
      </c>
      <c r="AQ75" s="916">
        <f t="shared" si="45"/>
        <v>0</v>
      </c>
      <c r="AR75" s="653"/>
      <c r="AS75" s="653">
        <v>18</v>
      </c>
      <c r="AT75" s="909">
        <f t="shared" si="4"/>
        <v>0</v>
      </c>
      <c r="AU75" s="909">
        <f t="shared" si="5"/>
        <v>-112776.67669487247</v>
      </c>
      <c r="AV75" s="909">
        <f t="shared" si="6"/>
        <v>-9277.7819742859374</v>
      </c>
      <c r="AW75" s="909">
        <f t="shared" si="7"/>
        <v>0</v>
      </c>
      <c r="AX75" s="909">
        <f t="shared" si="8"/>
        <v>76510.874157512255</v>
      </c>
      <c r="AY75" s="909">
        <f t="shared" si="9"/>
        <v>45543.584511646142</v>
      </c>
      <c r="AZ75" s="909">
        <f t="shared" si="10"/>
        <v>-45543.584511646157</v>
      </c>
      <c r="BA75" s="653"/>
      <c r="BB75" s="653">
        <f t="shared" si="46"/>
        <v>18</v>
      </c>
      <c r="BC75" s="909">
        <f t="shared" si="47"/>
        <v>0</v>
      </c>
      <c r="BD75" s="909">
        <f t="shared" si="48"/>
        <v>-2640602.2082414054</v>
      </c>
      <c r="BE75" s="909">
        <f t="shared" si="49"/>
        <v>-217234.02645713557</v>
      </c>
      <c r="BF75" s="909">
        <f t="shared" si="50"/>
        <v>0</v>
      </c>
      <c r="BG75" s="909">
        <f t="shared" si="51"/>
        <v>1791458.9184200787</v>
      </c>
      <c r="BH75" s="909">
        <f t="shared" si="52"/>
        <v>1066378.3162784623</v>
      </c>
      <c r="BI75" s="909">
        <f t="shared" si="53"/>
        <v>-1066377.3162784623</v>
      </c>
      <c r="BJ75" s="909"/>
      <c r="BK75" s="653">
        <v>18</v>
      </c>
      <c r="BL75" s="909">
        <f t="shared" si="11"/>
        <v>0</v>
      </c>
      <c r="BM75" s="909">
        <f t="shared" si="12"/>
        <v>-191994.74294211459</v>
      </c>
      <c r="BN75" s="909">
        <f t="shared" si="13"/>
        <v>-15794.802768000001</v>
      </c>
      <c r="BO75" s="909">
        <f t="shared" si="14"/>
        <v>0</v>
      </c>
      <c r="BP75" s="909">
        <f t="shared" si="15"/>
        <v>130254.64171011459</v>
      </c>
      <c r="BQ75" s="909">
        <f t="shared" si="16"/>
        <v>77534.903999999995</v>
      </c>
      <c r="BR75" s="909">
        <f t="shared" si="17"/>
        <v>-77534.903999999995</v>
      </c>
      <c r="BS75" s="653"/>
      <c r="BT75" s="653"/>
      <c r="BU75" s="653"/>
      <c r="BV75" s="654"/>
    </row>
    <row r="76" spans="2:74" x14ac:dyDescent="0.25">
      <c r="B76" s="651"/>
      <c r="C76" s="653"/>
      <c r="D76" s="653"/>
      <c r="E76" s="653"/>
      <c r="F76" s="653"/>
      <c r="G76" s="653"/>
      <c r="H76" s="653"/>
      <c r="I76" s="653"/>
      <c r="J76" s="653"/>
      <c r="K76" s="653"/>
      <c r="L76" s="653"/>
      <c r="M76" s="651">
        <v>19</v>
      </c>
      <c r="N76" s="909">
        <f t="shared" si="18"/>
        <v>0</v>
      </c>
      <c r="O76" s="909">
        <f t="shared" si="19"/>
        <v>0</v>
      </c>
      <c r="P76" s="909">
        <f t="shared" si="20"/>
        <v>0</v>
      </c>
      <c r="Q76" s="910">
        <f t="shared" si="21"/>
        <v>0</v>
      </c>
      <c r="R76" s="909">
        <f t="shared" si="22"/>
        <v>191994.74294211459</v>
      </c>
      <c r="S76" s="909">
        <f t="shared" si="23"/>
        <v>35885.447233331965</v>
      </c>
      <c r="T76" s="909">
        <f t="shared" si="24"/>
        <v>156109.29570878262</v>
      </c>
      <c r="U76" s="909">
        <f t="shared" si="25"/>
        <v>1040072.2787356164</v>
      </c>
      <c r="V76" s="909">
        <f t="shared" si="26"/>
        <v>8640</v>
      </c>
      <c r="W76" s="909">
        <f t="shared" si="27"/>
        <v>7154.8027680000014</v>
      </c>
      <c r="X76" s="909">
        <f t="shared" si="28"/>
        <v>207789.54571011459</v>
      </c>
      <c r="Y76" s="909">
        <f t="shared" si="29"/>
        <v>0</v>
      </c>
      <c r="Z76" s="910">
        <f t="shared" si="30"/>
        <v>0</v>
      </c>
      <c r="AA76" s="909">
        <f t="shared" si="31"/>
        <v>0</v>
      </c>
      <c r="AB76" s="910">
        <f t="shared" si="32"/>
        <v>0</v>
      </c>
      <c r="AC76" s="911">
        <f t="shared" si="33"/>
        <v>130254.64171011459</v>
      </c>
      <c r="AD76" s="911">
        <f t="shared" si="34"/>
        <v>2975088.7803392881</v>
      </c>
      <c r="AE76" s="909">
        <f t="shared" si="35"/>
        <v>0</v>
      </c>
      <c r="AF76" s="912">
        <f t="shared" si="2"/>
        <v>0</v>
      </c>
      <c r="AG76" s="909">
        <f t="shared" si="36"/>
        <v>77534.903999999995</v>
      </c>
      <c r="AH76" s="917">
        <f t="shared" si="37"/>
        <v>207789.54571011459</v>
      </c>
      <c r="AI76" s="909">
        <f t="shared" si="38"/>
        <v>-207789.54571011459</v>
      </c>
      <c r="AJ76" s="916">
        <f t="shared" si="39"/>
        <v>-130254.64171011459</v>
      </c>
      <c r="AK76" s="916">
        <f t="shared" si="40"/>
        <v>-77534.903999999995</v>
      </c>
      <c r="AL76" s="909">
        <f t="shared" si="41"/>
        <v>0</v>
      </c>
      <c r="AM76" s="918">
        <f t="shared" si="42"/>
        <v>207789.54571011459</v>
      </c>
      <c r="AN76" s="915">
        <f t="shared" si="3"/>
        <v>19</v>
      </c>
      <c r="AO76" s="653">
        <f t="shared" si="43"/>
        <v>77534.903999999995</v>
      </c>
      <c r="AP76" s="916">
        <f t="shared" si="44"/>
        <v>0</v>
      </c>
      <c r="AQ76" s="916">
        <f t="shared" si="45"/>
        <v>0</v>
      </c>
      <c r="AR76" s="653"/>
      <c r="AS76" s="653">
        <v>19</v>
      </c>
      <c r="AT76" s="909">
        <f t="shared" si="4"/>
        <v>0</v>
      </c>
      <c r="AU76" s="909">
        <f t="shared" si="5"/>
        <v>-109491.91912123541</v>
      </c>
      <c r="AV76" s="909">
        <f t="shared" si="6"/>
        <v>-9007.5553148407162</v>
      </c>
      <c r="AW76" s="909">
        <f t="shared" si="7"/>
        <v>0</v>
      </c>
      <c r="AX76" s="909">
        <f t="shared" si="8"/>
        <v>74282.402094672085</v>
      </c>
      <c r="AY76" s="909">
        <f t="shared" si="9"/>
        <v>44217.072341404026</v>
      </c>
      <c r="AZ76" s="909">
        <f t="shared" si="10"/>
        <v>-44217.07234140404</v>
      </c>
      <c r="BA76" s="653"/>
      <c r="BB76" s="653">
        <f t="shared" si="46"/>
        <v>19</v>
      </c>
      <c r="BC76" s="909">
        <f t="shared" si="47"/>
        <v>0</v>
      </c>
      <c r="BD76" s="909">
        <f t="shared" si="48"/>
        <v>-2750094.127362641</v>
      </c>
      <c r="BE76" s="909">
        <f t="shared" si="49"/>
        <v>-226241.58177197629</v>
      </c>
      <c r="BF76" s="909">
        <f t="shared" si="50"/>
        <v>0</v>
      </c>
      <c r="BG76" s="909">
        <f t="shared" si="51"/>
        <v>1865741.3205147507</v>
      </c>
      <c r="BH76" s="909">
        <f t="shared" si="52"/>
        <v>1110595.3886198662</v>
      </c>
      <c r="BI76" s="909">
        <f t="shared" si="53"/>
        <v>-1110594.3886198662</v>
      </c>
      <c r="BJ76" s="909"/>
      <c r="BK76" s="653">
        <v>19</v>
      </c>
      <c r="BL76" s="909">
        <f t="shared" si="11"/>
        <v>0</v>
      </c>
      <c r="BM76" s="909">
        <f t="shared" si="12"/>
        <v>-191994.74294211459</v>
      </c>
      <c r="BN76" s="909">
        <f t="shared" si="13"/>
        <v>-15794.802768000001</v>
      </c>
      <c r="BO76" s="909">
        <f t="shared" si="14"/>
        <v>0</v>
      </c>
      <c r="BP76" s="909">
        <f t="shared" si="15"/>
        <v>130254.64171011459</v>
      </c>
      <c r="BQ76" s="909">
        <f t="shared" si="16"/>
        <v>77534.903999999995</v>
      </c>
      <c r="BR76" s="909">
        <f t="shared" si="17"/>
        <v>-77534.903999999995</v>
      </c>
      <c r="BS76" s="653"/>
      <c r="BT76" s="653"/>
      <c r="BU76" s="653"/>
      <c r="BV76" s="654"/>
    </row>
    <row r="77" spans="2:74" x14ac:dyDescent="0.25">
      <c r="B77" s="651"/>
      <c r="C77" s="653"/>
      <c r="D77" s="653"/>
      <c r="E77" s="653"/>
      <c r="F77" s="653"/>
      <c r="G77" s="653"/>
      <c r="H77" s="653"/>
      <c r="I77" s="653"/>
      <c r="J77" s="653"/>
      <c r="K77" s="653"/>
      <c r="L77" s="653"/>
      <c r="M77" s="651">
        <v>20</v>
      </c>
      <c r="N77" s="909">
        <f t="shared" si="18"/>
        <v>0</v>
      </c>
      <c r="O77" s="909">
        <f t="shared" si="19"/>
        <v>0</v>
      </c>
      <c r="P77" s="909">
        <f t="shared" si="20"/>
        <v>0</v>
      </c>
      <c r="Q77" s="910">
        <f t="shared" si="21"/>
        <v>0</v>
      </c>
      <c r="R77" s="909">
        <f t="shared" si="22"/>
        <v>191994.74294211459</v>
      </c>
      <c r="S77" s="909">
        <f t="shared" si="23"/>
        <v>31202.168362068489</v>
      </c>
      <c r="T77" s="909">
        <f t="shared" si="24"/>
        <v>160792.57458004612</v>
      </c>
      <c r="U77" s="909">
        <f t="shared" si="25"/>
        <v>879279.70415557025</v>
      </c>
      <c r="V77" s="909">
        <f t="shared" si="26"/>
        <v>8640</v>
      </c>
      <c r="W77" s="909">
        <f t="shared" si="27"/>
        <v>7154.8027680000014</v>
      </c>
      <c r="X77" s="909">
        <f t="shared" si="28"/>
        <v>207789.54571011459</v>
      </c>
      <c r="Y77" s="909">
        <f t="shared" si="29"/>
        <v>0</v>
      </c>
      <c r="Z77" s="910">
        <f t="shared" si="30"/>
        <v>0</v>
      </c>
      <c r="AA77" s="909">
        <f t="shared" si="31"/>
        <v>0</v>
      </c>
      <c r="AB77" s="910">
        <f t="shared" si="32"/>
        <v>0</v>
      </c>
      <c r="AC77" s="911">
        <f t="shared" si="33"/>
        <v>130254.64171011459</v>
      </c>
      <c r="AD77" s="911">
        <f t="shared" si="34"/>
        <v>3164845.1976561886</v>
      </c>
      <c r="AE77" s="909">
        <f t="shared" si="35"/>
        <v>0</v>
      </c>
      <c r="AF77" s="912">
        <f t="shared" si="2"/>
        <v>0</v>
      </c>
      <c r="AG77" s="909">
        <f t="shared" si="36"/>
        <v>77534.903999999995</v>
      </c>
      <c r="AH77" s="917">
        <f t="shared" si="37"/>
        <v>207789.54571011459</v>
      </c>
      <c r="AI77" s="909">
        <f t="shared" si="38"/>
        <v>-207789.54571011459</v>
      </c>
      <c r="AJ77" s="916">
        <f t="shared" si="39"/>
        <v>-130254.64171011459</v>
      </c>
      <c r="AK77" s="916">
        <f t="shared" si="40"/>
        <v>-77534.903999999995</v>
      </c>
      <c r="AL77" s="909">
        <f t="shared" si="41"/>
        <v>0</v>
      </c>
      <c r="AM77" s="918">
        <f t="shared" si="42"/>
        <v>207789.54571011459</v>
      </c>
      <c r="AN77" s="915">
        <f t="shared" si="3"/>
        <v>20</v>
      </c>
      <c r="AO77" s="653">
        <f t="shared" si="43"/>
        <v>77534.903999999995</v>
      </c>
      <c r="AP77" s="916">
        <f t="shared" si="44"/>
        <v>0</v>
      </c>
      <c r="AQ77" s="916">
        <f t="shared" si="45"/>
        <v>0</v>
      </c>
      <c r="AR77" s="653"/>
      <c r="AS77" s="653">
        <v>20</v>
      </c>
      <c r="AT77" s="909">
        <f t="shared" si="4"/>
        <v>0</v>
      </c>
      <c r="AU77" s="909">
        <f t="shared" si="5"/>
        <v>-106302.83409828681</v>
      </c>
      <c r="AV77" s="909">
        <f t="shared" si="6"/>
        <v>-8745.1993347968128</v>
      </c>
      <c r="AW77" s="909">
        <f t="shared" si="7"/>
        <v>0</v>
      </c>
      <c r="AX77" s="909">
        <f t="shared" si="8"/>
        <v>72118.836985118542</v>
      </c>
      <c r="AY77" s="909">
        <f t="shared" si="9"/>
        <v>42929.196447965078</v>
      </c>
      <c r="AZ77" s="909">
        <f t="shared" si="10"/>
        <v>-42929.196447965078</v>
      </c>
      <c r="BA77" s="653"/>
      <c r="BB77" s="653">
        <f t="shared" si="46"/>
        <v>20</v>
      </c>
      <c r="BC77" s="909">
        <f t="shared" si="47"/>
        <v>0</v>
      </c>
      <c r="BD77" s="909">
        <f t="shared" si="48"/>
        <v>-2856396.961460928</v>
      </c>
      <c r="BE77" s="909">
        <f t="shared" si="49"/>
        <v>-234986.78110677309</v>
      </c>
      <c r="BF77" s="909">
        <f t="shared" si="50"/>
        <v>0</v>
      </c>
      <c r="BG77" s="909">
        <f t="shared" si="51"/>
        <v>1937860.1574998691</v>
      </c>
      <c r="BH77" s="909">
        <f t="shared" si="52"/>
        <v>1153524.5850678312</v>
      </c>
      <c r="BI77" s="909">
        <f t="shared" si="53"/>
        <v>-1153523.5850678312</v>
      </c>
      <c r="BJ77" s="909"/>
      <c r="BK77" s="653">
        <v>20</v>
      </c>
      <c r="BL77" s="909">
        <f t="shared" si="11"/>
        <v>0</v>
      </c>
      <c r="BM77" s="909">
        <f t="shared" si="12"/>
        <v>-191994.74294211459</v>
      </c>
      <c r="BN77" s="909">
        <f t="shared" si="13"/>
        <v>-15794.802768000001</v>
      </c>
      <c r="BO77" s="909">
        <f t="shared" si="14"/>
        <v>0</v>
      </c>
      <c r="BP77" s="909">
        <f t="shared" si="15"/>
        <v>130254.64171011459</v>
      </c>
      <c r="BQ77" s="909">
        <f t="shared" si="16"/>
        <v>77534.903999999995</v>
      </c>
      <c r="BR77" s="909">
        <f t="shared" si="17"/>
        <v>-77534.903999999995</v>
      </c>
      <c r="BS77" s="653"/>
      <c r="BT77" s="653"/>
      <c r="BU77" s="653"/>
      <c r="BV77" s="654"/>
    </row>
    <row r="78" spans="2:74" x14ac:dyDescent="0.25">
      <c r="B78" s="651"/>
      <c r="C78" s="653"/>
      <c r="D78" s="653"/>
      <c r="E78" s="653"/>
      <c r="F78" s="653"/>
      <c r="G78" s="653"/>
      <c r="H78" s="653"/>
      <c r="I78" s="653"/>
      <c r="J78" s="653"/>
      <c r="K78" s="653"/>
      <c r="L78" s="653"/>
      <c r="M78" s="651">
        <v>21</v>
      </c>
      <c r="N78" s="909">
        <f t="shared" si="18"/>
        <v>0</v>
      </c>
      <c r="O78" s="909">
        <f t="shared" si="19"/>
        <v>0</v>
      </c>
      <c r="P78" s="909">
        <f t="shared" si="20"/>
        <v>0</v>
      </c>
      <c r="Q78" s="910">
        <f t="shared" si="21"/>
        <v>0</v>
      </c>
      <c r="R78" s="909">
        <f t="shared" si="22"/>
        <v>191994.74294211459</v>
      </c>
      <c r="S78" s="909">
        <f t="shared" si="23"/>
        <v>26378.391124667105</v>
      </c>
      <c r="T78" s="909">
        <f t="shared" si="24"/>
        <v>165616.35181744749</v>
      </c>
      <c r="U78" s="909">
        <f t="shared" si="25"/>
        <v>713663.35233812279</v>
      </c>
      <c r="V78" s="909">
        <f t="shared" si="26"/>
        <v>8640</v>
      </c>
      <c r="W78" s="909">
        <f t="shared" si="27"/>
        <v>7154.8027680000014</v>
      </c>
      <c r="X78" s="909">
        <f t="shared" si="28"/>
        <v>207789.54571011459</v>
      </c>
      <c r="Y78" s="909">
        <f t="shared" si="29"/>
        <v>0</v>
      </c>
      <c r="Z78" s="910">
        <f t="shared" si="30"/>
        <v>0</v>
      </c>
      <c r="AA78" s="909">
        <f t="shared" si="31"/>
        <v>0</v>
      </c>
      <c r="AB78" s="910">
        <f t="shared" si="32"/>
        <v>0</v>
      </c>
      <c r="AC78" s="911">
        <f t="shared" si="33"/>
        <v>130254.64171011459</v>
      </c>
      <c r="AD78" s="911">
        <f t="shared" si="34"/>
        <v>3358396.7433194271</v>
      </c>
      <c r="AE78" s="909">
        <f t="shared" si="35"/>
        <v>0</v>
      </c>
      <c r="AF78" s="912">
        <f t="shared" si="2"/>
        <v>0</v>
      </c>
      <c r="AG78" s="909">
        <f t="shared" si="36"/>
        <v>77534.903999999995</v>
      </c>
      <c r="AH78" s="917">
        <f t="shared" si="37"/>
        <v>207789.54571011459</v>
      </c>
      <c r="AI78" s="909">
        <f t="shared" si="38"/>
        <v>-207789.54571011459</v>
      </c>
      <c r="AJ78" s="916">
        <f t="shared" si="39"/>
        <v>-130254.64171011459</v>
      </c>
      <c r="AK78" s="916">
        <f t="shared" si="40"/>
        <v>-77534.903999999995</v>
      </c>
      <c r="AL78" s="909">
        <f t="shared" si="41"/>
        <v>0</v>
      </c>
      <c r="AM78" s="918">
        <f t="shared" si="42"/>
        <v>207789.54571011459</v>
      </c>
      <c r="AN78" s="915">
        <f t="shared" si="3"/>
        <v>21</v>
      </c>
      <c r="AO78" s="653">
        <f t="shared" si="43"/>
        <v>77534.903999999995</v>
      </c>
      <c r="AP78" s="916">
        <f t="shared" si="44"/>
        <v>0</v>
      </c>
      <c r="AQ78" s="916">
        <f t="shared" si="45"/>
        <v>0</v>
      </c>
      <c r="AR78" s="653"/>
      <c r="AS78" s="653">
        <v>21</v>
      </c>
      <c r="AT78" s="909">
        <f t="shared" si="4"/>
        <v>0</v>
      </c>
      <c r="AU78" s="909">
        <f t="shared" si="5"/>
        <v>-103206.6350468804</v>
      </c>
      <c r="AV78" s="909">
        <f t="shared" si="6"/>
        <v>-8490.4847910648659</v>
      </c>
      <c r="AW78" s="909">
        <f t="shared" si="7"/>
        <v>0</v>
      </c>
      <c r="AX78" s="909">
        <f t="shared" si="8"/>
        <v>70018.288335066551</v>
      </c>
      <c r="AY78" s="909">
        <f t="shared" si="9"/>
        <v>41678.831502878718</v>
      </c>
      <c r="AZ78" s="909">
        <f t="shared" si="10"/>
        <v>-41678.831502878718</v>
      </c>
      <c r="BA78" s="653"/>
      <c r="BB78" s="653">
        <f t="shared" si="46"/>
        <v>21</v>
      </c>
      <c r="BC78" s="909">
        <f t="shared" si="47"/>
        <v>0</v>
      </c>
      <c r="BD78" s="909">
        <f t="shared" si="48"/>
        <v>-2959603.5965078082</v>
      </c>
      <c r="BE78" s="909">
        <f t="shared" si="49"/>
        <v>-243477.26589783796</v>
      </c>
      <c r="BF78" s="909">
        <f t="shared" si="50"/>
        <v>0</v>
      </c>
      <c r="BG78" s="909">
        <f t="shared" si="51"/>
        <v>2007878.4458349356</v>
      </c>
      <c r="BH78" s="909">
        <f t="shared" si="52"/>
        <v>1195203.41657071</v>
      </c>
      <c r="BI78" s="909">
        <f t="shared" si="53"/>
        <v>-1195202.41657071</v>
      </c>
      <c r="BJ78" s="909"/>
      <c r="BK78" s="653">
        <v>21</v>
      </c>
      <c r="BL78" s="909">
        <f t="shared" si="11"/>
        <v>0</v>
      </c>
      <c r="BM78" s="909">
        <f t="shared" si="12"/>
        <v>-191994.74294211459</v>
      </c>
      <c r="BN78" s="909">
        <f t="shared" si="13"/>
        <v>-15794.802768000001</v>
      </c>
      <c r="BO78" s="909">
        <f t="shared" si="14"/>
        <v>0</v>
      </c>
      <c r="BP78" s="909">
        <f t="shared" si="15"/>
        <v>130254.64171011459</v>
      </c>
      <c r="BQ78" s="909">
        <f t="shared" si="16"/>
        <v>77534.903999999995</v>
      </c>
      <c r="BR78" s="909">
        <f t="shared" si="17"/>
        <v>-77534.903999999995</v>
      </c>
      <c r="BS78" s="653"/>
      <c r="BT78" s="653"/>
      <c r="BU78" s="653"/>
      <c r="BV78" s="654"/>
    </row>
    <row r="79" spans="2:74" x14ac:dyDescent="0.25">
      <c r="B79" s="651"/>
      <c r="C79" s="653"/>
      <c r="D79" s="653"/>
      <c r="E79" s="653"/>
      <c r="F79" s="653"/>
      <c r="G79" s="653"/>
      <c r="H79" s="653"/>
      <c r="I79" s="653"/>
      <c r="J79" s="653"/>
      <c r="K79" s="653"/>
      <c r="L79" s="653"/>
      <c r="M79" s="651">
        <v>22</v>
      </c>
      <c r="N79" s="909">
        <f t="shared" si="18"/>
        <v>0</v>
      </c>
      <c r="O79" s="909">
        <f t="shared" si="19"/>
        <v>0</v>
      </c>
      <c r="P79" s="909">
        <f t="shared" si="20"/>
        <v>0</v>
      </c>
      <c r="Q79" s="910">
        <f t="shared" si="21"/>
        <v>0</v>
      </c>
      <c r="R79" s="909">
        <f t="shared" si="22"/>
        <v>191994.74294211459</v>
      </c>
      <c r="S79" s="909">
        <f t="shared" si="23"/>
        <v>21409.900570143684</v>
      </c>
      <c r="T79" s="909">
        <f t="shared" si="24"/>
        <v>170584.84237197091</v>
      </c>
      <c r="U79" s="909">
        <f t="shared" si="25"/>
        <v>543078.50996615191</v>
      </c>
      <c r="V79" s="909">
        <f t="shared" si="26"/>
        <v>8640</v>
      </c>
      <c r="W79" s="909">
        <f t="shared" si="27"/>
        <v>7154.8027680000014</v>
      </c>
      <c r="X79" s="909">
        <f t="shared" si="28"/>
        <v>207789.54571011459</v>
      </c>
      <c r="Y79" s="909">
        <f t="shared" si="29"/>
        <v>0</v>
      </c>
      <c r="Z79" s="910">
        <f t="shared" si="30"/>
        <v>0</v>
      </c>
      <c r="AA79" s="909">
        <f t="shared" si="31"/>
        <v>0</v>
      </c>
      <c r="AB79" s="910">
        <f t="shared" si="32"/>
        <v>0</v>
      </c>
      <c r="AC79" s="911">
        <f t="shared" si="33"/>
        <v>130254.64171011459</v>
      </c>
      <c r="AD79" s="911">
        <f t="shared" si="34"/>
        <v>3555819.3198959306</v>
      </c>
      <c r="AE79" s="909">
        <f t="shared" si="35"/>
        <v>0</v>
      </c>
      <c r="AF79" s="912">
        <f t="shared" si="2"/>
        <v>0</v>
      </c>
      <c r="AG79" s="909">
        <f t="shared" si="36"/>
        <v>77534.903999999995</v>
      </c>
      <c r="AH79" s="917">
        <f t="shared" si="37"/>
        <v>207789.54571011459</v>
      </c>
      <c r="AI79" s="909">
        <f t="shared" si="38"/>
        <v>-207789.54571011459</v>
      </c>
      <c r="AJ79" s="916">
        <f t="shared" si="39"/>
        <v>-130254.64171011459</v>
      </c>
      <c r="AK79" s="916">
        <f t="shared" si="40"/>
        <v>-77534.903999999995</v>
      </c>
      <c r="AL79" s="909">
        <f t="shared" si="41"/>
        <v>0</v>
      </c>
      <c r="AM79" s="918">
        <f t="shared" si="42"/>
        <v>207789.54571011459</v>
      </c>
      <c r="AN79" s="915">
        <f t="shared" si="3"/>
        <v>22</v>
      </c>
      <c r="AO79" s="653">
        <f t="shared" si="43"/>
        <v>77534.903999999995</v>
      </c>
      <c r="AP79" s="916">
        <f t="shared" si="44"/>
        <v>0</v>
      </c>
      <c r="AQ79" s="916">
        <f t="shared" si="45"/>
        <v>0</v>
      </c>
      <c r="AR79" s="653"/>
      <c r="AS79" s="653">
        <v>22</v>
      </c>
      <c r="AT79" s="909">
        <f t="shared" si="4"/>
        <v>0</v>
      </c>
      <c r="AU79" s="909">
        <f t="shared" si="5"/>
        <v>-100200.61655036932</v>
      </c>
      <c r="AV79" s="909">
        <f t="shared" si="6"/>
        <v>-8243.1891175387045</v>
      </c>
      <c r="AW79" s="909">
        <f t="shared" si="7"/>
        <v>0</v>
      </c>
      <c r="AX79" s="909">
        <f t="shared" si="8"/>
        <v>67978.920713656844</v>
      </c>
      <c r="AY79" s="909">
        <f t="shared" si="9"/>
        <v>40464.884954251182</v>
      </c>
      <c r="AZ79" s="909">
        <f t="shared" si="10"/>
        <v>-40464.884954251174</v>
      </c>
      <c r="BA79" s="653"/>
      <c r="BB79" s="653">
        <f t="shared" si="46"/>
        <v>22</v>
      </c>
      <c r="BC79" s="909">
        <f t="shared" si="47"/>
        <v>0</v>
      </c>
      <c r="BD79" s="909">
        <f t="shared" si="48"/>
        <v>-3059804.2130581774</v>
      </c>
      <c r="BE79" s="909">
        <f t="shared" si="49"/>
        <v>-251720.45501537668</v>
      </c>
      <c r="BF79" s="909">
        <f t="shared" si="50"/>
        <v>0</v>
      </c>
      <c r="BG79" s="909">
        <f t="shared" si="51"/>
        <v>2075857.3665485925</v>
      </c>
      <c r="BH79" s="909">
        <f t="shared" si="52"/>
        <v>1235668.3015249611</v>
      </c>
      <c r="BI79" s="909">
        <f t="shared" si="53"/>
        <v>-1235667.3015249611</v>
      </c>
      <c r="BJ79" s="909"/>
      <c r="BK79" s="653">
        <v>22</v>
      </c>
      <c r="BL79" s="909">
        <f t="shared" si="11"/>
        <v>0</v>
      </c>
      <c r="BM79" s="909">
        <f t="shared" si="12"/>
        <v>-191994.74294211459</v>
      </c>
      <c r="BN79" s="909">
        <f t="shared" si="13"/>
        <v>-15794.802768000001</v>
      </c>
      <c r="BO79" s="909">
        <f t="shared" si="14"/>
        <v>0</v>
      </c>
      <c r="BP79" s="909">
        <f t="shared" si="15"/>
        <v>130254.64171011459</v>
      </c>
      <c r="BQ79" s="909">
        <f t="shared" si="16"/>
        <v>77534.903999999995</v>
      </c>
      <c r="BR79" s="909">
        <f t="shared" si="17"/>
        <v>-77534.903999999995</v>
      </c>
      <c r="BS79" s="653"/>
      <c r="BT79" s="653"/>
      <c r="BU79" s="653"/>
      <c r="BV79" s="654"/>
    </row>
    <row r="80" spans="2:74" x14ac:dyDescent="0.25">
      <c r="B80" s="651"/>
      <c r="C80" s="653"/>
      <c r="D80" s="653"/>
      <c r="E80" s="653"/>
      <c r="F80" s="653"/>
      <c r="G80" s="653"/>
      <c r="H80" s="653"/>
      <c r="I80" s="653"/>
      <c r="J80" s="653"/>
      <c r="K80" s="653"/>
      <c r="L80" s="653"/>
      <c r="M80" s="651">
        <v>23</v>
      </c>
      <c r="N80" s="909">
        <f t="shared" si="18"/>
        <v>0</v>
      </c>
      <c r="O80" s="909">
        <f t="shared" si="19"/>
        <v>0</v>
      </c>
      <c r="P80" s="909">
        <f t="shared" si="20"/>
        <v>0</v>
      </c>
      <c r="Q80" s="910">
        <f t="shared" si="21"/>
        <v>0</v>
      </c>
      <c r="R80" s="909">
        <f t="shared" si="22"/>
        <v>191994.74294211459</v>
      </c>
      <c r="S80" s="909">
        <f t="shared" si="23"/>
        <v>16292.355298984556</v>
      </c>
      <c r="T80" s="909">
        <f t="shared" si="24"/>
        <v>175702.38764313003</v>
      </c>
      <c r="U80" s="909">
        <f t="shared" si="25"/>
        <v>367376.12232302187</v>
      </c>
      <c r="V80" s="909">
        <f t="shared" si="26"/>
        <v>8640</v>
      </c>
      <c r="W80" s="909">
        <f t="shared" si="27"/>
        <v>7154.8027680000014</v>
      </c>
      <c r="X80" s="909">
        <f t="shared" si="28"/>
        <v>207789.54571011459</v>
      </c>
      <c r="Y80" s="909">
        <f t="shared" si="29"/>
        <v>0</v>
      </c>
      <c r="Z80" s="910">
        <f t="shared" si="30"/>
        <v>0</v>
      </c>
      <c r="AA80" s="909">
        <f t="shared" si="31"/>
        <v>0</v>
      </c>
      <c r="AB80" s="910">
        <f t="shared" si="32"/>
        <v>0</v>
      </c>
      <c r="AC80" s="911">
        <f t="shared" si="33"/>
        <v>130254.64171011459</v>
      </c>
      <c r="AD80" s="911">
        <f t="shared" si="34"/>
        <v>3757190.3480039639</v>
      </c>
      <c r="AE80" s="909">
        <f t="shared" si="35"/>
        <v>0</v>
      </c>
      <c r="AF80" s="912">
        <f t="shared" si="2"/>
        <v>0</v>
      </c>
      <c r="AG80" s="909">
        <f t="shared" si="36"/>
        <v>77534.903999999995</v>
      </c>
      <c r="AH80" s="917">
        <f t="shared" si="37"/>
        <v>207789.54571011459</v>
      </c>
      <c r="AI80" s="909">
        <f t="shared" si="38"/>
        <v>-207789.54571011459</v>
      </c>
      <c r="AJ80" s="916">
        <f t="shared" si="39"/>
        <v>-130254.64171011459</v>
      </c>
      <c r="AK80" s="916">
        <f t="shared" si="40"/>
        <v>-77534.903999999995</v>
      </c>
      <c r="AL80" s="909">
        <f t="shared" si="41"/>
        <v>0</v>
      </c>
      <c r="AM80" s="918">
        <f t="shared" si="42"/>
        <v>207789.54571011459</v>
      </c>
      <c r="AN80" s="915">
        <f t="shared" si="3"/>
        <v>23</v>
      </c>
      <c r="AO80" s="653">
        <f t="shared" si="43"/>
        <v>77534.903999999995</v>
      </c>
      <c r="AP80" s="916">
        <f t="shared" si="44"/>
        <v>0</v>
      </c>
      <c r="AQ80" s="916">
        <f t="shared" si="45"/>
        <v>0</v>
      </c>
      <c r="AR80" s="653"/>
      <c r="AS80" s="653">
        <v>23</v>
      </c>
      <c r="AT80" s="909">
        <f t="shared" si="4"/>
        <v>0</v>
      </c>
      <c r="AU80" s="909">
        <f t="shared" si="5"/>
        <v>-97282.151990649829</v>
      </c>
      <c r="AV80" s="909">
        <f t="shared" si="6"/>
        <v>-8003.0962306201018</v>
      </c>
      <c r="AW80" s="909">
        <f t="shared" si="7"/>
        <v>0</v>
      </c>
      <c r="AX80" s="909">
        <f t="shared" si="8"/>
        <v>65998.952149181394</v>
      </c>
      <c r="AY80" s="909">
        <f t="shared" si="9"/>
        <v>39286.296072088524</v>
      </c>
      <c r="AZ80" s="909">
        <f t="shared" si="10"/>
        <v>-39286.296072088531</v>
      </c>
      <c r="BA80" s="653"/>
      <c r="BB80" s="653">
        <f t="shared" si="46"/>
        <v>23</v>
      </c>
      <c r="BC80" s="909">
        <f t="shared" si="47"/>
        <v>0</v>
      </c>
      <c r="BD80" s="909">
        <f t="shared" si="48"/>
        <v>-3157086.3650488271</v>
      </c>
      <c r="BE80" s="909">
        <f t="shared" si="49"/>
        <v>-259723.55124599679</v>
      </c>
      <c r="BF80" s="909">
        <f t="shared" si="50"/>
        <v>0</v>
      </c>
      <c r="BG80" s="909">
        <f t="shared" si="51"/>
        <v>2141856.3186977739</v>
      </c>
      <c r="BH80" s="909">
        <f t="shared" si="52"/>
        <v>1274954.5975970495</v>
      </c>
      <c r="BI80" s="909">
        <f t="shared" si="53"/>
        <v>-1274953.5975970495</v>
      </c>
      <c r="BJ80" s="909"/>
      <c r="BK80" s="653">
        <v>23</v>
      </c>
      <c r="BL80" s="909">
        <f t="shared" si="11"/>
        <v>0</v>
      </c>
      <c r="BM80" s="909">
        <f t="shared" si="12"/>
        <v>-191994.74294211459</v>
      </c>
      <c r="BN80" s="909">
        <f t="shared" si="13"/>
        <v>-15794.802768000001</v>
      </c>
      <c r="BO80" s="909">
        <f t="shared" si="14"/>
        <v>0</v>
      </c>
      <c r="BP80" s="909">
        <f t="shared" si="15"/>
        <v>130254.64171011459</v>
      </c>
      <c r="BQ80" s="909">
        <f t="shared" si="16"/>
        <v>77534.903999999995</v>
      </c>
      <c r="BR80" s="909">
        <f t="shared" si="17"/>
        <v>-77534.903999999995</v>
      </c>
      <c r="BS80" s="653"/>
      <c r="BT80" s="653"/>
      <c r="BU80" s="653"/>
      <c r="BV80" s="654"/>
    </row>
    <row r="81" spans="2:74" x14ac:dyDescent="0.25">
      <c r="B81" s="651"/>
      <c r="C81" s="653"/>
      <c r="D81" s="653"/>
      <c r="E81" s="653"/>
      <c r="F81" s="653"/>
      <c r="G81" s="653"/>
      <c r="H81" s="653"/>
      <c r="I81" s="653"/>
      <c r="J81" s="653"/>
      <c r="K81" s="653"/>
      <c r="L81" s="653"/>
      <c r="M81" s="651">
        <v>24</v>
      </c>
      <c r="N81" s="909">
        <f t="shared" si="18"/>
        <v>0</v>
      </c>
      <c r="O81" s="909">
        <f t="shared" si="19"/>
        <v>0</v>
      </c>
      <c r="P81" s="909">
        <f t="shared" si="20"/>
        <v>0</v>
      </c>
      <c r="Q81" s="910">
        <f t="shared" si="21"/>
        <v>0</v>
      </c>
      <c r="R81" s="909">
        <f t="shared" si="22"/>
        <v>191994.74294211459</v>
      </c>
      <c r="S81" s="909">
        <f t="shared" si="23"/>
        <v>11021.283669690656</v>
      </c>
      <c r="T81" s="909">
        <f t="shared" si="24"/>
        <v>180973.45927242393</v>
      </c>
      <c r="U81" s="909">
        <f t="shared" si="25"/>
        <v>186402.66305059794</v>
      </c>
      <c r="V81" s="909">
        <f t="shared" si="26"/>
        <v>8640</v>
      </c>
      <c r="W81" s="909">
        <f t="shared" si="27"/>
        <v>7154.8027680000014</v>
      </c>
      <c r="X81" s="909">
        <f t="shared" si="28"/>
        <v>207789.54571011459</v>
      </c>
      <c r="Y81" s="909">
        <f t="shared" si="29"/>
        <v>0</v>
      </c>
      <c r="Z81" s="910">
        <f t="shared" si="30"/>
        <v>0</v>
      </c>
      <c r="AA81" s="909">
        <f t="shared" si="31"/>
        <v>0</v>
      </c>
      <c r="AB81" s="910">
        <f t="shared" si="32"/>
        <v>0</v>
      </c>
      <c r="AC81" s="911">
        <f t="shared" si="33"/>
        <v>130254.64171011459</v>
      </c>
      <c r="AD81" s="911">
        <f t="shared" si="34"/>
        <v>3962588.796674158</v>
      </c>
      <c r="AE81" s="909">
        <f t="shared" si="35"/>
        <v>0</v>
      </c>
      <c r="AF81" s="912">
        <f t="shared" si="2"/>
        <v>0</v>
      </c>
      <c r="AG81" s="909">
        <f t="shared" si="36"/>
        <v>77534.903999999995</v>
      </c>
      <c r="AH81" s="917">
        <f t="shared" si="37"/>
        <v>207789.54571011459</v>
      </c>
      <c r="AI81" s="909">
        <f t="shared" si="38"/>
        <v>-207789.54571011459</v>
      </c>
      <c r="AJ81" s="916">
        <f t="shared" si="39"/>
        <v>-130254.64171011459</v>
      </c>
      <c r="AK81" s="916">
        <f t="shared" si="40"/>
        <v>-77534.903999999995</v>
      </c>
      <c r="AL81" s="909">
        <f t="shared" si="41"/>
        <v>0</v>
      </c>
      <c r="AM81" s="918">
        <f t="shared" si="42"/>
        <v>207789.54571011459</v>
      </c>
      <c r="AN81" s="915">
        <f t="shared" si="3"/>
        <v>24</v>
      </c>
      <c r="AO81" s="653">
        <f t="shared" si="43"/>
        <v>77534.903999999995</v>
      </c>
      <c r="AP81" s="916">
        <f t="shared" si="44"/>
        <v>0</v>
      </c>
      <c r="AQ81" s="916">
        <f t="shared" si="45"/>
        <v>0</v>
      </c>
      <c r="AR81" s="653"/>
      <c r="AS81" s="653">
        <v>24</v>
      </c>
      <c r="AT81" s="909">
        <f t="shared" si="4"/>
        <v>0</v>
      </c>
      <c r="AU81" s="909">
        <f t="shared" si="5"/>
        <v>-94448.691253058088</v>
      </c>
      <c r="AV81" s="909">
        <f t="shared" si="6"/>
        <v>-7769.9963404078662</v>
      </c>
      <c r="AW81" s="909">
        <f t="shared" si="7"/>
        <v>0</v>
      </c>
      <c r="AX81" s="909">
        <f t="shared" si="8"/>
        <v>64076.652572020779</v>
      </c>
      <c r="AY81" s="909">
        <f t="shared" si="9"/>
        <v>38142.035021445176</v>
      </c>
      <c r="AZ81" s="909">
        <f t="shared" si="10"/>
        <v>-38142.035021445183</v>
      </c>
      <c r="BA81" s="653"/>
      <c r="BB81" s="653">
        <f t="shared" si="46"/>
        <v>24</v>
      </c>
      <c r="BC81" s="909">
        <f t="shared" si="47"/>
        <v>0</v>
      </c>
      <c r="BD81" s="909">
        <f t="shared" si="48"/>
        <v>-3251535.0563018853</v>
      </c>
      <c r="BE81" s="909">
        <f t="shared" si="49"/>
        <v>-267493.54758640466</v>
      </c>
      <c r="BF81" s="909">
        <f t="shared" si="50"/>
        <v>0</v>
      </c>
      <c r="BG81" s="909">
        <f t="shared" si="51"/>
        <v>2205932.9712697947</v>
      </c>
      <c r="BH81" s="909">
        <f t="shared" si="52"/>
        <v>1313096.6326184948</v>
      </c>
      <c r="BI81" s="909">
        <f t="shared" si="53"/>
        <v>-1313095.6326184948</v>
      </c>
      <c r="BJ81" s="909"/>
      <c r="BK81" s="653">
        <v>24</v>
      </c>
      <c r="BL81" s="909">
        <f t="shared" si="11"/>
        <v>0</v>
      </c>
      <c r="BM81" s="909">
        <f t="shared" si="12"/>
        <v>-191994.74294211459</v>
      </c>
      <c r="BN81" s="909">
        <f t="shared" si="13"/>
        <v>-15794.802768000001</v>
      </c>
      <c r="BO81" s="909">
        <f t="shared" si="14"/>
        <v>0</v>
      </c>
      <c r="BP81" s="909">
        <f t="shared" si="15"/>
        <v>130254.64171011459</v>
      </c>
      <c r="BQ81" s="909">
        <f t="shared" si="16"/>
        <v>77534.903999999995</v>
      </c>
      <c r="BR81" s="909">
        <f t="shared" si="17"/>
        <v>-77534.903999999995</v>
      </c>
      <c r="BS81" s="653"/>
      <c r="BT81" s="653"/>
      <c r="BU81" s="653"/>
      <c r="BV81" s="654"/>
    </row>
    <row r="82" spans="2:74" x14ac:dyDescent="0.25">
      <c r="B82" s="651"/>
      <c r="C82" s="653"/>
      <c r="D82" s="653"/>
      <c r="E82" s="653"/>
      <c r="F82" s="653"/>
      <c r="G82" s="653"/>
      <c r="H82" s="653"/>
      <c r="I82" s="653"/>
      <c r="J82" s="653"/>
      <c r="K82" s="653"/>
      <c r="L82" s="653"/>
      <c r="M82" s="651">
        <v>25</v>
      </c>
      <c r="N82" s="909">
        <f t="shared" si="18"/>
        <v>0</v>
      </c>
      <c r="O82" s="909">
        <f t="shared" si="19"/>
        <v>0</v>
      </c>
      <c r="P82" s="909">
        <f t="shared" si="20"/>
        <v>0</v>
      </c>
      <c r="Q82" s="910">
        <f t="shared" si="21"/>
        <v>0</v>
      </c>
      <c r="R82" s="909">
        <f t="shared" si="22"/>
        <v>191994.74294211459</v>
      </c>
      <c r="S82" s="909">
        <f t="shared" si="23"/>
        <v>5592.0798915179384</v>
      </c>
      <c r="T82" s="909">
        <f t="shared" si="24"/>
        <v>186402.66305059666</v>
      </c>
      <c r="U82" s="909">
        <f t="shared" si="25"/>
        <v>1.280568540096283E-9</v>
      </c>
      <c r="V82" s="909">
        <f t="shared" si="26"/>
        <v>8640</v>
      </c>
      <c r="W82" s="909">
        <f t="shared" si="27"/>
        <v>7154.8027680000014</v>
      </c>
      <c r="X82" s="909">
        <f t="shared" si="28"/>
        <v>207789.54571011459</v>
      </c>
      <c r="Y82" s="909">
        <f t="shared" si="29"/>
        <v>0</v>
      </c>
      <c r="Z82" s="910">
        <f t="shared" si="30"/>
        <v>0</v>
      </c>
      <c r="AA82" s="909">
        <f t="shared" si="31"/>
        <v>0</v>
      </c>
      <c r="AB82" s="910">
        <f t="shared" si="32"/>
        <v>0</v>
      </c>
      <c r="AC82" s="911">
        <f t="shared" si="33"/>
        <v>130254.64171011459</v>
      </c>
      <c r="AD82" s="911">
        <f t="shared" si="34"/>
        <v>4172095.2143177558</v>
      </c>
      <c r="AE82" s="909">
        <f t="shared" si="35"/>
        <v>0</v>
      </c>
      <c r="AF82" s="912">
        <f t="shared" si="2"/>
        <v>0</v>
      </c>
      <c r="AG82" s="909">
        <f t="shared" si="36"/>
        <v>77534.903999999995</v>
      </c>
      <c r="AH82" s="917">
        <f t="shared" si="37"/>
        <v>207789.54571011459</v>
      </c>
      <c r="AI82" s="909">
        <f t="shared" si="38"/>
        <v>-207789.54571011459</v>
      </c>
      <c r="AJ82" s="916">
        <f t="shared" si="39"/>
        <v>-130254.64171011459</v>
      </c>
      <c r="AK82" s="916">
        <f t="shared" si="40"/>
        <v>-77534.903999999995</v>
      </c>
      <c r="AL82" s="909">
        <f t="shared" si="41"/>
        <v>0</v>
      </c>
      <c r="AM82" s="918">
        <f t="shared" si="42"/>
        <v>207789.54571011459</v>
      </c>
      <c r="AN82" s="915">
        <f t="shared" si="3"/>
        <v>25</v>
      </c>
      <c r="AO82" s="653">
        <f t="shared" si="43"/>
        <v>77534.903999999995</v>
      </c>
      <c r="AP82" s="916">
        <f t="shared" si="44"/>
        <v>0</v>
      </c>
      <c r="AQ82" s="916">
        <f t="shared" si="45"/>
        <v>0</v>
      </c>
      <c r="AR82" s="653"/>
      <c r="AS82" s="653">
        <v>25</v>
      </c>
      <c r="AT82" s="909">
        <f t="shared" si="4"/>
        <v>0</v>
      </c>
      <c r="AU82" s="909">
        <f t="shared" si="5"/>
        <v>-91697.75849811465</v>
      </c>
      <c r="AV82" s="909">
        <f t="shared" si="6"/>
        <v>-7543.6857673862778</v>
      </c>
      <c r="AW82" s="909">
        <f t="shared" si="7"/>
        <v>0</v>
      </c>
      <c r="AX82" s="909">
        <f t="shared" si="8"/>
        <v>62210.342302932797</v>
      </c>
      <c r="AY82" s="909">
        <f t="shared" si="9"/>
        <v>37031.101962568129</v>
      </c>
      <c r="AZ82" s="909">
        <f t="shared" si="10"/>
        <v>-37031.101962568137</v>
      </c>
      <c r="BA82" s="653"/>
      <c r="BB82" s="653">
        <f t="shared" si="46"/>
        <v>25</v>
      </c>
      <c r="BC82" s="909">
        <f t="shared" si="47"/>
        <v>0</v>
      </c>
      <c r="BD82" s="909">
        <f t="shared" si="48"/>
        <v>-3343232.8147999998</v>
      </c>
      <c r="BE82" s="909">
        <f t="shared" si="49"/>
        <v>-275037.23335379094</v>
      </c>
      <c r="BF82" s="909">
        <f t="shared" si="50"/>
        <v>0</v>
      </c>
      <c r="BG82" s="909">
        <f t="shared" si="51"/>
        <v>2268143.3135727276</v>
      </c>
      <c r="BH82" s="909">
        <f t="shared" si="52"/>
        <v>1350127.734581063</v>
      </c>
      <c r="BI82" s="909">
        <f t="shared" si="53"/>
        <v>-1350126.734581063</v>
      </c>
      <c r="BJ82" s="909"/>
      <c r="BK82" s="653">
        <v>25</v>
      </c>
      <c r="BL82" s="909">
        <f t="shared" si="11"/>
        <v>0</v>
      </c>
      <c r="BM82" s="909">
        <f t="shared" si="12"/>
        <v>-191994.74294211459</v>
      </c>
      <c r="BN82" s="909">
        <f t="shared" si="13"/>
        <v>-15794.802768000001</v>
      </c>
      <c r="BO82" s="909">
        <f t="shared" si="14"/>
        <v>0</v>
      </c>
      <c r="BP82" s="909">
        <f t="shared" si="15"/>
        <v>130254.64171011459</v>
      </c>
      <c r="BQ82" s="909">
        <f t="shared" si="16"/>
        <v>77534.903999999995</v>
      </c>
      <c r="BR82" s="909">
        <f t="shared" si="17"/>
        <v>-77534.903999999995</v>
      </c>
      <c r="BS82" s="653"/>
      <c r="BT82" s="653"/>
      <c r="BU82" s="653"/>
      <c r="BV82" s="654"/>
    </row>
    <row r="83" spans="2:74" x14ac:dyDescent="0.25">
      <c r="B83" s="651"/>
      <c r="C83" s="653"/>
      <c r="D83" s="653"/>
      <c r="E83" s="653"/>
      <c r="F83" s="653"/>
      <c r="G83" s="653"/>
      <c r="H83" s="653"/>
      <c r="I83" s="653"/>
      <c r="J83" s="653"/>
      <c r="K83" s="653"/>
      <c r="L83" s="653"/>
      <c r="M83" s="651">
        <v>26</v>
      </c>
      <c r="N83" s="909">
        <f t="shared" si="18"/>
        <v>0</v>
      </c>
      <c r="O83" s="909">
        <f t="shared" si="19"/>
        <v>0</v>
      </c>
      <c r="P83" s="909">
        <f t="shared" si="20"/>
        <v>0</v>
      </c>
      <c r="Q83" s="910">
        <f t="shared" si="21"/>
        <v>0</v>
      </c>
      <c r="R83" s="909">
        <f t="shared" si="22"/>
        <v>0</v>
      </c>
      <c r="S83" s="909">
        <f t="shared" si="23"/>
        <v>3.8417056202888484E-11</v>
      </c>
      <c r="T83" s="909">
        <f t="shared" si="24"/>
        <v>-3.8417056202888484E-11</v>
      </c>
      <c r="U83" s="909">
        <f t="shared" si="25"/>
        <v>1.3189855962991715E-9</v>
      </c>
      <c r="V83" s="909">
        <f t="shared" si="26"/>
        <v>8640</v>
      </c>
      <c r="W83" s="909">
        <f t="shared" si="27"/>
        <v>7154.8027680000014</v>
      </c>
      <c r="X83" s="909">
        <f t="shared" si="28"/>
        <v>15794.802768000001</v>
      </c>
      <c r="Y83" s="909">
        <f t="shared" si="29"/>
        <v>0</v>
      </c>
      <c r="Z83" s="910">
        <f t="shared" si="30"/>
        <v>0</v>
      </c>
      <c r="AA83" s="909">
        <f t="shared" si="31"/>
        <v>0</v>
      </c>
      <c r="AB83" s="910">
        <f t="shared" si="32"/>
        <v>0</v>
      </c>
      <c r="AC83" s="911">
        <f t="shared" si="33"/>
        <v>-61740.101231999994</v>
      </c>
      <c r="AD83" s="911">
        <f t="shared" si="34"/>
        <v>4193797.0173721104</v>
      </c>
      <c r="AE83" s="909">
        <f t="shared" si="35"/>
        <v>0</v>
      </c>
      <c r="AF83" s="912">
        <f t="shared" si="2"/>
        <v>0</v>
      </c>
      <c r="AG83" s="909">
        <f t="shared" si="36"/>
        <v>77534.903999999995</v>
      </c>
      <c r="AH83" s="917">
        <f t="shared" si="37"/>
        <v>15794.802768000001</v>
      </c>
      <c r="AI83" s="909">
        <f t="shared" si="38"/>
        <v>-15794.802768000001</v>
      </c>
      <c r="AJ83" s="916">
        <f t="shared" si="39"/>
        <v>61740.101231999994</v>
      </c>
      <c r="AK83" s="916">
        <f t="shared" si="40"/>
        <v>-77534.903999999995</v>
      </c>
      <c r="AL83" s="909">
        <f t="shared" si="41"/>
        <v>0</v>
      </c>
      <c r="AM83" s="918">
        <f t="shared" si="42"/>
        <v>15794.802768000001</v>
      </c>
      <c r="AN83" s="915">
        <f t="shared" si="3"/>
        <v>26</v>
      </c>
      <c r="AO83" s="653">
        <f t="shared" si="43"/>
        <v>77534.903999999995</v>
      </c>
      <c r="AP83" s="916">
        <f t="shared" si="44"/>
        <v>0</v>
      </c>
      <c r="AQ83" s="916">
        <f t="shared" si="45"/>
        <v>0</v>
      </c>
      <c r="AR83" s="653"/>
      <c r="AS83" s="653">
        <v>26</v>
      </c>
      <c r="AT83" s="909">
        <f t="shared" si="4"/>
        <v>0</v>
      </c>
      <c r="AU83" s="909">
        <f t="shared" si="5"/>
        <v>0</v>
      </c>
      <c r="AV83" s="909">
        <f t="shared" si="6"/>
        <v>-7323.9667644526971</v>
      </c>
      <c r="AW83" s="909">
        <f t="shared" si="7"/>
        <v>0</v>
      </c>
      <c r="AX83" s="909">
        <f t="shared" si="8"/>
        <v>-28628.559412797913</v>
      </c>
      <c r="AY83" s="909">
        <f t="shared" si="9"/>
        <v>35952.526177250606</v>
      </c>
      <c r="AZ83" s="909">
        <f t="shared" si="10"/>
        <v>-35952.526177250613</v>
      </c>
      <c r="BA83" s="653"/>
      <c r="BB83" s="653">
        <f t="shared" si="46"/>
        <v>26</v>
      </c>
      <c r="BC83" s="909">
        <f t="shared" si="47"/>
        <v>0</v>
      </c>
      <c r="BD83" s="909">
        <f t="shared" si="48"/>
        <v>-3343232.8147999998</v>
      </c>
      <c r="BE83" s="909">
        <f t="shared" si="49"/>
        <v>-282361.20011824364</v>
      </c>
      <c r="BF83" s="909">
        <f t="shared" si="50"/>
        <v>0</v>
      </c>
      <c r="BG83" s="909">
        <f t="shared" si="51"/>
        <v>2239514.7541599297</v>
      </c>
      <c r="BH83" s="909">
        <f t="shared" si="52"/>
        <v>1386080.2607583136</v>
      </c>
      <c r="BI83" s="909">
        <f t="shared" si="53"/>
        <v>-1386079.2607583136</v>
      </c>
      <c r="BJ83" s="909"/>
      <c r="BK83" s="653">
        <v>26</v>
      </c>
      <c r="BL83" s="909">
        <f t="shared" si="11"/>
        <v>0</v>
      </c>
      <c r="BM83" s="909">
        <f t="shared" si="12"/>
        <v>0</v>
      </c>
      <c r="BN83" s="909">
        <f t="shared" si="13"/>
        <v>-15794.802768000001</v>
      </c>
      <c r="BO83" s="909">
        <f t="shared" si="14"/>
        <v>0</v>
      </c>
      <c r="BP83" s="909">
        <f t="shared" si="15"/>
        <v>-61740.101231999994</v>
      </c>
      <c r="BQ83" s="909">
        <f t="shared" si="16"/>
        <v>77534.903999999995</v>
      </c>
      <c r="BR83" s="909">
        <f t="shared" si="17"/>
        <v>-77534.903999999995</v>
      </c>
      <c r="BS83" s="653"/>
      <c r="BT83" s="653"/>
      <c r="BU83" s="653"/>
      <c r="BV83" s="654"/>
    </row>
    <row r="84" spans="2:74" x14ac:dyDescent="0.25">
      <c r="B84" s="651"/>
      <c r="C84" s="653"/>
      <c r="D84" s="653"/>
      <c r="E84" s="653"/>
      <c r="F84" s="653"/>
      <c r="G84" s="653"/>
      <c r="H84" s="653"/>
      <c r="I84" s="653"/>
      <c r="J84" s="653"/>
      <c r="K84" s="653"/>
      <c r="L84" s="653"/>
      <c r="M84" s="651">
        <v>27</v>
      </c>
      <c r="N84" s="909">
        <f t="shared" si="18"/>
        <v>0</v>
      </c>
      <c r="O84" s="909">
        <f t="shared" si="19"/>
        <v>0</v>
      </c>
      <c r="P84" s="909">
        <f t="shared" si="20"/>
        <v>0</v>
      </c>
      <c r="Q84" s="910">
        <f t="shared" si="21"/>
        <v>0</v>
      </c>
      <c r="R84" s="909">
        <f t="shared" si="22"/>
        <v>0</v>
      </c>
      <c r="S84" s="909">
        <f t="shared" si="23"/>
        <v>3.9569567888975141E-11</v>
      </c>
      <c r="T84" s="909">
        <f t="shared" si="24"/>
        <v>-3.9569567888975141E-11</v>
      </c>
      <c r="U84" s="909">
        <f t="shared" si="25"/>
        <v>1.3585551641881466E-9</v>
      </c>
      <c r="V84" s="909">
        <f t="shared" si="26"/>
        <v>8640</v>
      </c>
      <c r="W84" s="909">
        <f t="shared" si="27"/>
        <v>7154.8027680000014</v>
      </c>
      <c r="X84" s="909">
        <f t="shared" si="28"/>
        <v>15794.802768000001</v>
      </c>
      <c r="Y84" s="909">
        <f t="shared" si="29"/>
        <v>0</v>
      </c>
      <c r="Z84" s="910">
        <f t="shared" si="30"/>
        <v>0</v>
      </c>
      <c r="AA84" s="909">
        <f t="shared" si="31"/>
        <v>0</v>
      </c>
      <c r="AB84" s="910">
        <f t="shared" si="32"/>
        <v>0</v>
      </c>
      <c r="AC84" s="911">
        <f t="shared" si="33"/>
        <v>-61740.101231999994</v>
      </c>
      <c r="AD84" s="911">
        <f t="shared" si="34"/>
        <v>4215932.8564875526</v>
      </c>
      <c r="AE84" s="909">
        <f t="shared" si="35"/>
        <v>0</v>
      </c>
      <c r="AF84" s="912">
        <f t="shared" si="2"/>
        <v>0</v>
      </c>
      <c r="AG84" s="909">
        <f t="shared" si="36"/>
        <v>77534.903999999995</v>
      </c>
      <c r="AH84" s="917">
        <f t="shared" si="37"/>
        <v>15794.802768000001</v>
      </c>
      <c r="AI84" s="909">
        <f t="shared" si="38"/>
        <v>-15794.802768000001</v>
      </c>
      <c r="AJ84" s="916">
        <f t="shared" si="39"/>
        <v>61740.101231999994</v>
      </c>
      <c r="AK84" s="916">
        <f t="shared" si="40"/>
        <v>-77534.903999999995</v>
      </c>
      <c r="AL84" s="909">
        <f t="shared" si="41"/>
        <v>0</v>
      </c>
      <c r="AM84" s="918">
        <f t="shared" si="42"/>
        <v>15794.802768000001</v>
      </c>
      <c r="AN84" s="915">
        <f t="shared" si="3"/>
        <v>27</v>
      </c>
      <c r="AO84" s="653">
        <f t="shared" si="43"/>
        <v>77534.903999999995</v>
      </c>
      <c r="AP84" s="916">
        <f t="shared" si="44"/>
        <v>0</v>
      </c>
      <c r="AQ84" s="916">
        <f t="shared" si="45"/>
        <v>0</v>
      </c>
      <c r="AR84" s="653"/>
      <c r="AS84" s="653">
        <v>27</v>
      </c>
      <c r="AT84" s="909">
        <f t="shared" si="4"/>
        <v>0</v>
      </c>
      <c r="AU84" s="909">
        <f t="shared" si="5"/>
        <v>0</v>
      </c>
      <c r="AV84" s="909">
        <f t="shared" si="6"/>
        <v>-7110.6473441288326</v>
      </c>
      <c r="AW84" s="909">
        <f t="shared" si="7"/>
        <v>0</v>
      </c>
      <c r="AX84" s="909">
        <f t="shared" si="8"/>
        <v>-27794.717876502829</v>
      </c>
      <c r="AY84" s="909">
        <f t="shared" si="9"/>
        <v>34905.365220631662</v>
      </c>
      <c r="AZ84" s="909">
        <f t="shared" si="10"/>
        <v>-34905.365220631662</v>
      </c>
      <c r="BA84" s="653"/>
      <c r="BB84" s="653">
        <f t="shared" si="46"/>
        <v>27</v>
      </c>
      <c r="BC84" s="909">
        <f t="shared" si="47"/>
        <v>0</v>
      </c>
      <c r="BD84" s="909">
        <f t="shared" si="48"/>
        <v>-3343232.8147999998</v>
      </c>
      <c r="BE84" s="909">
        <f t="shared" si="49"/>
        <v>-289471.84746237245</v>
      </c>
      <c r="BF84" s="909">
        <f t="shared" si="50"/>
        <v>0</v>
      </c>
      <c r="BG84" s="909">
        <f t="shared" si="51"/>
        <v>2211720.0362834269</v>
      </c>
      <c r="BH84" s="909">
        <f t="shared" si="52"/>
        <v>1420985.6259789453</v>
      </c>
      <c r="BI84" s="909">
        <f t="shared" si="53"/>
        <v>-1420984.6259789453</v>
      </c>
      <c r="BJ84" s="909"/>
      <c r="BK84" s="653">
        <v>27</v>
      </c>
      <c r="BL84" s="909">
        <f t="shared" si="11"/>
        <v>0</v>
      </c>
      <c r="BM84" s="909">
        <f t="shared" si="12"/>
        <v>0</v>
      </c>
      <c r="BN84" s="909">
        <f t="shared" si="13"/>
        <v>-15794.802768000001</v>
      </c>
      <c r="BO84" s="909">
        <f t="shared" si="14"/>
        <v>0</v>
      </c>
      <c r="BP84" s="909">
        <f t="shared" si="15"/>
        <v>-61740.101231999994</v>
      </c>
      <c r="BQ84" s="909">
        <f t="shared" si="16"/>
        <v>77534.903999999995</v>
      </c>
      <c r="BR84" s="909">
        <f t="shared" si="17"/>
        <v>-77534.903999999995</v>
      </c>
      <c r="BS84" s="653"/>
      <c r="BT84" s="653"/>
      <c r="BU84" s="653"/>
      <c r="BV84" s="654"/>
    </row>
    <row r="85" spans="2:74" x14ac:dyDescent="0.25">
      <c r="B85" s="651"/>
      <c r="C85" s="653"/>
      <c r="D85" s="653"/>
      <c r="E85" s="653"/>
      <c r="F85" s="653"/>
      <c r="G85" s="653"/>
      <c r="H85" s="653"/>
      <c r="I85" s="653"/>
      <c r="J85" s="653"/>
      <c r="K85" s="653"/>
      <c r="L85" s="653"/>
      <c r="M85" s="651">
        <v>28</v>
      </c>
      <c r="N85" s="909">
        <f t="shared" si="18"/>
        <v>0</v>
      </c>
      <c r="O85" s="909">
        <f t="shared" si="19"/>
        <v>0</v>
      </c>
      <c r="P85" s="909">
        <f t="shared" si="20"/>
        <v>0</v>
      </c>
      <c r="Q85" s="910">
        <f t="shared" si="21"/>
        <v>0</v>
      </c>
      <c r="R85" s="909">
        <f t="shared" si="22"/>
        <v>0</v>
      </c>
      <c r="S85" s="909">
        <f t="shared" si="23"/>
        <v>4.0756654925644397E-11</v>
      </c>
      <c r="T85" s="909">
        <f t="shared" si="24"/>
        <v>-4.0756654925644397E-11</v>
      </c>
      <c r="U85" s="909">
        <f t="shared" si="25"/>
        <v>1.399311819113791E-9</v>
      </c>
      <c r="V85" s="909">
        <f t="shared" si="26"/>
        <v>8640</v>
      </c>
      <c r="W85" s="909">
        <f t="shared" si="27"/>
        <v>7154.8027680000014</v>
      </c>
      <c r="X85" s="909">
        <f t="shared" si="28"/>
        <v>15794.802768000001</v>
      </c>
      <c r="Y85" s="909">
        <f t="shared" si="29"/>
        <v>0</v>
      </c>
      <c r="Z85" s="910">
        <f t="shared" si="30"/>
        <v>0</v>
      </c>
      <c r="AA85" s="909">
        <f t="shared" si="31"/>
        <v>0</v>
      </c>
      <c r="AB85" s="910">
        <f t="shared" si="32"/>
        <v>0</v>
      </c>
      <c r="AC85" s="911">
        <f t="shared" si="33"/>
        <v>-61740.101231999994</v>
      </c>
      <c r="AD85" s="911">
        <f t="shared" si="34"/>
        <v>4238511.4123853045</v>
      </c>
      <c r="AE85" s="909">
        <f t="shared" si="35"/>
        <v>0</v>
      </c>
      <c r="AF85" s="912">
        <f t="shared" si="2"/>
        <v>0</v>
      </c>
      <c r="AG85" s="909">
        <f t="shared" si="36"/>
        <v>77534.903999999995</v>
      </c>
      <c r="AH85" s="917">
        <f t="shared" si="37"/>
        <v>15794.802768000001</v>
      </c>
      <c r="AI85" s="909">
        <f t="shared" si="38"/>
        <v>-15794.802768000001</v>
      </c>
      <c r="AJ85" s="916">
        <f t="shared" si="39"/>
        <v>61740.101231999994</v>
      </c>
      <c r="AK85" s="916">
        <f t="shared" si="40"/>
        <v>-77534.903999999995</v>
      </c>
      <c r="AL85" s="909">
        <f t="shared" si="41"/>
        <v>0</v>
      </c>
      <c r="AM85" s="918">
        <f t="shared" si="42"/>
        <v>15794.802768000001</v>
      </c>
      <c r="AN85" s="915">
        <f t="shared" si="3"/>
        <v>28</v>
      </c>
      <c r="AO85" s="653">
        <f t="shared" si="43"/>
        <v>77534.903999999995</v>
      </c>
      <c r="AP85" s="916">
        <f t="shared" si="44"/>
        <v>0</v>
      </c>
      <c r="AQ85" s="916">
        <f t="shared" si="45"/>
        <v>0</v>
      </c>
      <c r="AR85" s="653"/>
      <c r="AS85" s="653">
        <v>28</v>
      </c>
      <c r="AT85" s="909">
        <f t="shared" si="4"/>
        <v>0</v>
      </c>
      <c r="AU85" s="909">
        <f t="shared" si="5"/>
        <v>0</v>
      </c>
      <c r="AV85" s="909">
        <f t="shared" si="6"/>
        <v>-6903.5411108046919</v>
      </c>
      <c r="AW85" s="909">
        <f t="shared" si="7"/>
        <v>0</v>
      </c>
      <c r="AX85" s="909">
        <f t="shared" si="8"/>
        <v>-26985.16298689595</v>
      </c>
      <c r="AY85" s="909">
        <f t="shared" si="9"/>
        <v>33888.70409770064</v>
      </c>
      <c r="AZ85" s="909">
        <f t="shared" si="10"/>
        <v>-33888.70409770064</v>
      </c>
      <c r="BA85" s="653"/>
      <c r="BB85" s="653">
        <f t="shared" si="46"/>
        <v>28</v>
      </c>
      <c r="BC85" s="909">
        <f t="shared" si="47"/>
        <v>0</v>
      </c>
      <c r="BD85" s="909">
        <f t="shared" si="48"/>
        <v>-3343232.8147999998</v>
      </c>
      <c r="BE85" s="909">
        <f t="shared" si="49"/>
        <v>-296375.38857317716</v>
      </c>
      <c r="BF85" s="909">
        <f t="shared" si="50"/>
        <v>0</v>
      </c>
      <c r="BG85" s="909">
        <f t="shared" si="51"/>
        <v>2184734.8732965309</v>
      </c>
      <c r="BH85" s="909">
        <f t="shared" si="52"/>
        <v>1454874.3300766458</v>
      </c>
      <c r="BI85" s="909">
        <f t="shared" si="53"/>
        <v>-1454873.3300766458</v>
      </c>
      <c r="BJ85" s="909"/>
      <c r="BK85" s="653">
        <v>28</v>
      </c>
      <c r="BL85" s="909">
        <f t="shared" si="11"/>
        <v>0</v>
      </c>
      <c r="BM85" s="909">
        <f t="shared" si="12"/>
        <v>0</v>
      </c>
      <c r="BN85" s="909">
        <f t="shared" si="13"/>
        <v>-15794.802768000001</v>
      </c>
      <c r="BO85" s="909">
        <f t="shared" si="14"/>
        <v>0</v>
      </c>
      <c r="BP85" s="909">
        <f t="shared" si="15"/>
        <v>-61740.101231999994</v>
      </c>
      <c r="BQ85" s="909">
        <f t="shared" si="16"/>
        <v>77534.903999999995</v>
      </c>
      <c r="BR85" s="909">
        <f t="shared" si="17"/>
        <v>-77534.903999999995</v>
      </c>
      <c r="BS85" s="653"/>
      <c r="BT85" s="653"/>
      <c r="BU85" s="653"/>
      <c r="BV85" s="654"/>
    </row>
    <row r="86" spans="2:74" x14ac:dyDescent="0.25">
      <c r="B86" s="651"/>
      <c r="C86" s="653"/>
      <c r="D86" s="653"/>
      <c r="E86" s="653"/>
      <c r="F86" s="653"/>
      <c r="G86" s="653"/>
      <c r="H86" s="653"/>
      <c r="I86" s="653"/>
      <c r="J86" s="653"/>
      <c r="K86" s="653"/>
      <c r="L86" s="653"/>
      <c r="M86" s="651">
        <v>29</v>
      </c>
      <c r="N86" s="909">
        <f t="shared" si="18"/>
        <v>0</v>
      </c>
      <c r="O86" s="909">
        <f t="shared" si="19"/>
        <v>0</v>
      </c>
      <c r="P86" s="909">
        <f t="shared" si="20"/>
        <v>0</v>
      </c>
      <c r="Q86" s="910">
        <f t="shared" si="21"/>
        <v>0</v>
      </c>
      <c r="R86" s="909">
        <f t="shared" si="22"/>
        <v>0</v>
      </c>
      <c r="S86" s="909">
        <f t="shared" si="23"/>
        <v>4.1979354573413726E-11</v>
      </c>
      <c r="T86" s="909">
        <f t="shared" si="24"/>
        <v>-4.1979354573413726E-11</v>
      </c>
      <c r="U86" s="909">
        <f t="shared" si="25"/>
        <v>1.4412911736872047E-9</v>
      </c>
      <c r="V86" s="909">
        <f t="shared" si="26"/>
        <v>8640</v>
      </c>
      <c r="W86" s="909">
        <f t="shared" si="27"/>
        <v>7154.8027680000014</v>
      </c>
      <c r="X86" s="909">
        <f t="shared" si="28"/>
        <v>15794.802768000001</v>
      </c>
      <c r="Y86" s="909">
        <f t="shared" si="29"/>
        <v>0</v>
      </c>
      <c r="Z86" s="910">
        <f t="shared" si="30"/>
        <v>0</v>
      </c>
      <c r="AA86" s="909">
        <f t="shared" si="31"/>
        <v>0</v>
      </c>
      <c r="AB86" s="910">
        <f t="shared" si="32"/>
        <v>0</v>
      </c>
      <c r="AC86" s="911">
        <f t="shared" si="33"/>
        <v>-61740.101231999994</v>
      </c>
      <c r="AD86" s="911">
        <f t="shared" si="34"/>
        <v>4261541.5394010106</v>
      </c>
      <c r="AE86" s="909">
        <f t="shared" si="35"/>
        <v>0</v>
      </c>
      <c r="AF86" s="912">
        <f t="shared" si="2"/>
        <v>0</v>
      </c>
      <c r="AG86" s="909">
        <f t="shared" si="36"/>
        <v>77534.903999999995</v>
      </c>
      <c r="AH86" s="917">
        <f t="shared" si="37"/>
        <v>15794.802768000001</v>
      </c>
      <c r="AI86" s="909">
        <f t="shared" si="38"/>
        <v>-15794.802768000001</v>
      </c>
      <c r="AJ86" s="916">
        <f t="shared" si="39"/>
        <v>61740.101231999994</v>
      </c>
      <c r="AK86" s="916">
        <f t="shared" si="40"/>
        <v>-77534.903999999995</v>
      </c>
      <c r="AL86" s="909">
        <f t="shared" si="41"/>
        <v>0</v>
      </c>
      <c r="AM86" s="918">
        <f t="shared" si="42"/>
        <v>15794.802768000001</v>
      </c>
      <c r="AN86" s="915">
        <f t="shared" si="3"/>
        <v>29</v>
      </c>
      <c r="AO86" s="653">
        <f t="shared" si="43"/>
        <v>77534.903999999995</v>
      </c>
      <c r="AP86" s="916">
        <f t="shared" si="44"/>
        <v>0</v>
      </c>
      <c r="AQ86" s="916">
        <f t="shared" si="45"/>
        <v>0</v>
      </c>
      <c r="AR86" s="653"/>
      <c r="AS86" s="653">
        <v>29</v>
      </c>
      <c r="AT86" s="909">
        <f t="shared" si="4"/>
        <v>0</v>
      </c>
      <c r="AU86" s="909">
        <f t="shared" si="5"/>
        <v>0</v>
      </c>
      <c r="AV86" s="909">
        <f t="shared" si="6"/>
        <v>-6702.4670978686336</v>
      </c>
      <c r="AW86" s="909">
        <f t="shared" si="7"/>
        <v>0</v>
      </c>
      <c r="AX86" s="909">
        <f t="shared" si="8"/>
        <v>-26199.187365918402</v>
      </c>
      <c r="AY86" s="909">
        <f t="shared" si="9"/>
        <v>32901.654463787032</v>
      </c>
      <c r="AZ86" s="909">
        <f t="shared" si="10"/>
        <v>-32901.654463787039</v>
      </c>
      <c r="BA86" s="653"/>
      <c r="BB86" s="653">
        <f t="shared" si="46"/>
        <v>29</v>
      </c>
      <c r="BC86" s="909">
        <f t="shared" si="47"/>
        <v>0</v>
      </c>
      <c r="BD86" s="909">
        <f t="shared" si="48"/>
        <v>-3343232.8147999998</v>
      </c>
      <c r="BE86" s="909">
        <f t="shared" si="49"/>
        <v>-303077.85567104578</v>
      </c>
      <c r="BF86" s="909">
        <f t="shared" si="50"/>
        <v>0</v>
      </c>
      <c r="BG86" s="909">
        <f t="shared" si="51"/>
        <v>2158535.6859306125</v>
      </c>
      <c r="BH86" s="909">
        <f t="shared" si="52"/>
        <v>1487775.9845404329</v>
      </c>
      <c r="BI86" s="909">
        <f t="shared" si="53"/>
        <v>-1487774.9845404329</v>
      </c>
      <c r="BJ86" s="909"/>
      <c r="BK86" s="653">
        <v>29</v>
      </c>
      <c r="BL86" s="909">
        <f t="shared" si="11"/>
        <v>0</v>
      </c>
      <c r="BM86" s="909">
        <f t="shared" si="12"/>
        <v>0</v>
      </c>
      <c r="BN86" s="909">
        <f t="shared" si="13"/>
        <v>-15794.802768000001</v>
      </c>
      <c r="BO86" s="909">
        <f t="shared" si="14"/>
        <v>0</v>
      </c>
      <c r="BP86" s="909">
        <f t="shared" si="15"/>
        <v>-61740.101231999994</v>
      </c>
      <c r="BQ86" s="909">
        <f t="shared" si="16"/>
        <v>77534.903999999995</v>
      </c>
      <c r="BR86" s="909">
        <f t="shared" si="17"/>
        <v>-77534.903999999995</v>
      </c>
      <c r="BS86" s="653"/>
      <c r="BT86" s="653"/>
      <c r="BU86" s="653"/>
      <c r="BV86" s="654"/>
    </row>
    <row r="87" spans="2:74" x14ac:dyDescent="0.25">
      <c r="B87" s="651"/>
      <c r="C87" s="653"/>
      <c r="D87" s="653"/>
      <c r="E87" s="653"/>
      <c r="F87" s="653"/>
      <c r="G87" s="653"/>
      <c r="H87" s="653"/>
      <c r="I87" s="653"/>
      <c r="J87" s="653"/>
      <c r="K87" s="653"/>
      <c r="L87" s="653"/>
      <c r="M87" s="651">
        <v>30</v>
      </c>
      <c r="N87" s="909">
        <f t="shared" si="18"/>
        <v>0</v>
      </c>
      <c r="O87" s="909">
        <f t="shared" si="19"/>
        <v>0</v>
      </c>
      <c r="P87" s="909">
        <f t="shared" si="20"/>
        <v>0</v>
      </c>
      <c r="Q87" s="910">
        <f t="shared" si="21"/>
        <v>0</v>
      </c>
      <c r="R87" s="909">
        <f t="shared" si="22"/>
        <v>0</v>
      </c>
      <c r="S87" s="909">
        <f t="shared" si="23"/>
        <v>4.3238735210616137E-11</v>
      </c>
      <c r="T87" s="909">
        <f t="shared" si="24"/>
        <v>-4.3238735210616137E-11</v>
      </c>
      <c r="U87" s="909">
        <f t="shared" si="25"/>
        <v>1.4845299088978208E-9</v>
      </c>
      <c r="V87" s="909">
        <f t="shared" si="26"/>
        <v>8640</v>
      </c>
      <c r="W87" s="909">
        <f t="shared" si="27"/>
        <v>7154.8027680000014</v>
      </c>
      <c r="X87" s="909">
        <f t="shared" si="28"/>
        <v>15794.802768000001</v>
      </c>
      <c r="Y87" s="909">
        <f t="shared" si="29"/>
        <v>0</v>
      </c>
      <c r="Z87" s="910">
        <f t="shared" si="30"/>
        <v>0</v>
      </c>
      <c r="AA87" s="909">
        <f t="shared" si="31"/>
        <v>0</v>
      </c>
      <c r="AB87" s="910">
        <f t="shared" si="32"/>
        <v>0</v>
      </c>
      <c r="AC87" s="911">
        <f t="shared" si="33"/>
        <v>-61740.101231999994</v>
      </c>
      <c r="AD87" s="911">
        <f t="shared" si="34"/>
        <v>4285032.268957031</v>
      </c>
      <c r="AE87" s="909">
        <f t="shared" si="35"/>
        <v>0</v>
      </c>
      <c r="AF87" s="912">
        <f t="shared" si="2"/>
        <v>0</v>
      </c>
      <c r="AG87" s="909">
        <f t="shared" si="36"/>
        <v>77534.903999999995</v>
      </c>
      <c r="AH87" s="917">
        <f t="shared" si="37"/>
        <v>15794.802768000001</v>
      </c>
      <c r="AI87" s="909">
        <f t="shared" si="38"/>
        <v>-15794.802768000001</v>
      </c>
      <c r="AJ87" s="916">
        <f t="shared" si="39"/>
        <v>61740.101231999994</v>
      </c>
      <c r="AK87" s="916">
        <f t="shared" si="40"/>
        <v>-77534.903999999995</v>
      </c>
      <c r="AL87" s="909">
        <f t="shared" si="41"/>
        <v>0</v>
      </c>
      <c r="AM87" s="918">
        <f t="shared" si="42"/>
        <v>15794.802768000001</v>
      </c>
      <c r="AN87" s="915">
        <f t="shared" si="3"/>
        <v>30</v>
      </c>
      <c r="AO87" s="653">
        <f t="shared" si="43"/>
        <v>77534.903999999995</v>
      </c>
      <c r="AP87" s="916">
        <f t="shared" si="44"/>
        <v>0</v>
      </c>
      <c r="AQ87" s="916">
        <f t="shared" si="45"/>
        <v>0</v>
      </c>
      <c r="AR87" s="653"/>
      <c r="AS87" s="653">
        <v>30</v>
      </c>
      <c r="AT87" s="909">
        <f t="shared" si="4"/>
        <v>0</v>
      </c>
      <c r="AU87" s="909">
        <f t="shared" si="5"/>
        <v>0</v>
      </c>
      <c r="AV87" s="909">
        <f t="shared" si="6"/>
        <v>-6507.2496095811975</v>
      </c>
      <c r="AW87" s="909">
        <f t="shared" si="7"/>
        <v>0</v>
      </c>
      <c r="AX87" s="909">
        <f t="shared" si="8"/>
        <v>-25436.104238755728</v>
      </c>
      <c r="AY87" s="909">
        <f t="shared" si="9"/>
        <v>31943.353848336927</v>
      </c>
      <c r="AZ87" s="909">
        <f t="shared" si="10"/>
        <v>-31943.353848336927</v>
      </c>
      <c r="BA87" s="653"/>
      <c r="BB87" s="653">
        <f t="shared" si="46"/>
        <v>30</v>
      </c>
      <c r="BC87" s="909">
        <f t="shared" si="47"/>
        <v>0</v>
      </c>
      <c r="BD87" s="909">
        <f t="shared" si="48"/>
        <v>-3343232.8147999998</v>
      </c>
      <c r="BE87" s="909">
        <f t="shared" si="49"/>
        <v>-309585.10528062697</v>
      </c>
      <c r="BF87" s="909">
        <f t="shared" si="50"/>
        <v>0</v>
      </c>
      <c r="BG87" s="909">
        <f t="shared" si="51"/>
        <v>2133099.581691857</v>
      </c>
      <c r="BH87" s="909">
        <f t="shared" si="52"/>
        <v>1519719.3383887699</v>
      </c>
      <c r="BI87" s="909">
        <f t="shared" si="53"/>
        <v>-1519718.3383887699</v>
      </c>
      <c r="BJ87" s="909"/>
      <c r="BK87" s="653">
        <v>30</v>
      </c>
      <c r="BL87" s="909">
        <f t="shared" si="11"/>
        <v>0</v>
      </c>
      <c r="BM87" s="909">
        <f t="shared" si="12"/>
        <v>0</v>
      </c>
      <c r="BN87" s="909">
        <f t="shared" si="13"/>
        <v>-15794.802768000001</v>
      </c>
      <c r="BO87" s="909">
        <f t="shared" si="14"/>
        <v>0</v>
      </c>
      <c r="BP87" s="909">
        <f t="shared" si="15"/>
        <v>-61740.101231999994</v>
      </c>
      <c r="BQ87" s="909">
        <f t="shared" si="16"/>
        <v>77534.903999999995</v>
      </c>
      <c r="BR87" s="909">
        <f t="shared" si="17"/>
        <v>-77534.903999999995</v>
      </c>
      <c r="BS87" s="653"/>
      <c r="BT87" s="653"/>
      <c r="BU87" s="653"/>
      <c r="BV87" s="654"/>
    </row>
    <row r="88" spans="2:74" x14ac:dyDescent="0.25">
      <c r="B88" s="651"/>
      <c r="C88" s="653"/>
      <c r="D88" s="653"/>
      <c r="E88" s="653"/>
      <c r="F88" s="653"/>
      <c r="G88" s="653"/>
      <c r="H88" s="653"/>
      <c r="I88" s="653"/>
      <c r="J88" s="653"/>
      <c r="K88" s="653"/>
      <c r="L88" s="653"/>
      <c r="M88" s="651">
        <v>31</v>
      </c>
      <c r="N88" s="909">
        <f t="shared" si="18"/>
        <v>0</v>
      </c>
      <c r="O88" s="909">
        <f t="shared" si="19"/>
        <v>0</v>
      </c>
      <c r="P88" s="909">
        <f t="shared" si="20"/>
        <v>0</v>
      </c>
      <c r="Q88" s="910">
        <f t="shared" si="21"/>
        <v>0</v>
      </c>
      <c r="R88" s="909">
        <f t="shared" si="22"/>
        <v>0</v>
      </c>
      <c r="S88" s="909">
        <f t="shared" si="23"/>
        <v>4.453589726693462E-11</v>
      </c>
      <c r="T88" s="909">
        <f t="shared" si="24"/>
        <v>-4.453589726693462E-11</v>
      </c>
      <c r="U88" s="909">
        <f t="shared" si="25"/>
        <v>1.5290658061647553E-9</v>
      </c>
      <c r="V88" s="909">
        <f t="shared" si="26"/>
        <v>8640</v>
      </c>
      <c r="W88" s="909">
        <f t="shared" si="27"/>
        <v>7154.8027680000014</v>
      </c>
      <c r="X88" s="909">
        <f t="shared" si="28"/>
        <v>15794.802768000001</v>
      </c>
      <c r="Y88" s="909">
        <f t="shared" si="29"/>
        <v>0</v>
      </c>
      <c r="Z88" s="910">
        <f t="shared" si="30"/>
        <v>0</v>
      </c>
      <c r="AA88" s="909">
        <f t="shared" si="31"/>
        <v>0</v>
      </c>
      <c r="AB88" s="910">
        <f t="shared" si="32"/>
        <v>0</v>
      </c>
      <c r="AC88" s="911">
        <f t="shared" si="33"/>
        <v>-61740.101231999994</v>
      </c>
      <c r="AD88" s="911">
        <f t="shared" si="34"/>
        <v>4308992.8131041722</v>
      </c>
      <c r="AE88" s="909">
        <f t="shared" si="35"/>
        <v>0</v>
      </c>
      <c r="AF88" s="912">
        <f t="shared" si="2"/>
        <v>0</v>
      </c>
      <c r="AG88" s="909">
        <f t="shared" si="36"/>
        <v>77534.903999999995</v>
      </c>
      <c r="AH88" s="917">
        <f t="shared" si="37"/>
        <v>15794.802768000001</v>
      </c>
      <c r="AI88" s="909">
        <f t="shared" si="38"/>
        <v>-15794.802768000001</v>
      </c>
      <c r="AJ88" s="916">
        <f t="shared" si="39"/>
        <v>61740.101231999994</v>
      </c>
      <c r="AK88" s="916">
        <f t="shared" si="40"/>
        <v>-77534.903999999995</v>
      </c>
      <c r="AL88" s="909">
        <f t="shared" si="41"/>
        <v>0</v>
      </c>
      <c r="AM88" s="918">
        <f t="shared" si="42"/>
        <v>15794.802768000001</v>
      </c>
      <c r="AN88" s="915">
        <f t="shared" si="3"/>
        <v>31</v>
      </c>
      <c r="AO88" s="653">
        <f t="shared" si="43"/>
        <v>77534.903999999995</v>
      </c>
      <c r="AP88" s="916">
        <f t="shared" si="44"/>
        <v>0</v>
      </c>
      <c r="AQ88" s="916">
        <f t="shared" si="45"/>
        <v>0</v>
      </c>
      <c r="AR88" s="653"/>
      <c r="AS88" s="653">
        <v>31</v>
      </c>
      <c r="AT88" s="909">
        <f t="shared" si="4"/>
        <v>0</v>
      </c>
      <c r="AU88" s="909">
        <f t="shared" si="5"/>
        <v>0</v>
      </c>
      <c r="AV88" s="909">
        <f t="shared" si="6"/>
        <v>-6317.7180675545596</v>
      </c>
      <c r="AW88" s="909">
        <f t="shared" si="7"/>
        <v>0</v>
      </c>
      <c r="AX88" s="909">
        <f t="shared" si="8"/>
        <v>-24695.246833743422</v>
      </c>
      <c r="AY88" s="909">
        <f t="shared" si="9"/>
        <v>31012.964901297979</v>
      </c>
      <c r="AZ88" s="909">
        <f t="shared" si="10"/>
        <v>-31012.964901297983</v>
      </c>
      <c r="BA88" s="653"/>
      <c r="BB88" s="653">
        <f t="shared" si="46"/>
        <v>31</v>
      </c>
      <c r="BC88" s="909">
        <f t="shared" si="47"/>
        <v>0</v>
      </c>
      <c r="BD88" s="909">
        <f t="shared" si="48"/>
        <v>-3343232.8147999998</v>
      </c>
      <c r="BE88" s="909">
        <f t="shared" si="49"/>
        <v>-315902.82334818156</v>
      </c>
      <c r="BF88" s="909">
        <f t="shared" si="50"/>
        <v>0</v>
      </c>
      <c r="BG88" s="909">
        <f t="shared" si="51"/>
        <v>2108404.3348581134</v>
      </c>
      <c r="BH88" s="909">
        <f t="shared" si="52"/>
        <v>1550732.3032900679</v>
      </c>
      <c r="BI88" s="909">
        <f t="shared" si="53"/>
        <v>-1550731.3032900679</v>
      </c>
      <c r="BJ88" s="909"/>
      <c r="BK88" s="653">
        <v>31</v>
      </c>
      <c r="BL88" s="909">
        <f t="shared" si="11"/>
        <v>0</v>
      </c>
      <c r="BM88" s="909">
        <f t="shared" si="12"/>
        <v>0</v>
      </c>
      <c r="BN88" s="909">
        <f t="shared" si="13"/>
        <v>-15794.802768000001</v>
      </c>
      <c r="BO88" s="909">
        <f t="shared" si="14"/>
        <v>0</v>
      </c>
      <c r="BP88" s="909">
        <f t="shared" si="15"/>
        <v>-61740.101231999994</v>
      </c>
      <c r="BQ88" s="909">
        <f t="shared" si="16"/>
        <v>77534.903999999995</v>
      </c>
      <c r="BR88" s="909">
        <f t="shared" si="17"/>
        <v>-77534.903999999995</v>
      </c>
      <c r="BS88" s="653"/>
      <c r="BT88" s="653"/>
      <c r="BU88" s="653"/>
      <c r="BV88" s="654"/>
    </row>
    <row r="89" spans="2:74" x14ac:dyDescent="0.25">
      <c r="B89" s="651"/>
      <c r="C89" s="653"/>
      <c r="D89" s="653"/>
      <c r="E89" s="653"/>
      <c r="F89" s="653"/>
      <c r="G89" s="653"/>
      <c r="H89" s="653"/>
      <c r="I89" s="653"/>
      <c r="J89" s="653"/>
      <c r="K89" s="653"/>
      <c r="L89" s="653"/>
      <c r="M89" s="651">
        <v>32</v>
      </c>
      <c r="N89" s="909">
        <f t="shared" si="18"/>
        <v>0</v>
      </c>
      <c r="O89" s="909">
        <f t="shared" si="19"/>
        <v>0</v>
      </c>
      <c r="P89" s="909">
        <f t="shared" si="20"/>
        <v>0</v>
      </c>
      <c r="Q89" s="910">
        <f t="shared" si="21"/>
        <v>0</v>
      </c>
      <c r="R89" s="909">
        <f t="shared" si="22"/>
        <v>0</v>
      </c>
      <c r="S89" s="909">
        <f t="shared" si="23"/>
        <v>4.5871974184942658E-11</v>
      </c>
      <c r="T89" s="909">
        <f t="shared" si="24"/>
        <v>-4.5871974184942658E-11</v>
      </c>
      <c r="U89" s="909">
        <f t="shared" si="25"/>
        <v>1.574937780349698E-9</v>
      </c>
      <c r="V89" s="909">
        <f t="shared" si="26"/>
        <v>8640</v>
      </c>
      <c r="W89" s="909">
        <f t="shared" si="27"/>
        <v>7154.8027680000014</v>
      </c>
      <c r="X89" s="909">
        <f t="shared" si="28"/>
        <v>15794.802768000001</v>
      </c>
      <c r="Y89" s="909">
        <f t="shared" si="29"/>
        <v>0</v>
      </c>
      <c r="Z89" s="910">
        <f t="shared" si="30"/>
        <v>0</v>
      </c>
      <c r="AA89" s="909">
        <f t="shared" si="31"/>
        <v>0</v>
      </c>
      <c r="AB89" s="910">
        <f t="shared" si="32"/>
        <v>0</v>
      </c>
      <c r="AC89" s="911">
        <f t="shared" si="33"/>
        <v>-61740.101231999994</v>
      </c>
      <c r="AD89" s="911">
        <f t="shared" si="34"/>
        <v>4333432.5681342557</v>
      </c>
      <c r="AE89" s="909">
        <f t="shared" si="35"/>
        <v>0</v>
      </c>
      <c r="AF89" s="912">
        <f t="shared" ref="AF89:AF107" si="54">AE89/(1+$Q$40)^M89</f>
        <v>0</v>
      </c>
      <c r="AG89" s="909">
        <f t="shared" si="36"/>
        <v>77534.903999999995</v>
      </c>
      <c r="AH89" s="917">
        <f t="shared" si="37"/>
        <v>15794.802768000001</v>
      </c>
      <c r="AI89" s="909">
        <f t="shared" si="38"/>
        <v>-15794.802768000001</v>
      </c>
      <c r="AJ89" s="916">
        <f t="shared" si="39"/>
        <v>61740.101231999994</v>
      </c>
      <c r="AK89" s="916">
        <f t="shared" si="40"/>
        <v>-77534.903999999995</v>
      </c>
      <c r="AL89" s="909">
        <f t="shared" si="41"/>
        <v>0</v>
      </c>
      <c r="AM89" s="918">
        <f t="shared" si="42"/>
        <v>15794.802768000001</v>
      </c>
      <c r="AN89" s="915">
        <f t="shared" ref="AN89:AN107" si="55">M89</f>
        <v>32</v>
      </c>
      <c r="AO89" s="653">
        <f t="shared" si="43"/>
        <v>77534.903999999995</v>
      </c>
      <c r="AP89" s="916">
        <f t="shared" si="44"/>
        <v>0</v>
      </c>
      <c r="AQ89" s="916">
        <f t="shared" si="45"/>
        <v>0</v>
      </c>
      <c r="AR89" s="653"/>
      <c r="AS89" s="653">
        <v>32</v>
      </c>
      <c r="AT89" s="909">
        <f t="shared" ref="AT89:AT107" si="56">-(N89+O89)*(1+$Q$38)^-M89</f>
        <v>0</v>
      </c>
      <c r="AU89" s="909">
        <f t="shared" ref="AU89:AU107" si="57">-R89*(1+$Q$38)^-M89</f>
        <v>0</v>
      </c>
      <c r="AV89" s="909">
        <f t="shared" ref="AV89:AV107" si="58">-(V89+W89)*(1+$Q$38)^-M89</f>
        <v>-6133.7068617034565</v>
      </c>
      <c r="AW89" s="909">
        <f t="shared" ref="AW89:AW107" si="59">-Y89*(1+$Q$38)^-M89</f>
        <v>0</v>
      </c>
      <c r="AX89" s="909">
        <f t="shared" ref="AX89:AX107" si="60">AC89*(1+$Q$38)^-M89</f>
        <v>-23975.967799750899</v>
      </c>
      <c r="AY89" s="909">
        <f t="shared" ref="AY89:AY107" si="61">AG89*(1+$Q$38)^-M89</f>
        <v>30109.674661454355</v>
      </c>
      <c r="AZ89" s="909">
        <f t="shared" ref="AZ89:AZ107" si="62">SUM(AT89:AX89)</f>
        <v>-30109.674661454355</v>
      </c>
      <c r="BA89" s="653"/>
      <c r="BB89" s="653">
        <f t="shared" si="46"/>
        <v>32</v>
      </c>
      <c r="BC89" s="909">
        <f t="shared" si="47"/>
        <v>0</v>
      </c>
      <c r="BD89" s="909">
        <f t="shared" si="48"/>
        <v>-3343232.8147999998</v>
      </c>
      <c r="BE89" s="909">
        <f t="shared" si="49"/>
        <v>-322036.53020988504</v>
      </c>
      <c r="BF89" s="909">
        <f t="shared" si="50"/>
        <v>0</v>
      </c>
      <c r="BG89" s="909">
        <f t="shared" si="51"/>
        <v>2084428.3670583626</v>
      </c>
      <c r="BH89" s="909">
        <f t="shared" si="52"/>
        <v>1580841.9779515222</v>
      </c>
      <c r="BI89" s="909">
        <f t="shared" si="53"/>
        <v>-1580840.9779515222</v>
      </c>
      <c r="BJ89" s="909"/>
      <c r="BK89" s="653">
        <v>32</v>
      </c>
      <c r="BL89" s="909">
        <f t="shared" ref="BL89:BL107" si="63">-(N89+O89)</f>
        <v>0</v>
      </c>
      <c r="BM89" s="909">
        <f t="shared" ref="BM89:BM107" si="64">-R89</f>
        <v>0</v>
      </c>
      <c r="BN89" s="909">
        <f t="shared" ref="BN89:BN107" si="65">-(V89+W89)</f>
        <v>-15794.802768000001</v>
      </c>
      <c r="BO89" s="909">
        <f t="shared" ref="BO89:BO107" si="66">-Y89</f>
        <v>0</v>
      </c>
      <c r="BP89" s="909">
        <f t="shared" ref="BP89:BP107" si="67">AC89</f>
        <v>-61740.101231999994</v>
      </c>
      <c r="BQ89" s="909">
        <f t="shared" ref="BQ89:BQ107" si="68">AG89</f>
        <v>77534.903999999995</v>
      </c>
      <c r="BR89" s="909">
        <f t="shared" ref="BR89:BR107" si="69">SUM(BL89:BP89)</f>
        <v>-77534.903999999995</v>
      </c>
      <c r="BS89" s="653"/>
      <c r="BT89" s="653"/>
      <c r="BU89" s="653"/>
      <c r="BV89" s="654"/>
    </row>
    <row r="90" spans="2:74" x14ac:dyDescent="0.25">
      <c r="B90" s="651"/>
      <c r="C90" s="653"/>
      <c r="D90" s="653"/>
      <c r="E90" s="653"/>
      <c r="F90" s="653"/>
      <c r="G90" s="653"/>
      <c r="H90" s="653"/>
      <c r="I90" s="653"/>
      <c r="J90" s="653"/>
      <c r="K90" s="653"/>
      <c r="L90" s="653"/>
      <c r="M90" s="651">
        <v>33</v>
      </c>
      <c r="N90" s="909">
        <f t="shared" ref="N90:N107" si="70">MIN(IF(Q89&lt;=0,0,IF(M90&lt;=$Y$38,$AC$38,IF(M90&lt;=$Y$39,$AC$39,IF(M90&lt;=$Y$40,$AC$40,IF(M90&lt;=$Y$41,$AC$41,IF(M90&lt;=$Y$42,$AC$42)))))),Q89)</f>
        <v>0</v>
      </c>
      <c r="O90" s="909">
        <f t="shared" ref="O90:O107" si="71">MAX(MIN(AG90-X90+AC90-Y90,Q89-N90),0)</f>
        <v>0</v>
      </c>
      <c r="P90" s="909">
        <f t="shared" ref="P90:P107" si="72">IF(Q89=0,0,Q89*$U$39+$U$37)</f>
        <v>0</v>
      </c>
      <c r="Q90" s="910">
        <f t="shared" ref="Q90:Q107" si="73">IF(Q89=0,0,Q89-N90-O90)</f>
        <v>0</v>
      </c>
      <c r="R90" s="909">
        <f t="shared" ref="R90:R107" si="74">IF(M90&lt;=$V$45,-PMT($U$45,$V$45,$S$44),0)</f>
        <v>0</v>
      </c>
      <c r="S90" s="909">
        <f t="shared" ref="S90:S107" si="75">U89*$U$45</f>
        <v>4.7248133410490938E-11</v>
      </c>
      <c r="T90" s="909">
        <f t="shared" ref="T90:T107" si="76">R90-S90</f>
        <v>-4.7248133410490938E-11</v>
      </c>
      <c r="U90" s="909">
        <f t="shared" ref="U90:U107" si="77">U89-T90</f>
        <v>1.6221859137601889E-9</v>
      </c>
      <c r="V90" s="909">
        <f t="shared" ref="V90:V107" si="78">IF(M90&lt;=$V$46,($Q$39+$U$46)*$S$45,0)</f>
        <v>8640</v>
      </c>
      <c r="W90" s="909">
        <f t="shared" ref="W90:W107" si="79">IF(M90&lt;=$V$47,($Q$39+$U$47)*$S$46,0)</f>
        <v>7154.8027680000014</v>
      </c>
      <c r="X90" s="909">
        <f t="shared" ref="X90:X107" si="80">N90+R90+V90+W90+P90</f>
        <v>15794.802768000001</v>
      </c>
      <c r="Y90" s="909">
        <f t="shared" ref="Y90:Y107" si="81">IF($R$43&gt;0,IF(M90&gt;=$Q$41,Z89*-1,IF(M90&gt;$W$51,IF(X90&gt;=AG90,0,IF(Z89+AG90-X90&gt;=0,-Z89,AG90-X90)),IF(AG90-X90&gt;=0,0,AG90-X90))),0)</f>
        <v>0</v>
      </c>
      <c r="Z90" s="910">
        <f t="shared" ref="Z90:Z107" si="82">IF(Z89+Y90&gt;=0,0,Z89+Y90)</f>
        <v>0</v>
      </c>
      <c r="AA90" s="909">
        <f t="shared" ref="AA90:AA107" si="83">IF($S$43&gt;0,IF(M90&gt;$W$51,IF(X90&gt;=AG90,0,IF(AB89+AG90&gt;=0,-AB89,AG90-X90)),IF(AG90-X90&gt;=0,0,AG90-X90)),0)</f>
        <v>0</v>
      </c>
      <c r="AB90" s="910">
        <f t="shared" ref="AB90:AB107" si="84">IF(AB89+AA90&gt;=0,0,AB89+AA90)</f>
        <v>0</v>
      </c>
      <c r="AC90" s="911">
        <f t="shared" ref="AC90:AC107" si="85">IF(M90&gt;=$Q$41,AD89*-1*(1+$Q$39),MAX(X90+Y90-AG90,AD89*-1*(1+$Q$39)))</f>
        <v>-61740.101231999994</v>
      </c>
      <c r="AD90" s="911">
        <f t="shared" ref="AD90:AD107" si="86">AC90+AD89*(1+$Q$39)</f>
        <v>4358361.1182649415</v>
      </c>
      <c r="AE90" s="909">
        <f t="shared" ref="AE90:AE107" si="87">IF(AG90-Y90-X90+AC90&lt;0,0,AG90-Y90-X90+AC90-O90)</f>
        <v>0</v>
      </c>
      <c r="AF90" s="912">
        <f t="shared" si="54"/>
        <v>0</v>
      </c>
      <c r="AG90" s="909">
        <f t="shared" ref="AG90:AG107" si="88">$Y$50*$I$49*12</f>
        <v>77534.903999999995</v>
      </c>
      <c r="AH90" s="917">
        <f t="shared" ref="AH90:AH107" si="89">(X90+Y90)</f>
        <v>15794.802768000001</v>
      </c>
      <c r="AI90" s="909">
        <f t="shared" ref="AI90:AI107" si="90">IF(M90&gt;$Q$41,"",(X90+Y90+O90)*-1)</f>
        <v>-15794.802768000001</v>
      </c>
      <c r="AJ90" s="916">
        <f t="shared" ref="AJ90:AJ107" si="91">IF(M90&gt;$Q$41,"",AI90+AG90)</f>
        <v>61740.101231999994</v>
      </c>
      <c r="AK90" s="916">
        <f t="shared" ref="AK90:AK107" si="92">IF(M90&gt;$Q$41,"",(N90+O90+P90+R90+V90+W90+Y90-AC90)*-1)</f>
        <v>-77534.903999999995</v>
      </c>
      <c r="AL90" s="909">
        <f t="shared" ref="AL90:AL107" si="93">IF(M90&gt;$Q$41,"",AK90+AG90)</f>
        <v>0</v>
      </c>
      <c r="AM90" s="918">
        <f t="shared" ref="AM90:AM107" si="94">X90+Y90+O90</f>
        <v>15794.802768000001</v>
      </c>
      <c r="AN90" s="915">
        <f t="shared" si="55"/>
        <v>33</v>
      </c>
      <c r="AO90" s="653">
        <f t="shared" ref="AO90:AO107" si="95">IF(M90&gt;$Q$41,"",AG90)</f>
        <v>77534.903999999995</v>
      </c>
      <c r="AP90" s="916">
        <f t="shared" ref="AP90:AP107" si="96">IF(M90&gt;$Q$41,"",N90+O90+P90)</f>
        <v>0</v>
      </c>
      <c r="AQ90" s="916">
        <f t="shared" ref="AQ90:AQ107" si="97">IF(M90&gt;$Q$41,"",Y90)</f>
        <v>0</v>
      </c>
      <c r="AR90" s="653"/>
      <c r="AS90" s="653">
        <v>33</v>
      </c>
      <c r="AT90" s="909">
        <f t="shared" si="56"/>
        <v>0</v>
      </c>
      <c r="AU90" s="909">
        <f t="shared" si="57"/>
        <v>0</v>
      </c>
      <c r="AV90" s="909">
        <f t="shared" si="58"/>
        <v>-5955.0552055373364</v>
      </c>
      <c r="AW90" s="909">
        <f t="shared" si="59"/>
        <v>0</v>
      </c>
      <c r="AX90" s="909">
        <f t="shared" si="60"/>
        <v>-23277.638640534853</v>
      </c>
      <c r="AY90" s="909">
        <f t="shared" si="61"/>
        <v>29232.69384607219</v>
      </c>
      <c r="AZ90" s="909">
        <f t="shared" si="62"/>
        <v>-29232.69384607219</v>
      </c>
      <c r="BA90" s="653"/>
      <c r="BB90" s="653">
        <f t="shared" ref="BB90:BB107" si="98">AS90</f>
        <v>33</v>
      </c>
      <c r="BC90" s="909">
        <f t="shared" ref="BC90:BC107" si="99">BC89+AT90</f>
        <v>0</v>
      </c>
      <c r="BD90" s="909">
        <f t="shared" ref="BD90:BD107" si="100">BD89+AU90</f>
        <v>-3343232.8147999998</v>
      </c>
      <c r="BE90" s="909">
        <f t="shared" ref="BE90:BE107" si="101">BE89+AV90</f>
        <v>-327991.58541542239</v>
      </c>
      <c r="BF90" s="909">
        <f t="shared" ref="BF90:BF107" si="102">BF89+AW90</f>
        <v>0</v>
      </c>
      <c r="BG90" s="909">
        <f t="shared" ref="BG90:BG107" si="103">BG89+AX90</f>
        <v>2061150.7284178277</v>
      </c>
      <c r="BH90" s="909">
        <f t="shared" ref="BH90:BH107" si="104">BH89+AY90</f>
        <v>1610074.6717975945</v>
      </c>
      <c r="BI90" s="909">
        <f t="shared" ref="BI90:BI107" si="105">BI89+AZ90</f>
        <v>-1610073.6717975945</v>
      </c>
      <c r="BJ90" s="909"/>
      <c r="BK90" s="653">
        <v>33</v>
      </c>
      <c r="BL90" s="909">
        <f t="shared" si="63"/>
        <v>0</v>
      </c>
      <c r="BM90" s="909">
        <f t="shared" si="64"/>
        <v>0</v>
      </c>
      <c r="BN90" s="909">
        <f t="shared" si="65"/>
        <v>-15794.802768000001</v>
      </c>
      <c r="BO90" s="909">
        <f t="shared" si="66"/>
        <v>0</v>
      </c>
      <c r="BP90" s="909">
        <f t="shared" si="67"/>
        <v>-61740.101231999994</v>
      </c>
      <c r="BQ90" s="909">
        <f t="shared" si="68"/>
        <v>77534.903999999995</v>
      </c>
      <c r="BR90" s="909">
        <f t="shared" si="69"/>
        <v>-77534.903999999995</v>
      </c>
      <c r="BS90" s="653"/>
      <c r="BT90" s="653"/>
      <c r="BU90" s="653"/>
      <c r="BV90" s="654"/>
    </row>
    <row r="91" spans="2:74" x14ac:dyDescent="0.25">
      <c r="B91" s="651"/>
      <c r="C91" s="653"/>
      <c r="D91" s="653"/>
      <c r="E91" s="653"/>
      <c r="F91" s="653"/>
      <c r="G91" s="653"/>
      <c r="H91" s="653"/>
      <c r="I91" s="653"/>
      <c r="J91" s="653"/>
      <c r="K91" s="653"/>
      <c r="L91" s="653"/>
      <c r="M91" s="651">
        <v>34</v>
      </c>
      <c r="N91" s="909">
        <f t="shared" si="70"/>
        <v>0</v>
      </c>
      <c r="O91" s="909">
        <f t="shared" si="71"/>
        <v>0</v>
      </c>
      <c r="P91" s="909">
        <f t="shared" si="72"/>
        <v>0</v>
      </c>
      <c r="Q91" s="910">
        <f t="shared" si="73"/>
        <v>0</v>
      </c>
      <c r="R91" s="909">
        <f t="shared" si="74"/>
        <v>0</v>
      </c>
      <c r="S91" s="909">
        <f t="shared" si="75"/>
        <v>4.8665577412805665E-11</v>
      </c>
      <c r="T91" s="909">
        <f t="shared" si="76"/>
        <v>-4.8665577412805665E-11</v>
      </c>
      <c r="U91" s="909">
        <f t="shared" si="77"/>
        <v>1.6708514911729945E-9</v>
      </c>
      <c r="V91" s="909">
        <f t="shared" si="78"/>
        <v>8640</v>
      </c>
      <c r="W91" s="909">
        <f t="shared" si="79"/>
        <v>7154.8027680000014</v>
      </c>
      <c r="X91" s="909">
        <f t="shared" si="80"/>
        <v>15794.802768000001</v>
      </c>
      <c r="Y91" s="909">
        <f t="shared" si="81"/>
        <v>0</v>
      </c>
      <c r="Z91" s="910">
        <f t="shared" si="82"/>
        <v>0</v>
      </c>
      <c r="AA91" s="909">
        <f t="shared" si="83"/>
        <v>0</v>
      </c>
      <c r="AB91" s="910">
        <f t="shared" si="84"/>
        <v>0</v>
      </c>
      <c r="AC91" s="911">
        <f t="shared" si="85"/>
        <v>-61740.101231999994</v>
      </c>
      <c r="AD91" s="911">
        <f t="shared" si="86"/>
        <v>4383788.239398241</v>
      </c>
      <c r="AE91" s="909">
        <f t="shared" si="87"/>
        <v>0</v>
      </c>
      <c r="AF91" s="912">
        <f t="shared" si="54"/>
        <v>0</v>
      </c>
      <c r="AG91" s="909">
        <f t="shared" si="88"/>
        <v>77534.903999999995</v>
      </c>
      <c r="AH91" s="917">
        <f t="shared" si="89"/>
        <v>15794.802768000001</v>
      </c>
      <c r="AI91" s="909">
        <f t="shared" si="90"/>
        <v>-15794.802768000001</v>
      </c>
      <c r="AJ91" s="916">
        <f t="shared" si="91"/>
        <v>61740.101231999994</v>
      </c>
      <c r="AK91" s="916">
        <f t="shared" si="92"/>
        <v>-77534.903999999995</v>
      </c>
      <c r="AL91" s="909">
        <f t="shared" si="93"/>
        <v>0</v>
      </c>
      <c r="AM91" s="918">
        <f t="shared" si="94"/>
        <v>15794.802768000001</v>
      </c>
      <c r="AN91" s="915">
        <f t="shared" si="55"/>
        <v>34</v>
      </c>
      <c r="AO91" s="653">
        <f t="shared" si="95"/>
        <v>77534.903999999995</v>
      </c>
      <c r="AP91" s="916">
        <f t="shared" si="96"/>
        <v>0</v>
      </c>
      <c r="AQ91" s="916">
        <f t="shared" si="97"/>
        <v>0</v>
      </c>
      <c r="AR91" s="653"/>
      <c r="AS91" s="653">
        <v>34</v>
      </c>
      <c r="AT91" s="909">
        <f t="shared" si="56"/>
        <v>0</v>
      </c>
      <c r="AU91" s="909">
        <f t="shared" si="57"/>
        <v>0</v>
      </c>
      <c r="AV91" s="909">
        <f t="shared" si="58"/>
        <v>-5781.6069956673182</v>
      </c>
      <c r="AW91" s="909">
        <f t="shared" si="59"/>
        <v>0</v>
      </c>
      <c r="AX91" s="909">
        <f t="shared" si="60"/>
        <v>-22599.649165567822</v>
      </c>
      <c r="AY91" s="909">
        <f t="shared" si="61"/>
        <v>28381.256161235142</v>
      </c>
      <c r="AZ91" s="909">
        <f t="shared" si="62"/>
        <v>-28381.256161235142</v>
      </c>
      <c r="BA91" s="653"/>
      <c r="BB91" s="653">
        <f t="shared" si="98"/>
        <v>34</v>
      </c>
      <c r="BC91" s="909">
        <f t="shared" si="99"/>
        <v>0</v>
      </c>
      <c r="BD91" s="909">
        <f t="shared" si="100"/>
        <v>-3343232.8147999998</v>
      </c>
      <c r="BE91" s="909">
        <f t="shared" si="101"/>
        <v>-333773.19241108972</v>
      </c>
      <c r="BF91" s="909">
        <f t="shared" si="102"/>
        <v>0</v>
      </c>
      <c r="BG91" s="909">
        <f t="shared" si="103"/>
        <v>2038551.07925226</v>
      </c>
      <c r="BH91" s="909">
        <f t="shared" si="104"/>
        <v>1638455.9279588296</v>
      </c>
      <c r="BI91" s="909">
        <f t="shared" si="105"/>
        <v>-1638454.9279588296</v>
      </c>
      <c r="BJ91" s="909"/>
      <c r="BK91" s="653">
        <v>34</v>
      </c>
      <c r="BL91" s="909">
        <f t="shared" si="63"/>
        <v>0</v>
      </c>
      <c r="BM91" s="909">
        <f t="shared" si="64"/>
        <v>0</v>
      </c>
      <c r="BN91" s="909">
        <f t="shared" si="65"/>
        <v>-15794.802768000001</v>
      </c>
      <c r="BO91" s="909">
        <f t="shared" si="66"/>
        <v>0</v>
      </c>
      <c r="BP91" s="909">
        <f t="shared" si="67"/>
        <v>-61740.101231999994</v>
      </c>
      <c r="BQ91" s="909">
        <f t="shared" si="68"/>
        <v>77534.903999999995</v>
      </c>
      <c r="BR91" s="909">
        <f t="shared" si="69"/>
        <v>-77534.903999999995</v>
      </c>
      <c r="BS91" s="653"/>
      <c r="BT91" s="653"/>
      <c r="BU91" s="653"/>
      <c r="BV91" s="654"/>
    </row>
    <row r="92" spans="2:74" x14ac:dyDescent="0.25">
      <c r="B92" s="651"/>
      <c r="C92" s="653"/>
      <c r="D92" s="653"/>
      <c r="E92" s="653"/>
      <c r="F92" s="653"/>
      <c r="G92" s="653"/>
      <c r="H92" s="653"/>
      <c r="I92" s="653"/>
      <c r="J92" s="653"/>
      <c r="K92" s="653"/>
      <c r="L92" s="653"/>
      <c r="M92" s="651">
        <v>35</v>
      </c>
      <c r="N92" s="909">
        <f t="shared" si="70"/>
        <v>0</v>
      </c>
      <c r="O92" s="909">
        <f t="shared" si="71"/>
        <v>0</v>
      </c>
      <c r="P92" s="909">
        <f t="shared" si="72"/>
        <v>0</v>
      </c>
      <c r="Q92" s="910">
        <f t="shared" si="73"/>
        <v>0</v>
      </c>
      <c r="R92" s="909">
        <f t="shared" si="74"/>
        <v>0</v>
      </c>
      <c r="S92" s="909">
        <f t="shared" si="75"/>
        <v>5.0125544735189836E-11</v>
      </c>
      <c r="T92" s="909">
        <f t="shared" si="76"/>
        <v>-5.0125544735189836E-11</v>
      </c>
      <c r="U92" s="909">
        <f t="shared" si="77"/>
        <v>1.7209770359081845E-9</v>
      </c>
      <c r="V92" s="909">
        <f t="shared" si="78"/>
        <v>8640</v>
      </c>
      <c r="W92" s="909">
        <f t="shared" si="79"/>
        <v>7154.8027680000014</v>
      </c>
      <c r="X92" s="909">
        <f t="shared" si="80"/>
        <v>15794.802768000001</v>
      </c>
      <c r="Y92" s="909">
        <f t="shared" si="81"/>
        <v>0</v>
      </c>
      <c r="Z92" s="910">
        <f t="shared" si="82"/>
        <v>0</v>
      </c>
      <c r="AA92" s="909">
        <f t="shared" si="83"/>
        <v>0</v>
      </c>
      <c r="AB92" s="910">
        <f t="shared" si="84"/>
        <v>0</v>
      </c>
      <c r="AC92" s="911">
        <f t="shared" si="85"/>
        <v>-4471464.0041862056</v>
      </c>
      <c r="AD92" s="911">
        <f t="shared" si="86"/>
        <v>0</v>
      </c>
      <c r="AE92" s="909">
        <f t="shared" si="87"/>
        <v>0</v>
      </c>
      <c r="AF92" s="912">
        <f t="shared" si="54"/>
        <v>0</v>
      </c>
      <c r="AG92" s="909">
        <f t="shared" si="88"/>
        <v>77534.903999999995</v>
      </c>
      <c r="AH92" s="917">
        <f t="shared" si="89"/>
        <v>15794.802768000001</v>
      </c>
      <c r="AI92" s="909">
        <f t="shared" si="90"/>
        <v>-15794.802768000001</v>
      </c>
      <c r="AJ92" s="916">
        <f t="shared" si="91"/>
        <v>61740.101231999994</v>
      </c>
      <c r="AK92" s="916">
        <f t="shared" si="92"/>
        <v>-4487258.806954206</v>
      </c>
      <c r="AL92" s="909">
        <f t="shared" si="93"/>
        <v>-4409723.9029542059</v>
      </c>
      <c r="AM92" s="918">
        <f t="shared" si="94"/>
        <v>15794.802768000001</v>
      </c>
      <c r="AN92" s="915">
        <f t="shared" si="55"/>
        <v>35</v>
      </c>
      <c r="AO92" s="653">
        <f t="shared" si="95"/>
        <v>77534.903999999995</v>
      </c>
      <c r="AP92" s="916">
        <f t="shared" si="96"/>
        <v>0</v>
      </c>
      <c r="AQ92" s="916">
        <f t="shared" si="97"/>
        <v>0</v>
      </c>
      <c r="AR92" s="653"/>
      <c r="AS92" s="653">
        <v>35</v>
      </c>
      <c r="AT92" s="909">
        <f t="shared" si="56"/>
        <v>0</v>
      </c>
      <c r="AU92" s="909">
        <f t="shared" si="57"/>
        <v>0</v>
      </c>
      <c r="AV92" s="909">
        <f t="shared" si="58"/>
        <v>-5613.210675405162</v>
      </c>
      <c r="AW92" s="909">
        <f t="shared" si="59"/>
        <v>0</v>
      </c>
      <c r="AX92" s="909">
        <f t="shared" si="60"/>
        <v>-1589084.0709855908</v>
      </c>
      <c r="AY92" s="909">
        <f t="shared" si="61"/>
        <v>27554.61763226712</v>
      </c>
      <c r="AZ92" s="909">
        <f t="shared" si="62"/>
        <v>-1594697.2816609959</v>
      </c>
      <c r="BA92" s="653"/>
      <c r="BB92" s="653">
        <f t="shared" si="98"/>
        <v>35</v>
      </c>
      <c r="BC92" s="909">
        <f t="shared" si="99"/>
        <v>0</v>
      </c>
      <c r="BD92" s="909">
        <f t="shared" si="100"/>
        <v>-3343232.8147999998</v>
      </c>
      <c r="BE92" s="909">
        <f t="shared" si="101"/>
        <v>-339386.40308649489</v>
      </c>
      <c r="BF92" s="909">
        <f t="shared" si="102"/>
        <v>0</v>
      </c>
      <c r="BG92" s="909">
        <f t="shared" si="103"/>
        <v>449467.00826666923</v>
      </c>
      <c r="BH92" s="909">
        <f t="shared" si="104"/>
        <v>1666010.5455910966</v>
      </c>
      <c r="BI92" s="909">
        <f t="shared" si="105"/>
        <v>-3233152.2096198257</v>
      </c>
      <c r="BJ92" s="909"/>
      <c r="BK92" s="653">
        <v>35</v>
      </c>
      <c r="BL92" s="909">
        <f t="shared" si="63"/>
        <v>0</v>
      </c>
      <c r="BM92" s="909">
        <f t="shared" si="64"/>
        <v>0</v>
      </c>
      <c r="BN92" s="909">
        <f t="shared" si="65"/>
        <v>-15794.802768000001</v>
      </c>
      <c r="BO92" s="909">
        <f t="shared" si="66"/>
        <v>0</v>
      </c>
      <c r="BP92" s="909">
        <f t="shared" si="67"/>
        <v>-4471464.0041862056</v>
      </c>
      <c r="BQ92" s="909">
        <f t="shared" si="68"/>
        <v>77534.903999999995</v>
      </c>
      <c r="BR92" s="909">
        <f t="shared" si="69"/>
        <v>-4487258.806954206</v>
      </c>
      <c r="BS92" s="653"/>
      <c r="BT92" s="653"/>
      <c r="BU92" s="653"/>
      <c r="BV92" s="654"/>
    </row>
    <row r="93" spans="2:74" x14ac:dyDescent="0.25">
      <c r="B93" s="651"/>
      <c r="C93" s="653"/>
      <c r="D93" s="653"/>
      <c r="E93" s="653"/>
      <c r="F93" s="653"/>
      <c r="G93" s="653"/>
      <c r="H93" s="653"/>
      <c r="I93" s="653"/>
      <c r="J93" s="653"/>
      <c r="K93" s="653"/>
      <c r="L93" s="653"/>
      <c r="M93" s="651">
        <v>36</v>
      </c>
      <c r="N93" s="909">
        <f t="shared" si="70"/>
        <v>0</v>
      </c>
      <c r="O93" s="909">
        <f t="shared" si="71"/>
        <v>0</v>
      </c>
      <c r="P93" s="909">
        <f t="shared" si="72"/>
        <v>0</v>
      </c>
      <c r="Q93" s="910">
        <f t="shared" si="73"/>
        <v>0</v>
      </c>
      <c r="R93" s="909">
        <f t="shared" si="74"/>
        <v>0</v>
      </c>
      <c r="S93" s="909">
        <f t="shared" si="75"/>
        <v>5.1629311077245535E-11</v>
      </c>
      <c r="T93" s="909">
        <f t="shared" si="76"/>
        <v>-5.1629311077245535E-11</v>
      </c>
      <c r="U93" s="909">
        <f t="shared" si="77"/>
        <v>1.77260634698543E-9</v>
      </c>
      <c r="V93" s="909">
        <f t="shared" si="78"/>
        <v>8640</v>
      </c>
      <c r="W93" s="909">
        <f t="shared" si="79"/>
        <v>0</v>
      </c>
      <c r="X93" s="909">
        <f t="shared" si="80"/>
        <v>8640</v>
      </c>
      <c r="Y93" s="909">
        <f t="shared" si="81"/>
        <v>0</v>
      </c>
      <c r="Z93" s="910">
        <f t="shared" si="82"/>
        <v>0</v>
      </c>
      <c r="AA93" s="909">
        <f t="shared" si="83"/>
        <v>0</v>
      </c>
      <c r="AB93" s="910">
        <f t="shared" si="84"/>
        <v>0</v>
      </c>
      <c r="AC93" s="911">
        <f t="shared" si="85"/>
        <v>0</v>
      </c>
      <c r="AD93" s="911">
        <f t="shared" si="86"/>
        <v>0</v>
      </c>
      <c r="AE93" s="909">
        <f t="shared" si="87"/>
        <v>68894.903999999995</v>
      </c>
      <c r="AF93" s="912">
        <f t="shared" si="54"/>
        <v>33773.876882095989</v>
      </c>
      <c r="AG93" s="909">
        <f t="shared" si="88"/>
        <v>77534.903999999995</v>
      </c>
      <c r="AH93" s="917">
        <f t="shared" si="89"/>
        <v>8640</v>
      </c>
      <c r="AI93" s="909" t="str">
        <f t="shared" si="90"/>
        <v/>
      </c>
      <c r="AJ93" s="916" t="str">
        <f t="shared" si="91"/>
        <v/>
      </c>
      <c r="AK93" s="916" t="str">
        <f t="shared" si="92"/>
        <v/>
      </c>
      <c r="AL93" s="909" t="str">
        <f t="shared" si="93"/>
        <v/>
      </c>
      <c r="AM93" s="918">
        <f t="shared" si="94"/>
        <v>8640</v>
      </c>
      <c r="AN93" s="915">
        <f t="shared" si="55"/>
        <v>36</v>
      </c>
      <c r="AO93" s="653" t="str">
        <f t="shared" si="95"/>
        <v/>
      </c>
      <c r="AP93" s="916" t="str">
        <f t="shared" si="96"/>
        <v/>
      </c>
      <c r="AQ93" s="916" t="str">
        <f t="shared" si="97"/>
        <v/>
      </c>
      <c r="AR93" s="653"/>
      <c r="AS93" s="653">
        <v>36</v>
      </c>
      <c r="AT93" s="909">
        <f t="shared" si="56"/>
        <v>0</v>
      </c>
      <c r="AU93" s="909">
        <f t="shared" si="57"/>
        <v>0</v>
      </c>
      <c r="AV93" s="909">
        <f t="shared" si="58"/>
        <v>-2981.0801524897734</v>
      </c>
      <c r="AW93" s="909">
        <f t="shared" si="59"/>
        <v>0</v>
      </c>
      <c r="AX93" s="909">
        <f t="shared" si="60"/>
        <v>0</v>
      </c>
      <c r="AY93" s="909">
        <f t="shared" si="61"/>
        <v>26752.0559536574</v>
      </c>
      <c r="AZ93" s="909">
        <f t="shared" si="62"/>
        <v>-2981.0801524897734</v>
      </c>
      <c r="BA93" s="653"/>
      <c r="BB93" s="653">
        <f t="shared" si="98"/>
        <v>36</v>
      </c>
      <c r="BC93" s="909">
        <f t="shared" si="99"/>
        <v>0</v>
      </c>
      <c r="BD93" s="909">
        <f t="shared" si="100"/>
        <v>-3343232.8147999998</v>
      </c>
      <c r="BE93" s="909">
        <f t="shared" si="101"/>
        <v>-342367.48323898466</v>
      </c>
      <c r="BF93" s="909">
        <f t="shared" si="102"/>
        <v>0</v>
      </c>
      <c r="BG93" s="909">
        <f t="shared" si="103"/>
        <v>449467.00826666923</v>
      </c>
      <c r="BH93" s="909">
        <f t="shared" si="104"/>
        <v>1692762.6015447541</v>
      </c>
      <c r="BI93" s="909">
        <f t="shared" si="105"/>
        <v>-3236133.2897723154</v>
      </c>
      <c r="BJ93" s="909"/>
      <c r="BK93" s="653">
        <v>36</v>
      </c>
      <c r="BL93" s="909">
        <f t="shared" si="63"/>
        <v>0</v>
      </c>
      <c r="BM93" s="909">
        <f t="shared" si="64"/>
        <v>0</v>
      </c>
      <c r="BN93" s="909">
        <f t="shared" si="65"/>
        <v>-8640</v>
      </c>
      <c r="BO93" s="909">
        <f t="shared" si="66"/>
        <v>0</v>
      </c>
      <c r="BP93" s="909">
        <f t="shared" si="67"/>
        <v>0</v>
      </c>
      <c r="BQ93" s="909">
        <f t="shared" si="68"/>
        <v>77534.903999999995</v>
      </c>
      <c r="BR93" s="909">
        <f t="shared" si="69"/>
        <v>-8640</v>
      </c>
      <c r="BS93" s="653"/>
      <c r="BT93" s="653"/>
      <c r="BU93" s="653"/>
      <c r="BV93" s="654"/>
    </row>
    <row r="94" spans="2:74" x14ac:dyDescent="0.25">
      <c r="B94" s="651"/>
      <c r="C94" s="653"/>
      <c r="D94" s="653"/>
      <c r="E94" s="653"/>
      <c r="F94" s="653"/>
      <c r="G94" s="653"/>
      <c r="H94" s="653"/>
      <c r="I94" s="653"/>
      <c r="J94" s="653"/>
      <c r="K94" s="653"/>
      <c r="L94" s="653"/>
      <c r="M94" s="651">
        <v>37</v>
      </c>
      <c r="N94" s="909">
        <f t="shared" si="70"/>
        <v>0</v>
      </c>
      <c r="O94" s="909">
        <f t="shared" si="71"/>
        <v>0</v>
      </c>
      <c r="P94" s="909">
        <f t="shared" si="72"/>
        <v>0</v>
      </c>
      <c r="Q94" s="910">
        <f t="shared" si="73"/>
        <v>0</v>
      </c>
      <c r="R94" s="909">
        <f t="shared" si="74"/>
        <v>0</v>
      </c>
      <c r="S94" s="909">
        <f t="shared" si="75"/>
        <v>5.3178190409562899E-11</v>
      </c>
      <c r="T94" s="909">
        <f t="shared" si="76"/>
        <v>-5.3178190409562899E-11</v>
      </c>
      <c r="U94" s="909">
        <f t="shared" si="77"/>
        <v>1.825784537394993E-9</v>
      </c>
      <c r="V94" s="909">
        <f t="shared" si="78"/>
        <v>8640</v>
      </c>
      <c r="W94" s="909">
        <f t="shared" si="79"/>
        <v>0</v>
      </c>
      <c r="X94" s="909">
        <f t="shared" si="80"/>
        <v>8640</v>
      </c>
      <c r="Y94" s="909">
        <f t="shared" si="81"/>
        <v>0</v>
      </c>
      <c r="Z94" s="910">
        <f t="shared" si="82"/>
        <v>0</v>
      </c>
      <c r="AA94" s="909">
        <f t="shared" si="83"/>
        <v>0</v>
      </c>
      <c r="AB94" s="910">
        <f t="shared" si="84"/>
        <v>0</v>
      </c>
      <c r="AC94" s="911">
        <f t="shared" si="85"/>
        <v>0</v>
      </c>
      <c r="AD94" s="911">
        <f t="shared" si="86"/>
        <v>0</v>
      </c>
      <c r="AE94" s="909">
        <f t="shared" si="87"/>
        <v>68894.903999999995</v>
      </c>
      <c r="AF94" s="912">
        <f t="shared" si="54"/>
        <v>33111.644002054883</v>
      </c>
      <c r="AG94" s="909">
        <f t="shared" si="88"/>
        <v>77534.903999999995</v>
      </c>
      <c r="AH94" s="917">
        <f t="shared" si="89"/>
        <v>8640</v>
      </c>
      <c r="AI94" s="909" t="str">
        <f t="shared" si="90"/>
        <v/>
      </c>
      <c r="AJ94" s="916" t="str">
        <f t="shared" si="91"/>
        <v/>
      </c>
      <c r="AK94" s="916" t="str">
        <f t="shared" si="92"/>
        <v/>
      </c>
      <c r="AL94" s="909" t="str">
        <f t="shared" si="93"/>
        <v/>
      </c>
      <c r="AM94" s="918">
        <f t="shared" si="94"/>
        <v>8640</v>
      </c>
      <c r="AN94" s="915">
        <f t="shared" si="55"/>
        <v>37</v>
      </c>
      <c r="AO94" s="653" t="str">
        <f t="shared" si="95"/>
        <v/>
      </c>
      <c r="AP94" s="916" t="str">
        <f t="shared" si="96"/>
        <v/>
      </c>
      <c r="AQ94" s="916" t="str">
        <f t="shared" si="97"/>
        <v/>
      </c>
      <c r="AR94" s="653"/>
      <c r="AS94" s="653">
        <v>37</v>
      </c>
      <c r="AT94" s="909">
        <f t="shared" si="56"/>
        <v>0</v>
      </c>
      <c r="AU94" s="909">
        <f t="shared" si="57"/>
        <v>0</v>
      </c>
      <c r="AV94" s="909">
        <f t="shared" si="58"/>
        <v>-2894.2525752327902</v>
      </c>
      <c r="AW94" s="909">
        <f t="shared" si="59"/>
        <v>0</v>
      </c>
      <c r="AX94" s="909">
        <f t="shared" si="60"/>
        <v>0</v>
      </c>
      <c r="AY94" s="909">
        <f t="shared" si="61"/>
        <v>25972.86985791981</v>
      </c>
      <c r="AZ94" s="909">
        <f t="shared" si="62"/>
        <v>-2894.2525752327902</v>
      </c>
      <c r="BA94" s="653"/>
      <c r="BB94" s="653">
        <f t="shared" si="98"/>
        <v>37</v>
      </c>
      <c r="BC94" s="909">
        <f t="shared" si="99"/>
        <v>0</v>
      </c>
      <c r="BD94" s="909">
        <f t="shared" si="100"/>
        <v>-3343232.8147999998</v>
      </c>
      <c r="BE94" s="909">
        <f t="shared" si="101"/>
        <v>-345261.73581421742</v>
      </c>
      <c r="BF94" s="909">
        <f t="shared" si="102"/>
        <v>0</v>
      </c>
      <c r="BG94" s="909">
        <f t="shared" si="103"/>
        <v>449467.00826666923</v>
      </c>
      <c r="BH94" s="909">
        <f t="shared" si="104"/>
        <v>1718735.471402674</v>
      </c>
      <c r="BI94" s="909">
        <f t="shared" si="105"/>
        <v>-3239027.5423475481</v>
      </c>
      <c r="BJ94" s="909"/>
      <c r="BK94" s="653">
        <v>37</v>
      </c>
      <c r="BL94" s="909">
        <f t="shared" si="63"/>
        <v>0</v>
      </c>
      <c r="BM94" s="909">
        <f t="shared" si="64"/>
        <v>0</v>
      </c>
      <c r="BN94" s="909">
        <f t="shared" si="65"/>
        <v>-8640</v>
      </c>
      <c r="BO94" s="909">
        <f t="shared" si="66"/>
        <v>0</v>
      </c>
      <c r="BP94" s="909">
        <f t="shared" si="67"/>
        <v>0</v>
      </c>
      <c r="BQ94" s="909">
        <f t="shared" si="68"/>
        <v>77534.903999999995</v>
      </c>
      <c r="BR94" s="909">
        <f t="shared" si="69"/>
        <v>-8640</v>
      </c>
      <c r="BS94" s="653"/>
      <c r="BT94" s="653"/>
      <c r="BU94" s="653"/>
      <c r="BV94" s="654"/>
    </row>
    <row r="95" spans="2:74" x14ac:dyDescent="0.25">
      <c r="B95" s="651"/>
      <c r="C95" s="653"/>
      <c r="D95" s="653"/>
      <c r="E95" s="653"/>
      <c r="F95" s="653"/>
      <c r="G95" s="653"/>
      <c r="H95" s="653"/>
      <c r="I95" s="653"/>
      <c r="J95" s="653"/>
      <c r="K95" s="653"/>
      <c r="L95" s="653"/>
      <c r="M95" s="651">
        <v>38</v>
      </c>
      <c r="N95" s="909">
        <f t="shared" si="70"/>
        <v>0</v>
      </c>
      <c r="O95" s="909">
        <f t="shared" si="71"/>
        <v>0</v>
      </c>
      <c r="P95" s="909">
        <f t="shared" si="72"/>
        <v>0</v>
      </c>
      <c r="Q95" s="910">
        <f t="shared" si="73"/>
        <v>0</v>
      </c>
      <c r="R95" s="909">
        <f t="shared" si="74"/>
        <v>0</v>
      </c>
      <c r="S95" s="909">
        <f t="shared" si="75"/>
        <v>5.4773536121849786E-11</v>
      </c>
      <c r="T95" s="909">
        <f t="shared" si="76"/>
        <v>-5.4773536121849786E-11</v>
      </c>
      <c r="U95" s="909">
        <f t="shared" si="77"/>
        <v>1.8805580735168426E-9</v>
      </c>
      <c r="V95" s="909">
        <f t="shared" si="78"/>
        <v>8640</v>
      </c>
      <c r="W95" s="909">
        <f t="shared" si="79"/>
        <v>0</v>
      </c>
      <c r="X95" s="909">
        <f t="shared" si="80"/>
        <v>8640</v>
      </c>
      <c r="Y95" s="909">
        <f t="shared" si="81"/>
        <v>0</v>
      </c>
      <c r="Z95" s="910">
        <f t="shared" si="82"/>
        <v>0</v>
      </c>
      <c r="AA95" s="909">
        <f t="shared" si="83"/>
        <v>0</v>
      </c>
      <c r="AB95" s="910">
        <f t="shared" si="84"/>
        <v>0</v>
      </c>
      <c r="AC95" s="911">
        <f t="shared" si="85"/>
        <v>0</v>
      </c>
      <c r="AD95" s="911">
        <f t="shared" si="86"/>
        <v>0</v>
      </c>
      <c r="AE95" s="909">
        <f t="shared" si="87"/>
        <v>68894.903999999995</v>
      </c>
      <c r="AF95" s="912">
        <f t="shared" si="54"/>
        <v>32462.39608044596</v>
      </c>
      <c r="AG95" s="909">
        <f t="shared" si="88"/>
        <v>77534.903999999995</v>
      </c>
      <c r="AH95" s="917">
        <f t="shared" si="89"/>
        <v>8640</v>
      </c>
      <c r="AI95" s="909" t="str">
        <f t="shared" si="90"/>
        <v/>
      </c>
      <c r="AJ95" s="916" t="str">
        <f t="shared" si="91"/>
        <v/>
      </c>
      <c r="AK95" s="916" t="str">
        <f t="shared" si="92"/>
        <v/>
      </c>
      <c r="AL95" s="909" t="str">
        <f t="shared" si="93"/>
        <v/>
      </c>
      <c r="AM95" s="918">
        <f t="shared" si="94"/>
        <v>8640</v>
      </c>
      <c r="AN95" s="915">
        <f t="shared" si="55"/>
        <v>38</v>
      </c>
      <c r="AO95" s="653" t="str">
        <f t="shared" si="95"/>
        <v/>
      </c>
      <c r="AP95" s="916" t="str">
        <f t="shared" si="96"/>
        <v/>
      </c>
      <c r="AQ95" s="916" t="str">
        <f t="shared" si="97"/>
        <v/>
      </c>
      <c r="AR95" s="653"/>
      <c r="AS95" s="653">
        <v>38</v>
      </c>
      <c r="AT95" s="909">
        <f t="shared" si="56"/>
        <v>0</v>
      </c>
      <c r="AU95" s="909">
        <f t="shared" si="57"/>
        <v>0</v>
      </c>
      <c r="AV95" s="909">
        <f t="shared" si="58"/>
        <v>-2809.9539565366899</v>
      </c>
      <c r="AW95" s="909">
        <f t="shared" si="59"/>
        <v>0</v>
      </c>
      <c r="AX95" s="909">
        <f t="shared" si="60"/>
        <v>0</v>
      </c>
      <c r="AY95" s="909">
        <f t="shared" si="61"/>
        <v>25216.37850283477</v>
      </c>
      <c r="AZ95" s="909">
        <f t="shared" si="62"/>
        <v>-2809.9539565366899</v>
      </c>
      <c r="BA95" s="653"/>
      <c r="BB95" s="653">
        <f t="shared" si="98"/>
        <v>38</v>
      </c>
      <c r="BC95" s="909">
        <f t="shared" si="99"/>
        <v>0</v>
      </c>
      <c r="BD95" s="909">
        <f t="shared" si="100"/>
        <v>-3343232.8147999998</v>
      </c>
      <c r="BE95" s="909">
        <f t="shared" si="101"/>
        <v>-348071.68977075414</v>
      </c>
      <c r="BF95" s="909">
        <f t="shared" si="102"/>
        <v>0</v>
      </c>
      <c r="BG95" s="909">
        <f t="shared" si="103"/>
        <v>449467.00826666923</v>
      </c>
      <c r="BH95" s="909">
        <f t="shared" si="104"/>
        <v>1743951.8499055088</v>
      </c>
      <c r="BI95" s="909">
        <f t="shared" si="105"/>
        <v>-3241837.4963040845</v>
      </c>
      <c r="BJ95" s="909"/>
      <c r="BK95" s="653">
        <v>38</v>
      </c>
      <c r="BL95" s="909">
        <f t="shared" si="63"/>
        <v>0</v>
      </c>
      <c r="BM95" s="909">
        <f t="shared" si="64"/>
        <v>0</v>
      </c>
      <c r="BN95" s="909">
        <f t="shared" si="65"/>
        <v>-8640</v>
      </c>
      <c r="BO95" s="909">
        <f t="shared" si="66"/>
        <v>0</v>
      </c>
      <c r="BP95" s="909">
        <f t="shared" si="67"/>
        <v>0</v>
      </c>
      <c r="BQ95" s="909">
        <f t="shared" si="68"/>
        <v>77534.903999999995</v>
      </c>
      <c r="BR95" s="909">
        <f t="shared" si="69"/>
        <v>-8640</v>
      </c>
      <c r="BS95" s="653"/>
      <c r="BT95" s="653"/>
      <c r="BU95" s="653"/>
      <c r="BV95" s="654"/>
    </row>
    <row r="96" spans="2:74" x14ac:dyDescent="0.25">
      <c r="B96" s="651"/>
      <c r="C96" s="653"/>
      <c r="D96" s="653"/>
      <c r="E96" s="653"/>
      <c r="F96" s="653"/>
      <c r="G96" s="653"/>
      <c r="H96" s="653"/>
      <c r="I96" s="653"/>
      <c r="J96" s="653"/>
      <c r="K96" s="653"/>
      <c r="L96" s="653"/>
      <c r="M96" s="651">
        <v>39</v>
      </c>
      <c r="N96" s="909">
        <f t="shared" si="70"/>
        <v>0</v>
      </c>
      <c r="O96" s="909">
        <f t="shared" si="71"/>
        <v>0</v>
      </c>
      <c r="P96" s="909">
        <f t="shared" si="72"/>
        <v>0</v>
      </c>
      <c r="Q96" s="910">
        <f t="shared" si="73"/>
        <v>0</v>
      </c>
      <c r="R96" s="909">
        <f t="shared" si="74"/>
        <v>0</v>
      </c>
      <c r="S96" s="909">
        <f t="shared" si="75"/>
        <v>5.6416742205505279E-11</v>
      </c>
      <c r="T96" s="909">
        <f t="shared" si="76"/>
        <v>-5.6416742205505279E-11</v>
      </c>
      <c r="U96" s="909">
        <f t="shared" si="77"/>
        <v>1.9369748157223477E-9</v>
      </c>
      <c r="V96" s="909">
        <f t="shared" si="78"/>
        <v>8640</v>
      </c>
      <c r="W96" s="909">
        <f t="shared" si="79"/>
        <v>0</v>
      </c>
      <c r="X96" s="909">
        <f t="shared" si="80"/>
        <v>8640</v>
      </c>
      <c r="Y96" s="909">
        <f t="shared" si="81"/>
        <v>0</v>
      </c>
      <c r="Z96" s="910">
        <f t="shared" si="82"/>
        <v>0</v>
      </c>
      <c r="AA96" s="909">
        <f t="shared" si="83"/>
        <v>0</v>
      </c>
      <c r="AB96" s="910">
        <f t="shared" si="84"/>
        <v>0</v>
      </c>
      <c r="AC96" s="911">
        <f t="shared" si="85"/>
        <v>0</v>
      </c>
      <c r="AD96" s="911">
        <f t="shared" si="86"/>
        <v>0</v>
      </c>
      <c r="AE96" s="909">
        <f t="shared" si="87"/>
        <v>68894.903999999995</v>
      </c>
      <c r="AF96" s="912">
        <f t="shared" si="54"/>
        <v>31825.878510241149</v>
      </c>
      <c r="AG96" s="909">
        <f t="shared" si="88"/>
        <v>77534.903999999995</v>
      </c>
      <c r="AH96" s="917">
        <f t="shared" si="89"/>
        <v>8640</v>
      </c>
      <c r="AI96" s="909" t="str">
        <f t="shared" si="90"/>
        <v/>
      </c>
      <c r="AJ96" s="916" t="str">
        <f t="shared" si="91"/>
        <v/>
      </c>
      <c r="AK96" s="916" t="str">
        <f t="shared" si="92"/>
        <v/>
      </c>
      <c r="AL96" s="909" t="str">
        <f t="shared" si="93"/>
        <v/>
      </c>
      <c r="AM96" s="918">
        <f t="shared" si="94"/>
        <v>8640</v>
      </c>
      <c r="AN96" s="915">
        <f t="shared" si="55"/>
        <v>39</v>
      </c>
      <c r="AO96" s="653" t="str">
        <f t="shared" si="95"/>
        <v/>
      </c>
      <c r="AP96" s="916" t="str">
        <f t="shared" si="96"/>
        <v/>
      </c>
      <c r="AQ96" s="916" t="str">
        <f t="shared" si="97"/>
        <v/>
      </c>
      <c r="AR96" s="653"/>
      <c r="AS96" s="653">
        <v>39</v>
      </c>
      <c r="AT96" s="909">
        <f t="shared" si="56"/>
        <v>0</v>
      </c>
      <c r="AU96" s="909">
        <f t="shared" si="57"/>
        <v>0</v>
      </c>
      <c r="AV96" s="909">
        <f t="shared" si="58"/>
        <v>-2728.1106374142614</v>
      </c>
      <c r="AW96" s="909">
        <f t="shared" si="59"/>
        <v>0</v>
      </c>
      <c r="AX96" s="909">
        <f t="shared" si="60"/>
        <v>0</v>
      </c>
      <c r="AY96" s="909">
        <f t="shared" si="61"/>
        <v>24481.920876538607</v>
      </c>
      <c r="AZ96" s="909">
        <f t="shared" si="62"/>
        <v>-2728.1106374142614</v>
      </c>
      <c r="BA96" s="653"/>
      <c r="BB96" s="653">
        <f t="shared" si="98"/>
        <v>39</v>
      </c>
      <c r="BC96" s="909">
        <f t="shared" si="99"/>
        <v>0</v>
      </c>
      <c r="BD96" s="909">
        <f t="shared" si="100"/>
        <v>-3343232.8147999998</v>
      </c>
      <c r="BE96" s="909">
        <f t="shared" si="101"/>
        <v>-350799.8004081684</v>
      </c>
      <c r="BF96" s="909">
        <f t="shared" si="102"/>
        <v>0</v>
      </c>
      <c r="BG96" s="909">
        <f t="shared" si="103"/>
        <v>449467.00826666923</v>
      </c>
      <c r="BH96" s="909">
        <f t="shared" si="104"/>
        <v>1768433.7707820474</v>
      </c>
      <c r="BI96" s="909">
        <f t="shared" si="105"/>
        <v>-3244565.6069414988</v>
      </c>
      <c r="BJ96" s="909"/>
      <c r="BK96" s="653">
        <v>39</v>
      </c>
      <c r="BL96" s="909">
        <f t="shared" si="63"/>
        <v>0</v>
      </c>
      <c r="BM96" s="909">
        <f t="shared" si="64"/>
        <v>0</v>
      </c>
      <c r="BN96" s="909">
        <f t="shared" si="65"/>
        <v>-8640</v>
      </c>
      <c r="BO96" s="909">
        <f t="shared" si="66"/>
        <v>0</v>
      </c>
      <c r="BP96" s="909">
        <f t="shared" si="67"/>
        <v>0</v>
      </c>
      <c r="BQ96" s="909">
        <f t="shared" si="68"/>
        <v>77534.903999999995</v>
      </c>
      <c r="BR96" s="909">
        <f t="shared" si="69"/>
        <v>-8640</v>
      </c>
      <c r="BS96" s="653"/>
      <c r="BT96" s="653"/>
      <c r="BU96" s="653"/>
      <c r="BV96" s="654"/>
    </row>
    <row r="97" spans="2:74" x14ac:dyDescent="0.25">
      <c r="B97" s="651"/>
      <c r="C97" s="653"/>
      <c r="D97" s="653"/>
      <c r="E97" s="653"/>
      <c r="F97" s="653"/>
      <c r="G97" s="653"/>
      <c r="H97" s="653"/>
      <c r="I97" s="653"/>
      <c r="J97" s="653"/>
      <c r="K97" s="653"/>
      <c r="L97" s="653"/>
      <c r="M97" s="651">
        <v>40</v>
      </c>
      <c r="N97" s="909">
        <f t="shared" si="70"/>
        <v>0</v>
      </c>
      <c r="O97" s="909">
        <f t="shared" si="71"/>
        <v>0</v>
      </c>
      <c r="P97" s="909">
        <f t="shared" si="72"/>
        <v>0</v>
      </c>
      <c r="Q97" s="910">
        <f t="shared" si="73"/>
        <v>0</v>
      </c>
      <c r="R97" s="909">
        <f t="shared" si="74"/>
        <v>0</v>
      </c>
      <c r="S97" s="909">
        <f t="shared" si="75"/>
        <v>5.8109244471670428E-11</v>
      </c>
      <c r="T97" s="909">
        <f t="shared" si="76"/>
        <v>-5.8109244471670428E-11</v>
      </c>
      <c r="U97" s="909">
        <f t="shared" si="77"/>
        <v>1.9950840601940181E-9</v>
      </c>
      <c r="V97" s="909">
        <f t="shared" si="78"/>
        <v>8640</v>
      </c>
      <c r="W97" s="909">
        <f t="shared" si="79"/>
        <v>0</v>
      </c>
      <c r="X97" s="909">
        <f t="shared" si="80"/>
        <v>8640</v>
      </c>
      <c r="Y97" s="909">
        <f t="shared" si="81"/>
        <v>0</v>
      </c>
      <c r="Z97" s="910">
        <f t="shared" si="82"/>
        <v>0</v>
      </c>
      <c r="AA97" s="909">
        <f t="shared" si="83"/>
        <v>0</v>
      </c>
      <c r="AB97" s="910">
        <f t="shared" si="84"/>
        <v>0</v>
      </c>
      <c r="AC97" s="911">
        <f t="shared" si="85"/>
        <v>0</v>
      </c>
      <c r="AD97" s="911">
        <f t="shared" si="86"/>
        <v>0</v>
      </c>
      <c r="AE97" s="909">
        <f t="shared" si="87"/>
        <v>68894.903999999995</v>
      </c>
      <c r="AF97" s="912">
        <f t="shared" si="54"/>
        <v>31201.841676707001</v>
      </c>
      <c r="AG97" s="909">
        <f t="shared" si="88"/>
        <v>77534.903999999995</v>
      </c>
      <c r="AH97" s="917">
        <f t="shared" si="89"/>
        <v>8640</v>
      </c>
      <c r="AI97" s="909" t="str">
        <f t="shared" si="90"/>
        <v/>
      </c>
      <c r="AJ97" s="916" t="str">
        <f t="shared" si="91"/>
        <v/>
      </c>
      <c r="AK97" s="916" t="str">
        <f t="shared" si="92"/>
        <v/>
      </c>
      <c r="AL97" s="909" t="str">
        <f t="shared" si="93"/>
        <v/>
      </c>
      <c r="AM97" s="918">
        <f t="shared" si="94"/>
        <v>8640</v>
      </c>
      <c r="AN97" s="915">
        <f t="shared" si="55"/>
        <v>40</v>
      </c>
      <c r="AO97" s="653" t="str">
        <f t="shared" si="95"/>
        <v/>
      </c>
      <c r="AP97" s="916" t="str">
        <f t="shared" si="96"/>
        <v/>
      </c>
      <c r="AQ97" s="916" t="str">
        <f t="shared" si="97"/>
        <v/>
      </c>
      <c r="AR97" s="653"/>
      <c r="AS97" s="653">
        <v>40</v>
      </c>
      <c r="AT97" s="909">
        <f t="shared" si="56"/>
        <v>0</v>
      </c>
      <c r="AU97" s="909">
        <f t="shared" si="57"/>
        <v>0</v>
      </c>
      <c r="AV97" s="909">
        <f t="shared" si="58"/>
        <v>-2648.651104285691</v>
      </c>
      <c r="AW97" s="909">
        <f t="shared" si="59"/>
        <v>0</v>
      </c>
      <c r="AX97" s="909">
        <f t="shared" si="60"/>
        <v>0</v>
      </c>
      <c r="AY97" s="909">
        <f t="shared" si="61"/>
        <v>23768.855219940397</v>
      </c>
      <c r="AZ97" s="909">
        <f t="shared" si="62"/>
        <v>-2648.651104285691</v>
      </c>
      <c r="BA97" s="653"/>
      <c r="BB97" s="653">
        <f t="shared" si="98"/>
        <v>40</v>
      </c>
      <c r="BC97" s="909">
        <f t="shared" si="99"/>
        <v>0</v>
      </c>
      <c r="BD97" s="909">
        <f t="shared" si="100"/>
        <v>-3343232.8147999998</v>
      </c>
      <c r="BE97" s="909">
        <f t="shared" si="101"/>
        <v>-353448.45151245408</v>
      </c>
      <c r="BF97" s="909">
        <f t="shared" si="102"/>
        <v>0</v>
      </c>
      <c r="BG97" s="909">
        <f t="shared" si="103"/>
        <v>449467.00826666923</v>
      </c>
      <c r="BH97" s="909">
        <f t="shared" si="104"/>
        <v>1792202.6260019878</v>
      </c>
      <c r="BI97" s="909">
        <f t="shared" si="105"/>
        <v>-3247214.2580457847</v>
      </c>
      <c r="BJ97" s="909"/>
      <c r="BK97" s="653">
        <v>40</v>
      </c>
      <c r="BL97" s="909">
        <f t="shared" si="63"/>
        <v>0</v>
      </c>
      <c r="BM97" s="909">
        <f t="shared" si="64"/>
        <v>0</v>
      </c>
      <c r="BN97" s="909">
        <f t="shared" si="65"/>
        <v>-8640</v>
      </c>
      <c r="BO97" s="909">
        <f t="shared" si="66"/>
        <v>0</v>
      </c>
      <c r="BP97" s="909">
        <f t="shared" si="67"/>
        <v>0</v>
      </c>
      <c r="BQ97" s="909">
        <f t="shared" si="68"/>
        <v>77534.903999999995</v>
      </c>
      <c r="BR97" s="909">
        <f t="shared" si="69"/>
        <v>-8640</v>
      </c>
      <c r="BS97" s="653"/>
      <c r="BT97" s="653"/>
      <c r="BU97" s="653"/>
      <c r="BV97" s="654"/>
    </row>
    <row r="98" spans="2:74" x14ac:dyDescent="0.25">
      <c r="B98" s="651"/>
      <c r="C98" s="653"/>
      <c r="D98" s="653"/>
      <c r="E98" s="653"/>
      <c r="F98" s="653"/>
      <c r="G98" s="653"/>
      <c r="H98" s="653"/>
      <c r="I98" s="653"/>
      <c r="J98" s="653"/>
      <c r="K98" s="653"/>
      <c r="L98" s="653"/>
      <c r="M98" s="651">
        <v>41</v>
      </c>
      <c r="N98" s="909">
        <f t="shared" si="70"/>
        <v>0</v>
      </c>
      <c r="O98" s="909">
        <f t="shared" si="71"/>
        <v>0</v>
      </c>
      <c r="P98" s="909">
        <f t="shared" si="72"/>
        <v>0</v>
      </c>
      <c r="Q98" s="910">
        <f t="shared" si="73"/>
        <v>0</v>
      </c>
      <c r="R98" s="909">
        <f t="shared" si="74"/>
        <v>0</v>
      </c>
      <c r="S98" s="909">
        <f t="shared" si="75"/>
        <v>5.9852521805820541E-11</v>
      </c>
      <c r="T98" s="909">
        <f t="shared" si="76"/>
        <v>-5.9852521805820541E-11</v>
      </c>
      <c r="U98" s="909">
        <f t="shared" si="77"/>
        <v>2.0549365819998386E-9</v>
      </c>
      <c r="V98" s="909">
        <f t="shared" si="78"/>
        <v>8640</v>
      </c>
      <c r="W98" s="909">
        <f t="shared" si="79"/>
        <v>0</v>
      </c>
      <c r="X98" s="909">
        <f t="shared" si="80"/>
        <v>8640</v>
      </c>
      <c r="Y98" s="909">
        <f t="shared" si="81"/>
        <v>0</v>
      </c>
      <c r="Z98" s="910">
        <f t="shared" si="82"/>
        <v>0</v>
      </c>
      <c r="AA98" s="909">
        <f t="shared" si="83"/>
        <v>0</v>
      </c>
      <c r="AB98" s="910">
        <f t="shared" si="84"/>
        <v>0</v>
      </c>
      <c r="AC98" s="911">
        <f t="shared" si="85"/>
        <v>0</v>
      </c>
      <c r="AD98" s="911">
        <f t="shared" si="86"/>
        <v>0</v>
      </c>
      <c r="AE98" s="909">
        <f t="shared" si="87"/>
        <v>68894.903999999995</v>
      </c>
      <c r="AF98" s="912">
        <f t="shared" si="54"/>
        <v>30590.04085951667</v>
      </c>
      <c r="AG98" s="909">
        <f t="shared" si="88"/>
        <v>77534.903999999995</v>
      </c>
      <c r="AH98" s="917">
        <f t="shared" si="89"/>
        <v>8640</v>
      </c>
      <c r="AI98" s="909" t="str">
        <f t="shared" si="90"/>
        <v/>
      </c>
      <c r="AJ98" s="916" t="str">
        <f t="shared" si="91"/>
        <v/>
      </c>
      <c r="AK98" s="916" t="str">
        <f t="shared" si="92"/>
        <v/>
      </c>
      <c r="AL98" s="909" t="str">
        <f t="shared" si="93"/>
        <v/>
      </c>
      <c r="AM98" s="918">
        <f t="shared" si="94"/>
        <v>8640</v>
      </c>
      <c r="AN98" s="915">
        <f t="shared" si="55"/>
        <v>41</v>
      </c>
      <c r="AO98" s="653" t="str">
        <f t="shared" si="95"/>
        <v/>
      </c>
      <c r="AP98" s="916" t="str">
        <f t="shared" si="96"/>
        <v/>
      </c>
      <c r="AQ98" s="916" t="str">
        <f t="shared" si="97"/>
        <v/>
      </c>
      <c r="AR98" s="653"/>
      <c r="AS98" s="653">
        <v>41</v>
      </c>
      <c r="AT98" s="909">
        <f t="shared" si="56"/>
        <v>0</v>
      </c>
      <c r="AU98" s="909">
        <f t="shared" si="57"/>
        <v>0</v>
      </c>
      <c r="AV98" s="909">
        <f t="shared" si="58"/>
        <v>-2571.5059264909623</v>
      </c>
      <c r="AW98" s="909">
        <f t="shared" si="59"/>
        <v>0</v>
      </c>
      <c r="AX98" s="909">
        <f t="shared" si="60"/>
        <v>0</v>
      </c>
      <c r="AY98" s="909">
        <f t="shared" si="61"/>
        <v>23076.558465961552</v>
      </c>
      <c r="AZ98" s="909">
        <f t="shared" si="62"/>
        <v>-2571.5059264909623</v>
      </c>
      <c r="BA98" s="653"/>
      <c r="BB98" s="653">
        <f t="shared" si="98"/>
        <v>41</v>
      </c>
      <c r="BC98" s="909">
        <f t="shared" si="99"/>
        <v>0</v>
      </c>
      <c r="BD98" s="909">
        <f t="shared" si="100"/>
        <v>-3343232.8147999998</v>
      </c>
      <c r="BE98" s="909">
        <f t="shared" si="101"/>
        <v>-356019.95743894501</v>
      </c>
      <c r="BF98" s="909">
        <f t="shared" si="102"/>
        <v>0</v>
      </c>
      <c r="BG98" s="909">
        <f t="shared" si="103"/>
        <v>449467.00826666923</v>
      </c>
      <c r="BH98" s="909">
        <f t="shared" si="104"/>
        <v>1815279.1844679494</v>
      </c>
      <c r="BI98" s="909">
        <f t="shared" si="105"/>
        <v>-3249785.7639722754</v>
      </c>
      <c r="BJ98" s="909"/>
      <c r="BK98" s="653">
        <v>41</v>
      </c>
      <c r="BL98" s="909">
        <f t="shared" si="63"/>
        <v>0</v>
      </c>
      <c r="BM98" s="909">
        <f t="shared" si="64"/>
        <v>0</v>
      </c>
      <c r="BN98" s="909">
        <f t="shared" si="65"/>
        <v>-8640</v>
      </c>
      <c r="BO98" s="909">
        <f t="shared" si="66"/>
        <v>0</v>
      </c>
      <c r="BP98" s="909">
        <f t="shared" si="67"/>
        <v>0</v>
      </c>
      <c r="BQ98" s="909">
        <f t="shared" si="68"/>
        <v>77534.903999999995</v>
      </c>
      <c r="BR98" s="909">
        <f t="shared" si="69"/>
        <v>-8640</v>
      </c>
      <c r="BS98" s="653"/>
      <c r="BT98" s="653"/>
      <c r="BU98" s="653"/>
      <c r="BV98" s="654"/>
    </row>
    <row r="99" spans="2:74" x14ac:dyDescent="0.25">
      <c r="B99" s="651"/>
      <c r="C99" s="653"/>
      <c r="D99" s="653"/>
      <c r="E99" s="653"/>
      <c r="F99" s="653"/>
      <c r="G99" s="653"/>
      <c r="H99" s="653"/>
      <c r="I99" s="653"/>
      <c r="J99" s="653"/>
      <c r="K99" s="653"/>
      <c r="L99" s="653"/>
      <c r="M99" s="651">
        <v>42</v>
      </c>
      <c r="N99" s="909">
        <f t="shared" si="70"/>
        <v>0</v>
      </c>
      <c r="O99" s="909">
        <f t="shared" si="71"/>
        <v>0</v>
      </c>
      <c r="P99" s="909">
        <f t="shared" si="72"/>
        <v>0</v>
      </c>
      <c r="Q99" s="910">
        <f t="shared" si="73"/>
        <v>0</v>
      </c>
      <c r="R99" s="909">
        <f t="shared" si="74"/>
        <v>0</v>
      </c>
      <c r="S99" s="909">
        <f t="shared" si="75"/>
        <v>6.164809745999516E-11</v>
      </c>
      <c r="T99" s="909">
        <f t="shared" si="76"/>
        <v>-6.164809745999516E-11</v>
      </c>
      <c r="U99" s="909">
        <f t="shared" si="77"/>
        <v>2.1165846794598336E-9</v>
      </c>
      <c r="V99" s="909">
        <f t="shared" si="78"/>
        <v>8640</v>
      </c>
      <c r="W99" s="909">
        <f t="shared" si="79"/>
        <v>0</v>
      </c>
      <c r="X99" s="909">
        <f t="shared" si="80"/>
        <v>8640</v>
      </c>
      <c r="Y99" s="909">
        <f t="shared" si="81"/>
        <v>0</v>
      </c>
      <c r="Z99" s="910">
        <f t="shared" si="82"/>
        <v>0</v>
      </c>
      <c r="AA99" s="909">
        <f t="shared" si="83"/>
        <v>0</v>
      </c>
      <c r="AB99" s="910">
        <f t="shared" si="84"/>
        <v>0</v>
      </c>
      <c r="AC99" s="911">
        <f t="shared" si="85"/>
        <v>0</v>
      </c>
      <c r="AD99" s="911">
        <f t="shared" si="86"/>
        <v>0</v>
      </c>
      <c r="AE99" s="909">
        <f t="shared" si="87"/>
        <v>68894.903999999995</v>
      </c>
      <c r="AF99" s="912">
        <f t="shared" si="54"/>
        <v>29990.236136781052</v>
      </c>
      <c r="AG99" s="909">
        <f t="shared" si="88"/>
        <v>77534.903999999995</v>
      </c>
      <c r="AH99" s="917">
        <f t="shared" si="89"/>
        <v>8640</v>
      </c>
      <c r="AI99" s="909" t="str">
        <f t="shared" si="90"/>
        <v/>
      </c>
      <c r="AJ99" s="916" t="str">
        <f t="shared" si="91"/>
        <v/>
      </c>
      <c r="AK99" s="916" t="str">
        <f t="shared" si="92"/>
        <v/>
      </c>
      <c r="AL99" s="909" t="str">
        <f t="shared" si="93"/>
        <v/>
      </c>
      <c r="AM99" s="918">
        <f t="shared" si="94"/>
        <v>8640</v>
      </c>
      <c r="AN99" s="915">
        <f t="shared" si="55"/>
        <v>42</v>
      </c>
      <c r="AO99" s="653" t="str">
        <f t="shared" si="95"/>
        <v/>
      </c>
      <c r="AP99" s="916" t="str">
        <f t="shared" si="96"/>
        <v/>
      </c>
      <c r="AQ99" s="916" t="str">
        <f t="shared" si="97"/>
        <v/>
      </c>
      <c r="AR99" s="653"/>
      <c r="AS99" s="653">
        <v>42</v>
      </c>
      <c r="AT99" s="909">
        <f t="shared" si="56"/>
        <v>0</v>
      </c>
      <c r="AU99" s="909">
        <f t="shared" si="57"/>
        <v>0</v>
      </c>
      <c r="AV99" s="909">
        <f t="shared" si="58"/>
        <v>-2496.6076956222932</v>
      </c>
      <c r="AW99" s="909">
        <f t="shared" si="59"/>
        <v>0</v>
      </c>
      <c r="AX99" s="909">
        <f t="shared" si="60"/>
        <v>0</v>
      </c>
      <c r="AY99" s="909">
        <f t="shared" si="61"/>
        <v>22404.425695108301</v>
      </c>
      <c r="AZ99" s="909">
        <f t="shared" si="62"/>
        <v>-2496.6076956222932</v>
      </c>
      <c r="BA99" s="653"/>
      <c r="BB99" s="653">
        <f t="shared" si="98"/>
        <v>42</v>
      </c>
      <c r="BC99" s="909">
        <f t="shared" si="99"/>
        <v>0</v>
      </c>
      <c r="BD99" s="909">
        <f t="shared" si="100"/>
        <v>-3343232.8147999998</v>
      </c>
      <c r="BE99" s="909">
        <f t="shared" si="101"/>
        <v>-358516.56513456733</v>
      </c>
      <c r="BF99" s="909">
        <f t="shared" si="102"/>
        <v>0</v>
      </c>
      <c r="BG99" s="909">
        <f t="shared" si="103"/>
        <v>449467.00826666923</v>
      </c>
      <c r="BH99" s="909">
        <f t="shared" si="104"/>
        <v>1837683.6101630577</v>
      </c>
      <c r="BI99" s="909">
        <f t="shared" si="105"/>
        <v>-3252282.3716678978</v>
      </c>
      <c r="BJ99" s="909"/>
      <c r="BK99" s="653">
        <v>42</v>
      </c>
      <c r="BL99" s="909">
        <f t="shared" si="63"/>
        <v>0</v>
      </c>
      <c r="BM99" s="909">
        <f t="shared" si="64"/>
        <v>0</v>
      </c>
      <c r="BN99" s="909">
        <f t="shared" si="65"/>
        <v>-8640</v>
      </c>
      <c r="BO99" s="909">
        <f t="shared" si="66"/>
        <v>0</v>
      </c>
      <c r="BP99" s="909">
        <f t="shared" si="67"/>
        <v>0</v>
      </c>
      <c r="BQ99" s="909">
        <f t="shared" si="68"/>
        <v>77534.903999999995</v>
      </c>
      <c r="BR99" s="909">
        <f t="shared" si="69"/>
        <v>-8640</v>
      </c>
      <c r="BS99" s="653"/>
      <c r="BT99" s="653"/>
      <c r="BU99" s="653"/>
      <c r="BV99" s="654"/>
    </row>
    <row r="100" spans="2:74" x14ac:dyDescent="0.25">
      <c r="B100" s="651"/>
      <c r="C100" s="653"/>
      <c r="D100" s="653"/>
      <c r="E100" s="653"/>
      <c r="F100" s="653"/>
      <c r="G100" s="653"/>
      <c r="H100" s="653"/>
      <c r="I100" s="653"/>
      <c r="J100" s="653"/>
      <c r="K100" s="653"/>
      <c r="L100" s="653"/>
      <c r="M100" s="651">
        <v>43</v>
      </c>
      <c r="N100" s="909">
        <f t="shared" si="70"/>
        <v>0</v>
      </c>
      <c r="O100" s="909">
        <f t="shared" si="71"/>
        <v>0</v>
      </c>
      <c r="P100" s="909">
        <f t="shared" si="72"/>
        <v>0</v>
      </c>
      <c r="Q100" s="910">
        <f t="shared" si="73"/>
        <v>0</v>
      </c>
      <c r="R100" s="909">
        <f t="shared" si="74"/>
        <v>0</v>
      </c>
      <c r="S100" s="909">
        <f t="shared" si="75"/>
        <v>6.3497540383795004E-11</v>
      </c>
      <c r="T100" s="909">
        <f t="shared" si="76"/>
        <v>-6.3497540383795004E-11</v>
      </c>
      <c r="U100" s="909">
        <f t="shared" si="77"/>
        <v>2.1800822198436287E-9</v>
      </c>
      <c r="V100" s="909">
        <f t="shared" si="78"/>
        <v>8640</v>
      </c>
      <c r="W100" s="909">
        <f t="shared" si="79"/>
        <v>0</v>
      </c>
      <c r="X100" s="909">
        <f t="shared" si="80"/>
        <v>8640</v>
      </c>
      <c r="Y100" s="909">
        <f t="shared" si="81"/>
        <v>0</v>
      </c>
      <c r="Z100" s="910">
        <f t="shared" si="82"/>
        <v>0</v>
      </c>
      <c r="AA100" s="909">
        <f t="shared" si="83"/>
        <v>0</v>
      </c>
      <c r="AB100" s="910">
        <f t="shared" si="84"/>
        <v>0</v>
      </c>
      <c r="AC100" s="911">
        <f t="shared" si="85"/>
        <v>0</v>
      </c>
      <c r="AD100" s="911">
        <f t="shared" si="86"/>
        <v>0</v>
      </c>
      <c r="AE100" s="909">
        <f t="shared" si="87"/>
        <v>68894.903999999995</v>
      </c>
      <c r="AF100" s="912">
        <f t="shared" si="54"/>
        <v>29402.192290961819</v>
      </c>
      <c r="AG100" s="909">
        <f t="shared" si="88"/>
        <v>77534.903999999995</v>
      </c>
      <c r="AH100" s="917">
        <f t="shared" si="89"/>
        <v>8640</v>
      </c>
      <c r="AI100" s="909" t="str">
        <f t="shared" si="90"/>
        <v/>
      </c>
      <c r="AJ100" s="916" t="str">
        <f t="shared" si="91"/>
        <v/>
      </c>
      <c r="AK100" s="916" t="str">
        <f t="shared" si="92"/>
        <v/>
      </c>
      <c r="AL100" s="909" t="str">
        <f t="shared" si="93"/>
        <v/>
      </c>
      <c r="AM100" s="918">
        <f t="shared" si="94"/>
        <v>8640</v>
      </c>
      <c r="AN100" s="915">
        <f t="shared" si="55"/>
        <v>43</v>
      </c>
      <c r="AO100" s="653" t="str">
        <f t="shared" si="95"/>
        <v/>
      </c>
      <c r="AP100" s="916" t="str">
        <f t="shared" si="96"/>
        <v/>
      </c>
      <c r="AQ100" s="916" t="str">
        <f t="shared" si="97"/>
        <v/>
      </c>
      <c r="AR100" s="653"/>
      <c r="AS100" s="653">
        <v>43</v>
      </c>
      <c r="AT100" s="909">
        <f t="shared" si="56"/>
        <v>0</v>
      </c>
      <c r="AU100" s="909">
        <f t="shared" si="57"/>
        <v>0</v>
      </c>
      <c r="AV100" s="909">
        <f t="shared" si="58"/>
        <v>-2423.8909666235859</v>
      </c>
      <c r="AW100" s="909">
        <f t="shared" si="59"/>
        <v>0</v>
      </c>
      <c r="AX100" s="909">
        <f t="shared" si="60"/>
        <v>0</v>
      </c>
      <c r="AY100" s="909">
        <f t="shared" si="61"/>
        <v>21751.869606901262</v>
      </c>
      <c r="AZ100" s="909">
        <f t="shared" si="62"/>
        <v>-2423.8909666235859</v>
      </c>
      <c r="BA100" s="653"/>
      <c r="BB100" s="653">
        <f t="shared" si="98"/>
        <v>43</v>
      </c>
      <c r="BC100" s="909">
        <f t="shared" si="99"/>
        <v>0</v>
      </c>
      <c r="BD100" s="909">
        <f t="shared" si="100"/>
        <v>-3343232.8147999998</v>
      </c>
      <c r="BE100" s="909">
        <f t="shared" si="101"/>
        <v>-360940.45610119094</v>
      </c>
      <c r="BF100" s="909">
        <f t="shared" si="102"/>
        <v>0</v>
      </c>
      <c r="BG100" s="909">
        <f t="shared" si="103"/>
        <v>449467.00826666923</v>
      </c>
      <c r="BH100" s="909">
        <f t="shared" si="104"/>
        <v>1859435.4797699589</v>
      </c>
      <c r="BI100" s="909">
        <f t="shared" si="105"/>
        <v>-3254706.2626345214</v>
      </c>
      <c r="BJ100" s="909"/>
      <c r="BK100" s="653">
        <v>43</v>
      </c>
      <c r="BL100" s="909">
        <f t="shared" si="63"/>
        <v>0</v>
      </c>
      <c r="BM100" s="909">
        <f t="shared" si="64"/>
        <v>0</v>
      </c>
      <c r="BN100" s="909">
        <f t="shared" si="65"/>
        <v>-8640</v>
      </c>
      <c r="BO100" s="909">
        <f t="shared" si="66"/>
        <v>0</v>
      </c>
      <c r="BP100" s="909">
        <f t="shared" si="67"/>
        <v>0</v>
      </c>
      <c r="BQ100" s="909">
        <f t="shared" si="68"/>
        <v>77534.903999999995</v>
      </c>
      <c r="BR100" s="909">
        <f t="shared" si="69"/>
        <v>-8640</v>
      </c>
      <c r="BS100" s="653"/>
      <c r="BT100" s="653"/>
      <c r="BU100" s="653"/>
      <c r="BV100" s="654"/>
    </row>
    <row r="101" spans="2:74" x14ac:dyDescent="0.25">
      <c r="B101" s="651"/>
      <c r="C101" s="653"/>
      <c r="D101" s="653"/>
      <c r="E101" s="653"/>
      <c r="F101" s="653"/>
      <c r="G101" s="653"/>
      <c r="H101" s="653"/>
      <c r="I101" s="653"/>
      <c r="J101" s="653"/>
      <c r="K101" s="653"/>
      <c r="L101" s="653"/>
      <c r="M101" s="651">
        <v>44</v>
      </c>
      <c r="N101" s="909">
        <f t="shared" si="70"/>
        <v>0</v>
      </c>
      <c r="O101" s="909">
        <f t="shared" si="71"/>
        <v>0</v>
      </c>
      <c r="P101" s="909">
        <f t="shared" si="72"/>
        <v>0</v>
      </c>
      <c r="Q101" s="910">
        <f t="shared" si="73"/>
        <v>0</v>
      </c>
      <c r="R101" s="909">
        <f t="shared" si="74"/>
        <v>0</v>
      </c>
      <c r="S101" s="909">
        <f t="shared" si="75"/>
        <v>6.5402466595308862E-11</v>
      </c>
      <c r="T101" s="909">
        <f t="shared" si="76"/>
        <v>-6.5402466595308862E-11</v>
      </c>
      <c r="U101" s="909">
        <f t="shared" si="77"/>
        <v>2.2454846864389374E-9</v>
      </c>
      <c r="V101" s="909">
        <f t="shared" si="78"/>
        <v>8640</v>
      </c>
      <c r="W101" s="909">
        <f t="shared" si="79"/>
        <v>0</v>
      </c>
      <c r="X101" s="909">
        <f t="shared" si="80"/>
        <v>8640</v>
      </c>
      <c r="Y101" s="909">
        <f t="shared" si="81"/>
        <v>0</v>
      </c>
      <c r="Z101" s="910">
        <f t="shared" si="82"/>
        <v>0</v>
      </c>
      <c r="AA101" s="909">
        <f t="shared" si="83"/>
        <v>0</v>
      </c>
      <c r="AB101" s="910">
        <f t="shared" si="84"/>
        <v>0</v>
      </c>
      <c r="AC101" s="911">
        <f t="shared" si="85"/>
        <v>0</v>
      </c>
      <c r="AD101" s="911">
        <f t="shared" si="86"/>
        <v>0</v>
      </c>
      <c r="AE101" s="909">
        <f t="shared" si="87"/>
        <v>68894.903999999995</v>
      </c>
      <c r="AF101" s="912">
        <f t="shared" si="54"/>
        <v>28825.678716629227</v>
      </c>
      <c r="AG101" s="909">
        <f t="shared" si="88"/>
        <v>77534.903999999995</v>
      </c>
      <c r="AH101" s="917">
        <f t="shared" si="89"/>
        <v>8640</v>
      </c>
      <c r="AI101" s="909" t="str">
        <f t="shared" si="90"/>
        <v/>
      </c>
      <c r="AJ101" s="916" t="str">
        <f t="shared" si="91"/>
        <v/>
      </c>
      <c r="AK101" s="916" t="str">
        <f t="shared" si="92"/>
        <v/>
      </c>
      <c r="AL101" s="909" t="str">
        <f t="shared" si="93"/>
        <v/>
      </c>
      <c r="AM101" s="918">
        <f t="shared" si="94"/>
        <v>8640</v>
      </c>
      <c r="AN101" s="915">
        <f t="shared" si="55"/>
        <v>44</v>
      </c>
      <c r="AO101" s="653" t="str">
        <f t="shared" si="95"/>
        <v/>
      </c>
      <c r="AP101" s="916" t="str">
        <f t="shared" si="96"/>
        <v/>
      </c>
      <c r="AQ101" s="916" t="str">
        <f t="shared" si="97"/>
        <v/>
      </c>
      <c r="AR101" s="653"/>
      <c r="AS101" s="653">
        <v>44</v>
      </c>
      <c r="AT101" s="909">
        <f t="shared" si="56"/>
        <v>0</v>
      </c>
      <c r="AU101" s="909">
        <f t="shared" si="57"/>
        <v>0</v>
      </c>
      <c r="AV101" s="909">
        <f t="shared" si="58"/>
        <v>-2353.2922006054232</v>
      </c>
      <c r="AW101" s="909">
        <f t="shared" si="59"/>
        <v>0</v>
      </c>
      <c r="AX101" s="909">
        <f t="shared" si="60"/>
        <v>0</v>
      </c>
      <c r="AY101" s="909">
        <f t="shared" si="61"/>
        <v>21118.320006700258</v>
      </c>
      <c r="AZ101" s="909">
        <f t="shared" si="62"/>
        <v>-2353.2922006054232</v>
      </c>
      <c r="BA101" s="653"/>
      <c r="BB101" s="653">
        <f t="shared" si="98"/>
        <v>44</v>
      </c>
      <c r="BC101" s="909">
        <f t="shared" si="99"/>
        <v>0</v>
      </c>
      <c r="BD101" s="909">
        <f t="shared" si="100"/>
        <v>-3343232.8147999998</v>
      </c>
      <c r="BE101" s="909">
        <f t="shared" si="101"/>
        <v>-363293.74830179638</v>
      </c>
      <c r="BF101" s="909">
        <f t="shared" si="102"/>
        <v>0</v>
      </c>
      <c r="BG101" s="909">
        <f t="shared" si="103"/>
        <v>449467.00826666923</v>
      </c>
      <c r="BH101" s="909">
        <f t="shared" si="104"/>
        <v>1880553.7997766591</v>
      </c>
      <c r="BI101" s="909">
        <f t="shared" si="105"/>
        <v>-3257059.5548351267</v>
      </c>
      <c r="BJ101" s="909"/>
      <c r="BK101" s="653">
        <v>44</v>
      </c>
      <c r="BL101" s="909">
        <f t="shared" si="63"/>
        <v>0</v>
      </c>
      <c r="BM101" s="909">
        <f t="shared" si="64"/>
        <v>0</v>
      </c>
      <c r="BN101" s="909">
        <f t="shared" si="65"/>
        <v>-8640</v>
      </c>
      <c r="BO101" s="909">
        <f t="shared" si="66"/>
        <v>0</v>
      </c>
      <c r="BP101" s="909">
        <f t="shared" si="67"/>
        <v>0</v>
      </c>
      <c r="BQ101" s="909">
        <f t="shared" si="68"/>
        <v>77534.903999999995</v>
      </c>
      <c r="BR101" s="909">
        <f t="shared" si="69"/>
        <v>-8640</v>
      </c>
      <c r="BS101" s="653"/>
      <c r="BT101" s="653"/>
      <c r="BU101" s="653"/>
      <c r="BV101" s="654"/>
    </row>
    <row r="102" spans="2:74" x14ac:dyDescent="0.25">
      <c r="B102" s="651"/>
      <c r="C102" s="653"/>
      <c r="D102" s="653"/>
      <c r="E102" s="653"/>
      <c r="F102" s="653"/>
      <c r="G102" s="653"/>
      <c r="H102" s="653"/>
      <c r="I102" s="653"/>
      <c r="J102" s="653"/>
      <c r="K102" s="653"/>
      <c r="L102" s="653"/>
      <c r="M102" s="651">
        <v>45</v>
      </c>
      <c r="N102" s="909">
        <f t="shared" si="70"/>
        <v>0</v>
      </c>
      <c r="O102" s="909">
        <f t="shared" si="71"/>
        <v>0</v>
      </c>
      <c r="P102" s="909">
        <f t="shared" si="72"/>
        <v>0</v>
      </c>
      <c r="Q102" s="910">
        <f t="shared" si="73"/>
        <v>0</v>
      </c>
      <c r="R102" s="909">
        <f t="shared" si="74"/>
        <v>0</v>
      </c>
      <c r="S102" s="909">
        <f t="shared" si="75"/>
        <v>6.7364540593168126E-11</v>
      </c>
      <c r="T102" s="909">
        <f t="shared" si="76"/>
        <v>-6.7364540593168126E-11</v>
      </c>
      <c r="U102" s="909">
        <f t="shared" si="77"/>
        <v>2.3128492270321053E-9</v>
      </c>
      <c r="V102" s="909">
        <f t="shared" si="78"/>
        <v>8640</v>
      </c>
      <c r="W102" s="909">
        <f t="shared" si="79"/>
        <v>0</v>
      </c>
      <c r="X102" s="909">
        <f t="shared" si="80"/>
        <v>8640</v>
      </c>
      <c r="Y102" s="909">
        <f t="shared" si="81"/>
        <v>0</v>
      </c>
      <c r="Z102" s="910">
        <f t="shared" si="82"/>
        <v>0</v>
      </c>
      <c r="AA102" s="909">
        <f t="shared" si="83"/>
        <v>0</v>
      </c>
      <c r="AB102" s="910">
        <f t="shared" si="84"/>
        <v>0</v>
      </c>
      <c r="AC102" s="911">
        <f t="shared" si="85"/>
        <v>0</v>
      </c>
      <c r="AD102" s="911">
        <f t="shared" si="86"/>
        <v>0</v>
      </c>
      <c r="AE102" s="909">
        <f t="shared" si="87"/>
        <v>68894.903999999995</v>
      </c>
      <c r="AF102" s="912">
        <f t="shared" si="54"/>
        <v>28260.469330028656</v>
      </c>
      <c r="AG102" s="909">
        <f t="shared" si="88"/>
        <v>77534.903999999995</v>
      </c>
      <c r="AH102" s="917">
        <f t="shared" si="89"/>
        <v>8640</v>
      </c>
      <c r="AI102" s="909" t="str">
        <f t="shared" si="90"/>
        <v/>
      </c>
      <c r="AJ102" s="916" t="str">
        <f t="shared" si="91"/>
        <v/>
      </c>
      <c r="AK102" s="916" t="str">
        <f t="shared" si="92"/>
        <v/>
      </c>
      <c r="AL102" s="909" t="str">
        <f t="shared" si="93"/>
        <v/>
      </c>
      <c r="AM102" s="918">
        <f t="shared" si="94"/>
        <v>8640</v>
      </c>
      <c r="AN102" s="915">
        <f t="shared" si="55"/>
        <v>45</v>
      </c>
      <c r="AO102" s="653" t="str">
        <f t="shared" si="95"/>
        <v/>
      </c>
      <c r="AP102" s="916" t="str">
        <f t="shared" si="96"/>
        <v/>
      </c>
      <c r="AQ102" s="916" t="str">
        <f t="shared" si="97"/>
        <v/>
      </c>
      <c r="AR102" s="653"/>
      <c r="AS102" s="653">
        <v>45</v>
      </c>
      <c r="AT102" s="909">
        <f t="shared" si="56"/>
        <v>0</v>
      </c>
      <c r="AU102" s="909">
        <f t="shared" si="57"/>
        <v>0</v>
      </c>
      <c r="AV102" s="909">
        <f t="shared" si="58"/>
        <v>-2284.7497093256538</v>
      </c>
      <c r="AW102" s="909">
        <f t="shared" si="59"/>
        <v>0</v>
      </c>
      <c r="AX102" s="909">
        <f t="shared" si="60"/>
        <v>0</v>
      </c>
      <c r="AY102" s="909">
        <f t="shared" si="61"/>
        <v>20503.223307475979</v>
      </c>
      <c r="AZ102" s="909">
        <f t="shared" si="62"/>
        <v>-2284.7497093256538</v>
      </c>
      <c r="BA102" s="653"/>
      <c r="BB102" s="653">
        <f t="shared" si="98"/>
        <v>45</v>
      </c>
      <c r="BC102" s="909">
        <f t="shared" si="99"/>
        <v>0</v>
      </c>
      <c r="BD102" s="909">
        <f t="shared" si="100"/>
        <v>-3343232.8147999998</v>
      </c>
      <c r="BE102" s="909">
        <f t="shared" si="101"/>
        <v>-365578.49801112205</v>
      </c>
      <c r="BF102" s="909">
        <f t="shared" si="102"/>
        <v>0</v>
      </c>
      <c r="BG102" s="909">
        <f t="shared" si="103"/>
        <v>449467.00826666923</v>
      </c>
      <c r="BH102" s="909">
        <f t="shared" si="104"/>
        <v>1901057.023084135</v>
      </c>
      <c r="BI102" s="909">
        <f t="shared" si="105"/>
        <v>-3259344.3045444526</v>
      </c>
      <c r="BJ102" s="909"/>
      <c r="BK102" s="653">
        <v>45</v>
      </c>
      <c r="BL102" s="909">
        <f t="shared" si="63"/>
        <v>0</v>
      </c>
      <c r="BM102" s="909">
        <f t="shared" si="64"/>
        <v>0</v>
      </c>
      <c r="BN102" s="909">
        <f t="shared" si="65"/>
        <v>-8640</v>
      </c>
      <c r="BO102" s="909">
        <f t="shared" si="66"/>
        <v>0</v>
      </c>
      <c r="BP102" s="909">
        <f t="shared" si="67"/>
        <v>0</v>
      </c>
      <c r="BQ102" s="909">
        <f t="shared" si="68"/>
        <v>77534.903999999995</v>
      </c>
      <c r="BR102" s="909">
        <f t="shared" si="69"/>
        <v>-8640</v>
      </c>
      <c r="BS102" s="653"/>
      <c r="BT102" s="653"/>
      <c r="BU102" s="653"/>
      <c r="BV102" s="654"/>
    </row>
    <row r="103" spans="2:74" x14ac:dyDescent="0.25">
      <c r="B103" s="651"/>
      <c r="C103" s="653"/>
      <c r="D103" s="653"/>
      <c r="E103" s="653"/>
      <c r="F103" s="653"/>
      <c r="G103" s="653"/>
      <c r="H103" s="653"/>
      <c r="I103" s="653"/>
      <c r="J103" s="653"/>
      <c r="K103" s="653"/>
      <c r="L103" s="653"/>
      <c r="M103" s="651">
        <v>46</v>
      </c>
      <c r="N103" s="909">
        <f t="shared" si="70"/>
        <v>0</v>
      </c>
      <c r="O103" s="909">
        <f t="shared" si="71"/>
        <v>0</v>
      </c>
      <c r="P103" s="909">
        <f t="shared" si="72"/>
        <v>0</v>
      </c>
      <c r="Q103" s="910">
        <f t="shared" si="73"/>
        <v>0</v>
      </c>
      <c r="R103" s="909">
        <f t="shared" si="74"/>
        <v>0</v>
      </c>
      <c r="S103" s="909">
        <f t="shared" si="75"/>
        <v>6.938547681096316E-11</v>
      </c>
      <c r="T103" s="909">
        <f t="shared" si="76"/>
        <v>-6.938547681096316E-11</v>
      </c>
      <c r="U103" s="909">
        <f t="shared" si="77"/>
        <v>2.3822347038430685E-9</v>
      </c>
      <c r="V103" s="909">
        <f t="shared" si="78"/>
        <v>8640</v>
      </c>
      <c r="W103" s="909">
        <f t="shared" si="79"/>
        <v>0</v>
      </c>
      <c r="X103" s="909">
        <f t="shared" si="80"/>
        <v>8640</v>
      </c>
      <c r="Y103" s="909">
        <f t="shared" si="81"/>
        <v>0</v>
      </c>
      <c r="Z103" s="910">
        <f t="shared" si="82"/>
        <v>0</v>
      </c>
      <c r="AA103" s="909">
        <f t="shared" si="83"/>
        <v>0</v>
      </c>
      <c r="AB103" s="910">
        <f t="shared" si="84"/>
        <v>0</v>
      </c>
      <c r="AC103" s="911">
        <f t="shared" si="85"/>
        <v>0</v>
      </c>
      <c r="AD103" s="911">
        <f t="shared" si="86"/>
        <v>0</v>
      </c>
      <c r="AE103" s="909">
        <f t="shared" si="87"/>
        <v>68894.903999999995</v>
      </c>
      <c r="AF103" s="912">
        <f t="shared" si="54"/>
        <v>27706.342480420248</v>
      </c>
      <c r="AG103" s="909">
        <f t="shared" si="88"/>
        <v>77534.903999999995</v>
      </c>
      <c r="AH103" s="917">
        <f t="shared" si="89"/>
        <v>8640</v>
      </c>
      <c r="AI103" s="909" t="str">
        <f t="shared" si="90"/>
        <v/>
      </c>
      <c r="AJ103" s="916" t="str">
        <f t="shared" si="91"/>
        <v/>
      </c>
      <c r="AK103" s="916" t="str">
        <f t="shared" si="92"/>
        <v/>
      </c>
      <c r="AL103" s="909" t="str">
        <f t="shared" si="93"/>
        <v/>
      </c>
      <c r="AM103" s="918">
        <f t="shared" si="94"/>
        <v>8640</v>
      </c>
      <c r="AN103" s="915">
        <f t="shared" si="55"/>
        <v>46</v>
      </c>
      <c r="AO103" s="653" t="str">
        <f t="shared" si="95"/>
        <v/>
      </c>
      <c r="AP103" s="916" t="str">
        <f t="shared" si="96"/>
        <v/>
      </c>
      <c r="AQ103" s="916" t="str">
        <f t="shared" si="97"/>
        <v/>
      </c>
      <c r="AR103" s="653"/>
      <c r="AS103" s="653">
        <v>46</v>
      </c>
      <c r="AT103" s="909">
        <f t="shared" si="56"/>
        <v>0</v>
      </c>
      <c r="AU103" s="909">
        <f t="shared" si="57"/>
        <v>0</v>
      </c>
      <c r="AV103" s="909">
        <f t="shared" si="58"/>
        <v>-2218.2036012870421</v>
      </c>
      <c r="AW103" s="909">
        <f t="shared" si="59"/>
        <v>0</v>
      </c>
      <c r="AX103" s="909">
        <f t="shared" si="60"/>
        <v>0</v>
      </c>
      <c r="AY103" s="909">
        <f t="shared" si="61"/>
        <v>19906.042046093182</v>
      </c>
      <c r="AZ103" s="909">
        <f t="shared" si="62"/>
        <v>-2218.2036012870421</v>
      </c>
      <c r="BA103" s="653"/>
      <c r="BB103" s="653">
        <f t="shared" si="98"/>
        <v>46</v>
      </c>
      <c r="BC103" s="909">
        <f t="shared" si="99"/>
        <v>0</v>
      </c>
      <c r="BD103" s="909">
        <f t="shared" si="100"/>
        <v>-3343232.8147999998</v>
      </c>
      <c r="BE103" s="909">
        <f t="shared" si="101"/>
        <v>-367796.70161240909</v>
      </c>
      <c r="BF103" s="909">
        <f t="shared" si="102"/>
        <v>0</v>
      </c>
      <c r="BG103" s="909">
        <f t="shared" si="103"/>
        <v>449467.00826666923</v>
      </c>
      <c r="BH103" s="909">
        <f t="shared" si="104"/>
        <v>1920963.0651302282</v>
      </c>
      <c r="BI103" s="909">
        <f t="shared" si="105"/>
        <v>-3261562.5081457398</v>
      </c>
      <c r="BJ103" s="909"/>
      <c r="BK103" s="653">
        <v>46</v>
      </c>
      <c r="BL103" s="909">
        <f t="shared" si="63"/>
        <v>0</v>
      </c>
      <c r="BM103" s="909">
        <f t="shared" si="64"/>
        <v>0</v>
      </c>
      <c r="BN103" s="909">
        <f t="shared" si="65"/>
        <v>-8640</v>
      </c>
      <c r="BO103" s="909">
        <f t="shared" si="66"/>
        <v>0</v>
      </c>
      <c r="BP103" s="909">
        <f t="shared" si="67"/>
        <v>0</v>
      </c>
      <c r="BQ103" s="909">
        <f t="shared" si="68"/>
        <v>77534.903999999995</v>
      </c>
      <c r="BR103" s="909">
        <f t="shared" si="69"/>
        <v>-8640</v>
      </c>
      <c r="BS103" s="653"/>
      <c r="BT103" s="653"/>
      <c r="BU103" s="653"/>
      <c r="BV103" s="654"/>
    </row>
    <row r="104" spans="2:74" x14ac:dyDescent="0.25">
      <c r="B104" s="651"/>
      <c r="C104" s="653"/>
      <c r="D104" s="653"/>
      <c r="E104" s="653"/>
      <c r="F104" s="653"/>
      <c r="G104" s="653"/>
      <c r="H104" s="653"/>
      <c r="I104" s="653"/>
      <c r="J104" s="653"/>
      <c r="K104" s="653"/>
      <c r="L104" s="653"/>
      <c r="M104" s="651">
        <v>47</v>
      </c>
      <c r="N104" s="909">
        <f t="shared" si="70"/>
        <v>0</v>
      </c>
      <c r="O104" s="909">
        <f t="shared" si="71"/>
        <v>0</v>
      </c>
      <c r="P104" s="909">
        <f t="shared" si="72"/>
        <v>0</v>
      </c>
      <c r="Q104" s="910">
        <f t="shared" si="73"/>
        <v>0</v>
      </c>
      <c r="R104" s="909">
        <f t="shared" si="74"/>
        <v>0</v>
      </c>
      <c r="S104" s="909">
        <f t="shared" si="75"/>
        <v>7.146704111529205E-11</v>
      </c>
      <c r="T104" s="909">
        <f t="shared" si="76"/>
        <v>-7.146704111529205E-11</v>
      </c>
      <c r="U104" s="909">
        <f t="shared" si="77"/>
        <v>2.4537017449583607E-9</v>
      </c>
      <c r="V104" s="909">
        <f t="shared" si="78"/>
        <v>8640</v>
      </c>
      <c r="W104" s="909">
        <f t="shared" si="79"/>
        <v>0</v>
      </c>
      <c r="X104" s="909">
        <f t="shared" si="80"/>
        <v>8640</v>
      </c>
      <c r="Y104" s="909">
        <f t="shared" si="81"/>
        <v>0</v>
      </c>
      <c r="Z104" s="910">
        <f t="shared" si="82"/>
        <v>0</v>
      </c>
      <c r="AA104" s="909">
        <f t="shared" si="83"/>
        <v>0</v>
      </c>
      <c r="AB104" s="910">
        <f t="shared" si="84"/>
        <v>0</v>
      </c>
      <c r="AC104" s="911">
        <f t="shared" si="85"/>
        <v>0</v>
      </c>
      <c r="AD104" s="911">
        <f t="shared" si="86"/>
        <v>0</v>
      </c>
      <c r="AE104" s="909">
        <f t="shared" si="87"/>
        <v>68894.903999999995</v>
      </c>
      <c r="AF104" s="912">
        <f t="shared" si="54"/>
        <v>27163.080863157116</v>
      </c>
      <c r="AG104" s="909">
        <f t="shared" si="88"/>
        <v>77534.903999999995</v>
      </c>
      <c r="AH104" s="917">
        <f t="shared" si="89"/>
        <v>8640</v>
      </c>
      <c r="AI104" s="909" t="str">
        <f t="shared" si="90"/>
        <v/>
      </c>
      <c r="AJ104" s="916" t="str">
        <f t="shared" si="91"/>
        <v/>
      </c>
      <c r="AK104" s="916" t="str">
        <f t="shared" si="92"/>
        <v/>
      </c>
      <c r="AL104" s="909" t="str">
        <f t="shared" si="93"/>
        <v/>
      </c>
      <c r="AM104" s="918">
        <f t="shared" si="94"/>
        <v>8640</v>
      </c>
      <c r="AN104" s="915">
        <f t="shared" si="55"/>
        <v>47</v>
      </c>
      <c r="AO104" s="653" t="str">
        <f t="shared" si="95"/>
        <v/>
      </c>
      <c r="AP104" s="916" t="str">
        <f t="shared" si="96"/>
        <v/>
      </c>
      <c r="AQ104" s="916" t="str">
        <f t="shared" si="97"/>
        <v/>
      </c>
      <c r="AR104" s="653"/>
      <c r="AS104" s="653">
        <v>47</v>
      </c>
      <c r="AT104" s="909">
        <f t="shared" si="56"/>
        <v>0</v>
      </c>
      <c r="AU104" s="909">
        <f t="shared" si="57"/>
        <v>0</v>
      </c>
      <c r="AV104" s="909">
        <f t="shared" si="58"/>
        <v>-2153.5957294048953</v>
      </c>
      <c r="AW104" s="909">
        <f t="shared" si="59"/>
        <v>0</v>
      </c>
      <c r="AX104" s="909">
        <f t="shared" si="60"/>
        <v>0</v>
      </c>
      <c r="AY104" s="909">
        <f t="shared" si="61"/>
        <v>19326.254413682702</v>
      </c>
      <c r="AZ104" s="909">
        <f t="shared" si="62"/>
        <v>-2153.5957294048953</v>
      </c>
      <c r="BA104" s="653"/>
      <c r="BB104" s="653">
        <f t="shared" si="98"/>
        <v>47</v>
      </c>
      <c r="BC104" s="909">
        <f t="shared" si="99"/>
        <v>0</v>
      </c>
      <c r="BD104" s="909">
        <f t="shared" si="100"/>
        <v>-3343232.8147999998</v>
      </c>
      <c r="BE104" s="909">
        <f t="shared" si="101"/>
        <v>-369950.29734181397</v>
      </c>
      <c r="BF104" s="909">
        <f t="shared" si="102"/>
        <v>0</v>
      </c>
      <c r="BG104" s="909">
        <f t="shared" si="103"/>
        <v>449467.00826666923</v>
      </c>
      <c r="BH104" s="909">
        <f t="shared" si="104"/>
        <v>1940289.3195439109</v>
      </c>
      <c r="BI104" s="909">
        <f t="shared" si="105"/>
        <v>-3263716.1038751449</v>
      </c>
      <c r="BJ104" s="909"/>
      <c r="BK104" s="653">
        <v>47</v>
      </c>
      <c r="BL104" s="909">
        <f t="shared" si="63"/>
        <v>0</v>
      </c>
      <c r="BM104" s="909">
        <f t="shared" si="64"/>
        <v>0</v>
      </c>
      <c r="BN104" s="909">
        <f t="shared" si="65"/>
        <v>-8640</v>
      </c>
      <c r="BO104" s="909">
        <f t="shared" si="66"/>
        <v>0</v>
      </c>
      <c r="BP104" s="909">
        <f t="shared" si="67"/>
        <v>0</v>
      </c>
      <c r="BQ104" s="909">
        <f t="shared" si="68"/>
        <v>77534.903999999995</v>
      </c>
      <c r="BR104" s="909">
        <f t="shared" si="69"/>
        <v>-8640</v>
      </c>
      <c r="BS104" s="653"/>
      <c r="BT104" s="653"/>
      <c r="BU104" s="653"/>
      <c r="BV104" s="654"/>
    </row>
    <row r="105" spans="2:74" x14ac:dyDescent="0.25">
      <c r="B105" s="651"/>
      <c r="C105" s="653"/>
      <c r="D105" s="653"/>
      <c r="E105" s="653"/>
      <c r="F105" s="653"/>
      <c r="G105" s="653"/>
      <c r="H105" s="653"/>
      <c r="I105" s="653"/>
      <c r="J105" s="653"/>
      <c r="K105" s="653"/>
      <c r="L105" s="653"/>
      <c r="M105" s="651">
        <v>48</v>
      </c>
      <c r="N105" s="909">
        <f t="shared" si="70"/>
        <v>0</v>
      </c>
      <c r="O105" s="909">
        <f t="shared" si="71"/>
        <v>0</v>
      </c>
      <c r="P105" s="909">
        <f t="shared" si="72"/>
        <v>0</v>
      </c>
      <c r="Q105" s="910">
        <f t="shared" si="73"/>
        <v>0</v>
      </c>
      <c r="R105" s="909">
        <f t="shared" si="74"/>
        <v>0</v>
      </c>
      <c r="S105" s="909">
        <f t="shared" si="75"/>
        <v>7.3611052348750815E-11</v>
      </c>
      <c r="T105" s="909">
        <f t="shared" si="76"/>
        <v>-7.3611052348750815E-11</v>
      </c>
      <c r="U105" s="909">
        <f t="shared" si="77"/>
        <v>2.5273127973071115E-9</v>
      </c>
      <c r="V105" s="909">
        <f t="shared" si="78"/>
        <v>8640</v>
      </c>
      <c r="W105" s="909">
        <f t="shared" si="79"/>
        <v>0</v>
      </c>
      <c r="X105" s="909">
        <f t="shared" si="80"/>
        <v>8640</v>
      </c>
      <c r="Y105" s="909">
        <f t="shared" si="81"/>
        <v>0</v>
      </c>
      <c r="Z105" s="910">
        <f t="shared" si="82"/>
        <v>0</v>
      </c>
      <c r="AA105" s="909">
        <f t="shared" si="83"/>
        <v>0</v>
      </c>
      <c r="AB105" s="910">
        <f t="shared" si="84"/>
        <v>0</v>
      </c>
      <c r="AC105" s="911">
        <f t="shared" si="85"/>
        <v>0</v>
      </c>
      <c r="AD105" s="911">
        <f t="shared" si="86"/>
        <v>0</v>
      </c>
      <c r="AE105" s="909">
        <f t="shared" si="87"/>
        <v>68894.903999999995</v>
      </c>
      <c r="AF105" s="912">
        <f t="shared" si="54"/>
        <v>26630.471434467756</v>
      </c>
      <c r="AG105" s="909">
        <f t="shared" si="88"/>
        <v>77534.903999999995</v>
      </c>
      <c r="AH105" s="917">
        <f t="shared" si="89"/>
        <v>8640</v>
      </c>
      <c r="AI105" s="909" t="str">
        <f t="shared" si="90"/>
        <v/>
      </c>
      <c r="AJ105" s="916" t="str">
        <f t="shared" si="91"/>
        <v/>
      </c>
      <c r="AK105" s="916" t="str">
        <f t="shared" si="92"/>
        <v/>
      </c>
      <c r="AL105" s="909" t="str">
        <f t="shared" si="93"/>
        <v/>
      </c>
      <c r="AM105" s="918">
        <f t="shared" si="94"/>
        <v>8640</v>
      </c>
      <c r="AN105" s="915">
        <f t="shared" si="55"/>
        <v>48</v>
      </c>
      <c r="AO105" s="653" t="str">
        <f t="shared" si="95"/>
        <v/>
      </c>
      <c r="AP105" s="916" t="str">
        <f t="shared" si="96"/>
        <v/>
      </c>
      <c r="AQ105" s="916" t="str">
        <f t="shared" si="97"/>
        <v/>
      </c>
      <c r="AR105" s="653"/>
      <c r="AS105" s="653">
        <v>48</v>
      </c>
      <c r="AT105" s="909">
        <f t="shared" si="56"/>
        <v>0</v>
      </c>
      <c r="AU105" s="909">
        <f t="shared" si="57"/>
        <v>0</v>
      </c>
      <c r="AV105" s="909">
        <f t="shared" si="58"/>
        <v>-2090.8696401989278</v>
      </c>
      <c r="AW105" s="909">
        <f t="shared" si="59"/>
        <v>0</v>
      </c>
      <c r="AX105" s="909">
        <f t="shared" si="60"/>
        <v>0</v>
      </c>
      <c r="AY105" s="909">
        <f t="shared" si="61"/>
        <v>18763.353799691944</v>
      </c>
      <c r="AZ105" s="909">
        <f t="shared" si="62"/>
        <v>-2090.8696401989278</v>
      </c>
      <c r="BA105" s="653"/>
      <c r="BB105" s="653">
        <f t="shared" si="98"/>
        <v>48</v>
      </c>
      <c r="BC105" s="909">
        <f t="shared" si="99"/>
        <v>0</v>
      </c>
      <c r="BD105" s="909">
        <f t="shared" si="100"/>
        <v>-3343232.8147999998</v>
      </c>
      <c r="BE105" s="909">
        <f t="shared" si="101"/>
        <v>-372041.16698201292</v>
      </c>
      <c r="BF105" s="909">
        <f t="shared" si="102"/>
        <v>0</v>
      </c>
      <c r="BG105" s="909">
        <f t="shared" si="103"/>
        <v>449467.00826666923</v>
      </c>
      <c r="BH105" s="909">
        <f t="shared" si="104"/>
        <v>1959052.6733436028</v>
      </c>
      <c r="BI105" s="909">
        <f t="shared" si="105"/>
        <v>-3265806.9735153439</v>
      </c>
      <c r="BJ105" s="909"/>
      <c r="BK105" s="653">
        <v>48</v>
      </c>
      <c r="BL105" s="909">
        <f t="shared" si="63"/>
        <v>0</v>
      </c>
      <c r="BM105" s="909">
        <f t="shared" si="64"/>
        <v>0</v>
      </c>
      <c r="BN105" s="909">
        <f t="shared" si="65"/>
        <v>-8640</v>
      </c>
      <c r="BO105" s="909">
        <f t="shared" si="66"/>
        <v>0</v>
      </c>
      <c r="BP105" s="909">
        <f t="shared" si="67"/>
        <v>0</v>
      </c>
      <c r="BQ105" s="909">
        <f t="shared" si="68"/>
        <v>77534.903999999995</v>
      </c>
      <c r="BR105" s="909">
        <f t="shared" si="69"/>
        <v>-8640</v>
      </c>
      <c r="BS105" s="653"/>
      <c r="BT105" s="653"/>
      <c r="BU105" s="653"/>
      <c r="BV105" s="654"/>
    </row>
    <row r="106" spans="2:74" x14ac:dyDescent="0.25">
      <c r="B106" s="651"/>
      <c r="C106" s="653"/>
      <c r="D106" s="653"/>
      <c r="E106" s="653"/>
      <c r="F106" s="653"/>
      <c r="G106" s="653"/>
      <c r="H106" s="653"/>
      <c r="I106" s="653"/>
      <c r="J106" s="653"/>
      <c r="K106" s="653"/>
      <c r="L106" s="653"/>
      <c r="M106" s="651">
        <v>49</v>
      </c>
      <c r="N106" s="909">
        <f t="shared" si="70"/>
        <v>0</v>
      </c>
      <c r="O106" s="909">
        <f t="shared" si="71"/>
        <v>0</v>
      </c>
      <c r="P106" s="909">
        <f t="shared" si="72"/>
        <v>0</v>
      </c>
      <c r="Q106" s="910">
        <f t="shared" si="73"/>
        <v>0</v>
      </c>
      <c r="R106" s="909">
        <f t="shared" si="74"/>
        <v>0</v>
      </c>
      <c r="S106" s="909">
        <f t="shared" si="75"/>
        <v>7.581938391921335E-11</v>
      </c>
      <c r="T106" s="909">
        <f t="shared" si="76"/>
        <v>-7.581938391921335E-11</v>
      </c>
      <c r="U106" s="909">
        <f t="shared" si="77"/>
        <v>2.6031321812263247E-9</v>
      </c>
      <c r="V106" s="909">
        <f t="shared" si="78"/>
        <v>8640</v>
      </c>
      <c r="W106" s="909">
        <f t="shared" si="79"/>
        <v>0</v>
      </c>
      <c r="X106" s="909">
        <f t="shared" si="80"/>
        <v>8640</v>
      </c>
      <c r="Y106" s="909">
        <f t="shared" si="81"/>
        <v>0</v>
      </c>
      <c r="Z106" s="910">
        <f t="shared" si="82"/>
        <v>0</v>
      </c>
      <c r="AA106" s="909">
        <f t="shared" si="83"/>
        <v>0</v>
      </c>
      <c r="AB106" s="910">
        <f t="shared" si="84"/>
        <v>0</v>
      </c>
      <c r="AC106" s="911">
        <f t="shared" si="85"/>
        <v>0</v>
      </c>
      <c r="AD106" s="911">
        <f t="shared" si="86"/>
        <v>0</v>
      </c>
      <c r="AE106" s="909">
        <f t="shared" si="87"/>
        <v>68894.903999999995</v>
      </c>
      <c r="AF106" s="912">
        <f t="shared" si="54"/>
        <v>26108.305327909562</v>
      </c>
      <c r="AG106" s="909">
        <f t="shared" si="88"/>
        <v>77534.903999999995</v>
      </c>
      <c r="AH106" s="917">
        <f t="shared" si="89"/>
        <v>8640</v>
      </c>
      <c r="AI106" s="909" t="str">
        <f t="shared" si="90"/>
        <v/>
      </c>
      <c r="AJ106" s="916" t="str">
        <f t="shared" si="91"/>
        <v/>
      </c>
      <c r="AK106" s="916" t="str">
        <f t="shared" si="92"/>
        <v/>
      </c>
      <c r="AL106" s="909" t="str">
        <f t="shared" si="93"/>
        <v/>
      </c>
      <c r="AM106" s="918">
        <f t="shared" si="94"/>
        <v>8640</v>
      </c>
      <c r="AN106" s="915">
        <f t="shared" si="55"/>
        <v>49</v>
      </c>
      <c r="AO106" s="653" t="str">
        <f t="shared" si="95"/>
        <v/>
      </c>
      <c r="AP106" s="916" t="str">
        <f t="shared" si="96"/>
        <v/>
      </c>
      <c r="AQ106" s="916" t="str">
        <f t="shared" si="97"/>
        <v/>
      </c>
      <c r="AR106" s="653"/>
      <c r="AS106" s="653">
        <v>49</v>
      </c>
      <c r="AT106" s="909">
        <f t="shared" si="56"/>
        <v>0</v>
      </c>
      <c r="AU106" s="909">
        <f t="shared" si="57"/>
        <v>0</v>
      </c>
      <c r="AV106" s="909">
        <f t="shared" si="58"/>
        <v>-2029.9705244649786</v>
      </c>
      <c r="AW106" s="909">
        <f t="shared" si="59"/>
        <v>0</v>
      </c>
      <c r="AX106" s="909">
        <f t="shared" si="60"/>
        <v>0</v>
      </c>
      <c r="AY106" s="909">
        <f t="shared" si="61"/>
        <v>18216.848349215481</v>
      </c>
      <c r="AZ106" s="909">
        <f t="shared" si="62"/>
        <v>-2029.9705244649786</v>
      </c>
      <c r="BA106" s="653"/>
      <c r="BB106" s="653">
        <f t="shared" si="98"/>
        <v>49</v>
      </c>
      <c r="BC106" s="909">
        <f t="shared" si="99"/>
        <v>0</v>
      </c>
      <c r="BD106" s="909">
        <f t="shared" si="100"/>
        <v>-3343232.8147999998</v>
      </c>
      <c r="BE106" s="909">
        <f t="shared" si="101"/>
        <v>-374071.13750647788</v>
      </c>
      <c r="BF106" s="909">
        <f t="shared" si="102"/>
        <v>0</v>
      </c>
      <c r="BG106" s="909">
        <f t="shared" si="103"/>
        <v>449467.00826666923</v>
      </c>
      <c r="BH106" s="909">
        <f t="shared" si="104"/>
        <v>1977269.5216928183</v>
      </c>
      <c r="BI106" s="909">
        <f t="shared" si="105"/>
        <v>-3267836.9440398091</v>
      </c>
      <c r="BJ106" s="909"/>
      <c r="BK106" s="653">
        <v>49</v>
      </c>
      <c r="BL106" s="909">
        <f t="shared" si="63"/>
        <v>0</v>
      </c>
      <c r="BM106" s="909">
        <f t="shared" si="64"/>
        <v>0</v>
      </c>
      <c r="BN106" s="909">
        <f t="shared" si="65"/>
        <v>-8640</v>
      </c>
      <c r="BO106" s="909">
        <f t="shared" si="66"/>
        <v>0</v>
      </c>
      <c r="BP106" s="909">
        <f t="shared" si="67"/>
        <v>0</v>
      </c>
      <c r="BQ106" s="909">
        <f t="shared" si="68"/>
        <v>77534.903999999995</v>
      </c>
      <c r="BR106" s="909">
        <f t="shared" si="69"/>
        <v>-8640</v>
      </c>
      <c r="BS106" s="653"/>
      <c r="BT106" s="653"/>
      <c r="BU106" s="653"/>
      <c r="BV106" s="654"/>
    </row>
    <row r="107" spans="2:74" x14ac:dyDescent="0.25">
      <c r="B107" s="651"/>
      <c r="C107" s="653"/>
      <c r="D107" s="653"/>
      <c r="E107" s="653"/>
      <c r="F107" s="653"/>
      <c r="G107" s="653"/>
      <c r="H107" s="653"/>
      <c r="I107" s="653"/>
      <c r="J107" s="653"/>
      <c r="K107" s="653"/>
      <c r="L107" s="653"/>
      <c r="M107" s="651">
        <v>50</v>
      </c>
      <c r="N107" s="909">
        <f t="shared" si="70"/>
        <v>0</v>
      </c>
      <c r="O107" s="909">
        <f t="shared" si="71"/>
        <v>0</v>
      </c>
      <c r="P107" s="909">
        <f t="shared" si="72"/>
        <v>0</v>
      </c>
      <c r="Q107" s="910">
        <f t="shared" si="73"/>
        <v>0</v>
      </c>
      <c r="R107" s="909">
        <f t="shared" si="74"/>
        <v>0</v>
      </c>
      <c r="S107" s="909">
        <f t="shared" si="75"/>
        <v>7.8093965436789743E-11</v>
      </c>
      <c r="T107" s="909">
        <f t="shared" si="76"/>
        <v>-7.8093965436789743E-11</v>
      </c>
      <c r="U107" s="909">
        <f t="shared" si="77"/>
        <v>2.6812261466631144E-9</v>
      </c>
      <c r="V107" s="909">
        <f t="shared" si="78"/>
        <v>8640</v>
      </c>
      <c r="W107" s="909">
        <f t="shared" si="79"/>
        <v>0</v>
      </c>
      <c r="X107" s="909">
        <f t="shared" si="80"/>
        <v>8640</v>
      </c>
      <c r="Y107" s="909">
        <f t="shared" si="81"/>
        <v>0</v>
      </c>
      <c r="Z107" s="910">
        <f t="shared" si="82"/>
        <v>0</v>
      </c>
      <c r="AA107" s="909">
        <f t="shared" si="83"/>
        <v>0</v>
      </c>
      <c r="AB107" s="910">
        <f t="shared" si="84"/>
        <v>0</v>
      </c>
      <c r="AC107" s="911">
        <f t="shared" si="85"/>
        <v>0</v>
      </c>
      <c r="AD107" s="911">
        <f t="shared" si="86"/>
        <v>0</v>
      </c>
      <c r="AE107" s="909">
        <f t="shared" si="87"/>
        <v>68894.903999999995</v>
      </c>
      <c r="AF107" s="912">
        <f t="shared" si="54"/>
        <v>25596.377772460357</v>
      </c>
      <c r="AG107" s="909">
        <f t="shared" si="88"/>
        <v>77534.903999999995</v>
      </c>
      <c r="AH107" s="917">
        <f t="shared" si="89"/>
        <v>8640</v>
      </c>
      <c r="AI107" s="909" t="str">
        <f t="shared" si="90"/>
        <v/>
      </c>
      <c r="AJ107" s="916" t="str">
        <f t="shared" si="91"/>
        <v/>
      </c>
      <c r="AK107" s="916" t="str">
        <f t="shared" si="92"/>
        <v/>
      </c>
      <c r="AL107" s="909" t="str">
        <f t="shared" si="93"/>
        <v/>
      </c>
      <c r="AM107" s="918">
        <f t="shared" si="94"/>
        <v>8640</v>
      </c>
      <c r="AN107" s="915">
        <f t="shared" si="55"/>
        <v>50</v>
      </c>
      <c r="AO107" s="653" t="str">
        <f t="shared" si="95"/>
        <v/>
      </c>
      <c r="AP107" s="916" t="str">
        <f t="shared" si="96"/>
        <v/>
      </c>
      <c r="AQ107" s="916" t="str">
        <f t="shared" si="97"/>
        <v/>
      </c>
      <c r="AR107" s="653"/>
      <c r="AS107" s="653">
        <v>50</v>
      </c>
      <c r="AT107" s="909">
        <f t="shared" si="56"/>
        <v>0</v>
      </c>
      <c r="AU107" s="909">
        <f t="shared" si="57"/>
        <v>0</v>
      </c>
      <c r="AV107" s="909">
        <f t="shared" si="58"/>
        <v>-1970.8451693834743</v>
      </c>
      <c r="AW107" s="909">
        <f t="shared" si="59"/>
        <v>0</v>
      </c>
      <c r="AX107" s="909">
        <f t="shared" si="60"/>
        <v>0</v>
      </c>
      <c r="AY107" s="909">
        <f t="shared" si="61"/>
        <v>17686.260533218912</v>
      </c>
      <c r="AZ107" s="909">
        <f t="shared" si="62"/>
        <v>-1970.8451693834743</v>
      </c>
      <c r="BA107" s="653"/>
      <c r="BB107" s="653">
        <f t="shared" si="98"/>
        <v>50</v>
      </c>
      <c r="BC107" s="909">
        <f t="shared" si="99"/>
        <v>0</v>
      </c>
      <c r="BD107" s="909">
        <f t="shared" si="100"/>
        <v>-3343232.8147999998</v>
      </c>
      <c r="BE107" s="909">
        <f t="shared" si="101"/>
        <v>-376041.98267586133</v>
      </c>
      <c r="BF107" s="909">
        <f t="shared" si="102"/>
        <v>0</v>
      </c>
      <c r="BG107" s="909">
        <f t="shared" si="103"/>
        <v>449467.00826666923</v>
      </c>
      <c r="BH107" s="909">
        <f t="shared" si="104"/>
        <v>1994955.7822260372</v>
      </c>
      <c r="BI107" s="909">
        <f t="shared" si="105"/>
        <v>-3269807.7892091926</v>
      </c>
      <c r="BJ107" s="909"/>
      <c r="BK107" s="653">
        <v>50</v>
      </c>
      <c r="BL107" s="909">
        <f t="shared" si="63"/>
        <v>0</v>
      </c>
      <c r="BM107" s="909">
        <f t="shared" si="64"/>
        <v>0</v>
      </c>
      <c r="BN107" s="909">
        <f t="shared" si="65"/>
        <v>-8640</v>
      </c>
      <c r="BO107" s="909">
        <f t="shared" si="66"/>
        <v>0</v>
      </c>
      <c r="BP107" s="909">
        <f t="shared" si="67"/>
        <v>0</v>
      </c>
      <c r="BQ107" s="909">
        <f t="shared" si="68"/>
        <v>77534.903999999995</v>
      </c>
      <c r="BR107" s="909">
        <f t="shared" si="69"/>
        <v>-8640</v>
      </c>
      <c r="BS107" s="653"/>
      <c r="BT107" s="653"/>
      <c r="BU107" s="653"/>
      <c r="BV107" s="654"/>
    </row>
    <row r="108" spans="2:74" x14ac:dyDescent="0.25">
      <c r="B108" s="651"/>
      <c r="C108" s="653"/>
      <c r="D108" s="653"/>
      <c r="E108" s="653"/>
      <c r="F108" s="653"/>
      <c r="G108" s="653"/>
      <c r="H108" s="653"/>
      <c r="I108" s="653"/>
      <c r="J108" s="653"/>
      <c r="K108" s="653"/>
      <c r="L108" s="653"/>
      <c r="M108" s="651"/>
      <c r="N108" s="909"/>
      <c r="O108" s="909"/>
      <c r="P108" s="909"/>
      <c r="Q108" s="910"/>
      <c r="R108" s="909"/>
      <c r="S108" s="909"/>
      <c r="T108" s="909"/>
      <c r="U108" s="909"/>
      <c r="V108" s="909"/>
      <c r="W108" s="909"/>
      <c r="X108" s="909"/>
      <c r="Y108" s="909"/>
      <c r="Z108" s="910"/>
      <c r="AA108" s="909"/>
      <c r="AB108" s="910"/>
      <c r="AC108" s="911"/>
      <c r="AD108" s="911"/>
      <c r="AE108" s="909"/>
      <c r="AF108" s="909"/>
      <c r="AG108" s="909"/>
      <c r="AH108" s="917"/>
      <c r="AI108" s="909"/>
      <c r="AJ108" s="916"/>
      <c r="AK108" s="916"/>
      <c r="AL108" s="653"/>
      <c r="AM108" s="918"/>
      <c r="AN108" s="915"/>
      <c r="AO108" s="653"/>
      <c r="AP108" s="653"/>
      <c r="AQ108" s="653"/>
      <c r="AR108" s="653"/>
      <c r="AS108" s="653"/>
      <c r="AT108" s="909"/>
      <c r="AU108" s="909"/>
      <c r="AV108" s="909"/>
      <c r="AW108" s="909"/>
      <c r="AX108" s="909"/>
      <c r="AY108" s="909"/>
      <c r="AZ108" s="909"/>
      <c r="BA108" s="653"/>
      <c r="BB108" s="653"/>
      <c r="BC108" s="909"/>
      <c r="BD108" s="909"/>
      <c r="BE108" s="909"/>
      <c r="BF108" s="909"/>
      <c r="BG108" s="909"/>
      <c r="BH108" s="909"/>
      <c r="BI108" s="909"/>
      <c r="BJ108" s="653"/>
      <c r="BK108" s="653"/>
      <c r="BL108" s="653"/>
      <c r="BM108" s="653"/>
      <c r="BN108" s="653"/>
      <c r="BO108" s="653"/>
      <c r="BP108" s="653"/>
      <c r="BQ108" s="653"/>
      <c r="BR108" s="653"/>
      <c r="BS108" s="653"/>
      <c r="BT108" s="653"/>
      <c r="BU108" s="653"/>
      <c r="BV108" s="654"/>
    </row>
    <row r="109" spans="2:74" x14ac:dyDescent="0.25">
      <c r="B109" s="651"/>
      <c r="C109" s="653"/>
      <c r="D109" s="653"/>
      <c r="E109" s="653"/>
      <c r="F109" s="653"/>
      <c r="G109" s="653"/>
      <c r="H109" s="653"/>
      <c r="I109" s="653"/>
      <c r="J109" s="653"/>
      <c r="K109" s="653"/>
      <c r="L109" s="653"/>
      <c r="M109" s="651"/>
      <c r="N109" s="909"/>
      <c r="O109" s="909"/>
      <c r="P109" s="909"/>
      <c r="Q109" s="910"/>
      <c r="R109" s="909"/>
      <c r="S109" s="909"/>
      <c r="T109" s="909"/>
      <c r="U109" s="909"/>
      <c r="V109" s="909"/>
      <c r="W109" s="909"/>
      <c r="X109" s="909"/>
      <c r="Y109" s="909"/>
      <c r="Z109" s="910"/>
      <c r="AA109" s="909"/>
      <c r="AB109" s="910"/>
      <c r="AC109" s="911"/>
      <c r="AD109" s="911"/>
      <c r="AE109" s="909"/>
      <c r="AF109" s="909"/>
      <c r="AG109" s="909"/>
      <c r="AH109" s="917"/>
      <c r="AI109" s="909"/>
      <c r="AJ109" s="916"/>
      <c r="AK109" s="916"/>
      <c r="AL109" s="653"/>
      <c r="AM109" s="918"/>
      <c r="AN109" s="915"/>
      <c r="AO109" s="909"/>
      <c r="AP109" s="653"/>
      <c r="AQ109" s="653"/>
      <c r="AR109" s="653"/>
      <c r="AS109" s="653"/>
      <c r="AT109" s="909"/>
      <c r="AU109" s="909"/>
      <c r="AV109" s="909"/>
      <c r="AW109" s="909"/>
      <c r="AX109" s="909"/>
      <c r="AY109" s="909"/>
      <c r="AZ109" s="909"/>
      <c r="BA109" s="653"/>
      <c r="BB109" s="653"/>
      <c r="BC109" s="909"/>
      <c r="BD109" s="909"/>
      <c r="BE109" s="909"/>
      <c r="BF109" s="909"/>
      <c r="BG109" s="909"/>
      <c r="BH109" s="909"/>
      <c r="BI109" s="909"/>
      <c r="BJ109" s="653"/>
      <c r="BK109" s="653"/>
      <c r="BL109" s="653"/>
      <c r="BM109" s="653"/>
      <c r="BN109" s="653"/>
      <c r="BO109" s="653"/>
      <c r="BP109" s="653"/>
      <c r="BQ109" s="653"/>
      <c r="BR109" s="653"/>
      <c r="BS109" s="653"/>
      <c r="BT109" s="653"/>
      <c r="BU109" s="653"/>
      <c r="BV109" s="654"/>
    </row>
    <row r="110" spans="2:74" x14ac:dyDescent="0.25">
      <c r="B110" s="651"/>
      <c r="C110" s="653"/>
      <c r="D110" s="653"/>
      <c r="E110" s="653"/>
      <c r="F110" s="653"/>
      <c r="G110" s="653"/>
      <c r="H110" s="653"/>
      <c r="I110" s="653"/>
      <c r="J110" s="653"/>
      <c r="K110" s="653"/>
      <c r="L110" s="653"/>
      <c r="M110" s="651"/>
      <c r="N110" s="909"/>
      <c r="O110" s="909"/>
      <c r="P110" s="909"/>
      <c r="Q110" s="910"/>
      <c r="R110" s="909"/>
      <c r="S110" s="909"/>
      <c r="T110" s="909"/>
      <c r="U110" s="909"/>
      <c r="V110" s="909"/>
      <c r="W110" s="909"/>
      <c r="X110" s="909"/>
      <c r="Y110" s="909"/>
      <c r="Z110" s="910"/>
      <c r="AA110" s="909"/>
      <c r="AB110" s="910"/>
      <c r="AC110" s="911"/>
      <c r="AD110" s="911"/>
      <c r="AE110" s="909"/>
      <c r="AF110" s="909"/>
      <c r="AG110" s="909"/>
      <c r="AH110" s="917"/>
      <c r="AI110" s="909"/>
      <c r="AJ110" s="916"/>
      <c r="AK110" s="916"/>
      <c r="AL110" s="653"/>
      <c r="AM110" s="918"/>
      <c r="AN110" s="915"/>
      <c r="AO110" s="653"/>
      <c r="AP110" s="653"/>
      <c r="AQ110" s="653"/>
      <c r="AR110" s="653"/>
      <c r="AS110" s="653"/>
      <c r="AT110" s="653"/>
      <c r="AU110" s="653"/>
      <c r="AV110" s="653"/>
      <c r="AW110" s="653"/>
      <c r="AX110" s="653"/>
      <c r="AY110" s="653"/>
      <c r="AZ110" s="653"/>
      <c r="BA110" s="653"/>
      <c r="BB110" s="653"/>
      <c r="BC110" s="909"/>
      <c r="BD110" s="909"/>
      <c r="BE110" s="909"/>
      <c r="BF110" s="909"/>
      <c r="BG110" s="909"/>
      <c r="BH110" s="909"/>
      <c r="BI110" s="909"/>
      <c r="BJ110" s="653"/>
      <c r="BK110" s="653"/>
      <c r="BL110" s="653"/>
      <c r="BM110" s="653"/>
      <c r="BN110" s="653"/>
      <c r="BO110" s="653"/>
      <c r="BP110" s="653"/>
      <c r="BQ110" s="653"/>
      <c r="BR110" s="653"/>
      <c r="BS110" s="653"/>
      <c r="BT110" s="653"/>
      <c r="BU110" s="653"/>
      <c r="BV110" s="654"/>
    </row>
    <row r="111" spans="2:74" x14ac:dyDescent="0.25">
      <c r="B111" s="651"/>
      <c r="C111" s="653"/>
      <c r="D111" s="653"/>
      <c r="E111" s="653"/>
      <c r="F111" s="653"/>
      <c r="G111" s="653"/>
      <c r="H111" s="653"/>
      <c r="I111" s="653"/>
      <c r="J111" s="653"/>
      <c r="K111" s="653"/>
      <c r="L111" s="653"/>
      <c r="M111" s="651"/>
      <c r="N111" s="909"/>
      <c r="O111" s="909"/>
      <c r="P111" s="909"/>
      <c r="Q111" s="910"/>
      <c r="R111" s="909"/>
      <c r="S111" s="909"/>
      <c r="T111" s="909"/>
      <c r="U111" s="909"/>
      <c r="V111" s="909"/>
      <c r="W111" s="909"/>
      <c r="X111" s="909"/>
      <c r="Y111" s="909"/>
      <c r="Z111" s="910"/>
      <c r="AA111" s="909"/>
      <c r="AB111" s="910"/>
      <c r="AC111" s="911"/>
      <c r="AD111" s="911"/>
      <c r="AE111" s="909"/>
      <c r="AF111" s="909"/>
      <c r="AG111" s="909"/>
      <c r="AH111" s="917"/>
      <c r="AI111" s="909"/>
      <c r="AJ111" s="916"/>
      <c r="AK111" s="916"/>
      <c r="AL111" s="653"/>
      <c r="AM111" s="918"/>
      <c r="AN111" s="915"/>
      <c r="AO111" s="653"/>
      <c r="AP111" s="653"/>
      <c r="AQ111" s="653"/>
      <c r="AR111" s="653"/>
      <c r="AS111" s="653"/>
      <c r="AT111" s="653"/>
      <c r="AU111" s="653"/>
      <c r="AV111" s="653"/>
      <c r="AW111" s="653"/>
      <c r="AX111" s="653"/>
      <c r="AY111" s="653"/>
      <c r="AZ111" s="653"/>
      <c r="BA111" s="653"/>
      <c r="BB111" s="653"/>
      <c r="BC111" s="653"/>
      <c r="BD111" s="653"/>
      <c r="BE111" s="653"/>
      <c r="BF111" s="653"/>
      <c r="BG111" s="653"/>
      <c r="BH111" s="653"/>
      <c r="BI111" s="653"/>
      <c r="BJ111" s="653"/>
      <c r="BK111" s="653"/>
      <c r="BL111" s="653"/>
      <c r="BM111" s="653"/>
      <c r="BN111" s="653"/>
      <c r="BO111" s="653"/>
      <c r="BP111" s="653"/>
      <c r="BQ111" s="653"/>
      <c r="BR111" s="653"/>
      <c r="BS111" s="653"/>
      <c r="BT111" s="653"/>
      <c r="BU111" s="653"/>
      <c r="BV111" s="654"/>
    </row>
    <row r="112" spans="2:74" x14ac:dyDescent="0.25">
      <c r="B112" s="651"/>
      <c r="C112" s="653"/>
      <c r="D112" s="653"/>
      <c r="E112" s="653"/>
      <c r="F112" s="653"/>
      <c r="G112" s="653"/>
      <c r="H112" s="653"/>
      <c r="I112" s="653"/>
      <c r="J112" s="653"/>
      <c r="K112" s="653"/>
      <c r="L112" s="653"/>
      <c r="M112" s="651"/>
      <c r="N112" s="909"/>
      <c r="O112" s="909"/>
      <c r="P112" s="909"/>
      <c r="Q112" s="910"/>
      <c r="R112" s="909"/>
      <c r="S112" s="909"/>
      <c r="T112" s="909"/>
      <c r="U112" s="909"/>
      <c r="V112" s="909"/>
      <c r="W112" s="909"/>
      <c r="X112" s="909"/>
      <c r="Y112" s="909"/>
      <c r="Z112" s="910"/>
      <c r="AA112" s="909"/>
      <c r="AB112" s="910"/>
      <c r="AC112" s="911"/>
      <c r="AD112" s="911"/>
      <c r="AE112" s="909"/>
      <c r="AF112" s="909"/>
      <c r="AG112" s="909"/>
      <c r="AH112" s="917"/>
      <c r="AI112" s="909"/>
      <c r="AJ112" s="916"/>
      <c r="AK112" s="916"/>
      <c r="AL112" s="653"/>
      <c r="AM112" s="918"/>
      <c r="AN112" s="915"/>
      <c r="AO112" s="909"/>
      <c r="AP112" s="909"/>
      <c r="AQ112" s="653"/>
      <c r="AR112" s="653"/>
      <c r="AS112" s="653"/>
      <c r="AT112" s="653"/>
      <c r="AU112" s="653"/>
      <c r="AV112" s="653"/>
      <c r="AW112" s="653"/>
      <c r="AX112" s="653"/>
      <c r="AY112" s="653"/>
      <c r="AZ112" s="653"/>
      <c r="BA112" s="653"/>
      <c r="BB112" s="653"/>
      <c r="BC112" s="653"/>
      <c r="BD112" s="653"/>
      <c r="BE112" s="653"/>
      <c r="BF112" s="653"/>
      <c r="BG112" s="653"/>
      <c r="BH112" s="653"/>
      <c r="BI112" s="653"/>
      <c r="BJ112" s="653"/>
      <c r="BK112" s="653"/>
      <c r="BL112" s="653"/>
      <c r="BM112" s="653"/>
      <c r="BN112" s="653"/>
      <c r="BO112" s="653"/>
      <c r="BP112" s="653"/>
      <c r="BQ112" s="653"/>
      <c r="BR112" s="653"/>
      <c r="BS112" s="653"/>
      <c r="BT112" s="653"/>
      <c r="BU112" s="653"/>
      <c r="BV112" s="654"/>
    </row>
    <row r="113" spans="2:74" x14ac:dyDescent="0.25">
      <c r="B113" s="651"/>
      <c r="C113" s="653"/>
      <c r="D113" s="653"/>
      <c r="E113" s="653"/>
      <c r="F113" s="653"/>
      <c r="G113" s="653"/>
      <c r="H113" s="653"/>
      <c r="I113" s="653"/>
      <c r="J113" s="653"/>
      <c r="K113" s="653"/>
      <c r="L113" s="653"/>
      <c r="M113" s="651"/>
      <c r="N113" s="909"/>
      <c r="O113" s="909"/>
      <c r="P113" s="909"/>
      <c r="Q113" s="910"/>
      <c r="R113" s="909"/>
      <c r="S113" s="909"/>
      <c r="T113" s="909"/>
      <c r="U113" s="909"/>
      <c r="V113" s="909"/>
      <c r="W113" s="909"/>
      <c r="X113" s="909"/>
      <c r="Y113" s="909"/>
      <c r="Z113" s="910"/>
      <c r="AA113" s="909"/>
      <c r="AB113" s="910"/>
      <c r="AC113" s="911"/>
      <c r="AD113" s="911"/>
      <c r="AE113" s="909"/>
      <c r="AF113" s="909"/>
      <c r="AG113" s="909"/>
      <c r="AH113" s="917"/>
      <c r="AI113" s="909"/>
      <c r="AJ113" s="916"/>
      <c r="AK113" s="916"/>
      <c r="AL113" s="653"/>
      <c r="AM113" s="918"/>
      <c r="AN113" s="915"/>
      <c r="AO113" s="909"/>
      <c r="AP113" s="909"/>
      <c r="AQ113" s="653"/>
      <c r="AR113" s="653"/>
      <c r="AS113" s="653"/>
      <c r="AT113" s="653"/>
      <c r="AU113" s="653"/>
      <c r="AV113" s="653"/>
      <c r="AW113" s="653"/>
      <c r="AX113" s="653"/>
      <c r="AY113" s="653"/>
      <c r="AZ113" s="653"/>
      <c r="BA113" s="653"/>
      <c r="BB113" s="653"/>
      <c r="BC113" s="653"/>
      <c r="BD113" s="653"/>
      <c r="BE113" s="653"/>
      <c r="BF113" s="653"/>
      <c r="BG113" s="653"/>
      <c r="BH113" s="653"/>
      <c r="BI113" s="653"/>
      <c r="BJ113" s="653"/>
      <c r="BK113" s="653"/>
      <c r="BL113" s="653"/>
      <c r="BM113" s="653"/>
      <c r="BN113" s="653"/>
      <c r="BO113" s="653"/>
      <c r="BP113" s="653"/>
      <c r="BQ113" s="653"/>
      <c r="BR113" s="653"/>
      <c r="BS113" s="653"/>
      <c r="BT113" s="653"/>
      <c r="BU113" s="653"/>
      <c r="BV113" s="654"/>
    </row>
    <row r="114" spans="2:74" x14ac:dyDescent="0.25">
      <c r="B114" s="651"/>
      <c r="C114" s="653"/>
      <c r="D114" s="653"/>
      <c r="E114" s="653"/>
      <c r="F114" s="653"/>
      <c r="G114" s="653"/>
      <c r="H114" s="653"/>
      <c r="I114" s="653"/>
      <c r="J114" s="653"/>
      <c r="K114" s="653"/>
      <c r="L114" s="653"/>
      <c r="M114" s="651"/>
      <c r="N114" s="909"/>
      <c r="O114" s="909"/>
      <c r="P114" s="909"/>
      <c r="Q114" s="910"/>
      <c r="R114" s="909"/>
      <c r="S114" s="909"/>
      <c r="T114" s="909"/>
      <c r="U114" s="909"/>
      <c r="V114" s="909"/>
      <c r="W114" s="909"/>
      <c r="X114" s="909"/>
      <c r="Y114" s="909"/>
      <c r="Z114" s="910"/>
      <c r="AA114" s="909"/>
      <c r="AB114" s="910"/>
      <c r="AC114" s="911"/>
      <c r="AD114" s="911"/>
      <c r="AE114" s="909"/>
      <c r="AF114" s="909"/>
      <c r="AG114" s="909"/>
      <c r="AH114" s="917"/>
      <c r="AI114" s="909"/>
      <c r="AJ114" s="916"/>
      <c r="AK114" s="916"/>
      <c r="AL114" s="653"/>
      <c r="AM114" s="918"/>
      <c r="AN114" s="915"/>
      <c r="AO114" s="653"/>
      <c r="AP114" s="653"/>
      <c r="AQ114" s="653"/>
      <c r="AR114" s="653"/>
      <c r="AS114" s="653"/>
      <c r="AT114" s="653"/>
      <c r="AU114" s="653"/>
      <c r="AV114" s="653"/>
      <c r="AW114" s="653"/>
      <c r="AX114" s="653"/>
      <c r="AY114" s="653"/>
      <c r="AZ114" s="653"/>
      <c r="BA114" s="653"/>
      <c r="BB114" s="653"/>
      <c r="BC114" s="653"/>
      <c r="BD114" s="653"/>
      <c r="BE114" s="653"/>
      <c r="BF114" s="653"/>
      <c r="BG114" s="653"/>
      <c r="BH114" s="653"/>
      <c r="BI114" s="653"/>
      <c r="BJ114" s="653"/>
      <c r="BK114" s="653"/>
      <c r="BL114" s="653"/>
      <c r="BM114" s="653"/>
      <c r="BN114" s="653"/>
      <c r="BO114" s="653"/>
      <c r="BP114" s="653"/>
      <c r="BQ114" s="653"/>
      <c r="BR114" s="653"/>
      <c r="BS114" s="653"/>
      <c r="BT114" s="653"/>
      <c r="BU114" s="653"/>
      <c r="BV114" s="654"/>
    </row>
    <row r="115" spans="2:74" x14ac:dyDescent="0.25">
      <c r="B115" s="651"/>
      <c r="C115" s="653"/>
      <c r="D115" s="653"/>
      <c r="E115" s="653"/>
      <c r="F115" s="653"/>
      <c r="G115" s="653"/>
      <c r="H115" s="653"/>
      <c r="I115" s="653"/>
      <c r="J115" s="653"/>
      <c r="K115" s="653"/>
      <c r="L115" s="653"/>
      <c r="M115" s="651"/>
      <c r="N115" s="909"/>
      <c r="O115" s="909"/>
      <c r="P115" s="909"/>
      <c r="Q115" s="910"/>
      <c r="R115" s="909"/>
      <c r="S115" s="909"/>
      <c r="T115" s="909"/>
      <c r="U115" s="909"/>
      <c r="V115" s="909"/>
      <c r="W115" s="909"/>
      <c r="X115" s="909"/>
      <c r="Y115" s="909"/>
      <c r="Z115" s="910"/>
      <c r="AA115" s="909"/>
      <c r="AB115" s="910"/>
      <c r="AC115" s="911"/>
      <c r="AD115" s="911"/>
      <c r="AE115" s="909"/>
      <c r="AF115" s="909"/>
      <c r="AG115" s="909"/>
      <c r="AH115" s="917"/>
      <c r="AI115" s="909"/>
      <c r="AJ115" s="916"/>
      <c r="AK115" s="916"/>
      <c r="AL115" s="653"/>
      <c r="AM115" s="918"/>
      <c r="AN115" s="915"/>
      <c r="AO115" s="653"/>
      <c r="AP115" s="909"/>
      <c r="AQ115" s="653"/>
      <c r="AR115" s="653"/>
      <c r="AS115" s="653"/>
      <c r="AT115" s="653"/>
      <c r="AU115" s="653"/>
      <c r="AV115" s="653"/>
      <c r="AW115" s="653"/>
      <c r="AX115" s="653"/>
      <c r="AY115" s="653"/>
      <c r="AZ115" s="653"/>
      <c r="BA115" s="653"/>
      <c r="BB115" s="653"/>
      <c r="BC115" s="653"/>
      <c r="BD115" s="653"/>
      <c r="BE115" s="653"/>
      <c r="BF115" s="653"/>
      <c r="BG115" s="653"/>
      <c r="BH115" s="653"/>
      <c r="BI115" s="653"/>
      <c r="BJ115" s="653"/>
      <c r="BK115" s="653"/>
      <c r="BL115" s="653"/>
      <c r="BM115" s="653"/>
      <c r="BN115" s="653"/>
      <c r="BO115" s="653"/>
      <c r="BP115" s="653"/>
      <c r="BQ115" s="653"/>
      <c r="BR115" s="653"/>
      <c r="BS115" s="653"/>
      <c r="BT115" s="653"/>
      <c r="BU115" s="653"/>
      <c r="BV115" s="654"/>
    </row>
    <row r="116" spans="2:74" x14ac:dyDescent="0.25">
      <c r="B116" s="651"/>
      <c r="C116" s="653"/>
      <c r="D116" s="653"/>
      <c r="E116" s="653"/>
      <c r="F116" s="653"/>
      <c r="G116" s="653"/>
      <c r="H116" s="653"/>
      <c r="I116" s="653"/>
      <c r="J116" s="653"/>
      <c r="K116" s="653"/>
      <c r="L116" s="653"/>
      <c r="M116" s="651"/>
      <c r="N116" s="909"/>
      <c r="O116" s="909"/>
      <c r="P116" s="909"/>
      <c r="Q116" s="910"/>
      <c r="R116" s="909"/>
      <c r="S116" s="909"/>
      <c r="T116" s="909"/>
      <c r="U116" s="909"/>
      <c r="V116" s="909"/>
      <c r="W116" s="909"/>
      <c r="X116" s="909"/>
      <c r="Y116" s="909"/>
      <c r="Z116" s="910"/>
      <c r="AA116" s="909"/>
      <c r="AB116" s="910"/>
      <c r="AC116" s="911"/>
      <c r="AD116" s="911"/>
      <c r="AE116" s="909"/>
      <c r="AF116" s="909"/>
      <c r="AG116" s="909"/>
      <c r="AH116" s="917"/>
      <c r="AI116" s="909"/>
      <c r="AJ116" s="916"/>
      <c r="AK116" s="916"/>
      <c r="AL116" s="653"/>
      <c r="AM116" s="918"/>
      <c r="AN116" s="915"/>
      <c r="AO116" s="653"/>
      <c r="AP116" s="653"/>
      <c r="AQ116" s="653"/>
      <c r="AR116" s="653"/>
      <c r="AS116" s="653"/>
      <c r="AT116" s="653"/>
      <c r="AU116" s="653"/>
      <c r="AV116" s="653"/>
      <c r="AW116" s="653"/>
      <c r="AX116" s="653"/>
      <c r="AY116" s="653"/>
      <c r="AZ116" s="653"/>
      <c r="BA116" s="653"/>
      <c r="BB116" s="653"/>
      <c r="BC116" s="653"/>
      <c r="BD116" s="653"/>
      <c r="BE116" s="653"/>
      <c r="BF116" s="653"/>
      <c r="BG116" s="653"/>
      <c r="BH116" s="653"/>
      <c r="BI116" s="653"/>
      <c r="BJ116" s="653"/>
      <c r="BK116" s="653"/>
      <c r="BL116" s="653"/>
      <c r="BM116" s="653"/>
      <c r="BN116" s="653"/>
      <c r="BO116" s="653"/>
      <c r="BP116" s="653"/>
      <c r="BQ116" s="653"/>
      <c r="BR116" s="653"/>
      <c r="BS116" s="653"/>
      <c r="BT116" s="653"/>
      <c r="BU116" s="653"/>
      <c r="BV116" s="654"/>
    </row>
    <row r="117" spans="2:74" x14ac:dyDescent="0.25">
      <c r="B117" s="651"/>
      <c r="C117" s="653"/>
      <c r="D117" s="653"/>
      <c r="E117" s="653"/>
      <c r="F117" s="653"/>
      <c r="G117" s="653"/>
      <c r="H117" s="653"/>
      <c r="I117" s="653"/>
      <c r="J117" s="653"/>
      <c r="K117" s="653"/>
      <c r="L117" s="653"/>
      <c r="M117" s="651"/>
      <c r="N117" s="909"/>
      <c r="O117" s="909"/>
      <c r="P117" s="909"/>
      <c r="Q117" s="910"/>
      <c r="R117" s="909"/>
      <c r="S117" s="909"/>
      <c r="T117" s="909"/>
      <c r="U117" s="909"/>
      <c r="V117" s="909"/>
      <c r="W117" s="909"/>
      <c r="X117" s="909"/>
      <c r="Y117" s="909"/>
      <c r="Z117" s="910"/>
      <c r="AA117" s="909"/>
      <c r="AB117" s="910"/>
      <c r="AC117" s="911"/>
      <c r="AD117" s="911"/>
      <c r="AE117" s="909"/>
      <c r="AF117" s="909"/>
      <c r="AG117" s="909"/>
      <c r="AH117" s="917"/>
      <c r="AI117" s="909"/>
      <c r="AJ117" s="916"/>
      <c r="AK117" s="916"/>
      <c r="AL117" s="653"/>
      <c r="AM117" s="918"/>
      <c r="AN117" s="915"/>
      <c r="AO117" s="653"/>
      <c r="AP117" s="653"/>
      <c r="AQ117" s="653"/>
      <c r="AR117" s="653"/>
      <c r="AS117" s="653"/>
      <c r="AT117" s="653"/>
      <c r="AU117" s="653"/>
      <c r="AV117" s="653"/>
      <c r="AW117" s="653"/>
      <c r="AX117" s="653"/>
      <c r="AY117" s="653"/>
      <c r="AZ117" s="653"/>
      <c r="BA117" s="653"/>
      <c r="BB117" s="653"/>
      <c r="BC117" s="653"/>
      <c r="BD117" s="653"/>
      <c r="BE117" s="653"/>
      <c r="BF117" s="653"/>
      <c r="BG117" s="653"/>
      <c r="BH117" s="653"/>
      <c r="BI117" s="653"/>
      <c r="BJ117" s="653"/>
      <c r="BK117" s="653"/>
      <c r="BL117" s="653"/>
      <c r="BM117" s="653"/>
      <c r="BN117" s="653"/>
      <c r="BO117" s="653"/>
      <c r="BP117" s="653"/>
      <c r="BQ117" s="653"/>
      <c r="BR117" s="653"/>
      <c r="BS117" s="653"/>
      <c r="BT117" s="653"/>
      <c r="BU117" s="653"/>
      <c r="BV117" s="654"/>
    </row>
    <row r="118" spans="2:74" x14ac:dyDescent="0.25">
      <c r="B118" s="651"/>
      <c r="C118" s="653"/>
      <c r="D118" s="653"/>
      <c r="E118" s="653"/>
      <c r="F118" s="653"/>
      <c r="G118" s="653"/>
      <c r="H118" s="653"/>
      <c r="I118" s="653"/>
      <c r="J118" s="653"/>
      <c r="K118" s="653"/>
      <c r="L118" s="653"/>
      <c r="M118" s="651"/>
      <c r="N118" s="909"/>
      <c r="O118" s="909"/>
      <c r="P118" s="909"/>
      <c r="Q118" s="910"/>
      <c r="R118" s="909"/>
      <c r="S118" s="909"/>
      <c r="T118" s="909"/>
      <c r="U118" s="909"/>
      <c r="V118" s="909"/>
      <c r="W118" s="909"/>
      <c r="X118" s="909"/>
      <c r="Y118" s="909"/>
      <c r="Z118" s="910"/>
      <c r="AA118" s="909"/>
      <c r="AB118" s="910"/>
      <c r="AC118" s="911"/>
      <c r="AD118" s="911"/>
      <c r="AE118" s="909"/>
      <c r="AF118" s="909"/>
      <c r="AG118" s="909"/>
      <c r="AH118" s="917"/>
      <c r="AI118" s="909"/>
      <c r="AJ118" s="916"/>
      <c r="AK118" s="916"/>
      <c r="AL118" s="653"/>
      <c r="AM118" s="918"/>
      <c r="AN118" s="915"/>
      <c r="AO118" s="653"/>
      <c r="AP118" s="653"/>
      <c r="AQ118" s="653"/>
      <c r="AR118" s="653"/>
      <c r="AS118" s="653"/>
      <c r="AT118" s="653"/>
      <c r="AU118" s="653"/>
      <c r="AV118" s="653"/>
      <c r="AW118" s="653"/>
      <c r="AX118" s="653"/>
      <c r="AY118" s="653"/>
      <c r="AZ118" s="653"/>
      <c r="BA118" s="653"/>
      <c r="BB118" s="653"/>
      <c r="BC118" s="653"/>
      <c r="BD118" s="653"/>
      <c r="BE118" s="653"/>
      <c r="BF118" s="653"/>
      <c r="BG118" s="653"/>
      <c r="BH118" s="653"/>
      <c r="BI118" s="653"/>
      <c r="BJ118" s="653"/>
      <c r="BK118" s="653"/>
      <c r="BL118" s="653"/>
      <c r="BM118" s="653"/>
      <c r="BN118" s="653"/>
      <c r="BO118" s="653"/>
      <c r="BP118" s="653"/>
      <c r="BQ118" s="653"/>
      <c r="BR118" s="653"/>
      <c r="BS118" s="653"/>
      <c r="BT118" s="653"/>
      <c r="BU118" s="653"/>
      <c r="BV118" s="654"/>
    </row>
    <row r="119" spans="2:74" x14ac:dyDescent="0.25">
      <c r="B119" s="651"/>
      <c r="C119" s="653"/>
      <c r="D119" s="653"/>
      <c r="E119" s="653"/>
      <c r="F119" s="653"/>
      <c r="G119" s="653"/>
      <c r="H119" s="653"/>
      <c r="I119" s="653"/>
      <c r="J119" s="653"/>
      <c r="K119" s="653"/>
      <c r="L119" s="653"/>
      <c r="M119" s="651"/>
      <c r="N119" s="909"/>
      <c r="O119" s="909"/>
      <c r="P119" s="909"/>
      <c r="Q119" s="910"/>
      <c r="R119" s="909"/>
      <c r="S119" s="909"/>
      <c r="T119" s="909"/>
      <c r="U119" s="909"/>
      <c r="V119" s="909"/>
      <c r="W119" s="909"/>
      <c r="X119" s="909"/>
      <c r="Y119" s="909"/>
      <c r="Z119" s="910"/>
      <c r="AA119" s="909"/>
      <c r="AB119" s="910"/>
      <c r="AC119" s="911"/>
      <c r="AD119" s="911"/>
      <c r="AE119" s="909"/>
      <c r="AF119" s="909"/>
      <c r="AG119" s="909"/>
      <c r="AH119" s="917"/>
      <c r="AI119" s="909"/>
      <c r="AJ119" s="916"/>
      <c r="AK119" s="916"/>
      <c r="AL119" s="653"/>
      <c r="AM119" s="918"/>
      <c r="AN119" s="915"/>
      <c r="AO119" s="653"/>
      <c r="AP119" s="653"/>
      <c r="AQ119" s="653"/>
      <c r="AR119" s="653"/>
      <c r="AS119" s="653"/>
      <c r="AT119" s="653"/>
      <c r="AU119" s="653"/>
      <c r="AV119" s="653"/>
      <c r="AW119" s="653"/>
      <c r="AX119" s="653"/>
      <c r="AY119" s="653"/>
      <c r="AZ119" s="653"/>
      <c r="BA119" s="653"/>
      <c r="BB119" s="653"/>
      <c r="BC119" s="653"/>
      <c r="BD119" s="653"/>
      <c r="BE119" s="653"/>
      <c r="BF119" s="653"/>
      <c r="BG119" s="653"/>
      <c r="BH119" s="653"/>
      <c r="BI119" s="653"/>
      <c r="BJ119" s="653"/>
      <c r="BK119" s="653"/>
      <c r="BL119" s="653"/>
      <c r="BM119" s="653"/>
      <c r="BN119" s="653"/>
      <c r="BO119" s="653"/>
      <c r="BP119" s="653"/>
      <c r="BQ119" s="653"/>
      <c r="BR119" s="653"/>
      <c r="BS119" s="653"/>
      <c r="BT119" s="653"/>
      <c r="BU119" s="653"/>
      <c r="BV119" s="654"/>
    </row>
    <row r="120" spans="2:74" x14ac:dyDescent="0.25">
      <c r="B120" s="651"/>
      <c r="C120" s="653"/>
      <c r="D120" s="653"/>
      <c r="E120" s="653"/>
      <c r="F120" s="653"/>
      <c r="G120" s="653"/>
      <c r="H120" s="653"/>
      <c r="I120" s="653"/>
      <c r="J120" s="653"/>
      <c r="K120" s="653"/>
      <c r="L120" s="653"/>
      <c r="M120" s="651"/>
      <c r="N120" s="909"/>
      <c r="O120" s="909"/>
      <c r="P120" s="909"/>
      <c r="Q120" s="910"/>
      <c r="R120" s="909"/>
      <c r="S120" s="909"/>
      <c r="T120" s="909"/>
      <c r="U120" s="909"/>
      <c r="V120" s="909"/>
      <c r="W120" s="909"/>
      <c r="X120" s="909"/>
      <c r="Y120" s="909"/>
      <c r="Z120" s="910"/>
      <c r="AA120" s="909"/>
      <c r="AB120" s="910"/>
      <c r="AC120" s="911"/>
      <c r="AD120" s="911"/>
      <c r="AE120" s="909"/>
      <c r="AF120" s="909"/>
      <c r="AG120" s="909"/>
      <c r="AH120" s="917"/>
      <c r="AI120" s="909"/>
      <c r="AJ120" s="916"/>
      <c r="AK120" s="916"/>
      <c r="AL120" s="653"/>
      <c r="AM120" s="918"/>
      <c r="AN120" s="915"/>
      <c r="AO120" s="653"/>
      <c r="AP120" s="653"/>
      <c r="AQ120" s="653"/>
      <c r="AR120" s="653"/>
      <c r="AS120" s="653"/>
      <c r="AT120" s="653"/>
      <c r="AU120" s="653"/>
      <c r="AV120" s="653"/>
      <c r="AW120" s="653"/>
      <c r="AX120" s="653"/>
      <c r="AY120" s="653"/>
      <c r="AZ120" s="653"/>
      <c r="BA120" s="653"/>
      <c r="BB120" s="653"/>
      <c r="BC120" s="653"/>
      <c r="BD120" s="653"/>
      <c r="BE120" s="653"/>
      <c r="BF120" s="653"/>
      <c r="BG120" s="653"/>
      <c r="BH120" s="653"/>
      <c r="BI120" s="653"/>
      <c r="BJ120" s="653"/>
      <c r="BK120" s="653"/>
      <c r="BL120" s="653"/>
      <c r="BM120" s="653"/>
      <c r="BN120" s="653"/>
      <c r="BO120" s="653"/>
      <c r="BP120" s="653"/>
      <c r="BQ120" s="653"/>
      <c r="BR120" s="653"/>
      <c r="BS120" s="653"/>
      <c r="BT120" s="653"/>
      <c r="BU120" s="653"/>
      <c r="BV120" s="654"/>
    </row>
    <row r="121" spans="2:74" x14ac:dyDescent="0.25">
      <c r="B121" s="651"/>
      <c r="C121" s="653"/>
      <c r="D121" s="653"/>
      <c r="E121" s="653"/>
      <c r="F121" s="653"/>
      <c r="G121" s="653"/>
      <c r="H121" s="653"/>
      <c r="I121" s="653"/>
      <c r="J121" s="653"/>
      <c r="K121" s="653"/>
      <c r="L121" s="653"/>
      <c r="M121" s="651"/>
      <c r="N121" s="909"/>
      <c r="O121" s="909"/>
      <c r="P121" s="909"/>
      <c r="Q121" s="910"/>
      <c r="R121" s="909"/>
      <c r="S121" s="909"/>
      <c r="T121" s="909"/>
      <c r="U121" s="909"/>
      <c r="V121" s="909"/>
      <c r="W121" s="909"/>
      <c r="X121" s="909"/>
      <c r="Y121" s="909"/>
      <c r="Z121" s="910"/>
      <c r="AA121" s="909"/>
      <c r="AB121" s="910"/>
      <c r="AC121" s="911"/>
      <c r="AD121" s="911"/>
      <c r="AE121" s="909"/>
      <c r="AF121" s="909"/>
      <c r="AG121" s="909"/>
      <c r="AH121" s="917"/>
      <c r="AI121" s="909"/>
      <c r="AJ121" s="916"/>
      <c r="AK121" s="916"/>
      <c r="AL121" s="653"/>
      <c r="AM121" s="918"/>
      <c r="AN121" s="915"/>
      <c r="AO121" s="653"/>
      <c r="AP121" s="653"/>
      <c r="AQ121" s="653"/>
      <c r="AR121" s="653"/>
      <c r="AS121" s="653"/>
      <c r="AT121" s="653"/>
      <c r="AU121" s="653"/>
      <c r="AV121" s="653"/>
      <c r="AW121" s="653"/>
      <c r="AX121" s="653"/>
      <c r="AY121" s="653"/>
      <c r="AZ121" s="653"/>
      <c r="BA121" s="653"/>
      <c r="BB121" s="653"/>
      <c r="BC121" s="653"/>
      <c r="BD121" s="653"/>
      <c r="BE121" s="653"/>
      <c r="BF121" s="653"/>
      <c r="BG121" s="653"/>
      <c r="BH121" s="653"/>
      <c r="BI121" s="653"/>
      <c r="BJ121" s="653"/>
      <c r="BK121" s="653"/>
      <c r="BL121" s="653"/>
      <c r="BM121" s="653"/>
      <c r="BN121" s="653"/>
      <c r="BO121" s="653"/>
      <c r="BP121" s="653"/>
      <c r="BQ121" s="653"/>
      <c r="BR121" s="653"/>
      <c r="BS121" s="653"/>
      <c r="BT121" s="653"/>
      <c r="BU121" s="653"/>
      <c r="BV121" s="654"/>
    </row>
    <row r="122" spans="2:74" x14ac:dyDescent="0.25">
      <c r="B122" s="651"/>
      <c r="C122" s="653"/>
      <c r="D122" s="653"/>
      <c r="E122" s="653"/>
      <c r="F122" s="653"/>
      <c r="G122" s="653"/>
      <c r="H122" s="653"/>
      <c r="I122" s="653"/>
      <c r="J122" s="653"/>
      <c r="K122" s="653"/>
      <c r="L122" s="653"/>
      <c r="M122" s="651"/>
      <c r="N122" s="909"/>
      <c r="O122" s="909"/>
      <c r="P122" s="909"/>
      <c r="Q122" s="910"/>
      <c r="R122" s="909"/>
      <c r="S122" s="909"/>
      <c r="T122" s="909"/>
      <c r="U122" s="909"/>
      <c r="V122" s="909"/>
      <c r="W122" s="909"/>
      <c r="X122" s="909"/>
      <c r="Y122" s="909"/>
      <c r="Z122" s="910"/>
      <c r="AA122" s="909"/>
      <c r="AB122" s="910"/>
      <c r="AC122" s="911"/>
      <c r="AD122" s="911"/>
      <c r="AE122" s="909"/>
      <c r="AF122" s="909"/>
      <c r="AG122" s="909"/>
      <c r="AH122" s="917"/>
      <c r="AI122" s="909"/>
      <c r="AJ122" s="916"/>
      <c r="AK122" s="916"/>
      <c r="AL122" s="653"/>
      <c r="AM122" s="918"/>
      <c r="AN122" s="915"/>
      <c r="AO122" s="653"/>
      <c r="AP122" s="653"/>
      <c r="AQ122" s="653"/>
      <c r="AR122" s="653"/>
      <c r="AS122" s="653"/>
      <c r="AT122" s="653"/>
      <c r="AU122" s="653"/>
      <c r="AV122" s="653"/>
      <c r="AW122" s="653"/>
      <c r="AX122" s="653"/>
      <c r="AY122" s="653"/>
      <c r="AZ122" s="653"/>
      <c r="BA122" s="653"/>
      <c r="BB122" s="653"/>
      <c r="BC122" s="653"/>
      <c r="BD122" s="653"/>
      <c r="BE122" s="653"/>
      <c r="BF122" s="653"/>
      <c r="BG122" s="653"/>
      <c r="BH122" s="653"/>
      <c r="BI122" s="653"/>
      <c r="BJ122" s="653"/>
      <c r="BK122" s="653"/>
      <c r="BL122" s="653"/>
      <c r="BM122" s="653"/>
      <c r="BN122" s="653"/>
      <c r="BO122" s="653"/>
      <c r="BP122" s="653"/>
      <c r="BQ122" s="653"/>
      <c r="BR122" s="653"/>
      <c r="BS122" s="653"/>
      <c r="BT122" s="653"/>
      <c r="BU122" s="653"/>
      <c r="BV122" s="654"/>
    </row>
    <row r="123" spans="2:74" x14ac:dyDescent="0.25">
      <c r="B123" s="651"/>
      <c r="C123" s="653"/>
      <c r="D123" s="653"/>
      <c r="E123" s="653"/>
      <c r="F123" s="653"/>
      <c r="G123" s="653"/>
      <c r="H123" s="653"/>
      <c r="I123" s="653"/>
      <c r="J123" s="653"/>
      <c r="K123" s="653"/>
      <c r="L123" s="653"/>
      <c r="M123" s="651"/>
      <c r="N123" s="909"/>
      <c r="O123" s="909"/>
      <c r="P123" s="909"/>
      <c r="Q123" s="910"/>
      <c r="R123" s="909"/>
      <c r="S123" s="909"/>
      <c r="T123" s="909"/>
      <c r="U123" s="909"/>
      <c r="V123" s="909"/>
      <c r="W123" s="909"/>
      <c r="X123" s="909"/>
      <c r="Y123" s="909"/>
      <c r="Z123" s="910"/>
      <c r="AA123" s="909"/>
      <c r="AB123" s="910"/>
      <c r="AC123" s="911"/>
      <c r="AD123" s="911"/>
      <c r="AE123" s="909"/>
      <c r="AF123" s="909"/>
      <c r="AG123" s="909"/>
      <c r="AH123" s="917"/>
      <c r="AI123" s="909"/>
      <c r="AJ123" s="916"/>
      <c r="AK123" s="916"/>
      <c r="AL123" s="653"/>
      <c r="AM123" s="918"/>
      <c r="AN123" s="915"/>
      <c r="AO123" s="653"/>
      <c r="AP123" s="653"/>
      <c r="AQ123" s="653"/>
      <c r="AR123" s="653"/>
      <c r="AS123" s="653"/>
      <c r="AT123" s="653"/>
      <c r="AU123" s="653"/>
      <c r="AV123" s="653"/>
      <c r="AW123" s="653"/>
      <c r="AX123" s="653"/>
      <c r="AY123" s="653"/>
      <c r="AZ123" s="653"/>
      <c r="BA123" s="653"/>
      <c r="BB123" s="653"/>
      <c r="BC123" s="653"/>
      <c r="BD123" s="653"/>
      <c r="BE123" s="653"/>
      <c r="BF123" s="653"/>
      <c r="BG123" s="653"/>
      <c r="BH123" s="653"/>
      <c r="BI123" s="653"/>
      <c r="BJ123" s="653"/>
      <c r="BK123" s="653"/>
      <c r="BL123" s="653"/>
      <c r="BM123" s="653"/>
      <c r="BN123" s="653"/>
      <c r="BO123" s="653"/>
      <c r="BP123" s="653"/>
      <c r="BQ123" s="653"/>
      <c r="BR123" s="653"/>
      <c r="BS123" s="653"/>
      <c r="BT123" s="653"/>
      <c r="BU123" s="653"/>
      <c r="BV123" s="654"/>
    </row>
    <row r="124" spans="2:74" x14ac:dyDescent="0.25">
      <c r="B124" s="651"/>
      <c r="C124" s="653"/>
      <c r="D124" s="653"/>
      <c r="E124" s="653"/>
      <c r="F124" s="653"/>
      <c r="G124" s="653"/>
      <c r="H124" s="653"/>
      <c r="I124" s="653"/>
      <c r="J124" s="653"/>
      <c r="K124" s="653"/>
      <c r="L124" s="653"/>
      <c r="M124" s="651"/>
      <c r="N124" s="909"/>
      <c r="O124" s="909"/>
      <c r="P124" s="909"/>
      <c r="Q124" s="910"/>
      <c r="R124" s="909"/>
      <c r="S124" s="909"/>
      <c r="T124" s="909"/>
      <c r="U124" s="909"/>
      <c r="V124" s="909"/>
      <c r="W124" s="909"/>
      <c r="X124" s="909"/>
      <c r="Y124" s="909"/>
      <c r="Z124" s="910"/>
      <c r="AA124" s="909"/>
      <c r="AB124" s="910"/>
      <c r="AC124" s="911"/>
      <c r="AD124" s="911"/>
      <c r="AE124" s="909"/>
      <c r="AF124" s="909"/>
      <c r="AG124" s="909"/>
      <c r="AH124" s="917"/>
      <c r="AI124" s="909"/>
      <c r="AJ124" s="916"/>
      <c r="AK124" s="916"/>
      <c r="AL124" s="653"/>
      <c r="AM124" s="918"/>
      <c r="AN124" s="915"/>
      <c r="AO124" s="653"/>
      <c r="AP124" s="653"/>
      <c r="AQ124" s="653"/>
      <c r="AR124" s="653"/>
      <c r="AS124" s="653"/>
      <c r="AT124" s="653"/>
      <c r="AU124" s="653"/>
      <c r="AV124" s="653"/>
      <c r="AW124" s="653"/>
      <c r="AX124" s="653"/>
      <c r="AY124" s="653"/>
      <c r="AZ124" s="653"/>
      <c r="BA124" s="653"/>
      <c r="BB124" s="653"/>
      <c r="BC124" s="653"/>
      <c r="BD124" s="653"/>
      <c r="BE124" s="653"/>
      <c r="BF124" s="653"/>
      <c r="BG124" s="653"/>
      <c r="BH124" s="653"/>
      <c r="BI124" s="653"/>
      <c r="BJ124" s="653"/>
      <c r="BK124" s="653"/>
      <c r="BL124" s="653"/>
      <c r="BM124" s="653"/>
      <c r="BN124" s="653"/>
      <c r="BO124" s="653"/>
      <c r="BP124" s="653"/>
      <c r="BQ124" s="653"/>
      <c r="BR124" s="653"/>
      <c r="BS124" s="653"/>
      <c r="BT124" s="653"/>
      <c r="BU124" s="653"/>
      <c r="BV124" s="654"/>
    </row>
    <row r="125" spans="2:74" x14ac:dyDescent="0.25">
      <c r="B125" s="651"/>
      <c r="C125" s="653"/>
      <c r="D125" s="653"/>
      <c r="E125" s="653"/>
      <c r="F125" s="653"/>
      <c r="G125" s="653"/>
      <c r="H125" s="653"/>
      <c r="I125" s="653"/>
      <c r="J125" s="653"/>
      <c r="K125" s="653"/>
      <c r="L125" s="653"/>
      <c r="M125" s="651"/>
      <c r="N125" s="909"/>
      <c r="O125" s="909"/>
      <c r="P125" s="909"/>
      <c r="Q125" s="910"/>
      <c r="R125" s="909"/>
      <c r="S125" s="909"/>
      <c r="T125" s="909"/>
      <c r="U125" s="909"/>
      <c r="V125" s="909"/>
      <c r="W125" s="909"/>
      <c r="X125" s="909"/>
      <c r="Y125" s="909"/>
      <c r="Z125" s="910"/>
      <c r="AA125" s="909"/>
      <c r="AB125" s="910"/>
      <c r="AC125" s="911"/>
      <c r="AD125" s="911"/>
      <c r="AE125" s="909"/>
      <c r="AF125" s="909"/>
      <c r="AG125" s="909"/>
      <c r="AH125" s="917"/>
      <c r="AI125" s="909"/>
      <c r="AJ125" s="916"/>
      <c r="AK125" s="916"/>
      <c r="AL125" s="653"/>
      <c r="AM125" s="918"/>
      <c r="AN125" s="915"/>
      <c r="AO125" s="653"/>
      <c r="AP125" s="653"/>
      <c r="AQ125" s="653"/>
      <c r="AR125" s="653"/>
      <c r="AS125" s="653"/>
      <c r="AT125" s="653"/>
      <c r="AU125" s="653"/>
      <c r="AV125" s="653"/>
      <c r="AW125" s="653"/>
      <c r="AX125" s="653"/>
      <c r="AY125" s="653"/>
      <c r="AZ125" s="653"/>
      <c r="BA125" s="653"/>
      <c r="BB125" s="653"/>
      <c r="BC125" s="653"/>
      <c r="BD125" s="653"/>
      <c r="BE125" s="653"/>
      <c r="BF125" s="653"/>
      <c r="BG125" s="653"/>
      <c r="BH125" s="653"/>
      <c r="BI125" s="653"/>
      <c r="BJ125" s="653"/>
      <c r="BK125" s="653"/>
      <c r="BL125" s="653"/>
      <c r="BM125" s="653"/>
      <c r="BN125" s="653"/>
      <c r="BO125" s="653"/>
      <c r="BP125" s="653"/>
      <c r="BQ125" s="653"/>
      <c r="BR125" s="653"/>
      <c r="BS125" s="653"/>
      <c r="BT125" s="653"/>
      <c r="BU125" s="653"/>
      <c r="BV125" s="654"/>
    </row>
    <row r="126" spans="2:74" x14ac:dyDescent="0.25">
      <c r="B126" s="651"/>
      <c r="C126" s="653"/>
      <c r="D126" s="653"/>
      <c r="E126" s="653"/>
      <c r="F126" s="653"/>
      <c r="G126" s="653"/>
      <c r="H126" s="653"/>
      <c r="I126" s="653"/>
      <c r="J126" s="653"/>
      <c r="K126" s="653"/>
      <c r="L126" s="653"/>
      <c r="M126" s="651"/>
      <c r="N126" s="909"/>
      <c r="O126" s="909"/>
      <c r="P126" s="909"/>
      <c r="Q126" s="910"/>
      <c r="R126" s="909"/>
      <c r="S126" s="909"/>
      <c r="T126" s="909"/>
      <c r="U126" s="909"/>
      <c r="V126" s="909"/>
      <c r="W126" s="909"/>
      <c r="X126" s="909"/>
      <c r="Y126" s="909"/>
      <c r="Z126" s="910"/>
      <c r="AA126" s="909"/>
      <c r="AB126" s="910"/>
      <c r="AC126" s="911"/>
      <c r="AD126" s="911"/>
      <c r="AE126" s="909"/>
      <c r="AF126" s="909"/>
      <c r="AG126" s="909"/>
      <c r="AH126" s="917"/>
      <c r="AI126" s="909"/>
      <c r="AJ126" s="916"/>
      <c r="AK126" s="916"/>
      <c r="AL126" s="653"/>
      <c r="AM126" s="918"/>
      <c r="AN126" s="915"/>
      <c r="AO126" s="653"/>
      <c r="AP126" s="653"/>
      <c r="AQ126" s="653"/>
      <c r="AR126" s="653"/>
      <c r="AS126" s="653"/>
      <c r="AT126" s="653"/>
      <c r="AU126" s="653"/>
      <c r="AV126" s="653"/>
      <c r="AW126" s="653"/>
      <c r="AX126" s="653"/>
      <c r="AY126" s="653"/>
      <c r="AZ126" s="653"/>
      <c r="BA126" s="653"/>
      <c r="BB126" s="653"/>
      <c r="BC126" s="653"/>
      <c r="BD126" s="653"/>
      <c r="BE126" s="653"/>
      <c r="BF126" s="653"/>
      <c r="BG126" s="653"/>
      <c r="BH126" s="653"/>
      <c r="BI126" s="653"/>
      <c r="BJ126" s="653"/>
      <c r="BK126" s="653"/>
      <c r="BL126" s="653"/>
      <c r="BM126" s="653"/>
      <c r="BN126" s="653"/>
      <c r="BO126" s="653"/>
      <c r="BP126" s="653"/>
      <c r="BQ126" s="653"/>
      <c r="BR126" s="653"/>
      <c r="BS126" s="653"/>
      <c r="BT126" s="653"/>
      <c r="BU126" s="653"/>
      <c r="BV126" s="654"/>
    </row>
    <row r="127" spans="2:74" x14ac:dyDescent="0.25">
      <c r="B127" s="651"/>
      <c r="C127" s="653"/>
      <c r="D127" s="653"/>
      <c r="E127" s="653"/>
      <c r="F127" s="653"/>
      <c r="G127" s="653"/>
      <c r="H127" s="653"/>
      <c r="I127" s="653"/>
      <c r="J127" s="653"/>
      <c r="K127" s="653"/>
      <c r="L127" s="653"/>
      <c r="M127" s="651"/>
      <c r="N127" s="909"/>
      <c r="O127" s="909"/>
      <c r="P127" s="909"/>
      <c r="Q127" s="910"/>
      <c r="R127" s="909"/>
      <c r="S127" s="909"/>
      <c r="T127" s="909"/>
      <c r="U127" s="909"/>
      <c r="V127" s="909"/>
      <c r="W127" s="909"/>
      <c r="X127" s="909"/>
      <c r="Y127" s="909"/>
      <c r="Z127" s="910"/>
      <c r="AA127" s="909"/>
      <c r="AB127" s="910"/>
      <c r="AC127" s="911"/>
      <c r="AD127" s="911"/>
      <c r="AE127" s="909"/>
      <c r="AF127" s="909"/>
      <c r="AG127" s="909"/>
      <c r="AH127" s="917"/>
      <c r="AI127" s="909"/>
      <c r="AJ127" s="916"/>
      <c r="AK127" s="916"/>
      <c r="AL127" s="653"/>
      <c r="AM127" s="918"/>
      <c r="AN127" s="915"/>
      <c r="AO127" s="653"/>
      <c r="AP127" s="653"/>
      <c r="AQ127" s="653"/>
      <c r="AR127" s="653"/>
      <c r="AS127" s="653"/>
      <c r="AT127" s="653"/>
      <c r="AU127" s="653"/>
      <c r="AV127" s="653"/>
      <c r="AW127" s="653"/>
      <c r="AX127" s="653"/>
      <c r="AY127" s="653"/>
      <c r="AZ127" s="653"/>
      <c r="BA127" s="653"/>
      <c r="BB127" s="653"/>
      <c r="BC127" s="653"/>
      <c r="BD127" s="653"/>
      <c r="BE127" s="653"/>
      <c r="BF127" s="653"/>
      <c r="BG127" s="653"/>
      <c r="BH127" s="653"/>
      <c r="BI127" s="653"/>
      <c r="BJ127" s="653"/>
      <c r="BK127" s="653"/>
      <c r="BL127" s="653"/>
      <c r="BM127" s="653"/>
      <c r="BN127" s="653"/>
      <c r="BO127" s="653"/>
      <c r="BP127" s="653"/>
      <c r="BQ127" s="653"/>
      <c r="BR127" s="653"/>
      <c r="BS127" s="653"/>
      <c r="BT127" s="653"/>
      <c r="BU127" s="653"/>
      <c r="BV127" s="654"/>
    </row>
    <row r="128" spans="2:74" x14ac:dyDescent="0.25">
      <c r="B128" s="651"/>
      <c r="C128" s="653"/>
      <c r="D128" s="653"/>
      <c r="E128" s="653"/>
      <c r="F128" s="653"/>
      <c r="G128" s="653"/>
      <c r="H128" s="653"/>
      <c r="I128" s="653"/>
      <c r="J128" s="653"/>
      <c r="K128" s="653"/>
      <c r="L128" s="653"/>
      <c r="M128" s="651"/>
      <c r="N128" s="909"/>
      <c r="O128" s="909"/>
      <c r="P128" s="909"/>
      <c r="Q128" s="910"/>
      <c r="R128" s="909"/>
      <c r="S128" s="909"/>
      <c r="T128" s="909"/>
      <c r="U128" s="909"/>
      <c r="V128" s="909"/>
      <c r="W128" s="909"/>
      <c r="X128" s="909"/>
      <c r="Y128" s="909"/>
      <c r="Z128" s="910"/>
      <c r="AA128" s="909"/>
      <c r="AB128" s="910"/>
      <c r="AC128" s="911"/>
      <c r="AD128" s="911"/>
      <c r="AE128" s="909"/>
      <c r="AF128" s="909"/>
      <c r="AG128" s="909"/>
      <c r="AH128" s="917"/>
      <c r="AI128" s="909"/>
      <c r="AJ128" s="916"/>
      <c r="AK128" s="916"/>
      <c r="AL128" s="653"/>
      <c r="AM128" s="918"/>
      <c r="AN128" s="915"/>
      <c r="AO128" s="653"/>
      <c r="AP128" s="653"/>
      <c r="AQ128" s="653"/>
      <c r="AR128" s="653"/>
      <c r="AS128" s="653"/>
      <c r="AT128" s="653"/>
      <c r="AU128" s="653"/>
      <c r="AV128" s="653"/>
      <c r="AW128" s="653"/>
      <c r="AX128" s="653"/>
      <c r="AY128" s="653"/>
      <c r="AZ128" s="653"/>
      <c r="BA128" s="653"/>
      <c r="BB128" s="653"/>
      <c r="BC128" s="653"/>
      <c r="BD128" s="653"/>
      <c r="BE128" s="653"/>
      <c r="BF128" s="653"/>
      <c r="BG128" s="653"/>
      <c r="BH128" s="653"/>
      <c r="BI128" s="653"/>
      <c r="BJ128" s="653"/>
      <c r="BK128" s="653"/>
      <c r="BL128" s="653"/>
      <c r="BM128" s="653"/>
      <c r="BN128" s="653"/>
      <c r="BO128" s="653"/>
      <c r="BP128" s="653"/>
      <c r="BQ128" s="653"/>
      <c r="BR128" s="653"/>
      <c r="BS128" s="653"/>
      <c r="BT128" s="653"/>
      <c r="BU128" s="653"/>
      <c r="BV128" s="654"/>
    </row>
    <row r="129" spans="2:74" x14ac:dyDescent="0.25">
      <c r="B129" s="651"/>
      <c r="C129" s="653"/>
      <c r="D129" s="653"/>
      <c r="E129" s="653"/>
      <c r="F129" s="653"/>
      <c r="G129" s="653"/>
      <c r="H129" s="653"/>
      <c r="I129" s="653"/>
      <c r="J129" s="653"/>
      <c r="K129" s="653"/>
      <c r="L129" s="653"/>
      <c r="M129" s="651"/>
      <c r="N129" s="909"/>
      <c r="O129" s="909"/>
      <c r="P129" s="909"/>
      <c r="Q129" s="910"/>
      <c r="R129" s="909"/>
      <c r="S129" s="909"/>
      <c r="T129" s="909"/>
      <c r="U129" s="909"/>
      <c r="V129" s="909"/>
      <c r="W129" s="909"/>
      <c r="X129" s="909"/>
      <c r="Y129" s="909"/>
      <c r="Z129" s="910"/>
      <c r="AA129" s="909"/>
      <c r="AB129" s="910"/>
      <c r="AC129" s="911"/>
      <c r="AD129" s="911"/>
      <c r="AE129" s="909"/>
      <c r="AF129" s="909"/>
      <c r="AG129" s="909"/>
      <c r="AH129" s="917"/>
      <c r="AI129" s="909"/>
      <c r="AJ129" s="916"/>
      <c r="AK129" s="916"/>
      <c r="AL129" s="653"/>
      <c r="AM129" s="918"/>
      <c r="AN129" s="915"/>
      <c r="AO129" s="653"/>
      <c r="AP129" s="653"/>
      <c r="AQ129" s="653"/>
      <c r="AR129" s="653"/>
      <c r="AS129" s="653"/>
      <c r="AT129" s="653"/>
      <c r="AU129" s="653"/>
      <c r="AV129" s="653"/>
      <c r="AW129" s="653"/>
      <c r="AX129" s="653"/>
      <c r="AY129" s="653"/>
      <c r="AZ129" s="653"/>
      <c r="BA129" s="653"/>
      <c r="BB129" s="653"/>
      <c r="BC129" s="653"/>
      <c r="BD129" s="653"/>
      <c r="BE129" s="653"/>
      <c r="BF129" s="653"/>
      <c r="BG129" s="653"/>
      <c r="BH129" s="653"/>
      <c r="BI129" s="653"/>
      <c r="BJ129" s="653"/>
      <c r="BK129" s="653"/>
      <c r="BL129" s="653"/>
      <c r="BM129" s="653"/>
      <c r="BN129" s="653"/>
      <c r="BO129" s="653"/>
      <c r="BP129" s="653"/>
      <c r="BQ129" s="653"/>
      <c r="BR129" s="653"/>
      <c r="BS129" s="653"/>
      <c r="BT129" s="653"/>
      <c r="BU129" s="653"/>
      <c r="BV129" s="654"/>
    </row>
    <row r="130" spans="2:74" x14ac:dyDescent="0.25">
      <c r="B130" s="651"/>
      <c r="C130" s="653"/>
      <c r="D130" s="653"/>
      <c r="E130" s="653"/>
      <c r="F130" s="653"/>
      <c r="G130" s="653"/>
      <c r="H130" s="653"/>
      <c r="I130" s="653"/>
      <c r="J130" s="653"/>
      <c r="K130" s="653"/>
      <c r="L130" s="653"/>
      <c r="M130" s="651"/>
      <c r="N130" s="909"/>
      <c r="O130" s="909"/>
      <c r="P130" s="909"/>
      <c r="Q130" s="910"/>
      <c r="R130" s="909"/>
      <c r="S130" s="909"/>
      <c r="T130" s="909"/>
      <c r="U130" s="909"/>
      <c r="V130" s="909"/>
      <c r="W130" s="909"/>
      <c r="X130" s="909"/>
      <c r="Y130" s="909"/>
      <c r="Z130" s="910"/>
      <c r="AA130" s="909"/>
      <c r="AB130" s="910"/>
      <c r="AC130" s="911"/>
      <c r="AD130" s="911"/>
      <c r="AE130" s="909"/>
      <c r="AF130" s="909"/>
      <c r="AG130" s="909"/>
      <c r="AH130" s="917"/>
      <c r="AI130" s="909"/>
      <c r="AJ130" s="916"/>
      <c r="AK130" s="916"/>
      <c r="AL130" s="653"/>
      <c r="AM130" s="918"/>
      <c r="AN130" s="915"/>
      <c r="AO130" s="653"/>
      <c r="AP130" s="653"/>
      <c r="AQ130" s="653"/>
      <c r="AR130" s="653"/>
      <c r="AS130" s="653"/>
      <c r="AT130" s="653"/>
      <c r="AU130" s="653"/>
      <c r="AV130" s="653"/>
      <c r="AW130" s="653"/>
      <c r="AX130" s="653"/>
      <c r="AY130" s="653"/>
      <c r="AZ130" s="653"/>
      <c r="BA130" s="653"/>
      <c r="BB130" s="653"/>
      <c r="BC130" s="653"/>
      <c r="BD130" s="653"/>
      <c r="BE130" s="653"/>
      <c r="BF130" s="653"/>
      <c r="BG130" s="653"/>
      <c r="BH130" s="653"/>
      <c r="BI130" s="653"/>
      <c r="BJ130" s="653"/>
      <c r="BK130" s="653"/>
      <c r="BL130" s="653"/>
      <c r="BM130" s="653"/>
      <c r="BN130" s="653"/>
      <c r="BO130" s="653"/>
      <c r="BP130" s="653"/>
      <c r="BQ130" s="653"/>
      <c r="BR130" s="653"/>
      <c r="BS130" s="653"/>
      <c r="BT130" s="653"/>
      <c r="BU130" s="653"/>
      <c r="BV130" s="654"/>
    </row>
    <row r="131" spans="2:74" x14ac:dyDescent="0.25">
      <c r="B131" s="651"/>
      <c r="C131" s="653"/>
      <c r="D131" s="653"/>
      <c r="E131" s="653"/>
      <c r="F131" s="653"/>
      <c r="G131" s="653"/>
      <c r="H131" s="653"/>
      <c r="I131" s="653"/>
      <c r="J131" s="653"/>
      <c r="K131" s="653"/>
      <c r="L131" s="653"/>
      <c r="M131" s="651"/>
      <c r="N131" s="909"/>
      <c r="O131" s="909"/>
      <c r="P131" s="909"/>
      <c r="Q131" s="910"/>
      <c r="R131" s="909"/>
      <c r="S131" s="909"/>
      <c r="T131" s="909"/>
      <c r="U131" s="909"/>
      <c r="V131" s="909"/>
      <c r="W131" s="909"/>
      <c r="X131" s="909"/>
      <c r="Y131" s="909"/>
      <c r="Z131" s="910"/>
      <c r="AA131" s="909"/>
      <c r="AB131" s="910"/>
      <c r="AC131" s="911"/>
      <c r="AD131" s="911"/>
      <c r="AE131" s="909"/>
      <c r="AF131" s="909"/>
      <c r="AG131" s="909"/>
      <c r="AH131" s="917"/>
      <c r="AI131" s="909"/>
      <c r="AJ131" s="916"/>
      <c r="AK131" s="916"/>
      <c r="AL131" s="653"/>
      <c r="AM131" s="918"/>
      <c r="AN131" s="915"/>
      <c r="AO131" s="653"/>
      <c r="AP131" s="653"/>
      <c r="AQ131" s="653"/>
      <c r="AR131" s="653"/>
      <c r="AS131" s="653"/>
      <c r="AT131" s="653"/>
      <c r="AU131" s="653"/>
      <c r="AV131" s="653"/>
      <c r="AW131" s="653"/>
      <c r="AX131" s="653"/>
      <c r="AY131" s="653"/>
      <c r="AZ131" s="653"/>
      <c r="BA131" s="653"/>
      <c r="BB131" s="653"/>
      <c r="BC131" s="653"/>
      <c r="BD131" s="653"/>
      <c r="BE131" s="653"/>
      <c r="BF131" s="653"/>
      <c r="BG131" s="653"/>
      <c r="BH131" s="653"/>
      <c r="BI131" s="653"/>
      <c r="BJ131" s="653"/>
      <c r="BK131" s="653"/>
      <c r="BL131" s="653"/>
      <c r="BM131" s="653"/>
      <c r="BN131" s="653"/>
      <c r="BO131" s="653"/>
      <c r="BP131" s="653"/>
      <c r="BQ131" s="653"/>
      <c r="BR131" s="653"/>
      <c r="BS131" s="653"/>
      <c r="BT131" s="653"/>
      <c r="BU131" s="653"/>
      <c r="BV131" s="654"/>
    </row>
    <row r="132" spans="2:74" x14ac:dyDescent="0.25">
      <c r="B132" s="651"/>
      <c r="C132" s="653"/>
      <c r="D132" s="653"/>
      <c r="E132" s="653"/>
      <c r="F132" s="653"/>
      <c r="G132" s="653"/>
      <c r="H132" s="653"/>
      <c r="I132" s="653"/>
      <c r="J132" s="653"/>
      <c r="K132" s="653"/>
      <c r="L132" s="653"/>
      <c r="M132" s="651"/>
      <c r="N132" s="909"/>
      <c r="O132" s="909"/>
      <c r="P132" s="909"/>
      <c r="Q132" s="910"/>
      <c r="R132" s="909"/>
      <c r="S132" s="909"/>
      <c r="T132" s="909"/>
      <c r="U132" s="909"/>
      <c r="V132" s="909"/>
      <c r="W132" s="909"/>
      <c r="X132" s="909"/>
      <c r="Y132" s="909"/>
      <c r="Z132" s="910"/>
      <c r="AA132" s="909"/>
      <c r="AB132" s="910"/>
      <c r="AC132" s="911"/>
      <c r="AD132" s="911"/>
      <c r="AE132" s="909"/>
      <c r="AF132" s="909"/>
      <c r="AG132" s="909"/>
      <c r="AH132" s="917"/>
      <c r="AI132" s="909"/>
      <c r="AJ132" s="916"/>
      <c r="AK132" s="916"/>
      <c r="AL132" s="653"/>
      <c r="AM132" s="918"/>
      <c r="AN132" s="915"/>
      <c r="AO132" s="653"/>
      <c r="AP132" s="653"/>
      <c r="AQ132" s="653"/>
      <c r="AR132" s="653"/>
      <c r="AS132" s="653"/>
      <c r="AT132" s="653"/>
      <c r="AU132" s="653"/>
      <c r="AV132" s="653"/>
      <c r="AW132" s="653"/>
      <c r="AX132" s="653"/>
      <c r="AY132" s="653"/>
      <c r="AZ132" s="653"/>
      <c r="BA132" s="653"/>
      <c r="BB132" s="653"/>
      <c r="BC132" s="653"/>
      <c r="BD132" s="653"/>
      <c r="BE132" s="653"/>
      <c r="BF132" s="653"/>
      <c r="BG132" s="653"/>
      <c r="BH132" s="653"/>
      <c r="BI132" s="653"/>
      <c r="BJ132" s="653"/>
      <c r="BK132" s="653"/>
      <c r="BL132" s="653"/>
      <c r="BM132" s="653"/>
      <c r="BN132" s="653"/>
      <c r="BO132" s="653"/>
      <c r="BP132" s="653"/>
      <c r="BQ132" s="653"/>
      <c r="BR132" s="653"/>
      <c r="BS132" s="653"/>
      <c r="BT132" s="653"/>
      <c r="BU132" s="653"/>
      <c r="BV132" s="654"/>
    </row>
    <row r="133" spans="2:74" x14ac:dyDescent="0.25">
      <c r="B133" s="651"/>
      <c r="C133" s="653"/>
      <c r="D133" s="653"/>
      <c r="E133" s="653"/>
      <c r="F133" s="653"/>
      <c r="G133" s="653"/>
      <c r="H133" s="653"/>
      <c r="I133" s="653"/>
      <c r="J133" s="653"/>
      <c r="K133" s="653"/>
      <c r="L133" s="653"/>
      <c r="M133" s="651"/>
      <c r="N133" s="909"/>
      <c r="O133" s="909"/>
      <c r="P133" s="909"/>
      <c r="Q133" s="910"/>
      <c r="R133" s="909"/>
      <c r="S133" s="909"/>
      <c r="T133" s="909"/>
      <c r="U133" s="909"/>
      <c r="V133" s="909"/>
      <c r="W133" s="909"/>
      <c r="X133" s="909"/>
      <c r="Y133" s="909"/>
      <c r="Z133" s="910"/>
      <c r="AA133" s="909"/>
      <c r="AB133" s="910"/>
      <c r="AC133" s="911"/>
      <c r="AD133" s="911"/>
      <c r="AE133" s="909"/>
      <c r="AF133" s="909"/>
      <c r="AG133" s="909"/>
      <c r="AH133" s="917"/>
      <c r="AI133" s="909"/>
      <c r="AJ133" s="916"/>
      <c r="AK133" s="916"/>
      <c r="AL133" s="653"/>
      <c r="AM133" s="918"/>
      <c r="AN133" s="915"/>
      <c r="AO133" s="653"/>
      <c r="AP133" s="653"/>
      <c r="AQ133" s="653"/>
      <c r="AR133" s="653"/>
      <c r="AS133" s="653"/>
      <c r="AT133" s="653"/>
      <c r="AU133" s="653"/>
      <c r="AV133" s="653"/>
      <c r="AW133" s="653"/>
      <c r="AX133" s="653"/>
      <c r="AY133" s="653"/>
      <c r="AZ133" s="653"/>
      <c r="BA133" s="653"/>
      <c r="BB133" s="653"/>
      <c r="BC133" s="653"/>
      <c r="BD133" s="653"/>
      <c r="BE133" s="653"/>
      <c r="BF133" s="653"/>
      <c r="BG133" s="653"/>
      <c r="BH133" s="653"/>
      <c r="BI133" s="653"/>
      <c r="BJ133" s="653"/>
      <c r="BK133" s="653"/>
      <c r="BL133" s="653"/>
      <c r="BM133" s="653"/>
      <c r="BN133" s="653"/>
      <c r="BO133" s="653"/>
      <c r="BP133" s="653"/>
      <c r="BQ133" s="653"/>
      <c r="BR133" s="653"/>
      <c r="BS133" s="653"/>
      <c r="BT133" s="653"/>
      <c r="BU133" s="653"/>
      <c r="BV133" s="654"/>
    </row>
    <row r="134" spans="2:74" x14ac:dyDescent="0.25">
      <c r="B134" s="651"/>
      <c r="C134" s="653"/>
      <c r="D134" s="653"/>
      <c r="E134" s="653"/>
      <c r="F134" s="653"/>
      <c r="G134" s="653"/>
      <c r="H134" s="653"/>
      <c r="I134" s="653"/>
      <c r="J134" s="653"/>
      <c r="K134" s="653"/>
      <c r="L134" s="653"/>
      <c r="M134" s="651"/>
      <c r="N134" s="909"/>
      <c r="O134" s="909"/>
      <c r="P134" s="909"/>
      <c r="Q134" s="910"/>
      <c r="R134" s="909"/>
      <c r="S134" s="909"/>
      <c r="T134" s="909"/>
      <c r="U134" s="909"/>
      <c r="V134" s="909"/>
      <c r="W134" s="909"/>
      <c r="X134" s="909"/>
      <c r="Y134" s="909"/>
      <c r="Z134" s="910"/>
      <c r="AA134" s="909"/>
      <c r="AB134" s="910"/>
      <c r="AC134" s="911"/>
      <c r="AD134" s="911"/>
      <c r="AE134" s="909"/>
      <c r="AF134" s="909"/>
      <c r="AG134" s="909"/>
      <c r="AH134" s="917"/>
      <c r="AI134" s="909"/>
      <c r="AJ134" s="916"/>
      <c r="AK134" s="916"/>
      <c r="AL134" s="653"/>
      <c r="AM134" s="918"/>
      <c r="AN134" s="915"/>
      <c r="AO134" s="653"/>
      <c r="AP134" s="653"/>
      <c r="AQ134" s="653"/>
      <c r="AR134" s="653"/>
      <c r="AS134" s="653"/>
      <c r="AT134" s="653"/>
      <c r="AU134" s="653"/>
      <c r="AV134" s="653"/>
      <c r="AW134" s="653"/>
      <c r="AX134" s="653"/>
      <c r="AY134" s="653"/>
      <c r="AZ134" s="653"/>
      <c r="BA134" s="653"/>
      <c r="BB134" s="653"/>
      <c r="BC134" s="653"/>
      <c r="BD134" s="653"/>
      <c r="BE134" s="653"/>
      <c r="BF134" s="653"/>
      <c r="BG134" s="653"/>
      <c r="BH134" s="653"/>
      <c r="BI134" s="653"/>
      <c r="BJ134" s="653"/>
      <c r="BK134" s="653"/>
      <c r="BL134" s="653"/>
      <c r="BM134" s="653"/>
      <c r="BN134" s="653"/>
      <c r="BO134" s="653"/>
      <c r="BP134" s="653"/>
      <c r="BQ134" s="653"/>
      <c r="BR134" s="653"/>
      <c r="BS134" s="653"/>
      <c r="BT134" s="653"/>
      <c r="BU134" s="653"/>
      <c r="BV134" s="654"/>
    </row>
    <row r="135" spans="2:74" x14ac:dyDescent="0.25">
      <c r="B135" s="651"/>
      <c r="C135" s="653"/>
      <c r="D135" s="653"/>
      <c r="E135" s="653"/>
      <c r="F135" s="653"/>
      <c r="G135" s="653"/>
      <c r="H135" s="653"/>
      <c r="I135" s="653"/>
      <c r="J135" s="653"/>
      <c r="K135" s="653"/>
      <c r="L135" s="653"/>
      <c r="M135" s="651"/>
      <c r="N135" s="909"/>
      <c r="O135" s="909"/>
      <c r="P135" s="909"/>
      <c r="Q135" s="910"/>
      <c r="R135" s="909"/>
      <c r="S135" s="909"/>
      <c r="T135" s="909"/>
      <c r="U135" s="909"/>
      <c r="V135" s="909"/>
      <c r="W135" s="909"/>
      <c r="X135" s="909"/>
      <c r="Y135" s="909"/>
      <c r="Z135" s="910"/>
      <c r="AA135" s="909"/>
      <c r="AB135" s="910"/>
      <c r="AC135" s="911"/>
      <c r="AD135" s="911"/>
      <c r="AE135" s="909"/>
      <c r="AF135" s="909"/>
      <c r="AG135" s="909"/>
      <c r="AH135" s="917"/>
      <c r="AI135" s="909"/>
      <c r="AJ135" s="916"/>
      <c r="AK135" s="916"/>
      <c r="AL135" s="653"/>
      <c r="AM135" s="918"/>
      <c r="AN135" s="915"/>
      <c r="AO135" s="653"/>
      <c r="AP135" s="653"/>
      <c r="AQ135" s="653"/>
      <c r="AR135" s="653"/>
      <c r="AS135" s="653"/>
      <c r="AT135" s="653"/>
      <c r="AU135" s="653"/>
      <c r="AV135" s="653"/>
      <c r="AW135" s="653"/>
      <c r="AX135" s="653"/>
      <c r="AY135" s="653"/>
      <c r="AZ135" s="653"/>
      <c r="BA135" s="653"/>
      <c r="BB135" s="653"/>
      <c r="BC135" s="653"/>
      <c r="BD135" s="653"/>
      <c r="BE135" s="653"/>
      <c r="BF135" s="653"/>
      <c r="BG135" s="653"/>
      <c r="BH135" s="653"/>
      <c r="BI135" s="653"/>
      <c r="BJ135" s="653"/>
      <c r="BK135" s="653"/>
      <c r="BL135" s="653"/>
      <c r="BM135" s="653"/>
      <c r="BN135" s="653"/>
      <c r="BO135" s="653"/>
      <c r="BP135" s="653"/>
      <c r="BQ135" s="653"/>
      <c r="BR135" s="653"/>
      <c r="BS135" s="653"/>
      <c r="BT135" s="653"/>
      <c r="BU135" s="653"/>
      <c r="BV135" s="654"/>
    </row>
    <row r="136" spans="2:74" x14ac:dyDescent="0.25">
      <c r="B136" s="651"/>
      <c r="C136" s="653"/>
      <c r="D136" s="653"/>
      <c r="E136" s="653"/>
      <c r="F136" s="653"/>
      <c r="G136" s="653"/>
      <c r="H136" s="653"/>
      <c r="I136" s="653"/>
      <c r="J136" s="653"/>
      <c r="K136" s="653"/>
      <c r="L136" s="653"/>
      <c r="M136" s="651"/>
      <c r="N136" s="909"/>
      <c r="O136" s="909"/>
      <c r="P136" s="909"/>
      <c r="Q136" s="910"/>
      <c r="R136" s="909"/>
      <c r="S136" s="909"/>
      <c r="T136" s="909"/>
      <c r="U136" s="909"/>
      <c r="V136" s="909"/>
      <c r="W136" s="909"/>
      <c r="X136" s="909"/>
      <c r="Y136" s="909"/>
      <c r="Z136" s="910"/>
      <c r="AA136" s="909"/>
      <c r="AB136" s="910"/>
      <c r="AC136" s="911"/>
      <c r="AD136" s="911"/>
      <c r="AE136" s="909"/>
      <c r="AF136" s="909"/>
      <c r="AG136" s="909"/>
      <c r="AH136" s="917"/>
      <c r="AI136" s="909"/>
      <c r="AJ136" s="916"/>
      <c r="AK136" s="916"/>
      <c r="AL136" s="653"/>
      <c r="AM136" s="918"/>
      <c r="AN136" s="915"/>
      <c r="AO136" s="653"/>
      <c r="AP136" s="653"/>
      <c r="AQ136" s="653"/>
      <c r="AR136" s="653"/>
      <c r="AS136" s="653"/>
      <c r="AT136" s="653"/>
      <c r="AU136" s="653"/>
      <c r="AV136" s="653"/>
      <c r="AW136" s="653"/>
      <c r="AX136" s="653"/>
      <c r="AY136" s="653"/>
      <c r="AZ136" s="653"/>
      <c r="BA136" s="653"/>
      <c r="BB136" s="653"/>
      <c r="BC136" s="653"/>
      <c r="BD136" s="653"/>
      <c r="BE136" s="653"/>
      <c r="BF136" s="653"/>
      <c r="BG136" s="653"/>
      <c r="BH136" s="653"/>
      <c r="BI136" s="653"/>
      <c r="BJ136" s="653"/>
      <c r="BK136" s="653"/>
      <c r="BL136" s="653"/>
      <c r="BM136" s="653"/>
      <c r="BN136" s="653"/>
      <c r="BO136" s="653"/>
      <c r="BP136" s="653"/>
      <c r="BQ136" s="653"/>
      <c r="BR136" s="653"/>
      <c r="BS136" s="653"/>
      <c r="BT136" s="653"/>
      <c r="BU136" s="653"/>
      <c r="BV136" s="654"/>
    </row>
    <row r="137" spans="2:74" x14ac:dyDescent="0.25">
      <c r="B137" s="651"/>
      <c r="C137" s="653"/>
      <c r="D137" s="653"/>
      <c r="E137" s="653"/>
      <c r="F137" s="653"/>
      <c r="G137" s="653"/>
      <c r="H137" s="653"/>
      <c r="I137" s="653"/>
      <c r="J137" s="653"/>
      <c r="K137" s="653"/>
      <c r="L137" s="653"/>
      <c r="M137" s="651"/>
      <c r="N137" s="909"/>
      <c r="O137" s="909"/>
      <c r="P137" s="909"/>
      <c r="Q137" s="910"/>
      <c r="R137" s="909"/>
      <c r="S137" s="909"/>
      <c r="T137" s="909"/>
      <c r="U137" s="909"/>
      <c r="V137" s="909"/>
      <c r="W137" s="909"/>
      <c r="X137" s="909"/>
      <c r="Y137" s="909"/>
      <c r="Z137" s="910"/>
      <c r="AA137" s="909"/>
      <c r="AB137" s="910"/>
      <c r="AC137" s="911"/>
      <c r="AD137" s="911"/>
      <c r="AE137" s="909"/>
      <c r="AF137" s="909"/>
      <c r="AG137" s="909"/>
      <c r="AH137" s="917"/>
      <c r="AI137" s="909"/>
      <c r="AJ137" s="916"/>
      <c r="AK137" s="916"/>
      <c r="AL137" s="653"/>
      <c r="AM137" s="918"/>
      <c r="AN137" s="915"/>
      <c r="AO137" s="653"/>
      <c r="AP137" s="653"/>
      <c r="AQ137" s="653"/>
      <c r="AR137" s="653"/>
      <c r="AS137" s="653"/>
      <c r="AT137" s="653"/>
      <c r="AU137" s="653"/>
      <c r="AV137" s="653"/>
      <c r="AW137" s="653"/>
      <c r="AX137" s="653"/>
      <c r="AY137" s="653"/>
      <c r="AZ137" s="653"/>
      <c r="BA137" s="653"/>
      <c r="BB137" s="653"/>
      <c r="BC137" s="653"/>
      <c r="BD137" s="653"/>
      <c r="BE137" s="653"/>
      <c r="BF137" s="653"/>
      <c r="BG137" s="653"/>
      <c r="BH137" s="653"/>
      <c r="BI137" s="653"/>
      <c r="BJ137" s="653"/>
      <c r="BK137" s="653"/>
      <c r="BL137" s="653"/>
      <c r="BM137" s="653"/>
      <c r="BN137" s="653"/>
      <c r="BO137" s="653"/>
      <c r="BP137" s="653"/>
      <c r="BQ137" s="653"/>
      <c r="BR137" s="653"/>
      <c r="BS137" s="653"/>
      <c r="BT137" s="653"/>
      <c r="BU137" s="653"/>
      <c r="BV137" s="654"/>
    </row>
    <row r="138" spans="2:74" x14ac:dyDescent="0.25">
      <c r="B138" s="651"/>
      <c r="C138" s="653"/>
      <c r="D138" s="653"/>
      <c r="E138" s="653"/>
      <c r="F138" s="653"/>
      <c r="G138" s="653"/>
      <c r="H138" s="653"/>
      <c r="I138" s="653"/>
      <c r="J138" s="653"/>
      <c r="K138" s="653"/>
      <c r="L138" s="653"/>
      <c r="M138" s="651"/>
      <c r="N138" s="909"/>
      <c r="O138" s="909"/>
      <c r="P138" s="909"/>
      <c r="Q138" s="910"/>
      <c r="R138" s="909"/>
      <c r="S138" s="909"/>
      <c r="T138" s="909"/>
      <c r="U138" s="909"/>
      <c r="V138" s="909"/>
      <c r="W138" s="909"/>
      <c r="X138" s="909"/>
      <c r="Y138" s="909"/>
      <c r="Z138" s="910"/>
      <c r="AA138" s="909"/>
      <c r="AB138" s="910"/>
      <c r="AC138" s="911"/>
      <c r="AD138" s="911"/>
      <c r="AE138" s="909"/>
      <c r="AF138" s="909"/>
      <c r="AG138" s="909"/>
      <c r="AH138" s="917"/>
      <c r="AI138" s="909"/>
      <c r="AJ138" s="916"/>
      <c r="AK138" s="916"/>
      <c r="AL138" s="653"/>
      <c r="AM138" s="918"/>
      <c r="AN138" s="915"/>
      <c r="AO138" s="653"/>
      <c r="AP138" s="653"/>
      <c r="AQ138" s="653"/>
      <c r="AR138" s="653"/>
      <c r="AS138" s="653"/>
      <c r="AT138" s="653"/>
      <c r="AU138" s="653"/>
      <c r="AV138" s="653"/>
      <c r="AW138" s="653"/>
      <c r="AX138" s="653"/>
      <c r="AY138" s="653"/>
      <c r="AZ138" s="653"/>
      <c r="BA138" s="653"/>
      <c r="BB138" s="653"/>
      <c r="BC138" s="653"/>
      <c r="BD138" s="653"/>
      <c r="BE138" s="653"/>
      <c r="BF138" s="653"/>
      <c r="BG138" s="653"/>
      <c r="BH138" s="653"/>
      <c r="BI138" s="653"/>
      <c r="BJ138" s="653"/>
      <c r="BK138" s="653"/>
      <c r="BL138" s="653"/>
      <c r="BM138" s="653"/>
      <c r="BN138" s="653"/>
      <c r="BO138" s="653"/>
      <c r="BP138" s="653"/>
      <c r="BQ138" s="653"/>
      <c r="BR138" s="653"/>
      <c r="BS138" s="653"/>
      <c r="BT138" s="653"/>
      <c r="BU138" s="653"/>
      <c r="BV138" s="654"/>
    </row>
    <row r="139" spans="2:74" x14ac:dyDescent="0.25">
      <c r="B139" s="651"/>
      <c r="C139" s="653"/>
      <c r="D139" s="653"/>
      <c r="E139" s="653"/>
      <c r="F139" s="653"/>
      <c r="G139" s="653"/>
      <c r="H139" s="653"/>
      <c r="I139" s="653"/>
      <c r="J139" s="653"/>
      <c r="K139" s="653"/>
      <c r="L139" s="653"/>
      <c r="M139" s="651"/>
      <c r="N139" s="909"/>
      <c r="O139" s="909"/>
      <c r="P139" s="909"/>
      <c r="Q139" s="910"/>
      <c r="R139" s="909"/>
      <c r="S139" s="909"/>
      <c r="T139" s="909"/>
      <c r="U139" s="909"/>
      <c r="V139" s="909"/>
      <c r="W139" s="909"/>
      <c r="X139" s="909"/>
      <c r="Y139" s="909"/>
      <c r="Z139" s="910"/>
      <c r="AA139" s="909"/>
      <c r="AB139" s="910"/>
      <c r="AC139" s="911"/>
      <c r="AD139" s="911"/>
      <c r="AE139" s="909"/>
      <c r="AF139" s="909"/>
      <c r="AG139" s="909"/>
      <c r="AH139" s="917"/>
      <c r="AI139" s="909"/>
      <c r="AJ139" s="916"/>
      <c r="AK139" s="916"/>
      <c r="AL139" s="653"/>
      <c r="AM139" s="918"/>
      <c r="AN139" s="915"/>
      <c r="AO139" s="653"/>
      <c r="AP139" s="653"/>
      <c r="AQ139" s="653"/>
      <c r="AR139" s="653"/>
      <c r="AS139" s="653"/>
      <c r="AT139" s="653"/>
      <c r="AU139" s="653"/>
      <c r="AV139" s="653"/>
      <c r="AW139" s="653"/>
      <c r="AX139" s="653"/>
      <c r="AY139" s="653"/>
      <c r="AZ139" s="653"/>
      <c r="BA139" s="653"/>
      <c r="BB139" s="653"/>
      <c r="BC139" s="653"/>
      <c r="BD139" s="653"/>
      <c r="BE139" s="653"/>
      <c r="BF139" s="653"/>
      <c r="BG139" s="653"/>
      <c r="BH139" s="653"/>
      <c r="BI139" s="653"/>
      <c r="BJ139" s="653"/>
      <c r="BK139" s="653"/>
      <c r="BL139" s="653"/>
      <c r="BM139" s="653"/>
      <c r="BN139" s="653"/>
      <c r="BO139" s="653"/>
      <c r="BP139" s="653"/>
      <c r="BQ139" s="653"/>
      <c r="BR139" s="653"/>
      <c r="BS139" s="653"/>
      <c r="BT139" s="653"/>
      <c r="BU139" s="653"/>
      <c r="BV139" s="654"/>
    </row>
    <row r="140" spans="2:74" x14ac:dyDescent="0.25">
      <c r="B140" s="651"/>
      <c r="C140" s="653"/>
      <c r="D140" s="653"/>
      <c r="E140" s="653"/>
      <c r="F140" s="653"/>
      <c r="G140" s="653"/>
      <c r="H140" s="653"/>
      <c r="I140" s="653"/>
      <c r="J140" s="653"/>
      <c r="K140" s="653"/>
      <c r="L140" s="653"/>
      <c r="M140" s="651"/>
      <c r="N140" s="909"/>
      <c r="O140" s="909"/>
      <c r="P140" s="909"/>
      <c r="Q140" s="910"/>
      <c r="R140" s="909"/>
      <c r="S140" s="909"/>
      <c r="T140" s="909"/>
      <c r="U140" s="909"/>
      <c r="V140" s="909"/>
      <c r="W140" s="909"/>
      <c r="X140" s="909"/>
      <c r="Y140" s="909"/>
      <c r="Z140" s="910"/>
      <c r="AA140" s="909"/>
      <c r="AB140" s="910"/>
      <c r="AC140" s="911"/>
      <c r="AD140" s="911"/>
      <c r="AE140" s="909"/>
      <c r="AF140" s="909"/>
      <c r="AG140" s="909"/>
      <c r="AH140" s="917"/>
      <c r="AI140" s="909"/>
      <c r="AJ140" s="916"/>
      <c r="AK140" s="916"/>
      <c r="AL140" s="653"/>
      <c r="AM140" s="918"/>
      <c r="AN140" s="915"/>
      <c r="AO140" s="653"/>
      <c r="AP140" s="653"/>
      <c r="AQ140" s="653"/>
      <c r="AR140" s="653"/>
      <c r="AS140" s="653"/>
      <c r="AT140" s="653"/>
      <c r="AU140" s="653"/>
      <c r="AV140" s="653"/>
      <c r="AW140" s="653"/>
      <c r="AX140" s="653"/>
      <c r="AY140" s="653"/>
      <c r="AZ140" s="653"/>
      <c r="BA140" s="653"/>
      <c r="BB140" s="653"/>
      <c r="BC140" s="653"/>
      <c r="BD140" s="653"/>
      <c r="BE140" s="653"/>
      <c r="BF140" s="653"/>
      <c r="BG140" s="653"/>
      <c r="BH140" s="653"/>
      <c r="BI140" s="653"/>
      <c r="BJ140" s="653"/>
      <c r="BK140" s="653"/>
      <c r="BL140" s="653"/>
      <c r="BM140" s="653"/>
      <c r="BN140" s="653"/>
      <c r="BO140" s="653"/>
      <c r="BP140" s="653"/>
      <c r="BQ140" s="653"/>
      <c r="BR140" s="653"/>
      <c r="BS140" s="653"/>
      <c r="BT140" s="653"/>
      <c r="BU140" s="653"/>
      <c r="BV140" s="654"/>
    </row>
    <row r="141" spans="2:74" x14ac:dyDescent="0.25">
      <c r="B141" s="651"/>
      <c r="C141" s="653"/>
      <c r="D141" s="653"/>
      <c r="E141" s="653"/>
      <c r="F141" s="653"/>
      <c r="G141" s="653"/>
      <c r="H141" s="653"/>
      <c r="I141" s="653"/>
      <c r="J141" s="653"/>
      <c r="K141" s="653"/>
      <c r="L141" s="653"/>
      <c r="M141" s="651"/>
      <c r="N141" s="909"/>
      <c r="O141" s="909"/>
      <c r="P141" s="909"/>
      <c r="Q141" s="910"/>
      <c r="R141" s="909"/>
      <c r="S141" s="909"/>
      <c r="T141" s="909"/>
      <c r="U141" s="909"/>
      <c r="V141" s="909"/>
      <c r="W141" s="909"/>
      <c r="X141" s="909"/>
      <c r="Y141" s="909"/>
      <c r="Z141" s="910"/>
      <c r="AA141" s="909"/>
      <c r="AB141" s="910"/>
      <c r="AC141" s="911"/>
      <c r="AD141" s="911"/>
      <c r="AE141" s="909"/>
      <c r="AF141" s="909"/>
      <c r="AG141" s="909"/>
      <c r="AH141" s="917"/>
      <c r="AI141" s="909"/>
      <c r="AJ141" s="916"/>
      <c r="AK141" s="916"/>
      <c r="AL141" s="653"/>
      <c r="AM141" s="918"/>
      <c r="AN141" s="915"/>
      <c r="AO141" s="653"/>
      <c r="AP141" s="653"/>
      <c r="AQ141" s="653"/>
      <c r="AR141" s="653"/>
      <c r="AS141" s="653"/>
      <c r="AT141" s="653"/>
      <c r="AU141" s="653"/>
      <c r="AV141" s="653"/>
      <c r="AW141" s="653"/>
      <c r="AX141" s="653"/>
      <c r="AY141" s="653"/>
      <c r="AZ141" s="653"/>
      <c r="BA141" s="653"/>
      <c r="BB141" s="653"/>
      <c r="BC141" s="653"/>
      <c r="BD141" s="653"/>
      <c r="BE141" s="653"/>
      <c r="BF141" s="653"/>
      <c r="BG141" s="653"/>
      <c r="BH141" s="653"/>
      <c r="BI141" s="653"/>
      <c r="BJ141" s="653"/>
      <c r="BK141" s="653"/>
      <c r="BL141" s="653"/>
      <c r="BM141" s="653"/>
      <c r="BN141" s="653"/>
      <c r="BO141" s="653"/>
      <c r="BP141" s="653"/>
      <c r="BQ141" s="653"/>
      <c r="BR141" s="653"/>
      <c r="BS141" s="653"/>
      <c r="BT141" s="653"/>
      <c r="BU141" s="653"/>
      <c r="BV141" s="654"/>
    </row>
    <row r="142" spans="2:74" x14ac:dyDescent="0.25">
      <c r="B142" s="651"/>
      <c r="C142" s="653"/>
      <c r="D142" s="653"/>
      <c r="E142" s="653"/>
      <c r="F142" s="653"/>
      <c r="G142" s="653"/>
      <c r="H142" s="653"/>
      <c r="I142" s="653"/>
      <c r="J142" s="653"/>
      <c r="K142" s="653"/>
      <c r="L142" s="653"/>
      <c r="M142" s="651"/>
      <c r="N142" s="909"/>
      <c r="O142" s="909"/>
      <c r="P142" s="909"/>
      <c r="Q142" s="910"/>
      <c r="R142" s="909"/>
      <c r="S142" s="909"/>
      <c r="T142" s="909"/>
      <c r="U142" s="909"/>
      <c r="V142" s="909"/>
      <c r="W142" s="909"/>
      <c r="X142" s="909"/>
      <c r="Y142" s="909"/>
      <c r="Z142" s="910"/>
      <c r="AA142" s="909"/>
      <c r="AB142" s="910"/>
      <c r="AC142" s="911"/>
      <c r="AD142" s="911"/>
      <c r="AE142" s="909"/>
      <c r="AF142" s="909"/>
      <c r="AG142" s="909"/>
      <c r="AH142" s="917"/>
      <c r="AI142" s="909"/>
      <c r="AJ142" s="916"/>
      <c r="AK142" s="916"/>
      <c r="AL142" s="653"/>
      <c r="AM142" s="918"/>
      <c r="AN142" s="915"/>
      <c r="AO142" s="653"/>
      <c r="AP142" s="653"/>
      <c r="AQ142" s="653"/>
      <c r="AR142" s="653"/>
      <c r="AS142" s="653"/>
      <c r="AT142" s="653"/>
      <c r="AU142" s="653"/>
      <c r="AV142" s="653"/>
      <c r="AW142" s="653"/>
      <c r="AX142" s="653"/>
      <c r="AY142" s="653"/>
      <c r="AZ142" s="653"/>
      <c r="BA142" s="653"/>
      <c r="BB142" s="653"/>
      <c r="BC142" s="653"/>
      <c r="BD142" s="653"/>
      <c r="BE142" s="653"/>
      <c r="BF142" s="653"/>
      <c r="BG142" s="653"/>
      <c r="BH142" s="653"/>
      <c r="BI142" s="653"/>
      <c r="BJ142" s="653"/>
      <c r="BK142" s="653"/>
      <c r="BL142" s="653"/>
      <c r="BM142" s="653"/>
      <c r="BN142" s="653"/>
      <c r="BO142" s="653"/>
      <c r="BP142" s="653"/>
      <c r="BQ142" s="653"/>
      <c r="BR142" s="653"/>
      <c r="BS142" s="653"/>
      <c r="BT142" s="653"/>
      <c r="BU142" s="653"/>
      <c r="BV142" s="654"/>
    </row>
    <row r="143" spans="2:74" x14ac:dyDescent="0.25">
      <c r="B143" s="651"/>
      <c r="C143" s="653"/>
      <c r="D143" s="653"/>
      <c r="E143" s="653"/>
      <c r="F143" s="653"/>
      <c r="G143" s="653"/>
      <c r="H143" s="653"/>
      <c r="I143" s="653"/>
      <c r="J143" s="653"/>
      <c r="K143" s="653"/>
      <c r="L143" s="653"/>
      <c r="M143" s="651"/>
      <c r="N143" s="909"/>
      <c r="O143" s="909"/>
      <c r="P143" s="909"/>
      <c r="Q143" s="910"/>
      <c r="R143" s="909"/>
      <c r="S143" s="909"/>
      <c r="T143" s="909"/>
      <c r="U143" s="909"/>
      <c r="V143" s="909"/>
      <c r="W143" s="909"/>
      <c r="X143" s="909"/>
      <c r="Y143" s="909"/>
      <c r="Z143" s="910"/>
      <c r="AA143" s="909"/>
      <c r="AB143" s="910"/>
      <c r="AC143" s="911"/>
      <c r="AD143" s="911"/>
      <c r="AE143" s="909"/>
      <c r="AF143" s="909"/>
      <c r="AG143" s="909"/>
      <c r="AH143" s="917"/>
      <c r="AI143" s="909"/>
      <c r="AJ143" s="916"/>
      <c r="AK143" s="916"/>
      <c r="AL143" s="653"/>
      <c r="AM143" s="918"/>
      <c r="AN143" s="915"/>
      <c r="AO143" s="653"/>
      <c r="AP143" s="653"/>
      <c r="AQ143" s="653"/>
      <c r="AR143" s="653"/>
      <c r="AS143" s="653"/>
      <c r="AT143" s="653"/>
      <c r="AU143" s="653"/>
      <c r="AV143" s="653"/>
      <c r="AW143" s="653"/>
      <c r="AX143" s="653"/>
      <c r="AY143" s="653"/>
      <c r="AZ143" s="653"/>
      <c r="BA143" s="653"/>
      <c r="BB143" s="653"/>
      <c r="BC143" s="653"/>
      <c r="BD143" s="653"/>
      <c r="BE143" s="653"/>
      <c r="BF143" s="653"/>
      <c r="BG143" s="653"/>
      <c r="BH143" s="653"/>
      <c r="BI143" s="653"/>
      <c r="BJ143" s="653"/>
      <c r="BK143" s="653"/>
      <c r="BL143" s="653"/>
      <c r="BM143" s="653"/>
      <c r="BN143" s="653"/>
      <c r="BO143" s="653"/>
      <c r="BP143" s="653"/>
      <c r="BQ143" s="653"/>
      <c r="BR143" s="653"/>
      <c r="BS143" s="653"/>
      <c r="BT143" s="653"/>
      <c r="BU143" s="653"/>
      <c r="BV143" s="654"/>
    </row>
    <row r="144" spans="2:74" x14ac:dyDescent="0.25">
      <c r="B144" s="651"/>
      <c r="C144" s="653"/>
      <c r="D144" s="653"/>
      <c r="E144" s="653"/>
      <c r="F144" s="653"/>
      <c r="G144" s="653"/>
      <c r="H144" s="653"/>
      <c r="I144" s="653"/>
      <c r="J144" s="653"/>
      <c r="K144" s="653"/>
      <c r="L144" s="653"/>
      <c r="M144" s="651"/>
      <c r="N144" s="909"/>
      <c r="O144" s="909"/>
      <c r="P144" s="909"/>
      <c r="Q144" s="910"/>
      <c r="R144" s="909"/>
      <c r="S144" s="909"/>
      <c r="T144" s="909"/>
      <c r="U144" s="909"/>
      <c r="V144" s="909"/>
      <c r="W144" s="909"/>
      <c r="X144" s="909"/>
      <c r="Y144" s="909"/>
      <c r="Z144" s="910"/>
      <c r="AA144" s="909"/>
      <c r="AB144" s="910"/>
      <c r="AC144" s="911"/>
      <c r="AD144" s="911"/>
      <c r="AE144" s="909"/>
      <c r="AF144" s="909"/>
      <c r="AG144" s="909"/>
      <c r="AH144" s="917"/>
      <c r="AI144" s="909"/>
      <c r="AJ144" s="916"/>
      <c r="AK144" s="916"/>
      <c r="AL144" s="653"/>
      <c r="AM144" s="918"/>
      <c r="AN144" s="915"/>
      <c r="AO144" s="653"/>
      <c r="AP144" s="653"/>
      <c r="AQ144" s="653"/>
      <c r="AR144" s="653"/>
      <c r="AS144" s="653"/>
      <c r="AT144" s="653"/>
      <c r="AU144" s="653"/>
      <c r="AV144" s="653"/>
      <c r="AW144" s="653"/>
      <c r="AX144" s="653"/>
      <c r="AY144" s="653"/>
      <c r="AZ144" s="653"/>
      <c r="BA144" s="653"/>
      <c r="BB144" s="653"/>
      <c r="BC144" s="653"/>
      <c r="BD144" s="653"/>
      <c r="BE144" s="653"/>
      <c r="BF144" s="653"/>
      <c r="BG144" s="653"/>
      <c r="BH144" s="653"/>
      <c r="BI144" s="653"/>
      <c r="BJ144" s="653"/>
      <c r="BK144" s="653"/>
      <c r="BL144" s="653"/>
      <c r="BM144" s="653"/>
      <c r="BN144" s="653"/>
      <c r="BO144" s="653"/>
      <c r="BP144" s="653"/>
      <c r="BQ144" s="653"/>
      <c r="BR144" s="653"/>
      <c r="BS144" s="653"/>
      <c r="BT144" s="653"/>
      <c r="BU144" s="653"/>
      <c r="BV144" s="654"/>
    </row>
    <row r="145" spans="2:74" x14ac:dyDescent="0.25">
      <c r="B145" s="651"/>
      <c r="C145" s="653"/>
      <c r="D145" s="653"/>
      <c r="E145" s="653"/>
      <c r="F145" s="653"/>
      <c r="G145" s="653"/>
      <c r="H145" s="653"/>
      <c r="I145" s="653"/>
      <c r="J145" s="653"/>
      <c r="K145" s="653"/>
      <c r="L145" s="653"/>
      <c r="M145" s="651"/>
      <c r="N145" s="909"/>
      <c r="O145" s="909"/>
      <c r="P145" s="909"/>
      <c r="Q145" s="910"/>
      <c r="R145" s="909"/>
      <c r="S145" s="909"/>
      <c r="T145" s="909"/>
      <c r="U145" s="909"/>
      <c r="V145" s="909"/>
      <c r="W145" s="909"/>
      <c r="X145" s="909"/>
      <c r="Y145" s="909"/>
      <c r="Z145" s="910"/>
      <c r="AA145" s="909"/>
      <c r="AB145" s="910"/>
      <c r="AC145" s="911"/>
      <c r="AD145" s="911"/>
      <c r="AE145" s="909"/>
      <c r="AF145" s="909"/>
      <c r="AG145" s="909"/>
      <c r="AH145" s="917"/>
      <c r="AI145" s="909"/>
      <c r="AJ145" s="916"/>
      <c r="AK145" s="916"/>
      <c r="AL145" s="653"/>
      <c r="AM145" s="918"/>
      <c r="AN145" s="915"/>
      <c r="AO145" s="653"/>
      <c r="AP145" s="653"/>
      <c r="AQ145" s="653"/>
      <c r="AR145" s="653"/>
      <c r="AS145" s="653"/>
      <c r="AT145" s="653"/>
      <c r="AU145" s="653"/>
      <c r="AV145" s="653"/>
      <c r="AW145" s="653"/>
      <c r="AX145" s="653"/>
      <c r="AY145" s="653"/>
      <c r="AZ145" s="653"/>
      <c r="BA145" s="653"/>
      <c r="BB145" s="653"/>
      <c r="BC145" s="653"/>
      <c r="BD145" s="653"/>
      <c r="BE145" s="653"/>
      <c r="BF145" s="653"/>
      <c r="BG145" s="653"/>
      <c r="BH145" s="653"/>
      <c r="BI145" s="653"/>
      <c r="BJ145" s="653"/>
      <c r="BK145" s="653"/>
      <c r="BL145" s="653"/>
      <c r="BM145" s="653"/>
      <c r="BN145" s="653"/>
      <c r="BO145" s="653"/>
      <c r="BP145" s="653"/>
      <c r="BQ145" s="653"/>
      <c r="BR145" s="653"/>
      <c r="BS145" s="653"/>
      <c r="BT145" s="653"/>
      <c r="BU145" s="653"/>
      <c r="BV145" s="654"/>
    </row>
    <row r="146" spans="2:74" x14ac:dyDescent="0.25">
      <c r="B146" s="651"/>
      <c r="C146" s="653"/>
      <c r="D146" s="653"/>
      <c r="E146" s="653"/>
      <c r="F146" s="653"/>
      <c r="G146" s="653"/>
      <c r="H146" s="653"/>
      <c r="I146" s="653"/>
      <c r="J146" s="653"/>
      <c r="K146" s="653"/>
      <c r="L146" s="653"/>
      <c r="M146" s="651"/>
      <c r="N146" s="909"/>
      <c r="O146" s="909"/>
      <c r="P146" s="909"/>
      <c r="Q146" s="910"/>
      <c r="R146" s="909"/>
      <c r="S146" s="909"/>
      <c r="T146" s="909"/>
      <c r="U146" s="909"/>
      <c r="V146" s="909"/>
      <c r="W146" s="909"/>
      <c r="X146" s="909"/>
      <c r="Y146" s="909"/>
      <c r="Z146" s="910"/>
      <c r="AA146" s="909"/>
      <c r="AB146" s="910"/>
      <c r="AC146" s="911"/>
      <c r="AD146" s="911"/>
      <c r="AE146" s="909"/>
      <c r="AF146" s="909"/>
      <c r="AG146" s="909"/>
      <c r="AH146" s="917"/>
      <c r="AI146" s="909"/>
      <c r="AJ146" s="916"/>
      <c r="AK146" s="916"/>
      <c r="AL146" s="653"/>
      <c r="AM146" s="918"/>
      <c r="AN146" s="915"/>
      <c r="AO146" s="653"/>
      <c r="AP146" s="653"/>
      <c r="AQ146" s="653"/>
      <c r="AR146" s="653"/>
      <c r="AS146" s="653"/>
      <c r="AT146" s="653"/>
      <c r="AU146" s="653"/>
      <c r="AV146" s="653"/>
      <c r="AW146" s="653"/>
      <c r="AX146" s="653"/>
      <c r="AY146" s="653"/>
      <c r="AZ146" s="653"/>
      <c r="BA146" s="653"/>
      <c r="BB146" s="653"/>
      <c r="BC146" s="653"/>
      <c r="BD146" s="653"/>
      <c r="BE146" s="653"/>
      <c r="BF146" s="653"/>
      <c r="BG146" s="653"/>
      <c r="BH146" s="653"/>
      <c r="BI146" s="653"/>
      <c r="BJ146" s="653"/>
      <c r="BK146" s="653"/>
      <c r="BL146" s="653"/>
      <c r="BM146" s="653"/>
      <c r="BN146" s="653"/>
      <c r="BO146" s="653"/>
      <c r="BP146" s="653"/>
      <c r="BQ146" s="653"/>
      <c r="BR146" s="653"/>
      <c r="BS146" s="653"/>
      <c r="BT146" s="653"/>
      <c r="BU146" s="653"/>
      <c r="BV146" s="654"/>
    </row>
    <row r="147" spans="2:74" x14ac:dyDescent="0.25">
      <c r="B147" s="651"/>
      <c r="C147" s="653"/>
      <c r="D147" s="653"/>
      <c r="E147" s="653"/>
      <c r="F147" s="653"/>
      <c r="G147" s="653"/>
      <c r="H147" s="653"/>
      <c r="I147" s="653"/>
      <c r="J147" s="653"/>
      <c r="K147" s="653"/>
      <c r="L147" s="653"/>
      <c r="M147" s="651"/>
      <c r="N147" s="909"/>
      <c r="O147" s="909"/>
      <c r="P147" s="909"/>
      <c r="Q147" s="910"/>
      <c r="R147" s="909"/>
      <c r="S147" s="909"/>
      <c r="T147" s="909"/>
      <c r="U147" s="909"/>
      <c r="V147" s="909"/>
      <c r="W147" s="909"/>
      <c r="X147" s="909"/>
      <c r="Y147" s="909"/>
      <c r="Z147" s="910"/>
      <c r="AA147" s="909"/>
      <c r="AB147" s="910"/>
      <c r="AC147" s="911"/>
      <c r="AD147" s="911"/>
      <c r="AE147" s="909"/>
      <c r="AF147" s="909"/>
      <c r="AG147" s="909"/>
      <c r="AH147" s="917"/>
      <c r="AI147" s="909"/>
      <c r="AJ147" s="916"/>
      <c r="AK147" s="916"/>
      <c r="AL147" s="653"/>
      <c r="AM147" s="918"/>
      <c r="AN147" s="915"/>
      <c r="AO147" s="653"/>
      <c r="AP147" s="653"/>
      <c r="AQ147" s="653"/>
      <c r="AR147" s="653"/>
      <c r="AS147" s="653"/>
      <c r="AT147" s="653"/>
      <c r="AU147" s="653"/>
      <c r="AV147" s="653"/>
      <c r="AW147" s="653"/>
      <c r="AX147" s="653"/>
      <c r="AY147" s="653"/>
      <c r="AZ147" s="653"/>
      <c r="BA147" s="653"/>
      <c r="BB147" s="653"/>
      <c r="BC147" s="653"/>
      <c r="BD147" s="653"/>
      <c r="BE147" s="653"/>
      <c r="BF147" s="653"/>
      <c r="BG147" s="653"/>
      <c r="BH147" s="653"/>
      <c r="BI147" s="653"/>
      <c r="BJ147" s="653"/>
      <c r="BK147" s="653"/>
      <c r="BL147" s="653"/>
      <c r="BM147" s="653"/>
      <c r="BN147" s="653"/>
      <c r="BO147" s="653"/>
      <c r="BP147" s="653"/>
      <c r="BQ147" s="653"/>
      <c r="BR147" s="653"/>
      <c r="BS147" s="653"/>
      <c r="BT147" s="653"/>
      <c r="BU147" s="653"/>
      <c r="BV147" s="654"/>
    </row>
    <row r="148" spans="2:74" x14ac:dyDescent="0.25">
      <c r="B148" s="651"/>
      <c r="C148" s="653"/>
      <c r="D148" s="653"/>
      <c r="E148" s="653"/>
      <c r="F148" s="653"/>
      <c r="G148" s="653"/>
      <c r="H148" s="653"/>
      <c r="I148" s="653"/>
      <c r="J148" s="653"/>
      <c r="K148" s="653"/>
      <c r="L148" s="653"/>
      <c r="M148" s="651"/>
      <c r="N148" s="909"/>
      <c r="O148" s="909"/>
      <c r="P148" s="909"/>
      <c r="Q148" s="910"/>
      <c r="R148" s="909"/>
      <c r="S148" s="909"/>
      <c r="T148" s="909"/>
      <c r="U148" s="909"/>
      <c r="V148" s="909"/>
      <c r="W148" s="909"/>
      <c r="X148" s="909"/>
      <c r="Y148" s="909"/>
      <c r="Z148" s="910"/>
      <c r="AA148" s="909"/>
      <c r="AB148" s="910"/>
      <c r="AC148" s="911"/>
      <c r="AD148" s="911"/>
      <c r="AE148" s="909"/>
      <c r="AF148" s="909"/>
      <c r="AG148" s="909"/>
      <c r="AH148" s="917"/>
      <c r="AI148" s="909"/>
      <c r="AJ148" s="916"/>
      <c r="AK148" s="916"/>
      <c r="AL148" s="653"/>
      <c r="AM148" s="918"/>
      <c r="AN148" s="915"/>
      <c r="AO148" s="653"/>
      <c r="AP148" s="653"/>
      <c r="AQ148" s="653"/>
      <c r="AR148" s="653"/>
      <c r="AS148" s="653"/>
      <c r="AT148" s="653"/>
      <c r="AU148" s="653"/>
      <c r="AV148" s="653"/>
      <c r="AW148" s="653"/>
      <c r="AX148" s="653"/>
      <c r="AY148" s="653"/>
      <c r="AZ148" s="653"/>
      <c r="BA148" s="653"/>
      <c r="BB148" s="653"/>
      <c r="BC148" s="653"/>
      <c r="BD148" s="653"/>
      <c r="BE148" s="653"/>
      <c r="BF148" s="653"/>
      <c r="BG148" s="653"/>
      <c r="BH148" s="653"/>
      <c r="BI148" s="653"/>
      <c r="BJ148" s="653"/>
      <c r="BK148" s="653"/>
      <c r="BL148" s="653"/>
      <c r="BM148" s="653"/>
      <c r="BN148" s="653"/>
      <c r="BO148" s="653"/>
      <c r="BP148" s="653"/>
      <c r="BQ148" s="653"/>
      <c r="BR148" s="653"/>
      <c r="BS148" s="653"/>
      <c r="BT148" s="653"/>
      <c r="BU148" s="653"/>
      <c r="BV148" s="654"/>
    </row>
    <row r="149" spans="2:74" x14ac:dyDescent="0.25">
      <c r="B149" s="651"/>
      <c r="C149" s="653"/>
      <c r="D149" s="653"/>
      <c r="E149" s="653"/>
      <c r="F149" s="653"/>
      <c r="G149" s="653"/>
      <c r="H149" s="653"/>
      <c r="I149" s="653"/>
      <c r="J149" s="653"/>
      <c r="K149" s="653"/>
      <c r="L149" s="653"/>
      <c r="M149" s="651"/>
      <c r="N149" s="909"/>
      <c r="O149" s="909"/>
      <c r="P149" s="909"/>
      <c r="Q149" s="910"/>
      <c r="R149" s="909"/>
      <c r="S149" s="909"/>
      <c r="T149" s="909"/>
      <c r="U149" s="909"/>
      <c r="V149" s="909"/>
      <c r="W149" s="909"/>
      <c r="X149" s="909"/>
      <c r="Y149" s="909"/>
      <c r="Z149" s="910"/>
      <c r="AA149" s="909"/>
      <c r="AB149" s="910"/>
      <c r="AC149" s="911"/>
      <c r="AD149" s="911"/>
      <c r="AE149" s="909"/>
      <c r="AF149" s="909"/>
      <c r="AG149" s="909"/>
      <c r="AH149" s="917"/>
      <c r="AI149" s="909"/>
      <c r="AJ149" s="916"/>
      <c r="AK149" s="916"/>
      <c r="AL149" s="653"/>
      <c r="AM149" s="918"/>
      <c r="AN149" s="915"/>
      <c r="AO149" s="653"/>
      <c r="AP149" s="653"/>
      <c r="AQ149" s="653"/>
      <c r="AR149" s="653"/>
      <c r="AS149" s="653"/>
      <c r="AT149" s="653"/>
      <c r="AU149" s="653"/>
      <c r="AV149" s="653"/>
      <c r="AW149" s="653"/>
      <c r="AX149" s="653"/>
      <c r="AY149" s="653"/>
      <c r="AZ149" s="653"/>
      <c r="BA149" s="653"/>
      <c r="BB149" s="653"/>
      <c r="BC149" s="653"/>
      <c r="BD149" s="653"/>
      <c r="BE149" s="653"/>
      <c r="BF149" s="653"/>
      <c r="BG149" s="653"/>
      <c r="BH149" s="653"/>
      <c r="BI149" s="653"/>
      <c r="BJ149" s="653"/>
      <c r="BK149" s="653"/>
      <c r="BL149" s="653"/>
      <c r="BM149" s="653"/>
      <c r="BN149" s="653"/>
      <c r="BO149" s="653"/>
      <c r="BP149" s="653"/>
      <c r="BQ149" s="653"/>
      <c r="BR149" s="653"/>
      <c r="BS149" s="653"/>
      <c r="BT149" s="653"/>
      <c r="BU149" s="653"/>
      <c r="BV149" s="654"/>
    </row>
    <row r="150" spans="2:74" x14ac:dyDescent="0.25">
      <c r="B150" s="651"/>
      <c r="C150" s="653"/>
      <c r="D150" s="653"/>
      <c r="E150" s="653"/>
      <c r="F150" s="653"/>
      <c r="G150" s="653"/>
      <c r="H150" s="653"/>
      <c r="I150" s="653"/>
      <c r="J150" s="653"/>
      <c r="K150" s="653"/>
      <c r="L150" s="653"/>
      <c r="M150" s="651"/>
      <c r="N150" s="909"/>
      <c r="O150" s="909"/>
      <c r="P150" s="909"/>
      <c r="Q150" s="910"/>
      <c r="R150" s="909"/>
      <c r="S150" s="909"/>
      <c r="T150" s="909"/>
      <c r="U150" s="909"/>
      <c r="V150" s="909"/>
      <c r="W150" s="909"/>
      <c r="X150" s="909"/>
      <c r="Y150" s="909"/>
      <c r="Z150" s="910"/>
      <c r="AA150" s="909"/>
      <c r="AB150" s="910"/>
      <c r="AC150" s="911"/>
      <c r="AD150" s="911"/>
      <c r="AE150" s="909"/>
      <c r="AF150" s="909"/>
      <c r="AG150" s="909"/>
      <c r="AH150" s="917"/>
      <c r="AI150" s="909"/>
      <c r="AJ150" s="916"/>
      <c r="AK150" s="916"/>
      <c r="AL150" s="653"/>
      <c r="AM150" s="918"/>
      <c r="AN150" s="915"/>
      <c r="AO150" s="653"/>
      <c r="AP150" s="653"/>
      <c r="AQ150" s="653"/>
      <c r="AR150" s="653"/>
      <c r="AS150" s="653"/>
      <c r="AT150" s="653"/>
      <c r="AU150" s="653"/>
      <c r="AV150" s="653"/>
      <c r="AW150" s="653"/>
      <c r="AX150" s="653"/>
      <c r="AY150" s="653"/>
      <c r="AZ150" s="653"/>
      <c r="BA150" s="653"/>
      <c r="BB150" s="653"/>
      <c r="BC150" s="653"/>
      <c r="BD150" s="653"/>
      <c r="BE150" s="653"/>
      <c r="BF150" s="653"/>
      <c r="BG150" s="653"/>
      <c r="BH150" s="653"/>
      <c r="BI150" s="653"/>
      <c r="BJ150" s="653"/>
      <c r="BK150" s="653"/>
      <c r="BL150" s="653"/>
      <c r="BM150" s="653"/>
      <c r="BN150" s="653"/>
      <c r="BO150" s="653"/>
      <c r="BP150" s="653"/>
      <c r="BQ150" s="653"/>
      <c r="BR150" s="653"/>
      <c r="BS150" s="653"/>
      <c r="BT150" s="653"/>
      <c r="BU150" s="653"/>
      <c r="BV150" s="654"/>
    </row>
    <row r="151" spans="2:74" x14ac:dyDescent="0.25">
      <c r="B151" s="651"/>
      <c r="C151" s="653"/>
      <c r="D151" s="653"/>
      <c r="E151" s="653"/>
      <c r="F151" s="653"/>
      <c r="G151" s="653"/>
      <c r="H151" s="653"/>
      <c r="I151" s="653"/>
      <c r="J151" s="653"/>
      <c r="K151" s="653"/>
      <c r="L151" s="653"/>
      <c r="M151" s="651"/>
      <c r="N151" s="909"/>
      <c r="O151" s="909"/>
      <c r="P151" s="909"/>
      <c r="Q151" s="910"/>
      <c r="R151" s="909"/>
      <c r="S151" s="909"/>
      <c r="T151" s="909"/>
      <c r="U151" s="909"/>
      <c r="V151" s="909"/>
      <c r="W151" s="909"/>
      <c r="X151" s="909"/>
      <c r="Y151" s="909"/>
      <c r="Z151" s="910"/>
      <c r="AA151" s="909"/>
      <c r="AB151" s="910"/>
      <c r="AC151" s="911"/>
      <c r="AD151" s="911"/>
      <c r="AE151" s="909"/>
      <c r="AF151" s="909"/>
      <c r="AG151" s="909"/>
      <c r="AH151" s="917"/>
      <c r="AI151" s="909"/>
      <c r="AJ151" s="916"/>
      <c r="AK151" s="916"/>
      <c r="AL151" s="653"/>
      <c r="AM151" s="918"/>
      <c r="AN151" s="915"/>
      <c r="AO151" s="653"/>
      <c r="AP151" s="653"/>
      <c r="AQ151" s="653"/>
      <c r="AR151" s="653"/>
      <c r="AS151" s="653"/>
      <c r="AT151" s="653"/>
      <c r="AU151" s="653"/>
      <c r="AV151" s="653"/>
      <c r="AW151" s="653"/>
      <c r="AX151" s="653"/>
      <c r="AY151" s="653"/>
      <c r="AZ151" s="653"/>
      <c r="BA151" s="653"/>
      <c r="BB151" s="653"/>
      <c r="BC151" s="653"/>
      <c r="BD151" s="653"/>
      <c r="BE151" s="653"/>
      <c r="BF151" s="653"/>
      <c r="BG151" s="653"/>
      <c r="BH151" s="653"/>
      <c r="BI151" s="653"/>
      <c r="BJ151" s="653"/>
      <c r="BK151" s="653"/>
      <c r="BL151" s="653"/>
      <c r="BM151" s="653"/>
      <c r="BN151" s="653"/>
      <c r="BO151" s="653"/>
      <c r="BP151" s="653"/>
      <c r="BQ151" s="653"/>
      <c r="BR151" s="653"/>
      <c r="BS151" s="653"/>
      <c r="BT151" s="653"/>
      <c r="BU151" s="653"/>
      <c r="BV151" s="654"/>
    </row>
    <row r="152" spans="2:74" x14ac:dyDescent="0.25">
      <c r="B152" s="651"/>
      <c r="C152" s="653"/>
      <c r="D152" s="653"/>
      <c r="E152" s="653"/>
      <c r="F152" s="653"/>
      <c r="G152" s="653"/>
      <c r="H152" s="653"/>
      <c r="I152" s="653"/>
      <c r="J152" s="653"/>
      <c r="K152" s="653"/>
      <c r="L152" s="653"/>
      <c r="M152" s="651"/>
      <c r="N152" s="909"/>
      <c r="O152" s="909"/>
      <c r="P152" s="909"/>
      <c r="Q152" s="910"/>
      <c r="R152" s="909"/>
      <c r="S152" s="909"/>
      <c r="T152" s="909"/>
      <c r="U152" s="909"/>
      <c r="V152" s="909"/>
      <c r="W152" s="909"/>
      <c r="X152" s="909"/>
      <c r="Y152" s="909"/>
      <c r="Z152" s="910"/>
      <c r="AA152" s="909"/>
      <c r="AB152" s="910"/>
      <c r="AC152" s="911"/>
      <c r="AD152" s="911"/>
      <c r="AE152" s="909"/>
      <c r="AF152" s="909"/>
      <c r="AG152" s="909"/>
      <c r="AH152" s="917"/>
      <c r="AI152" s="909"/>
      <c r="AJ152" s="916"/>
      <c r="AK152" s="916"/>
      <c r="AL152" s="653"/>
      <c r="AM152" s="918"/>
      <c r="AN152" s="915"/>
      <c r="AO152" s="653"/>
      <c r="AP152" s="653"/>
      <c r="AQ152" s="653"/>
      <c r="AR152" s="653"/>
      <c r="AS152" s="653"/>
      <c r="AT152" s="653"/>
      <c r="AU152" s="653"/>
      <c r="AV152" s="653"/>
      <c r="AW152" s="653"/>
      <c r="AX152" s="653"/>
      <c r="AY152" s="653"/>
      <c r="AZ152" s="653"/>
      <c r="BA152" s="653"/>
      <c r="BB152" s="653"/>
      <c r="BC152" s="653"/>
      <c r="BD152" s="653"/>
      <c r="BE152" s="653"/>
      <c r="BF152" s="653"/>
      <c r="BG152" s="653"/>
      <c r="BH152" s="653"/>
      <c r="BI152" s="653"/>
      <c r="BJ152" s="653"/>
      <c r="BK152" s="653"/>
      <c r="BL152" s="653"/>
      <c r="BM152" s="653"/>
      <c r="BN152" s="653"/>
      <c r="BO152" s="653"/>
      <c r="BP152" s="653"/>
      <c r="BQ152" s="653"/>
      <c r="BR152" s="653"/>
      <c r="BS152" s="653"/>
      <c r="BT152" s="653"/>
      <c r="BU152" s="653"/>
      <c r="BV152" s="654"/>
    </row>
    <row r="153" spans="2:74" x14ac:dyDescent="0.25">
      <c r="B153" s="651"/>
      <c r="C153" s="653"/>
      <c r="D153" s="653"/>
      <c r="E153" s="653"/>
      <c r="F153" s="653"/>
      <c r="G153" s="653"/>
      <c r="H153" s="653"/>
      <c r="I153" s="653"/>
      <c r="J153" s="653"/>
      <c r="K153" s="653"/>
      <c r="L153" s="653"/>
      <c r="M153" s="651"/>
      <c r="N153" s="909"/>
      <c r="O153" s="909"/>
      <c r="P153" s="909"/>
      <c r="Q153" s="910"/>
      <c r="R153" s="909"/>
      <c r="S153" s="909"/>
      <c r="T153" s="909"/>
      <c r="U153" s="909"/>
      <c r="V153" s="909"/>
      <c r="W153" s="909"/>
      <c r="X153" s="909"/>
      <c r="Y153" s="909"/>
      <c r="Z153" s="910"/>
      <c r="AA153" s="909"/>
      <c r="AB153" s="910"/>
      <c r="AC153" s="911"/>
      <c r="AD153" s="911"/>
      <c r="AE153" s="909"/>
      <c r="AF153" s="909"/>
      <c r="AG153" s="909"/>
      <c r="AH153" s="917"/>
      <c r="AI153" s="909"/>
      <c r="AJ153" s="916"/>
      <c r="AK153" s="916"/>
      <c r="AL153" s="653"/>
      <c r="AM153" s="918"/>
      <c r="AN153" s="915"/>
      <c r="AO153" s="653"/>
      <c r="AP153" s="653"/>
      <c r="AQ153" s="653"/>
      <c r="AR153" s="653"/>
      <c r="AS153" s="653"/>
      <c r="AT153" s="653"/>
      <c r="AU153" s="653"/>
      <c r="AV153" s="653"/>
      <c r="AW153" s="653"/>
      <c r="AX153" s="653"/>
      <c r="AY153" s="653"/>
      <c r="AZ153" s="653"/>
      <c r="BA153" s="653"/>
      <c r="BB153" s="653"/>
      <c r="BC153" s="653"/>
      <c r="BD153" s="653"/>
      <c r="BE153" s="653"/>
      <c r="BF153" s="653"/>
      <c r="BG153" s="653"/>
      <c r="BH153" s="653"/>
      <c r="BI153" s="653"/>
      <c r="BJ153" s="653"/>
      <c r="BK153" s="653"/>
      <c r="BL153" s="653"/>
      <c r="BM153" s="653"/>
      <c r="BN153" s="653"/>
      <c r="BO153" s="653"/>
      <c r="BP153" s="653"/>
      <c r="BQ153" s="653"/>
      <c r="BR153" s="653"/>
      <c r="BS153" s="653"/>
      <c r="BT153" s="653"/>
      <c r="BU153" s="653"/>
      <c r="BV153" s="654"/>
    </row>
    <row r="154" spans="2:74" x14ac:dyDescent="0.25">
      <c r="B154" s="651"/>
      <c r="C154" s="653"/>
      <c r="D154" s="653"/>
      <c r="E154" s="653"/>
      <c r="F154" s="653"/>
      <c r="G154" s="653"/>
      <c r="H154" s="653"/>
      <c r="I154" s="653"/>
      <c r="J154" s="653"/>
      <c r="K154" s="653"/>
      <c r="L154" s="653"/>
      <c r="M154" s="651"/>
      <c r="N154" s="909"/>
      <c r="O154" s="909"/>
      <c r="P154" s="909"/>
      <c r="Q154" s="910"/>
      <c r="R154" s="909"/>
      <c r="S154" s="909"/>
      <c r="T154" s="909"/>
      <c r="U154" s="909"/>
      <c r="V154" s="909"/>
      <c r="W154" s="909"/>
      <c r="X154" s="909"/>
      <c r="Y154" s="909"/>
      <c r="Z154" s="910"/>
      <c r="AA154" s="909"/>
      <c r="AB154" s="910"/>
      <c r="AC154" s="911"/>
      <c r="AD154" s="911"/>
      <c r="AE154" s="909"/>
      <c r="AF154" s="909"/>
      <c r="AG154" s="909"/>
      <c r="AH154" s="917"/>
      <c r="AI154" s="909"/>
      <c r="AJ154" s="916"/>
      <c r="AK154" s="916"/>
      <c r="AL154" s="653"/>
      <c r="AM154" s="918"/>
      <c r="AN154" s="915"/>
      <c r="AO154" s="653"/>
      <c r="AP154" s="653"/>
      <c r="AQ154" s="653"/>
      <c r="AR154" s="653"/>
      <c r="AS154" s="653"/>
      <c r="AT154" s="653"/>
      <c r="AU154" s="653"/>
      <c r="AV154" s="653"/>
      <c r="AW154" s="653"/>
      <c r="AX154" s="653"/>
      <c r="AY154" s="653"/>
      <c r="AZ154" s="653"/>
      <c r="BA154" s="653"/>
      <c r="BB154" s="653"/>
      <c r="BC154" s="653"/>
      <c r="BD154" s="653"/>
      <c r="BE154" s="653"/>
      <c r="BF154" s="653"/>
      <c r="BG154" s="653"/>
      <c r="BH154" s="653"/>
      <c r="BI154" s="653"/>
      <c r="BJ154" s="653"/>
      <c r="BK154" s="653"/>
      <c r="BL154" s="653"/>
      <c r="BM154" s="653"/>
      <c r="BN154" s="653"/>
      <c r="BO154" s="653"/>
      <c r="BP154" s="653"/>
      <c r="BQ154" s="653"/>
      <c r="BR154" s="653"/>
      <c r="BS154" s="653"/>
      <c r="BT154" s="653"/>
      <c r="BU154" s="653"/>
      <c r="BV154" s="654"/>
    </row>
    <row r="155" spans="2:74" x14ac:dyDescent="0.25">
      <c r="B155" s="651"/>
      <c r="C155" s="653"/>
      <c r="D155" s="653"/>
      <c r="E155" s="653"/>
      <c r="F155" s="653"/>
      <c r="G155" s="653"/>
      <c r="H155" s="653"/>
      <c r="I155" s="653"/>
      <c r="J155" s="653"/>
      <c r="K155" s="653"/>
      <c r="L155" s="653"/>
      <c r="M155" s="651"/>
      <c r="N155" s="909"/>
      <c r="O155" s="909"/>
      <c r="P155" s="909"/>
      <c r="Q155" s="910"/>
      <c r="R155" s="909"/>
      <c r="S155" s="909"/>
      <c r="T155" s="909"/>
      <c r="U155" s="909"/>
      <c r="V155" s="909"/>
      <c r="W155" s="909"/>
      <c r="X155" s="909"/>
      <c r="Y155" s="909"/>
      <c r="Z155" s="910"/>
      <c r="AA155" s="909"/>
      <c r="AB155" s="910"/>
      <c r="AC155" s="911"/>
      <c r="AD155" s="911"/>
      <c r="AE155" s="909"/>
      <c r="AF155" s="909"/>
      <c r="AG155" s="909"/>
      <c r="AH155" s="917"/>
      <c r="AI155" s="909"/>
      <c r="AJ155" s="916"/>
      <c r="AK155" s="916"/>
      <c r="AL155" s="653"/>
      <c r="AM155" s="918"/>
      <c r="AN155" s="915"/>
      <c r="AO155" s="653"/>
      <c r="AP155" s="653"/>
      <c r="AQ155" s="653"/>
      <c r="AR155" s="653"/>
      <c r="AS155" s="653"/>
      <c r="AT155" s="653"/>
      <c r="AU155" s="653"/>
      <c r="AV155" s="653"/>
      <c r="AW155" s="653"/>
      <c r="AX155" s="653"/>
      <c r="AY155" s="653"/>
      <c r="AZ155" s="653"/>
      <c r="BA155" s="653"/>
      <c r="BB155" s="653"/>
      <c r="BC155" s="653"/>
      <c r="BD155" s="653"/>
      <c r="BE155" s="653"/>
      <c r="BF155" s="653"/>
      <c r="BG155" s="653"/>
      <c r="BH155" s="653"/>
      <c r="BI155" s="653"/>
      <c r="BJ155" s="653"/>
      <c r="BK155" s="653"/>
      <c r="BL155" s="653"/>
      <c r="BM155" s="653"/>
      <c r="BN155" s="653"/>
      <c r="BO155" s="653"/>
      <c r="BP155" s="653"/>
      <c r="BQ155" s="653"/>
      <c r="BR155" s="653"/>
      <c r="BS155" s="653"/>
      <c r="BT155" s="653"/>
      <c r="BU155" s="653"/>
      <c r="BV155" s="654"/>
    </row>
    <row r="156" spans="2:74" x14ac:dyDescent="0.25">
      <c r="B156" s="651"/>
      <c r="C156" s="653"/>
      <c r="D156" s="653"/>
      <c r="E156" s="653"/>
      <c r="F156" s="653"/>
      <c r="G156" s="653"/>
      <c r="H156" s="653"/>
      <c r="I156" s="653"/>
      <c r="J156" s="653"/>
      <c r="K156" s="653"/>
      <c r="L156" s="653"/>
      <c r="M156" s="651"/>
      <c r="N156" s="909"/>
      <c r="O156" s="909"/>
      <c r="P156" s="909"/>
      <c r="Q156" s="910"/>
      <c r="R156" s="909"/>
      <c r="S156" s="909"/>
      <c r="T156" s="909"/>
      <c r="U156" s="909"/>
      <c r="V156" s="909"/>
      <c r="W156" s="909"/>
      <c r="X156" s="909"/>
      <c r="Y156" s="909"/>
      <c r="Z156" s="910"/>
      <c r="AA156" s="909"/>
      <c r="AB156" s="910"/>
      <c r="AC156" s="911"/>
      <c r="AD156" s="911"/>
      <c r="AE156" s="909"/>
      <c r="AF156" s="909"/>
      <c r="AG156" s="909"/>
      <c r="AH156" s="917"/>
      <c r="AI156" s="909"/>
      <c r="AJ156" s="916"/>
      <c r="AK156" s="916"/>
      <c r="AL156" s="653"/>
      <c r="AM156" s="918"/>
      <c r="AN156" s="915"/>
      <c r="AO156" s="653"/>
      <c r="AP156" s="653"/>
      <c r="AQ156" s="653"/>
      <c r="AR156" s="653"/>
      <c r="AS156" s="653"/>
      <c r="AT156" s="653"/>
      <c r="AU156" s="653"/>
      <c r="AV156" s="653"/>
      <c r="AW156" s="653"/>
      <c r="AX156" s="653"/>
      <c r="AY156" s="653"/>
      <c r="AZ156" s="653"/>
      <c r="BA156" s="653"/>
      <c r="BB156" s="653"/>
      <c r="BC156" s="653"/>
      <c r="BD156" s="653"/>
      <c r="BE156" s="653"/>
      <c r="BF156" s="653"/>
      <c r="BG156" s="653"/>
      <c r="BH156" s="653"/>
      <c r="BI156" s="653"/>
      <c r="BJ156" s="653"/>
      <c r="BK156" s="653"/>
      <c r="BL156" s="653"/>
      <c r="BM156" s="653"/>
      <c r="BN156" s="653"/>
      <c r="BO156" s="653"/>
      <c r="BP156" s="653"/>
      <c r="BQ156" s="653"/>
      <c r="BR156" s="653"/>
      <c r="BS156" s="653"/>
      <c r="BT156" s="653"/>
      <c r="BU156" s="653"/>
      <c r="BV156" s="654"/>
    </row>
    <row r="157" spans="2:74" ht="15.75" thickBot="1" x14ac:dyDescent="0.3">
      <c r="B157" s="651"/>
      <c r="C157" s="653"/>
      <c r="D157" s="653"/>
      <c r="E157" s="653"/>
      <c r="F157" s="653"/>
      <c r="G157" s="653"/>
      <c r="H157" s="653"/>
      <c r="I157" s="653"/>
      <c r="J157" s="653"/>
      <c r="K157" s="653"/>
      <c r="L157" s="653"/>
      <c r="M157" s="680"/>
      <c r="N157" s="909"/>
      <c r="O157" s="919"/>
      <c r="P157" s="909"/>
      <c r="Q157" s="920"/>
      <c r="R157" s="919"/>
      <c r="S157" s="909"/>
      <c r="T157" s="909"/>
      <c r="U157" s="909"/>
      <c r="V157" s="909"/>
      <c r="W157" s="909"/>
      <c r="X157" s="919"/>
      <c r="Y157" s="909"/>
      <c r="Z157" s="920"/>
      <c r="AA157" s="909"/>
      <c r="AB157" s="920"/>
      <c r="AC157" s="921"/>
      <c r="AD157" s="921"/>
      <c r="AE157" s="919"/>
      <c r="AF157" s="919"/>
      <c r="AG157" s="919"/>
      <c r="AH157" s="922"/>
      <c r="AI157" s="909"/>
      <c r="AJ157" s="916"/>
      <c r="AK157" s="916"/>
      <c r="AL157" s="653"/>
      <c r="AM157" s="918"/>
      <c r="AN157" s="923"/>
      <c r="AO157" s="653"/>
      <c r="AP157" s="653"/>
      <c r="AQ157" s="653"/>
      <c r="AR157" s="653"/>
      <c r="AS157" s="653"/>
      <c r="AT157" s="653"/>
      <c r="AU157" s="653"/>
      <c r="AV157" s="653"/>
      <c r="AW157" s="653"/>
      <c r="AX157" s="653"/>
      <c r="AY157" s="653"/>
      <c r="AZ157" s="653"/>
      <c r="BA157" s="653"/>
      <c r="BB157" s="653"/>
      <c r="BC157" s="653"/>
      <c r="BD157" s="653"/>
      <c r="BE157" s="653"/>
      <c r="BF157" s="653"/>
      <c r="BG157" s="653"/>
      <c r="BH157" s="653"/>
      <c r="BI157" s="653"/>
      <c r="BJ157" s="653"/>
      <c r="BK157" s="653"/>
      <c r="BL157" s="653"/>
      <c r="BM157" s="653"/>
      <c r="BN157" s="653"/>
      <c r="BO157" s="653"/>
      <c r="BP157" s="653"/>
      <c r="BQ157" s="653"/>
      <c r="BR157" s="653"/>
      <c r="BS157" s="653"/>
      <c r="BT157" s="653"/>
      <c r="BU157" s="653"/>
      <c r="BV157" s="654"/>
    </row>
    <row r="158" spans="2:74" x14ac:dyDescent="0.25">
      <c r="B158" s="651"/>
      <c r="C158" s="653"/>
      <c r="D158" s="653"/>
      <c r="E158" s="653"/>
      <c r="F158" s="653"/>
      <c r="G158" s="653"/>
      <c r="H158" s="653"/>
      <c r="I158" s="653"/>
      <c r="J158" s="653"/>
      <c r="K158" s="653"/>
      <c r="L158" s="653"/>
      <c r="M158" s="653"/>
      <c r="N158" s="653"/>
      <c r="O158" s="653"/>
      <c r="P158" s="653"/>
      <c r="Q158" s="653"/>
      <c r="R158" s="653"/>
      <c r="S158" s="653"/>
      <c r="T158" s="653"/>
      <c r="U158" s="653"/>
      <c r="V158" s="653"/>
      <c r="W158" s="653"/>
      <c r="X158" s="653"/>
      <c r="Y158" s="653"/>
      <c r="Z158" s="653"/>
      <c r="AA158" s="653"/>
      <c r="AB158" s="653"/>
      <c r="AC158" s="653"/>
      <c r="AD158" s="653"/>
      <c r="AE158" s="653"/>
      <c r="AF158" s="1063"/>
      <c r="AG158" s="653"/>
      <c r="AH158" s="653"/>
      <c r="AI158" s="653"/>
      <c r="AJ158" s="653"/>
      <c r="AK158" s="653"/>
      <c r="AL158" s="653"/>
      <c r="AM158" s="653"/>
      <c r="AN158" s="653"/>
      <c r="AO158" s="653"/>
      <c r="AP158" s="653"/>
      <c r="AQ158" s="653"/>
      <c r="AR158" s="653"/>
      <c r="AS158" s="653"/>
      <c r="AT158" s="653"/>
      <c r="AU158" s="653"/>
      <c r="AV158" s="653"/>
      <c r="AW158" s="653"/>
      <c r="AX158" s="653"/>
      <c r="AY158" s="653"/>
      <c r="AZ158" s="653"/>
      <c r="BA158" s="653"/>
      <c r="BB158" s="653"/>
      <c r="BC158" s="653"/>
      <c r="BD158" s="653"/>
      <c r="BE158" s="653"/>
      <c r="BF158" s="653"/>
      <c r="BG158" s="653"/>
      <c r="BH158" s="653"/>
      <c r="BI158" s="653"/>
      <c r="BJ158" s="653"/>
      <c r="BK158" s="653"/>
      <c r="BL158" s="653"/>
      <c r="BM158" s="653"/>
      <c r="BN158" s="653"/>
      <c r="BO158" s="653"/>
      <c r="BP158" s="653"/>
      <c r="BQ158" s="653"/>
      <c r="BR158" s="653"/>
      <c r="BS158" s="653"/>
      <c r="BT158" s="653"/>
      <c r="BU158" s="653"/>
      <c r="BV158" s="654"/>
    </row>
    <row r="159" spans="2:74" x14ac:dyDescent="0.25">
      <c r="B159" s="651"/>
      <c r="C159" s="653"/>
      <c r="D159" s="653"/>
      <c r="E159" s="653"/>
      <c r="F159" s="653"/>
      <c r="G159" s="653"/>
      <c r="H159" s="653"/>
      <c r="I159" s="653"/>
      <c r="J159" s="653"/>
      <c r="K159" s="653"/>
      <c r="L159" s="653"/>
      <c r="M159" s="653"/>
      <c r="N159" s="653"/>
      <c r="O159" s="653"/>
      <c r="P159" s="653"/>
      <c r="Q159" s="653"/>
      <c r="R159" s="653"/>
      <c r="S159" s="653"/>
      <c r="T159" s="653"/>
      <c r="U159" s="653"/>
      <c r="V159" s="653"/>
      <c r="W159" s="653"/>
      <c r="X159" s="653"/>
      <c r="Y159" s="653"/>
      <c r="Z159" s="653"/>
      <c r="AA159" s="653"/>
      <c r="AB159" s="653"/>
      <c r="AC159" s="653"/>
      <c r="AD159" s="653"/>
      <c r="AE159" s="653"/>
      <c r="AF159" s="1063"/>
      <c r="AG159" s="653"/>
      <c r="AH159" s="653"/>
      <c r="AI159" s="653"/>
      <c r="AJ159" s="653"/>
      <c r="AK159" s="653"/>
      <c r="AL159" s="653"/>
      <c r="AM159" s="653"/>
      <c r="AN159" s="653"/>
      <c r="AO159" s="653"/>
      <c r="AP159" s="653"/>
      <c r="AQ159" s="653"/>
      <c r="AR159" s="653"/>
      <c r="AS159" s="653"/>
      <c r="AT159" s="653"/>
      <c r="AU159" s="653"/>
      <c r="AV159" s="653"/>
      <c r="AW159" s="653"/>
      <c r="AX159" s="653"/>
      <c r="AY159" s="653"/>
      <c r="AZ159" s="653"/>
      <c r="BA159" s="653"/>
      <c r="BB159" s="653"/>
      <c r="BC159" s="653"/>
      <c r="BD159" s="653"/>
      <c r="BE159" s="653"/>
      <c r="BF159" s="653"/>
      <c r="BG159" s="653"/>
      <c r="BH159" s="653"/>
      <c r="BI159" s="653"/>
      <c r="BJ159" s="653"/>
      <c r="BK159" s="653"/>
      <c r="BL159" s="653"/>
      <c r="BM159" s="653"/>
      <c r="BN159" s="653"/>
      <c r="BO159" s="653"/>
      <c r="BP159" s="653"/>
      <c r="BQ159" s="653"/>
      <c r="BR159" s="653"/>
      <c r="BS159" s="653"/>
      <c r="BT159" s="653"/>
      <c r="BU159" s="653"/>
      <c r="BV159" s="654"/>
    </row>
    <row r="160" spans="2:74" x14ac:dyDescent="0.25">
      <c r="B160" s="651"/>
      <c r="C160" s="653"/>
      <c r="D160" s="653"/>
      <c r="E160" s="653"/>
      <c r="F160" s="653"/>
      <c r="G160" s="653"/>
      <c r="H160" s="653"/>
      <c r="I160" s="653"/>
      <c r="J160" s="653"/>
      <c r="K160" s="653"/>
      <c r="L160" s="653"/>
      <c r="M160" s="653"/>
      <c r="N160" s="653"/>
      <c r="O160" s="653"/>
      <c r="P160" s="653"/>
      <c r="Q160" s="653"/>
      <c r="R160" s="653"/>
      <c r="S160" s="653"/>
      <c r="T160" s="653"/>
      <c r="U160" s="653"/>
      <c r="V160" s="653"/>
      <c r="W160" s="653"/>
      <c r="X160" s="653"/>
      <c r="Y160" s="653"/>
      <c r="Z160" s="653"/>
      <c r="AA160" s="653"/>
      <c r="AB160" s="653"/>
      <c r="AC160" s="653"/>
      <c r="AD160" s="653"/>
      <c r="AE160" s="653"/>
      <c r="AF160" s="1063"/>
      <c r="AG160" s="653"/>
      <c r="AH160" s="653"/>
      <c r="AI160" s="653"/>
      <c r="AJ160" s="653"/>
      <c r="AK160" s="653"/>
      <c r="AL160" s="653"/>
      <c r="AM160" s="653"/>
      <c r="AN160" s="653"/>
      <c r="AO160" s="653"/>
      <c r="AP160" s="653"/>
      <c r="AQ160" s="653"/>
      <c r="AR160" s="653"/>
      <c r="AS160" s="653"/>
      <c r="AT160" s="653"/>
      <c r="AU160" s="653"/>
      <c r="AV160" s="653"/>
      <c r="AW160" s="653"/>
      <c r="AX160" s="653"/>
      <c r="AY160" s="653"/>
      <c r="AZ160" s="653"/>
      <c r="BA160" s="653"/>
      <c r="BB160" s="653"/>
      <c r="BC160" s="653"/>
      <c r="BD160" s="653"/>
      <c r="BE160" s="653"/>
      <c r="BF160" s="653"/>
      <c r="BG160" s="653"/>
      <c r="BH160" s="653"/>
      <c r="BI160" s="653"/>
      <c r="BJ160" s="653"/>
      <c r="BK160" s="653"/>
      <c r="BL160" s="653"/>
      <c r="BM160" s="653"/>
      <c r="BN160" s="653"/>
      <c r="BO160" s="653"/>
      <c r="BP160" s="653"/>
      <c r="BQ160" s="653"/>
      <c r="BR160" s="653"/>
      <c r="BS160" s="653"/>
      <c r="BT160" s="653"/>
      <c r="BU160" s="653"/>
      <c r="BV160" s="654"/>
    </row>
    <row r="161" spans="2:74" x14ac:dyDescent="0.25">
      <c r="B161" s="651"/>
      <c r="C161" s="653"/>
      <c r="D161" s="653"/>
      <c r="E161" s="653"/>
      <c r="F161" s="653"/>
      <c r="G161" s="653"/>
      <c r="H161" s="653"/>
      <c r="I161" s="653"/>
      <c r="J161" s="653"/>
      <c r="K161" s="653"/>
      <c r="L161" s="653"/>
      <c r="M161" s="653"/>
      <c r="N161" s="653"/>
      <c r="O161" s="653"/>
      <c r="P161" s="653"/>
      <c r="Q161" s="653"/>
      <c r="R161" s="653"/>
      <c r="S161" s="653"/>
      <c r="T161" s="653"/>
      <c r="U161" s="653"/>
      <c r="V161" s="653"/>
      <c r="W161" s="653"/>
      <c r="X161" s="653"/>
      <c r="Y161" s="653"/>
      <c r="Z161" s="653"/>
      <c r="AA161" s="653"/>
      <c r="AB161" s="653"/>
      <c r="AC161" s="653"/>
      <c r="AD161" s="653"/>
      <c r="AE161" s="653"/>
      <c r="AF161" s="1063"/>
      <c r="AG161" s="653"/>
      <c r="AH161" s="653"/>
      <c r="AI161" s="653"/>
      <c r="AJ161" s="653"/>
      <c r="AK161" s="653"/>
      <c r="AL161" s="653"/>
      <c r="AM161" s="653"/>
      <c r="AN161" s="653"/>
      <c r="AO161" s="653"/>
      <c r="AP161" s="653"/>
      <c r="AQ161" s="653"/>
      <c r="AR161" s="653"/>
      <c r="AS161" s="653"/>
      <c r="AT161" s="653"/>
      <c r="AU161" s="653"/>
      <c r="AV161" s="653"/>
      <c r="AW161" s="653"/>
      <c r="AX161" s="653"/>
      <c r="AY161" s="653"/>
      <c r="AZ161" s="653"/>
      <c r="BA161" s="653"/>
      <c r="BB161" s="653"/>
      <c r="BC161" s="653"/>
      <c r="BD161" s="653"/>
      <c r="BE161" s="653"/>
      <c r="BF161" s="653"/>
      <c r="BG161" s="653"/>
      <c r="BH161" s="653"/>
      <c r="BI161" s="653"/>
      <c r="BJ161" s="653"/>
      <c r="BK161" s="653"/>
      <c r="BL161" s="653"/>
      <c r="BM161" s="653"/>
      <c r="BN161" s="653"/>
      <c r="BO161" s="653"/>
      <c r="BP161" s="653"/>
      <c r="BQ161" s="653"/>
      <c r="BR161" s="653"/>
      <c r="BS161" s="653"/>
      <c r="BT161" s="653"/>
      <c r="BU161" s="653"/>
      <c r="BV161" s="654"/>
    </row>
    <row r="162" spans="2:74" x14ac:dyDescent="0.25">
      <c r="B162" s="651"/>
      <c r="C162" s="653"/>
      <c r="D162" s="653"/>
      <c r="E162" s="653"/>
      <c r="F162" s="653"/>
      <c r="G162" s="653"/>
      <c r="H162" s="653"/>
      <c r="I162" s="653"/>
      <c r="J162" s="653"/>
      <c r="K162" s="653"/>
      <c r="L162" s="653"/>
      <c r="M162" s="653"/>
      <c r="N162" s="653"/>
      <c r="O162" s="653"/>
      <c r="P162" s="653"/>
      <c r="Q162" s="653"/>
      <c r="R162" s="653"/>
      <c r="S162" s="653"/>
      <c r="T162" s="653"/>
      <c r="U162" s="653"/>
      <c r="V162" s="653"/>
      <c r="W162" s="653"/>
      <c r="X162" s="653"/>
      <c r="Y162" s="653"/>
      <c r="Z162" s="653"/>
      <c r="AA162" s="653"/>
      <c r="AB162" s="653"/>
      <c r="AC162" s="653"/>
      <c r="AD162" s="653"/>
      <c r="AE162" s="653"/>
      <c r="AF162" s="1063"/>
      <c r="AG162" s="653"/>
      <c r="AH162" s="653"/>
      <c r="AI162" s="653"/>
      <c r="AJ162" s="653"/>
      <c r="AK162" s="653"/>
      <c r="AL162" s="653"/>
      <c r="AM162" s="653"/>
      <c r="AN162" s="653"/>
      <c r="AO162" s="653"/>
      <c r="AP162" s="653"/>
      <c r="AQ162" s="653"/>
      <c r="AR162" s="653"/>
      <c r="AS162" s="653"/>
      <c r="AT162" s="653"/>
      <c r="AU162" s="653"/>
      <c r="AV162" s="653"/>
      <c r="AW162" s="653"/>
      <c r="AX162" s="653"/>
      <c r="AY162" s="653"/>
      <c r="AZ162" s="653"/>
      <c r="BA162" s="653"/>
      <c r="BB162" s="653"/>
      <c r="BC162" s="653"/>
      <c r="BD162" s="653"/>
      <c r="BE162" s="653"/>
      <c r="BF162" s="653"/>
      <c r="BG162" s="653"/>
      <c r="BH162" s="653"/>
      <c r="BI162" s="653"/>
      <c r="BJ162" s="653"/>
      <c r="BK162" s="653"/>
      <c r="BL162" s="653"/>
      <c r="BM162" s="653"/>
      <c r="BN162" s="653"/>
      <c r="BO162" s="653"/>
      <c r="BP162" s="653"/>
      <c r="BQ162" s="653"/>
      <c r="BR162" s="653"/>
      <c r="BS162" s="653"/>
      <c r="BT162" s="653"/>
      <c r="BU162" s="653"/>
      <c r="BV162" s="654"/>
    </row>
    <row r="163" spans="2:74" x14ac:dyDescent="0.25">
      <c r="B163" s="651"/>
      <c r="C163" s="653"/>
      <c r="D163" s="653"/>
      <c r="E163" s="653"/>
      <c r="F163" s="653"/>
      <c r="G163" s="653"/>
      <c r="H163" s="653"/>
      <c r="I163" s="653"/>
      <c r="J163" s="653"/>
      <c r="K163" s="653"/>
      <c r="L163" s="653"/>
      <c r="M163" s="653"/>
      <c r="N163" s="653"/>
      <c r="O163" s="653"/>
      <c r="P163" s="653"/>
      <c r="Q163" s="653"/>
      <c r="R163" s="653"/>
      <c r="S163" s="653"/>
      <c r="T163" s="653"/>
      <c r="U163" s="653"/>
      <c r="V163" s="653"/>
      <c r="W163" s="653"/>
      <c r="X163" s="653"/>
      <c r="Y163" s="653"/>
      <c r="Z163" s="653"/>
      <c r="AA163" s="653"/>
      <c r="AB163" s="653"/>
      <c r="AC163" s="653"/>
      <c r="AD163" s="653"/>
      <c r="AE163" s="653"/>
      <c r="AF163" s="1063"/>
      <c r="AG163" s="653"/>
      <c r="AH163" s="653"/>
      <c r="AI163" s="653"/>
      <c r="AJ163" s="653"/>
      <c r="AK163" s="653"/>
      <c r="AL163" s="653"/>
      <c r="AM163" s="653"/>
      <c r="AN163" s="653"/>
      <c r="AO163" s="653"/>
      <c r="AP163" s="653"/>
      <c r="AQ163" s="653"/>
      <c r="AR163" s="653"/>
      <c r="AS163" s="653"/>
      <c r="AT163" s="653"/>
      <c r="AU163" s="653"/>
      <c r="AV163" s="653"/>
      <c r="AW163" s="653"/>
      <c r="AX163" s="653"/>
      <c r="AY163" s="653"/>
      <c r="AZ163" s="653"/>
      <c r="BA163" s="653"/>
      <c r="BB163" s="653"/>
      <c r="BC163" s="653"/>
      <c r="BD163" s="653"/>
      <c r="BE163" s="653"/>
      <c r="BF163" s="653"/>
      <c r="BG163" s="653"/>
      <c r="BH163" s="653"/>
      <c r="BI163" s="653"/>
      <c r="BJ163" s="653"/>
      <c r="BK163" s="653"/>
      <c r="BL163" s="653"/>
      <c r="BM163" s="653"/>
      <c r="BN163" s="653"/>
      <c r="BO163" s="653"/>
      <c r="BP163" s="653"/>
      <c r="BQ163" s="653"/>
      <c r="BR163" s="653"/>
      <c r="BS163" s="653"/>
      <c r="BT163" s="653"/>
      <c r="BU163" s="653"/>
      <c r="BV163" s="654"/>
    </row>
    <row r="164" spans="2:74" ht="15.75" thickBot="1" x14ac:dyDescent="0.3">
      <c r="B164" s="680"/>
      <c r="C164" s="681"/>
      <c r="D164" s="681"/>
      <c r="E164" s="681"/>
      <c r="F164" s="681"/>
      <c r="G164" s="681"/>
      <c r="H164" s="681"/>
      <c r="I164" s="681"/>
      <c r="J164" s="681"/>
      <c r="K164" s="681"/>
      <c r="L164" s="681"/>
      <c r="M164" s="681"/>
      <c r="N164" s="681"/>
      <c r="O164" s="681"/>
      <c r="P164" s="681"/>
      <c r="Q164" s="681"/>
      <c r="R164" s="681"/>
      <c r="S164" s="681"/>
      <c r="T164" s="681"/>
      <c r="U164" s="681"/>
      <c r="V164" s="681"/>
      <c r="W164" s="681"/>
      <c r="X164" s="681"/>
      <c r="Y164" s="681"/>
      <c r="Z164" s="681"/>
      <c r="AA164" s="681"/>
      <c r="AB164" s="681"/>
      <c r="AC164" s="681"/>
      <c r="AD164" s="681"/>
      <c r="AE164" s="681"/>
      <c r="AF164" s="980"/>
      <c r="AG164" s="681"/>
      <c r="AH164" s="681"/>
      <c r="AI164" s="681"/>
      <c r="AJ164" s="681"/>
      <c r="AK164" s="681"/>
      <c r="AL164" s="681"/>
      <c r="AM164" s="681"/>
      <c r="AN164" s="681"/>
      <c r="AO164" s="681"/>
      <c r="AP164" s="681"/>
      <c r="AQ164" s="681"/>
      <c r="AR164" s="681"/>
      <c r="AS164" s="681"/>
      <c r="AT164" s="681"/>
      <c r="AU164" s="681"/>
      <c r="AV164" s="681"/>
      <c r="AW164" s="681"/>
      <c r="AX164" s="681"/>
      <c r="AY164" s="681"/>
      <c r="AZ164" s="681"/>
      <c r="BA164" s="681"/>
      <c r="BB164" s="681"/>
      <c r="BC164" s="681"/>
      <c r="BD164" s="681"/>
      <c r="BE164" s="681"/>
      <c r="BF164" s="681"/>
      <c r="BG164" s="681"/>
      <c r="BH164" s="681"/>
      <c r="BI164" s="681"/>
      <c r="BJ164" s="681"/>
      <c r="BK164" s="681"/>
      <c r="BL164" s="681"/>
      <c r="BM164" s="681"/>
      <c r="BN164" s="681"/>
      <c r="BO164" s="681"/>
      <c r="BP164" s="681"/>
      <c r="BQ164" s="681"/>
      <c r="BR164" s="681"/>
      <c r="BS164" s="681"/>
      <c r="BT164" s="681"/>
      <c r="BU164" s="681"/>
      <c r="BV164" s="666"/>
    </row>
    <row r="168" spans="2:74" ht="15.75" thickBot="1" x14ac:dyDescent="0.3"/>
    <row r="169" spans="2:74" ht="47.25" thickBot="1" x14ac:dyDescent="0.75">
      <c r="B169" s="982" t="str">
        <f>"Variante: "&amp;'1. Projektangaben'!C24&amp;" "</f>
        <v xml:space="preserve">Variante: PH-WDVS-WP-Abl-ohne Sol_PV </v>
      </c>
      <c r="C169" s="981"/>
      <c r="D169" s="981"/>
      <c r="E169" s="649"/>
      <c r="F169" s="649"/>
      <c r="G169" s="649"/>
      <c r="H169" s="649"/>
      <c r="I169" s="649"/>
      <c r="J169" s="649"/>
      <c r="K169" s="649"/>
      <c r="L169" s="649"/>
      <c r="M169" s="649"/>
      <c r="N169" s="649"/>
      <c r="O169" s="649"/>
      <c r="P169" s="649"/>
      <c r="Q169" s="649"/>
      <c r="R169" s="649"/>
      <c r="S169" s="649"/>
      <c r="T169" s="649"/>
      <c r="U169" s="649"/>
      <c r="V169" s="649"/>
      <c r="W169" s="649"/>
      <c r="X169" s="649"/>
      <c r="Y169" s="649"/>
      <c r="Z169" s="649"/>
      <c r="AA169" s="649"/>
      <c r="AB169" s="649"/>
      <c r="AC169" s="649"/>
      <c r="AD169" s="649"/>
      <c r="AE169" s="649"/>
      <c r="AF169" s="959"/>
      <c r="AG169" s="649"/>
      <c r="AH169" s="649"/>
      <c r="AI169" s="649"/>
      <c r="AJ169" s="649"/>
      <c r="AK169" s="649"/>
      <c r="AL169" s="649"/>
      <c r="AM169" s="649"/>
      <c r="AN169" s="649"/>
      <c r="AO169" s="649"/>
      <c r="AP169" s="649"/>
      <c r="AQ169" s="649"/>
      <c r="AR169" s="649"/>
      <c r="AS169" s="649"/>
      <c r="AT169" s="649"/>
      <c r="AU169" s="649"/>
      <c r="AV169" s="649"/>
      <c r="AW169" s="649"/>
      <c r="AX169" s="649"/>
      <c r="AY169" s="649"/>
      <c r="AZ169" s="649"/>
      <c r="BA169" s="649"/>
      <c r="BB169" s="649"/>
      <c r="BC169" s="649"/>
      <c r="BD169" s="649"/>
      <c r="BE169" s="649"/>
      <c r="BF169" s="649"/>
      <c r="BG169" s="649"/>
      <c r="BH169" s="649"/>
      <c r="BI169" s="649"/>
      <c r="BJ169" s="649"/>
      <c r="BK169" s="649"/>
      <c r="BL169" s="649"/>
      <c r="BM169" s="649"/>
      <c r="BN169" s="649"/>
      <c r="BO169" s="649"/>
      <c r="BP169" s="649"/>
      <c r="BQ169" s="649"/>
      <c r="BR169" s="649"/>
      <c r="BS169" s="649"/>
      <c r="BT169" s="649"/>
      <c r="BU169" s="649"/>
      <c r="BV169" s="650"/>
    </row>
    <row r="170" spans="2:74" ht="15.75" thickBot="1" x14ac:dyDescent="0.3">
      <c r="B170" s="651"/>
      <c r="C170" s="653"/>
      <c r="D170" s="653"/>
      <c r="E170" s="653"/>
      <c r="F170" s="653"/>
      <c r="G170" s="653"/>
      <c r="H170" s="653"/>
      <c r="I170" s="653"/>
      <c r="J170" s="653"/>
      <c r="K170" s="653"/>
      <c r="L170" s="653"/>
      <c r="M170" s="653"/>
      <c r="N170" s="653"/>
      <c r="O170" s="653"/>
      <c r="P170" s="653"/>
      <c r="Q170" s="653"/>
      <c r="R170" s="653"/>
      <c r="S170" s="653"/>
      <c r="T170" s="1004" t="s">
        <v>695</v>
      </c>
      <c r="U170" s="649" t="s">
        <v>596</v>
      </c>
      <c r="V170" s="999"/>
      <c r="W170" s="1000" t="str">
        <f>Annuitätenzuschuss!B17</f>
        <v>Kreditlaufzeit in Jahren</v>
      </c>
      <c r="X170" s="990"/>
      <c r="Y170" s="990"/>
      <c r="Z170" s="990"/>
      <c r="AA170" s="990" t="str">
        <f>Annuitätenzuschuss!F17</f>
        <v>Kreditlaufzeit</v>
      </c>
      <c r="AB170" s="991" t="str">
        <f>Annuitätenzuschuss!G17</f>
        <v>Tilgung</v>
      </c>
      <c r="AC170" s="653"/>
      <c r="AD170" s="653"/>
      <c r="AE170" s="653"/>
      <c r="AF170" s="1063"/>
      <c r="AG170" s="653"/>
      <c r="AH170" s="653"/>
      <c r="AI170" s="653"/>
      <c r="AJ170" s="653"/>
      <c r="AK170" s="653"/>
      <c r="AL170" s="653"/>
      <c r="AM170" s="653"/>
      <c r="AN170" s="653"/>
      <c r="AO170" s="653"/>
      <c r="AP170" s="653"/>
      <c r="AQ170" s="653"/>
      <c r="AR170" s="653"/>
      <c r="AS170" s="653"/>
      <c r="AT170" s="653"/>
      <c r="AU170" s="653"/>
      <c r="AV170" s="653"/>
      <c r="AW170" s="653"/>
      <c r="AX170" s="653"/>
      <c r="AY170" s="653"/>
      <c r="AZ170" s="653"/>
      <c r="BA170" s="653"/>
      <c r="BB170" s="653"/>
      <c r="BC170" s="653"/>
      <c r="BD170" s="653"/>
      <c r="BE170" s="653"/>
      <c r="BF170" s="653"/>
      <c r="BG170" s="653"/>
      <c r="BH170" s="653"/>
      <c r="BI170" s="653"/>
      <c r="BJ170" s="653"/>
      <c r="BK170" s="653"/>
      <c r="BL170" s="653"/>
      <c r="BM170" s="653"/>
      <c r="BN170" s="653"/>
      <c r="BO170" s="653"/>
      <c r="BP170" s="653"/>
      <c r="BQ170" s="653"/>
      <c r="BR170" s="653"/>
      <c r="BS170" s="653"/>
      <c r="BT170" s="653"/>
      <c r="BU170" s="653"/>
      <c r="BV170" s="654"/>
    </row>
    <row r="171" spans="2:74" x14ac:dyDescent="0.25">
      <c r="B171" s="651"/>
      <c r="C171" s="653"/>
      <c r="D171" s="653"/>
      <c r="E171" s="653"/>
      <c r="F171" s="653"/>
      <c r="G171" s="653"/>
      <c r="H171" s="653"/>
      <c r="I171" s="653"/>
      <c r="J171" s="653"/>
      <c r="K171" s="653"/>
      <c r="L171" s="653"/>
      <c r="M171" s="653"/>
      <c r="N171" s="653"/>
      <c r="O171" s="653"/>
      <c r="P171" s="653"/>
      <c r="Q171" s="653"/>
      <c r="R171" s="653"/>
      <c r="S171" s="653"/>
      <c r="T171" s="653"/>
      <c r="U171" s="1001">
        <f>Annuitätenzuschuss!$C$25</f>
        <v>12</v>
      </c>
      <c r="V171" s="879" t="s">
        <v>371</v>
      </c>
      <c r="W171" s="934" t="str">
        <f>Annuitätenzuschuss!B18</f>
        <v>von</v>
      </c>
      <c r="X171" s="899"/>
      <c r="Y171" s="899" t="str">
        <f>Annuitätenzuschuss!D18</f>
        <v>bis</v>
      </c>
      <c r="Z171" s="899"/>
      <c r="AA171" s="893" t="str">
        <f>Annuitätenzuschuss!F18</f>
        <v>(a)</v>
      </c>
      <c r="AB171" s="992" t="str">
        <f>Annuitätenzuschuss!G18</f>
        <v>(%)</v>
      </c>
      <c r="AC171" s="653"/>
      <c r="AD171" s="653"/>
      <c r="AE171" s="653"/>
      <c r="AF171" s="1063"/>
      <c r="AG171" s="653"/>
      <c r="AH171" s="653"/>
      <c r="AI171" s="653"/>
      <c r="AJ171" s="653"/>
      <c r="AK171" s="653"/>
      <c r="AL171" s="653"/>
      <c r="AM171" s="653"/>
      <c r="AN171" s="653"/>
      <c r="AO171" s="653"/>
      <c r="AP171" s="653"/>
      <c r="AQ171" s="653"/>
      <c r="AR171" s="653"/>
      <c r="AS171" s="653"/>
      <c r="AT171" s="653"/>
      <c r="AU171" s="653"/>
      <c r="AV171" s="653"/>
      <c r="AW171" s="653"/>
      <c r="AX171" s="653"/>
      <c r="AY171" s="653"/>
      <c r="AZ171" s="653"/>
      <c r="BA171" s="653"/>
      <c r="BB171" s="653"/>
      <c r="BC171" s="653"/>
      <c r="BD171" s="653"/>
      <c r="BE171" s="653"/>
      <c r="BF171" s="653"/>
      <c r="BG171" s="653"/>
      <c r="BH171" s="653"/>
      <c r="BI171" s="653"/>
      <c r="BJ171" s="653"/>
      <c r="BK171" s="653"/>
      <c r="BL171" s="653"/>
      <c r="BM171" s="653"/>
      <c r="BN171" s="653"/>
      <c r="BO171" s="653"/>
      <c r="BP171" s="653"/>
      <c r="BQ171" s="653"/>
      <c r="BR171" s="653"/>
      <c r="BS171" s="653"/>
      <c r="BT171" s="653"/>
      <c r="BU171" s="653"/>
      <c r="BV171" s="654"/>
    </row>
    <row r="172" spans="2:74" ht="15.75" thickBot="1" x14ac:dyDescent="0.3">
      <c r="B172" s="651"/>
      <c r="C172" s="653"/>
      <c r="D172" s="653"/>
      <c r="E172" s="653"/>
      <c r="F172" s="653"/>
      <c r="G172" s="653"/>
      <c r="H172" s="653"/>
      <c r="I172" s="653"/>
      <c r="J172" s="653"/>
      <c r="K172" s="653"/>
      <c r="L172" s="653"/>
      <c r="M172" s="653"/>
      <c r="N172" s="653"/>
      <c r="O172" s="653"/>
      <c r="P172" s="653" t="str">
        <f>Annuitätenzuschuss!B7</f>
        <v>Nominalzins Land Vorarlberg AUSGABEN</v>
      </c>
      <c r="Q172" s="960">
        <f>Annuitätenzuschuss!C7</f>
        <v>0.03</v>
      </c>
      <c r="R172" s="653"/>
      <c r="S172" s="653"/>
      <c r="T172" s="653"/>
      <c r="U172" s="651" t="s">
        <v>674</v>
      </c>
      <c r="V172" s="653"/>
      <c r="W172" s="996">
        <f>Annuitätenzuschuss!B19</f>
        <v>1</v>
      </c>
      <c r="X172" s="893" t="str">
        <f>Annuitätenzuschuss!C19</f>
        <v>-</v>
      </c>
      <c r="Y172" s="899">
        <f>Annuitätenzuschuss!D19</f>
        <v>25</v>
      </c>
      <c r="Z172" s="899" t="str">
        <f>Annuitätenzuschuss!E19</f>
        <v/>
      </c>
      <c r="AA172" s="899">
        <f>Annuitätenzuschuss!F19</f>
        <v>25</v>
      </c>
      <c r="AB172" s="993">
        <f>Annuitätenzuschuss!G19</f>
        <v>5.0000000000000001E-3</v>
      </c>
      <c r="AC172" s="1063" t="str">
        <f ca="1">IF(OR($S$177="",$S$177=0,Y172=""),"",$S$177*AB172)</f>
        <v/>
      </c>
      <c r="AD172" s="653"/>
      <c r="AE172" s="653"/>
      <c r="AF172" s="653"/>
      <c r="AG172" s="653"/>
      <c r="AH172" s="653"/>
      <c r="AI172" s="653"/>
      <c r="AJ172" s="653"/>
      <c r="AK172" s="653"/>
      <c r="AL172" s="653"/>
      <c r="AM172" s="653"/>
      <c r="AN172" s="653"/>
      <c r="AO172" s="653"/>
      <c r="AP172" s="653"/>
      <c r="AQ172" s="653"/>
      <c r="AR172" s="653"/>
      <c r="AS172" s="653"/>
      <c r="AT172" s="653"/>
      <c r="AU172" s="653"/>
      <c r="AV172" s="653"/>
      <c r="AW172" s="653"/>
      <c r="AX172" s="653"/>
      <c r="AY172" s="653"/>
      <c r="AZ172" s="653"/>
      <c r="BA172" s="653"/>
      <c r="BB172" s="653"/>
      <c r="BC172" s="653"/>
      <c r="BD172" s="653"/>
      <c r="BE172" s="653"/>
      <c r="BF172" s="653"/>
      <c r="BG172" s="653"/>
      <c r="BH172" s="653"/>
      <c r="BI172" s="653"/>
      <c r="BJ172" s="653"/>
      <c r="BK172" s="653"/>
      <c r="BL172" s="653"/>
      <c r="BM172" s="653"/>
      <c r="BN172" s="653"/>
      <c r="BO172" s="653"/>
      <c r="BP172" s="653"/>
      <c r="BQ172" s="653"/>
      <c r="BR172" s="653"/>
      <c r="BS172" s="653"/>
      <c r="BT172" s="653"/>
      <c r="BU172" s="653"/>
      <c r="BV172" s="654"/>
    </row>
    <row r="173" spans="2:74" x14ac:dyDescent="0.25">
      <c r="B173" s="648"/>
      <c r="C173" s="649"/>
      <c r="D173" s="649"/>
      <c r="E173" s="649"/>
      <c r="F173" s="650"/>
      <c r="G173" s="653"/>
      <c r="H173" s="653"/>
      <c r="I173" s="653"/>
      <c r="J173" s="653"/>
      <c r="K173" s="653"/>
      <c r="L173" s="653"/>
      <c r="M173" s="653"/>
      <c r="N173" s="653"/>
      <c r="O173" s="653"/>
      <c r="P173" s="653" t="s">
        <v>587</v>
      </c>
      <c r="Q173" s="961">
        <f>Annuitätenzuschuss!$C$5</f>
        <v>0.02</v>
      </c>
      <c r="R173" s="653"/>
      <c r="S173" s="653"/>
      <c r="T173" s="653"/>
      <c r="U173" s="968">
        <f>Annuitätenzuschuss!$C$16</f>
        <v>0</v>
      </c>
      <c r="V173" s="653"/>
      <c r="W173" s="996">
        <f>Annuitätenzuschuss!B20</f>
        <v>26</v>
      </c>
      <c r="X173" s="893" t="str">
        <f>Annuitätenzuschuss!C20</f>
        <v>-</v>
      </c>
      <c r="Y173" s="899">
        <f>Annuitätenzuschuss!D20</f>
        <v>45</v>
      </c>
      <c r="Z173" s="899" t="str">
        <f>Annuitätenzuschuss!E20</f>
        <v/>
      </c>
      <c r="AA173" s="899">
        <f>Annuitätenzuschuss!F20</f>
        <v>20</v>
      </c>
      <c r="AB173" s="993">
        <f>Annuitätenzuschuss!G20</f>
        <v>3.5000000000000003E-2</v>
      </c>
      <c r="AC173" s="1063" t="str">
        <f ca="1">IF(OR($S$177="",$S$177=0,Y173=""),"",$S$177*AB173)</f>
        <v/>
      </c>
      <c r="AD173" s="653"/>
      <c r="AE173" s="653"/>
      <c r="AF173" s="653"/>
      <c r="AG173" s="653"/>
      <c r="AH173" s="653"/>
      <c r="AI173" s="653"/>
      <c r="AJ173" s="653"/>
      <c r="AK173" s="653"/>
      <c r="AL173" s="653"/>
      <c r="AM173" s="653"/>
      <c r="AN173" s="653"/>
      <c r="AO173" s="653"/>
      <c r="AP173" s="653"/>
      <c r="AQ173" s="653"/>
      <c r="AR173" s="653"/>
      <c r="AS173" s="653"/>
      <c r="AT173" s="653"/>
      <c r="AU173" s="653"/>
      <c r="AV173" s="653"/>
      <c r="AW173" s="653"/>
      <c r="AX173" s="653"/>
      <c r="AY173" s="653"/>
      <c r="AZ173" s="653"/>
      <c r="BA173" s="653"/>
      <c r="BB173" s="653"/>
      <c r="BC173" s="653"/>
      <c r="BD173" s="653"/>
      <c r="BE173" s="653"/>
      <c r="BF173" s="653"/>
      <c r="BG173" s="653"/>
      <c r="BH173" s="653"/>
      <c r="BI173" s="653"/>
      <c r="BJ173" s="653"/>
      <c r="BK173" s="653"/>
      <c r="BL173" s="653"/>
      <c r="BM173" s="653"/>
      <c r="BN173" s="653"/>
      <c r="BO173" s="653"/>
      <c r="BP173" s="653"/>
      <c r="BQ173" s="653"/>
      <c r="BR173" s="653"/>
      <c r="BS173" s="653"/>
      <c r="BT173" s="653"/>
      <c r="BU173" s="653"/>
      <c r="BV173" s="654"/>
    </row>
    <row r="174" spans="2:74" x14ac:dyDescent="0.25">
      <c r="B174" s="651"/>
      <c r="C174" s="653"/>
      <c r="D174" s="653"/>
      <c r="E174" s="653"/>
      <c r="F174" s="654"/>
      <c r="G174" s="653"/>
      <c r="H174" s="653"/>
      <c r="I174" s="653"/>
      <c r="J174" s="653"/>
      <c r="K174" s="653"/>
      <c r="L174" s="653"/>
      <c r="M174" s="653"/>
      <c r="N174" s="653"/>
      <c r="O174" s="653"/>
      <c r="P174" s="653" t="s">
        <v>588</v>
      </c>
      <c r="Q174" s="961">
        <f>Annuitätenzuschuss!$C$6</f>
        <v>0.02</v>
      </c>
      <c r="R174" s="962"/>
      <c r="S174" s="653" t="str">
        <f ca="1">IF(SUM(R177:R180,R182:R183)&gt;R184,"WARNUNG","OK")</f>
        <v>OK</v>
      </c>
      <c r="T174" s="653"/>
      <c r="U174" s="651"/>
      <c r="V174" s="653"/>
      <c r="W174" s="996">
        <f>Annuitätenzuschuss!B21</f>
        <v>46</v>
      </c>
      <c r="X174" s="893" t="str">
        <f>Annuitätenzuschuss!C21</f>
        <v>-</v>
      </c>
      <c r="Y174" s="899">
        <f>Annuitätenzuschuss!D21</f>
        <v>50</v>
      </c>
      <c r="Z174" s="899" t="str">
        <f>Annuitätenzuschuss!E21</f>
        <v/>
      </c>
      <c r="AA174" s="899">
        <f>Annuitätenzuschuss!F21</f>
        <v>5</v>
      </c>
      <c r="AB174" s="993">
        <f>Annuitätenzuschuss!G21</f>
        <v>4.4999999999999998E-2</v>
      </c>
      <c r="AC174" s="1063" t="str">
        <f ca="1">IF(OR($S$177="",$S$177=0,Y174=""),"",$S$177*AB174)</f>
        <v/>
      </c>
      <c r="AD174" s="653"/>
      <c r="AE174" s="653"/>
      <c r="AF174" s="653"/>
      <c r="AG174" s="653"/>
      <c r="AH174" s="653"/>
      <c r="AI174" s="653"/>
      <c r="AJ174" s="653"/>
      <c r="AK174" s="653"/>
      <c r="AL174" s="653"/>
      <c r="AM174" s="653"/>
      <c r="AN174" s="653"/>
      <c r="AO174" s="653"/>
      <c r="AP174" s="653"/>
      <c r="AQ174" s="653"/>
      <c r="AR174" s="653"/>
      <c r="AS174" s="653"/>
      <c r="AT174" s="653"/>
      <c r="AU174" s="653"/>
      <c r="AV174" s="653"/>
      <c r="AW174" s="653"/>
      <c r="AX174" s="653"/>
      <c r="AY174" s="653"/>
      <c r="AZ174" s="653"/>
      <c r="BA174" s="653"/>
      <c r="BB174" s="653"/>
      <c r="BC174" s="653"/>
      <c r="BD174" s="653"/>
      <c r="BE174" s="653"/>
      <c r="BF174" s="653"/>
      <c r="BG174" s="653"/>
      <c r="BH174" s="653"/>
      <c r="BI174" s="653"/>
      <c r="BJ174" s="653"/>
      <c r="BK174" s="653"/>
      <c r="BL174" s="653"/>
      <c r="BM174" s="653"/>
      <c r="BN174" s="653"/>
      <c r="BO174" s="653"/>
      <c r="BP174" s="653"/>
      <c r="BQ174" s="653"/>
      <c r="BR174" s="653"/>
      <c r="BS174" s="653"/>
      <c r="BT174" s="653"/>
      <c r="BU174" s="653"/>
      <c r="BV174" s="654"/>
    </row>
    <row r="175" spans="2:74" x14ac:dyDescent="0.25">
      <c r="B175" s="651"/>
      <c r="C175" s="875" t="s">
        <v>589</v>
      </c>
      <c r="D175" s="876"/>
      <c r="E175" s="876"/>
      <c r="F175" s="654"/>
      <c r="G175" s="653"/>
      <c r="H175" s="653"/>
      <c r="I175" s="691"/>
      <c r="J175" s="691"/>
      <c r="K175" s="653"/>
      <c r="L175" s="653"/>
      <c r="M175" s="653"/>
      <c r="N175" s="653"/>
      <c r="O175" s="653"/>
      <c r="P175" s="898" t="s">
        <v>200</v>
      </c>
      <c r="Q175" s="963">
        <f>Annuitätenzuschuss!$C$8</f>
        <v>35</v>
      </c>
      <c r="R175" s="653" t="s">
        <v>161</v>
      </c>
      <c r="S175" s="653"/>
      <c r="T175" s="653"/>
      <c r="U175" s="651"/>
      <c r="V175" s="653"/>
      <c r="W175" s="996" t="str">
        <f>Annuitätenzuschuss!B22</f>
        <v/>
      </c>
      <c r="X175" s="893" t="str">
        <f>Annuitätenzuschuss!C22</f>
        <v>-</v>
      </c>
      <c r="Y175" s="899">
        <f>Annuitätenzuschuss!D22</f>
        <v>0</v>
      </c>
      <c r="Z175" s="899" t="str">
        <f>Annuitätenzuschuss!E22</f>
        <v/>
      </c>
      <c r="AA175" s="899">
        <f>Annuitätenzuschuss!F22</f>
        <v>0</v>
      </c>
      <c r="AB175" s="993">
        <f>Annuitätenzuschuss!G22</f>
        <v>0</v>
      </c>
      <c r="AC175" s="1063" t="str">
        <f ca="1">IF(OR($S$177="",$S$177=0,Y175=""),"",$S$177*AB175)</f>
        <v/>
      </c>
      <c r="AD175" s="653"/>
      <c r="AE175" s="653"/>
      <c r="AF175" s="653"/>
      <c r="AG175" s="653"/>
      <c r="AH175" s="653"/>
      <c r="AI175" s="653"/>
      <c r="AJ175" s="653"/>
      <c r="AK175" s="653"/>
      <c r="AL175" s="653"/>
      <c r="AM175" s="653"/>
      <c r="AN175" s="653"/>
      <c r="AO175" s="653"/>
      <c r="AP175" s="653"/>
      <c r="AQ175" s="653"/>
      <c r="AR175" s="653"/>
      <c r="AS175" s="653"/>
      <c r="AT175" s="653"/>
      <c r="AU175" s="653"/>
      <c r="AV175" s="653"/>
      <c r="AW175" s="653"/>
      <c r="AX175" s="653"/>
      <c r="AY175" s="653"/>
      <c r="AZ175" s="653"/>
      <c r="BA175" s="653"/>
      <c r="BB175" s="653"/>
      <c r="BC175" s="653"/>
      <c r="BD175" s="653"/>
      <c r="BE175" s="653"/>
      <c r="BF175" s="653"/>
      <c r="BG175" s="653"/>
      <c r="BH175" s="653"/>
      <c r="BI175" s="653"/>
      <c r="BJ175" s="653"/>
      <c r="BK175" s="653"/>
      <c r="BL175" s="653"/>
      <c r="BM175" s="653"/>
      <c r="BN175" s="653"/>
      <c r="BO175" s="653"/>
      <c r="BP175" s="653"/>
      <c r="BQ175" s="653"/>
      <c r="BR175" s="653"/>
      <c r="BS175" s="653"/>
      <c r="BT175" s="653"/>
      <c r="BU175" s="653"/>
      <c r="BV175" s="654"/>
    </row>
    <row r="176" spans="2:74" ht="15.75" thickBot="1" x14ac:dyDescent="0.3">
      <c r="B176" s="651"/>
      <c r="C176" s="877" t="e">
        <f ca="1">-(-AJ241/(1+$Q$174)^M241-AC241/(1+$Q$174)^M241)</f>
        <v>#VALUE!</v>
      </c>
      <c r="D176" s="876"/>
      <c r="E176" s="876"/>
      <c r="F176" s="654"/>
      <c r="G176" s="653"/>
      <c r="H176" s="653"/>
      <c r="I176" s="691"/>
      <c r="J176" s="691"/>
      <c r="K176" s="653"/>
      <c r="L176" s="653"/>
      <c r="M176" s="653"/>
      <c r="N176" s="653" t="s">
        <v>590</v>
      </c>
      <c r="O176" s="653"/>
      <c r="P176" s="653"/>
      <c r="Q176" s="653"/>
      <c r="R176" s="653"/>
      <c r="S176" s="653" t="s">
        <v>591</v>
      </c>
      <c r="T176" s="653"/>
      <c r="U176" s="680"/>
      <c r="V176" s="681"/>
      <c r="W176" s="1002" t="str">
        <f>Annuitätenzuschuss!B23</f>
        <v/>
      </c>
      <c r="X176" s="1003" t="str">
        <f>Annuitätenzuschuss!C23</f>
        <v>-</v>
      </c>
      <c r="Y176" s="994">
        <f>Annuitätenzuschuss!D23</f>
        <v>0</v>
      </c>
      <c r="Z176" s="994" t="str">
        <f>Annuitätenzuschuss!E23</f>
        <v/>
      </c>
      <c r="AA176" s="994">
        <f>Annuitätenzuschuss!F23</f>
        <v>0</v>
      </c>
      <c r="AB176" s="995">
        <f>Annuitätenzuschuss!G23</f>
        <v>0</v>
      </c>
      <c r="AC176" s="1063" t="str">
        <f ca="1">IF(OR($S$177="",$S$177=0,Y176=""),"",$S$177*AB176)</f>
        <v/>
      </c>
      <c r="AD176" s="653"/>
      <c r="AE176" s="653"/>
      <c r="AF176" s="653"/>
      <c r="AG176" s="653"/>
      <c r="AH176" s="653"/>
      <c r="AI176" s="653"/>
      <c r="AJ176" s="653"/>
      <c r="AK176" s="653"/>
      <c r="AL176" s="653"/>
      <c r="AM176" s="653"/>
      <c r="AN176" s="653"/>
      <c r="AO176" s="653"/>
      <c r="AP176" s="653"/>
      <c r="AQ176" s="653"/>
      <c r="AR176" s="653"/>
      <c r="AS176" s="653"/>
      <c r="AT176" s="653"/>
      <c r="AU176" s="653"/>
      <c r="AV176" s="653"/>
      <c r="AW176" s="653"/>
      <c r="AX176" s="653"/>
      <c r="AY176" s="653"/>
      <c r="AZ176" s="653"/>
      <c r="BA176" s="653"/>
      <c r="BB176" s="653"/>
      <c r="BC176" s="653"/>
      <c r="BD176" s="653"/>
      <c r="BE176" s="653"/>
      <c r="BF176" s="653"/>
      <c r="BG176" s="653"/>
      <c r="BH176" s="653"/>
      <c r="BI176" s="653"/>
      <c r="BJ176" s="653"/>
      <c r="BK176" s="653"/>
      <c r="BL176" s="653"/>
      <c r="BM176" s="653"/>
      <c r="BN176" s="653"/>
      <c r="BO176" s="653"/>
      <c r="BP176" s="653"/>
      <c r="BQ176" s="653"/>
      <c r="BR176" s="653"/>
      <c r="BS176" s="653"/>
      <c r="BT176" s="653"/>
      <c r="BU176" s="653"/>
      <c r="BV176" s="654"/>
    </row>
    <row r="177" spans="2:74" x14ac:dyDescent="0.25">
      <c r="B177" s="651"/>
      <c r="C177" s="876"/>
      <c r="D177" s="876"/>
      <c r="E177" s="876"/>
      <c r="F177" s="654"/>
      <c r="G177" s="653"/>
      <c r="H177" s="653" t="s">
        <v>592</v>
      </c>
      <c r="I177" s="653"/>
      <c r="J177" s="653"/>
      <c r="K177" s="653"/>
      <c r="L177" s="653"/>
      <c r="M177" s="653"/>
      <c r="N177" s="653" t="s">
        <v>593</v>
      </c>
      <c r="O177" s="653"/>
      <c r="P177" s="964">
        <f>Annuitätenzuschuss!D189</f>
        <v>0</v>
      </c>
      <c r="Q177" s="653" t="s">
        <v>68</v>
      </c>
      <c r="R177" s="965">
        <f>P177*I183</f>
        <v>0</v>
      </c>
      <c r="S177" s="965">
        <f ca="1">IF(R181&lt;0,R177+R181,R177)</f>
        <v>0</v>
      </c>
      <c r="T177" s="966"/>
      <c r="U177" s="653" t="s">
        <v>594</v>
      </c>
      <c r="V177" s="653" t="s">
        <v>595</v>
      </c>
      <c r="W177" s="653"/>
      <c r="X177" s="691"/>
      <c r="Y177" s="653"/>
      <c r="AB177" s="653"/>
      <c r="AC177" s="653"/>
      <c r="AD177" s="653"/>
      <c r="AE177" s="653"/>
      <c r="AF177" s="653"/>
      <c r="AG177" s="653"/>
      <c r="AH177" s="653"/>
      <c r="AI177" s="653"/>
      <c r="AJ177" s="653"/>
      <c r="AK177" s="653"/>
      <c r="AL177" s="653"/>
      <c r="AM177" s="653"/>
      <c r="AN177" s="653"/>
      <c r="AO177" s="653"/>
      <c r="AP177" s="653"/>
      <c r="AQ177" s="653"/>
      <c r="AR177" s="653"/>
      <c r="AS177" s="653"/>
      <c r="AT177" s="653"/>
      <c r="AU177" s="653"/>
      <c r="AV177" s="653"/>
      <c r="AW177" s="653"/>
      <c r="AX177" s="653"/>
      <c r="AY177" s="653"/>
      <c r="AZ177" s="653"/>
      <c r="BA177" s="653"/>
      <c r="BB177" s="653"/>
      <c r="BC177" s="653"/>
      <c r="BD177" s="653"/>
      <c r="BE177" s="653"/>
      <c r="BF177" s="653"/>
      <c r="BG177" s="653"/>
      <c r="BH177" s="653"/>
      <c r="BI177" s="653"/>
      <c r="BJ177" s="653"/>
      <c r="BK177" s="653"/>
      <c r="BL177" s="653"/>
      <c r="BM177" s="653"/>
      <c r="BN177" s="653"/>
      <c r="BO177" s="653"/>
      <c r="BP177" s="653"/>
      <c r="BQ177" s="653"/>
      <c r="BR177" s="653"/>
      <c r="BS177" s="653"/>
      <c r="BT177" s="653"/>
      <c r="BU177" s="653"/>
      <c r="BV177" s="654"/>
    </row>
    <row r="178" spans="2:74" x14ac:dyDescent="0.25">
      <c r="B178" s="651"/>
      <c r="C178" s="875" t="s">
        <v>597</v>
      </c>
      <c r="D178" s="876"/>
      <c r="E178" s="876"/>
      <c r="F178" s="654"/>
      <c r="G178" s="653"/>
      <c r="H178" s="653" t="s">
        <v>598</v>
      </c>
      <c r="I178" s="962">
        <f ca="1">K178/$I$183</f>
        <v>335.63825654572298</v>
      </c>
      <c r="J178" s="653" t="s">
        <v>68</v>
      </c>
      <c r="K178" s="964">
        <f ca="1">D187</f>
        <v>432000</v>
      </c>
      <c r="L178" s="653" t="s">
        <v>363</v>
      </c>
      <c r="M178" s="653"/>
      <c r="N178" s="653" t="s">
        <v>599</v>
      </c>
      <c r="O178" s="653"/>
      <c r="P178" s="653"/>
      <c r="Q178" s="653"/>
      <c r="R178" s="965">
        <f ca="1">IF(K180-R177-R179-R180-R182-R183&lt;=0,0,K180-R177-R179-R180-R182-R183)</f>
        <v>3357414.5174000002</v>
      </c>
      <c r="S178" s="965">
        <f ca="1">R178</f>
        <v>3357414.5174000002</v>
      </c>
      <c r="T178" s="966"/>
      <c r="U178" s="967"/>
      <c r="W178" s="998"/>
      <c r="X178" s="691"/>
      <c r="Y178" s="653"/>
      <c r="AB178" s="653"/>
      <c r="AC178" s="653"/>
      <c r="AD178" s="969"/>
      <c r="AE178" s="969"/>
      <c r="AF178" s="969"/>
      <c r="AG178" s="969"/>
      <c r="AH178" s="653"/>
      <c r="AI178" s="653"/>
      <c r="AJ178" s="653"/>
      <c r="AK178" s="653"/>
      <c r="AL178" s="653"/>
      <c r="AM178" s="653"/>
      <c r="AN178" s="653"/>
      <c r="AO178" s="653"/>
      <c r="AP178" s="653"/>
      <c r="AQ178" s="653"/>
      <c r="AR178" s="653"/>
      <c r="AS178" s="653"/>
      <c r="AT178" s="653"/>
      <c r="AU178" s="653"/>
      <c r="AV178" s="653"/>
      <c r="AW178" s="653"/>
      <c r="AX178" s="653"/>
      <c r="AY178" s="653"/>
      <c r="AZ178" s="653"/>
      <c r="BA178" s="653"/>
      <c r="BB178" s="653"/>
      <c r="BC178" s="653"/>
      <c r="BD178" s="653"/>
      <c r="BE178" s="653"/>
      <c r="BF178" s="653"/>
      <c r="BG178" s="653"/>
      <c r="BH178" s="653"/>
      <c r="BI178" s="653"/>
      <c r="BJ178" s="653"/>
      <c r="BK178" s="653"/>
      <c r="BL178" s="653"/>
      <c r="BM178" s="653"/>
      <c r="BN178" s="653"/>
      <c r="BO178" s="653"/>
      <c r="BP178" s="653"/>
      <c r="BQ178" s="653"/>
      <c r="BR178" s="653"/>
      <c r="BS178" s="653"/>
      <c r="BT178" s="653"/>
      <c r="BU178" s="653"/>
      <c r="BV178" s="654"/>
    </row>
    <row r="179" spans="2:74" x14ac:dyDescent="0.25">
      <c r="B179" s="651"/>
      <c r="C179" s="877">
        <f ca="1">SUM(AF191:AF241)</f>
        <v>442648.83236387745</v>
      </c>
      <c r="D179" s="876"/>
      <c r="E179" s="876"/>
      <c r="F179" s="654"/>
      <c r="G179" s="653"/>
      <c r="H179" s="880" t="s">
        <v>600</v>
      </c>
      <c r="I179" s="881">
        <f ca="1">K179/$I$183</f>
        <v>2791.0259435941266</v>
      </c>
      <c r="J179" s="880" t="s">
        <v>68</v>
      </c>
      <c r="K179" s="882">
        <f ca="1">K180-K178</f>
        <v>3592329.4920000001</v>
      </c>
      <c r="L179" s="880" t="s">
        <v>363</v>
      </c>
      <c r="M179" s="653"/>
      <c r="N179" s="653" t="s">
        <v>601</v>
      </c>
      <c r="O179" s="653"/>
      <c r="P179" s="970">
        <f>Annuitätenzuschuss!$C$9</f>
        <v>1</v>
      </c>
      <c r="Q179" s="653" t="s">
        <v>602</v>
      </c>
      <c r="R179" s="965">
        <f ca="1">K178*P179</f>
        <v>432000</v>
      </c>
      <c r="S179" s="965">
        <f ca="1">R179</f>
        <v>432000</v>
      </c>
      <c r="T179" s="653"/>
      <c r="U179" s="968">
        <f>Annuitätenzuschuss!$C$13</f>
        <v>0.03</v>
      </c>
      <c r="V179" s="899">
        <f>Annuitätenzuschuss!$C$14</f>
        <v>25</v>
      </c>
      <c r="W179" s="653" t="s">
        <v>161</v>
      </c>
      <c r="X179" s="691"/>
      <c r="Y179" s="653"/>
      <c r="Z179" s="653"/>
      <c r="AA179" s="1063"/>
      <c r="AB179" s="653"/>
      <c r="AC179" s="653"/>
      <c r="AD179" s="653"/>
      <c r="AE179" s="653"/>
      <c r="AF179" s="653"/>
      <c r="AG179" s="653"/>
      <c r="AH179" s="653"/>
      <c r="AI179" s="653"/>
      <c r="AJ179" s="653"/>
      <c r="AK179" s="653"/>
      <c r="AL179" s="653"/>
      <c r="AM179" s="653"/>
      <c r="AN179" s="653"/>
      <c r="AO179" s="653"/>
      <c r="AP179" s="653"/>
      <c r="AQ179" s="653"/>
      <c r="AR179" s="653"/>
      <c r="AS179" s="653"/>
      <c r="AT179" s="653"/>
      <c r="AU179" s="653"/>
      <c r="AV179" s="653"/>
      <c r="AW179" s="653"/>
      <c r="AX179" s="653"/>
      <c r="AY179" s="653"/>
      <c r="AZ179" s="653"/>
      <c r="BA179" s="653"/>
      <c r="BB179" s="653"/>
      <c r="BC179" s="653"/>
      <c r="BD179" s="653"/>
      <c r="BE179" s="653"/>
      <c r="BF179" s="653"/>
      <c r="BG179" s="653"/>
      <c r="BH179" s="653"/>
      <c r="BI179" s="653"/>
      <c r="BJ179" s="653"/>
      <c r="BK179" s="653"/>
      <c r="BL179" s="653"/>
      <c r="BM179" s="653"/>
      <c r="BN179" s="653"/>
      <c r="BO179" s="653"/>
      <c r="BP179" s="653"/>
      <c r="BQ179" s="653"/>
      <c r="BR179" s="653"/>
      <c r="BS179" s="653"/>
      <c r="BT179" s="653"/>
      <c r="BU179" s="653"/>
      <c r="BV179" s="654"/>
    </row>
    <row r="180" spans="2:74" ht="23.25" x14ac:dyDescent="0.35">
      <c r="B180" s="651"/>
      <c r="C180" s="884" t="s">
        <v>603</v>
      </c>
      <c r="D180" s="885"/>
      <c r="E180" s="885"/>
      <c r="F180" s="654"/>
      <c r="G180" s="653"/>
      <c r="H180" s="653" t="s">
        <v>604</v>
      </c>
      <c r="I180" s="962">
        <f ca="1">K180/$I$183</f>
        <v>3126.6642001398495</v>
      </c>
      <c r="J180" s="653" t="s">
        <v>68</v>
      </c>
      <c r="K180" s="964">
        <f ca="1">Annuitätenzuschuss!D186</f>
        <v>4024329.4920000001</v>
      </c>
      <c r="L180" s="653" t="s">
        <v>363</v>
      </c>
      <c r="M180" s="653"/>
      <c r="N180" s="653" t="s">
        <v>605</v>
      </c>
      <c r="O180" s="653"/>
      <c r="P180" s="970">
        <f>Annuitätenzuschuss!$C$11</f>
        <v>0.05</v>
      </c>
      <c r="Q180" s="653" t="str">
        <f>IF($F$11="Prozent","%Baukosten","AbsoluterWert")</f>
        <v>%Baukosten</v>
      </c>
      <c r="R180" s="965">
        <f ca="1">IF($F$11="Prozent",K179*P180,P180)</f>
        <v>179616.47460000002</v>
      </c>
      <c r="S180" s="965">
        <f ca="1">R180</f>
        <v>179616.47460000002</v>
      </c>
      <c r="T180" s="898" t="s">
        <v>205</v>
      </c>
      <c r="U180" s="968">
        <f>Annuitätenzuschuss!$C$10</f>
        <v>0</v>
      </c>
      <c r="V180" s="971">
        <v>2000</v>
      </c>
      <c r="W180" s="653" t="s">
        <v>606</v>
      </c>
      <c r="X180" s="691"/>
      <c r="Y180" s="653" t="s">
        <v>607</v>
      </c>
      <c r="Z180" s="653"/>
      <c r="AA180" s="1063"/>
      <c r="AB180" s="653"/>
      <c r="AC180" s="653"/>
      <c r="AD180" s="653"/>
      <c r="AE180" s="653"/>
      <c r="AF180" s="653"/>
      <c r="AG180" s="653"/>
      <c r="AH180" s="653"/>
      <c r="AI180" s="653"/>
      <c r="AJ180" s="653"/>
      <c r="AK180" s="653"/>
      <c r="AL180" s="653"/>
      <c r="AM180" s="653"/>
      <c r="AN180" s="653"/>
      <c r="AO180" s="653"/>
      <c r="AP180" s="653"/>
      <c r="AQ180" s="653"/>
      <c r="AR180" s="653"/>
      <c r="AS180" s="653"/>
      <c r="AT180" s="653"/>
      <c r="AU180" s="653"/>
      <c r="AV180" s="653"/>
      <c r="AW180" s="653"/>
      <c r="AX180" s="653"/>
      <c r="AY180" s="653"/>
      <c r="AZ180" s="653"/>
      <c r="BA180" s="653"/>
      <c r="BB180" s="653"/>
      <c r="BC180" s="653"/>
      <c r="BD180" s="653"/>
      <c r="BE180" s="653"/>
      <c r="BF180" s="653"/>
      <c r="BG180" s="653"/>
      <c r="BH180" s="653"/>
      <c r="BI180" s="653"/>
      <c r="BJ180" s="653"/>
      <c r="BK180" s="653"/>
      <c r="BL180" s="653"/>
      <c r="BM180" s="653"/>
      <c r="BN180" s="653"/>
      <c r="BO180" s="653"/>
      <c r="BP180" s="653"/>
      <c r="BQ180" s="653"/>
      <c r="BR180" s="653"/>
      <c r="BS180" s="653"/>
      <c r="BT180" s="653"/>
      <c r="BU180" s="653"/>
      <c r="BV180" s="654"/>
    </row>
    <row r="181" spans="2:74" ht="23.25" x14ac:dyDescent="0.35">
      <c r="B181" s="651"/>
      <c r="C181" s="886">
        <f ca="1">AL188</f>
        <v>-2221630.4737508777</v>
      </c>
      <c r="D181" s="885"/>
      <c r="E181" s="885"/>
      <c r="F181" s="654"/>
      <c r="G181" s="653"/>
      <c r="H181" s="653"/>
      <c r="I181" s="653"/>
      <c r="J181" s="653"/>
      <c r="K181" s="653"/>
      <c r="L181" s="653"/>
      <c r="M181" s="653"/>
      <c r="N181" s="653" t="s">
        <v>608</v>
      </c>
      <c r="O181" s="653"/>
      <c r="P181" s="653"/>
      <c r="Q181" s="653"/>
      <c r="R181" s="962">
        <f ca="1">IF(SUM(R177:R180,R182:R183)-K180&gt;0,-SUM(R177:R180,R182:R183)+K180,0)</f>
        <v>0</v>
      </c>
      <c r="S181" s="653"/>
      <c r="T181" s="898" t="s">
        <v>205</v>
      </c>
      <c r="U181" s="968">
        <f>Annuitätenzuschuss!$C$12</f>
        <v>0.02</v>
      </c>
      <c r="V181" s="971">
        <f ca="1">IF(S180=0,0,NPER(U181,-(U181+$Q$173)*S180,S180))</f>
        <v>35.002788781146499</v>
      </c>
      <c r="W181" s="653" t="s">
        <v>606</v>
      </c>
      <c r="X181" s="653"/>
      <c r="Y181" s="653" t="s">
        <v>609</v>
      </c>
      <c r="Z181" s="653"/>
      <c r="AA181" s="1063"/>
      <c r="AB181" s="653"/>
      <c r="AC181" s="653"/>
      <c r="AD181" s="653"/>
      <c r="AE181" s="653"/>
      <c r="AF181" s="653"/>
      <c r="AG181" s="653"/>
      <c r="AH181" s="653"/>
      <c r="AI181" s="653"/>
      <c r="AJ181" s="653"/>
      <c r="AK181" s="653"/>
      <c r="AL181" s="653"/>
      <c r="AM181" s="653"/>
      <c r="AN181" s="653"/>
      <c r="AO181" s="653"/>
      <c r="AP181" s="653"/>
      <c r="AQ181" s="653"/>
      <c r="AR181" s="653"/>
      <c r="AS181" s="653"/>
      <c r="AT181" s="653"/>
      <c r="AU181" s="653"/>
      <c r="AV181" s="653"/>
      <c r="AW181" s="653"/>
      <c r="AX181" s="653"/>
      <c r="AY181" s="653"/>
      <c r="AZ181" s="653"/>
      <c r="BA181" s="653"/>
      <c r="BB181" s="653"/>
      <c r="BC181" s="653"/>
      <c r="BD181" s="653"/>
      <c r="BE181" s="653"/>
      <c r="BF181" s="653"/>
      <c r="BG181" s="653"/>
      <c r="BH181" s="653"/>
      <c r="BI181" s="653"/>
      <c r="BJ181" s="653"/>
      <c r="BK181" s="653"/>
      <c r="BL181" s="653"/>
      <c r="BM181" s="653"/>
      <c r="BN181" s="653"/>
      <c r="BO181" s="653"/>
      <c r="BP181" s="653"/>
      <c r="BQ181" s="653"/>
      <c r="BR181" s="653"/>
      <c r="BS181" s="653"/>
      <c r="BT181" s="653"/>
      <c r="BU181" s="653"/>
      <c r="BV181" s="654"/>
    </row>
    <row r="182" spans="2:74" x14ac:dyDescent="0.25">
      <c r="B182" s="651"/>
      <c r="C182" s="653"/>
      <c r="D182" s="653"/>
      <c r="E182" s="653"/>
      <c r="F182" s="654"/>
      <c r="G182" s="653"/>
      <c r="H182" s="653" t="s">
        <v>610</v>
      </c>
      <c r="I182" s="653"/>
      <c r="J182" s="653"/>
      <c r="K182" s="653"/>
      <c r="L182" s="653"/>
      <c r="M182" s="653"/>
      <c r="N182" s="653" t="s">
        <v>611</v>
      </c>
      <c r="O182" s="653"/>
      <c r="P182" s="653"/>
      <c r="Q182" s="653"/>
      <c r="R182" s="964">
        <f>D190</f>
        <v>10250</v>
      </c>
      <c r="S182" s="965">
        <f>R182</f>
        <v>10250</v>
      </c>
      <c r="T182" s="653"/>
      <c r="U182" s="653"/>
      <c r="V182" s="653"/>
      <c r="W182" s="653"/>
      <c r="X182" s="653"/>
      <c r="Y182" s="653"/>
      <c r="Z182" s="653"/>
      <c r="AA182" s="1063"/>
      <c r="AB182" s="653"/>
      <c r="AC182" s="653"/>
      <c r="AD182" s="653"/>
      <c r="AE182" s="653"/>
      <c r="AF182" s="653"/>
      <c r="AG182" s="653"/>
      <c r="AH182" s="653"/>
      <c r="AI182" s="653"/>
      <c r="AJ182" s="653"/>
      <c r="AK182" s="653"/>
      <c r="AL182" s="653"/>
      <c r="AM182" s="653"/>
      <c r="AN182" s="653"/>
      <c r="AO182" s="653"/>
      <c r="AP182" s="653"/>
      <c r="AQ182" s="653"/>
      <c r="AR182" s="653"/>
      <c r="AS182" s="653"/>
      <c r="AT182" s="653"/>
      <c r="AU182" s="653"/>
      <c r="AV182" s="653"/>
      <c r="AW182" s="653"/>
      <c r="AX182" s="653"/>
      <c r="AY182" s="653"/>
      <c r="AZ182" s="653"/>
      <c r="BA182" s="653"/>
      <c r="BB182" s="653"/>
      <c r="BC182" s="653"/>
      <c r="BD182" s="653"/>
      <c r="BE182" s="653"/>
      <c r="BF182" s="653"/>
      <c r="BG182" s="653"/>
      <c r="BH182" s="653"/>
      <c r="BI182" s="653"/>
      <c r="BJ182" s="653"/>
      <c r="BK182" s="653"/>
      <c r="BL182" s="653"/>
      <c r="BM182" s="653"/>
      <c r="BN182" s="653"/>
      <c r="BO182" s="653"/>
      <c r="BP182" s="653"/>
      <c r="BQ182" s="653"/>
      <c r="BR182" s="653"/>
      <c r="BS182" s="653"/>
      <c r="BT182" s="653"/>
      <c r="BU182" s="653"/>
      <c r="BV182" s="654"/>
    </row>
    <row r="183" spans="2:74" ht="15.75" thickBot="1" x14ac:dyDescent="0.3">
      <c r="B183" s="680"/>
      <c r="C183" s="681"/>
      <c r="D183" s="681"/>
      <c r="E183" s="681"/>
      <c r="F183" s="666"/>
      <c r="G183" s="653"/>
      <c r="H183" s="653" t="s">
        <v>361</v>
      </c>
      <c r="I183" s="983">
        <f>D188</f>
        <v>1287.0999999999999</v>
      </c>
      <c r="J183" s="653" t="s">
        <v>67</v>
      </c>
      <c r="K183" s="653"/>
      <c r="L183" s="653"/>
      <c r="M183" s="653"/>
      <c r="N183" s="880" t="s">
        <v>612</v>
      </c>
      <c r="O183" s="880"/>
      <c r="P183" s="887">
        <f>Annuitätenzuschuss!$C$15</f>
        <v>35</v>
      </c>
      <c r="Q183" s="880" t="s">
        <v>68</v>
      </c>
      <c r="R183" s="888">
        <f>P183*I183</f>
        <v>45048.5</v>
      </c>
      <c r="S183" s="965">
        <f>R183</f>
        <v>45048.5</v>
      </c>
      <c r="T183" s="653"/>
      <c r="U183" s="878" t="s">
        <v>613</v>
      </c>
      <c r="V183" s="889"/>
      <c r="W183" s="889"/>
      <c r="X183" s="889"/>
      <c r="Y183" s="890"/>
      <c r="Z183" s="889"/>
      <c r="AA183" s="889"/>
      <c r="AB183" s="889"/>
      <c r="AC183" s="889"/>
      <c r="AD183" s="891"/>
      <c r="AE183" s="653"/>
      <c r="AF183" s="653"/>
      <c r="AG183" s="653"/>
      <c r="AH183" s="653"/>
      <c r="AI183" s="653"/>
      <c r="AJ183" s="653"/>
      <c r="AK183" s="653"/>
      <c r="AL183" s="653"/>
      <c r="AM183" s="653"/>
      <c r="AN183" s="653"/>
      <c r="AO183" s="653"/>
      <c r="AP183" s="653"/>
      <c r="AQ183" s="653"/>
      <c r="AR183" s="653"/>
      <c r="AS183" s="653"/>
      <c r="AT183" s="653"/>
      <c r="AU183" s="653"/>
      <c r="AV183" s="653"/>
      <c r="AW183" s="653"/>
      <c r="AX183" s="653"/>
      <c r="AY183" s="653"/>
      <c r="AZ183" s="653"/>
      <c r="BA183" s="653"/>
      <c r="BB183" s="653"/>
      <c r="BC183" s="653"/>
      <c r="BD183" s="653"/>
      <c r="BE183" s="653"/>
      <c r="BF183" s="653"/>
      <c r="BG183" s="653"/>
      <c r="BH183" s="653"/>
      <c r="BI183" s="653"/>
      <c r="BJ183" s="653"/>
      <c r="BK183" s="653"/>
      <c r="BL183" s="653"/>
      <c r="BM183" s="653"/>
      <c r="BN183" s="653"/>
      <c r="BO183" s="653"/>
      <c r="BP183" s="653"/>
      <c r="BQ183" s="653"/>
      <c r="BR183" s="653"/>
      <c r="BS183" s="653"/>
      <c r="BT183" s="653"/>
      <c r="BU183" s="653"/>
      <c r="BV183" s="654"/>
    </row>
    <row r="184" spans="2:74" ht="19.5" thickBot="1" x14ac:dyDescent="0.3">
      <c r="B184" s="651"/>
      <c r="C184" s="653"/>
      <c r="D184" s="653"/>
      <c r="E184" s="653"/>
      <c r="F184" s="653"/>
      <c r="G184" s="653"/>
      <c r="H184" s="653"/>
      <c r="I184" s="653"/>
      <c r="J184" s="653"/>
      <c r="K184" s="653"/>
      <c r="L184" s="653"/>
      <c r="M184" s="653"/>
      <c r="N184" s="653"/>
      <c r="O184" s="653"/>
      <c r="P184" s="653"/>
      <c r="Q184" s="653"/>
      <c r="R184" s="962">
        <f ca="1">SUM(R177:R183)</f>
        <v>4024329.4920000001</v>
      </c>
      <c r="S184" s="965">
        <f ca="1">SUM(S177:S183)</f>
        <v>4024329.4920000001</v>
      </c>
      <c r="T184" s="965"/>
      <c r="U184" s="892"/>
      <c r="V184" s="653" t="s">
        <v>614</v>
      </c>
      <c r="W184" s="653"/>
      <c r="X184" s="653"/>
      <c r="Y184" s="893">
        <f>Annuitätenzuschuss!$C$27</f>
        <v>5.0199999999999996</v>
      </c>
      <c r="Z184" s="653" t="s">
        <v>615</v>
      </c>
      <c r="AA184" s="876"/>
      <c r="AB184" s="876"/>
      <c r="AC184" s="894" t="s">
        <v>616</v>
      </c>
      <c r="AD184" s="895">
        <f ca="1">VLOOKUP($V$192,AM192:AN291,2,FALSE)-1</f>
        <v>35</v>
      </c>
      <c r="AE184" s="896"/>
      <c r="AF184" s="896"/>
      <c r="AG184" s="896"/>
      <c r="AH184" s="653"/>
      <c r="AI184" s="1705" t="s">
        <v>700</v>
      </c>
      <c r="AJ184" s="1705"/>
      <c r="AK184" s="1705"/>
      <c r="AL184" s="1705"/>
      <c r="AM184" s="653"/>
      <c r="AN184" s="653"/>
      <c r="AO184" s="1706" t="s">
        <v>700</v>
      </c>
      <c r="AP184" s="1706"/>
      <c r="AQ184" s="1706"/>
      <c r="AR184" s="653"/>
      <c r="AS184" s="653"/>
      <c r="AT184" s="653"/>
      <c r="AU184" s="653"/>
      <c r="AV184" s="653"/>
      <c r="AW184" s="653"/>
      <c r="AX184" s="653"/>
      <c r="AY184" s="653"/>
      <c r="AZ184" s="653"/>
      <c r="BA184" s="653"/>
      <c r="BB184" s="653"/>
      <c r="BC184" s="653"/>
      <c r="BD184" s="653"/>
      <c r="BE184" s="653"/>
      <c r="BF184" s="653"/>
      <c r="BG184" s="653"/>
      <c r="BH184" s="653"/>
      <c r="BI184" s="653"/>
      <c r="BJ184" s="653"/>
      <c r="BK184" s="653"/>
      <c r="BL184" s="653"/>
      <c r="BM184" s="653"/>
      <c r="BN184" s="653"/>
      <c r="BO184" s="653"/>
      <c r="BP184" s="653"/>
      <c r="BQ184" s="653"/>
      <c r="BR184" s="653"/>
      <c r="BS184" s="653"/>
      <c r="BT184" s="653"/>
      <c r="BU184" s="653"/>
      <c r="BV184" s="654"/>
    </row>
    <row r="185" spans="2:74" ht="27" thickBot="1" x14ac:dyDescent="0.45">
      <c r="B185" s="651"/>
      <c r="C185" s="1707" t="s">
        <v>693</v>
      </c>
      <c r="D185" s="1708"/>
      <c r="E185" s="1709"/>
      <c r="F185" s="653"/>
      <c r="G185" s="653"/>
      <c r="H185" s="653"/>
      <c r="I185" s="653"/>
      <c r="J185" s="653"/>
      <c r="K185" s="653"/>
      <c r="L185" s="653"/>
      <c r="M185" s="653"/>
      <c r="N185" s="653"/>
      <c r="O185" s="653"/>
      <c r="P185" s="653"/>
      <c r="Q185" s="653"/>
      <c r="R185" s="653"/>
      <c r="S185" s="965"/>
      <c r="T185" s="691"/>
      <c r="U185" s="897"/>
      <c r="V185" s="898" t="s">
        <v>617</v>
      </c>
      <c r="W185" s="899">
        <f>Annuitätenzuschuss!$C$26</f>
        <v>25</v>
      </c>
      <c r="X185" s="653" t="s">
        <v>481</v>
      </c>
      <c r="Y185" s="1063"/>
      <c r="Z185" s="653"/>
      <c r="AA185" s="876"/>
      <c r="AB185" s="876"/>
      <c r="AC185" s="894" t="s">
        <v>618</v>
      </c>
      <c r="AD185" s="895">
        <f>SUMIF(Y192:Y241,"&lt;0")*-1</f>
        <v>0</v>
      </c>
      <c r="AE185" s="896"/>
      <c r="AF185" s="896"/>
      <c r="AG185" s="896"/>
      <c r="AH185" s="653"/>
      <c r="AI185" s="653"/>
      <c r="AJ185" s="653"/>
      <c r="AK185" s="653"/>
      <c r="AL185" s="653"/>
      <c r="AM185" s="653"/>
      <c r="AN185" s="653"/>
      <c r="AO185" s="653"/>
      <c r="AP185" s="653"/>
      <c r="AQ185" s="653"/>
      <c r="AR185" s="653"/>
      <c r="AS185" s="653"/>
      <c r="AT185" s="653"/>
      <c r="AU185" s="653"/>
      <c r="AV185" s="653"/>
      <c r="AW185" s="653"/>
      <c r="AX185" s="653"/>
      <c r="AY185" s="653"/>
      <c r="AZ185" s="653"/>
      <c r="BA185" s="653"/>
      <c r="BB185" s="653"/>
      <c r="BC185" s="653"/>
      <c r="BD185" s="653"/>
      <c r="BE185" s="653"/>
      <c r="BF185" s="653"/>
      <c r="BG185" s="653"/>
      <c r="BH185" s="653"/>
      <c r="BI185" s="653"/>
      <c r="BJ185" s="653"/>
      <c r="BK185" s="653"/>
      <c r="BL185" s="653"/>
      <c r="BM185" s="653"/>
      <c r="BN185" s="653"/>
      <c r="BO185" s="653"/>
      <c r="BP185" s="653"/>
      <c r="BQ185" s="653"/>
      <c r="BR185" s="653"/>
      <c r="BS185" s="653"/>
      <c r="BT185" s="653"/>
      <c r="BU185" s="653"/>
      <c r="BV185" s="654"/>
    </row>
    <row r="186" spans="2:74" ht="15.75" thickBot="1" x14ac:dyDescent="0.3">
      <c r="B186" s="651"/>
      <c r="C186" s="924" t="s">
        <v>652</v>
      </c>
      <c r="D186" s="1012">
        <f ca="1">'3.2 Fi&amp;Fo'!$G$13</f>
        <v>4024329.4920000001</v>
      </c>
      <c r="E186" s="925" t="s">
        <v>363</v>
      </c>
      <c r="F186" s="653"/>
      <c r="G186" s="899" t="s">
        <v>619</v>
      </c>
      <c r="H186" s="899"/>
      <c r="I186" s="691"/>
      <c r="J186" s="691"/>
      <c r="K186" s="691"/>
      <c r="L186" s="653"/>
      <c r="M186" s="653"/>
      <c r="N186" s="653"/>
      <c r="O186" s="1711" t="s">
        <v>620</v>
      </c>
      <c r="P186" s="1712"/>
      <c r="Q186" s="1712"/>
      <c r="R186" s="1712"/>
      <c r="S186" s="1712"/>
      <c r="T186" s="1712"/>
      <c r="U186" s="1712"/>
      <c r="V186" s="1712"/>
      <c r="W186" s="1712"/>
      <c r="X186" s="1712"/>
      <c r="Y186" s="1712"/>
      <c r="Z186" s="1712"/>
      <c r="AA186" s="1712"/>
      <c r="AB186" s="1712"/>
      <c r="AC186" s="1712"/>
      <c r="AD186" s="1712"/>
      <c r="AE186" s="1712"/>
      <c r="AF186" s="1712"/>
      <c r="AG186" s="1712"/>
      <c r="AH186" s="1713"/>
      <c r="AI186" s="1714" t="s">
        <v>621</v>
      </c>
      <c r="AJ186" s="1715"/>
      <c r="AK186" s="1715"/>
      <c r="AL186" s="1716"/>
      <c r="AM186" s="691"/>
      <c r="AN186" s="691"/>
      <c r="AO186" s="653" t="s">
        <v>666</v>
      </c>
      <c r="AP186" s="653" t="s">
        <v>625</v>
      </c>
      <c r="AQ186" s="653" t="s">
        <v>626</v>
      </c>
      <c r="AR186" s="653"/>
      <c r="AS186" s="653"/>
      <c r="AT186" s="653"/>
      <c r="AU186" s="653"/>
      <c r="AV186" s="653"/>
      <c r="AW186" s="653"/>
      <c r="AX186" s="653"/>
      <c r="AY186" s="653"/>
      <c r="AZ186" s="653"/>
      <c r="BA186" s="653"/>
      <c r="BB186" s="653"/>
      <c r="BC186" s="653"/>
      <c r="BD186" s="653"/>
      <c r="BE186" s="653"/>
      <c r="BF186" s="653"/>
      <c r="BG186" s="653"/>
      <c r="BH186" s="653"/>
      <c r="BI186" s="653"/>
      <c r="BJ186" s="653"/>
      <c r="BK186" s="653"/>
      <c r="BL186" s="653"/>
      <c r="BM186" s="653"/>
      <c r="BN186" s="653"/>
      <c r="BO186" s="653"/>
      <c r="BP186" s="653"/>
      <c r="BQ186" s="653"/>
      <c r="BR186" s="653"/>
      <c r="BS186" s="653"/>
      <c r="BT186" s="653"/>
      <c r="BU186" s="653"/>
      <c r="BV186" s="654"/>
    </row>
    <row r="187" spans="2:74" ht="15.75" thickBot="1" x14ac:dyDescent="0.3">
      <c r="B187" s="651"/>
      <c r="C187" s="924" t="s">
        <v>598</v>
      </c>
      <c r="D187" s="1012">
        <f ca="1">'3.2 I&amp;W'!$S$27</f>
        <v>432000</v>
      </c>
      <c r="E187" s="925"/>
      <c r="F187" s="653"/>
      <c r="G187" s="876" t="s">
        <v>622</v>
      </c>
      <c r="H187" s="876"/>
      <c r="I187" s="691"/>
      <c r="J187" s="691"/>
      <c r="K187" s="691"/>
      <c r="L187" s="653"/>
      <c r="M187" s="653"/>
      <c r="N187" s="972"/>
      <c r="O187" s="691"/>
      <c r="P187" s="909"/>
      <c r="Q187" s="798"/>
      <c r="R187" s="798"/>
      <c r="S187" s="798"/>
      <c r="T187" s="798"/>
      <c r="U187" s="798"/>
      <c r="V187" s="653"/>
      <c r="W187" s="691"/>
      <c r="X187" s="691"/>
      <c r="Y187" s="691"/>
      <c r="Z187" s="691"/>
      <c r="AA187" s="691"/>
      <c r="AB187" s="691"/>
      <c r="AC187" s="691"/>
      <c r="AD187" s="691"/>
      <c r="AE187" s="691"/>
      <c r="AF187" s="691"/>
      <c r="AG187" s="973"/>
      <c r="AH187" s="691"/>
      <c r="AI187" s="1717" t="s">
        <v>623</v>
      </c>
      <c r="AJ187" s="1718"/>
      <c r="AK187" s="1719" t="s">
        <v>624</v>
      </c>
      <c r="AL187" s="1720"/>
      <c r="AM187" s="691"/>
      <c r="AN187" s="691"/>
      <c r="AO187" s="1014">
        <f>NPV($Q$174,AO191:AO240)</f>
        <v>1900260.3431783211</v>
      </c>
      <c r="AP187" s="1014">
        <f ca="1">NPV($Q$172,AP192:AP241)</f>
        <v>0</v>
      </c>
      <c r="AQ187" s="1014">
        <f>NPV($Q$172,AQ192:AQ241)</f>
        <v>0</v>
      </c>
      <c r="AR187" s="653"/>
      <c r="AS187" s="653"/>
      <c r="AT187" s="653"/>
      <c r="AU187" s="653"/>
      <c r="AV187" s="653"/>
      <c r="AW187" s="653"/>
      <c r="AX187" s="653"/>
      <c r="AY187" s="653"/>
      <c r="AZ187" s="653"/>
      <c r="BA187" s="653"/>
      <c r="BB187" s="653"/>
      <c r="BC187" s="653"/>
      <c r="BD187" s="653"/>
      <c r="BE187" s="653"/>
      <c r="BF187" s="653"/>
      <c r="BG187" s="653"/>
      <c r="BH187" s="653"/>
      <c r="BI187" s="653"/>
      <c r="BJ187" s="653"/>
      <c r="BK187" s="653"/>
      <c r="BL187" s="653"/>
      <c r="BM187" s="653"/>
      <c r="BN187" s="653"/>
      <c r="BO187" s="653"/>
      <c r="BP187" s="653"/>
      <c r="BQ187" s="653"/>
      <c r="BR187" s="653"/>
      <c r="BS187" s="653"/>
      <c r="BT187" s="653"/>
      <c r="BU187" s="653"/>
      <c r="BV187" s="654"/>
    </row>
    <row r="188" spans="2:74" x14ac:dyDescent="0.25">
      <c r="B188" s="651"/>
      <c r="C188" s="924" t="s">
        <v>361</v>
      </c>
      <c r="D188" s="1012">
        <f>'1. Projektangaben'!$F$89</f>
        <v>1287.0999999999999</v>
      </c>
      <c r="E188" s="925"/>
      <c r="F188" s="653"/>
      <c r="G188" s="974" t="s">
        <v>627</v>
      </c>
      <c r="H188" s="974"/>
      <c r="I188" s="653"/>
      <c r="J188" s="653"/>
      <c r="K188" s="653"/>
      <c r="L188" s="653"/>
      <c r="M188" s="653"/>
      <c r="N188" s="975">
        <f ca="1">NPV($Q$174,N192:N241)*-1</f>
        <v>0</v>
      </c>
      <c r="O188" s="975">
        <f ca="1">NPV($Q$174,O192:O241)*-1</f>
        <v>0</v>
      </c>
      <c r="P188" s="975"/>
      <c r="Q188" s="975">
        <f ca="1">NPV($Q$174,R192:R241)*-1</f>
        <v>-3764301.3977924818</v>
      </c>
      <c r="R188" s="916"/>
      <c r="S188" s="916"/>
      <c r="T188" s="916"/>
      <c r="U188" s="916"/>
      <c r="V188" s="916"/>
      <c r="W188" s="916"/>
      <c r="X188" s="916"/>
      <c r="Y188" s="916"/>
      <c r="Z188" s="916"/>
      <c r="AA188" s="916"/>
      <c r="AB188" s="916"/>
      <c r="AC188" s="975">
        <f ca="1">NPV($Q$174,AC192:AC241)</f>
        <v>9.130613476622338E-10</v>
      </c>
      <c r="AD188" s="975"/>
      <c r="AE188" s="975"/>
      <c r="AF188" s="975"/>
      <c r="AG188" s="975">
        <f>NPV($Q$174,AG192:AG241)</f>
        <v>2436426.2662981339</v>
      </c>
      <c r="AH188" s="975"/>
      <c r="AI188" s="1014">
        <f ca="1">NPV($Q$174,AI192:AI241)</f>
        <v>-4159896.0237927688</v>
      </c>
      <c r="AJ188" s="1014">
        <f ca="1">NPV($Q$174,AJ192:AJ241)</f>
        <v>-2221630.4737508791</v>
      </c>
      <c r="AK188" s="1014">
        <f ca="1">NPV($Q$174,AK192:AK241)</f>
        <v>-4159896.023792766</v>
      </c>
      <c r="AL188" s="1014">
        <f ca="1">NPV($Q$174,AL192:AL241)</f>
        <v>-2221630.4737508777</v>
      </c>
      <c r="AM188" s="975"/>
      <c r="AN188" s="975"/>
      <c r="AO188" s="975"/>
      <c r="AR188" s="653"/>
      <c r="AS188" s="653"/>
      <c r="AT188" s="653"/>
      <c r="AU188" s="653"/>
      <c r="AV188" s="653"/>
      <c r="AW188" s="653"/>
      <c r="AX188" s="653"/>
      <c r="AY188" s="653"/>
      <c r="AZ188" s="653"/>
      <c r="BA188" s="653"/>
      <c r="BB188" s="653"/>
      <c r="BC188" s="653"/>
      <c r="BD188" s="653"/>
      <c r="BE188" s="653"/>
      <c r="BF188" s="653"/>
      <c r="BG188" s="653"/>
      <c r="BH188" s="653"/>
      <c r="BI188" s="653"/>
      <c r="BJ188" s="653"/>
      <c r="BK188" s="653"/>
      <c r="BL188" s="653"/>
      <c r="BM188" s="653"/>
      <c r="BN188" s="653"/>
      <c r="BO188" s="653"/>
      <c r="BP188" s="653"/>
      <c r="BQ188" s="653"/>
      <c r="BR188" s="653"/>
      <c r="BS188" s="653"/>
      <c r="BT188" s="653"/>
      <c r="BU188" s="653"/>
      <c r="BV188" s="654"/>
    </row>
    <row r="189" spans="2:74" ht="15.75" thickBot="1" x14ac:dyDescent="0.3">
      <c r="B189" s="651"/>
      <c r="C189" s="924" t="s">
        <v>653</v>
      </c>
      <c r="D189" s="1012">
        <f>'1. Projektangaben'!$H$89</f>
        <v>0</v>
      </c>
      <c r="E189" s="925" t="s">
        <v>68</v>
      </c>
      <c r="F189" s="653"/>
      <c r="G189" s="976" t="s">
        <v>628</v>
      </c>
      <c r="H189" s="976"/>
      <c r="I189" s="653"/>
      <c r="J189" s="653"/>
      <c r="K189" s="653"/>
      <c r="L189" s="653"/>
      <c r="M189" s="653"/>
      <c r="N189" s="691"/>
      <c r="O189" s="691"/>
      <c r="P189" s="691"/>
      <c r="Q189" s="653"/>
      <c r="R189" s="653"/>
      <c r="S189" s="653"/>
      <c r="T189" s="653"/>
      <c r="U189" s="909"/>
      <c r="V189" s="909"/>
      <c r="W189" s="653"/>
      <c r="X189" s="691"/>
      <c r="Y189" s="691"/>
      <c r="Z189" s="691"/>
      <c r="AA189" s="1721" t="s">
        <v>629</v>
      </c>
      <c r="AB189" s="1721"/>
      <c r="AC189" s="691"/>
      <c r="AD189" s="691"/>
      <c r="AE189" s="691"/>
      <c r="AF189" s="691"/>
      <c r="AG189" s="691"/>
      <c r="AH189" s="691"/>
      <c r="AI189" s="691"/>
      <c r="AJ189" s="691"/>
      <c r="AK189" s="691"/>
      <c r="AL189" s="691"/>
      <c r="AM189" s="977" t="s">
        <v>630</v>
      </c>
      <c r="AN189" s="978"/>
      <c r="AO189" s="691"/>
      <c r="AP189" s="691"/>
      <c r="AQ189" s="691"/>
      <c r="AR189" s="691"/>
      <c r="AS189" s="653"/>
      <c r="AT189" s="653"/>
      <c r="AU189" s="653"/>
      <c r="AV189" s="653"/>
      <c r="AW189" s="653"/>
      <c r="AX189" s="653"/>
      <c r="AY189" s="653"/>
      <c r="AZ189" s="653"/>
      <c r="BA189" s="653"/>
      <c r="BB189" s="653"/>
      <c r="BC189" s="1710" t="s">
        <v>677</v>
      </c>
      <c r="BD189" s="1710"/>
      <c r="BE189" s="1710"/>
      <c r="BF189" s="1710"/>
      <c r="BG189" s="1710"/>
      <c r="BH189" s="1710"/>
      <c r="BI189" s="1710"/>
      <c r="BJ189" s="653"/>
      <c r="BK189" s="653"/>
      <c r="BL189" s="653"/>
      <c r="BM189" s="653"/>
      <c r="BN189" s="653"/>
      <c r="BO189" s="653"/>
      <c r="BP189" s="653"/>
      <c r="BQ189" s="653"/>
      <c r="BR189" s="653"/>
      <c r="BS189" s="653"/>
      <c r="BT189" s="653"/>
      <c r="BU189" s="653"/>
      <c r="BV189" s="654"/>
    </row>
    <row r="190" spans="2:74" ht="270.75" thickBot="1" x14ac:dyDescent="0.3">
      <c r="B190" s="651"/>
      <c r="C190" s="928" t="s">
        <v>655</v>
      </c>
      <c r="D190" s="1013">
        <f>'1. Projektangaben'!$J$89</f>
        <v>10250</v>
      </c>
      <c r="E190" s="929" t="s">
        <v>363</v>
      </c>
      <c r="F190" s="653"/>
      <c r="G190" s="653"/>
      <c r="H190" s="653"/>
      <c r="I190" s="653"/>
      <c r="J190" s="653"/>
      <c r="K190" s="653"/>
      <c r="L190" s="653"/>
      <c r="M190" s="648" t="s">
        <v>481</v>
      </c>
      <c r="N190" s="900" t="s">
        <v>696</v>
      </c>
      <c r="O190" s="900" t="s">
        <v>632</v>
      </c>
      <c r="P190" s="900" t="s">
        <v>697</v>
      </c>
      <c r="Q190" s="901" t="s">
        <v>633</v>
      </c>
      <c r="R190" s="902" t="s">
        <v>245</v>
      </c>
      <c r="S190" s="902" t="s">
        <v>246</v>
      </c>
      <c r="T190" s="902" t="s">
        <v>205</v>
      </c>
      <c r="U190" s="902" t="s">
        <v>247</v>
      </c>
      <c r="V190" s="902" t="s">
        <v>601</v>
      </c>
      <c r="W190" s="902" t="s">
        <v>605</v>
      </c>
      <c r="X190" s="902" t="s">
        <v>635</v>
      </c>
      <c r="Y190" s="902" t="s">
        <v>636</v>
      </c>
      <c r="Z190" s="901" t="s">
        <v>637</v>
      </c>
      <c r="AA190" s="903" t="s">
        <v>638</v>
      </c>
      <c r="AB190" s="903" t="s">
        <v>639</v>
      </c>
      <c r="AC190" s="904" t="s">
        <v>640</v>
      </c>
      <c r="AD190" s="904" t="s">
        <v>641</v>
      </c>
      <c r="AE190" s="902" t="s">
        <v>642</v>
      </c>
      <c r="AF190" s="902" t="s">
        <v>643</v>
      </c>
      <c r="AG190" s="902" t="s">
        <v>644</v>
      </c>
      <c r="AH190" s="905" t="s">
        <v>645</v>
      </c>
      <c r="AI190" s="906" t="s">
        <v>646</v>
      </c>
      <c r="AJ190" s="906" t="s">
        <v>647</v>
      </c>
      <c r="AK190" s="906" t="s">
        <v>648</v>
      </c>
      <c r="AL190" s="653"/>
      <c r="AM190" s="907" t="s">
        <v>649</v>
      </c>
      <c r="AN190" s="908" t="s">
        <v>481</v>
      </c>
      <c r="AO190" s="906" t="s">
        <v>699</v>
      </c>
      <c r="AP190" s="979" t="s">
        <v>650</v>
      </c>
      <c r="AQ190" s="979" t="s">
        <v>651</v>
      </c>
      <c r="AR190" s="653"/>
      <c r="AS190" s="653" t="s">
        <v>481</v>
      </c>
      <c r="AT190" s="653" t="s">
        <v>631</v>
      </c>
      <c r="AU190" s="653" t="s">
        <v>634</v>
      </c>
      <c r="AV190" s="653" t="s">
        <v>678</v>
      </c>
      <c r="AW190" s="653" t="s">
        <v>613</v>
      </c>
      <c r="AX190" s="653" t="s">
        <v>679</v>
      </c>
      <c r="AY190" s="653" t="s">
        <v>680</v>
      </c>
      <c r="AZ190" s="653" t="s">
        <v>681</v>
      </c>
      <c r="BA190" s="653"/>
      <c r="BB190" s="653" t="str">
        <f t="shared" ref="BB190:BI190" si="106">AS190</f>
        <v>Jahre</v>
      </c>
      <c r="BC190" s="653" t="str">
        <f t="shared" si="106"/>
        <v>WBF Darlehen</v>
      </c>
      <c r="BD190" s="653" t="str">
        <f t="shared" si="106"/>
        <v>Bankdarlehen</v>
      </c>
      <c r="BE190" s="653" t="str">
        <f t="shared" si="106"/>
        <v>Eigenkapital</v>
      </c>
      <c r="BF190" s="653" t="str">
        <f t="shared" si="106"/>
        <v>Annuitätenzuschuss</v>
      </c>
      <c r="BG190" s="653" t="str">
        <f t="shared" si="106"/>
        <v>Entgeltstundung</v>
      </c>
      <c r="BH190" s="653" t="str">
        <f t="shared" si="106"/>
        <v>(Mieteinnahmen)</v>
      </c>
      <c r="BI190" s="653" t="str">
        <f t="shared" si="106"/>
        <v>Barwert Gesamt</v>
      </c>
      <c r="BJ190" s="653"/>
      <c r="BK190" s="653" t="s">
        <v>481</v>
      </c>
      <c r="BL190" s="653" t="str">
        <f t="shared" ref="BL190:BQ190" si="107">BC190</f>
        <v>WBF Darlehen</v>
      </c>
      <c r="BM190" s="653" t="str">
        <f t="shared" si="107"/>
        <v>Bankdarlehen</v>
      </c>
      <c r="BN190" s="653" t="str">
        <f t="shared" si="107"/>
        <v>Eigenkapital</v>
      </c>
      <c r="BO190" s="653" t="str">
        <f t="shared" si="107"/>
        <v>Annuitätenzuschuss</v>
      </c>
      <c r="BP190" s="653" t="str">
        <f t="shared" si="107"/>
        <v>Entgeltstundung</v>
      </c>
      <c r="BQ190" s="653" t="str">
        <f t="shared" si="107"/>
        <v>(Mieteinnahmen)</v>
      </c>
      <c r="BR190" s="653" t="s">
        <v>682</v>
      </c>
      <c r="BS190" s="653"/>
      <c r="BT190" s="653"/>
      <c r="BU190" s="653"/>
      <c r="BV190" s="654"/>
    </row>
    <row r="191" spans="2:74" x14ac:dyDescent="0.25">
      <c r="B191" s="651"/>
      <c r="C191" s="653"/>
      <c r="D191" s="653"/>
      <c r="E191" s="653"/>
      <c r="F191" s="653"/>
      <c r="G191" s="653"/>
      <c r="H191" s="653"/>
      <c r="I191" s="653"/>
      <c r="J191" s="653"/>
      <c r="K191" s="653"/>
      <c r="L191" s="653"/>
      <c r="M191" s="651">
        <v>0</v>
      </c>
      <c r="N191" s="909">
        <v>0</v>
      </c>
      <c r="O191" s="909">
        <v>0</v>
      </c>
      <c r="P191" s="909">
        <v>0</v>
      </c>
      <c r="Q191" s="910">
        <f ca="1">S177</f>
        <v>0</v>
      </c>
      <c r="R191" s="909">
        <v>0</v>
      </c>
      <c r="S191" s="909"/>
      <c r="T191" s="909"/>
      <c r="U191" s="909">
        <f ca="1">S178</f>
        <v>3357414.5174000002</v>
      </c>
      <c r="V191" s="909">
        <v>0</v>
      </c>
      <c r="W191" s="909">
        <v>0</v>
      </c>
      <c r="X191" s="909">
        <f>N191+R191+V191+W191</f>
        <v>0</v>
      </c>
      <c r="Y191" s="909">
        <v>0</v>
      </c>
      <c r="Z191" s="910">
        <v>0</v>
      </c>
      <c r="AA191" s="909">
        <v>0</v>
      </c>
      <c r="AB191" s="910">
        <v>0</v>
      </c>
      <c r="AC191" s="911">
        <v>0</v>
      </c>
      <c r="AD191" s="911">
        <v>0</v>
      </c>
      <c r="AE191" s="909">
        <v>0</v>
      </c>
      <c r="AF191" s="912">
        <f t="shared" ref="AF191:AF222" si="108">AE191/(1+$Q$174)^M191</f>
        <v>0</v>
      </c>
      <c r="AG191" s="909">
        <v>0</v>
      </c>
      <c r="AH191" s="913">
        <v>0</v>
      </c>
      <c r="AI191" s="909"/>
      <c r="AJ191" s="909"/>
      <c r="AK191" s="909"/>
      <c r="AL191" s="653"/>
      <c r="AM191" s="914"/>
      <c r="AN191" s="915">
        <f t="shared" ref="AN191:AN222" si="109">M191</f>
        <v>0</v>
      </c>
      <c r="AO191" s="653">
        <v>0</v>
      </c>
      <c r="AP191" s="916">
        <v>0</v>
      </c>
      <c r="AQ191" s="916">
        <f>Y191</f>
        <v>0</v>
      </c>
      <c r="AR191" s="653"/>
      <c r="AS191" s="653">
        <v>1</v>
      </c>
      <c r="AT191" s="909">
        <f t="shared" ref="AT191:AT222" si="110">-(N191+O191)*(1+$Q$172)^-M191</f>
        <v>0</v>
      </c>
      <c r="AU191" s="909">
        <f t="shared" ref="AU191:AU222" si="111">-R191*(1+$Q$172)^-M191</f>
        <v>0</v>
      </c>
      <c r="AV191" s="909">
        <f t="shared" ref="AV191:AV222" si="112">-(V191+W191)*(1+$Q$172)^-M191</f>
        <v>0</v>
      </c>
      <c r="AW191" s="909">
        <f t="shared" ref="AW191:AW222" si="113">-Y191*(1+$Q$172)^-M191</f>
        <v>0</v>
      </c>
      <c r="AX191" s="909">
        <f t="shared" ref="AX191:AX222" si="114">AC191*(1+$Q$172)^-M191</f>
        <v>0</v>
      </c>
      <c r="AY191" s="909">
        <f t="shared" ref="AY191:AY222" si="115">AG191*(1+$Q$172)^-M191</f>
        <v>0</v>
      </c>
      <c r="AZ191" s="909">
        <f t="shared" ref="AZ191:AZ222" si="116">SUM(AT191:AX191)</f>
        <v>0</v>
      </c>
      <c r="BA191" s="653"/>
      <c r="BB191" s="653">
        <v>1</v>
      </c>
      <c r="BC191" s="653">
        <f>0</f>
        <v>0</v>
      </c>
      <c r="BD191" s="653">
        <v>0</v>
      </c>
      <c r="BE191" s="653">
        <v>0</v>
      </c>
      <c r="BF191" s="653">
        <v>0</v>
      </c>
      <c r="BG191" s="653">
        <v>0</v>
      </c>
      <c r="BH191" s="653">
        <v>1</v>
      </c>
      <c r="BI191" s="653">
        <v>0</v>
      </c>
      <c r="BJ191" s="653"/>
      <c r="BK191" s="653">
        <v>1</v>
      </c>
      <c r="BL191" s="909">
        <f t="shared" ref="BL191:BL222" si="117">-(N191+O191)</f>
        <v>0</v>
      </c>
      <c r="BM191" s="909">
        <f t="shared" ref="BM191:BM222" si="118">-R191</f>
        <v>0</v>
      </c>
      <c r="BN191" s="909">
        <f t="shared" ref="BN191:BN222" si="119">-(V191+W191)</f>
        <v>0</v>
      </c>
      <c r="BO191" s="909">
        <f t="shared" ref="BO191:BO222" si="120">-Y191</f>
        <v>0</v>
      </c>
      <c r="BP191" s="909">
        <f t="shared" ref="BP191:BP222" si="121">AC191</f>
        <v>0</v>
      </c>
      <c r="BQ191" s="909">
        <f t="shared" ref="BQ191:BQ222" si="122">AG191</f>
        <v>0</v>
      </c>
      <c r="BR191" s="909">
        <f t="shared" ref="BR191:BR222" si="123">SUM(BL191:BP191)</f>
        <v>0</v>
      </c>
      <c r="BS191" s="653"/>
      <c r="BT191" s="653"/>
      <c r="BU191" s="653"/>
      <c r="BV191" s="654"/>
    </row>
    <row r="192" spans="2:74" x14ac:dyDescent="0.25">
      <c r="B192" s="651"/>
      <c r="C192" s="653"/>
      <c r="D192" s="653"/>
      <c r="E192" s="653"/>
      <c r="F192" s="653"/>
      <c r="G192" s="653"/>
      <c r="H192" s="653"/>
      <c r="I192" s="653"/>
      <c r="J192" s="653"/>
      <c r="K192" s="653"/>
      <c r="L192" s="653"/>
      <c r="M192" s="651">
        <v>1</v>
      </c>
      <c r="N192" s="909">
        <f t="shared" ref="N192:N223" ca="1" si="124">MIN(IF(Q191&lt;=0,0,IF(M192&lt;=$Y$172,$AC$172,IF(M192&lt;=$Y$173,$AC$173,IF(M192&lt;=$Y$174,$AC$174,IF(M192&lt;=$Y$175,$AC$175,IF(M192&lt;=$Y$176,$AC$176)))))),Q191)</f>
        <v>0</v>
      </c>
      <c r="O192" s="909">
        <f t="shared" ref="O192:O223" ca="1" si="125">MAX(MIN(AG192-X192+AC192-Y192,Q191-N192),0)</f>
        <v>0</v>
      </c>
      <c r="P192" s="909">
        <f t="shared" ref="P192:P223" ca="1" si="126">IF(Q191=0,0,Q191*$U$173+$U$171)</f>
        <v>0</v>
      </c>
      <c r="Q192" s="910">
        <f t="shared" ref="Q192:Q223" ca="1" si="127">IF(Q191=0,0,Q191-N192-O192)</f>
        <v>0</v>
      </c>
      <c r="R192" s="909">
        <f t="shared" ref="R192:R223" ca="1" si="128">IF(M192&lt;=$V$179,-PMT($U$179,$V$179,$S$178),0)</f>
        <v>192809.16793014269</v>
      </c>
      <c r="S192" s="909">
        <f t="shared" ref="S192:S223" ca="1" si="129">U191*$U$179</f>
        <v>100722.435522</v>
      </c>
      <c r="T192" s="909">
        <f t="shared" ref="T192:T223" ca="1" si="130">R192-S192</f>
        <v>92086.732408142692</v>
      </c>
      <c r="U192" s="909">
        <f t="shared" ref="U192:U223" ca="1" si="131">U191-T192</f>
        <v>3265327.7849918576</v>
      </c>
      <c r="V192" s="909">
        <f t="shared" ref="V192:V223" ca="1" si="132">IF(M192&lt;=$V$180,($Q$173+$U$180)*$S$179,0)</f>
        <v>8640</v>
      </c>
      <c r="W192" s="909">
        <f t="shared" ref="W192:W223" ca="1" si="133">IF(M192&lt;=$V$181,($Q$173+$U$181)*$S$180,0)</f>
        <v>7184.6589840000006</v>
      </c>
      <c r="X192" s="909">
        <f t="shared" ref="X192:X223" ca="1" si="134">N192+R192+V192+W192+P192</f>
        <v>208633.8269141427</v>
      </c>
      <c r="Y192" s="909">
        <f t="shared" ref="Y192:Y223" si="135">IF($R$177&gt;0,IF(M192&gt;=$Q$175,Z191*-1,IF(M192&gt;$W$185,IF(X192&gt;=AG192,0,IF(Z191+AG192-X192&gt;=0,-Z191,AG192-X192)),IF(AG192-X192&gt;=0,0,AG192-X192))),0)</f>
        <v>0</v>
      </c>
      <c r="Z192" s="910">
        <f t="shared" ref="Z192:Z223" si="136">IF(Z191+Y192&gt;=0,0,Z191+Y192)</f>
        <v>0</v>
      </c>
      <c r="AA192" s="909">
        <f t="shared" ref="AA192:AA223" ca="1" si="137">IF($S$177&gt;0,IF(M192&gt;$W$185,IF(X192&gt;=AG192,0,IF(AB191+AG192&gt;=0,-AB191,AG192-X192)),IF(AG192-X192&gt;=0,0,AG192-X192)),0)</f>
        <v>0</v>
      </c>
      <c r="AB192" s="910">
        <f t="shared" ref="AB192:AB223" ca="1" si="138">IF(AB191+AA192&gt;=0,0,AB191+AA192)</f>
        <v>0</v>
      </c>
      <c r="AC192" s="911">
        <f t="shared" ref="AC192:AC223" ca="1" si="139">IF(M192&gt;=$Q$175,AD191*-1*(1+$Q$173),MAX(X192+Y192-AG192,AD191*-1*(1+$Q$173)))</f>
        <v>131098.92291414272</v>
      </c>
      <c r="AD192" s="911">
        <f t="shared" ref="AD192:AD223" ca="1" si="140">AC192+AD191*(1+$Q$173)</f>
        <v>131098.92291414272</v>
      </c>
      <c r="AE192" s="909">
        <f t="shared" ref="AE192:AE223" ca="1" si="141">IF(AG192-Y192-X192+AC192&lt;0,0,AG192-Y192-X192+AC192-O192)</f>
        <v>0</v>
      </c>
      <c r="AF192" s="912">
        <f t="shared" ca="1" si="108"/>
        <v>0</v>
      </c>
      <c r="AG192" s="909">
        <f t="shared" ref="AG192:AG223" si="142">$Y$184*$I$183*12</f>
        <v>77534.903999999995</v>
      </c>
      <c r="AH192" s="917">
        <f t="shared" ref="AH192:AH223" ca="1" si="143">(X192+Y192)</f>
        <v>208633.8269141427</v>
      </c>
      <c r="AI192" s="909">
        <f t="shared" ref="AI192:AI223" ca="1" si="144">IF(M192&gt;$Q$175,"",(X192+Y192+O192)*-1)</f>
        <v>-208633.8269141427</v>
      </c>
      <c r="AJ192" s="916">
        <f t="shared" ref="AJ192:AJ223" ca="1" si="145">IF(M192&gt;$Q$175,"",AI192+AG192)</f>
        <v>-131098.92291414272</v>
      </c>
      <c r="AK192" s="916">
        <f t="shared" ref="AK192:AK223" ca="1" si="146">IF(M192&gt;$Q$175,"",(N192+O192+P192+R192+V192+W192+Y192-AC192)*-1)</f>
        <v>-77534.90399999998</v>
      </c>
      <c r="AL192" s="909">
        <f t="shared" ref="AL192:AL223" ca="1" si="147">IF(M192&gt;$Q$175,"",AK192+AG192)</f>
        <v>1.4551915228366852E-11</v>
      </c>
      <c r="AM192" s="918">
        <f t="shared" ref="AM192:AM223" ca="1" si="148">X192+Y192+O192</f>
        <v>208633.8269141427</v>
      </c>
      <c r="AN192" s="915">
        <f t="shared" si="109"/>
        <v>1</v>
      </c>
      <c r="AO192" s="653">
        <f t="shared" ref="AO192:AO223" si="149">IF(M192&gt;$Q$175,"",AG192)</f>
        <v>77534.903999999995</v>
      </c>
      <c r="AP192" s="916">
        <f t="shared" ref="AP192:AP223" ca="1" si="150">IF(M192&gt;$Q$175,"",N192+O192+P192)</f>
        <v>0</v>
      </c>
      <c r="AQ192" s="916">
        <f t="shared" ref="AQ192:AQ223" si="151">IF(M192&gt;$Q$175,"",Y192)</f>
        <v>0</v>
      </c>
      <c r="AR192" s="653"/>
      <c r="AS192" s="653">
        <v>1</v>
      </c>
      <c r="AT192" s="909">
        <f t="shared" ca="1" si="110"/>
        <v>0</v>
      </c>
      <c r="AU192" s="909">
        <f t="shared" ca="1" si="111"/>
        <v>-187193.36692246865</v>
      </c>
      <c r="AV192" s="909">
        <f t="shared" ca="1" si="112"/>
        <v>-15363.746586407769</v>
      </c>
      <c r="AW192" s="909">
        <f t="shared" si="113"/>
        <v>0</v>
      </c>
      <c r="AX192" s="909">
        <f t="shared" ca="1" si="114"/>
        <v>127280.50768363371</v>
      </c>
      <c r="AY192" s="909">
        <f t="shared" si="115"/>
        <v>75276.605825242717</v>
      </c>
      <c r="AZ192" s="909">
        <f t="shared" ca="1" si="116"/>
        <v>-75276.605825242703</v>
      </c>
      <c r="BA192" s="653"/>
      <c r="BB192" s="653">
        <f t="shared" ref="BB192:BB223" si="152">AS192</f>
        <v>1</v>
      </c>
      <c r="BC192" s="909">
        <f t="shared" ref="BC192:BC223" ca="1" si="153">BC191+AT192</f>
        <v>0</v>
      </c>
      <c r="BD192" s="909">
        <f t="shared" ref="BD192:BD223" ca="1" si="154">BD191+AU192</f>
        <v>-187193.36692246865</v>
      </c>
      <c r="BE192" s="909">
        <f t="shared" ref="BE192:BE223" ca="1" si="155">BE191+AV192</f>
        <v>-15363.746586407769</v>
      </c>
      <c r="BF192" s="909">
        <f t="shared" ref="BF192:BF223" si="156">BF191+AW192</f>
        <v>0</v>
      </c>
      <c r="BG192" s="909">
        <f t="shared" ref="BG192:BG223" ca="1" si="157">BG191+AX192</f>
        <v>127280.50768363371</v>
      </c>
      <c r="BH192" s="909">
        <f t="shared" ref="BH192:BH223" si="158">BH191+AY192</f>
        <v>75277.605825242717</v>
      </c>
      <c r="BI192" s="909">
        <f t="shared" ref="BI192:BI223" ca="1" si="159">BI191+AZ192</f>
        <v>-75276.605825242703</v>
      </c>
      <c r="BJ192" s="909"/>
      <c r="BK192" s="653">
        <v>1</v>
      </c>
      <c r="BL192" s="909">
        <f t="shared" ca="1" si="117"/>
        <v>0</v>
      </c>
      <c r="BM192" s="909">
        <f t="shared" ca="1" si="118"/>
        <v>-192809.16793014269</v>
      </c>
      <c r="BN192" s="909">
        <f t="shared" ca="1" si="119"/>
        <v>-15824.658984000002</v>
      </c>
      <c r="BO192" s="909">
        <f t="shared" si="120"/>
        <v>0</v>
      </c>
      <c r="BP192" s="909">
        <f t="shared" ca="1" si="121"/>
        <v>131098.92291414272</v>
      </c>
      <c r="BQ192" s="909">
        <f t="shared" si="122"/>
        <v>77534.903999999995</v>
      </c>
      <c r="BR192" s="909">
        <f t="shared" ca="1" si="123"/>
        <v>-77534.90399999998</v>
      </c>
      <c r="BS192" s="653"/>
      <c r="BT192" s="653"/>
      <c r="BU192" s="653"/>
      <c r="BV192" s="654"/>
    </row>
    <row r="193" spans="2:74" x14ac:dyDescent="0.25">
      <c r="B193" s="651"/>
      <c r="C193" s="653"/>
      <c r="D193" s="653"/>
      <c r="E193" s="653"/>
      <c r="F193" s="653"/>
      <c r="G193" s="653"/>
      <c r="H193" s="653"/>
      <c r="I193" s="653"/>
      <c r="J193" s="653"/>
      <c r="K193" s="653"/>
      <c r="L193" s="653"/>
      <c r="M193" s="651">
        <v>2</v>
      </c>
      <c r="N193" s="909">
        <f t="shared" ca="1" si="124"/>
        <v>0</v>
      </c>
      <c r="O193" s="909">
        <f t="shared" ca="1" si="125"/>
        <v>0</v>
      </c>
      <c r="P193" s="909">
        <f t="shared" ca="1" si="126"/>
        <v>0</v>
      </c>
      <c r="Q193" s="910">
        <f t="shared" ca="1" si="127"/>
        <v>0</v>
      </c>
      <c r="R193" s="909">
        <f t="shared" ca="1" si="128"/>
        <v>192809.16793014269</v>
      </c>
      <c r="S193" s="909">
        <f t="shared" ca="1" si="129"/>
        <v>97959.833549755727</v>
      </c>
      <c r="T193" s="909">
        <f t="shared" ca="1" si="130"/>
        <v>94849.334380386965</v>
      </c>
      <c r="U193" s="909">
        <f t="shared" ca="1" si="131"/>
        <v>3170478.4506114707</v>
      </c>
      <c r="V193" s="909">
        <f t="shared" ca="1" si="132"/>
        <v>8640</v>
      </c>
      <c r="W193" s="909">
        <f t="shared" ca="1" si="133"/>
        <v>7184.6589840000006</v>
      </c>
      <c r="X193" s="909">
        <f t="shared" ca="1" si="134"/>
        <v>208633.8269141427</v>
      </c>
      <c r="Y193" s="909">
        <f t="shared" si="135"/>
        <v>0</v>
      </c>
      <c r="Z193" s="910">
        <f t="shared" si="136"/>
        <v>0</v>
      </c>
      <c r="AA193" s="909">
        <f t="shared" ca="1" si="137"/>
        <v>0</v>
      </c>
      <c r="AB193" s="910">
        <f t="shared" ca="1" si="138"/>
        <v>0</v>
      </c>
      <c r="AC193" s="911">
        <f t="shared" ca="1" si="139"/>
        <v>131098.92291414272</v>
      </c>
      <c r="AD193" s="911">
        <f t="shared" ca="1" si="140"/>
        <v>264819.82428656833</v>
      </c>
      <c r="AE193" s="909">
        <f t="shared" ca="1" si="141"/>
        <v>0</v>
      </c>
      <c r="AF193" s="912">
        <f t="shared" ca="1" si="108"/>
        <v>0</v>
      </c>
      <c r="AG193" s="909">
        <f t="shared" si="142"/>
        <v>77534.903999999995</v>
      </c>
      <c r="AH193" s="917">
        <f t="shared" ca="1" si="143"/>
        <v>208633.8269141427</v>
      </c>
      <c r="AI193" s="909">
        <f t="shared" ca="1" si="144"/>
        <v>-208633.8269141427</v>
      </c>
      <c r="AJ193" s="916">
        <f t="shared" ca="1" si="145"/>
        <v>-131098.92291414272</v>
      </c>
      <c r="AK193" s="916">
        <f t="shared" ca="1" si="146"/>
        <v>-77534.90399999998</v>
      </c>
      <c r="AL193" s="909">
        <f t="shared" ca="1" si="147"/>
        <v>1.4551915228366852E-11</v>
      </c>
      <c r="AM193" s="918">
        <f t="shared" ca="1" si="148"/>
        <v>208633.8269141427</v>
      </c>
      <c r="AN193" s="915">
        <f t="shared" si="109"/>
        <v>2</v>
      </c>
      <c r="AO193" s="653">
        <f t="shared" si="149"/>
        <v>77534.903999999995</v>
      </c>
      <c r="AP193" s="916">
        <f t="shared" ca="1" si="150"/>
        <v>0</v>
      </c>
      <c r="AQ193" s="916">
        <f t="shared" si="151"/>
        <v>0</v>
      </c>
      <c r="AR193" s="653"/>
      <c r="AS193" s="653">
        <v>2</v>
      </c>
      <c r="AT193" s="909">
        <f t="shared" ca="1" si="110"/>
        <v>0</v>
      </c>
      <c r="AU193" s="909">
        <f t="shared" ca="1" si="111"/>
        <v>-181741.13293443556</v>
      </c>
      <c r="AV193" s="909">
        <f t="shared" ca="1" si="112"/>
        <v>-14916.258821755115</v>
      </c>
      <c r="AW193" s="909">
        <f t="shared" si="113"/>
        <v>0</v>
      </c>
      <c r="AX193" s="909">
        <f t="shared" ca="1" si="114"/>
        <v>123573.30843071234</v>
      </c>
      <c r="AY193" s="909">
        <f t="shared" si="115"/>
        <v>73084.083325478365</v>
      </c>
      <c r="AZ193" s="909">
        <f t="shared" ca="1" si="116"/>
        <v>-73084.08332547835</v>
      </c>
      <c r="BA193" s="653"/>
      <c r="BB193" s="653">
        <f t="shared" si="152"/>
        <v>2</v>
      </c>
      <c r="BC193" s="909">
        <f t="shared" ca="1" si="153"/>
        <v>0</v>
      </c>
      <c r="BD193" s="909">
        <f t="shared" ca="1" si="154"/>
        <v>-368934.49985690421</v>
      </c>
      <c r="BE193" s="909">
        <f t="shared" ca="1" si="155"/>
        <v>-30280.005408162884</v>
      </c>
      <c r="BF193" s="909">
        <f t="shared" si="156"/>
        <v>0</v>
      </c>
      <c r="BG193" s="909">
        <f t="shared" ca="1" si="157"/>
        <v>250853.81611434603</v>
      </c>
      <c r="BH193" s="909">
        <f t="shared" si="158"/>
        <v>148361.68915072107</v>
      </c>
      <c r="BI193" s="909">
        <f t="shared" ca="1" si="159"/>
        <v>-148360.68915072107</v>
      </c>
      <c r="BJ193" s="909"/>
      <c r="BK193" s="653">
        <v>2</v>
      </c>
      <c r="BL193" s="909">
        <f t="shared" ca="1" si="117"/>
        <v>0</v>
      </c>
      <c r="BM193" s="909">
        <f t="shared" ca="1" si="118"/>
        <v>-192809.16793014269</v>
      </c>
      <c r="BN193" s="909">
        <f t="shared" ca="1" si="119"/>
        <v>-15824.658984000002</v>
      </c>
      <c r="BO193" s="909">
        <f t="shared" si="120"/>
        <v>0</v>
      </c>
      <c r="BP193" s="909">
        <f t="shared" ca="1" si="121"/>
        <v>131098.92291414272</v>
      </c>
      <c r="BQ193" s="909">
        <f t="shared" si="122"/>
        <v>77534.903999999995</v>
      </c>
      <c r="BR193" s="909">
        <f t="shared" ca="1" si="123"/>
        <v>-77534.90399999998</v>
      </c>
      <c r="BS193" s="653"/>
      <c r="BT193" s="653"/>
      <c r="BU193" s="653"/>
      <c r="BV193" s="654"/>
    </row>
    <row r="194" spans="2:74" x14ac:dyDescent="0.25">
      <c r="B194" s="651"/>
      <c r="C194" s="653"/>
      <c r="D194" s="653"/>
      <c r="E194" s="653"/>
      <c r="F194" s="653"/>
      <c r="G194" s="653"/>
      <c r="H194" s="653"/>
      <c r="I194" s="653"/>
      <c r="J194" s="653"/>
      <c r="K194" s="653"/>
      <c r="L194" s="653"/>
      <c r="M194" s="651">
        <v>3</v>
      </c>
      <c r="N194" s="909">
        <f t="shared" ca="1" si="124"/>
        <v>0</v>
      </c>
      <c r="O194" s="909">
        <f t="shared" ca="1" si="125"/>
        <v>0</v>
      </c>
      <c r="P194" s="909">
        <f t="shared" ca="1" si="126"/>
        <v>0</v>
      </c>
      <c r="Q194" s="910">
        <f t="shared" ca="1" si="127"/>
        <v>0</v>
      </c>
      <c r="R194" s="909">
        <f t="shared" ca="1" si="128"/>
        <v>192809.16793014269</v>
      </c>
      <c r="S194" s="909">
        <f t="shared" ca="1" si="129"/>
        <v>95114.353518344113</v>
      </c>
      <c r="T194" s="909">
        <f t="shared" ca="1" si="130"/>
        <v>97694.814411798579</v>
      </c>
      <c r="U194" s="909">
        <f t="shared" ca="1" si="131"/>
        <v>3072783.6361996722</v>
      </c>
      <c r="V194" s="909">
        <f t="shared" ca="1" si="132"/>
        <v>8640</v>
      </c>
      <c r="W194" s="909">
        <f t="shared" ca="1" si="133"/>
        <v>7184.6589840000006</v>
      </c>
      <c r="X194" s="909">
        <f t="shared" ca="1" si="134"/>
        <v>208633.8269141427</v>
      </c>
      <c r="Y194" s="909">
        <f t="shared" si="135"/>
        <v>0</v>
      </c>
      <c r="Z194" s="910">
        <f t="shared" si="136"/>
        <v>0</v>
      </c>
      <c r="AA194" s="909">
        <f t="shared" ca="1" si="137"/>
        <v>0</v>
      </c>
      <c r="AB194" s="910">
        <f t="shared" ca="1" si="138"/>
        <v>0</v>
      </c>
      <c r="AC194" s="911">
        <f t="shared" ca="1" si="139"/>
        <v>131098.92291414272</v>
      </c>
      <c r="AD194" s="911">
        <f t="shared" ca="1" si="140"/>
        <v>401215.1436864424</v>
      </c>
      <c r="AE194" s="909">
        <f t="shared" ca="1" si="141"/>
        <v>0</v>
      </c>
      <c r="AF194" s="912">
        <f t="shared" ca="1" si="108"/>
        <v>0</v>
      </c>
      <c r="AG194" s="909">
        <f t="shared" si="142"/>
        <v>77534.903999999995</v>
      </c>
      <c r="AH194" s="917">
        <f t="shared" ca="1" si="143"/>
        <v>208633.8269141427</v>
      </c>
      <c r="AI194" s="909">
        <f t="shared" ca="1" si="144"/>
        <v>-208633.8269141427</v>
      </c>
      <c r="AJ194" s="916">
        <f t="shared" ca="1" si="145"/>
        <v>-131098.92291414272</v>
      </c>
      <c r="AK194" s="916">
        <f t="shared" ca="1" si="146"/>
        <v>-77534.90399999998</v>
      </c>
      <c r="AL194" s="909">
        <f t="shared" ca="1" si="147"/>
        <v>1.4551915228366852E-11</v>
      </c>
      <c r="AM194" s="918">
        <f t="shared" ca="1" si="148"/>
        <v>208633.8269141427</v>
      </c>
      <c r="AN194" s="915">
        <f t="shared" si="109"/>
        <v>3</v>
      </c>
      <c r="AO194" s="653">
        <f t="shared" si="149"/>
        <v>77534.903999999995</v>
      </c>
      <c r="AP194" s="916">
        <f t="shared" ca="1" si="150"/>
        <v>0</v>
      </c>
      <c r="AQ194" s="916">
        <f t="shared" si="151"/>
        <v>0</v>
      </c>
      <c r="AR194" s="653"/>
      <c r="AS194" s="653">
        <v>3</v>
      </c>
      <c r="AT194" s="909">
        <f t="shared" ca="1" si="110"/>
        <v>0</v>
      </c>
      <c r="AU194" s="909">
        <f t="shared" ca="1" si="111"/>
        <v>-176447.70187809278</v>
      </c>
      <c r="AV194" s="909">
        <f t="shared" ca="1" si="112"/>
        <v>-14481.804681315647</v>
      </c>
      <c r="AW194" s="909">
        <f t="shared" si="113"/>
        <v>0</v>
      </c>
      <c r="AX194" s="909">
        <f t="shared" ca="1" si="114"/>
        <v>119974.08585506053</v>
      </c>
      <c r="AY194" s="909">
        <f t="shared" si="115"/>
        <v>70955.420704347925</v>
      </c>
      <c r="AZ194" s="909">
        <f t="shared" ca="1" si="116"/>
        <v>-70955.420704347882</v>
      </c>
      <c r="BA194" s="653"/>
      <c r="BB194" s="653">
        <f t="shared" si="152"/>
        <v>3</v>
      </c>
      <c r="BC194" s="909">
        <f t="shared" ca="1" si="153"/>
        <v>0</v>
      </c>
      <c r="BD194" s="909">
        <f t="shared" ca="1" si="154"/>
        <v>-545382.20173499698</v>
      </c>
      <c r="BE194" s="909">
        <f t="shared" ca="1" si="155"/>
        <v>-44761.810089478531</v>
      </c>
      <c r="BF194" s="909">
        <f t="shared" si="156"/>
        <v>0</v>
      </c>
      <c r="BG194" s="909">
        <f t="shared" ca="1" si="157"/>
        <v>370827.90196940658</v>
      </c>
      <c r="BH194" s="909">
        <f t="shared" si="158"/>
        <v>219317.10985506899</v>
      </c>
      <c r="BI194" s="909">
        <f t="shared" ca="1" si="159"/>
        <v>-219316.10985506896</v>
      </c>
      <c r="BJ194" s="909"/>
      <c r="BK194" s="653">
        <v>3</v>
      </c>
      <c r="BL194" s="909">
        <f t="shared" ca="1" si="117"/>
        <v>0</v>
      </c>
      <c r="BM194" s="909">
        <f t="shared" ca="1" si="118"/>
        <v>-192809.16793014269</v>
      </c>
      <c r="BN194" s="909">
        <f t="shared" ca="1" si="119"/>
        <v>-15824.658984000002</v>
      </c>
      <c r="BO194" s="909">
        <f t="shared" si="120"/>
        <v>0</v>
      </c>
      <c r="BP194" s="909">
        <f t="shared" ca="1" si="121"/>
        <v>131098.92291414272</v>
      </c>
      <c r="BQ194" s="909">
        <f t="shared" si="122"/>
        <v>77534.903999999995</v>
      </c>
      <c r="BR194" s="909">
        <f t="shared" ca="1" si="123"/>
        <v>-77534.90399999998</v>
      </c>
      <c r="BS194" s="653"/>
      <c r="BT194" s="653"/>
      <c r="BU194" s="653"/>
      <c r="BV194" s="654"/>
    </row>
    <row r="195" spans="2:74" x14ac:dyDescent="0.25">
      <c r="B195" s="651"/>
      <c r="C195" s="653"/>
      <c r="D195" s="653"/>
      <c r="E195" s="653"/>
      <c r="F195" s="653"/>
      <c r="G195" s="653"/>
      <c r="H195" s="653"/>
      <c r="I195" s="653"/>
      <c r="J195" s="653"/>
      <c r="K195" s="653"/>
      <c r="L195" s="653"/>
      <c r="M195" s="651">
        <v>4</v>
      </c>
      <c r="N195" s="909">
        <f t="shared" ca="1" si="124"/>
        <v>0</v>
      </c>
      <c r="O195" s="909">
        <f t="shared" ca="1" si="125"/>
        <v>0</v>
      </c>
      <c r="P195" s="909">
        <f t="shared" ca="1" si="126"/>
        <v>0</v>
      </c>
      <c r="Q195" s="910">
        <f t="shared" ca="1" si="127"/>
        <v>0</v>
      </c>
      <c r="R195" s="909">
        <f t="shared" ca="1" si="128"/>
        <v>192809.16793014269</v>
      </c>
      <c r="S195" s="909">
        <f t="shared" ca="1" si="129"/>
        <v>92183.509085990168</v>
      </c>
      <c r="T195" s="909">
        <f t="shared" ca="1" si="130"/>
        <v>100625.65884415252</v>
      </c>
      <c r="U195" s="909">
        <f t="shared" ca="1" si="131"/>
        <v>2972157.9773555198</v>
      </c>
      <c r="V195" s="909">
        <f t="shared" ca="1" si="132"/>
        <v>8640</v>
      </c>
      <c r="W195" s="909">
        <f t="shared" ca="1" si="133"/>
        <v>7184.6589840000006</v>
      </c>
      <c r="X195" s="909">
        <f t="shared" ca="1" si="134"/>
        <v>208633.8269141427</v>
      </c>
      <c r="Y195" s="909">
        <f t="shared" si="135"/>
        <v>0</v>
      </c>
      <c r="Z195" s="910">
        <f t="shared" si="136"/>
        <v>0</v>
      </c>
      <c r="AA195" s="909">
        <f t="shared" ca="1" si="137"/>
        <v>0</v>
      </c>
      <c r="AB195" s="910">
        <f t="shared" ca="1" si="138"/>
        <v>0</v>
      </c>
      <c r="AC195" s="911">
        <f t="shared" ca="1" si="139"/>
        <v>131098.92291414272</v>
      </c>
      <c r="AD195" s="911">
        <f t="shared" ca="1" si="140"/>
        <v>540338.36947431392</v>
      </c>
      <c r="AE195" s="909">
        <f t="shared" ca="1" si="141"/>
        <v>0</v>
      </c>
      <c r="AF195" s="912">
        <f t="shared" ca="1" si="108"/>
        <v>0</v>
      </c>
      <c r="AG195" s="909">
        <f t="shared" si="142"/>
        <v>77534.903999999995</v>
      </c>
      <c r="AH195" s="917">
        <f t="shared" ca="1" si="143"/>
        <v>208633.8269141427</v>
      </c>
      <c r="AI195" s="909">
        <f t="shared" ca="1" si="144"/>
        <v>-208633.8269141427</v>
      </c>
      <c r="AJ195" s="916">
        <f t="shared" ca="1" si="145"/>
        <v>-131098.92291414272</v>
      </c>
      <c r="AK195" s="916">
        <f t="shared" ca="1" si="146"/>
        <v>-77534.90399999998</v>
      </c>
      <c r="AL195" s="909">
        <f t="shared" ca="1" si="147"/>
        <v>1.4551915228366852E-11</v>
      </c>
      <c r="AM195" s="918">
        <f t="shared" ca="1" si="148"/>
        <v>208633.8269141427</v>
      </c>
      <c r="AN195" s="915">
        <f t="shared" si="109"/>
        <v>4</v>
      </c>
      <c r="AO195" s="653">
        <f t="shared" si="149"/>
        <v>77534.903999999995</v>
      </c>
      <c r="AP195" s="916">
        <f t="shared" ca="1" si="150"/>
        <v>0</v>
      </c>
      <c r="AQ195" s="916">
        <f t="shared" si="151"/>
        <v>0</v>
      </c>
      <c r="AR195" s="653"/>
      <c r="AS195" s="653">
        <v>4</v>
      </c>
      <c r="AT195" s="909">
        <f t="shared" ca="1" si="110"/>
        <v>0</v>
      </c>
      <c r="AU195" s="909">
        <f t="shared" ca="1" si="111"/>
        <v>-171308.44842533281</v>
      </c>
      <c r="AV195" s="909">
        <f t="shared" ca="1" si="112"/>
        <v>-14060.004544966649</v>
      </c>
      <c r="AW195" s="909">
        <f t="shared" si="113"/>
        <v>0</v>
      </c>
      <c r="AX195" s="909">
        <f t="shared" ca="1" si="114"/>
        <v>116479.69500491314</v>
      </c>
      <c r="AY195" s="909">
        <f t="shared" si="115"/>
        <v>68888.757965386336</v>
      </c>
      <c r="AZ195" s="909">
        <f t="shared" ca="1" si="116"/>
        <v>-68888.757965386321</v>
      </c>
      <c r="BA195" s="653"/>
      <c r="BB195" s="653">
        <f t="shared" si="152"/>
        <v>4</v>
      </c>
      <c r="BC195" s="909">
        <f t="shared" ca="1" si="153"/>
        <v>0</v>
      </c>
      <c r="BD195" s="909">
        <f t="shared" ca="1" si="154"/>
        <v>-716690.65016032977</v>
      </c>
      <c r="BE195" s="909">
        <f t="shared" ca="1" si="155"/>
        <v>-58821.814634445182</v>
      </c>
      <c r="BF195" s="909">
        <f t="shared" si="156"/>
        <v>0</v>
      </c>
      <c r="BG195" s="909">
        <f t="shared" ca="1" si="157"/>
        <v>487307.59697431972</v>
      </c>
      <c r="BH195" s="909">
        <f t="shared" si="158"/>
        <v>288205.86782045534</v>
      </c>
      <c r="BI195" s="909">
        <f t="shared" ca="1" si="159"/>
        <v>-288204.86782045529</v>
      </c>
      <c r="BJ195" s="909"/>
      <c r="BK195" s="653">
        <v>4</v>
      </c>
      <c r="BL195" s="909">
        <f t="shared" ca="1" si="117"/>
        <v>0</v>
      </c>
      <c r="BM195" s="909">
        <f t="shared" ca="1" si="118"/>
        <v>-192809.16793014269</v>
      </c>
      <c r="BN195" s="909">
        <f t="shared" ca="1" si="119"/>
        <v>-15824.658984000002</v>
      </c>
      <c r="BO195" s="909">
        <f t="shared" si="120"/>
        <v>0</v>
      </c>
      <c r="BP195" s="909">
        <f t="shared" ca="1" si="121"/>
        <v>131098.92291414272</v>
      </c>
      <c r="BQ195" s="909">
        <f t="shared" si="122"/>
        <v>77534.903999999995</v>
      </c>
      <c r="BR195" s="909">
        <f t="shared" ca="1" si="123"/>
        <v>-77534.90399999998</v>
      </c>
      <c r="BS195" s="653"/>
      <c r="BT195" s="653"/>
      <c r="BU195" s="653"/>
      <c r="BV195" s="654"/>
    </row>
    <row r="196" spans="2:74" x14ac:dyDescent="0.25">
      <c r="B196" s="651"/>
      <c r="C196" s="653"/>
      <c r="D196" s="653"/>
      <c r="E196" s="653"/>
      <c r="F196" s="653"/>
      <c r="G196" s="653"/>
      <c r="H196" s="653"/>
      <c r="I196" s="653"/>
      <c r="J196" s="653"/>
      <c r="K196" s="653"/>
      <c r="L196" s="653"/>
      <c r="M196" s="651">
        <v>5</v>
      </c>
      <c r="N196" s="909">
        <f t="shared" ca="1" si="124"/>
        <v>0</v>
      </c>
      <c r="O196" s="909">
        <f t="shared" ca="1" si="125"/>
        <v>0</v>
      </c>
      <c r="P196" s="909">
        <f t="shared" ca="1" si="126"/>
        <v>0</v>
      </c>
      <c r="Q196" s="910">
        <f t="shared" ca="1" si="127"/>
        <v>0</v>
      </c>
      <c r="R196" s="909">
        <f t="shared" ca="1" si="128"/>
        <v>192809.16793014269</v>
      </c>
      <c r="S196" s="909">
        <f t="shared" ca="1" si="129"/>
        <v>89164.739320665583</v>
      </c>
      <c r="T196" s="909">
        <f t="shared" ca="1" si="130"/>
        <v>103644.42860947711</v>
      </c>
      <c r="U196" s="909">
        <f t="shared" ca="1" si="131"/>
        <v>2868513.5487460429</v>
      </c>
      <c r="V196" s="909">
        <f t="shared" ca="1" si="132"/>
        <v>8640</v>
      </c>
      <c r="W196" s="909">
        <f t="shared" ca="1" si="133"/>
        <v>7184.6589840000006</v>
      </c>
      <c r="X196" s="909">
        <f t="shared" ca="1" si="134"/>
        <v>208633.8269141427</v>
      </c>
      <c r="Y196" s="909">
        <f t="shared" si="135"/>
        <v>0</v>
      </c>
      <c r="Z196" s="910">
        <f t="shared" si="136"/>
        <v>0</v>
      </c>
      <c r="AA196" s="909">
        <f t="shared" ca="1" si="137"/>
        <v>0</v>
      </c>
      <c r="AB196" s="910">
        <f t="shared" ca="1" si="138"/>
        <v>0</v>
      </c>
      <c r="AC196" s="911">
        <f t="shared" ca="1" si="139"/>
        <v>131098.92291414272</v>
      </c>
      <c r="AD196" s="911">
        <f t="shared" ca="1" si="140"/>
        <v>682244.05977794295</v>
      </c>
      <c r="AE196" s="909">
        <f t="shared" ca="1" si="141"/>
        <v>0</v>
      </c>
      <c r="AF196" s="912">
        <f t="shared" ca="1" si="108"/>
        <v>0</v>
      </c>
      <c r="AG196" s="909">
        <f t="shared" si="142"/>
        <v>77534.903999999995</v>
      </c>
      <c r="AH196" s="917">
        <f t="shared" ca="1" si="143"/>
        <v>208633.8269141427</v>
      </c>
      <c r="AI196" s="909">
        <f t="shared" ca="1" si="144"/>
        <v>-208633.8269141427</v>
      </c>
      <c r="AJ196" s="916">
        <f t="shared" ca="1" si="145"/>
        <v>-131098.92291414272</v>
      </c>
      <c r="AK196" s="916">
        <f t="shared" ca="1" si="146"/>
        <v>-77534.90399999998</v>
      </c>
      <c r="AL196" s="909">
        <f t="shared" ca="1" si="147"/>
        <v>1.4551915228366852E-11</v>
      </c>
      <c r="AM196" s="918">
        <f t="shared" ca="1" si="148"/>
        <v>208633.8269141427</v>
      </c>
      <c r="AN196" s="915">
        <f t="shared" si="109"/>
        <v>5</v>
      </c>
      <c r="AO196" s="653">
        <f t="shared" si="149"/>
        <v>77534.903999999995</v>
      </c>
      <c r="AP196" s="916">
        <f t="shared" ca="1" si="150"/>
        <v>0</v>
      </c>
      <c r="AQ196" s="916">
        <f t="shared" si="151"/>
        <v>0</v>
      </c>
      <c r="AR196" s="653"/>
      <c r="AS196" s="653">
        <v>5</v>
      </c>
      <c r="AT196" s="909">
        <f t="shared" ca="1" si="110"/>
        <v>0</v>
      </c>
      <c r="AU196" s="909">
        <f t="shared" ca="1" si="111"/>
        <v>-166318.88196634254</v>
      </c>
      <c r="AV196" s="909">
        <f t="shared" ca="1" si="112"/>
        <v>-13650.489849482183</v>
      </c>
      <c r="AW196" s="909">
        <f t="shared" si="113"/>
        <v>0</v>
      </c>
      <c r="AX196" s="909">
        <f t="shared" ca="1" si="114"/>
        <v>113087.08252904189</v>
      </c>
      <c r="AY196" s="909">
        <f t="shared" si="115"/>
        <v>66882.289286782863</v>
      </c>
      <c r="AZ196" s="909">
        <f t="shared" ca="1" si="116"/>
        <v>-66882.28928678282</v>
      </c>
      <c r="BA196" s="653"/>
      <c r="BB196" s="653">
        <f t="shared" si="152"/>
        <v>5</v>
      </c>
      <c r="BC196" s="909">
        <f t="shared" ca="1" si="153"/>
        <v>0</v>
      </c>
      <c r="BD196" s="909">
        <f t="shared" ca="1" si="154"/>
        <v>-883009.53212667233</v>
      </c>
      <c r="BE196" s="909">
        <f t="shared" ca="1" si="155"/>
        <v>-72472.304483927364</v>
      </c>
      <c r="BF196" s="909">
        <f t="shared" si="156"/>
        <v>0</v>
      </c>
      <c r="BG196" s="909">
        <f t="shared" ca="1" si="157"/>
        <v>600394.67950336158</v>
      </c>
      <c r="BH196" s="909">
        <f t="shared" si="158"/>
        <v>355088.15710723819</v>
      </c>
      <c r="BI196" s="909">
        <f t="shared" ca="1" si="159"/>
        <v>-355087.15710723808</v>
      </c>
      <c r="BJ196" s="909"/>
      <c r="BK196" s="653">
        <v>5</v>
      </c>
      <c r="BL196" s="909">
        <f t="shared" ca="1" si="117"/>
        <v>0</v>
      </c>
      <c r="BM196" s="909">
        <f t="shared" ca="1" si="118"/>
        <v>-192809.16793014269</v>
      </c>
      <c r="BN196" s="909">
        <f t="shared" ca="1" si="119"/>
        <v>-15824.658984000002</v>
      </c>
      <c r="BO196" s="909">
        <f t="shared" si="120"/>
        <v>0</v>
      </c>
      <c r="BP196" s="909">
        <f t="shared" ca="1" si="121"/>
        <v>131098.92291414272</v>
      </c>
      <c r="BQ196" s="909">
        <f t="shared" si="122"/>
        <v>77534.903999999995</v>
      </c>
      <c r="BR196" s="909">
        <f t="shared" ca="1" si="123"/>
        <v>-77534.90399999998</v>
      </c>
      <c r="BS196" s="653"/>
      <c r="BT196" s="653"/>
      <c r="BU196" s="653"/>
      <c r="BV196" s="654"/>
    </row>
    <row r="197" spans="2:74" x14ac:dyDescent="0.25">
      <c r="B197" s="651"/>
      <c r="C197" s="653"/>
      <c r="D197" s="653"/>
      <c r="E197" s="653"/>
      <c r="F197" s="653"/>
      <c r="G197" s="653"/>
      <c r="H197" s="653"/>
      <c r="I197" s="653"/>
      <c r="J197" s="653"/>
      <c r="K197" s="653"/>
      <c r="L197" s="653"/>
      <c r="M197" s="651">
        <v>6</v>
      </c>
      <c r="N197" s="909">
        <f t="shared" ca="1" si="124"/>
        <v>0</v>
      </c>
      <c r="O197" s="909">
        <f t="shared" ca="1" si="125"/>
        <v>0</v>
      </c>
      <c r="P197" s="909">
        <f t="shared" ca="1" si="126"/>
        <v>0</v>
      </c>
      <c r="Q197" s="910">
        <f t="shared" ca="1" si="127"/>
        <v>0</v>
      </c>
      <c r="R197" s="909">
        <f t="shared" ca="1" si="128"/>
        <v>192809.16793014269</v>
      </c>
      <c r="S197" s="909">
        <f t="shared" ca="1" si="129"/>
        <v>86055.406462381288</v>
      </c>
      <c r="T197" s="909">
        <f t="shared" ca="1" si="130"/>
        <v>106753.7614677614</v>
      </c>
      <c r="U197" s="909">
        <f t="shared" ca="1" si="131"/>
        <v>2761759.7872782815</v>
      </c>
      <c r="V197" s="909">
        <f t="shared" ca="1" si="132"/>
        <v>8640</v>
      </c>
      <c r="W197" s="909">
        <f t="shared" ca="1" si="133"/>
        <v>7184.6589840000006</v>
      </c>
      <c r="X197" s="909">
        <f t="shared" ca="1" si="134"/>
        <v>208633.8269141427</v>
      </c>
      <c r="Y197" s="909">
        <f t="shared" si="135"/>
        <v>0</v>
      </c>
      <c r="Z197" s="910">
        <f t="shared" si="136"/>
        <v>0</v>
      </c>
      <c r="AA197" s="909">
        <f t="shared" ca="1" si="137"/>
        <v>0</v>
      </c>
      <c r="AB197" s="910">
        <f t="shared" ca="1" si="138"/>
        <v>0</v>
      </c>
      <c r="AC197" s="911">
        <f t="shared" ca="1" si="139"/>
        <v>131098.92291414272</v>
      </c>
      <c r="AD197" s="911">
        <f t="shared" ca="1" si="140"/>
        <v>826987.86388764449</v>
      </c>
      <c r="AE197" s="909">
        <f t="shared" ca="1" si="141"/>
        <v>0</v>
      </c>
      <c r="AF197" s="912">
        <f t="shared" ca="1" si="108"/>
        <v>0</v>
      </c>
      <c r="AG197" s="909">
        <f t="shared" si="142"/>
        <v>77534.903999999995</v>
      </c>
      <c r="AH197" s="917">
        <f t="shared" ca="1" si="143"/>
        <v>208633.8269141427</v>
      </c>
      <c r="AI197" s="909">
        <f t="shared" ca="1" si="144"/>
        <v>-208633.8269141427</v>
      </c>
      <c r="AJ197" s="916">
        <f t="shared" ca="1" si="145"/>
        <v>-131098.92291414272</v>
      </c>
      <c r="AK197" s="916">
        <f t="shared" ca="1" si="146"/>
        <v>-77534.90399999998</v>
      </c>
      <c r="AL197" s="909">
        <f t="shared" ca="1" si="147"/>
        <v>1.4551915228366852E-11</v>
      </c>
      <c r="AM197" s="918">
        <f t="shared" ca="1" si="148"/>
        <v>208633.8269141427</v>
      </c>
      <c r="AN197" s="915">
        <f t="shared" si="109"/>
        <v>6</v>
      </c>
      <c r="AO197" s="653">
        <f t="shared" si="149"/>
        <v>77534.903999999995</v>
      </c>
      <c r="AP197" s="916">
        <f t="shared" ca="1" si="150"/>
        <v>0</v>
      </c>
      <c r="AQ197" s="916">
        <f t="shared" si="151"/>
        <v>0</v>
      </c>
      <c r="AR197" s="653"/>
      <c r="AS197" s="653">
        <v>6</v>
      </c>
      <c r="AT197" s="909">
        <f t="shared" ca="1" si="110"/>
        <v>0</v>
      </c>
      <c r="AU197" s="909">
        <f t="shared" ca="1" si="111"/>
        <v>-161474.64268576945</v>
      </c>
      <c r="AV197" s="909">
        <f t="shared" ca="1" si="112"/>
        <v>-13252.902766487556</v>
      </c>
      <c r="AW197" s="909">
        <f t="shared" si="113"/>
        <v>0</v>
      </c>
      <c r="AX197" s="909">
        <f t="shared" ca="1" si="114"/>
        <v>109793.28400877853</v>
      </c>
      <c r="AY197" s="909">
        <f t="shared" si="115"/>
        <v>64934.261443478499</v>
      </c>
      <c r="AZ197" s="909">
        <f t="shared" ca="1" si="116"/>
        <v>-64934.261443478477</v>
      </c>
      <c r="BA197" s="653"/>
      <c r="BB197" s="653">
        <f t="shared" si="152"/>
        <v>6</v>
      </c>
      <c r="BC197" s="909">
        <f t="shared" ca="1" si="153"/>
        <v>0</v>
      </c>
      <c r="BD197" s="909">
        <f t="shared" ca="1" si="154"/>
        <v>-1044484.1748124418</v>
      </c>
      <c r="BE197" s="909">
        <f t="shared" ca="1" si="155"/>
        <v>-85725.207250414926</v>
      </c>
      <c r="BF197" s="909">
        <f t="shared" si="156"/>
        <v>0</v>
      </c>
      <c r="BG197" s="909">
        <f t="shared" ca="1" si="157"/>
        <v>710187.96351214009</v>
      </c>
      <c r="BH197" s="909">
        <f t="shared" si="158"/>
        <v>420022.41855071671</v>
      </c>
      <c r="BI197" s="909">
        <f t="shared" ca="1" si="159"/>
        <v>-420021.41855071654</v>
      </c>
      <c r="BJ197" s="909"/>
      <c r="BK197" s="653">
        <v>6</v>
      </c>
      <c r="BL197" s="909">
        <f t="shared" ca="1" si="117"/>
        <v>0</v>
      </c>
      <c r="BM197" s="909">
        <f t="shared" ca="1" si="118"/>
        <v>-192809.16793014269</v>
      </c>
      <c r="BN197" s="909">
        <f t="shared" ca="1" si="119"/>
        <v>-15824.658984000002</v>
      </c>
      <c r="BO197" s="909">
        <f t="shared" si="120"/>
        <v>0</v>
      </c>
      <c r="BP197" s="909">
        <f t="shared" ca="1" si="121"/>
        <v>131098.92291414272</v>
      </c>
      <c r="BQ197" s="909">
        <f t="shared" si="122"/>
        <v>77534.903999999995</v>
      </c>
      <c r="BR197" s="909">
        <f t="shared" ca="1" si="123"/>
        <v>-77534.90399999998</v>
      </c>
      <c r="BS197" s="653"/>
      <c r="BT197" s="653"/>
      <c r="BU197" s="653"/>
      <c r="BV197" s="654"/>
    </row>
    <row r="198" spans="2:74" x14ac:dyDescent="0.25">
      <c r="B198" s="651"/>
      <c r="C198" s="653"/>
      <c r="D198" s="653"/>
      <c r="E198" s="653"/>
      <c r="F198" s="653"/>
      <c r="G198" s="653"/>
      <c r="H198" s="653"/>
      <c r="I198" s="653"/>
      <c r="J198" s="653"/>
      <c r="K198" s="653"/>
      <c r="L198" s="653"/>
      <c r="M198" s="651">
        <v>7</v>
      </c>
      <c r="N198" s="909">
        <f t="shared" ca="1" si="124"/>
        <v>0</v>
      </c>
      <c r="O198" s="909">
        <f t="shared" ca="1" si="125"/>
        <v>0</v>
      </c>
      <c r="P198" s="909">
        <f t="shared" ca="1" si="126"/>
        <v>0</v>
      </c>
      <c r="Q198" s="910">
        <f t="shared" ca="1" si="127"/>
        <v>0</v>
      </c>
      <c r="R198" s="909">
        <f t="shared" ca="1" si="128"/>
        <v>192809.16793014269</v>
      </c>
      <c r="S198" s="909">
        <f t="shared" ca="1" si="129"/>
        <v>82852.793618348442</v>
      </c>
      <c r="T198" s="909">
        <f t="shared" ca="1" si="130"/>
        <v>109956.37431179425</v>
      </c>
      <c r="U198" s="909">
        <f t="shared" ca="1" si="131"/>
        <v>2651803.4129664875</v>
      </c>
      <c r="V198" s="909">
        <f t="shared" ca="1" si="132"/>
        <v>8640</v>
      </c>
      <c r="W198" s="909">
        <f t="shared" ca="1" si="133"/>
        <v>7184.6589840000006</v>
      </c>
      <c r="X198" s="909">
        <f t="shared" ca="1" si="134"/>
        <v>208633.8269141427</v>
      </c>
      <c r="Y198" s="909">
        <f t="shared" si="135"/>
        <v>0</v>
      </c>
      <c r="Z198" s="910">
        <f t="shared" si="136"/>
        <v>0</v>
      </c>
      <c r="AA198" s="909">
        <f t="shared" ca="1" si="137"/>
        <v>0</v>
      </c>
      <c r="AB198" s="910">
        <f t="shared" ca="1" si="138"/>
        <v>0</v>
      </c>
      <c r="AC198" s="911">
        <f t="shared" ca="1" si="139"/>
        <v>131098.92291414272</v>
      </c>
      <c r="AD198" s="911">
        <f t="shared" ca="1" si="140"/>
        <v>974626.54407954006</v>
      </c>
      <c r="AE198" s="909">
        <f t="shared" ca="1" si="141"/>
        <v>0</v>
      </c>
      <c r="AF198" s="912">
        <f t="shared" ca="1" si="108"/>
        <v>0</v>
      </c>
      <c r="AG198" s="909">
        <f t="shared" si="142"/>
        <v>77534.903999999995</v>
      </c>
      <c r="AH198" s="917">
        <f t="shared" ca="1" si="143"/>
        <v>208633.8269141427</v>
      </c>
      <c r="AI198" s="909">
        <f t="shared" ca="1" si="144"/>
        <v>-208633.8269141427</v>
      </c>
      <c r="AJ198" s="916">
        <f t="shared" ca="1" si="145"/>
        <v>-131098.92291414272</v>
      </c>
      <c r="AK198" s="916">
        <f t="shared" ca="1" si="146"/>
        <v>-77534.90399999998</v>
      </c>
      <c r="AL198" s="909">
        <f t="shared" ca="1" si="147"/>
        <v>1.4551915228366852E-11</v>
      </c>
      <c r="AM198" s="918">
        <f t="shared" ca="1" si="148"/>
        <v>208633.8269141427</v>
      </c>
      <c r="AN198" s="915">
        <f t="shared" si="109"/>
        <v>7</v>
      </c>
      <c r="AO198" s="653">
        <f t="shared" si="149"/>
        <v>77534.903999999995</v>
      </c>
      <c r="AP198" s="916">
        <f t="shared" ca="1" si="150"/>
        <v>0</v>
      </c>
      <c r="AQ198" s="916">
        <f t="shared" si="151"/>
        <v>0</v>
      </c>
      <c r="AR198" s="653"/>
      <c r="AS198" s="653">
        <v>7</v>
      </c>
      <c r="AT198" s="909">
        <f t="shared" ca="1" si="110"/>
        <v>0</v>
      </c>
      <c r="AU198" s="909">
        <f t="shared" ca="1" si="111"/>
        <v>-156771.49775317422</v>
      </c>
      <c r="AV198" s="909">
        <f t="shared" ca="1" si="112"/>
        <v>-12866.895889793743</v>
      </c>
      <c r="AW198" s="909">
        <f t="shared" si="113"/>
        <v>0</v>
      </c>
      <c r="AX198" s="909">
        <f t="shared" ca="1" si="114"/>
        <v>106595.42136774614</v>
      </c>
      <c r="AY198" s="909">
        <f t="shared" si="115"/>
        <v>63042.972275221844</v>
      </c>
      <c r="AZ198" s="909">
        <f t="shared" ca="1" si="116"/>
        <v>-63042.972275221837</v>
      </c>
      <c r="BA198" s="653"/>
      <c r="BB198" s="653">
        <f t="shared" si="152"/>
        <v>7</v>
      </c>
      <c r="BC198" s="909">
        <f t="shared" ca="1" si="153"/>
        <v>0</v>
      </c>
      <c r="BD198" s="909">
        <f t="shared" ca="1" si="154"/>
        <v>-1201255.672565616</v>
      </c>
      <c r="BE198" s="909">
        <f t="shared" ca="1" si="155"/>
        <v>-98592.103140208666</v>
      </c>
      <c r="BF198" s="909">
        <f t="shared" si="156"/>
        <v>0</v>
      </c>
      <c r="BG198" s="909">
        <f t="shared" ca="1" si="157"/>
        <v>816783.38487988617</v>
      </c>
      <c r="BH198" s="909">
        <f t="shared" si="158"/>
        <v>483065.39082593855</v>
      </c>
      <c r="BI198" s="909">
        <f t="shared" ca="1" si="159"/>
        <v>-483064.39082593838</v>
      </c>
      <c r="BJ198" s="909"/>
      <c r="BK198" s="653">
        <v>7</v>
      </c>
      <c r="BL198" s="909">
        <f t="shared" ca="1" si="117"/>
        <v>0</v>
      </c>
      <c r="BM198" s="909">
        <f t="shared" ca="1" si="118"/>
        <v>-192809.16793014269</v>
      </c>
      <c r="BN198" s="909">
        <f t="shared" ca="1" si="119"/>
        <v>-15824.658984000002</v>
      </c>
      <c r="BO198" s="909">
        <f t="shared" si="120"/>
        <v>0</v>
      </c>
      <c r="BP198" s="909">
        <f t="shared" ca="1" si="121"/>
        <v>131098.92291414272</v>
      </c>
      <c r="BQ198" s="909">
        <f t="shared" si="122"/>
        <v>77534.903999999995</v>
      </c>
      <c r="BR198" s="909">
        <f t="shared" ca="1" si="123"/>
        <v>-77534.90399999998</v>
      </c>
      <c r="BS198" s="653"/>
      <c r="BT198" s="653"/>
      <c r="BU198" s="653"/>
      <c r="BV198" s="654"/>
    </row>
    <row r="199" spans="2:74" x14ac:dyDescent="0.25">
      <c r="B199" s="651"/>
      <c r="C199" s="653"/>
      <c r="D199" s="653"/>
      <c r="E199" s="653"/>
      <c r="F199" s="653"/>
      <c r="G199" s="653"/>
      <c r="H199" s="653"/>
      <c r="I199" s="653"/>
      <c r="J199" s="653"/>
      <c r="K199" s="653"/>
      <c r="L199" s="653"/>
      <c r="M199" s="651">
        <v>8</v>
      </c>
      <c r="N199" s="909">
        <f t="shared" ca="1" si="124"/>
        <v>0</v>
      </c>
      <c r="O199" s="909">
        <f t="shared" ca="1" si="125"/>
        <v>0</v>
      </c>
      <c r="P199" s="909">
        <f t="shared" ca="1" si="126"/>
        <v>0</v>
      </c>
      <c r="Q199" s="910">
        <f t="shared" ca="1" si="127"/>
        <v>0</v>
      </c>
      <c r="R199" s="909">
        <f t="shared" ca="1" si="128"/>
        <v>192809.16793014269</v>
      </c>
      <c r="S199" s="909">
        <f t="shared" ca="1" si="129"/>
        <v>79554.102388994623</v>
      </c>
      <c r="T199" s="909">
        <f t="shared" ca="1" si="130"/>
        <v>113255.06554114807</v>
      </c>
      <c r="U199" s="909">
        <f t="shared" ca="1" si="131"/>
        <v>2538548.3474253393</v>
      </c>
      <c r="V199" s="909">
        <f t="shared" ca="1" si="132"/>
        <v>8640</v>
      </c>
      <c r="W199" s="909">
        <f t="shared" ca="1" si="133"/>
        <v>7184.6589840000006</v>
      </c>
      <c r="X199" s="909">
        <f t="shared" ca="1" si="134"/>
        <v>208633.8269141427</v>
      </c>
      <c r="Y199" s="909">
        <f t="shared" si="135"/>
        <v>0</v>
      </c>
      <c r="Z199" s="910">
        <f t="shared" si="136"/>
        <v>0</v>
      </c>
      <c r="AA199" s="909">
        <f t="shared" ca="1" si="137"/>
        <v>0</v>
      </c>
      <c r="AB199" s="910">
        <f t="shared" ca="1" si="138"/>
        <v>0</v>
      </c>
      <c r="AC199" s="911">
        <f t="shared" ca="1" si="139"/>
        <v>131098.92291414272</v>
      </c>
      <c r="AD199" s="911">
        <f t="shared" ca="1" si="140"/>
        <v>1125217.9978752737</v>
      </c>
      <c r="AE199" s="909">
        <f t="shared" ca="1" si="141"/>
        <v>0</v>
      </c>
      <c r="AF199" s="912">
        <f t="shared" ca="1" si="108"/>
        <v>0</v>
      </c>
      <c r="AG199" s="909">
        <f t="shared" si="142"/>
        <v>77534.903999999995</v>
      </c>
      <c r="AH199" s="917">
        <f t="shared" ca="1" si="143"/>
        <v>208633.8269141427</v>
      </c>
      <c r="AI199" s="909">
        <f t="shared" ca="1" si="144"/>
        <v>-208633.8269141427</v>
      </c>
      <c r="AJ199" s="916">
        <f t="shared" ca="1" si="145"/>
        <v>-131098.92291414272</v>
      </c>
      <c r="AK199" s="916">
        <f t="shared" ca="1" si="146"/>
        <v>-77534.90399999998</v>
      </c>
      <c r="AL199" s="909">
        <f t="shared" ca="1" si="147"/>
        <v>1.4551915228366852E-11</v>
      </c>
      <c r="AM199" s="918">
        <f t="shared" ca="1" si="148"/>
        <v>208633.8269141427</v>
      </c>
      <c r="AN199" s="915">
        <f t="shared" si="109"/>
        <v>8</v>
      </c>
      <c r="AO199" s="653">
        <f t="shared" si="149"/>
        <v>77534.903999999995</v>
      </c>
      <c r="AP199" s="916">
        <f t="shared" ca="1" si="150"/>
        <v>0</v>
      </c>
      <c r="AQ199" s="916">
        <f t="shared" si="151"/>
        <v>0</v>
      </c>
      <c r="AR199" s="653"/>
      <c r="AS199" s="653">
        <v>8</v>
      </c>
      <c r="AT199" s="909">
        <f t="shared" ca="1" si="110"/>
        <v>0</v>
      </c>
      <c r="AU199" s="909">
        <f t="shared" ca="1" si="111"/>
        <v>-152205.33762444099</v>
      </c>
      <c r="AV199" s="909">
        <f t="shared" ca="1" si="112"/>
        <v>-12492.131931838585</v>
      </c>
      <c r="AW199" s="909">
        <f t="shared" si="113"/>
        <v>0</v>
      </c>
      <c r="AX199" s="909">
        <f t="shared" ca="1" si="114"/>
        <v>103490.70035703509</v>
      </c>
      <c r="AY199" s="909">
        <f t="shared" si="115"/>
        <v>61206.769199244511</v>
      </c>
      <c r="AZ199" s="909">
        <f t="shared" ca="1" si="116"/>
        <v>-61206.769199244474</v>
      </c>
      <c r="BA199" s="653"/>
      <c r="BB199" s="653">
        <f t="shared" si="152"/>
        <v>8</v>
      </c>
      <c r="BC199" s="909">
        <f t="shared" ca="1" si="153"/>
        <v>0</v>
      </c>
      <c r="BD199" s="909">
        <f t="shared" ca="1" si="154"/>
        <v>-1353461.0101900569</v>
      </c>
      <c r="BE199" s="909">
        <f t="shared" ca="1" si="155"/>
        <v>-111084.23507204725</v>
      </c>
      <c r="BF199" s="909">
        <f t="shared" si="156"/>
        <v>0</v>
      </c>
      <c r="BG199" s="909">
        <f t="shared" ca="1" si="157"/>
        <v>920274.08523692121</v>
      </c>
      <c r="BH199" s="909">
        <f t="shared" si="158"/>
        <v>544272.16002518311</v>
      </c>
      <c r="BI199" s="909">
        <f t="shared" ca="1" si="159"/>
        <v>-544271.16002518288</v>
      </c>
      <c r="BJ199" s="909"/>
      <c r="BK199" s="653">
        <v>8</v>
      </c>
      <c r="BL199" s="909">
        <f t="shared" ca="1" si="117"/>
        <v>0</v>
      </c>
      <c r="BM199" s="909">
        <f t="shared" ca="1" si="118"/>
        <v>-192809.16793014269</v>
      </c>
      <c r="BN199" s="909">
        <f t="shared" ca="1" si="119"/>
        <v>-15824.658984000002</v>
      </c>
      <c r="BO199" s="909">
        <f t="shared" si="120"/>
        <v>0</v>
      </c>
      <c r="BP199" s="909">
        <f t="shared" ca="1" si="121"/>
        <v>131098.92291414272</v>
      </c>
      <c r="BQ199" s="909">
        <f t="shared" si="122"/>
        <v>77534.903999999995</v>
      </c>
      <c r="BR199" s="909">
        <f t="shared" ca="1" si="123"/>
        <v>-77534.90399999998</v>
      </c>
      <c r="BS199" s="653"/>
      <c r="BT199" s="653"/>
      <c r="BU199" s="653"/>
      <c r="BV199" s="654"/>
    </row>
    <row r="200" spans="2:74" x14ac:dyDescent="0.25">
      <c r="B200" s="651"/>
      <c r="C200" s="653"/>
      <c r="D200" s="653"/>
      <c r="E200" s="653"/>
      <c r="F200" s="653"/>
      <c r="G200" s="653"/>
      <c r="H200" s="653"/>
      <c r="I200" s="653"/>
      <c r="J200" s="653"/>
      <c r="K200" s="653"/>
      <c r="L200" s="653"/>
      <c r="M200" s="651">
        <v>9</v>
      </c>
      <c r="N200" s="909">
        <f t="shared" ca="1" si="124"/>
        <v>0</v>
      </c>
      <c r="O200" s="909">
        <f t="shared" ca="1" si="125"/>
        <v>0</v>
      </c>
      <c r="P200" s="909">
        <f t="shared" ca="1" si="126"/>
        <v>0</v>
      </c>
      <c r="Q200" s="910">
        <f t="shared" ca="1" si="127"/>
        <v>0</v>
      </c>
      <c r="R200" s="909">
        <f t="shared" ca="1" si="128"/>
        <v>192809.16793014269</v>
      </c>
      <c r="S200" s="909">
        <f t="shared" ca="1" si="129"/>
        <v>76156.450422760172</v>
      </c>
      <c r="T200" s="909">
        <f t="shared" ca="1" si="130"/>
        <v>116652.71750738252</v>
      </c>
      <c r="U200" s="909">
        <f t="shared" ca="1" si="131"/>
        <v>2421895.6299179569</v>
      </c>
      <c r="V200" s="909">
        <f t="shared" ca="1" si="132"/>
        <v>8640</v>
      </c>
      <c r="W200" s="909">
        <f t="shared" ca="1" si="133"/>
        <v>7184.6589840000006</v>
      </c>
      <c r="X200" s="909">
        <f t="shared" ca="1" si="134"/>
        <v>208633.8269141427</v>
      </c>
      <c r="Y200" s="909">
        <f t="shared" si="135"/>
        <v>0</v>
      </c>
      <c r="Z200" s="910">
        <f t="shared" si="136"/>
        <v>0</v>
      </c>
      <c r="AA200" s="909">
        <f t="shared" ca="1" si="137"/>
        <v>0</v>
      </c>
      <c r="AB200" s="910">
        <f t="shared" ca="1" si="138"/>
        <v>0</v>
      </c>
      <c r="AC200" s="911">
        <f t="shared" ca="1" si="139"/>
        <v>131098.92291414272</v>
      </c>
      <c r="AD200" s="911">
        <f t="shared" ca="1" si="140"/>
        <v>1278821.2807469219</v>
      </c>
      <c r="AE200" s="909">
        <f t="shared" ca="1" si="141"/>
        <v>0</v>
      </c>
      <c r="AF200" s="912">
        <f t="shared" ca="1" si="108"/>
        <v>0</v>
      </c>
      <c r="AG200" s="909">
        <f t="shared" si="142"/>
        <v>77534.903999999995</v>
      </c>
      <c r="AH200" s="917">
        <f t="shared" ca="1" si="143"/>
        <v>208633.8269141427</v>
      </c>
      <c r="AI200" s="909">
        <f t="shared" ca="1" si="144"/>
        <v>-208633.8269141427</v>
      </c>
      <c r="AJ200" s="916">
        <f t="shared" ca="1" si="145"/>
        <v>-131098.92291414272</v>
      </c>
      <c r="AK200" s="916">
        <f t="shared" ca="1" si="146"/>
        <v>-77534.90399999998</v>
      </c>
      <c r="AL200" s="909">
        <f t="shared" ca="1" si="147"/>
        <v>1.4551915228366852E-11</v>
      </c>
      <c r="AM200" s="918">
        <f t="shared" ca="1" si="148"/>
        <v>208633.8269141427</v>
      </c>
      <c r="AN200" s="915">
        <f t="shared" si="109"/>
        <v>9</v>
      </c>
      <c r="AO200" s="653">
        <f t="shared" si="149"/>
        <v>77534.903999999995</v>
      </c>
      <c r="AP200" s="916">
        <f t="shared" ca="1" si="150"/>
        <v>0</v>
      </c>
      <c r="AQ200" s="916">
        <f t="shared" si="151"/>
        <v>0</v>
      </c>
      <c r="AR200" s="909"/>
      <c r="AS200" s="653">
        <v>9</v>
      </c>
      <c r="AT200" s="909">
        <f t="shared" ca="1" si="110"/>
        <v>0</v>
      </c>
      <c r="AU200" s="909">
        <f t="shared" ca="1" si="111"/>
        <v>-147772.17245091358</v>
      </c>
      <c r="AV200" s="909">
        <f t="shared" ca="1" si="112"/>
        <v>-12128.2834289695</v>
      </c>
      <c r="AW200" s="909">
        <f t="shared" si="113"/>
        <v>0</v>
      </c>
      <c r="AX200" s="909">
        <f t="shared" ca="1" si="114"/>
        <v>100476.4081136263</v>
      </c>
      <c r="AY200" s="909">
        <f t="shared" si="115"/>
        <v>59424.047766256808</v>
      </c>
      <c r="AZ200" s="909">
        <f t="shared" ca="1" si="116"/>
        <v>-59424.047766256786</v>
      </c>
      <c r="BA200" s="653"/>
      <c r="BB200" s="653">
        <f t="shared" si="152"/>
        <v>9</v>
      </c>
      <c r="BC200" s="909">
        <f t="shared" ca="1" si="153"/>
        <v>0</v>
      </c>
      <c r="BD200" s="909">
        <f t="shared" ca="1" si="154"/>
        <v>-1501233.1826409705</v>
      </c>
      <c r="BE200" s="909">
        <f t="shared" ca="1" si="155"/>
        <v>-123212.51850101675</v>
      </c>
      <c r="BF200" s="909">
        <f t="shared" si="156"/>
        <v>0</v>
      </c>
      <c r="BG200" s="909">
        <f t="shared" ca="1" si="157"/>
        <v>1020750.4933505475</v>
      </c>
      <c r="BH200" s="909">
        <f t="shared" si="158"/>
        <v>603696.20779143996</v>
      </c>
      <c r="BI200" s="909">
        <f t="shared" ca="1" si="159"/>
        <v>-603695.20779143972</v>
      </c>
      <c r="BJ200" s="909"/>
      <c r="BK200" s="653">
        <v>9</v>
      </c>
      <c r="BL200" s="909">
        <f t="shared" ca="1" si="117"/>
        <v>0</v>
      </c>
      <c r="BM200" s="909">
        <f t="shared" ca="1" si="118"/>
        <v>-192809.16793014269</v>
      </c>
      <c r="BN200" s="909">
        <f t="shared" ca="1" si="119"/>
        <v>-15824.658984000002</v>
      </c>
      <c r="BO200" s="909">
        <f t="shared" si="120"/>
        <v>0</v>
      </c>
      <c r="BP200" s="909">
        <f t="shared" ca="1" si="121"/>
        <v>131098.92291414272</v>
      </c>
      <c r="BQ200" s="909">
        <f t="shared" si="122"/>
        <v>77534.903999999995</v>
      </c>
      <c r="BR200" s="909">
        <f t="shared" ca="1" si="123"/>
        <v>-77534.90399999998</v>
      </c>
      <c r="BS200" s="653"/>
      <c r="BT200" s="653"/>
      <c r="BU200" s="653"/>
      <c r="BV200" s="654"/>
    </row>
    <row r="201" spans="2:74" x14ac:dyDescent="0.25">
      <c r="B201" s="651"/>
      <c r="C201" s="653"/>
      <c r="D201" s="653"/>
      <c r="E201" s="653"/>
      <c r="F201" s="653"/>
      <c r="G201" s="653"/>
      <c r="H201" s="653"/>
      <c r="I201" s="653"/>
      <c r="J201" s="653"/>
      <c r="K201" s="653"/>
      <c r="L201" s="653"/>
      <c r="M201" s="651">
        <v>10</v>
      </c>
      <c r="N201" s="909">
        <f t="shared" ca="1" si="124"/>
        <v>0</v>
      </c>
      <c r="O201" s="909">
        <f t="shared" ca="1" si="125"/>
        <v>0</v>
      </c>
      <c r="P201" s="909">
        <f t="shared" ca="1" si="126"/>
        <v>0</v>
      </c>
      <c r="Q201" s="910">
        <f t="shared" ca="1" si="127"/>
        <v>0</v>
      </c>
      <c r="R201" s="909">
        <f t="shared" ca="1" si="128"/>
        <v>192809.16793014269</v>
      </c>
      <c r="S201" s="909">
        <f t="shared" ca="1" si="129"/>
        <v>72656.868897538705</v>
      </c>
      <c r="T201" s="909">
        <f t="shared" ca="1" si="130"/>
        <v>120152.29903260399</v>
      </c>
      <c r="U201" s="909">
        <f t="shared" ca="1" si="131"/>
        <v>2301743.330885353</v>
      </c>
      <c r="V201" s="909">
        <f t="shared" ca="1" si="132"/>
        <v>8640</v>
      </c>
      <c r="W201" s="909">
        <f t="shared" ca="1" si="133"/>
        <v>7184.6589840000006</v>
      </c>
      <c r="X201" s="909">
        <f t="shared" ca="1" si="134"/>
        <v>208633.8269141427</v>
      </c>
      <c r="Y201" s="909">
        <f t="shared" si="135"/>
        <v>0</v>
      </c>
      <c r="Z201" s="910">
        <f t="shared" si="136"/>
        <v>0</v>
      </c>
      <c r="AA201" s="909">
        <f t="shared" ca="1" si="137"/>
        <v>0</v>
      </c>
      <c r="AB201" s="910">
        <f t="shared" ca="1" si="138"/>
        <v>0</v>
      </c>
      <c r="AC201" s="911">
        <f t="shared" ca="1" si="139"/>
        <v>131098.92291414272</v>
      </c>
      <c r="AD201" s="911">
        <f t="shared" ca="1" si="140"/>
        <v>1435496.629276003</v>
      </c>
      <c r="AE201" s="909">
        <f t="shared" ca="1" si="141"/>
        <v>0</v>
      </c>
      <c r="AF201" s="912">
        <f t="shared" ca="1" si="108"/>
        <v>0</v>
      </c>
      <c r="AG201" s="909">
        <f t="shared" si="142"/>
        <v>77534.903999999995</v>
      </c>
      <c r="AH201" s="917">
        <f t="shared" ca="1" si="143"/>
        <v>208633.8269141427</v>
      </c>
      <c r="AI201" s="909">
        <f t="shared" ca="1" si="144"/>
        <v>-208633.8269141427</v>
      </c>
      <c r="AJ201" s="916">
        <f t="shared" ca="1" si="145"/>
        <v>-131098.92291414272</v>
      </c>
      <c r="AK201" s="916">
        <f t="shared" ca="1" si="146"/>
        <v>-77534.90399999998</v>
      </c>
      <c r="AL201" s="909">
        <f t="shared" ca="1" si="147"/>
        <v>1.4551915228366852E-11</v>
      </c>
      <c r="AM201" s="918">
        <f t="shared" ca="1" si="148"/>
        <v>208633.8269141427</v>
      </c>
      <c r="AN201" s="915">
        <f t="shared" si="109"/>
        <v>10</v>
      </c>
      <c r="AO201" s="653">
        <f t="shared" si="149"/>
        <v>77534.903999999995</v>
      </c>
      <c r="AP201" s="916">
        <f t="shared" ca="1" si="150"/>
        <v>0</v>
      </c>
      <c r="AQ201" s="916">
        <f t="shared" si="151"/>
        <v>0</v>
      </c>
      <c r="AR201" s="653"/>
      <c r="AS201" s="653">
        <v>10</v>
      </c>
      <c r="AT201" s="909">
        <f t="shared" ca="1" si="110"/>
        <v>0</v>
      </c>
      <c r="AU201" s="909">
        <f t="shared" ca="1" si="111"/>
        <v>-143468.12859312</v>
      </c>
      <c r="AV201" s="909">
        <f t="shared" ca="1" si="112"/>
        <v>-11775.032455310195</v>
      </c>
      <c r="AW201" s="909">
        <f t="shared" si="113"/>
        <v>0</v>
      </c>
      <c r="AX201" s="909">
        <f t="shared" ca="1" si="114"/>
        <v>97549.910789928443</v>
      </c>
      <c r="AY201" s="909">
        <f t="shared" si="115"/>
        <v>57693.25025850175</v>
      </c>
      <c r="AZ201" s="909">
        <f t="shared" ca="1" si="116"/>
        <v>-57693.25025850175</v>
      </c>
      <c r="BA201" s="653"/>
      <c r="BB201" s="653">
        <f t="shared" si="152"/>
        <v>10</v>
      </c>
      <c r="BC201" s="909">
        <f t="shared" ca="1" si="153"/>
        <v>0</v>
      </c>
      <c r="BD201" s="909">
        <f t="shared" ca="1" si="154"/>
        <v>-1644701.3112340905</v>
      </c>
      <c r="BE201" s="909">
        <f t="shared" ca="1" si="155"/>
        <v>-134987.55095632694</v>
      </c>
      <c r="BF201" s="909">
        <f t="shared" si="156"/>
        <v>0</v>
      </c>
      <c r="BG201" s="909">
        <f t="shared" ca="1" si="157"/>
        <v>1118300.4041404759</v>
      </c>
      <c r="BH201" s="909">
        <f t="shared" si="158"/>
        <v>661389.45804994169</v>
      </c>
      <c r="BI201" s="909">
        <f t="shared" ca="1" si="159"/>
        <v>-661388.45804994146</v>
      </c>
      <c r="BJ201" s="909"/>
      <c r="BK201" s="653">
        <v>10</v>
      </c>
      <c r="BL201" s="909">
        <f t="shared" ca="1" si="117"/>
        <v>0</v>
      </c>
      <c r="BM201" s="909">
        <f t="shared" ca="1" si="118"/>
        <v>-192809.16793014269</v>
      </c>
      <c r="BN201" s="909">
        <f t="shared" ca="1" si="119"/>
        <v>-15824.658984000002</v>
      </c>
      <c r="BO201" s="909">
        <f t="shared" si="120"/>
        <v>0</v>
      </c>
      <c r="BP201" s="909">
        <f t="shared" ca="1" si="121"/>
        <v>131098.92291414272</v>
      </c>
      <c r="BQ201" s="909">
        <f t="shared" si="122"/>
        <v>77534.903999999995</v>
      </c>
      <c r="BR201" s="909">
        <f t="shared" ca="1" si="123"/>
        <v>-77534.90399999998</v>
      </c>
      <c r="BS201" s="653"/>
      <c r="BT201" s="653"/>
      <c r="BU201" s="653"/>
      <c r="BV201" s="654"/>
    </row>
    <row r="202" spans="2:74" x14ac:dyDescent="0.25">
      <c r="B202" s="651"/>
      <c r="C202" s="653"/>
      <c r="D202" s="653"/>
      <c r="E202" s="653"/>
      <c r="F202" s="653"/>
      <c r="G202" s="653"/>
      <c r="H202" s="653"/>
      <c r="I202" s="653"/>
      <c r="J202" s="653"/>
      <c r="K202" s="653"/>
      <c r="L202" s="653"/>
      <c r="M202" s="651">
        <v>11</v>
      </c>
      <c r="N202" s="909">
        <f t="shared" ca="1" si="124"/>
        <v>0</v>
      </c>
      <c r="O202" s="909">
        <f t="shared" ca="1" si="125"/>
        <v>0</v>
      </c>
      <c r="P202" s="909">
        <f t="shared" ca="1" si="126"/>
        <v>0</v>
      </c>
      <c r="Q202" s="910">
        <f t="shared" ca="1" si="127"/>
        <v>0</v>
      </c>
      <c r="R202" s="909">
        <f t="shared" ca="1" si="128"/>
        <v>192809.16793014269</v>
      </c>
      <c r="S202" s="909">
        <f t="shared" ca="1" si="129"/>
        <v>69052.29992656059</v>
      </c>
      <c r="T202" s="909">
        <f t="shared" ca="1" si="130"/>
        <v>123756.8680035821</v>
      </c>
      <c r="U202" s="909">
        <f t="shared" ca="1" si="131"/>
        <v>2177986.4628817709</v>
      </c>
      <c r="V202" s="909">
        <f t="shared" ca="1" si="132"/>
        <v>8640</v>
      </c>
      <c r="W202" s="909">
        <f t="shared" ca="1" si="133"/>
        <v>7184.6589840000006</v>
      </c>
      <c r="X202" s="909">
        <f t="shared" ca="1" si="134"/>
        <v>208633.8269141427</v>
      </c>
      <c r="Y202" s="909">
        <f t="shared" si="135"/>
        <v>0</v>
      </c>
      <c r="Z202" s="910">
        <f t="shared" si="136"/>
        <v>0</v>
      </c>
      <c r="AA202" s="909">
        <f t="shared" ca="1" si="137"/>
        <v>0</v>
      </c>
      <c r="AB202" s="910">
        <f t="shared" ca="1" si="138"/>
        <v>0</v>
      </c>
      <c r="AC202" s="911">
        <f t="shared" ca="1" si="139"/>
        <v>131098.92291414272</v>
      </c>
      <c r="AD202" s="911">
        <f t="shared" ca="1" si="140"/>
        <v>1595305.4847756657</v>
      </c>
      <c r="AE202" s="909">
        <f t="shared" ca="1" si="141"/>
        <v>0</v>
      </c>
      <c r="AF202" s="912">
        <f t="shared" ca="1" si="108"/>
        <v>0</v>
      </c>
      <c r="AG202" s="909">
        <f t="shared" si="142"/>
        <v>77534.903999999995</v>
      </c>
      <c r="AH202" s="917">
        <f t="shared" ca="1" si="143"/>
        <v>208633.8269141427</v>
      </c>
      <c r="AI202" s="909">
        <f t="shared" ca="1" si="144"/>
        <v>-208633.8269141427</v>
      </c>
      <c r="AJ202" s="916">
        <f t="shared" ca="1" si="145"/>
        <v>-131098.92291414272</v>
      </c>
      <c r="AK202" s="916">
        <f t="shared" ca="1" si="146"/>
        <v>-77534.90399999998</v>
      </c>
      <c r="AL202" s="909">
        <f t="shared" ca="1" si="147"/>
        <v>1.4551915228366852E-11</v>
      </c>
      <c r="AM202" s="918">
        <f t="shared" ca="1" si="148"/>
        <v>208633.8269141427</v>
      </c>
      <c r="AN202" s="915">
        <f t="shared" si="109"/>
        <v>11</v>
      </c>
      <c r="AO202" s="653">
        <f t="shared" si="149"/>
        <v>77534.903999999995</v>
      </c>
      <c r="AP202" s="916">
        <f t="shared" ca="1" si="150"/>
        <v>0</v>
      </c>
      <c r="AQ202" s="916">
        <f t="shared" si="151"/>
        <v>0</v>
      </c>
      <c r="AR202" s="653"/>
      <c r="AS202" s="653">
        <v>11</v>
      </c>
      <c r="AT202" s="909">
        <f t="shared" ca="1" si="110"/>
        <v>0</v>
      </c>
      <c r="AU202" s="909">
        <f t="shared" ca="1" si="111"/>
        <v>-139289.44523603882</v>
      </c>
      <c r="AV202" s="909">
        <f t="shared" ca="1" si="112"/>
        <v>-11432.070344961354</v>
      </c>
      <c r="AW202" s="909">
        <f t="shared" si="113"/>
        <v>0</v>
      </c>
      <c r="AX202" s="909">
        <f t="shared" ca="1" si="114"/>
        <v>94708.651252357711</v>
      </c>
      <c r="AY202" s="909">
        <f t="shared" si="115"/>
        <v>56012.864328642478</v>
      </c>
      <c r="AZ202" s="909">
        <f t="shared" ca="1" si="116"/>
        <v>-56012.864328642478</v>
      </c>
      <c r="BA202" s="653"/>
      <c r="BB202" s="653">
        <f t="shared" si="152"/>
        <v>11</v>
      </c>
      <c r="BC202" s="909">
        <f t="shared" ca="1" si="153"/>
        <v>0</v>
      </c>
      <c r="BD202" s="909">
        <f t="shared" ca="1" si="154"/>
        <v>-1783990.7564701294</v>
      </c>
      <c r="BE202" s="909">
        <f t="shared" ca="1" si="155"/>
        <v>-146419.62130128831</v>
      </c>
      <c r="BF202" s="909">
        <f t="shared" si="156"/>
        <v>0</v>
      </c>
      <c r="BG202" s="909">
        <f t="shared" ca="1" si="157"/>
        <v>1213009.0553928337</v>
      </c>
      <c r="BH202" s="909">
        <f t="shared" si="158"/>
        <v>717402.32237858418</v>
      </c>
      <c r="BI202" s="909">
        <f t="shared" ca="1" si="159"/>
        <v>-717401.32237858395</v>
      </c>
      <c r="BJ202" s="909"/>
      <c r="BK202" s="653">
        <v>11</v>
      </c>
      <c r="BL202" s="909">
        <f t="shared" ca="1" si="117"/>
        <v>0</v>
      </c>
      <c r="BM202" s="909">
        <f t="shared" ca="1" si="118"/>
        <v>-192809.16793014269</v>
      </c>
      <c r="BN202" s="909">
        <f t="shared" ca="1" si="119"/>
        <v>-15824.658984000002</v>
      </c>
      <c r="BO202" s="909">
        <f t="shared" si="120"/>
        <v>0</v>
      </c>
      <c r="BP202" s="909">
        <f t="shared" ca="1" si="121"/>
        <v>131098.92291414272</v>
      </c>
      <c r="BQ202" s="909">
        <f t="shared" si="122"/>
        <v>77534.903999999995</v>
      </c>
      <c r="BR202" s="909">
        <f t="shared" ca="1" si="123"/>
        <v>-77534.90399999998</v>
      </c>
      <c r="BS202" s="653"/>
      <c r="BT202" s="653"/>
      <c r="BU202" s="653"/>
      <c r="BV202" s="654"/>
    </row>
    <row r="203" spans="2:74" x14ac:dyDescent="0.25">
      <c r="B203" s="651"/>
      <c r="C203" s="653"/>
      <c r="D203" s="653"/>
      <c r="E203" s="653"/>
      <c r="F203" s="653"/>
      <c r="G203" s="653"/>
      <c r="H203" s="653"/>
      <c r="I203" s="653"/>
      <c r="J203" s="653"/>
      <c r="K203" s="653"/>
      <c r="L203" s="653"/>
      <c r="M203" s="651">
        <v>12</v>
      </c>
      <c r="N203" s="909">
        <f t="shared" ca="1" si="124"/>
        <v>0</v>
      </c>
      <c r="O203" s="909">
        <f t="shared" ca="1" si="125"/>
        <v>0</v>
      </c>
      <c r="P203" s="909">
        <f t="shared" ca="1" si="126"/>
        <v>0</v>
      </c>
      <c r="Q203" s="910">
        <f t="shared" ca="1" si="127"/>
        <v>0</v>
      </c>
      <c r="R203" s="909">
        <f t="shared" ca="1" si="128"/>
        <v>192809.16793014269</v>
      </c>
      <c r="S203" s="909">
        <f t="shared" ca="1" si="129"/>
        <v>65339.593886453127</v>
      </c>
      <c r="T203" s="909">
        <f t="shared" ca="1" si="130"/>
        <v>127469.57404368956</v>
      </c>
      <c r="U203" s="909">
        <f t="shared" ca="1" si="131"/>
        <v>2050516.8888380814</v>
      </c>
      <c r="V203" s="909">
        <f t="shared" ca="1" si="132"/>
        <v>8640</v>
      </c>
      <c r="W203" s="909">
        <f t="shared" ca="1" si="133"/>
        <v>7184.6589840000006</v>
      </c>
      <c r="X203" s="909">
        <f t="shared" ca="1" si="134"/>
        <v>208633.8269141427</v>
      </c>
      <c r="Y203" s="909">
        <f t="shared" si="135"/>
        <v>0</v>
      </c>
      <c r="Z203" s="910">
        <f t="shared" si="136"/>
        <v>0</v>
      </c>
      <c r="AA203" s="909">
        <f t="shared" ca="1" si="137"/>
        <v>0</v>
      </c>
      <c r="AB203" s="910">
        <f t="shared" ca="1" si="138"/>
        <v>0</v>
      </c>
      <c r="AC203" s="911">
        <f t="shared" ca="1" si="139"/>
        <v>131098.92291414272</v>
      </c>
      <c r="AD203" s="911">
        <f t="shared" ca="1" si="140"/>
        <v>1758310.5173853217</v>
      </c>
      <c r="AE203" s="909">
        <f t="shared" ca="1" si="141"/>
        <v>0</v>
      </c>
      <c r="AF203" s="912">
        <f t="shared" ca="1" si="108"/>
        <v>0</v>
      </c>
      <c r="AG203" s="909">
        <f t="shared" si="142"/>
        <v>77534.903999999995</v>
      </c>
      <c r="AH203" s="917">
        <f t="shared" ca="1" si="143"/>
        <v>208633.8269141427</v>
      </c>
      <c r="AI203" s="909">
        <f t="shared" ca="1" si="144"/>
        <v>-208633.8269141427</v>
      </c>
      <c r="AJ203" s="916">
        <f t="shared" ca="1" si="145"/>
        <v>-131098.92291414272</v>
      </c>
      <c r="AK203" s="916">
        <f t="shared" ca="1" si="146"/>
        <v>-77534.90399999998</v>
      </c>
      <c r="AL203" s="909">
        <f t="shared" ca="1" si="147"/>
        <v>1.4551915228366852E-11</v>
      </c>
      <c r="AM203" s="918">
        <f t="shared" ca="1" si="148"/>
        <v>208633.8269141427</v>
      </c>
      <c r="AN203" s="915">
        <f t="shared" si="109"/>
        <v>12</v>
      </c>
      <c r="AO203" s="653">
        <f t="shared" si="149"/>
        <v>77534.903999999995</v>
      </c>
      <c r="AP203" s="916">
        <f t="shared" ca="1" si="150"/>
        <v>0</v>
      </c>
      <c r="AQ203" s="916">
        <f t="shared" si="151"/>
        <v>0</v>
      </c>
      <c r="AR203" s="653"/>
      <c r="AS203" s="653">
        <v>12</v>
      </c>
      <c r="AT203" s="909">
        <f t="shared" ca="1" si="110"/>
        <v>0</v>
      </c>
      <c r="AU203" s="909">
        <f t="shared" ca="1" si="111"/>
        <v>-135232.47110295034</v>
      </c>
      <c r="AV203" s="909">
        <f t="shared" ca="1" si="112"/>
        <v>-11099.09742229258</v>
      </c>
      <c r="AW203" s="909">
        <f t="shared" si="113"/>
        <v>0</v>
      </c>
      <c r="AX203" s="909">
        <f t="shared" ca="1" si="114"/>
        <v>91950.146846949254</v>
      </c>
      <c r="AY203" s="909">
        <f t="shared" si="115"/>
        <v>54381.421678293678</v>
      </c>
      <c r="AZ203" s="909">
        <f t="shared" ca="1" si="116"/>
        <v>-54381.421678293656</v>
      </c>
      <c r="BA203" s="653"/>
      <c r="BB203" s="653">
        <f t="shared" si="152"/>
        <v>12</v>
      </c>
      <c r="BC203" s="909">
        <f t="shared" ca="1" si="153"/>
        <v>0</v>
      </c>
      <c r="BD203" s="909">
        <f t="shared" ca="1" si="154"/>
        <v>-1919223.2275730798</v>
      </c>
      <c r="BE203" s="909">
        <f t="shared" ca="1" si="155"/>
        <v>-157518.71872358088</v>
      </c>
      <c r="BF203" s="909">
        <f t="shared" si="156"/>
        <v>0</v>
      </c>
      <c r="BG203" s="909">
        <f t="shared" ca="1" si="157"/>
        <v>1304959.202239783</v>
      </c>
      <c r="BH203" s="909">
        <f t="shared" si="158"/>
        <v>771783.74405687791</v>
      </c>
      <c r="BI203" s="909">
        <f t="shared" ca="1" si="159"/>
        <v>-771782.74405687756</v>
      </c>
      <c r="BJ203" s="909"/>
      <c r="BK203" s="653">
        <v>12</v>
      </c>
      <c r="BL203" s="909">
        <f t="shared" ca="1" si="117"/>
        <v>0</v>
      </c>
      <c r="BM203" s="909">
        <f t="shared" ca="1" si="118"/>
        <v>-192809.16793014269</v>
      </c>
      <c r="BN203" s="909">
        <f t="shared" ca="1" si="119"/>
        <v>-15824.658984000002</v>
      </c>
      <c r="BO203" s="909">
        <f t="shared" si="120"/>
        <v>0</v>
      </c>
      <c r="BP203" s="909">
        <f t="shared" ca="1" si="121"/>
        <v>131098.92291414272</v>
      </c>
      <c r="BQ203" s="909">
        <f t="shared" si="122"/>
        <v>77534.903999999995</v>
      </c>
      <c r="BR203" s="909">
        <f t="shared" ca="1" si="123"/>
        <v>-77534.90399999998</v>
      </c>
      <c r="BS203" s="653"/>
      <c r="BT203" s="653"/>
      <c r="BU203" s="653"/>
      <c r="BV203" s="654"/>
    </row>
    <row r="204" spans="2:74" x14ac:dyDescent="0.25">
      <c r="B204" s="651"/>
      <c r="C204" s="653"/>
      <c r="D204" s="653"/>
      <c r="E204" s="653"/>
      <c r="F204" s="653"/>
      <c r="G204" s="653"/>
      <c r="H204" s="653"/>
      <c r="I204" s="653"/>
      <c r="J204" s="653"/>
      <c r="K204" s="653"/>
      <c r="L204" s="653"/>
      <c r="M204" s="651">
        <v>13</v>
      </c>
      <c r="N204" s="909">
        <f t="shared" ca="1" si="124"/>
        <v>0</v>
      </c>
      <c r="O204" s="909">
        <f t="shared" ca="1" si="125"/>
        <v>0</v>
      </c>
      <c r="P204" s="909">
        <f t="shared" ca="1" si="126"/>
        <v>0</v>
      </c>
      <c r="Q204" s="910">
        <f t="shared" ca="1" si="127"/>
        <v>0</v>
      </c>
      <c r="R204" s="909">
        <f t="shared" ca="1" si="128"/>
        <v>192809.16793014269</v>
      </c>
      <c r="S204" s="909">
        <f t="shared" ca="1" si="129"/>
        <v>61515.506665142442</v>
      </c>
      <c r="T204" s="909">
        <f t="shared" ca="1" si="130"/>
        <v>131293.66126500024</v>
      </c>
      <c r="U204" s="909">
        <f t="shared" ca="1" si="131"/>
        <v>1919223.2275730812</v>
      </c>
      <c r="V204" s="909">
        <f t="shared" ca="1" si="132"/>
        <v>8640</v>
      </c>
      <c r="W204" s="909">
        <f t="shared" ca="1" si="133"/>
        <v>7184.6589840000006</v>
      </c>
      <c r="X204" s="909">
        <f t="shared" ca="1" si="134"/>
        <v>208633.8269141427</v>
      </c>
      <c r="Y204" s="909">
        <f t="shared" si="135"/>
        <v>0</v>
      </c>
      <c r="Z204" s="910">
        <f t="shared" si="136"/>
        <v>0</v>
      </c>
      <c r="AA204" s="909">
        <f t="shared" ca="1" si="137"/>
        <v>0</v>
      </c>
      <c r="AB204" s="910">
        <f t="shared" ca="1" si="138"/>
        <v>0</v>
      </c>
      <c r="AC204" s="911">
        <f t="shared" ca="1" si="139"/>
        <v>131098.92291414272</v>
      </c>
      <c r="AD204" s="911">
        <f t="shared" ca="1" si="140"/>
        <v>1924575.6506471708</v>
      </c>
      <c r="AE204" s="909">
        <f t="shared" ca="1" si="141"/>
        <v>0</v>
      </c>
      <c r="AF204" s="912">
        <f t="shared" ca="1" si="108"/>
        <v>0</v>
      </c>
      <c r="AG204" s="909">
        <f t="shared" si="142"/>
        <v>77534.903999999995</v>
      </c>
      <c r="AH204" s="917">
        <f t="shared" ca="1" si="143"/>
        <v>208633.8269141427</v>
      </c>
      <c r="AI204" s="909">
        <f t="shared" ca="1" si="144"/>
        <v>-208633.8269141427</v>
      </c>
      <c r="AJ204" s="916">
        <f t="shared" ca="1" si="145"/>
        <v>-131098.92291414272</v>
      </c>
      <c r="AK204" s="916">
        <f t="shared" ca="1" si="146"/>
        <v>-77534.90399999998</v>
      </c>
      <c r="AL204" s="909">
        <f t="shared" ca="1" si="147"/>
        <v>1.4551915228366852E-11</v>
      </c>
      <c r="AM204" s="918">
        <f t="shared" ca="1" si="148"/>
        <v>208633.8269141427</v>
      </c>
      <c r="AN204" s="915">
        <f t="shared" si="109"/>
        <v>13</v>
      </c>
      <c r="AO204" s="653">
        <f t="shared" si="149"/>
        <v>77534.903999999995</v>
      </c>
      <c r="AP204" s="916">
        <f t="shared" ca="1" si="150"/>
        <v>0</v>
      </c>
      <c r="AQ204" s="916">
        <f t="shared" si="151"/>
        <v>0</v>
      </c>
      <c r="AR204" s="653"/>
      <c r="AS204" s="653">
        <v>13</v>
      </c>
      <c r="AT204" s="909">
        <f t="shared" ca="1" si="110"/>
        <v>0</v>
      </c>
      <c r="AU204" s="909">
        <f t="shared" ca="1" si="111"/>
        <v>-131293.66126500032</v>
      </c>
      <c r="AV204" s="909">
        <f t="shared" ca="1" si="112"/>
        <v>-10775.822740089883</v>
      </c>
      <c r="AW204" s="909">
        <f t="shared" si="113"/>
        <v>0</v>
      </c>
      <c r="AX204" s="909">
        <f t="shared" ca="1" si="114"/>
        <v>89271.987230047816</v>
      </c>
      <c r="AY204" s="909">
        <f t="shared" si="115"/>
        <v>52797.496775042404</v>
      </c>
      <c r="AZ204" s="909">
        <f t="shared" ca="1" si="116"/>
        <v>-52797.496775042382</v>
      </c>
      <c r="BA204" s="653"/>
      <c r="BB204" s="653">
        <f t="shared" si="152"/>
        <v>13</v>
      </c>
      <c r="BC204" s="909">
        <f t="shared" ca="1" si="153"/>
        <v>0</v>
      </c>
      <c r="BD204" s="909">
        <f t="shared" ca="1" si="154"/>
        <v>-2050516.88883808</v>
      </c>
      <c r="BE204" s="909">
        <f t="shared" ca="1" si="155"/>
        <v>-168294.54146367076</v>
      </c>
      <c r="BF204" s="909">
        <f t="shared" si="156"/>
        <v>0</v>
      </c>
      <c r="BG204" s="909">
        <f t="shared" ca="1" si="157"/>
        <v>1394231.1894698308</v>
      </c>
      <c r="BH204" s="909">
        <f t="shared" si="158"/>
        <v>824581.2408319203</v>
      </c>
      <c r="BI204" s="909">
        <f t="shared" ca="1" si="159"/>
        <v>-824580.24083191995</v>
      </c>
      <c r="BJ204" s="909"/>
      <c r="BK204" s="653">
        <v>13</v>
      </c>
      <c r="BL204" s="909">
        <f t="shared" ca="1" si="117"/>
        <v>0</v>
      </c>
      <c r="BM204" s="909">
        <f t="shared" ca="1" si="118"/>
        <v>-192809.16793014269</v>
      </c>
      <c r="BN204" s="909">
        <f t="shared" ca="1" si="119"/>
        <v>-15824.658984000002</v>
      </c>
      <c r="BO204" s="909">
        <f t="shared" si="120"/>
        <v>0</v>
      </c>
      <c r="BP204" s="909">
        <f t="shared" ca="1" si="121"/>
        <v>131098.92291414272</v>
      </c>
      <c r="BQ204" s="909">
        <f t="shared" si="122"/>
        <v>77534.903999999995</v>
      </c>
      <c r="BR204" s="909">
        <f t="shared" ca="1" si="123"/>
        <v>-77534.90399999998</v>
      </c>
      <c r="BS204" s="653"/>
      <c r="BT204" s="653"/>
      <c r="BU204" s="653"/>
      <c r="BV204" s="654"/>
    </row>
    <row r="205" spans="2:74" x14ac:dyDescent="0.25">
      <c r="B205" s="651"/>
      <c r="C205" s="653"/>
      <c r="D205" s="653"/>
      <c r="E205" s="653"/>
      <c r="F205" s="653"/>
      <c r="G205" s="653"/>
      <c r="H205" s="653"/>
      <c r="I205" s="653"/>
      <c r="J205" s="653"/>
      <c r="K205" s="653"/>
      <c r="L205" s="653"/>
      <c r="M205" s="651">
        <v>14</v>
      </c>
      <c r="N205" s="909">
        <f t="shared" ca="1" si="124"/>
        <v>0</v>
      </c>
      <c r="O205" s="909">
        <f t="shared" ca="1" si="125"/>
        <v>0</v>
      </c>
      <c r="P205" s="909">
        <f t="shared" ca="1" si="126"/>
        <v>0</v>
      </c>
      <c r="Q205" s="910">
        <f t="shared" ca="1" si="127"/>
        <v>0</v>
      </c>
      <c r="R205" s="909">
        <f t="shared" ca="1" si="128"/>
        <v>192809.16793014269</v>
      </c>
      <c r="S205" s="909">
        <f t="shared" ca="1" si="129"/>
        <v>57576.696827192434</v>
      </c>
      <c r="T205" s="909">
        <f t="shared" ca="1" si="130"/>
        <v>135232.47110295025</v>
      </c>
      <c r="U205" s="909">
        <f t="shared" ca="1" si="131"/>
        <v>1783990.756470131</v>
      </c>
      <c r="V205" s="909">
        <f t="shared" ca="1" si="132"/>
        <v>8640</v>
      </c>
      <c r="W205" s="909">
        <f t="shared" ca="1" si="133"/>
        <v>7184.6589840000006</v>
      </c>
      <c r="X205" s="909">
        <f t="shared" ca="1" si="134"/>
        <v>208633.8269141427</v>
      </c>
      <c r="Y205" s="909">
        <f t="shared" si="135"/>
        <v>0</v>
      </c>
      <c r="Z205" s="910">
        <f t="shared" si="136"/>
        <v>0</v>
      </c>
      <c r="AA205" s="909">
        <f t="shared" ca="1" si="137"/>
        <v>0</v>
      </c>
      <c r="AB205" s="910">
        <f t="shared" ca="1" si="138"/>
        <v>0</v>
      </c>
      <c r="AC205" s="911">
        <f t="shared" ca="1" si="139"/>
        <v>131098.92291414272</v>
      </c>
      <c r="AD205" s="911">
        <f t="shared" ca="1" si="140"/>
        <v>2094166.0865742571</v>
      </c>
      <c r="AE205" s="909">
        <f t="shared" ca="1" si="141"/>
        <v>0</v>
      </c>
      <c r="AF205" s="912">
        <f t="shared" ca="1" si="108"/>
        <v>0</v>
      </c>
      <c r="AG205" s="909">
        <f t="shared" si="142"/>
        <v>77534.903999999995</v>
      </c>
      <c r="AH205" s="917">
        <f t="shared" ca="1" si="143"/>
        <v>208633.8269141427</v>
      </c>
      <c r="AI205" s="909">
        <f t="shared" ca="1" si="144"/>
        <v>-208633.8269141427</v>
      </c>
      <c r="AJ205" s="916">
        <f t="shared" ca="1" si="145"/>
        <v>-131098.92291414272</v>
      </c>
      <c r="AK205" s="916">
        <f t="shared" ca="1" si="146"/>
        <v>-77534.90399999998</v>
      </c>
      <c r="AL205" s="909">
        <f t="shared" ca="1" si="147"/>
        <v>1.4551915228366852E-11</v>
      </c>
      <c r="AM205" s="918">
        <f t="shared" ca="1" si="148"/>
        <v>208633.8269141427</v>
      </c>
      <c r="AN205" s="915">
        <f t="shared" si="109"/>
        <v>14</v>
      </c>
      <c r="AO205" s="653">
        <f t="shared" si="149"/>
        <v>77534.903999999995</v>
      </c>
      <c r="AP205" s="916">
        <f t="shared" ca="1" si="150"/>
        <v>0</v>
      </c>
      <c r="AQ205" s="916">
        <f t="shared" si="151"/>
        <v>0</v>
      </c>
      <c r="AR205" s="653"/>
      <c r="AS205" s="653">
        <v>14</v>
      </c>
      <c r="AT205" s="909">
        <f t="shared" ca="1" si="110"/>
        <v>0</v>
      </c>
      <c r="AU205" s="909">
        <f t="shared" ca="1" si="111"/>
        <v>-127469.57404368962</v>
      </c>
      <c r="AV205" s="909">
        <f t="shared" ca="1" si="112"/>
        <v>-10461.963825329982</v>
      </c>
      <c r="AW205" s="909">
        <f t="shared" si="113"/>
        <v>0</v>
      </c>
      <c r="AX205" s="909">
        <f t="shared" ca="1" si="114"/>
        <v>86671.832262182332</v>
      </c>
      <c r="AY205" s="909">
        <f t="shared" si="115"/>
        <v>51259.705606837277</v>
      </c>
      <c r="AZ205" s="909">
        <f t="shared" ca="1" si="116"/>
        <v>-51259.705606837277</v>
      </c>
      <c r="BA205" s="653"/>
      <c r="BB205" s="653">
        <f t="shared" si="152"/>
        <v>14</v>
      </c>
      <c r="BC205" s="909">
        <f t="shared" ca="1" si="153"/>
        <v>0</v>
      </c>
      <c r="BD205" s="909">
        <f t="shared" ca="1" si="154"/>
        <v>-2177986.4628817695</v>
      </c>
      <c r="BE205" s="909">
        <f t="shared" ca="1" si="155"/>
        <v>-178756.50528900075</v>
      </c>
      <c r="BF205" s="909">
        <f t="shared" si="156"/>
        <v>0</v>
      </c>
      <c r="BG205" s="909">
        <f t="shared" ca="1" si="157"/>
        <v>1480903.0217320132</v>
      </c>
      <c r="BH205" s="909">
        <f t="shared" si="158"/>
        <v>875840.94643875759</v>
      </c>
      <c r="BI205" s="909">
        <f t="shared" ca="1" si="159"/>
        <v>-875839.94643875724</v>
      </c>
      <c r="BJ205" s="909"/>
      <c r="BK205" s="653">
        <v>14</v>
      </c>
      <c r="BL205" s="909">
        <f t="shared" ca="1" si="117"/>
        <v>0</v>
      </c>
      <c r="BM205" s="909">
        <f t="shared" ca="1" si="118"/>
        <v>-192809.16793014269</v>
      </c>
      <c r="BN205" s="909">
        <f t="shared" ca="1" si="119"/>
        <v>-15824.658984000002</v>
      </c>
      <c r="BO205" s="909">
        <f t="shared" si="120"/>
        <v>0</v>
      </c>
      <c r="BP205" s="909">
        <f t="shared" ca="1" si="121"/>
        <v>131098.92291414272</v>
      </c>
      <c r="BQ205" s="909">
        <f t="shared" si="122"/>
        <v>77534.903999999995</v>
      </c>
      <c r="BR205" s="909">
        <f t="shared" ca="1" si="123"/>
        <v>-77534.90399999998</v>
      </c>
      <c r="BS205" s="653"/>
      <c r="BT205" s="653"/>
      <c r="BU205" s="653"/>
      <c r="BV205" s="654"/>
    </row>
    <row r="206" spans="2:74" x14ac:dyDescent="0.25">
      <c r="B206" s="651"/>
      <c r="C206" s="653"/>
      <c r="D206" s="653"/>
      <c r="E206" s="653"/>
      <c r="F206" s="653"/>
      <c r="G206" s="653"/>
      <c r="H206" s="653"/>
      <c r="I206" s="653"/>
      <c r="J206" s="653"/>
      <c r="K206" s="653"/>
      <c r="L206" s="653"/>
      <c r="M206" s="651">
        <v>15</v>
      </c>
      <c r="N206" s="909">
        <f t="shared" ca="1" si="124"/>
        <v>0</v>
      </c>
      <c r="O206" s="909">
        <f t="shared" ca="1" si="125"/>
        <v>0</v>
      </c>
      <c r="P206" s="909">
        <f t="shared" ca="1" si="126"/>
        <v>0</v>
      </c>
      <c r="Q206" s="910">
        <f t="shared" ca="1" si="127"/>
        <v>0</v>
      </c>
      <c r="R206" s="909">
        <f t="shared" ca="1" si="128"/>
        <v>192809.16793014269</v>
      </c>
      <c r="S206" s="909">
        <f t="shared" ca="1" si="129"/>
        <v>53519.722694103926</v>
      </c>
      <c r="T206" s="909">
        <f t="shared" ca="1" si="130"/>
        <v>139289.44523603877</v>
      </c>
      <c r="U206" s="909">
        <f t="shared" ca="1" si="131"/>
        <v>1644701.3112340923</v>
      </c>
      <c r="V206" s="909">
        <f t="shared" ca="1" si="132"/>
        <v>8640</v>
      </c>
      <c r="W206" s="909">
        <f t="shared" ca="1" si="133"/>
        <v>7184.6589840000006</v>
      </c>
      <c r="X206" s="909">
        <f t="shared" ca="1" si="134"/>
        <v>208633.8269141427</v>
      </c>
      <c r="Y206" s="909">
        <f t="shared" si="135"/>
        <v>0</v>
      </c>
      <c r="Z206" s="910">
        <f t="shared" si="136"/>
        <v>0</v>
      </c>
      <c r="AA206" s="909">
        <f t="shared" ca="1" si="137"/>
        <v>0</v>
      </c>
      <c r="AB206" s="910">
        <f t="shared" ca="1" si="138"/>
        <v>0</v>
      </c>
      <c r="AC206" s="911">
        <f t="shared" ca="1" si="139"/>
        <v>131098.92291414272</v>
      </c>
      <c r="AD206" s="911">
        <f t="shared" ca="1" si="140"/>
        <v>2267148.331219885</v>
      </c>
      <c r="AE206" s="909">
        <f t="shared" ca="1" si="141"/>
        <v>0</v>
      </c>
      <c r="AF206" s="912">
        <f t="shared" ca="1" si="108"/>
        <v>0</v>
      </c>
      <c r="AG206" s="909">
        <f t="shared" si="142"/>
        <v>77534.903999999995</v>
      </c>
      <c r="AH206" s="917">
        <f t="shared" ca="1" si="143"/>
        <v>208633.8269141427</v>
      </c>
      <c r="AI206" s="909">
        <f t="shared" ca="1" si="144"/>
        <v>-208633.8269141427</v>
      </c>
      <c r="AJ206" s="916">
        <f t="shared" ca="1" si="145"/>
        <v>-131098.92291414272</v>
      </c>
      <c r="AK206" s="916">
        <f t="shared" ca="1" si="146"/>
        <v>-77534.90399999998</v>
      </c>
      <c r="AL206" s="909">
        <f t="shared" ca="1" si="147"/>
        <v>1.4551915228366852E-11</v>
      </c>
      <c r="AM206" s="918">
        <f t="shared" ca="1" si="148"/>
        <v>208633.8269141427</v>
      </c>
      <c r="AN206" s="915">
        <f t="shared" si="109"/>
        <v>15</v>
      </c>
      <c r="AO206" s="653">
        <f t="shared" si="149"/>
        <v>77534.903999999995</v>
      </c>
      <c r="AP206" s="916">
        <f t="shared" ca="1" si="150"/>
        <v>0</v>
      </c>
      <c r="AQ206" s="916">
        <f t="shared" si="151"/>
        <v>0</v>
      </c>
      <c r="AR206" s="653"/>
      <c r="AS206" s="653">
        <v>15</v>
      </c>
      <c r="AT206" s="909">
        <f t="shared" ca="1" si="110"/>
        <v>0</v>
      </c>
      <c r="AU206" s="909">
        <f t="shared" ca="1" si="111"/>
        <v>-123756.86800358215</v>
      </c>
      <c r="AV206" s="909">
        <f t="shared" ca="1" si="112"/>
        <v>-10157.246432359205</v>
      </c>
      <c r="AW206" s="909">
        <f t="shared" si="113"/>
        <v>0</v>
      </c>
      <c r="AX206" s="909">
        <f t="shared" ca="1" si="114"/>
        <v>84147.409963283819</v>
      </c>
      <c r="AY206" s="909">
        <f t="shared" si="115"/>
        <v>49766.704472657548</v>
      </c>
      <c r="AZ206" s="909">
        <f t="shared" ca="1" si="116"/>
        <v>-49766.70447265754</v>
      </c>
      <c r="BA206" s="653"/>
      <c r="BB206" s="653">
        <f t="shared" si="152"/>
        <v>15</v>
      </c>
      <c r="BC206" s="909">
        <f t="shared" ca="1" si="153"/>
        <v>0</v>
      </c>
      <c r="BD206" s="909">
        <f t="shared" ca="1" si="154"/>
        <v>-2301743.3308853516</v>
      </c>
      <c r="BE206" s="909">
        <f t="shared" ca="1" si="155"/>
        <v>-188913.75172135996</v>
      </c>
      <c r="BF206" s="909">
        <f t="shared" si="156"/>
        <v>0</v>
      </c>
      <c r="BG206" s="909">
        <f t="shared" ca="1" si="157"/>
        <v>1565050.4316952971</v>
      </c>
      <c r="BH206" s="909">
        <f t="shared" si="158"/>
        <v>925607.65091141511</v>
      </c>
      <c r="BI206" s="909">
        <f t="shared" ca="1" si="159"/>
        <v>-925606.65091141476</v>
      </c>
      <c r="BJ206" s="909"/>
      <c r="BK206" s="653">
        <v>15</v>
      </c>
      <c r="BL206" s="909">
        <f t="shared" ca="1" si="117"/>
        <v>0</v>
      </c>
      <c r="BM206" s="909">
        <f t="shared" ca="1" si="118"/>
        <v>-192809.16793014269</v>
      </c>
      <c r="BN206" s="909">
        <f t="shared" ca="1" si="119"/>
        <v>-15824.658984000002</v>
      </c>
      <c r="BO206" s="909">
        <f t="shared" si="120"/>
        <v>0</v>
      </c>
      <c r="BP206" s="909">
        <f t="shared" ca="1" si="121"/>
        <v>131098.92291414272</v>
      </c>
      <c r="BQ206" s="909">
        <f t="shared" si="122"/>
        <v>77534.903999999995</v>
      </c>
      <c r="BR206" s="909">
        <f t="shared" ca="1" si="123"/>
        <v>-77534.90399999998</v>
      </c>
      <c r="BS206" s="653"/>
      <c r="BT206" s="653"/>
      <c r="BU206" s="653"/>
      <c r="BV206" s="654"/>
    </row>
    <row r="207" spans="2:74" x14ac:dyDescent="0.25">
      <c r="B207" s="651"/>
      <c r="C207" s="653"/>
      <c r="D207" s="653"/>
      <c r="E207" s="653"/>
      <c r="F207" s="653"/>
      <c r="G207" s="653"/>
      <c r="H207" s="653"/>
      <c r="I207" s="653"/>
      <c r="J207" s="653"/>
      <c r="K207" s="653"/>
      <c r="L207" s="653"/>
      <c r="M207" s="651">
        <v>16</v>
      </c>
      <c r="N207" s="909">
        <f t="shared" ca="1" si="124"/>
        <v>0</v>
      </c>
      <c r="O207" s="909">
        <f t="shared" ca="1" si="125"/>
        <v>0</v>
      </c>
      <c r="P207" s="909">
        <f t="shared" ca="1" si="126"/>
        <v>0</v>
      </c>
      <c r="Q207" s="910">
        <f t="shared" ca="1" si="127"/>
        <v>0</v>
      </c>
      <c r="R207" s="909">
        <f t="shared" ca="1" si="128"/>
        <v>192809.16793014269</v>
      </c>
      <c r="S207" s="909">
        <f t="shared" ca="1" si="129"/>
        <v>49341.039337022768</v>
      </c>
      <c r="T207" s="909">
        <f t="shared" ca="1" si="130"/>
        <v>143468.12859311991</v>
      </c>
      <c r="U207" s="909">
        <f t="shared" ca="1" si="131"/>
        <v>1501233.1826409725</v>
      </c>
      <c r="V207" s="909">
        <f t="shared" ca="1" si="132"/>
        <v>8640</v>
      </c>
      <c r="W207" s="909">
        <f t="shared" ca="1" si="133"/>
        <v>7184.6589840000006</v>
      </c>
      <c r="X207" s="909">
        <f t="shared" ca="1" si="134"/>
        <v>208633.8269141427</v>
      </c>
      <c r="Y207" s="909">
        <f t="shared" si="135"/>
        <v>0</v>
      </c>
      <c r="Z207" s="910">
        <f t="shared" si="136"/>
        <v>0</v>
      </c>
      <c r="AA207" s="909">
        <f t="shared" ca="1" si="137"/>
        <v>0</v>
      </c>
      <c r="AB207" s="910">
        <f t="shared" ca="1" si="138"/>
        <v>0</v>
      </c>
      <c r="AC207" s="911">
        <f t="shared" ca="1" si="139"/>
        <v>131098.92291414272</v>
      </c>
      <c r="AD207" s="911">
        <f t="shared" ca="1" si="140"/>
        <v>2443590.2207584255</v>
      </c>
      <c r="AE207" s="909">
        <f t="shared" ca="1" si="141"/>
        <v>0</v>
      </c>
      <c r="AF207" s="912">
        <f t="shared" ca="1" si="108"/>
        <v>0</v>
      </c>
      <c r="AG207" s="909">
        <f t="shared" si="142"/>
        <v>77534.903999999995</v>
      </c>
      <c r="AH207" s="917">
        <f t="shared" ca="1" si="143"/>
        <v>208633.8269141427</v>
      </c>
      <c r="AI207" s="909">
        <f t="shared" ca="1" si="144"/>
        <v>-208633.8269141427</v>
      </c>
      <c r="AJ207" s="916">
        <f t="shared" ca="1" si="145"/>
        <v>-131098.92291414272</v>
      </c>
      <c r="AK207" s="916">
        <f t="shared" ca="1" si="146"/>
        <v>-77534.90399999998</v>
      </c>
      <c r="AL207" s="909">
        <f t="shared" ca="1" si="147"/>
        <v>1.4551915228366852E-11</v>
      </c>
      <c r="AM207" s="918">
        <f t="shared" ca="1" si="148"/>
        <v>208633.8269141427</v>
      </c>
      <c r="AN207" s="915">
        <f t="shared" si="109"/>
        <v>16</v>
      </c>
      <c r="AO207" s="653">
        <f t="shared" si="149"/>
        <v>77534.903999999995</v>
      </c>
      <c r="AP207" s="916">
        <f t="shared" ca="1" si="150"/>
        <v>0</v>
      </c>
      <c r="AQ207" s="916">
        <f t="shared" si="151"/>
        <v>0</v>
      </c>
      <c r="AR207" s="653"/>
      <c r="AS207" s="653">
        <v>16</v>
      </c>
      <c r="AT207" s="909">
        <f t="shared" ca="1" si="110"/>
        <v>0</v>
      </c>
      <c r="AU207" s="909">
        <f t="shared" ca="1" si="111"/>
        <v>-120152.29903260405</v>
      </c>
      <c r="AV207" s="909">
        <f t="shared" ca="1" si="112"/>
        <v>-9861.4043032613663</v>
      </c>
      <c r="AW207" s="909">
        <f t="shared" si="113"/>
        <v>0</v>
      </c>
      <c r="AX207" s="909">
        <f t="shared" ca="1" si="114"/>
        <v>81696.514527460036</v>
      </c>
      <c r="AY207" s="909">
        <f t="shared" si="115"/>
        <v>48317.188808405401</v>
      </c>
      <c r="AZ207" s="909">
        <f t="shared" ca="1" si="116"/>
        <v>-48317.188808405379</v>
      </c>
      <c r="BA207" s="653"/>
      <c r="BB207" s="653">
        <f t="shared" si="152"/>
        <v>16</v>
      </c>
      <c r="BC207" s="909">
        <f t="shared" ca="1" si="153"/>
        <v>0</v>
      </c>
      <c r="BD207" s="909">
        <f t="shared" ca="1" si="154"/>
        <v>-2421895.6299179555</v>
      </c>
      <c r="BE207" s="909">
        <f t="shared" ca="1" si="155"/>
        <v>-198775.15602462133</v>
      </c>
      <c r="BF207" s="909">
        <f t="shared" si="156"/>
        <v>0</v>
      </c>
      <c r="BG207" s="909">
        <f t="shared" ca="1" si="157"/>
        <v>1646746.9462227572</v>
      </c>
      <c r="BH207" s="909">
        <f t="shared" si="158"/>
        <v>973924.83971982053</v>
      </c>
      <c r="BI207" s="909">
        <f t="shared" ca="1" si="159"/>
        <v>-973923.83971982019</v>
      </c>
      <c r="BJ207" s="909"/>
      <c r="BK207" s="653">
        <v>16</v>
      </c>
      <c r="BL207" s="909">
        <f t="shared" ca="1" si="117"/>
        <v>0</v>
      </c>
      <c r="BM207" s="909">
        <f t="shared" ca="1" si="118"/>
        <v>-192809.16793014269</v>
      </c>
      <c r="BN207" s="909">
        <f t="shared" ca="1" si="119"/>
        <v>-15824.658984000002</v>
      </c>
      <c r="BO207" s="909">
        <f t="shared" si="120"/>
        <v>0</v>
      </c>
      <c r="BP207" s="909">
        <f t="shared" ca="1" si="121"/>
        <v>131098.92291414272</v>
      </c>
      <c r="BQ207" s="909">
        <f t="shared" si="122"/>
        <v>77534.903999999995</v>
      </c>
      <c r="BR207" s="909">
        <f t="shared" ca="1" si="123"/>
        <v>-77534.90399999998</v>
      </c>
      <c r="BS207" s="653"/>
      <c r="BT207" s="653"/>
      <c r="BU207" s="653"/>
      <c r="BV207" s="654"/>
    </row>
    <row r="208" spans="2:74" x14ac:dyDescent="0.25">
      <c r="B208" s="651"/>
      <c r="C208" s="653"/>
      <c r="D208" s="653"/>
      <c r="E208" s="653"/>
      <c r="F208" s="653"/>
      <c r="G208" s="653"/>
      <c r="H208" s="653"/>
      <c r="I208" s="653"/>
      <c r="J208" s="653"/>
      <c r="K208" s="653"/>
      <c r="L208" s="653"/>
      <c r="M208" s="651">
        <v>17</v>
      </c>
      <c r="N208" s="909">
        <f t="shared" ca="1" si="124"/>
        <v>0</v>
      </c>
      <c r="O208" s="909">
        <f t="shared" ca="1" si="125"/>
        <v>0</v>
      </c>
      <c r="P208" s="909">
        <f t="shared" ca="1" si="126"/>
        <v>0</v>
      </c>
      <c r="Q208" s="910">
        <f t="shared" ca="1" si="127"/>
        <v>0</v>
      </c>
      <c r="R208" s="909">
        <f t="shared" ca="1" si="128"/>
        <v>192809.16793014269</v>
      </c>
      <c r="S208" s="909">
        <f t="shared" ca="1" si="129"/>
        <v>45036.995479229176</v>
      </c>
      <c r="T208" s="909">
        <f t="shared" ca="1" si="130"/>
        <v>147772.17245091352</v>
      </c>
      <c r="U208" s="909">
        <f t="shared" ca="1" si="131"/>
        <v>1353461.010190059</v>
      </c>
      <c r="V208" s="909">
        <f t="shared" ca="1" si="132"/>
        <v>8640</v>
      </c>
      <c r="W208" s="909">
        <f t="shared" ca="1" si="133"/>
        <v>7184.6589840000006</v>
      </c>
      <c r="X208" s="909">
        <f t="shared" ca="1" si="134"/>
        <v>208633.8269141427</v>
      </c>
      <c r="Y208" s="909">
        <f t="shared" si="135"/>
        <v>0</v>
      </c>
      <c r="Z208" s="910">
        <f t="shared" si="136"/>
        <v>0</v>
      </c>
      <c r="AA208" s="909">
        <f t="shared" ca="1" si="137"/>
        <v>0</v>
      </c>
      <c r="AB208" s="910">
        <f t="shared" ca="1" si="138"/>
        <v>0</v>
      </c>
      <c r="AC208" s="911">
        <f t="shared" ca="1" si="139"/>
        <v>131098.92291414272</v>
      </c>
      <c r="AD208" s="911">
        <f t="shared" ca="1" si="140"/>
        <v>2623560.948087737</v>
      </c>
      <c r="AE208" s="909">
        <f t="shared" ca="1" si="141"/>
        <v>0</v>
      </c>
      <c r="AF208" s="912">
        <f t="shared" ca="1" si="108"/>
        <v>0</v>
      </c>
      <c r="AG208" s="909">
        <f t="shared" si="142"/>
        <v>77534.903999999995</v>
      </c>
      <c r="AH208" s="917">
        <f t="shared" ca="1" si="143"/>
        <v>208633.8269141427</v>
      </c>
      <c r="AI208" s="909">
        <f t="shared" ca="1" si="144"/>
        <v>-208633.8269141427</v>
      </c>
      <c r="AJ208" s="916">
        <f t="shared" ca="1" si="145"/>
        <v>-131098.92291414272</v>
      </c>
      <c r="AK208" s="916">
        <f t="shared" ca="1" si="146"/>
        <v>-77534.90399999998</v>
      </c>
      <c r="AL208" s="909">
        <f t="shared" ca="1" si="147"/>
        <v>1.4551915228366852E-11</v>
      </c>
      <c r="AM208" s="918">
        <f t="shared" ca="1" si="148"/>
        <v>208633.8269141427</v>
      </c>
      <c r="AN208" s="915">
        <f t="shared" si="109"/>
        <v>17</v>
      </c>
      <c r="AO208" s="653">
        <f t="shared" si="149"/>
        <v>77534.903999999995</v>
      </c>
      <c r="AP208" s="916">
        <f t="shared" ca="1" si="150"/>
        <v>0</v>
      </c>
      <c r="AQ208" s="916">
        <f t="shared" si="151"/>
        <v>0</v>
      </c>
      <c r="AR208" s="653"/>
      <c r="AS208" s="653">
        <v>17</v>
      </c>
      <c r="AT208" s="909">
        <f t="shared" ca="1" si="110"/>
        <v>0</v>
      </c>
      <c r="AU208" s="909">
        <f t="shared" ca="1" si="111"/>
        <v>-116652.71750738258</v>
      </c>
      <c r="AV208" s="909">
        <f t="shared" ca="1" si="112"/>
        <v>-9574.1789352052092</v>
      </c>
      <c r="AW208" s="909">
        <f t="shared" si="113"/>
        <v>0</v>
      </c>
      <c r="AX208" s="909">
        <f t="shared" ca="1" si="114"/>
        <v>79317.004395592259</v>
      </c>
      <c r="AY208" s="909">
        <f t="shared" si="115"/>
        <v>46909.892046995534</v>
      </c>
      <c r="AZ208" s="909">
        <f t="shared" ca="1" si="116"/>
        <v>-46909.892046995534</v>
      </c>
      <c r="BA208" s="653"/>
      <c r="BB208" s="653">
        <f t="shared" si="152"/>
        <v>17</v>
      </c>
      <c r="BC208" s="909">
        <f t="shared" ca="1" si="153"/>
        <v>0</v>
      </c>
      <c r="BD208" s="909">
        <f t="shared" ca="1" si="154"/>
        <v>-2538548.3474253379</v>
      </c>
      <c r="BE208" s="909">
        <f t="shared" ca="1" si="155"/>
        <v>-208349.33495982655</v>
      </c>
      <c r="BF208" s="909">
        <f t="shared" si="156"/>
        <v>0</v>
      </c>
      <c r="BG208" s="909">
        <f t="shared" ca="1" si="157"/>
        <v>1726063.9506183495</v>
      </c>
      <c r="BH208" s="909">
        <f t="shared" si="158"/>
        <v>1020834.7317668161</v>
      </c>
      <c r="BI208" s="909">
        <f t="shared" ca="1" si="159"/>
        <v>-1020833.7317668158</v>
      </c>
      <c r="BJ208" s="909"/>
      <c r="BK208" s="653">
        <v>17</v>
      </c>
      <c r="BL208" s="909">
        <f t="shared" ca="1" si="117"/>
        <v>0</v>
      </c>
      <c r="BM208" s="909">
        <f t="shared" ca="1" si="118"/>
        <v>-192809.16793014269</v>
      </c>
      <c r="BN208" s="909">
        <f t="shared" ca="1" si="119"/>
        <v>-15824.658984000002</v>
      </c>
      <c r="BO208" s="909">
        <f t="shared" si="120"/>
        <v>0</v>
      </c>
      <c r="BP208" s="909">
        <f t="shared" ca="1" si="121"/>
        <v>131098.92291414272</v>
      </c>
      <c r="BQ208" s="909">
        <f t="shared" si="122"/>
        <v>77534.903999999995</v>
      </c>
      <c r="BR208" s="909">
        <f t="shared" ca="1" si="123"/>
        <v>-77534.90399999998</v>
      </c>
      <c r="BS208" s="653"/>
      <c r="BT208" s="653"/>
      <c r="BU208" s="653"/>
      <c r="BV208" s="654"/>
    </row>
    <row r="209" spans="2:74" x14ac:dyDescent="0.25">
      <c r="B209" s="651"/>
      <c r="C209" s="653"/>
      <c r="D209" s="653"/>
      <c r="E209" s="653"/>
      <c r="F209" s="653"/>
      <c r="G209" s="653"/>
      <c r="H209" s="653"/>
      <c r="I209" s="653"/>
      <c r="J209" s="653"/>
      <c r="K209" s="653"/>
      <c r="L209" s="653"/>
      <c r="M209" s="651">
        <v>18</v>
      </c>
      <c r="N209" s="909">
        <f t="shared" ca="1" si="124"/>
        <v>0</v>
      </c>
      <c r="O209" s="909">
        <f t="shared" ca="1" si="125"/>
        <v>0</v>
      </c>
      <c r="P209" s="909">
        <f t="shared" ca="1" si="126"/>
        <v>0</v>
      </c>
      <c r="Q209" s="910">
        <f t="shared" ca="1" si="127"/>
        <v>0</v>
      </c>
      <c r="R209" s="909">
        <f t="shared" ca="1" si="128"/>
        <v>192809.16793014269</v>
      </c>
      <c r="S209" s="909">
        <f t="shared" ca="1" si="129"/>
        <v>40603.830305701769</v>
      </c>
      <c r="T209" s="909">
        <f t="shared" ca="1" si="130"/>
        <v>152205.33762444093</v>
      </c>
      <c r="U209" s="909">
        <f t="shared" ca="1" si="131"/>
        <v>1201255.6725656181</v>
      </c>
      <c r="V209" s="909">
        <f t="shared" ca="1" si="132"/>
        <v>8640</v>
      </c>
      <c r="W209" s="909">
        <f t="shared" ca="1" si="133"/>
        <v>7184.6589840000006</v>
      </c>
      <c r="X209" s="909">
        <f t="shared" ca="1" si="134"/>
        <v>208633.8269141427</v>
      </c>
      <c r="Y209" s="909">
        <f t="shared" si="135"/>
        <v>0</v>
      </c>
      <c r="Z209" s="910">
        <f t="shared" si="136"/>
        <v>0</v>
      </c>
      <c r="AA209" s="909">
        <f t="shared" ca="1" si="137"/>
        <v>0</v>
      </c>
      <c r="AB209" s="910">
        <f t="shared" ca="1" si="138"/>
        <v>0</v>
      </c>
      <c r="AC209" s="911">
        <f t="shared" ca="1" si="139"/>
        <v>131098.92291414272</v>
      </c>
      <c r="AD209" s="911">
        <f t="shared" ca="1" si="140"/>
        <v>2807131.0899636345</v>
      </c>
      <c r="AE209" s="909">
        <f t="shared" ca="1" si="141"/>
        <v>0</v>
      </c>
      <c r="AF209" s="912">
        <f t="shared" ca="1" si="108"/>
        <v>0</v>
      </c>
      <c r="AG209" s="909">
        <f t="shared" si="142"/>
        <v>77534.903999999995</v>
      </c>
      <c r="AH209" s="917">
        <f t="shared" ca="1" si="143"/>
        <v>208633.8269141427</v>
      </c>
      <c r="AI209" s="909">
        <f t="shared" ca="1" si="144"/>
        <v>-208633.8269141427</v>
      </c>
      <c r="AJ209" s="916">
        <f t="shared" ca="1" si="145"/>
        <v>-131098.92291414272</v>
      </c>
      <c r="AK209" s="916">
        <f t="shared" ca="1" si="146"/>
        <v>-77534.90399999998</v>
      </c>
      <c r="AL209" s="909">
        <f t="shared" ca="1" si="147"/>
        <v>1.4551915228366852E-11</v>
      </c>
      <c r="AM209" s="918">
        <f t="shared" ca="1" si="148"/>
        <v>208633.8269141427</v>
      </c>
      <c r="AN209" s="915">
        <f t="shared" si="109"/>
        <v>18</v>
      </c>
      <c r="AO209" s="653">
        <f t="shared" si="149"/>
        <v>77534.903999999995</v>
      </c>
      <c r="AP209" s="916">
        <f t="shared" ca="1" si="150"/>
        <v>0</v>
      </c>
      <c r="AQ209" s="916">
        <f t="shared" si="151"/>
        <v>0</v>
      </c>
      <c r="AR209" s="653"/>
      <c r="AS209" s="653">
        <v>18</v>
      </c>
      <c r="AT209" s="909">
        <f t="shared" ca="1" si="110"/>
        <v>0</v>
      </c>
      <c r="AU209" s="909">
        <f t="shared" ca="1" si="111"/>
        <v>-113255.06554114813</v>
      </c>
      <c r="AV209" s="909">
        <f t="shared" ca="1" si="112"/>
        <v>-9295.3193545681643</v>
      </c>
      <c r="AW209" s="909">
        <f t="shared" si="113"/>
        <v>0</v>
      </c>
      <c r="AX209" s="909">
        <f t="shared" ca="1" si="114"/>
        <v>77006.800384070157</v>
      </c>
      <c r="AY209" s="909">
        <f t="shared" si="115"/>
        <v>45543.584511646142</v>
      </c>
      <c r="AZ209" s="909">
        <f t="shared" ca="1" si="116"/>
        <v>-45543.584511646142</v>
      </c>
      <c r="BA209" s="653"/>
      <c r="BB209" s="653">
        <f t="shared" si="152"/>
        <v>18</v>
      </c>
      <c r="BC209" s="909">
        <f t="shared" ca="1" si="153"/>
        <v>0</v>
      </c>
      <c r="BD209" s="909">
        <f t="shared" ca="1" si="154"/>
        <v>-2651803.4129664861</v>
      </c>
      <c r="BE209" s="909">
        <f t="shared" ca="1" si="155"/>
        <v>-217644.65431439472</v>
      </c>
      <c r="BF209" s="909">
        <f t="shared" si="156"/>
        <v>0</v>
      </c>
      <c r="BG209" s="909">
        <f t="shared" ca="1" si="157"/>
        <v>1803070.7510024197</v>
      </c>
      <c r="BH209" s="909">
        <f t="shared" si="158"/>
        <v>1066378.3162784623</v>
      </c>
      <c r="BI209" s="909">
        <f t="shared" ca="1" si="159"/>
        <v>-1066377.3162784618</v>
      </c>
      <c r="BJ209" s="909"/>
      <c r="BK209" s="653">
        <v>18</v>
      </c>
      <c r="BL209" s="909">
        <f t="shared" ca="1" si="117"/>
        <v>0</v>
      </c>
      <c r="BM209" s="909">
        <f t="shared" ca="1" si="118"/>
        <v>-192809.16793014269</v>
      </c>
      <c r="BN209" s="909">
        <f t="shared" ca="1" si="119"/>
        <v>-15824.658984000002</v>
      </c>
      <c r="BO209" s="909">
        <f t="shared" si="120"/>
        <v>0</v>
      </c>
      <c r="BP209" s="909">
        <f t="shared" ca="1" si="121"/>
        <v>131098.92291414272</v>
      </c>
      <c r="BQ209" s="909">
        <f t="shared" si="122"/>
        <v>77534.903999999995</v>
      </c>
      <c r="BR209" s="909">
        <f t="shared" ca="1" si="123"/>
        <v>-77534.90399999998</v>
      </c>
      <c r="BS209" s="653"/>
      <c r="BT209" s="653"/>
      <c r="BU209" s="653"/>
      <c r="BV209" s="654"/>
    </row>
    <row r="210" spans="2:74" x14ac:dyDescent="0.25">
      <c r="B210" s="651"/>
      <c r="C210" s="653"/>
      <c r="D210" s="653"/>
      <c r="E210" s="653"/>
      <c r="F210" s="653"/>
      <c r="G210" s="653"/>
      <c r="H210" s="653"/>
      <c r="I210" s="653"/>
      <c r="J210" s="653"/>
      <c r="K210" s="653"/>
      <c r="L210" s="653"/>
      <c r="M210" s="651">
        <v>19</v>
      </c>
      <c r="N210" s="909">
        <f t="shared" ca="1" si="124"/>
        <v>0</v>
      </c>
      <c r="O210" s="909">
        <f t="shared" ca="1" si="125"/>
        <v>0</v>
      </c>
      <c r="P210" s="909">
        <f t="shared" ca="1" si="126"/>
        <v>0</v>
      </c>
      <c r="Q210" s="910">
        <f t="shared" ca="1" si="127"/>
        <v>0</v>
      </c>
      <c r="R210" s="909">
        <f t="shared" ca="1" si="128"/>
        <v>192809.16793014269</v>
      </c>
      <c r="S210" s="909">
        <f t="shared" ca="1" si="129"/>
        <v>36037.670176968539</v>
      </c>
      <c r="T210" s="909">
        <f t="shared" ca="1" si="130"/>
        <v>156771.49775317416</v>
      </c>
      <c r="U210" s="909">
        <f t="shared" ca="1" si="131"/>
        <v>1044484.1748124439</v>
      </c>
      <c r="V210" s="909">
        <f t="shared" ca="1" si="132"/>
        <v>8640</v>
      </c>
      <c r="W210" s="909">
        <f t="shared" ca="1" si="133"/>
        <v>7184.6589840000006</v>
      </c>
      <c r="X210" s="909">
        <f t="shared" ca="1" si="134"/>
        <v>208633.8269141427</v>
      </c>
      <c r="Y210" s="909">
        <f t="shared" si="135"/>
        <v>0</v>
      </c>
      <c r="Z210" s="910">
        <f t="shared" si="136"/>
        <v>0</v>
      </c>
      <c r="AA210" s="909">
        <f t="shared" ca="1" si="137"/>
        <v>0</v>
      </c>
      <c r="AB210" s="910">
        <f t="shared" ca="1" si="138"/>
        <v>0</v>
      </c>
      <c r="AC210" s="911">
        <f t="shared" ca="1" si="139"/>
        <v>131098.92291414272</v>
      </c>
      <c r="AD210" s="911">
        <f t="shared" ca="1" si="140"/>
        <v>2994372.6346770502</v>
      </c>
      <c r="AE210" s="909">
        <f t="shared" ca="1" si="141"/>
        <v>0</v>
      </c>
      <c r="AF210" s="912">
        <f t="shared" ca="1" si="108"/>
        <v>0</v>
      </c>
      <c r="AG210" s="909">
        <f t="shared" si="142"/>
        <v>77534.903999999995</v>
      </c>
      <c r="AH210" s="917">
        <f t="shared" ca="1" si="143"/>
        <v>208633.8269141427</v>
      </c>
      <c r="AI210" s="909">
        <f t="shared" ca="1" si="144"/>
        <v>-208633.8269141427</v>
      </c>
      <c r="AJ210" s="916">
        <f t="shared" ca="1" si="145"/>
        <v>-131098.92291414272</v>
      </c>
      <c r="AK210" s="916">
        <f t="shared" ca="1" si="146"/>
        <v>-77534.90399999998</v>
      </c>
      <c r="AL210" s="909">
        <f t="shared" ca="1" si="147"/>
        <v>1.4551915228366852E-11</v>
      </c>
      <c r="AM210" s="918">
        <f t="shared" ca="1" si="148"/>
        <v>208633.8269141427</v>
      </c>
      <c r="AN210" s="915">
        <f t="shared" si="109"/>
        <v>19</v>
      </c>
      <c r="AO210" s="653">
        <f t="shared" si="149"/>
        <v>77534.903999999995</v>
      </c>
      <c r="AP210" s="916">
        <f t="shared" ca="1" si="150"/>
        <v>0</v>
      </c>
      <c r="AQ210" s="916">
        <f t="shared" si="151"/>
        <v>0</v>
      </c>
      <c r="AR210" s="653"/>
      <c r="AS210" s="653">
        <v>19</v>
      </c>
      <c r="AT210" s="909">
        <f t="shared" ca="1" si="110"/>
        <v>0</v>
      </c>
      <c r="AU210" s="909">
        <f t="shared" ca="1" si="111"/>
        <v>-109956.37431179429</v>
      </c>
      <c r="AV210" s="909">
        <f t="shared" ca="1" si="112"/>
        <v>-9024.5818976389946</v>
      </c>
      <c r="AW210" s="909">
        <f t="shared" si="113"/>
        <v>0</v>
      </c>
      <c r="AX210" s="909">
        <f t="shared" ca="1" si="114"/>
        <v>74763.883868029283</v>
      </c>
      <c r="AY210" s="909">
        <f t="shared" si="115"/>
        <v>44217.072341404026</v>
      </c>
      <c r="AZ210" s="909">
        <f t="shared" ca="1" si="116"/>
        <v>-44217.072341404011</v>
      </c>
      <c r="BA210" s="653"/>
      <c r="BB210" s="653">
        <f t="shared" si="152"/>
        <v>19</v>
      </c>
      <c r="BC210" s="909">
        <f t="shared" ca="1" si="153"/>
        <v>0</v>
      </c>
      <c r="BD210" s="909">
        <f t="shared" ca="1" si="154"/>
        <v>-2761759.7872782806</v>
      </c>
      <c r="BE210" s="909">
        <f t="shared" ca="1" si="155"/>
        <v>-226669.23621203372</v>
      </c>
      <c r="BF210" s="909">
        <f t="shared" si="156"/>
        <v>0</v>
      </c>
      <c r="BG210" s="909">
        <f t="shared" ca="1" si="157"/>
        <v>1877834.6348704491</v>
      </c>
      <c r="BH210" s="909">
        <f t="shared" si="158"/>
        <v>1110595.3886198662</v>
      </c>
      <c r="BI210" s="909">
        <f t="shared" ca="1" si="159"/>
        <v>-1110594.3886198658</v>
      </c>
      <c r="BJ210" s="909"/>
      <c r="BK210" s="653">
        <v>19</v>
      </c>
      <c r="BL210" s="909">
        <f t="shared" ca="1" si="117"/>
        <v>0</v>
      </c>
      <c r="BM210" s="909">
        <f t="shared" ca="1" si="118"/>
        <v>-192809.16793014269</v>
      </c>
      <c r="BN210" s="909">
        <f t="shared" ca="1" si="119"/>
        <v>-15824.658984000002</v>
      </c>
      <c r="BO210" s="909">
        <f t="shared" si="120"/>
        <v>0</v>
      </c>
      <c r="BP210" s="909">
        <f t="shared" ca="1" si="121"/>
        <v>131098.92291414272</v>
      </c>
      <c r="BQ210" s="909">
        <f t="shared" si="122"/>
        <v>77534.903999999995</v>
      </c>
      <c r="BR210" s="909">
        <f t="shared" ca="1" si="123"/>
        <v>-77534.90399999998</v>
      </c>
      <c r="BS210" s="653"/>
      <c r="BT210" s="653"/>
      <c r="BU210" s="653"/>
      <c r="BV210" s="654"/>
    </row>
    <row r="211" spans="2:74" x14ac:dyDescent="0.25">
      <c r="B211" s="651"/>
      <c r="C211" s="653"/>
      <c r="D211" s="653"/>
      <c r="E211" s="653"/>
      <c r="F211" s="653"/>
      <c r="G211" s="653"/>
      <c r="H211" s="653"/>
      <c r="I211" s="653"/>
      <c r="J211" s="653"/>
      <c r="K211" s="653"/>
      <c r="L211" s="653"/>
      <c r="M211" s="651">
        <v>20</v>
      </c>
      <c r="N211" s="909">
        <f t="shared" ca="1" si="124"/>
        <v>0</v>
      </c>
      <c r="O211" s="909">
        <f t="shared" ca="1" si="125"/>
        <v>0</v>
      </c>
      <c r="P211" s="909">
        <f t="shared" ca="1" si="126"/>
        <v>0</v>
      </c>
      <c r="Q211" s="910">
        <f t="shared" ca="1" si="127"/>
        <v>0</v>
      </c>
      <c r="R211" s="909">
        <f t="shared" ca="1" si="128"/>
        <v>192809.16793014269</v>
      </c>
      <c r="S211" s="909">
        <f t="shared" ca="1" si="129"/>
        <v>31334.525244373315</v>
      </c>
      <c r="T211" s="909">
        <f t="shared" ca="1" si="130"/>
        <v>161474.64268576939</v>
      </c>
      <c r="U211" s="909">
        <f t="shared" ca="1" si="131"/>
        <v>883009.53212667454</v>
      </c>
      <c r="V211" s="909">
        <f t="shared" ca="1" si="132"/>
        <v>8640</v>
      </c>
      <c r="W211" s="909">
        <f t="shared" ca="1" si="133"/>
        <v>7184.6589840000006</v>
      </c>
      <c r="X211" s="909">
        <f t="shared" ca="1" si="134"/>
        <v>208633.8269141427</v>
      </c>
      <c r="Y211" s="909">
        <f t="shared" si="135"/>
        <v>0</v>
      </c>
      <c r="Z211" s="910">
        <f t="shared" si="136"/>
        <v>0</v>
      </c>
      <c r="AA211" s="909">
        <f t="shared" ca="1" si="137"/>
        <v>0</v>
      </c>
      <c r="AB211" s="910">
        <f t="shared" ca="1" si="138"/>
        <v>0</v>
      </c>
      <c r="AC211" s="911">
        <f t="shared" ca="1" si="139"/>
        <v>131098.92291414272</v>
      </c>
      <c r="AD211" s="911">
        <f t="shared" ca="1" si="140"/>
        <v>3185359.010284734</v>
      </c>
      <c r="AE211" s="909">
        <f t="shared" ca="1" si="141"/>
        <v>0</v>
      </c>
      <c r="AF211" s="912">
        <f t="shared" ca="1" si="108"/>
        <v>0</v>
      </c>
      <c r="AG211" s="909">
        <f t="shared" si="142"/>
        <v>77534.903999999995</v>
      </c>
      <c r="AH211" s="917">
        <f t="shared" ca="1" si="143"/>
        <v>208633.8269141427</v>
      </c>
      <c r="AI211" s="909">
        <f t="shared" ca="1" si="144"/>
        <v>-208633.8269141427</v>
      </c>
      <c r="AJ211" s="916">
        <f t="shared" ca="1" si="145"/>
        <v>-131098.92291414272</v>
      </c>
      <c r="AK211" s="916">
        <f t="shared" ca="1" si="146"/>
        <v>-77534.90399999998</v>
      </c>
      <c r="AL211" s="909">
        <f t="shared" ca="1" si="147"/>
        <v>1.4551915228366852E-11</v>
      </c>
      <c r="AM211" s="918">
        <f t="shared" ca="1" si="148"/>
        <v>208633.8269141427</v>
      </c>
      <c r="AN211" s="915">
        <f t="shared" si="109"/>
        <v>20</v>
      </c>
      <c r="AO211" s="653">
        <f t="shared" si="149"/>
        <v>77534.903999999995</v>
      </c>
      <c r="AP211" s="916">
        <f t="shared" ca="1" si="150"/>
        <v>0</v>
      </c>
      <c r="AQ211" s="916">
        <f t="shared" si="151"/>
        <v>0</v>
      </c>
      <c r="AR211" s="653"/>
      <c r="AS211" s="653">
        <v>20</v>
      </c>
      <c r="AT211" s="909">
        <f t="shared" ca="1" si="110"/>
        <v>0</v>
      </c>
      <c r="AU211" s="909">
        <f t="shared" ca="1" si="111"/>
        <v>-106753.76146776146</v>
      </c>
      <c r="AV211" s="909">
        <f t="shared" ca="1" si="112"/>
        <v>-8761.7299977077619</v>
      </c>
      <c r="AW211" s="909">
        <f t="shared" si="113"/>
        <v>0</v>
      </c>
      <c r="AX211" s="909">
        <f t="shared" ca="1" si="114"/>
        <v>72586.295017504162</v>
      </c>
      <c r="AY211" s="909">
        <f t="shared" si="115"/>
        <v>42929.196447965078</v>
      </c>
      <c r="AZ211" s="909">
        <f t="shared" ca="1" si="116"/>
        <v>-42929.196447965063</v>
      </c>
      <c r="BA211" s="653"/>
      <c r="BB211" s="653">
        <f t="shared" si="152"/>
        <v>20</v>
      </c>
      <c r="BC211" s="909">
        <f t="shared" ca="1" si="153"/>
        <v>0</v>
      </c>
      <c r="BD211" s="909">
        <f t="shared" ca="1" si="154"/>
        <v>-2868513.548746042</v>
      </c>
      <c r="BE211" s="909">
        <f t="shared" ca="1" si="155"/>
        <v>-235430.96620974148</v>
      </c>
      <c r="BF211" s="909">
        <f t="shared" si="156"/>
        <v>0</v>
      </c>
      <c r="BG211" s="909">
        <f t="shared" ca="1" si="157"/>
        <v>1950420.9298879532</v>
      </c>
      <c r="BH211" s="909">
        <f t="shared" si="158"/>
        <v>1153524.5850678312</v>
      </c>
      <c r="BI211" s="909">
        <f t="shared" ca="1" si="159"/>
        <v>-1153523.5850678307</v>
      </c>
      <c r="BJ211" s="909"/>
      <c r="BK211" s="653">
        <v>20</v>
      </c>
      <c r="BL211" s="909">
        <f t="shared" ca="1" si="117"/>
        <v>0</v>
      </c>
      <c r="BM211" s="909">
        <f t="shared" ca="1" si="118"/>
        <v>-192809.16793014269</v>
      </c>
      <c r="BN211" s="909">
        <f t="shared" ca="1" si="119"/>
        <v>-15824.658984000002</v>
      </c>
      <c r="BO211" s="909">
        <f t="shared" si="120"/>
        <v>0</v>
      </c>
      <c r="BP211" s="909">
        <f t="shared" ca="1" si="121"/>
        <v>131098.92291414272</v>
      </c>
      <c r="BQ211" s="909">
        <f t="shared" si="122"/>
        <v>77534.903999999995</v>
      </c>
      <c r="BR211" s="909">
        <f t="shared" ca="1" si="123"/>
        <v>-77534.90399999998</v>
      </c>
      <c r="BS211" s="653"/>
      <c r="BT211" s="653"/>
      <c r="BU211" s="653"/>
      <c r="BV211" s="654"/>
    </row>
    <row r="212" spans="2:74" x14ac:dyDescent="0.25">
      <c r="B212" s="651"/>
      <c r="C212" s="653"/>
      <c r="D212" s="653"/>
      <c r="E212" s="653"/>
      <c r="F212" s="653"/>
      <c r="G212" s="653"/>
      <c r="H212" s="653"/>
      <c r="I212" s="653"/>
      <c r="J212" s="653"/>
      <c r="K212" s="653"/>
      <c r="L212" s="653"/>
      <c r="M212" s="651">
        <v>21</v>
      </c>
      <c r="N212" s="909">
        <f t="shared" ca="1" si="124"/>
        <v>0</v>
      </c>
      <c r="O212" s="909">
        <f t="shared" ca="1" si="125"/>
        <v>0</v>
      </c>
      <c r="P212" s="909">
        <f t="shared" ca="1" si="126"/>
        <v>0</v>
      </c>
      <c r="Q212" s="910">
        <f t="shared" ca="1" si="127"/>
        <v>0</v>
      </c>
      <c r="R212" s="909">
        <f t="shared" ca="1" si="128"/>
        <v>192809.16793014269</v>
      </c>
      <c r="S212" s="909">
        <f t="shared" ca="1" si="129"/>
        <v>26490.285963800234</v>
      </c>
      <c r="T212" s="909">
        <f t="shared" ca="1" si="130"/>
        <v>166318.88196634245</v>
      </c>
      <c r="U212" s="909">
        <f t="shared" ca="1" si="131"/>
        <v>716690.65016033209</v>
      </c>
      <c r="V212" s="909">
        <f t="shared" ca="1" si="132"/>
        <v>8640</v>
      </c>
      <c r="W212" s="909">
        <f t="shared" ca="1" si="133"/>
        <v>7184.6589840000006</v>
      </c>
      <c r="X212" s="909">
        <f t="shared" ca="1" si="134"/>
        <v>208633.8269141427</v>
      </c>
      <c r="Y212" s="909">
        <f t="shared" si="135"/>
        <v>0</v>
      </c>
      <c r="Z212" s="910">
        <f t="shared" si="136"/>
        <v>0</v>
      </c>
      <c r="AA212" s="909">
        <f t="shared" ca="1" si="137"/>
        <v>0</v>
      </c>
      <c r="AB212" s="910">
        <f t="shared" ca="1" si="138"/>
        <v>0</v>
      </c>
      <c r="AC212" s="911">
        <f t="shared" ca="1" si="139"/>
        <v>131098.92291414272</v>
      </c>
      <c r="AD212" s="911">
        <f t="shared" ca="1" si="140"/>
        <v>3380165.1134045715</v>
      </c>
      <c r="AE212" s="909">
        <f t="shared" ca="1" si="141"/>
        <v>0</v>
      </c>
      <c r="AF212" s="912">
        <f t="shared" ca="1" si="108"/>
        <v>0</v>
      </c>
      <c r="AG212" s="909">
        <f t="shared" si="142"/>
        <v>77534.903999999995</v>
      </c>
      <c r="AH212" s="917">
        <f t="shared" ca="1" si="143"/>
        <v>208633.8269141427</v>
      </c>
      <c r="AI212" s="909">
        <f t="shared" ca="1" si="144"/>
        <v>-208633.8269141427</v>
      </c>
      <c r="AJ212" s="916">
        <f t="shared" ca="1" si="145"/>
        <v>-131098.92291414272</v>
      </c>
      <c r="AK212" s="916">
        <f t="shared" ca="1" si="146"/>
        <v>-77534.90399999998</v>
      </c>
      <c r="AL212" s="909">
        <f t="shared" ca="1" si="147"/>
        <v>1.4551915228366852E-11</v>
      </c>
      <c r="AM212" s="918">
        <f t="shared" ca="1" si="148"/>
        <v>208633.8269141427</v>
      </c>
      <c r="AN212" s="915">
        <f t="shared" si="109"/>
        <v>21</v>
      </c>
      <c r="AO212" s="653">
        <f t="shared" si="149"/>
        <v>77534.903999999995</v>
      </c>
      <c r="AP212" s="916">
        <f t="shared" ca="1" si="150"/>
        <v>0</v>
      </c>
      <c r="AQ212" s="916">
        <f t="shared" si="151"/>
        <v>0</v>
      </c>
      <c r="AR212" s="653"/>
      <c r="AS212" s="653">
        <v>21</v>
      </c>
      <c r="AT212" s="909">
        <f t="shared" ca="1" si="110"/>
        <v>0</v>
      </c>
      <c r="AU212" s="909">
        <f t="shared" ca="1" si="111"/>
        <v>-103644.42860947715</v>
      </c>
      <c r="AV212" s="909">
        <f t="shared" ca="1" si="112"/>
        <v>-8506.5339783570507</v>
      </c>
      <c r="AW212" s="909">
        <f t="shared" si="113"/>
        <v>0</v>
      </c>
      <c r="AX212" s="909">
        <f t="shared" ca="1" si="114"/>
        <v>70472.131084955501</v>
      </c>
      <c r="AY212" s="909">
        <f t="shared" si="115"/>
        <v>41678.831502878718</v>
      </c>
      <c r="AZ212" s="909">
        <f t="shared" ca="1" si="116"/>
        <v>-41678.831502878704</v>
      </c>
      <c r="BA212" s="653"/>
      <c r="BB212" s="653">
        <f t="shared" si="152"/>
        <v>21</v>
      </c>
      <c r="BC212" s="909">
        <f t="shared" ca="1" si="153"/>
        <v>0</v>
      </c>
      <c r="BD212" s="909">
        <f t="shared" ca="1" si="154"/>
        <v>-2972157.9773555193</v>
      </c>
      <c r="BE212" s="909">
        <f t="shared" ca="1" si="155"/>
        <v>-243937.50018809852</v>
      </c>
      <c r="BF212" s="909">
        <f t="shared" si="156"/>
        <v>0</v>
      </c>
      <c r="BG212" s="909">
        <f t="shared" ca="1" si="157"/>
        <v>2020893.0609729087</v>
      </c>
      <c r="BH212" s="909">
        <f t="shared" si="158"/>
        <v>1195203.41657071</v>
      </c>
      <c r="BI212" s="909">
        <f t="shared" ca="1" si="159"/>
        <v>-1195202.4165707096</v>
      </c>
      <c r="BJ212" s="909"/>
      <c r="BK212" s="653">
        <v>21</v>
      </c>
      <c r="BL212" s="909">
        <f t="shared" ca="1" si="117"/>
        <v>0</v>
      </c>
      <c r="BM212" s="909">
        <f t="shared" ca="1" si="118"/>
        <v>-192809.16793014269</v>
      </c>
      <c r="BN212" s="909">
        <f t="shared" ca="1" si="119"/>
        <v>-15824.658984000002</v>
      </c>
      <c r="BO212" s="909">
        <f t="shared" si="120"/>
        <v>0</v>
      </c>
      <c r="BP212" s="909">
        <f t="shared" ca="1" si="121"/>
        <v>131098.92291414272</v>
      </c>
      <c r="BQ212" s="909">
        <f t="shared" si="122"/>
        <v>77534.903999999995</v>
      </c>
      <c r="BR212" s="909">
        <f t="shared" ca="1" si="123"/>
        <v>-77534.90399999998</v>
      </c>
      <c r="BS212" s="653"/>
      <c r="BT212" s="653"/>
      <c r="BU212" s="653"/>
      <c r="BV212" s="654"/>
    </row>
    <row r="213" spans="2:74" x14ac:dyDescent="0.25">
      <c r="B213" s="651"/>
      <c r="C213" s="653"/>
      <c r="D213" s="653"/>
      <c r="E213" s="653"/>
      <c r="F213" s="653"/>
      <c r="G213" s="653"/>
      <c r="H213" s="653"/>
      <c r="I213" s="653"/>
      <c r="J213" s="653"/>
      <c r="K213" s="653"/>
      <c r="L213" s="653"/>
      <c r="M213" s="651">
        <v>22</v>
      </c>
      <c r="N213" s="909">
        <f t="shared" ca="1" si="124"/>
        <v>0</v>
      </c>
      <c r="O213" s="909">
        <f t="shared" ca="1" si="125"/>
        <v>0</v>
      </c>
      <c r="P213" s="909">
        <f t="shared" ca="1" si="126"/>
        <v>0</v>
      </c>
      <c r="Q213" s="910">
        <f t="shared" ca="1" si="127"/>
        <v>0</v>
      </c>
      <c r="R213" s="909">
        <f t="shared" ca="1" si="128"/>
        <v>192809.16793014269</v>
      </c>
      <c r="S213" s="909">
        <f t="shared" ca="1" si="129"/>
        <v>21500.719504809964</v>
      </c>
      <c r="T213" s="909">
        <f t="shared" ca="1" si="130"/>
        <v>171308.44842533272</v>
      </c>
      <c r="U213" s="909">
        <f t="shared" ca="1" si="131"/>
        <v>545382.20173499943</v>
      </c>
      <c r="V213" s="909">
        <f t="shared" ca="1" si="132"/>
        <v>8640</v>
      </c>
      <c r="W213" s="909">
        <f t="shared" ca="1" si="133"/>
        <v>7184.6589840000006</v>
      </c>
      <c r="X213" s="909">
        <f t="shared" ca="1" si="134"/>
        <v>208633.8269141427</v>
      </c>
      <c r="Y213" s="909">
        <f t="shared" si="135"/>
        <v>0</v>
      </c>
      <c r="Z213" s="910">
        <f t="shared" si="136"/>
        <v>0</v>
      </c>
      <c r="AA213" s="909">
        <f t="shared" ca="1" si="137"/>
        <v>0</v>
      </c>
      <c r="AB213" s="910">
        <f t="shared" ca="1" si="138"/>
        <v>0</v>
      </c>
      <c r="AC213" s="911">
        <f t="shared" ca="1" si="139"/>
        <v>131098.92291414272</v>
      </c>
      <c r="AD213" s="911">
        <f t="shared" ca="1" si="140"/>
        <v>3578867.3385868059</v>
      </c>
      <c r="AE213" s="909">
        <f t="shared" ca="1" si="141"/>
        <v>0</v>
      </c>
      <c r="AF213" s="912">
        <f t="shared" ca="1" si="108"/>
        <v>0</v>
      </c>
      <c r="AG213" s="909">
        <f t="shared" si="142"/>
        <v>77534.903999999995</v>
      </c>
      <c r="AH213" s="917">
        <f t="shared" ca="1" si="143"/>
        <v>208633.8269141427</v>
      </c>
      <c r="AI213" s="909">
        <f t="shared" ca="1" si="144"/>
        <v>-208633.8269141427</v>
      </c>
      <c r="AJ213" s="916">
        <f t="shared" ca="1" si="145"/>
        <v>-131098.92291414272</v>
      </c>
      <c r="AK213" s="916">
        <f t="shared" ca="1" si="146"/>
        <v>-77534.90399999998</v>
      </c>
      <c r="AL213" s="909">
        <f t="shared" ca="1" si="147"/>
        <v>1.4551915228366852E-11</v>
      </c>
      <c r="AM213" s="918">
        <f t="shared" ca="1" si="148"/>
        <v>208633.8269141427</v>
      </c>
      <c r="AN213" s="915">
        <f t="shared" si="109"/>
        <v>22</v>
      </c>
      <c r="AO213" s="653">
        <f t="shared" si="149"/>
        <v>77534.903999999995</v>
      </c>
      <c r="AP213" s="916">
        <f t="shared" ca="1" si="150"/>
        <v>0</v>
      </c>
      <c r="AQ213" s="916">
        <f t="shared" si="151"/>
        <v>0</v>
      </c>
      <c r="AR213" s="653"/>
      <c r="AS213" s="653">
        <v>22</v>
      </c>
      <c r="AT213" s="909">
        <f t="shared" ca="1" si="110"/>
        <v>0</v>
      </c>
      <c r="AU213" s="909">
        <f t="shared" ca="1" si="111"/>
        <v>-100625.65884415258</v>
      </c>
      <c r="AV213" s="909">
        <f t="shared" ca="1" si="112"/>
        <v>-8258.7708527738359</v>
      </c>
      <c r="AW213" s="909">
        <f t="shared" si="113"/>
        <v>0</v>
      </c>
      <c r="AX213" s="909">
        <f t="shared" ca="1" si="114"/>
        <v>68419.544742675251</v>
      </c>
      <c r="AY213" s="909">
        <f t="shared" si="115"/>
        <v>40464.884954251182</v>
      </c>
      <c r="AZ213" s="909">
        <f t="shared" ca="1" si="116"/>
        <v>-40464.88495425116</v>
      </c>
      <c r="BA213" s="653"/>
      <c r="BB213" s="653">
        <f t="shared" si="152"/>
        <v>22</v>
      </c>
      <c r="BC213" s="909">
        <f t="shared" ca="1" si="153"/>
        <v>0</v>
      </c>
      <c r="BD213" s="909">
        <f t="shared" ca="1" si="154"/>
        <v>-3072783.6361996718</v>
      </c>
      <c r="BE213" s="909">
        <f t="shared" ca="1" si="155"/>
        <v>-252196.27104087235</v>
      </c>
      <c r="BF213" s="909">
        <f t="shared" si="156"/>
        <v>0</v>
      </c>
      <c r="BG213" s="909">
        <f t="shared" ca="1" si="157"/>
        <v>2089312.605715584</v>
      </c>
      <c r="BH213" s="909">
        <f t="shared" si="158"/>
        <v>1235668.3015249611</v>
      </c>
      <c r="BI213" s="909">
        <f t="shared" ca="1" si="159"/>
        <v>-1235667.3015249607</v>
      </c>
      <c r="BJ213" s="909"/>
      <c r="BK213" s="653">
        <v>22</v>
      </c>
      <c r="BL213" s="909">
        <f t="shared" ca="1" si="117"/>
        <v>0</v>
      </c>
      <c r="BM213" s="909">
        <f t="shared" ca="1" si="118"/>
        <v>-192809.16793014269</v>
      </c>
      <c r="BN213" s="909">
        <f t="shared" ca="1" si="119"/>
        <v>-15824.658984000002</v>
      </c>
      <c r="BO213" s="909">
        <f t="shared" si="120"/>
        <v>0</v>
      </c>
      <c r="BP213" s="909">
        <f t="shared" ca="1" si="121"/>
        <v>131098.92291414272</v>
      </c>
      <c r="BQ213" s="909">
        <f t="shared" si="122"/>
        <v>77534.903999999995</v>
      </c>
      <c r="BR213" s="909">
        <f t="shared" ca="1" si="123"/>
        <v>-77534.90399999998</v>
      </c>
      <c r="BS213" s="653"/>
      <c r="BT213" s="653"/>
      <c r="BU213" s="653"/>
      <c r="BV213" s="654"/>
    </row>
    <row r="214" spans="2:74" x14ac:dyDescent="0.25">
      <c r="B214" s="651"/>
      <c r="C214" s="653"/>
      <c r="D214" s="653"/>
      <c r="E214" s="653"/>
      <c r="F214" s="653"/>
      <c r="G214" s="653"/>
      <c r="H214" s="653"/>
      <c r="I214" s="653"/>
      <c r="J214" s="653"/>
      <c r="K214" s="653"/>
      <c r="L214" s="653"/>
      <c r="M214" s="651">
        <v>23</v>
      </c>
      <c r="N214" s="909">
        <f t="shared" ca="1" si="124"/>
        <v>0</v>
      </c>
      <c r="O214" s="909">
        <f t="shared" ca="1" si="125"/>
        <v>0</v>
      </c>
      <c r="P214" s="909">
        <f t="shared" ca="1" si="126"/>
        <v>0</v>
      </c>
      <c r="Q214" s="910">
        <f t="shared" ca="1" si="127"/>
        <v>0</v>
      </c>
      <c r="R214" s="909">
        <f t="shared" ca="1" si="128"/>
        <v>192809.16793014269</v>
      </c>
      <c r="S214" s="909">
        <f t="shared" ca="1" si="129"/>
        <v>16361.466052049982</v>
      </c>
      <c r="T214" s="909">
        <f t="shared" ca="1" si="130"/>
        <v>176447.70187809272</v>
      </c>
      <c r="U214" s="909">
        <f t="shared" ca="1" si="131"/>
        <v>368934.49985690671</v>
      </c>
      <c r="V214" s="909">
        <f t="shared" ca="1" si="132"/>
        <v>8640</v>
      </c>
      <c r="W214" s="909">
        <f t="shared" ca="1" si="133"/>
        <v>7184.6589840000006</v>
      </c>
      <c r="X214" s="909">
        <f t="shared" ca="1" si="134"/>
        <v>208633.8269141427</v>
      </c>
      <c r="Y214" s="909">
        <f t="shared" si="135"/>
        <v>0</v>
      </c>
      <c r="Z214" s="910">
        <f t="shared" si="136"/>
        <v>0</v>
      </c>
      <c r="AA214" s="909">
        <f t="shared" ca="1" si="137"/>
        <v>0</v>
      </c>
      <c r="AB214" s="910">
        <f t="shared" ca="1" si="138"/>
        <v>0</v>
      </c>
      <c r="AC214" s="911">
        <f t="shared" ca="1" si="139"/>
        <v>131098.92291414272</v>
      </c>
      <c r="AD214" s="911">
        <f t="shared" ca="1" si="140"/>
        <v>3781543.6082726847</v>
      </c>
      <c r="AE214" s="909">
        <f t="shared" ca="1" si="141"/>
        <v>0</v>
      </c>
      <c r="AF214" s="912">
        <f t="shared" ca="1" si="108"/>
        <v>0</v>
      </c>
      <c r="AG214" s="909">
        <f t="shared" si="142"/>
        <v>77534.903999999995</v>
      </c>
      <c r="AH214" s="917">
        <f t="shared" ca="1" si="143"/>
        <v>208633.8269141427</v>
      </c>
      <c r="AI214" s="909">
        <f t="shared" ca="1" si="144"/>
        <v>-208633.8269141427</v>
      </c>
      <c r="AJ214" s="916">
        <f t="shared" ca="1" si="145"/>
        <v>-131098.92291414272</v>
      </c>
      <c r="AK214" s="916">
        <f t="shared" ca="1" si="146"/>
        <v>-77534.90399999998</v>
      </c>
      <c r="AL214" s="909">
        <f t="shared" ca="1" si="147"/>
        <v>1.4551915228366852E-11</v>
      </c>
      <c r="AM214" s="918">
        <f t="shared" ca="1" si="148"/>
        <v>208633.8269141427</v>
      </c>
      <c r="AN214" s="915">
        <f t="shared" si="109"/>
        <v>23</v>
      </c>
      <c r="AO214" s="653">
        <f t="shared" si="149"/>
        <v>77534.903999999995</v>
      </c>
      <c r="AP214" s="916">
        <f t="shared" ca="1" si="150"/>
        <v>0</v>
      </c>
      <c r="AQ214" s="916">
        <f t="shared" si="151"/>
        <v>0</v>
      </c>
      <c r="AR214" s="653"/>
      <c r="AS214" s="653">
        <v>23</v>
      </c>
      <c r="AT214" s="909">
        <f t="shared" ca="1" si="110"/>
        <v>0</v>
      </c>
      <c r="AU214" s="909">
        <f t="shared" ca="1" si="111"/>
        <v>-97694.814411798608</v>
      </c>
      <c r="AV214" s="909">
        <f t="shared" ca="1" si="112"/>
        <v>-8018.224128906636</v>
      </c>
      <c r="AW214" s="909">
        <f t="shared" si="113"/>
        <v>0</v>
      </c>
      <c r="AX214" s="909">
        <f t="shared" ca="1" si="114"/>
        <v>66426.742468616736</v>
      </c>
      <c r="AY214" s="909">
        <f t="shared" si="115"/>
        <v>39286.296072088524</v>
      </c>
      <c r="AZ214" s="909">
        <f t="shared" ca="1" si="116"/>
        <v>-39286.296072088502</v>
      </c>
      <c r="BA214" s="653"/>
      <c r="BB214" s="653">
        <f t="shared" si="152"/>
        <v>23</v>
      </c>
      <c r="BC214" s="909">
        <f t="shared" ca="1" si="153"/>
        <v>0</v>
      </c>
      <c r="BD214" s="909">
        <f t="shared" ca="1" si="154"/>
        <v>-3170478.4506114703</v>
      </c>
      <c r="BE214" s="909">
        <f t="shared" ca="1" si="155"/>
        <v>-260214.49516977899</v>
      </c>
      <c r="BF214" s="909">
        <f t="shared" si="156"/>
        <v>0</v>
      </c>
      <c r="BG214" s="909">
        <f t="shared" ca="1" si="157"/>
        <v>2155739.3481842009</v>
      </c>
      <c r="BH214" s="909">
        <f t="shared" si="158"/>
        <v>1274954.5975970495</v>
      </c>
      <c r="BI214" s="909">
        <f t="shared" ca="1" si="159"/>
        <v>-1274953.5975970491</v>
      </c>
      <c r="BJ214" s="909"/>
      <c r="BK214" s="653">
        <v>23</v>
      </c>
      <c r="BL214" s="909">
        <f t="shared" ca="1" si="117"/>
        <v>0</v>
      </c>
      <c r="BM214" s="909">
        <f t="shared" ca="1" si="118"/>
        <v>-192809.16793014269</v>
      </c>
      <c r="BN214" s="909">
        <f t="shared" ca="1" si="119"/>
        <v>-15824.658984000002</v>
      </c>
      <c r="BO214" s="909">
        <f t="shared" si="120"/>
        <v>0</v>
      </c>
      <c r="BP214" s="909">
        <f t="shared" ca="1" si="121"/>
        <v>131098.92291414272</v>
      </c>
      <c r="BQ214" s="909">
        <f t="shared" si="122"/>
        <v>77534.903999999995</v>
      </c>
      <c r="BR214" s="909">
        <f t="shared" ca="1" si="123"/>
        <v>-77534.90399999998</v>
      </c>
      <c r="BS214" s="653"/>
      <c r="BT214" s="653"/>
      <c r="BU214" s="653"/>
      <c r="BV214" s="654"/>
    </row>
    <row r="215" spans="2:74" x14ac:dyDescent="0.25">
      <c r="B215" s="651"/>
      <c r="C215" s="653"/>
      <c r="D215" s="653"/>
      <c r="E215" s="653"/>
      <c r="F215" s="653"/>
      <c r="G215" s="653"/>
      <c r="H215" s="653"/>
      <c r="I215" s="653"/>
      <c r="J215" s="653"/>
      <c r="K215" s="653"/>
      <c r="L215" s="653"/>
      <c r="M215" s="651">
        <v>24</v>
      </c>
      <c r="N215" s="909">
        <f t="shared" ca="1" si="124"/>
        <v>0</v>
      </c>
      <c r="O215" s="909">
        <f t="shared" ca="1" si="125"/>
        <v>0</v>
      </c>
      <c r="P215" s="909">
        <f t="shared" ca="1" si="126"/>
        <v>0</v>
      </c>
      <c r="Q215" s="910">
        <f t="shared" ca="1" si="127"/>
        <v>0</v>
      </c>
      <c r="R215" s="909">
        <f t="shared" ca="1" si="128"/>
        <v>192809.16793014269</v>
      </c>
      <c r="S215" s="909">
        <f t="shared" ca="1" si="129"/>
        <v>11068.034995707201</v>
      </c>
      <c r="T215" s="909">
        <f t="shared" ca="1" si="130"/>
        <v>181741.1329344355</v>
      </c>
      <c r="U215" s="909">
        <f t="shared" ca="1" si="131"/>
        <v>187193.36692247121</v>
      </c>
      <c r="V215" s="909">
        <f t="shared" ca="1" si="132"/>
        <v>8640</v>
      </c>
      <c r="W215" s="909">
        <f t="shared" ca="1" si="133"/>
        <v>7184.6589840000006</v>
      </c>
      <c r="X215" s="909">
        <f t="shared" ca="1" si="134"/>
        <v>208633.8269141427</v>
      </c>
      <c r="Y215" s="909">
        <f t="shared" si="135"/>
        <v>0</v>
      </c>
      <c r="Z215" s="910">
        <f t="shared" si="136"/>
        <v>0</v>
      </c>
      <c r="AA215" s="909">
        <f t="shared" ca="1" si="137"/>
        <v>0</v>
      </c>
      <c r="AB215" s="910">
        <f t="shared" ca="1" si="138"/>
        <v>0</v>
      </c>
      <c r="AC215" s="911">
        <f t="shared" ca="1" si="139"/>
        <v>131098.92291414272</v>
      </c>
      <c r="AD215" s="911">
        <f t="shared" ca="1" si="140"/>
        <v>3988273.4033522811</v>
      </c>
      <c r="AE215" s="909">
        <f t="shared" ca="1" si="141"/>
        <v>0</v>
      </c>
      <c r="AF215" s="912">
        <f t="shared" ca="1" si="108"/>
        <v>0</v>
      </c>
      <c r="AG215" s="909">
        <f t="shared" si="142"/>
        <v>77534.903999999995</v>
      </c>
      <c r="AH215" s="917">
        <f t="shared" ca="1" si="143"/>
        <v>208633.8269141427</v>
      </c>
      <c r="AI215" s="909">
        <f t="shared" ca="1" si="144"/>
        <v>-208633.8269141427</v>
      </c>
      <c r="AJ215" s="916">
        <f t="shared" ca="1" si="145"/>
        <v>-131098.92291414272</v>
      </c>
      <c r="AK215" s="916">
        <f t="shared" ca="1" si="146"/>
        <v>-77534.90399999998</v>
      </c>
      <c r="AL215" s="909">
        <f t="shared" ca="1" si="147"/>
        <v>1.4551915228366852E-11</v>
      </c>
      <c r="AM215" s="918">
        <f t="shared" ca="1" si="148"/>
        <v>208633.8269141427</v>
      </c>
      <c r="AN215" s="915">
        <f t="shared" si="109"/>
        <v>24</v>
      </c>
      <c r="AO215" s="653">
        <f t="shared" si="149"/>
        <v>77534.903999999995</v>
      </c>
      <c r="AP215" s="916">
        <f t="shared" ca="1" si="150"/>
        <v>0</v>
      </c>
      <c r="AQ215" s="916">
        <f t="shared" si="151"/>
        <v>0</v>
      </c>
      <c r="AR215" s="653"/>
      <c r="AS215" s="653">
        <v>24</v>
      </c>
      <c r="AT215" s="909">
        <f t="shared" ca="1" si="110"/>
        <v>0</v>
      </c>
      <c r="AU215" s="909">
        <f t="shared" ca="1" si="111"/>
        <v>-94849.334380387008</v>
      </c>
      <c r="AV215" s="909">
        <f t="shared" ca="1" si="112"/>
        <v>-7784.6836202977056</v>
      </c>
      <c r="AW215" s="909">
        <f t="shared" si="113"/>
        <v>0</v>
      </c>
      <c r="AX215" s="909">
        <f t="shared" ca="1" si="114"/>
        <v>64491.982979239554</v>
      </c>
      <c r="AY215" s="909">
        <f t="shared" si="115"/>
        <v>38142.035021445176</v>
      </c>
      <c r="AZ215" s="909">
        <f t="shared" ca="1" si="116"/>
        <v>-38142.035021445154</v>
      </c>
      <c r="BA215" s="653"/>
      <c r="BB215" s="653">
        <f t="shared" si="152"/>
        <v>24</v>
      </c>
      <c r="BC215" s="909">
        <f t="shared" ca="1" si="153"/>
        <v>0</v>
      </c>
      <c r="BD215" s="909">
        <f t="shared" ca="1" si="154"/>
        <v>-3265327.7849918571</v>
      </c>
      <c r="BE215" s="909">
        <f t="shared" ca="1" si="155"/>
        <v>-267999.17879007669</v>
      </c>
      <c r="BF215" s="909">
        <f t="shared" si="156"/>
        <v>0</v>
      </c>
      <c r="BG215" s="909">
        <f t="shared" ca="1" si="157"/>
        <v>2220231.3311634404</v>
      </c>
      <c r="BH215" s="909">
        <f t="shared" si="158"/>
        <v>1313096.6326184948</v>
      </c>
      <c r="BI215" s="909">
        <f t="shared" ca="1" si="159"/>
        <v>-1313095.6326184943</v>
      </c>
      <c r="BJ215" s="909"/>
      <c r="BK215" s="653">
        <v>24</v>
      </c>
      <c r="BL215" s="909">
        <f t="shared" ca="1" si="117"/>
        <v>0</v>
      </c>
      <c r="BM215" s="909">
        <f t="shared" ca="1" si="118"/>
        <v>-192809.16793014269</v>
      </c>
      <c r="BN215" s="909">
        <f t="shared" ca="1" si="119"/>
        <v>-15824.658984000002</v>
      </c>
      <c r="BO215" s="909">
        <f t="shared" si="120"/>
        <v>0</v>
      </c>
      <c r="BP215" s="909">
        <f t="shared" ca="1" si="121"/>
        <v>131098.92291414272</v>
      </c>
      <c r="BQ215" s="909">
        <f t="shared" si="122"/>
        <v>77534.903999999995</v>
      </c>
      <c r="BR215" s="909">
        <f t="shared" ca="1" si="123"/>
        <v>-77534.90399999998</v>
      </c>
      <c r="BS215" s="653"/>
      <c r="BT215" s="653"/>
      <c r="BU215" s="653"/>
      <c r="BV215" s="654"/>
    </row>
    <row r="216" spans="2:74" x14ac:dyDescent="0.25">
      <c r="B216" s="651"/>
      <c r="C216" s="653"/>
      <c r="D216" s="653"/>
      <c r="E216" s="653"/>
      <c r="F216" s="653"/>
      <c r="G216" s="653"/>
      <c r="H216" s="653"/>
      <c r="I216" s="653"/>
      <c r="J216" s="653"/>
      <c r="K216" s="653"/>
      <c r="L216" s="653"/>
      <c r="M216" s="651">
        <v>25</v>
      </c>
      <c r="N216" s="909">
        <f t="shared" ca="1" si="124"/>
        <v>0</v>
      </c>
      <c r="O216" s="909">
        <f t="shared" ca="1" si="125"/>
        <v>0</v>
      </c>
      <c r="P216" s="909">
        <f t="shared" ca="1" si="126"/>
        <v>0</v>
      </c>
      <c r="Q216" s="910">
        <f t="shared" ca="1" si="127"/>
        <v>0</v>
      </c>
      <c r="R216" s="909">
        <f t="shared" ca="1" si="128"/>
        <v>192809.16793014269</v>
      </c>
      <c r="S216" s="909">
        <f t="shared" ca="1" si="129"/>
        <v>5615.8010076741357</v>
      </c>
      <c r="T216" s="909">
        <f t="shared" ca="1" si="130"/>
        <v>187193.36692246856</v>
      </c>
      <c r="U216" s="909">
        <f t="shared" ca="1" si="131"/>
        <v>2.648448571562767E-9</v>
      </c>
      <c r="V216" s="909">
        <f t="shared" ca="1" si="132"/>
        <v>8640</v>
      </c>
      <c r="W216" s="909">
        <f t="shared" ca="1" si="133"/>
        <v>7184.6589840000006</v>
      </c>
      <c r="X216" s="909">
        <f t="shared" ca="1" si="134"/>
        <v>208633.8269141427</v>
      </c>
      <c r="Y216" s="909">
        <f t="shared" si="135"/>
        <v>0</v>
      </c>
      <c r="Z216" s="910">
        <f t="shared" si="136"/>
        <v>0</v>
      </c>
      <c r="AA216" s="909">
        <f t="shared" ca="1" si="137"/>
        <v>0</v>
      </c>
      <c r="AB216" s="910">
        <f t="shared" ca="1" si="138"/>
        <v>0</v>
      </c>
      <c r="AC216" s="911">
        <f t="shared" ca="1" si="139"/>
        <v>131098.92291414272</v>
      </c>
      <c r="AD216" s="911">
        <f t="shared" ca="1" si="140"/>
        <v>4199137.7943334691</v>
      </c>
      <c r="AE216" s="909">
        <f t="shared" ca="1" si="141"/>
        <v>0</v>
      </c>
      <c r="AF216" s="912">
        <f t="shared" ca="1" si="108"/>
        <v>0</v>
      </c>
      <c r="AG216" s="909">
        <f t="shared" si="142"/>
        <v>77534.903999999995</v>
      </c>
      <c r="AH216" s="917">
        <f t="shared" ca="1" si="143"/>
        <v>208633.8269141427</v>
      </c>
      <c r="AI216" s="909">
        <f t="shared" ca="1" si="144"/>
        <v>-208633.8269141427</v>
      </c>
      <c r="AJ216" s="916">
        <f t="shared" ca="1" si="145"/>
        <v>-131098.92291414272</v>
      </c>
      <c r="AK216" s="916">
        <f t="shared" ca="1" si="146"/>
        <v>-77534.90399999998</v>
      </c>
      <c r="AL216" s="909">
        <f t="shared" ca="1" si="147"/>
        <v>1.4551915228366852E-11</v>
      </c>
      <c r="AM216" s="918">
        <f t="shared" ca="1" si="148"/>
        <v>208633.8269141427</v>
      </c>
      <c r="AN216" s="915">
        <f t="shared" si="109"/>
        <v>25</v>
      </c>
      <c r="AO216" s="653">
        <f t="shared" si="149"/>
        <v>77534.903999999995</v>
      </c>
      <c r="AP216" s="916">
        <f t="shared" ca="1" si="150"/>
        <v>0</v>
      </c>
      <c r="AQ216" s="916">
        <f t="shared" si="151"/>
        <v>0</v>
      </c>
      <c r="AR216" s="653"/>
      <c r="AS216" s="653">
        <v>25</v>
      </c>
      <c r="AT216" s="909">
        <f t="shared" ca="1" si="110"/>
        <v>0</v>
      </c>
      <c r="AU216" s="909">
        <f t="shared" ca="1" si="111"/>
        <v>-92086.732408142736</v>
      </c>
      <c r="AV216" s="909">
        <f t="shared" ca="1" si="112"/>
        <v>-7557.945262424957</v>
      </c>
      <c r="AW216" s="909">
        <f t="shared" si="113"/>
        <v>0</v>
      </c>
      <c r="AX216" s="909">
        <f t="shared" ca="1" si="114"/>
        <v>62613.575707999567</v>
      </c>
      <c r="AY216" s="909">
        <f t="shared" si="115"/>
        <v>37031.101962568129</v>
      </c>
      <c r="AZ216" s="909">
        <f t="shared" ca="1" si="116"/>
        <v>-37031.101962568122</v>
      </c>
      <c r="BA216" s="653"/>
      <c r="BB216" s="653">
        <f t="shared" si="152"/>
        <v>25</v>
      </c>
      <c r="BC216" s="909">
        <f t="shared" ca="1" si="153"/>
        <v>0</v>
      </c>
      <c r="BD216" s="909">
        <f t="shared" ca="1" si="154"/>
        <v>-3357414.5173999998</v>
      </c>
      <c r="BE216" s="909">
        <f t="shared" ca="1" si="155"/>
        <v>-275557.12405250163</v>
      </c>
      <c r="BF216" s="909">
        <f t="shared" si="156"/>
        <v>0</v>
      </c>
      <c r="BG216" s="909">
        <f t="shared" ca="1" si="157"/>
        <v>2282844.9068714399</v>
      </c>
      <c r="BH216" s="909">
        <f t="shared" si="158"/>
        <v>1350127.734581063</v>
      </c>
      <c r="BI216" s="909">
        <f t="shared" ca="1" si="159"/>
        <v>-1350126.7345810626</v>
      </c>
      <c r="BJ216" s="909"/>
      <c r="BK216" s="653">
        <v>25</v>
      </c>
      <c r="BL216" s="909">
        <f t="shared" ca="1" si="117"/>
        <v>0</v>
      </c>
      <c r="BM216" s="909">
        <f t="shared" ca="1" si="118"/>
        <v>-192809.16793014269</v>
      </c>
      <c r="BN216" s="909">
        <f t="shared" ca="1" si="119"/>
        <v>-15824.658984000002</v>
      </c>
      <c r="BO216" s="909">
        <f t="shared" si="120"/>
        <v>0</v>
      </c>
      <c r="BP216" s="909">
        <f t="shared" ca="1" si="121"/>
        <v>131098.92291414272</v>
      </c>
      <c r="BQ216" s="909">
        <f t="shared" si="122"/>
        <v>77534.903999999995</v>
      </c>
      <c r="BR216" s="909">
        <f t="shared" ca="1" si="123"/>
        <v>-77534.90399999998</v>
      </c>
      <c r="BS216" s="653"/>
      <c r="BT216" s="653"/>
      <c r="BU216" s="653"/>
      <c r="BV216" s="654"/>
    </row>
    <row r="217" spans="2:74" x14ac:dyDescent="0.25">
      <c r="B217" s="651"/>
      <c r="C217" s="653"/>
      <c r="D217" s="653"/>
      <c r="E217" s="653"/>
      <c r="F217" s="653"/>
      <c r="G217" s="653"/>
      <c r="H217" s="653"/>
      <c r="I217" s="653"/>
      <c r="J217" s="653"/>
      <c r="K217" s="653"/>
      <c r="L217" s="653"/>
      <c r="M217" s="651">
        <v>26</v>
      </c>
      <c r="N217" s="909">
        <f t="shared" ca="1" si="124"/>
        <v>0</v>
      </c>
      <c r="O217" s="909">
        <f t="shared" ca="1" si="125"/>
        <v>0</v>
      </c>
      <c r="P217" s="909">
        <f t="shared" ca="1" si="126"/>
        <v>0</v>
      </c>
      <c r="Q217" s="910">
        <f t="shared" ca="1" si="127"/>
        <v>0</v>
      </c>
      <c r="R217" s="909">
        <f t="shared" si="128"/>
        <v>0</v>
      </c>
      <c r="S217" s="909">
        <f t="shared" ca="1" si="129"/>
        <v>7.945345714688301E-11</v>
      </c>
      <c r="T217" s="909">
        <f t="shared" ca="1" si="130"/>
        <v>-7.945345714688301E-11</v>
      </c>
      <c r="U217" s="909">
        <f t="shared" ca="1" si="131"/>
        <v>2.7279020287096502E-9</v>
      </c>
      <c r="V217" s="909">
        <f t="shared" ca="1" si="132"/>
        <v>8640</v>
      </c>
      <c r="W217" s="909">
        <f t="shared" ca="1" si="133"/>
        <v>7184.6589840000006</v>
      </c>
      <c r="X217" s="909">
        <f t="shared" ca="1" si="134"/>
        <v>15824.658984000002</v>
      </c>
      <c r="Y217" s="909">
        <f t="shared" si="135"/>
        <v>0</v>
      </c>
      <c r="Z217" s="910">
        <f t="shared" si="136"/>
        <v>0</v>
      </c>
      <c r="AA217" s="909">
        <f t="shared" ca="1" si="137"/>
        <v>0</v>
      </c>
      <c r="AB217" s="910">
        <f t="shared" ca="1" si="138"/>
        <v>0</v>
      </c>
      <c r="AC217" s="911">
        <f t="shared" ca="1" si="139"/>
        <v>-61710.245015999993</v>
      </c>
      <c r="AD217" s="911">
        <f t="shared" ca="1" si="140"/>
        <v>4221410.3052041382</v>
      </c>
      <c r="AE217" s="909">
        <f t="shared" ca="1" si="141"/>
        <v>0</v>
      </c>
      <c r="AF217" s="912">
        <f t="shared" ca="1" si="108"/>
        <v>0</v>
      </c>
      <c r="AG217" s="909">
        <f t="shared" si="142"/>
        <v>77534.903999999995</v>
      </c>
      <c r="AH217" s="917">
        <f t="shared" ca="1" si="143"/>
        <v>15824.658984000002</v>
      </c>
      <c r="AI217" s="909">
        <f t="shared" ca="1" si="144"/>
        <v>-15824.658984000002</v>
      </c>
      <c r="AJ217" s="916">
        <f t="shared" ca="1" si="145"/>
        <v>61710.245015999993</v>
      </c>
      <c r="AK217" s="916">
        <f t="shared" ca="1" si="146"/>
        <v>-77534.903999999995</v>
      </c>
      <c r="AL217" s="909">
        <f t="shared" ca="1" si="147"/>
        <v>0</v>
      </c>
      <c r="AM217" s="918">
        <f t="shared" ca="1" si="148"/>
        <v>15824.658984000002</v>
      </c>
      <c r="AN217" s="915">
        <f t="shared" si="109"/>
        <v>26</v>
      </c>
      <c r="AO217" s="653">
        <f t="shared" si="149"/>
        <v>77534.903999999995</v>
      </c>
      <c r="AP217" s="916">
        <f t="shared" ca="1" si="150"/>
        <v>0</v>
      </c>
      <c r="AQ217" s="916">
        <f t="shared" si="151"/>
        <v>0</v>
      </c>
      <c r="AR217" s="653"/>
      <c r="AS217" s="653">
        <v>26</v>
      </c>
      <c r="AT217" s="909">
        <f t="shared" ca="1" si="110"/>
        <v>0</v>
      </c>
      <c r="AU217" s="909">
        <f t="shared" si="111"/>
        <v>0</v>
      </c>
      <c r="AV217" s="909">
        <f t="shared" ca="1" si="112"/>
        <v>-7337.8109343931619</v>
      </c>
      <c r="AW217" s="909">
        <f t="shared" si="113"/>
        <v>0</v>
      </c>
      <c r="AX217" s="909">
        <f t="shared" ca="1" si="114"/>
        <v>-28614.715242857448</v>
      </c>
      <c r="AY217" s="909">
        <f t="shared" si="115"/>
        <v>35952.526177250606</v>
      </c>
      <c r="AZ217" s="909">
        <f t="shared" ca="1" si="116"/>
        <v>-35952.526177250613</v>
      </c>
      <c r="BA217" s="653"/>
      <c r="BB217" s="653">
        <f t="shared" si="152"/>
        <v>26</v>
      </c>
      <c r="BC217" s="909">
        <f t="shared" ca="1" si="153"/>
        <v>0</v>
      </c>
      <c r="BD217" s="909">
        <f t="shared" ca="1" si="154"/>
        <v>-3357414.5173999998</v>
      </c>
      <c r="BE217" s="909">
        <f t="shared" ca="1" si="155"/>
        <v>-282894.93498689478</v>
      </c>
      <c r="BF217" s="909">
        <f t="shared" si="156"/>
        <v>0</v>
      </c>
      <c r="BG217" s="909">
        <f t="shared" ca="1" si="157"/>
        <v>2254230.1916285823</v>
      </c>
      <c r="BH217" s="909">
        <f t="shared" si="158"/>
        <v>1386080.2607583136</v>
      </c>
      <c r="BI217" s="909">
        <f t="shared" ca="1" si="159"/>
        <v>-1386079.2607583131</v>
      </c>
      <c r="BJ217" s="909"/>
      <c r="BK217" s="653">
        <v>26</v>
      </c>
      <c r="BL217" s="909">
        <f t="shared" ca="1" si="117"/>
        <v>0</v>
      </c>
      <c r="BM217" s="909">
        <f t="shared" si="118"/>
        <v>0</v>
      </c>
      <c r="BN217" s="909">
        <f t="shared" ca="1" si="119"/>
        <v>-15824.658984000002</v>
      </c>
      <c r="BO217" s="909">
        <f t="shared" si="120"/>
        <v>0</v>
      </c>
      <c r="BP217" s="909">
        <f t="shared" ca="1" si="121"/>
        <v>-61710.245015999993</v>
      </c>
      <c r="BQ217" s="909">
        <f t="shared" si="122"/>
        <v>77534.903999999995</v>
      </c>
      <c r="BR217" s="909">
        <f t="shared" ca="1" si="123"/>
        <v>-77534.903999999995</v>
      </c>
      <c r="BS217" s="653"/>
      <c r="BT217" s="653"/>
      <c r="BU217" s="653"/>
      <c r="BV217" s="654"/>
    </row>
    <row r="218" spans="2:74" x14ac:dyDescent="0.25">
      <c r="B218" s="651"/>
      <c r="C218" s="653"/>
      <c r="D218" s="653"/>
      <c r="E218" s="653"/>
      <c r="F218" s="653"/>
      <c r="G218" s="653"/>
      <c r="H218" s="653"/>
      <c r="I218" s="653"/>
      <c r="J218" s="653"/>
      <c r="K218" s="653"/>
      <c r="L218" s="653"/>
      <c r="M218" s="651">
        <v>27</v>
      </c>
      <c r="N218" s="909">
        <f t="shared" ca="1" si="124"/>
        <v>0</v>
      </c>
      <c r="O218" s="909">
        <f t="shared" ca="1" si="125"/>
        <v>0</v>
      </c>
      <c r="P218" s="909">
        <f t="shared" ca="1" si="126"/>
        <v>0</v>
      </c>
      <c r="Q218" s="910">
        <f t="shared" ca="1" si="127"/>
        <v>0</v>
      </c>
      <c r="R218" s="909">
        <f t="shared" si="128"/>
        <v>0</v>
      </c>
      <c r="S218" s="909">
        <f t="shared" ca="1" si="129"/>
        <v>8.1837060861289503E-11</v>
      </c>
      <c r="T218" s="909">
        <f t="shared" ca="1" si="130"/>
        <v>-8.1837060861289503E-11</v>
      </c>
      <c r="U218" s="909">
        <f t="shared" ca="1" si="131"/>
        <v>2.8097390895709395E-9</v>
      </c>
      <c r="V218" s="909">
        <f t="shared" ca="1" si="132"/>
        <v>8640</v>
      </c>
      <c r="W218" s="909">
        <f t="shared" ca="1" si="133"/>
        <v>7184.6589840000006</v>
      </c>
      <c r="X218" s="909">
        <f t="shared" ca="1" si="134"/>
        <v>15824.658984000002</v>
      </c>
      <c r="Y218" s="909">
        <f t="shared" si="135"/>
        <v>0</v>
      </c>
      <c r="Z218" s="910">
        <f t="shared" si="136"/>
        <v>0</v>
      </c>
      <c r="AA218" s="909">
        <f t="shared" ca="1" si="137"/>
        <v>0</v>
      </c>
      <c r="AB218" s="910">
        <f t="shared" ca="1" si="138"/>
        <v>0</v>
      </c>
      <c r="AC218" s="911">
        <f t="shared" ca="1" si="139"/>
        <v>-61710.245015999993</v>
      </c>
      <c r="AD218" s="911">
        <f t="shared" ca="1" si="140"/>
        <v>4244128.2662922209</v>
      </c>
      <c r="AE218" s="909">
        <f t="shared" ca="1" si="141"/>
        <v>0</v>
      </c>
      <c r="AF218" s="912">
        <f t="shared" ca="1" si="108"/>
        <v>0</v>
      </c>
      <c r="AG218" s="909">
        <f t="shared" si="142"/>
        <v>77534.903999999995</v>
      </c>
      <c r="AH218" s="917">
        <f t="shared" ca="1" si="143"/>
        <v>15824.658984000002</v>
      </c>
      <c r="AI218" s="909">
        <f t="shared" ca="1" si="144"/>
        <v>-15824.658984000002</v>
      </c>
      <c r="AJ218" s="916">
        <f t="shared" ca="1" si="145"/>
        <v>61710.245015999993</v>
      </c>
      <c r="AK218" s="916">
        <f t="shared" ca="1" si="146"/>
        <v>-77534.903999999995</v>
      </c>
      <c r="AL218" s="909">
        <f t="shared" ca="1" si="147"/>
        <v>0</v>
      </c>
      <c r="AM218" s="918">
        <f t="shared" ca="1" si="148"/>
        <v>15824.658984000002</v>
      </c>
      <c r="AN218" s="915">
        <f t="shared" si="109"/>
        <v>27</v>
      </c>
      <c r="AO218" s="653">
        <f t="shared" si="149"/>
        <v>77534.903999999995</v>
      </c>
      <c r="AP218" s="916">
        <f t="shared" ca="1" si="150"/>
        <v>0</v>
      </c>
      <c r="AQ218" s="916">
        <f t="shared" si="151"/>
        <v>0</v>
      </c>
      <c r="AR218" s="653"/>
      <c r="AS218" s="653">
        <v>27</v>
      </c>
      <c r="AT218" s="909">
        <f t="shared" ca="1" si="110"/>
        <v>0</v>
      </c>
      <c r="AU218" s="909">
        <f t="shared" si="111"/>
        <v>0</v>
      </c>
      <c r="AV218" s="909">
        <f t="shared" ca="1" si="112"/>
        <v>-7124.0882858186042</v>
      </c>
      <c r="AW218" s="909">
        <f t="shared" si="113"/>
        <v>0</v>
      </c>
      <c r="AX218" s="909">
        <f t="shared" ca="1" si="114"/>
        <v>-27781.276934813057</v>
      </c>
      <c r="AY218" s="909">
        <f t="shared" si="115"/>
        <v>34905.365220631662</v>
      </c>
      <c r="AZ218" s="909">
        <f t="shared" ca="1" si="116"/>
        <v>-34905.365220631662</v>
      </c>
      <c r="BA218" s="653"/>
      <c r="BB218" s="653">
        <f t="shared" si="152"/>
        <v>27</v>
      </c>
      <c r="BC218" s="909">
        <f t="shared" ca="1" si="153"/>
        <v>0</v>
      </c>
      <c r="BD218" s="909">
        <f t="shared" ca="1" si="154"/>
        <v>-3357414.5173999998</v>
      </c>
      <c r="BE218" s="909">
        <f t="shared" ca="1" si="155"/>
        <v>-290019.02327271336</v>
      </c>
      <c r="BF218" s="909">
        <f t="shared" si="156"/>
        <v>0</v>
      </c>
      <c r="BG218" s="909">
        <f t="shared" ca="1" si="157"/>
        <v>2226448.9146937691</v>
      </c>
      <c r="BH218" s="909">
        <f t="shared" si="158"/>
        <v>1420985.6259789453</v>
      </c>
      <c r="BI218" s="909">
        <f t="shared" ca="1" si="159"/>
        <v>-1420984.6259789448</v>
      </c>
      <c r="BJ218" s="909"/>
      <c r="BK218" s="653">
        <v>27</v>
      </c>
      <c r="BL218" s="909">
        <f t="shared" ca="1" si="117"/>
        <v>0</v>
      </c>
      <c r="BM218" s="909">
        <f t="shared" si="118"/>
        <v>0</v>
      </c>
      <c r="BN218" s="909">
        <f t="shared" ca="1" si="119"/>
        <v>-15824.658984000002</v>
      </c>
      <c r="BO218" s="909">
        <f t="shared" si="120"/>
        <v>0</v>
      </c>
      <c r="BP218" s="909">
        <f t="shared" ca="1" si="121"/>
        <v>-61710.245015999993</v>
      </c>
      <c r="BQ218" s="909">
        <f t="shared" si="122"/>
        <v>77534.903999999995</v>
      </c>
      <c r="BR218" s="909">
        <f t="shared" ca="1" si="123"/>
        <v>-77534.903999999995</v>
      </c>
      <c r="BS218" s="653"/>
      <c r="BT218" s="653"/>
      <c r="BU218" s="653"/>
      <c r="BV218" s="654"/>
    </row>
    <row r="219" spans="2:74" x14ac:dyDescent="0.25">
      <c r="B219" s="651"/>
      <c r="C219" s="653"/>
      <c r="D219" s="653"/>
      <c r="E219" s="653"/>
      <c r="F219" s="653"/>
      <c r="G219" s="653"/>
      <c r="H219" s="653"/>
      <c r="I219" s="653"/>
      <c r="J219" s="653"/>
      <c r="K219" s="653"/>
      <c r="L219" s="653"/>
      <c r="M219" s="651">
        <v>28</v>
      </c>
      <c r="N219" s="909">
        <f t="shared" ca="1" si="124"/>
        <v>0</v>
      </c>
      <c r="O219" s="909">
        <f t="shared" ca="1" si="125"/>
        <v>0</v>
      </c>
      <c r="P219" s="909">
        <f t="shared" ca="1" si="126"/>
        <v>0</v>
      </c>
      <c r="Q219" s="910">
        <f t="shared" ca="1" si="127"/>
        <v>0</v>
      </c>
      <c r="R219" s="909">
        <f t="shared" si="128"/>
        <v>0</v>
      </c>
      <c r="S219" s="909">
        <f t="shared" ca="1" si="129"/>
        <v>8.4292172687128182E-11</v>
      </c>
      <c r="T219" s="909">
        <f t="shared" ca="1" si="130"/>
        <v>-8.4292172687128182E-11</v>
      </c>
      <c r="U219" s="909">
        <f t="shared" ca="1" si="131"/>
        <v>2.8940312622580678E-9</v>
      </c>
      <c r="V219" s="909">
        <f t="shared" ca="1" si="132"/>
        <v>8640</v>
      </c>
      <c r="W219" s="909">
        <f t="shared" ca="1" si="133"/>
        <v>7184.6589840000006</v>
      </c>
      <c r="X219" s="909">
        <f t="shared" ca="1" si="134"/>
        <v>15824.658984000002</v>
      </c>
      <c r="Y219" s="909">
        <f t="shared" si="135"/>
        <v>0</v>
      </c>
      <c r="Z219" s="910">
        <f t="shared" si="136"/>
        <v>0</v>
      </c>
      <c r="AA219" s="909">
        <f t="shared" ca="1" si="137"/>
        <v>0</v>
      </c>
      <c r="AB219" s="910">
        <f t="shared" ca="1" si="138"/>
        <v>0</v>
      </c>
      <c r="AC219" s="911">
        <f t="shared" ca="1" si="139"/>
        <v>-61710.245015999993</v>
      </c>
      <c r="AD219" s="911">
        <f t="shared" ca="1" si="140"/>
        <v>4267300.5866020648</v>
      </c>
      <c r="AE219" s="909">
        <f t="shared" ca="1" si="141"/>
        <v>0</v>
      </c>
      <c r="AF219" s="912">
        <f t="shared" ca="1" si="108"/>
        <v>0</v>
      </c>
      <c r="AG219" s="909">
        <f t="shared" si="142"/>
        <v>77534.903999999995</v>
      </c>
      <c r="AH219" s="917">
        <f t="shared" ca="1" si="143"/>
        <v>15824.658984000002</v>
      </c>
      <c r="AI219" s="909">
        <f t="shared" ca="1" si="144"/>
        <v>-15824.658984000002</v>
      </c>
      <c r="AJ219" s="916">
        <f t="shared" ca="1" si="145"/>
        <v>61710.245015999993</v>
      </c>
      <c r="AK219" s="916">
        <f t="shared" ca="1" si="146"/>
        <v>-77534.903999999995</v>
      </c>
      <c r="AL219" s="909">
        <f t="shared" ca="1" si="147"/>
        <v>0</v>
      </c>
      <c r="AM219" s="918">
        <f t="shared" ca="1" si="148"/>
        <v>15824.658984000002</v>
      </c>
      <c r="AN219" s="915">
        <f t="shared" si="109"/>
        <v>28</v>
      </c>
      <c r="AO219" s="653">
        <f t="shared" si="149"/>
        <v>77534.903999999995</v>
      </c>
      <c r="AP219" s="916">
        <f t="shared" ca="1" si="150"/>
        <v>0</v>
      </c>
      <c r="AQ219" s="916">
        <f t="shared" si="151"/>
        <v>0</v>
      </c>
      <c r="AR219" s="653"/>
      <c r="AS219" s="653">
        <v>28</v>
      </c>
      <c r="AT219" s="909">
        <f t="shared" ca="1" si="110"/>
        <v>0</v>
      </c>
      <c r="AU219" s="909">
        <f t="shared" si="111"/>
        <v>0</v>
      </c>
      <c r="AV219" s="909">
        <f t="shared" ca="1" si="112"/>
        <v>-6916.5905687559271</v>
      </c>
      <c r="AW219" s="909">
        <f t="shared" si="113"/>
        <v>0</v>
      </c>
      <c r="AX219" s="909">
        <f t="shared" ca="1" si="114"/>
        <v>-26972.113528944716</v>
      </c>
      <c r="AY219" s="909">
        <f t="shared" si="115"/>
        <v>33888.70409770064</v>
      </c>
      <c r="AZ219" s="909">
        <f t="shared" ca="1" si="116"/>
        <v>-33888.70409770064</v>
      </c>
      <c r="BA219" s="653"/>
      <c r="BB219" s="653">
        <f t="shared" si="152"/>
        <v>28</v>
      </c>
      <c r="BC219" s="909">
        <f t="shared" ca="1" si="153"/>
        <v>0</v>
      </c>
      <c r="BD219" s="909">
        <f t="shared" ca="1" si="154"/>
        <v>-3357414.5173999998</v>
      </c>
      <c r="BE219" s="909">
        <f t="shared" ca="1" si="155"/>
        <v>-296935.61384146928</v>
      </c>
      <c r="BF219" s="909">
        <f t="shared" si="156"/>
        <v>0</v>
      </c>
      <c r="BG219" s="909">
        <f t="shared" ca="1" si="157"/>
        <v>2199476.8011648245</v>
      </c>
      <c r="BH219" s="909">
        <f t="shared" si="158"/>
        <v>1454874.3300766458</v>
      </c>
      <c r="BI219" s="909">
        <f t="shared" ca="1" si="159"/>
        <v>-1454873.3300766454</v>
      </c>
      <c r="BJ219" s="909"/>
      <c r="BK219" s="653">
        <v>28</v>
      </c>
      <c r="BL219" s="909">
        <f t="shared" ca="1" si="117"/>
        <v>0</v>
      </c>
      <c r="BM219" s="909">
        <f t="shared" si="118"/>
        <v>0</v>
      </c>
      <c r="BN219" s="909">
        <f t="shared" ca="1" si="119"/>
        <v>-15824.658984000002</v>
      </c>
      <c r="BO219" s="909">
        <f t="shared" si="120"/>
        <v>0</v>
      </c>
      <c r="BP219" s="909">
        <f t="shared" ca="1" si="121"/>
        <v>-61710.245015999993</v>
      </c>
      <c r="BQ219" s="909">
        <f t="shared" si="122"/>
        <v>77534.903999999995</v>
      </c>
      <c r="BR219" s="909">
        <f t="shared" ca="1" si="123"/>
        <v>-77534.903999999995</v>
      </c>
      <c r="BS219" s="653"/>
      <c r="BT219" s="653"/>
      <c r="BU219" s="653"/>
      <c r="BV219" s="654"/>
    </row>
    <row r="220" spans="2:74" x14ac:dyDescent="0.25">
      <c r="B220" s="651"/>
      <c r="C220" s="653"/>
      <c r="D220" s="653"/>
      <c r="E220" s="653"/>
      <c r="F220" s="653"/>
      <c r="G220" s="653"/>
      <c r="H220" s="653"/>
      <c r="I220" s="653"/>
      <c r="J220" s="653"/>
      <c r="K220" s="653"/>
      <c r="L220" s="653"/>
      <c r="M220" s="651">
        <v>29</v>
      </c>
      <c r="N220" s="909">
        <f t="shared" ca="1" si="124"/>
        <v>0</v>
      </c>
      <c r="O220" s="909">
        <f t="shared" ca="1" si="125"/>
        <v>0</v>
      </c>
      <c r="P220" s="909">
        <f t="shared" ca="1" si="126"/>
        <v>0</v>
      </c>
      <c r="Q220" s="910">
        <f t="shared" ca="1" si="127"/>
        <v>0</v>
      </c>
      <c r="R220" s="909">
        <f t="shared" si="128"/>
        <v>0</v>
      </c>
      <c r="S220" s="909">
        <f t="shared" ca="1" si="129"/>
        <v>8.682093786774203E-11</v>
      </c>
      <c r="T220" s="909">
        <f t="shared" ca="1" si="130"/>
        <v>-8.682093786774203E-11</v>
      </c>
      <c r="U220" s="909">
        <f t="shared" ca="1" si="131"/>
        <v>2.98085220012581E-9</v>
      </c>
      <c r="V220" s="909">
        <f t="shared" ca="1" si="132"/>
        <v>8640</v>
      </c>
      <c r="W220" s="909">
        <f t="shared" ca="1" si="133"/>
        <v>7184.6589840000006</v>
      </c>
      <c r="X220" s="909">
        <f t="shared" ca="1" si="134"/>
        <v>15824.658984000002</v>
      </c>
      <c r="Y220" s="909">
        <f t="shared" si="135"/>
        <v>0</v>
      </c>
      <c r="Z220" s="910">
        <f t="shared" si="136"/>
        <v>0</v>
      </c>
      <c r="AA220" s="909">
        <f t="shared" ca="1" si="137"/>
        <v>0</v>
      </c>
      <c r="AB220" s="910">
        <f t="shared" ca="1" si="138"/>
        <v>0</v>
      </c>
      <c r="AC220" s="911">
        <f t="shared" ca="1" si="139"/>
        <v>-61710.245015999993</v>
      </c>
      <c r="AD220" s="911">
        <f t="shared" ca="1" si="140"/>
        <v>4290936.3533181064</v>
      </c>
      <c r="AE220" s="909">
        <f t="shared" ca="1" si="141"/>
        <v>0</v>
      </c>
      <c r="AF220" s="912">
        <f t="shared" ca="1" si="108"/>
        <v>0</v>
      </c>
      <c r="AG220" s="909">
        <f t="shared" si="142"/>
        <v>77534.903999999995</v>
      </c>
      <c r="AH220" s="917">
        <f t="shared" ca="1" si="143"/>
        <v>15824.658984000002</v>
      </c>
      <c r="AI220" s="909">
        <f t="shared" ca="1" si="144"/>
        <v>-15824.658984000002</v>
      </c>
      <c r="AJ220" s="916">
        <f t="shared" ca="1" si="145"/>
        <v>61710.245015999993</v>
      </c>
      <c r="AK220" s="916">
        <f t="shared" ca="1" si="146"/>
        <v>-77534.903999999995</v>
      </c>
      <c r="AL220" s="909">
        <f t="shared" ca="1" si="147"/>
        <v>0</v>
      </c>
      <c r="AM220" s="918">
        <f t="shared" ca="1" si="148"/>
        <v>15824.658984000002</v>
      </c>
      <c r="AN220" s="915">
        <f t="shared" si="109"/>
        <v>29</v>
      </c>
      <c r="AO220" s="653">
        <f t="shared" si="149"/>
        <v>77534.903999999995</v>
      </c>
      <c r="AP220" s="916">
        <f t="shared" ca="1" si="150"/>
        <v>0</v>
      </c>
      <c r="AQ220" s="916">
        <f t="shared" si="151"/>
        <v>0</v>
      </c>
      <c r="AR220" s="653"/>
      <c r="AS220" s="653">
        <v>29</v>
      </c>
      <c r="AT220" s="909">
        <f t="shared" ca="1" si="110"/>
        <v>0</v>
      </c>
      <c r="AU220" s="909">
        <f t="shared" si="111"/>
        <v>0</v>
      </c>
      <c r="AV220" s="909">
        <f t="shared" ca="1" si="112"/>
        <v>-6715.1364745203173</v>
      </c>
      <c r="AW220" s="909">
        <f t="shared" si="113"/>
        <v>0</v>
      </c>
      <c r="AX220" s="909">
        <f t="shared" ca="1" si="114"/>
        <v>-26186.517989266718</v>
      </c>
      <c r="AY220" s="909">
        <f t="shared" si="115"/>
        <v>32901.654463787032</v>
      </c>
      <c r="AZ220" s="909">
        <f t="shared" ca="1" si="116"/>
        <v>-32901.654463787039</v>
      </c>
      <c r="BA220" s="653"/>
      <c r="BB220" s="653">
        <f t="shared" si="152"/>
        <v>29</v>
      </c>
      <c r="BC220" s="909">
        <f t="shared" ca="1" si="153"/>
        <v>0</v>
      </c>
      <c r="BD220" s="909">
        <f t="shared" ca="1" si="154"/>
        <v>-3357414.5173999998</v>
      </c>
      <c r="BE220" s="909">
        <f t="shared" ca="1" si="155"/>
        <v>-303650.7503159896</v>
      </c>
      <c r="BF220" s="909">
        <f t="shared" si="156"/>
        <v>0</v>
      </c>
      <c r="BG220" s="909">
        <f t="shared" ca="1" si="157"/>
        <v>2173290.2831755579</v>
      </c>
      <c r="BH220" s="909">
        <f t="shared" si="158"/>
        <v>1487775.9845404329</v>
      </c>
      <c r="BI220" s="909">
        <f t="shared" ca="1" si="159"/>
        <v>-1487774.9845404325</v>
      </c>
      <c r="BJ220" s="909"/>
      <c r="BK220" s="653">
        <v>29</v>
      </c>
      <c r="BL220" s="909">
        <f t="shared" ca="1" si="117"/>
        <v>0</v>
      </c>
      <c r="BM220" s="909">
        <f t="shared" si="118"/>
        <v>0</v>
      </c>
      <c r="BN220" s="909">
        <f t="shared" ca="1" si="119"/>
        <v>-15824.658984000002</v>
      </c>
      <c r="BO220" s="909">
        <f t="shared" si="120"/>
        <v>0</v>
      </c>
      <c r="BP220" s="909">
        <f t="shared" ca="1" si="121"/>
        <v>-61710.245015999993</v>
      </c>
      <c r="BQ220" s="909">
        <f t="shared" si="122"/>
        <v>77534.903999999995</v>
      </c>
      <c r="BR220" s="909">
        <f t="shared" ca="1" si="123"/>
        <v>-77534.903999999995</v>
      </c>
      <c r="BS220" s="653"/>
      <c r="BT220" s="653"/>
      <c r="BU220" s="653"/>
      <c r="BV220" s="654"/>
    </row>
    <row r="221" spans="2:74" x14ac:dyDescent="0.25">
      <c r="B221" s="651"/>
      <c r="C221" s="653"/>
      <c r="D221" s="653"/>
      <c r="E221" s="653"/>
      <c r="F221" s="653"/>
      <c r="G221" s="653"/>
      <c r="H221" s="653"/>
      <c r="I221" s="653"/>
      <c r="J221" s="653"/>
      <c r="K221" s="653"/>
      <c r="L221" s="653"/>
      <c r="M221" s="651">
        <v>30</v>
      </c>
      <c r="N221" s="909">
        <f t="shared" ca="1" si="124"/>
        <v>0</v>
      </c>
      <c r="O221" s="909">
        <f t="shared" ca="1" si="125"/>
        <v>0</v>
      </c>
      <c r="P221" s="909">
        <f t="shared" ca="1" si="126"/>
        <v>0</v>
      </c>
      <c r="Q221" s="910">
        <f t="shared" ca="1" si="127"/>
        <v>0</v>
      </c>
      <c r="R221" s="909">
        <f t="shared" si="128"/>
        <v>0</v>
      </c>
      <c r="S221" s="909">
        <f t="shared" ca="1" si="129"/>
        <v>8.9425566003774303E-11</v>
      </c>
      <c r="T221" s="909">
        <f t="shared" ca="1" si="130"/>
        <v>-8.9425566003774303E-11</v>
      </c>
      <c r="U221" s="909">
        <f t="shared" ca="1" si="131"/>
        <v>3.0702777661295843E-9</v>
      </c>
      <c r="V221" s="909">
        <f t="shared" ca="1" si="132"/>
        <v>8640</v>
      </c>
      <c r="W221" s="909">
        <f t="shared" ca="1" si="133"/>
        <v>7184.6589840000006</v>
      </c>
      <c r="X221" s="909">
        <f t="shared" ca="1" si="134"/>
        <v>15824.658984000002</v>
      </c>
      <c r="Y221" s="909">
        <f t="shared" si="135"/>
        <v>0</v>
      </c>
      <c r="Z221" s="910">
        <f t="shared" si="136"/>
        <v>0</v>
      </c>
      <c r="AA221" s="909">
        <f t="shared" ca="1" si="137"/>
        <v>0</v>
      </c>
      <c r="AB221" s="910">
        <f t="shared" ca="1" si="138"/>
        <v>0</v>
      </c>
      <c r="AC221" s="911">
        <f t="shared" ca="1" si="139"/>
        <v>-61710.245015999993</v>
      </c>
      <c r="AD221" s="911">
        <f t="shared" ca="1" si="140"/>
        <v>4315044.8353684684</v>
      </c>
      <c r="AE221" s="909">
        <f t="shared" ca="1" si="141"/>
        <v>0</v>
      </c>
      <c r="AF221" s="912">
        <f t="shared" ca="1" si="108"/>
        <v>0</v>
      </c>
      <c r="AG221" s="909">
        <f t="shared" si="142"/>
        <v>77534.903999999995</v>
      </c>
      <c r="AH221" s="917">
        <f t="shared" ca="1" si="143"/>
        <v>15824.658984000002</v>
      </c>
      <c r="AI221" s="909">
        <f t="shared" ca="1" si="144"/>
        <v>-15824.658984000002</v>
      </c>
      <c r="AJ221" s="916">
        <f t="shared" ca="1" si="145"/>
        <v>61710.245015999993</v>
      </c>
      <c r="AK221" s="916">
        <f t="shared" ca="1" si="146"/>
        <v>-77534.903999999995</v>
      </c>
      <c r="AL221" s="909">
        <f t="shared" ca="1" si="147"/>
        <v>0</v>
      </c>
      <c r="AM221" s="918">
        <f t="shared" ca="1" si="148"/>
        <v>15824.658984000002</v>
      </c>
      <c r="AN221" s="915">
        <f t="shared" si="109"/>
        <v>30</v>
      </c>
      <c r="AO221" s="653">
        <f t="shared" si="149"/>
        <v>77534.903999999995</v>
      </c>
      <c r="AP221" s="916">
        <f t="shared" ca="1" si="150"/>
        <v>0</v>
      </c>
      <c r="AQ221" s="916">
        <f t="shared" si="151"/>
        <v>0</v>
      </c>
      <c r="AR221" s="653"/>
      <c r="AS221" s="653">
        <v>30</v>
      </c>
      <c r="AT221" s="909">
        <f t="shared" ca="1" si="110"/>
        <v>0</v>
      </c>
      <c r="AU221" s="909">
        <f t="shared" si="111"/>
        <v>0</v>
      </c>
      <c r="AV221" s="909">
        <f t="shared" ca="1" si="112"/>
        <v>-6519.5499752624446</v>
      </c>
      <c r="AW221" s="909">
        <f t="shared" si="113"/>
        <v>0</v>
      </c>
      <c r="AX221" s="909">
        <f t="shared" ca="1" si="114"/>
        <v>-25423.803873074481</v>
      </c>
      <c r="AY221" s="909">
        <f t="shared" si="115"/>
        <v>31943.353848336927</v>
      </c>
      <c r="AZ221" s="909">
        <f t="shared" ca="1" si="116"/>
        <v>-31943.353848336927</v>
      </c>
      <c r="BA221" s="653"/>
      <c r="BB221" s="653">
        <f t="shared" si="152"/>
        <v>30</v>
      </c>
      <c r="BC221" s="909">
        <f t="shared" ca="1" si="153"/>
        <v>0</v>
      </c>
      <c r="BD221" s="909">
        <f t="shared" ca="1" si="154"/>
        <v>-3357414.5173999998</v>
      </c>
      <c r="BE221" s="909">
        <f t="shared" ca="1" si="155"/>
        <v>-310170.30029125203</v>
      </c>
      <c r="BF221" s="909">
        <f t="shared" si="156"/>
        <v>0</v>
      </c>
      <c r="BG221" s="909">
        <f t="shared" ca="1" si="157"/>
        <v>2147866.4793024831</v>
      </c>
      <c r="BH221" s="909">
        <f t="shared" si="158"/>
        <v>1519719.3383887699</v>
      </c>
      <c r="BI221" s="909">
        <f t="shared" ca="1" si="159"/>
        <v>-1519718.3383887694</v>
      </c>
      <c r="BJ221" s="909"/>
      <c r="BK221" s="653">
        <v>30</v>
      </c>
      <c r="BL221" s="909">
        <f t="shared" ca="1" si="117"/>
        <v>0</v>
      </c>
      <c r="BM221" s="909">
        <f t="shared" si="118"/>
        <v>0</v>
      </c>
      <c r="BN221" s="909">
        <f t="shared" ca="1" si="119"/>
        <v>-15824.658984000002</v>
      </c>
      <c r="BO221" s="909">
        <f t="shared" si="120"/>
        <v>0</v>
      </c>
      <c r="BP221" s="909">
        <f t="shared" ca="1" si="121"/>
        <v>-61710.245015999993</v>
      </c>
      <c r="BQ221" s="909">
        <f t="shared" si="122"/>
        <v>77534.903999999995</v>
      </c>
      <c r="BR221" s="909">
        <f t="shared" ca="1" si="123"/>
        <v>-77534.903999999995</v>
      </c>
      <c r="BS221" s="653"/>
      <c r="BT221" s="653"/>
      <c r="BU221" s="653"/>
      <c r="BV221" s="654"/>
    </row>
    <row r="222" spans="2:74" x14ac:dyDescent="0.25">
      <c r="B222" s="651"/>
      <c r="C222" s="653"/>
      <c r="D222" s="653"/>
      <c r="E222" s="653"/>
      <c r="F222" s="653"/>
      <c r="G222" s="653"/>
      <c r="H222" s="653"/>
      <c r="I222" s="653"/>
      <c r="J222" s="653"/>
      <c r="K222" s="653"/>
      <c r="L222" s="653"/>
      <c r="M222" s="651">
        <v>31</v>
      </c>
      <c r="N222" s="909">
        <f t="shared" ca="1" si="124"/>
        <v>0</v>
      </c>
      <c r="O222" s="909">
        <f t="shared" ca="1" si="125"/>
        <v>0</v>
      </c>
      <c r="P222" s="909">
        <f t="shared" ca="1" si="126"/>
        <v>0</v>
      </c>
      <c r="Q222" s="910">
        <f t="shared" ca="1" si="127"/>
        <v>0</v>
      </c>
      <c r="R222" s="909">
        <f t="shared" si="128"/>
        <v>0</v>
      </c>
      <c r="S222" s="909">
        <f t="shared" ca="1" si="129"/>
        <v>9.2108332983887523E-11</v>
      </c>
      <c r="T222" s="909">
        <f t="shared" ca="1" si="130"/>
        <v>-9.2108332983887523E-11</v>
      </c>
      <c r="U222" s="909">
        <f t="shared" ca="1" si="131"/>
        <v>3.1623860991134719E-9</v>
      </c>
      <c r="V222" s="909">
        <f t="shared" ca="1" si="132"/>
        <v>8640</v>
      </c>
      <c r="W222" s="909">
        <f t="shared" ca="1" si="133"/>
        <v>7184.6589840000006</v>
      </c>
      <c r="X222" s="909">
        <f t="shared" ca="1" si="134"/>
        <v>15824.658984000002</v>
      </c>
      <c r="Y222" s="909">
        <f t="shared" si="135"/>
        <v>0</v>
      </c>
      <c r="Z222" s="910">
        <f t="shared" si="136"/>
        <v>0</v>
      </c>
      <c r="AA222" s="909">
        <f t="shared" ca="1" si="137"/>
        <v>0</v>
      </c>
      <c r="AB222" s="910">
        <f t="shared" ca="1" si="138"/>
        <v>0</v>
      </c>
      <c r="AC222" s="911">
        <f t="shared" ca="1" si="139"/>
        <v>-61710.245015999993</v>
      </c>
      <c r="AD222" s="911">
        <f t="shared" ca="1" si="140"/>
        <v>4339635.4870598372</v>
      </c>
      <c r="AE222" s="909">
        <f t="shared" ca="1" si="141"/>
        <v>0</v>
      </c>
      <c r="AF222" s="912">
        <f t="shared" ca="1" si="108"/>
        <v>0</v>
      </c>
      <c r="AG222" s="909">
        <f t="shared" si="142"/>
        <v>77534.903999999995</v>
      </c>
      <c r="AH222" s="917">
        <f t="shared" ca="1" si="143"/>
        <v>15824.658984000002</v>
      </c>
      <c r="AI222" s="909">
        <f t="shared" ca="1" si="144"/>
        <v>-15824.658984000002</v>
      </c>
      <c r="AJ222" s="916">
        <f t="shared" ca="1" si="145"/>
        <v>61710.245015999993</v>
      </c>
      <c r="AK222" s="916">
        <f t="shared" ca="1" si="146"/>
        <v>-77534.903999999995</v>
      </c>
      <c r="AL222" s="909">
        <f t="shared" ca="1" si="147"/>
        <v>0</v>
      </c>
      <c r="AM222" s="918">
        <f t="shared" ca="1" si="148"/>
        <v>15824.658984000002</v>
      </c>
      <c r="AN222" s="915">
        <f t="shared" si="109"/>
        <v>31</v>
      </c>
      <c r="AO222" s="653">
        <f t="shared" si="149"/>
        <v>77534.903999999995</v>
      </c>
      <c r="AP222" s="916">
        <f t="shared" ca="1" si="150"/>
        <v>0</v>
      </c>
      <c r="AQ222" s="916">
        <f t="shared" si="151"/>
        <v>0</v>
      </c>
      <c r="AR222" s="653"/>
      <c r="AS222" s="653">
        <v>31</v>
      </c>
      <c r="AT222" s="909">
        <f t="shared" ca="1" si="110"/>
        <v>0</v>
      </c>
      <c r="AU222" s="909">
        <f t="shared" si="111"/>
        <v>0</v>
      </c>
      <c r="AV222" s="909">
        <f t="shared" ca="1" si="112"/>
        <v>-6329.6601701577119</v>
      </c>
      <c r="AW222" s="909">
        <f t="shared" si="113"/>
        <v>0</v>
      </c>
      <c r="AX222" s="909">
        <f t="shared" ca="1" si="114"/>
        <v>-24683.30473114027</v>
      </c>
      <c r="AY222" s="909">
        <f t="shared" si="115"/>
        <v>31012.964901297979</v>
      </c>
      <c r="AZ222" s="909">
        <f t="shared" ca="1" si="116"/>
        <v>-31012.964901297983</v>
      </c>
      <c r="BA222" s="653"/>
      <c r="BB222" s="653">
        <f t="shared" si="152"/>
        <v>31</v>
      </c>
      <c r="BC222" s="909">
        <f t="shared" ca="1" si="153"/>
        <v>0</v>
      </c>
      <c r="BD222" s="909">
        <f t="shared" ca="1" si="154"/>
        <v>-3357414.5173999998</v>
      </c>
      <c r="BE222" s="909">
        <f t="shared" ca="1" si="155"/>
        <v>-316499.96046140976</v>
      </c>
      <c r="BF222" s="909">
        <f t="shared" si="156"/>
        <v>0</v>
      </c>
      <c r="BG222" s="909">
        <f t="shared" ca="1" si="157"/>
        <v>2123183.1745713428</v>
      </c>
      <c r="BH222" s="909">
        <f t="shared" si="158"/>
        <v>1550732.3032900679</v>
      </c>
      <c r="BI222" s="909">
        <f t="shared" ca="1" si="159"/>
        <v>-1550731.3032900675</v>
      </c>
      <c r="BJ222" s="909"/>
      <c r="BK222" s="653">
        <v>31</v>
      </c>
      <c r="BL222" s="909">
        <f t="shared" ca="1" si="117"/>
        <v>0</v>
      </c>
      <c r="BM222" s="909">
        <f t="shared" si="118"/>
        <v>0</v>
      </c>
      <c r="BN222" s="909">
        <f t="shared" ca="1" si="119"/>
        <v>-15824.658984000002</v>
      </c>
      <c r="BO222" s="909">
        <f t="shared" si="120"/>
        <v>0</v>
      </c>
      <c r="BP222" s="909">
        <f t="shared" ca="1" si="121"/>
        <v>-61710.245015999993</v>
      </c>
      <c r="BQ222" s="909">
        <f t="shared" si="122"/>
        <v>77534.903999999995</v>
      </c>
      <c r="BR222" s="909">
        <f t="shared" ca="1" si="123"/>
        <v>-77534.903999999995</v>
      </c>
      <c r="BS222" s="653"/>
      <c r="BT222" s="653"/>
      <c r="BU222" s="653"/>
      <c r="BV222" s="654"/>
    </row>
    <row r="223" spans="2:74" x14ac:dyDescent="0.25">
      <c r="B223" s="651"/>
      <c r="C223" s="653"/>
      <c r="D223" s="653"/>
      <c r="E223" s="653"/>
      <c r="F223" s="653"/>
      <c r="G223" s="653"/>
      <c r="H223" s="653"/>
      <c r="I223" s="653"/>
      <c r="J223" s="653"/>
      <c r="K223" s="653"/>
      <c r="L223" s="653"/>
      <c r="M223" s="651">
        <v>32</v>
      </c>
      <c r="N223" s="909">
        <f t="shared" ca="1" si="124"/>
        <v>0</v>
      </c>
      <c r="O223" s="909">
        <f t="shared" ca="1" si="125"/>
        <v>0</v>
      </c>
      <c r="P223" s="909">
        <f t="shared" ca="1" si="126"/>
        <v>0</v>
      </c>
      <c r="Q223" s="910">
        <f t="shared" ca="1" si="127"/>
        <v>0</v>
      </c>
      <c r="R223" s="909">
        <f t="shared" si="128"/>
        <v>0</v>
      </c>
      <c r="S223" s="909">
        <f t="shared" ca="1" si="129"/>
        <v>9.487158297340416E-11</v>
      </c>
      <c r="T223" s="909">
        <f t="shared" ca="1" si="130"/>
        <v>-9.487158297340416E-11</v>
      </c>
      <c r="U223" s="909">
        <f t="shared" ca="1" si="131"/>
        <v>3.2572576820868762E-9</v>
      </c>
      <c r="V223" s="909">
        <f t="shared" ca="1" si="132"/>
        <v>8640</v>
      </c>
      <c r="W223" s="909">
        <f t="shared" ca="1" si="133"/>
        <v>7184.6589840000006</v>
      </c>
      <c r="X223" s="909">
        <f t="shared" ca="1" si="134"/>
        <v>15824.658984000002</v>
      </c>
      <c r="Y223" s="909">
        <f t="shared" si="135"/>
        <v>0</v>
      </c>
      <c r="Z223" s="910">
        <f t="shared" si="136"/>
        <v>0</v>
      </c>
      <c r="AA223" s="909">
        <f t="shared" ca="1" si="137"/>
        <v>0</v>
      </c>
      <c r="AB223" s="910">
        <f t="shared" ca="1" si="138"/>
        <v>0</v>
      </c>
      <c r="AC223" s="911">
        <f t="shared" ca="1" si="139"/>
        <v>-61710.245015999993</v>
      </c>
      <c r="AD223" s="911">
        <f t="shared" ca="1" si="140"/>
        <v>4364717.9517850336</v>
      </c>
      <c r="AE223" s="909">
        <f t="shared" ca="1" si="141"/>
        <v>0</v>
      </c>
      <c r="AF223" s="912">
        <f t="shared" ref="AF223:AF241" ca="1" si="160">AE223/(1+$Q$174)^M223</f>
        <v>0</v>
      </c>
      <c r="AG223" s="909">
        <f t="shared" si="142"/>
        <v>77534.903999999995</v>
      </c>
      <c r="AH223" s="917">
        <f t="shared" ca="1" si="143"/>
        <v>15824.658984000002</v>
      </c>
      <c r="AI223" s="909">
        <f t="shared" ca="1" si="144"/>
        <v>-15824.658984000002</v>
      </c>
      <c r="AJ223" s="916">
        <f t="shared" ca="1" si="145"/>
        <v>61710.245015999993</v>
      </c>
      <c r="AK223" s="916">
        <f t="shared" ca="1" si="146"/>
        <v>-77534.903999999995</v>
      </c>
      <c r="AL223" s="909">
        <f t="shared" ca="1" si="147"/>
        <v>0</v>
      </c>
      <c r="AM223" s="918">
        <f t="shared" ca="1" si="148"/>
        <v>15824.658984000002</v>
      </c>
      <c r="AN223" s="915">
        <f t="shared" ref="AN223:AN241" si="161">M223</f>
        <v>32</v>
      </c>
      <c r="AO223" s="653">
        <f t="shared" si="149"/>
        <v>77534.903999999995</v>
      </c>
      <c r="AP223" s="916">
        <f t="shared" ca="1" si="150"/>
        <v>0</v>
      </c>
      <c r="AQ223" s="916">
        <f t="shared" si="151"/>
        <v>0</v>
      </c>
      <c r="AR223" s="653"/>
      <c r="AS223" s="653">
        <v>32</v>
      </c>
      <c r="AT223" s="909">
        <f t="shared" ref="AT223:AT241" ca="1" si="162">-(N223+O223)*(1+$Q$172)^-M223</f>
        <v>0</v>
      </c>
      <c r="AU223" s="909">
        <f t="shared" ref="AU223:AU241" si="163">-R223*(1+$Q$172)^-M223</f>
        <v>0</v>
      </c>
      <c r="AV223" s="909">
        <f t="shared" ref="AV223:AV241" ca="1" si="164">-(V223+W223)*(1+$Q$172)^-M223</f>
        <v>-6145.301136075449</v>
      </c>
      <c r="AW223" s="909">
        <f t="shared" ref="AW223:AW241" si="165">-Y223*(1+$Q$172)^-M223</f>
        <v>0</v>
      </c>
      <c r="AX223" s="909">
        <f t="shared" ref="AX223:AX241" ca="1" si="166">AC223*(1+$Q$172)^-M223</f>
        <v>-23964.373525378905</v>
      </c>
      <c r="AY223" s="909">
        <f t="shared" ref="AY223:AY241" si="167">AG223*(1+$Q$172)^-M223</f>
        <v>30109.674661454355</v>
      </c>
      <c r="AZ223" s="909">
        <f t="shared" ref="AZ223:AZ241" ca="1" si="168">SUM(AT223:AX223)</f>
        <v>-30109.674661454355</v>
      </c>
      <c r="BA223" s="653"/>
      <c r="BB223" s="653">
        <f t="shared" si="152"/>
        <v>32</v>
      </c>
      <c r="BC223" s="909">
        <f t="shared" ca="1" si="153"/>
        <v>0</v>
      </c>
      <c r="BD223" s="909">
        <f t="shared" ca="1" si="154"/>
        <v>-3357414.5173999998</v>
      </c>
      <c r="BE223" s="909">
        <f t="shared" ca="1" si="155"/>
        <v>-322645.26159748522</v>
      </c>
      <c r="BF223" s="909">
        <f t="shared" si="156"/>
        <v>0</v>
      </c>
      <c r="BG223" s="909">
        <f t="shared" ca="1" si="157"/>
        <v>2099218.801045964</v>
      </c>
      <c r="BH223" s="909">
        <f t="shared" si="158"/>
        <v>1580841.9779515222</v>
      </c>
      <c r="BI223" s="909">
        <f t="shared" ca="1" si="159"/>
        <v>-1580840.9779515218</v>
      </c>
      <c r="BJ223" s="909"/>
      <c r="BK223" s="653">
        <v>32</v>
      </c>
      <c r="BL223" s="909">
        <f t="shared" ref="BL223:BL241" ca="1" si="169">-(N223+O223)</f>
        <v>0</v>
      </c>
      <c r="BM223" s="909">
        <f t="shared" ref="BM223:BM241" si="170">-R223</f>
        <v>0</v>
      </c>
      <c r="BN223" s="909">
        <f t="shared" ref="BN223:BN241" ca="1" si="171">-(V223+W223)</f>
        <v>-15824.658984000002</v>
      </c>
      <c r="BO223" s="909">
        <f t="shared" ref="BO223:BO241" si="172">-Y223</f>
        <v>0</v>
      </c>
      <c r="BP223" s="909">
        <f t="shared" ref="BP223:BP241" ca="1" si="173">AC223</f>
        <v>-61710.245015999993</v>
      </c>
      <c r="BQ223" s="909">
        <f t="shared" ref="BQ223:BQ241" si="174">AG223</f>
        <v>77534.903999999995</v>
      </c>
      <c r="BR223" s="909">
        <f t="shared" ref="BR223:BR241" ca="1" si="175">SUM(BL223:BP223)</f>
        <v>-77534.903999999995</v>
      </c>
      <c r="BS223" s="653"/>
      <c r="BT223" s="653"/>
      <c r="BU223" s="653"/>
      <c r="BV223" s="654"/>
    </row>
    <row r="224" spans="2:74" x14ac:dyDescent="0.25">
      <c r="B224" s="651"/>
      <c r="C224" s="653"/>
      <c r="D224" s="653"/>
      <c r="E224" s="653"/>
      <c r="F224" s="653"/>
      <c r="G224" s="653"/>
      <c r="H224" s="653"/>
      <c r="I224" s="653"/>
      <c r="J224" s="653"/>
      <c r="K224" s="653"/>
      <c r="L224" s="653"/>
      <c r="M224" s="651">
        <v>33</v>
      </c>
      <c r="N224" s="909">
        <f t="shared" ref="N224:N241" ca="1" si="176">MIN(IF(Q223&lt;=0,0,IF(M224&lt;=$Y$172,$AC$172,IF(M224&lt;=$Y$173,$AC$173,IF(M224&lt;=$Y$174,$AC$174,IF(M224&lt;=$Y$175,$AC$175,IF(M224&lt;=$Y$176,$AC$176)))))),Q223)</f>
        <v>0</v>
      </c>
      <c r="O224" s="909">
        <f t="shared" ref="O224:O241" ca="1" si="177">MAX(MIN(AG224-X224+AC224-Y224,Q223-N224),0)</f>
        <v>0</v>
      </c>
      <c r="P224" s="909">
        <f t="shared" ref="P224:P241" ca="1" si="178">IF(Q223=0,0,Q223*$U$173+$U$171)</f>
        <v>0</v>
      </c>
      <c r="Q224" s="910">
        <f t="shared" ref="Q224:Q241" ca="1" si="179">IF(Q223=0,0,Q223-N224-O224)</f>
        <v>0</v>
      </c>
      <c r="R224" s="909">
        <f t="shared" ref="R224:R241" si="180">IF(M224&lt;=$V$179,-PMT($U$179,$V$179,$S$178),0)</f>
        <v>0</v>
      </c>
      <c r="S224" s="909">
        <f t="shared" ref="S224:S241" ca="1" si="181">U223*$U$179</f>
        <v>9.7717730462606284E-11</v>
      </c>
      <c r="T224" s="909">
        <f t="shared" ref="T224:T241" ca="1" si="182">R224-S224</f>
        <v>-9.7717730462606284E-11</v>
      </c>
      <c r="U224" s="909">
        <f t="shared" ref="U224:U241" ca="1" si="183">U223-T224</f>
        <v>3.3549754125494823E-9</v>
      </c>
      <c r="V224" s="909">
        <f t="shared" ref="V224:V241" ca="1" si="184">IF(M224&lt;=$V$180,($Q$173+$U$180)*$S$179,0)</f>
        <v>8640</v>
      </c>
      <c r="W224" s="909">
        <f t="shared" ref="W224:W241" ca="1" si="185">IF(M224&lt;=$V$181,($Q$173+$U$181)*$S$180,0)</f>
        <v>7184.6589840000006</v>
      </c>
      <c r="X224" s="909">
        <f t="shared" ref="X224:X241" ca="1" si="186">N224+R224+V224+W224+P224</f>
        <v>15824.658984000002</v>
      </c>
      <c r="Y224" s="909">
        <f t="shared" ref="Y224:Y241" si="187">IF($R$177&gt;0,IF(M224&gt;=$Q$175,Z223*-1,IF(M224&gt;$W$185,IF(X224&gt;=AG224,0,IF(Z223+AG224-X224&gt;=0,-Z223,AG224-X224)),IF(AG224-X224&gt;=0,0,AG224-X224))),0)</f>
        <v>0</v>
      </c>
      <c r="Z224" s="910">
        <f t="shared" ref="Z224:Z241" si="188">IF(Z223+Y224&gt;=0,0,Z223+Y224)</f>
        <v>0</v>
      </c>
      <c r="AA224" s="909">
        <f t="shared" ref="AA224:AA241" ca="1" si="189">IF($S$177&gt;0,IF(M224&gt;$W$185,IF(X224&gt;=AG224,0,IF(AB223+AG224&gt;=0,-AB223,AG224-X224)),IF(AG224-X224&gt;=0,0,AG224-X224)),0)</f>
        <v>0</v>
      </c>
      <c r="AB224" s="910">
        <f t="shared" ref="AB224:AB241" ca="1" si="190">IF(AB223+AA224&gt;=0,0,AB223+AA224)</f>
        <v>0</v>
      </c>
      <c r="AC224" s="911">
        <f t="shared" ref="AC224:AC241" ca="1" si="191">IF(M224&gt;=$Q$175,AD223*-1*(1+$Q$173),MAX(X224+Y224-AG224,AD223*-1*(1+$Q$173)))</f>
        <v>-61710.245015999993</v>
      </c>
      <c r="AD224" s="911">
        <f t="shared" ref="AD224:AD241" ca="1" si="192">AC224+AD223*(1+$Q$173)</f>
        <v>4390302.0658047339</v>
      </c>
      <c r="AE224" s="909">
        <f t="shared" ref="AE224:AE241" ca="1" si="193">IF(AG224-Y224-X224+AC224&lt;0,0,AG224-Y224-X224+AC224-O224)</f>
        <v>0</v>
      </c>
      <c r="AF224" s="912">
        <f t="shared" ca="1" si="160"/>
        <v>0</v>
      </c>
      <c r="AG224" s="909">
        <f t="shared" ref="AG224:AG241" si="194">$Y$184*$I$183*12</f>
        <v>77534.903999999995</v>
      </c>
      <c r="AH224" s="917">
        <f t="shared" ref="AH224:AH241" ca="1" si="195">(X224+Y224)</f>
        <v>15824.658984000002</v>
      </c>
      <c r="AI224" s="909">
        <f t="shared" ref="AI224:AI241" ca="1" si="196">IF(M224&gt;$Q$175,"",(X224+Y224+O224)*-1)</f>
        <v>-15824.658984000002</v>
      </c>
      <c r="AJ224" s="916">
        <f t="shared" ref="AJ224:AJ241" ca="1" si="197">IF(M224&gt;$Q$175,"",AI224+AG224)</f>
        <v>61710.245015999993</v>
      </c>
      <c r="AK224" s="916">
        <f t="shared" ref="AK224:AK241" ca="1" si="198">IF(M224&gt;$Q$175,"",(N224+O224+P224+R224+V224+W224+Y224-AC224)*-1)</f>
        <v>-77534.903999999995</v>
      </c>
      <c r="AL224" s="909">
        <f t="shared" ref="AL224:AL241" ca="1" si="199">IF(M224&gt;$Q$175,"",AK224+AG224)</f>
        <v>0</v>
      </c>
      <c r="AM224" s="918">
        <f t="shared" ref="AM224:AM241" ca="1" si="200">X224+Y224+O224</f>
        <v>15824.658984000002</v>
      </c>
      <c r="AN224" s="915">
        <f t="shared" si="161"/>
        <v>33</v>
      </c>
      <c r="AO224" s="653">
        <f t="shared" ref="AO224:AO241" si="201">IF(M224&gt;$Q$175,"",AG224)</f>
        <v>77534.903999999995</v>
      </c>
      <c r="AP224" s="916">
        <f t="shared" ref="AP224:AP241" ca="1" si="202">IF(M224&gt;$Q$175,"",N224+O224+P224)</f>
        <v>0</v>
      </c>
      <c r="AQ224" s="916">
        <f t="shared" ref="AQ224:AQ241" si="203">IF(M224&gt;$Q$175,"",Y224)</f>
        <v>0</v>
      </c>
      <c r="AR224" s="653"/>
      <c r="AS224" s="653">
        <v>33</v>
      </c>
      <c r="AT224" s="909">
        <f t="shared" ca="1" si="162"/>
        <v>0</v>
      </c>
      <c r="AU224" s="909">
        <f t="shared" si="163"/>
        <v>0</v>
      </c>
      <c r="AV224" s="909">
        <f t="shared" ca="1" si="164"/>
        <v>-5966.3117825975232</v>
      </c>
      <c r="AW224" s="909">
        <f t="shared" si="165"/>
        <v>0</v>
      </c>
      <c r="AX224" s="909">
        <f t="shared" ca="1" si="166"/>
        <v>-23266.382063474666</v>
      </c>
      <c r="AY224" s="909">
        <f t="shared" si="167"/>
        <v>29232.69384607219</v>
      </c>
      <c r="AZ224" s="909">
        <f t="shared" ca="1" si="168"/>
        <v>-29232.69384607219</v>
      </c>
      <c r="BA224" s="653"/>
      <c r="BB224" s="653">
        <f t="shared" ref="BB224:BB241" si="204">AS224</f>
        <v>33</v>
      </c>
      <c r="BC224" s="909">
        <f t="shared" ref="BC224:BC241" ca="1" si="205">BC223+AT224</f>
        <v>0</v>
      </c>
      <c r="BD224" s="909">
        <f t="shared" ref="BD224:BD241" ca="1" si="206">BD223+AU224</f>
        <v>-3357414.5173999998</v>
      </c>
      <c r="BE224" s="909">
        <f t="shared" ref="BE224:BE241" ca="1" si="207">BE223+AV224</f>
        <v>-328611.57338008273</v>
      </c>
      <c r="BF224" s="909">
        <f t="shared" ref="BF224:BF241" si="208">BF223+AW224</f>
        <v>0</v>
      </c>
      <c r="BG224" s="909">
        <f t="shared" ref="BG224:BG241" ca="1" si="209">BG223+AX224</f>
        <v>2075952.4189824893</v>
      </c>
      <c r="BH224" s="909">
        <f t="shared" ref="BH224:BH241" si="210">BH223+AY224</f>
        <v>1610074.6717975945</v>
      </c>
      <c r="BI224" s="909">
        <f t="shared" ref="BI224:BI241" ca="1" si="211">BI223+AZ224</f>
        <v>-1610073.6717975941</v>
      </c>
      <c r="BJ224" s="909"/>
      <c r="BK224" s="653">
        <v>33</v>
      </c>
      <c r="BL224" s="909">
        <f t="shared" ca="1" si="169"/>
        <v>0</v>
      </c>
      <c r="BM224" s="909">
        <f t="shared" si="170"/>
        <v>0</v>
      </c>
      <c r="BN224" s="909">
        <f t="shared" ca="1" si="171"/>
        <v>-15824.658984000002</v>
      </c>
      <c r="BO224" s="909">
        <f t="shared" si="172"/>
        <v>0</v>
      </c>
      <c r="BP224" s="909">
        <f t="shared" ca="1" si="173"/>
        <v>-61710.245015999993</v>
      </c>
      <c r="BQ224" s="909">
        <f t="shared" si="174"/>
        <v>77534.903999999995</v>
      </c>
      <c r="BR224" s="909">
        <f t="shared" ca="1" si="175"/>
        <v>-77534.903999999995</v>
      </c>
      <c r="BS224" s="653"/>
      <c r="BT224" s="653"/>
      <c r="BU224" s="653"/>
      <c r="BV224" s="654"/>
    </row>
    <row r="225" spans="2:74" x14ac:dyDescent="0.25">
      <c r="B225" s="651"/>
      <c r="C225" s="653"/>
      <c r="D225" s="653"/>
      <c r="E225" s="653"/>
      <c r="F225" s="653"/>
      <c r="G225" s="653"/>
      <c r="H225" s="653"/>
      <c r="I225" s="653"/>
      <c r="J225" s="653"/>
      <c r="K225" s="653"/>
      <c r="L225" s="653"/>
      <c r="M225" s="651">
        <v>34</v>
      </c>
      <c r="N225" s="909">
        <f t="shared" ca="1" si="176"/>
        <v>0</v>
      </c>
      <c r="O225" s="909">
        <f t="shared" ca="1" si="177"/>
        <v>0</v>
      </c>
      <c r="P225" s="909">
        <f t="shared" ca="1" si="178"/>
        <v>0</v>
      </c>
      <c r="Q225" s="910">
        <f t="shared" ca="1" si="179"/>
        <v>0</v>
      </c>
      <c r="R225" s="909">
        <f t="shared" si="180"/>
        <v>0</v>
      </c>
      <c r="S225" s="909">
        <f t="shared" ca="1" si="181"/>
        <v>1.0064926237648447E-10</v>
      </c>
      <c r="T225" s="909">
        <f t="shared" ca="1" si="182"/>
        <v>-1.0064926237648447E-10</v>
      </c>
      <c r="U225" s="909">
        <f t="shared" ca="1" si="183"/>
        <v>3.4556246749259669E-9</v>
      </c>
      <c r="V225" s="909">
        <f t="shared" ca="1" si="184"/>
        <v>8640</v>
      </c>
      <c r="W225" s="909">
        <f t="shared" ca="1" si="185"/>
        <v>7184.6589840000006</v>
      </c>
      <c r="X225" s="909">
        <f t="shared" ca="1" si="186"/>
        <v>15824.658984000002</v>
      </c>
      <c r="Y225" s="909">
        <f t="shared" si="187"/>
        <v>0</v>
      </c>
      <c r="Z225" s="910">
        <f t="shared" si="188"/>
        <v>0</v>
      </c>
      <c r="AA225" s="909">
        <f t="shared" ca="1" si="189"/>
        <v>0</v>
      </c>
      <c r="AB225" s="910">
        <f t="shared" ca="1" si="190"/>
        <v>0</v>
      </c>
      <c r="AC225" s="911">
        <f t="shared" ca="1" si="191"/>
        <v>-61710.245015999993</v>
      </c>
      <c r="AD225" s="911">
        <f t="shared" ca="1" si="192"/>
        <v>4416397.8621048285</v>
      </c>
      <c r="AE225" s="909">
        <f t="shared" ca="1" si="193"/>
        <v>0</v>
      </c>
      <c r="AF225" s="912">
        <f t="shared" ca="1" si="160"/>
        <v>0</v>
      </c>
      <c r="AG225" s="909">
        <f t="shared" si="194"/>
        <v>77534.903999999995</v>
      </c>
      <c r="AH225" s="917">
        <f t="shared" ca="1" si="195"/>
        <v>15824.658984000002</v>
      </c>
      <c r="AI225" s="909">
        <f t="shared" ca="1" si="196"/>
        <v>-15824.658984000002</v>
      </c>
      <c r="AJ225" s="916">
        <f t="shared" ca="1" si="197"/>
        <v>61710.245015999993</v>
      </c>
      <c r="AK225" s="916">
        <f t="shared" ca="1" si="198"/>
        <v>-77534.903999999995</v>
      </c>
      <c r="AL225" s="909">
        <f t="shared" ca="1" si="199"/>
        <v>0</v>
      </c>
      <c r="AM225" s="918">
        <f t="shared" ca="1" si="200"/>
        <v>15824.658984000002</v>
      </c>
      <c r="AN225" s="915">
        <f t="shared" si="161"/>
        <v>34</v>
      </c>
      <c r="AO225" s="653">
        <f t="shared" si="201"/>
        <v>77534.903999999995</v>
      </c>
      <c r="AP225" s="916">
        <f t="shared" ca="1" si="202"/>
        <v>0</v>
      </c>
      <c r="AQ225" s="916">
        <f t="shared" si="203"/>
        <v>0</v>
      </c>
      <c r="AR225" s="653"/>
      <c r="AS225" s="653">
        <v>34</v>
      </c>
      <c r="AT225" s="909">
        <f t="shared" ca="1" si="162"/>
        <v>0</v>
      </c>
      <c r="AU225" s="909">
        <f t="shared" si="163"/>
        <v>0</v>
      </c>
      <c r="AV225" s="909">
        <f t="shared" ca="1" si="164"/>
        <v>-5792.535711259733</v>
      </c>
      <c r="AW225" s="909">
        <f t="shared" si="165"/>
        <v>0</v>
      </c>
      <c r="AX225" s="909">
        <f t="shared" ca="1" si="166"/>
        <v>-22588.720449975408</v>
      </c>
      <c r="AY225" s="909">
        <f t="shared" si="167"/>
        <v>28381.256161235142</v>
      </c>
      <c r="AZ225" s="909">
        <f t="shared" ca="1" si="168"/>
        <v>-28381.256161235142</v>
      </c>
      <c r="BA225" s="653"/>
      <c r="BB225" s="653">
        <f t="shared" si="204"/>
        <v>34</v>
      </c>
      <c r="BC225" s="909">
        <f t="shared" ca="1" si="205"/>
        <v>0</v>
      </c>
      <c r="BD225" s="909">
        <f t="shared" ca="1" si="206"/>
        <v>-3357414.5173999998</v>
      </c>
      <c r="BE225" s="909">
        <f t="shared" ca="1" si="207"/>
        <v>-334404.10909134249</v>
      </c>
      <c r="BF225" s="909">
        <f t="shared" si="208"/>
        <v>0</v>
      </c>
      <c r="BG225" s="909">
        <f t="shared" ca="1" si="209"/>
        <v>2053363.6985325138</v>
      </c>
      <c r="BH225" s="909">
        <f t="shared" si="210"/>
        <v>1638455.9279588296</v>
      </c>
      <c r="BI225" s="909">
        <f t="shared" ca="1" si="211"/>
        <v>-1638454.9279588291</v>
      </c>
      <c r="BJ225" s="909"/>
      <c r="BK225" s="653">
        <v>34</v>
      </c>
      <c r="BL225" s="909">
        <f t="shared" ca="1" si="169"/>
        <v>0</v>
      </c>
      <c r="BM225" s="909">
        <f t="shared" si="170"/>
        <v>0</v>
      </c>
      <c r="BN225" s="909">
        <f t="shared" ca="1" si="171"/>
        <v>-15824.658984000002</v>
      </c>
      <c r="BO225" s="909">
        <f t="shared" si="172"/>
        <v>0</v>
      </c>
      <c r="BP225" s="909">
        <f t="shared" ca="1" si="173"/>
        <v>-61710.245015999993</v>
      </c>
      <c r="BQ225" s="909">
        <f t="shared" si="174"/>
        <v>77534.903999999995</v>
      </c>
      <c r="BR225" s="909">
        <f t="shared" ca="1" si="175"/>
        <v>-77534.903999999995</v>
      </c>
      <c r="BS225" s="653"/>
      <c r="BT225" s="653"/>
      <c r="BU225" s="653"/>
      <c r="BV225" s="654"/>
    </row>
    <row r="226" spans="2:74" x14ac:dyDescent="0.25">
      <c r="B226" s="651"/>
      <c r="C226" s="653"/>
      <c r="D226" s="653"/>
      <c r="E226" s="653"/>
      <c r="F226" s="653"/>
      <c r="G226" s="653"/>
      <c r="H226" s="653"/>
      <c r="I226" s="653"/>
      <c r="J226" s="653"/>
      <c r="K226" s="653"/>
      <c r="L226" s="653"/>
      <c r="M226" s="651">
        <v>35</v>
      </c>
      <c r="N226" s="909">
        <f t="shared" ca="1" si="176"/>
        <v>0</v>
      </c>
      <c r="O226" s="909">
        <f t="shared" ca="1" si="177"/>
        <v>0</v>
      </c>
      <c r="P226" s="909">
        <f t="shared" ca="1" si="178"/>
        <v>0</v>
      </c>
      <c r="Q226" s="910">
        <f t="shared" ca="1" si="179"/>
        <v>0</v>
      </c>
      <c r="R226" s="909">
        <f t="shared" si="180"/>
        <v>0</v>
      </c>
      <c r="S226" s="909">
        <f t="shared" ca="1" si="181"/>
        <v>1.03668740247779E-10</v>
      </c>
      <c r="T226" s="909">
        <f t="shared" ca="1" si="182"/>
        <v>-1.03668740247779E-10</v>
      </c>
      <c r="U226" s="909">
        <f t="shared" ca="1" si="183"/>
        <v>3.559293415173746E-9</v>
      </c>
      <c r="V226" s="909">
        <f t="shared" ca="1" si="184"/>
        <v>8640</v>
      </c>
      <c r="W226" s="909">
        <f t="shared" ca="1" si="185"/>
        <v>7184.6589840000006</v>
      </c>
      <c r="X226" s="909">
        <f t="shared" ca="1" si="186"/>
        <v>15824.658984000002</v>
      </c>
      <c r="Y226" s="909">
        <f t="shared" si="187"/>
        <v>0</v>
      </c>
      <c r="Z226" s="910">
        <f t="shared" si="188"/>
        <v>0</v>
      </c>
      <c r="AA226" s="909">
        <f t="shared" ca="1" si="189"/>
        <v>0</v>
      </c>
      <c r="AB226" s="910">
        <f t="shared" ca="1" si="190"/>
        <v>0</v>
      </c>
      <c r="AC226" s="911">
        <f t="shared" ca="1" si="191"/>
        <v>-4504725.8193469252</v>
      </c>
      <c r="AD226" s="911">
        <f t="shared" ca="1" si="192"/>
        <v>0</v>
      </c>
      <c r="AE226" s="909">
        <f t="shared" ca="1" si="193"/>
        <v>0</v>
      </c>
      <c r="AF226" s="912">
        <f t="shared" ca="1" si="160"/>
        <v>0</v>
      </c>
      <c r="AG226" s="909">
        <f t="shared" si="194"/>
        <v>77534.903999999995</v>
      </c>
      <c r="AH226" s="917">
        <f t="shared" ca="1" si="195"/>
        <v>15824.658984000002</v>
      </c>
      <c r="AI226" s="909">
        <f t="shared" ca="1" si="196"/>
        <v>-15824.658984000002</v>
      </c>
      <c r="AJ226" s="916">
        <f t="shared" ca="1" si="197"/>
        <v>61710.245015999993</v>
      </c>
      <c r="AK226" s="916">
        <f t="shared" ca="1" si="198"/>
        <v>-4520550.4783309251</v>
      </c>
      <c r="AL226" s="909">
        <f t="shared" ca="1" si="199"/>
        <v>-4443015.574330925</v>
      </c>
      <c r="AM226" s="918">
        <f t="shared" ca="1" si="200"/>
        <v>15824.658984000002</v>
      </c>
      <c r="AN226" s="915">
        <f t="shared" si="161"/>
        <v>35</v>
      </c>
      <c r="AO226" s="653">
        <f t="shared" si="201"/>
        <v>77534.903999999995</v>
      </c>
      <c r="AP226" s="916">
        <f t="shared" ca="1" si="202"/>
        <v>0</v>
      </c>
      <c r="AQ226" s="916">
        <f t="shared" si="203"/>
        <v>0</v>
      </c>
      <c r="AR226" s="653"/>
      <c r="AS226" s="653">
        <v>35</v>
      </c>
      <c r="AT226" s="909">
        <f t="shared" ca="1" si="162"/>
        <v>0</v>
      </c>
      <c r="AU226" s="909">
        <f t="shared" si="163"/>
        <v>0</v>
      </c>
      <c r="AV226" s="909">
        <f t="shared" ca="1" si="164"/>
        <v>-5623.8210788929437</v>
      </c>
      <c r="AW226" s="909">
        <f t="shared" si="165"/>
        <v>0</v>
      </c>
      <c r="AX226" s="909">
        <f t="shared" ca="1" si="166"/>
        <v>-1600904.7678746819</v>
      </c>
      <c r="AY226" s="909">
        <f t="shared" si="167"/>
        <v>27554.61763226712</v>
      </c>
      <c r="AZ226" s="909">
        <f t="shared" ca="1" si="168"/>
        <v>-1606528.5889535749</v>
      </c>
      <c r="BA226" s="653"/>
      <c r="BB226" s="653">
        <f t="shared" si="204"/>
        <v>35</v>
      </c>
      <c r="BC226" s="909">
        <f t="shared" ca="1" si="205"/>
        <v>0</v>
      </c>
      <c r="BD226" s="909">
        <f t="shared" ca="1" si="206"/>
        <v>-3357414.5173999998</v>
      </c>
      <c r="BE226" s="909">
        <f t="shared" ca="1" si="207"/>
        <v>-340027.93017023546</v>
      </c>
      <c r="BF226" s="909">
        <f t="shared" si="208"/>
        <v>0</v>
      </c>
      <c r="BG226" s="909">
        <f t="shared" ca="1" si="209"/>
        <v>452458.93065783195</v>
      </c>
      <c r="BH226" s="909">
        <f t="shared" si="210"/>
        <v>1666010.5455910966</v>
      </c>
      <c r="BI226" s="909">
        <f t="shared" ca="1" si="211"/>
        <v>-3244983.516912404</v>
      </c>
      <c r="BJ226" s="909"/>
      <c r="BK226" s="653">
        <v>35</v>
      </c>
      <c r="BL226" s="909">
        <f t="shared" ca="1" si="169"/>
        <v>0</v>
      </c>
      <c r="BM226" s="909">
        <f t="shared" si="170"/>
        <v>0</v>
      </c>
      <c r="BN226" s="909">
        <f t="shared" ca="1" si="171"/>
        <v>-15824.658984000002</v>
      </c>
      <c r="BO226" s="909">
        <f t="shared" si="172"/>
        <v>0</v>
      </c>
      <c r="BP226" s="909">
        <f t="shared" ca="1" si="173"/>
        <v>-4504725.8193469252</v>
      </c>
      <c r="BQ226" s="909">
        <f t="shared" si="174"/>
        <v>77534.903999999995</v>
      </c>
      <c r="BR226" s="909">
        <f t="shared" ca="1" si="175"/>
        <v>-4520550.4783309251</v>
      </c>
      <c r="BS226" s="653"/>
      <c r="BT226" s="653"/>
      <c r="BU226" s="653"/>
      <c r="BV226" s="654"/>
    </row>
    <row r="227" spans="2:74" x14ac:dyDescent="0.25">
      <c r="B227" s="651"/>
      <c r="C227" s="653"/>
      <c r="D227" s="653"/>
      <c r="E227" s="653"/>
      <c r="F227" s="653"/>
      <c r="G227" s="653"/>
      <c r="H227" s="653"/>
      <c r="I227" s="653"/>
      <c r="J227" s="653"/>
      <c r="K227" s="653"/>
      <c r="L227" s="653"/>
      <c r="M227" s="651">
        <v>36</v>
      </c>
      <c r="N227" s="909">
        <f t="shared" ca="1" si="176"/>
        <v>0</v>
      </c>
      <c r="O227" s="909">
        <f t="shared" ca="1" si="177"/>
        <v>0</v>
      </c>
      <c r="P227" s="909">
        <f t="shared" ca="1" si="178"/>
        <v>0</v>
      </c>
      <c r="Q227" s="910">
        <f t="shared" ca="1" si="179"/>
        <v>0</v>
      </c>
      <c r="R227" s="909">
        <f t="shared" si="180"/>
        <v>0</v>
      </c>
      <c r="S227" s="909">
        <f t="shared" ca="1" si="181"/>
        <v>1.0677880245521238E-10</v>
      </c>
      <c r="T227" s="909">
        <f t="shared" ca="1" si="182"/>
        <v>-1.0677880245521238E-10</v>
      </c>
      <c r="U227" s="909">
        <f t="shared" ca="1" si="183"/>
        <v>3.6660722176289582E-9</v>
      </c>
      <c r="V227" s="909">
        <f t="shared" ca="1" si="184"/>
        <v>8640</v>
      </c>
      <c r="W227" s="909">
        <f t="shared" ca="1" si="185"/>
        <v>0</v>
      </c>
      <c r="X227" s="909">
        <f t="shared" ca="1" si="186"/>
        <v>8640</v>
      </c>
      <c r="Y227" s="909">
        <f t="shared" si="187"/>
        <v>0</v>
      </c>
      <c r="Z227" s="910">
        <f t="shared" si="188"/>
        <v>0</v>
      </c>
      <c r="AA227" s="909">
        <f t="shared" ca="1" si="189"/>
        <v>0</v>
      </c>
      <c r="AB227" s="910">
        <f t="shared" ca="1" si="190"/>
        <v>0</v>
      </c>
      <c r="AC227" s="911">
        <f t="shared" ca="1" si="191"/>
        <v>0</v>
      </c>
      <c r="AD227" s="911">
        <f t="shared" ca="1" si="192"/>
        <v>0</v>
      </c>
      <c r="AE227" s="909">
        <f t="shared" ca="1" si="193"/>
        <v>68894.903999999995</v>
      </c>
      <c r="AF227" s="912">
        <f t="shared" ca="1" si="160"/>
        <v>33773.876882095989</v>
      </c>
      <c r="AG227" s="909">
        <f t="shared" si="194"/>
        <v>77534.903999999995</v>
      </c>
      <c r="AH227" s="917">
        <f t="shared" ca="1" si="195"/>
        <v>8640</v>
      </c>
      <c r="AI227" s="909" t="str">
        <f t="shared" si="196"/>
        <v/>
      </c>
      <c r="AJ227" s="916" t="str">
        <f t="shared" si="197"/>
        <v/>
      </c>
      <c r="AK227" s="916" t="str">
        <f t="shared" si="198"/>
        <v/>
      </c>
      <c r="AL227" s="909" t="str">
        <f t="shared" si="199"/>
        <v/>
      </c>
      <c r="AM227" s="918">
        <f t="shared" ca="1" si="200"/>
        <v>8640</v>
      </c>
      <c r="AN227" s="915">
        <f t="shared" si="161"/>
        <v>36</v>
      </c>
      <c r="AO227" s="653" t="str">
        <f t="shared" si="201"/>
        <v/>
      </c>
      <c r="AP227" s="916" t="str">
        <f t="shared" si="202"/>
        <v/>
      </c>
      <c r="AQ227" s="916" t="str">
        <f t="shared" si="203"/>
        <v/>
      </c>
      <c r="AR227" s="653"/>
      <c r="AS227" s="653">
        <v>36</v>
      </c>
      <c r="AT227" s="909">
        <f t="shared" ca="1" si="162"/>
        <v>0</v>
      </c>
      <c r="AU227" s="909">
        <f t="shared" si="163"/>
        <v>0</v>
      </c>
      <c r="AV227" s="909">
        <f t="shared" ca="1" si="164"/>
        <v>-2981.0801524897734</v>
      </c>
      <c r="AW227" s="909">
        <f t="shared" si="165"/>
        <v>0</v>
      </c>
      <c r="AX227" s="909">
        <f t="shared" ca="1" si="166"/>
        <v>0</v>
      </c>
      <c r="AY227" s="909">
        <f t="shared" si="167"/>
        <v>26752.0559536574</v>
      </c>
      <c r="AZ227" s="909">
        <f t="shared" ca="1" si="168"/>
        <v>-2981.0801524897734</v>
      </c>
      <c r="BA227" s="653"/>
      <c r="BB227" s="653">
        <f t="shared" si="204"/>
        <v>36</v>
      </c>
      <c r="BC227" s="909">
        <f t="shared" ca="1" si="205"/>
        <v>0</v>
      </c>
      <c r="BD227" s="909">
        <f t="shared" ca="1" si="206"/>
        <v>-3357414.5173999998</v>
      </c>
      <c r="BE227" s="909">
        <f t="shared" ca="1" si="207"/>
        <v>-343009.01032272523</v>
      </c>
      <c r="BF227" s="909">
        <f t="shared" si="208"/>
        <v>0</v>
      </c>
      <c r="BG227" s="909">
        <f t="shared" ca="1" si="209"/>
        <v>452458.93065783195</v>
      </c>
      <c r="BH227" s="909">
        <f t="shared" si="210"/>
        <v>1692762.6015447541</v>
      </c>
      <c r="BI227" s="909">
        <f t="shared" ca="1" si="211"/>
        <v>-3247964.5970648937</v>
      </c>
      <c r="BJ227" s="909"/>
      <c r="BK227" s="653">
        <v>36</v>
      </c>
      <c r="BL227" s="909">
        <f t="shared" ca="1" si="169"/>
        <v>0</v>
      </c>
      <c r="BM227" s="909">
        <f t="shared" si="170"/>
        <v>0</v>
      </c>
      <c r="BN227" s="909">
        <f t="shared" ca="1" si="171"/>
        <v>-8640</v>
      </c>
      <c r="BO227" s="909">
        <f t="shared" si="172"/>
        <v>0</v>
      </c>
      <c r="BP227" s="909">
        <f t="shared" ca="1" si="173"/>
        <v>0</v>
      </c>
      <c r="BQ227" s="909">
        <f t="shared" si="174"/>
        <v>77534.903999999995</v>
      </c>
      <c r="BR227" s="909">
        <f t="shared" ca="1" si="175"/>
        <v>-8640</v>
      </c>
      <c r="BS227" s="653"/>
      <c r="BT227" s="653"/>
      <c r="BU227" s="653"/>
      <c r="BV227" s="654"/>
    </row>
    <row r="228" spans="2:74" x14ac:dyDescent="0.25">
      <c r="B228" s="651"/>
      <c r="C228" s="653"/>
      <c r="D228" s="653"/>
      <c r="E228" s="653"/>
      <c r="F228" s="653"/>
      <c r="G228" s="653"/>
      <c r="H228" s="653"/>
      <c r="I228" s="653"/>
      <c r="J228" s="653"/>
      <c r="K228" s="653"/>
      <c r="L228" s="653"/>
      <c r="M228" s="651">
        <v>37</v>
      </c>
      <c r="N228" s="909">
        <f t="shared" ca="1" si="176"/>
        <v>0</v>
      </c>
      <c r="O228" s="909">
        <f t="shared" ca="1" si="177"/>
        <v>0</v>
      </c>
      <c r="P228" s="909">
        <f t="shared" ca="1" si="178"/>
        <v>0</v>
      </c>
      <c r="Q228" s="910">
        <f t="shared" ca="1" si="179"/>
        <v>0</v>
      </c>
      <c r="R228" s="909">
        <f t="shared" si="180"/>
        <v>0</v>
      </c>
      <c r="S228" s="909">
        <f t="shared" ca="1" si="181"/>
        <v>1.0998216652886874E-10</v>
      </c>
      <c r="T228" s="909">
        <f t="shared" ca="1" si="182"/>
        <v>-1.0998216652886874E-10</v>
      </c>
      <c r="U228" s="909">
        <f t="shared" ca="1" si="183"/>
        <v>3.7760543841578271E-9</v>
      </c>
      <c r="V228" s="909">
        <f t="shared" ca="1" si="184"/>
        <v>8640</v>
      </c>
      <c r="W228" s="909">
        <f t="shared" ca="1" si="185"/>
        <v>0</v>
      </c>
      <c r="X228" s="909">
        <f t="shared" ca="1" si="186"/>
        <v>8640</v>
      </c>
      <c r="Y228" s="909">
        <f t="shared" si="187"/>
        <v>0</v>
      </c>
      <c r="Z228" s="910">
        <f t="shared" si="188"/>
        <v>0</v>
      </c>
      <c r="AA228" s="909">
        <f t="shared" ca="1" si="189"/>
        <v>0</v>
      </c>
      <c r="AB228" s="910">
        <f t="shared" ca="1" si="190"/>
        <v>0</v>
      </c>
      <c r="AC228" s="911">
        <f t="shared" ca="1" si="191"/>
        <v>0</v>
      </c>
      <c r="AD228" s="911">
        <f t="shared" ca="1" si="192"/>
        <v>0</v>
      </c>
      <c r="AE228" s="909">
        <f t="shared" ca="1" si="193"/>
        <v>68894.903999999995</v>
      </c>
      <c r="AF228" s="912">
        <f t="shared" ca="1" si="160"/>
        <v>33111.644002054883</v>
      </c>
      <c r="AG228" s="909">
        <f t="shared" si="194"/>
        <v>77534.903999999995</v>
      </c>
      <c r="AH228" s="917">
        <f t="shared" ca="1" si="195"/>
        <v>8640</v>
      </c>
      <c r="AI228" s="909" t="str">
        <f t="shared" si="196"/>
        <v/>
      </c>
      <c r="AJ228" s="916" t="str">
        <f t="shared" si="197"/>
        <v/>
      </c>
      <c r="AK228" s="916" t="str">
        <f t="shared" si="198"/>
        <v/>
      </c>
      <c r="AL228" s="909" t="str">
        <f t="shared" si="199"/>
        <v/>
      </c>
      <c r="AM228" s="918">
        <f t="shared" ca="1" si="200"/>
        <v>8640</v>
      </c>
      <c r="AN228" s="915">
        <f t="shared" si="161"/>
        <v>37</v>
      </c>
      <c r="AO228" s="653" t="str">
        <f t="shared" si="201"/>
        <v/>
      </c>
      <c r="AP228" s="916" t="str">
        <f t="shared" si="202"/>
        <v/>
      </c>
      <c r="AQ228" s="916" t="str">
        <f t="shared" si="203"/>
        <v/>
      </c>
      <c r="AR228" s="653"/>
      <c r="AS228" s="653">
        <v>37</v>
      </c>
      <c r="AT228" s="909">
        <f t="shared" ca="1" si="162"/>
        <v>0</v>
      </c>
      <c r="AU228" s="909">
        <f t="shared" si="163"/>
        <v>0</v>
      </c>
      <c r="AV228" s="909">
        <f t="shared" ca="1" si="164"/>
        <v>-2894.2525752327902</v>
      </c>
      <c r="AW228" s="909">
        <f t="shared" si="165"/>
        <v>0</v>
      </c>
      <c r="AX228" s="909">
        <f t="shared" ca="1" si="166"/>
        <v>0</v>
      </c>
      <c r="AY228" s="909">
        <f t="shared" si="167"/>
        <v>25972.86985791981</v>
      </c>
      <c r="AZ228" s="909">
        <f t="shared" ca="1" si="168"/>
        <v>-2894.2525752327902</v>
      </c>
      <c r="BA228" s="653"/>
      <c r="BB228" s="653">
        <f t="shared" si="204"/>
        <v>37</v>
      </c>
      <c r="BC228" s="909">
        <f t="shared" ca="1" si="205"/>
        <v>0</v>
      </c>
      <c r="BD228" s="909">
        <f t="shared" ca="1" si="206"/>
        <v>-3357414.5173999998</v>
      </c>
      <c r="BE228" s="909">
        <f t="shared" ca="1" si="207"/>
        <v>-345903.26289795799</v>
      </c>
      <c r="BF228" s="909">
        <f t="shared" si="208"/>
        <v>0</v>
      </c>
      <c r="BG228" s="909">
        <f t="shared" ca="1" si="209"/>
        <v>452458.93065783195</v>
      </c>
      <c r="BH228" s="909">
        <f t="shared" si="210"/>
        <v>1718735.471402674</v>
      </c>
      <c r="BI228" s="909">
        <f t="shared" ca="1" si="211"/>
        <v>-3250858.8496401263</v>
      </c>
      <c r="BJ228" s="909"/>
      <c r="BK228" s="653">
        <v>37</v>
      </c>
      <c r="BL228" s="909">
        <f t="shared" ca="1" si="169"/>
        <v>0</v>
      </c>
      <c r="BM228" s="909">
        <f t="shared" si="170"/>
        <v>0</v>
      </c>
      <c r="BN228" s="909">
        <f t="shared" ca="1" si="171"/>
        <v>-8640</v>
      </c>
      <c r="BO228" s="909">
        <f t="shared" si="172"/>
        <v>0</v>
      </c>
      <c r="BP228" s="909">
        <f t="shared" ca="1" si="173"/>
        <v>0</v>
      </c>
      <c r="BQ228" s="909">
        <f t="shared" si="174"/>
        <v>77534.903999999995</v>
      </c>
      <c r="BR228" s="909">
        <f t="shared" ca="1" si="175"/>
        <v>-8640</v>
      </c>
      <c r="BS228" s="653"/>
      <c r="BT228" s="653"/>
      <c r="BU228" s="653"/>
      <c r="BV228" s="654"/>
    </row>
    <row r="229" spans="2:74" x14ac:dyDescent="0.25">
      <c r="B229" s="651"/>
      <c r="C229" s="653"/>
      <c r="D229" s="653"/>
      <c r="E229" s="653"/>
      <c r="F229" s="653"/>
      <c r="G229" s="653"/>
      <c r="H229" s="653"/>
      <c r="I229" s="653"/>
      <c r="J229" s="653"/>
      <c r="K229" s="653"/>
      <c r="L229" s="653"/>
      <c r="M229" s="651">
        <v>38</v>
      </c>
      <c r="N229" s="909">
        <f t="shared" ca="1" si="176"/>
        <v>0</v>
      </c>
      <c r="O229" s="909">
        <f t="shared" ca="1" si="177"/>
        <v>0</v>
      </c>
      <c r="P229" s="909">
        <f t="shared" ca="1" si="178"/>
        <v>0</v>
      </c>
      <c r="Q229" s="910">
        <f t="shared" ca="1" si="179"/>
        <v>0</v>
      </c>
      <c r="R229" s="909">
        <f t="shared" si="180"/>
        <v>0</v>
      </c>
      <c r="S229" s="909">
        <f t="shared" ca="1" si="181"/>
        <v>1.132816315247348E-10</v>
      </c>
      <c r="T229" s="909">
        <f t="shared" ca="1" si="182"/>
        <v>-1.132816315247348E-10</v>
      </c>
      <c r="U229" s="909">
        <f t="shared" ca="1" si="183"/>
        <v>3.8893360156825616E-9</v>
      </c>
      <c r="V229" s="909">
        <f t="shared" ca="1" si="184"/>
        <v>8640</v>
      </c>
      <c r="W229" s="909">
        <f t="shared" ca="1" si="185"/>
        <v>0</v>
      </c>
      <c r="X229" s="909">
        <f t="shared" ca="1" si="186"/>
        <v>8640</v>
      </c>
      <c r="Y229" s="909">
        <f t="shared" si="187"/>
        <v>0</v>
      </c>
      <c r="Z229" s="910">
        <f t="shared" si="188"/>
        <v>0</v>
      </c>
      <c r="AA229" s="909">
        <f t="shared" ca="1" si="189"/>
        <v>0</v>
      </c>
      <c r="AB229" s="910">
        <f t="shared" ca="1" si="190"/>
        <v>0</v>
      </c>
      <c r="AC229" s="911">
        <f t="shared" ca="1" si="191"/>
        <v>0</v>
      </c>
      <c r="AD229" s="911">
        <f t="shared" ca="1" si="192"/>
        <v>0</v>
      </c>
      <c r="AE229" s="909">
        <f t="shared" ca="1" si="193"/>
        <v>68894.903999999995</v>
      </c>
      <c r="AF229" s="912">
        <f t="shared" ca="1" si="160"/>
        <v>32462.39608044596</v>
      </c>
      <c r="AG229" s="909">
        <f t="shared" si="194"/>
        <v>77534.903999999995</v>
      </c>
      <c r="AH229" s="917">
        <f t="shared" ca="1" si="195"/>
        <v>8640</v>
      </c>
      <c r="AI229" s="909" t="str">
        <f t="shared" si="196"/>
        <v/>
      </c>
      <c r="AJ229" s="916" t="str">
        <f t="shared" si="197"/>
        <v/>
      </c>
      <c r="AK229" s="916" t="str">
        <f t="shared" si="198"/>
        <v/>
      </c>
      <c r="AL229" s="909" t="str">
        <f t="shared" si="199"/>
        <v/>
      </c>
      <c r="AM229" s="918">
        <f t="shared" ca="1" si="200"/>
        <v>8640</v>
      </c>
      <c r="AN229" s="915">
        <f t="shared" si="161"/>
        <v>38</v>
      </c>
      <c r="AO229" s="653" t="str">
        <f t="shared" si="201"/>
        <v/>
      </c>
      <c r="AP229" s="916" t="str">
        <f t="shared" si="202"/>
        <v/>
      </c>
      <c r="AQ229" s="916" t="str">
        <f t="shared" si="203"/>
        <v/>
      </c>
      <c r="AR229" s="653"/>
      <c r="AS229" s="653">
        <v>38</v>
      </c>
      <c r="AT229" s="909">
        <f t="shared" ca="1" si="162"/>
        <v>0</v>
      </c>
      <c r="AU229" s="909">
        <f t="shared" si="163"/>
        <v>0</v>
      </c>
      <c r="AV229" s="909">
        <f t="shared" ca="1" si="164"/>
        <v>-2809.9539565366899</v>
      </c>
      <c r="AW229" s="909">
        <f t="shared" si="165"/>
        <v>0</v>
      </c>
      <c r="AX229" s="909">
        <f t="shared" ca="1" si="166"/>
        <v>0</v>
      </c>
      <c r="AY229" s="909">
        <f t="shared" si="167"/>
        <v>25216.37850283477</v>
      </c>
      <c r="AZ229" s="909">
        <f t="shared" ca="1" si="168"/>
        <v>-2809.9539565366899</v>
      </c>
      <c r="BA229" s="653"/>
      <c r="BB229" s="653">
        <f t="shared" si="204"/>
        <v>38</v>
      </c>
      <c r="BC229" s="909">
        <f t="shared" ca="1" si="205"/>
        <v>0</v>
      </c>
      <c r="BD229" s="909">
        <f t="shared" ca="1" si="206"/>
        <v>-3357414.5173999998</v>
      </c>
      <c r="BE229" s="909">
        <f t="shared" ca="1" si="207"/>
        <v>-348713.21685449471</v>
      </c>
      <c r="BF229" s="909">
        <f t="shared" si="208"/>
        <v>0</v>
      </c>
      <c r="BG229" s="909">
        <f t="shared" ca="1" si="209"/>
        <v>452458.93065783195</v>
      </c>
      <c r="BH229" s="909">
        <f t="shared" si="210"/>
        <v>1743951.8499055088</v>
      </c>
      <c r="BI229" s="909">
        <f t="shared" ca="1" si="211"/>
        <v>-3253668.8035966628</v>
      </c>
      <c r="BJ229" s="909"/>
      <c r="BK229" s="653">
        <v>38</v>
      </c>
      <c r="BL229" s="909">
        <f t="shared" ca="1" si="169"/>
        <v>0</v>
      </c>
      <c r="BM229" s="909">
        <f t="shared" si="170"/>
        <v>0</v>
      </c>
      <c r="BN229" s="909">
        <f t="shared" ca="1" si="171"/>
        <v>-8640</v>
      </c>
      <c r="BO229" s="909">
        <f t="shared" si="172"/>
        <v>0</v>
      </c>
      <c r="BP229" s="909">
        <f t="shared" ca="1" si="173"/>
        <v>0</v>
      </c>
      <c r="BQ229" s="909">
        <f t="shared" si="174"/>
        <v>77534.903999999995</v>
      </c>
      <c r="BR229" s="909">
        <f t="shared" ca="1" si="175"/>
        <v>-8640</v>
      </c>
      <c r="BS229" s="653"/>
      <c r="BT229" s="653"/>
      <c r="BU229" s="653"/>
      <c r="BV229" s="654"/>
    </row>
    <row r="230" spans="2:74" x14ac:dyDescent="0.25">
      <c r="B230" s="651"/>
      <c r="C230" s="653"/>
      <c r="D230" s="653"/>
      <c r="E230" s="653"/>
      <c r="F230" s="653"/>
      <c r="G230" s="653"/>
      <c r="H230" s="653"/>
      <c r="I230" s="653"/>
      <c r="J230" s="653"/>
      <c r="K230" s="653"/>
      <c r="L230" s="653"/>
      <c r="M230" s="651">
        <v>39</v>
      </c>
      <c r="N230" s="909">
        <f t="shared" ca="1" si="176"/>
        <v>0</v>
      </c>
      <c r="O230" s="909">
        <f t="shared" ca="1" si="177"/>
        <v>0</v>
      </c>
      <c r="P230" s="909">
        <f t="shared" ca="1" si="178"/>
        <v>0</v>
      </c>
      <c r="Q230" s="910">
        <f t="shared" ca="1" si="179"/>
        <v>0</v>
      </c>
      <c r="R230" s="909">
        <f t="shared" si="180"/>
        <v>0</v>
      </c>
      <c r="S230" s="909">
        <f t="shared" ca="1" si="181"/>
        <v>1.1668008047047683E-10</v>
      </c>
      <c r="T230" s="909">
        <f t="shared" ca="1" si="182"/>
        <v>-1.1668008047047683E-10</v>
      </c>
      <c r="U230" s="909">
        <f t="shared" ca="1" si="183"/>
        <v>4.0060160961530383E-9</v>
      </c>
      <c r="V230" s="909">
        <f t="shared" ca="1" si="184"/>
        <v>8640</v>
      </c>
      <c r="W230" s="909">
        <f t="shared" ca="1" si="185"/>
        <v>0</v>
      </c>
      <c r="X230" s="909">
        <f t="shared" ca="1" si="186"/>
        <v>8640</v>
      </c>
      <c r="Y230" s="909">
        <f t="shared" si="187"/>
        <v>0</v>
      </c>
      <c r="Z230" s="910">
        <f t="shared" si="188"/>
        <v>0</v>
      </c>
      <c r="AA230" s="909">
        <f t="shared" ca="1" si="189"/>
        <v>0</v>
      </c>
      <c r="AB230" s="910">
        <f t="shared" ca="1" si="190"/>
        <v>0</v>
      </c>
      <c r="AC230" s="911">
        <f t="shared" ca="1" si="191"/>
        <v>0</v>
      </c>
      <c r="AD230" s="911">
        <f t="shared" ca="1" si="192"/>
        <v>0</v>
      </c>
      <c r="AE230" s="909">
        <f t="shared" ca="1" si="193"/>
        <v>68894.903999999995</v>
      </c>
      <c r="AF230" s="912">
        <f t="shared" ca="1" si="160"/>
        <v>31825.878510241149</v>
      </c>
      <c r="AG230" s="909">
        <f t="shared" si="194"/>
        <v>77534.903999999995</v>
      </c>
      <c r="AH230" s="917">
        <f t="shared" ca="1" si="195"/>
        <v>8640</v>
      </c>
      <c r="AI230" s="909" t="str">
        <f t="shared" si="196"/>
        <v/>
      </c>
      <c r="AJ230" s="916" t="str">
        <f t="shared" si="197"/>
        <v/>
      </c>
      <c r="AK230" s="916" t="str">
        <f t="shared" si="198"/>
        <v/>
      </c>
      <c r="AL230" s="909" t="str">
        <f t="shared" si="199"/>
        <v/>
      </c>
      <c r="AM230" s="918">
        <f t="shared" ca="1" si="200"/>
        <v>8640</v>
      </c>
      <c r="AN230" s="915">
        <f t="shared" si="161"/>
        <v>39</v>
      </c>
      <c r="AO230" s="653" t="str">
        <f t="shared" si="201"/>
        <v/>
      </c>
      <c r="AP230" s="916" t="str">
        <f t="shared" si="202"/>
        <v/>
      </c>
      <c r="AQ230" s="916" t="str">
        <f t="shared" si="203"/>
        <v/>
      </c>
      <c r="AR230" s="653"/>
      <c r="AS230" s="653">
        <v>39</v>
      </c>
      <c r="AT230" s="909">
        <f t="shared" ca="1" si="162"/>
        <v>0</v>
      </c>
      <c r="AU230" s="909">
        <f t="shared" si="163"/>
        <v>0</v>
      </c>
      <c r="AV230" s="909">
        <f t="shared" ca="1" si="164"/>
        <v>-2728.1106374142614</v>
      </c>
      <c r="AW230" s="909">
        <f t="shared" si="165"/>
        <v>0</v>
      </c>
      <c r="AX230" s="909">
        <f t="shared" ca="1" si="166"/>
        <v>0</v>
      </c>
      <c r="AY230" s="909">
        <f t="shared" si="167"/>
        <v>24481.920876538607</v>
      </c>
      <c r="AZ230" s="909">
        <f t="shared" ca="1" si="168"/>
        <v>-2728.1106374142614</v>
      </c>
      <c r="BA230" s="653"/>
      <c r="BB230" s="653">
        <f t="shared" si="204"/>
        <v>39</v>
      </c>
      <c r="BC230" s="909">
        <f t="shared" ca="1" si="205"/>
        <v>0</v>
      </c>
      <c r="BD230" s="909">
        <f t="shared" ca="1" si="206"/>
        <v>-3357414.5173999998</v>
      </c>
      <c r="BE230" s="909">
        <f t="shared" ca="1" si="207"/>
        <v>-351441.32749190897</v>
      </c>
      <c r="BF230" s="909">
        <f t="shared" si="208"/>
        <v>0</v>
      </c>
      <c r="BG230" s="909">
        <f t="shared" ca="1" si="209"/>
        <v>452458.93065783195</v>
      </c>
      <c r="BH230" s="909">
        <f t="shared" si="210"/>
        <v>1768433.7707820474</v>
      </c>
      <c r="BI230" s="909">
        <f t="shared" ca="1" si="211"/>
        <v>-3256396.9142340771</v>
      </c>
      <c r="BJ230" s="909"/>
      <c r="BK230" s="653">
        <v>39</v>
      </c>
      <c r="BL230" s="909">
        <f t="shared" ca="1" si="169"/>
        <v>0</v>
      </c>
      <c r="BM230" s="909">
        <f t="shared" si="170"/>
        <v>0</v>
      </c>
      <c r="BN230" s="909">
        <f t="shared" ca="1" si="171"/>
        <v>-8640</v>
      </c>
      <c r="BO230" s="909">
        <f t="shared" si="172"/>
        <v>0</v>
      </c>
      <c r="BP230" s="909">
        <f t="shared" ca="1" si="173"/>
        <v>0</v>
      </c>
      <c r="BQ230" s="909">
        <f t="shared" si="174"/>
        <v>77534.903999999995</v>
      </c>
      <c r="BR230" s="909">
        <f t="shared" ca="1" si="175"/>
        <v>-8640</v>
      </c>
      <c r="BS230" s="653"/>
      <c r="BT230" s="653"/>
      <c r="BU230" s="653"/>
      <c r="BV230" s="654"/>
    </row>
    <row r="231" spans="2:74" x14ac:dyDescent="0.25">
      <c r="B231" s="651"/>
      <c r="C231" s="653"/>
      <c r="D231" s="653"/>
      <c r="E231" s="653"/>
      <c r="F231" s="653"/>
      <c r="G231" s="653"/>
      <c r="H231" s="653"/>
      <c r="I231" s="653"/>
      <c r="J231" s="653"/>
      <c r="K231" s="653"/>
      <c r="L231" s="653"/>
      <c r="M231" s="651">
        <v>40</v>
      </c>
      <c r="N231" s="909">
        <f t="shared" ca="1" si="176"/>
        <v>0</v>
      </c>
      <c r="O231" s="909">
        <f t="shared" ca="1" si="177"/>
        <v>0</v>
      </c>
      <c r="P231" s="909">
        <f t="shared" ca="1" si="178"/>
        <v>0</v>
      </c>
      <c r="Q231" s="910">
        <f t="shared" ca="1" si="179"/>
        <v>0</v>
      </c>
      <c r="R231" s="909">
        <f t="shared" si="180"/>
        <v>0</v>
      </c>
      <c r="S231" s="909">
        <f t="shared" ca="1" si="181"/>
        <v>1.2018048288459113E-10</v>
      </c>
      <c r="T231" s="909">
        <f t="shared" ca="1" si="182"/>
        <v>-1.2018048288459113E-10</v>
      </c>
      <c r="U231" s="909">
        <f t="shared" ca="1" si="183"/>
        <v>4.1261965790376293E-9</v>
      </c>
      <c r="V231" s="909">
        <f t="shared" ca="1" si="184"/>
        <v>8640</v>
      </c>
      <c r="W231" s="909">
        <f t="shared" ca="1" si="185"/>
        <v>0</v>
      </c>
      <c r="X231" s="909">
        <f t="shared" ca="1" si="186"/>
        <v>8640</v>
      </c>
      <c r="Y231" s="909">
        <f t="shared" si="187"/>
        <v>0</v>
      </c>
      <c r="Z231" s="910">
        <f t="shared" si="188"/>
        <v>0</v>
      </c>
      <c r="AA231" s="909">
        <f t="shared" ca="1" si="189"/>
        <v>0</v>
      </c>
      <c r="AB231" s="910">
        <f t="shared" ca="1" si="190"/>
        <v>0</v>
      </c>
      <c r="AC231" s="911">
        <f t="shared" ca="1" si="191"/>
        <v>0</v>
      </c>
      <c r="AD231" s="911">
        <f t="shared" ca="1" si="192"/>
        <v>0</v>
      </c>
      <c r="AE231" s="909">
        <f t="shared" ca="1" si="193"/>
        <v>68894.903999999995</v>
      </c>
      <c r="AF231" s="912">
        <f t="shared" ca="1" si="160"/>
        <v>31201.841676707001</v>
      </c>
      <c r="AG231" s="909">
        <f t="shared" si="194"/>
        <v>77534.903999999995</v>
      </c>
      <c r="AH231" s="917">
        <f t="shared" ca="1" si="195"/>
        <v>8640</v>
      </c>
      <c r="AI231" s="909" t="str">
        <f t="shared" si="196"/>
        <v/>
      </c>
      <c r="AJ231" s="916" t="str">
        <f t="shared" si="197"/>
        <v/>
      </c>
      <c r="AK231" s="916" t="str">
        <f t="shared" si="198"/>
        <v/>
      </c>
      <c r="AL231" s="909" t="str">
        <f t="shared" si="199"/>
        <v/>
      </c>
      <c r="AM231" s="918">
        <f t="shared" ca="1" si="200"/>
        <v>8640</v>
      </c>
      <c r="AN231" s="915">
        <f t="shared" si="161"/>
        <v>40</v>
      </c>
      <c r="AO231" s="653" t="str">
        <f t="shared" si="201"/>
        <v/>
      </c>
      <c r="AP231" s="916" t="str">
        <f t="shared" si="202"/>
        <v/>
      </c>
      <c r="AQ231" s="916" t="str">
        <f t="shared" si="203"/>
        <v/>
      </c>
      <c r="AR231" s="653"/>
      <c r="AS231" s="653">
        <v>40</v>
      </c>
      <c r="AT231" s="909">
        <f t="shared" ca="1" si="162"/>
        <v>0</v>
      </c>
      <c r="AU231" s="909">
        <f t="shared" si="163"/>
        <v>0</v>
      </c>
      <c r="AV231" s="909">
        <f t="shared" ca="1" si="164"/>
        <v>-2648.651104285691</v>
      </c>
      <c r="AW231" s="909">
        <f t="shared" si="165"/>
        <v>0</v>
      </c>
      <c r="AX231" s="909">
        <f t="shared" ca="1" si="166"/>
        <v>0</v>
      </c>
      <c r="AY231" s="909">
        <f t="shared" si="167"/>
        <v>23768.855219940397</v>
      </c>
      <c r="AZ231" s="909">
        <f t="shared" ca="1" si="168"/>
        <v>-2648.651104285691</v>
      </c>
      <c r="BA231" s="653"/>
      <c r="BB231" s="653">
        <f t="shared" si="204"/>
        <v>40</v>
      </c>
      <c r="BC231" s="909">
        <f t="shared" ca="1" si="205"/>
        <v>0</v>
      </c>
      <c r="BD231" s="909">
        <f t="shared" ca="1" si="206"/>
        <v>-3357414.5173999998</v>
      </c>
      <c r="BE231" s="909">
        <f t="shared" ca="1" si="207"/>
        <v>-354089.97859619465</v>
      </c>
      <c r="BF231" s="909">
        <f t="shared" si="208"/>
        <v>0</v>
      </c>
      <c r="BG231" s="909">
        <f t="shared" ca="1" si="209"/>
        <v>452458.93065783195</v>
      </c>
      <c r="BH231" s="909">
        <f t="shared" si="210"/>
        <v>1792202.6260019878</v>
      </c>
      <c r="BI231" s="909">
        <f t="shared" ca="1" si="211"/>
        <v>-3259045.5653383629</v>
      </c>
      <c r="BJ231" s="909"/>
      <c r="BK231" s="653">
        <v>40</v>
      </c>
      <c r="BL231" s="909">
        <f t="shared" ca="1" si="169"/>
        <v>0</v>
      </c>
      <c r="BM231" s="909">
        <f t="shared" si="170"/>
        <v>0</v>
      </c>
      <c r="BN231" s="909">
        <f t="shared" ca="1" si="171"/>
        <v>-8640</v>
      </c>
      <c r="BO231" s="909">
        <f t="shared" si="172"/>
        <v>0</v>
      </c>
      <c r="BP231" s="909">
        <f t="shared" ca="1" si="173"/>
        <v>0</v>
      </c>
      <c r="BQ231" s="909">
        <f t="shared" si="174"/>
        <v>77534.903999999995</v>
      </c>
      <c r="BR231" s="909">
        <f t="shared" ca="1" si="175"/>
        <v>-8640</v>
      </c>
      <c r="BS231" s="653"/>
      <c r="BT231" s="653"/>
      <c r="BU231" s="653"/>
      <c r="BV231" s="654"/>
    </row>
    <row r="232" spans="2:74" x14ac:dyDescent="0.25">
      <c r="B232" s="651"/>
      <c r="C232" s="653"/>
      <c r="D232" s="653"/>
      <c r="E232" s="653"/>
      <c r="F232" s="653"/>
      <c r="G232" s="653"/>
      <c r="H232" s="653"/>
      <c r="I232" s="653"/>
      <c r="J232" s="653"/>
      <c r="K232" s="653"/>
      <c r="L232" s="653"/>
      <c r="M232" s="651">
        <v>41</v>
      </c>
      <c r="N232" s="909">
        <f t="shared" ca="1" si="176"/>
        <v>0</v>
      </c>
      <c r="O232" s="909">
        <f t="shared" ca="1" si="177"/>
        <v>0</v>
      </c>
      <c r="P232" s="909">
        <f t="shared" ca="1" si="178"/>
        <v>0</v>
      </c>
      <c r="Q232" s="910">
        <f t="shared" ca="1" si="179"/>
        <v>0</v>
      </c>
      <c r="R232" s="909">
        <f t="shared" si="180"/>
        <v>0</v>
      </c>
      <c r="S232" s="909">
        <f t="shared" ca="1" si="181"/>
        <v>1.2378589737112887E-10</v>
      </c>
      <c r="T232" s="909">
        <f t="shared" ca="1" si="182"/>
        <v>-1.2378589737112887E-10</v>
      </c>
      <c r="U232" s="909">
        <f t="shared" ca="1" si="183"/>
        <v>4.2499824764087579E-9</v>
      </c>
      <c r="V232" s="909">
        <f t="shared" ca="1" si="184"/>
        <v>8640</v>
      </c>
      <c r="W232" s="909">
        <f t="shared" ca="1" si="185"/>
        <v>0</v>
      </c>
      <c r="X232" s="909">
        <f t="shared" ca="1" si="186"/>
        <v>8640</v>
      </c>
      <c r="Y232" s="909">
        <f t="shared" si="187"/>
        <v>0</v>
      </c>
      <c r="Z232" s="910">
        <f t="shared" si="188"/>
        <v>0</v>
      </c>
      <c r="AA232" s="909">
        <f t="shared" ca="1" si="189"/>
        <v>0</v>
      </c>
      <c r="AB232" s="910">
        <f t="shared" ca="1" si="190"/>
        <v>0</v>
      </c>
      <c r="AC232" s="911">
        <f t="shared" ca="1" si="191"/>
        <v>0</v>
      </c>
      <c r="AD232" s="911">
        <f t="shared" ca="1" si="192"/>
        <v>0</v>
      </c>
      <c r="AE232" s="909">
        <f t="shared" ca="1" si="193"/>
        <v>68894.903999999995</v>
      </c>
      <c r="AF232" s="912">
        <f t="shared" ca="1" si="160"/>
        <v>30590.04085951667</v>
      </c>
      <c r="AG232" s="909">
        <f t="shared" si="194"/>
        <v>77534.903999999995</v>
      </c>
      <c r="AH232" s="917">
        <f t="shared" ca="1" si="195"/>
        <v>8640</v>
      </c>
      <c r="AI232" s="909" t="str">
        <f t="shared" si="196"/>
        <v/>
      </c>
      <c r="AJ232" s="916" t="str">
        <f t="shared" si="197"/>
        <v/>
      </c>
      <c r="AK232" s="916" t="str">
        <f t="shared" si="198"/>
        <v/>
      </c>
      <c r="AL232" s="909" t="str">
        <f t="shared" si="199"/>
        <v/>
      </c>
      <c r="AM232" s="918">
        <f t="shared" ca="1" si="200"/>
        <v>8640</v>
      </c>
      <c r="AN232" s="915">
        <f t="shared" si="161"/>
        <v>41</v>
      </c>
      <c r="AO232" s="653" t="str">
        <f t="shared" si="201"/>
        <v/>
      </c>
      <c r="AP232" s="916" t="str">
        <f t="shared" si="202"/>
        <v/>
      </c>
      <c r="AQ232" s="916" t="str">
        <f t="shared" si="203"/>
        <v/>
      </c>
      <c r="AR232" s="653"/>
      <c r="AS232" s="653">
        <v>41</v>
      </c>
      <c r="AT232" s="909">
        <f t="shared" ca="1" si="162"/>
        <v>0</v>
      </c>
      <c r="AU232" s="909">
        <f t="shared" si="163"/>
        <v>0</v>
      </c>
      <c r="AV232" s="909">
        <f t="shared" ca="1" si="164"/>
        <v>-2571.5059264909623</v>
      </c>
      <c r="AW232" s="909">
        <f t="shared" si="165"/>
        <v>0</v>
      </c>
      <c r="AX232" s="909">
        <f t="shared" ca="1" si="166"/>
        <v>0</v>
      </c>
      <c r="AY232" s="909">
        <f t="shared" si="167"/>
        <v>23076.558465961552</v>
      </c>
      <c r="AZ232" s="909">
        <f t="shared" ca="1" si="168"/>
        <v>-2571.5059264909623</v>
      </c>
      <c r="BA232" s="653"/>
      <c r="BB232" s="653">
        <f t="shared" si="204"/>
        <v>41</v>
      </c>
      <c r="BC232" s="909">
        <f t="shared" ca="1" si="205"/>
        <v>0</v>
      </c>
      <c r="BD232" s="909">
        <f t="shared" ca="1" si="206"/>
        <v>-3357414.5173999998</v>
      </c>
      <c r="BE232" s="909">
        <f t="shared" ca="1" si="207"/>
        <v>-356661.48452268558</v>
      </c>
      <c r="BF232" s="909">
        <f t="shared" si="208"/>
        <v>0</v>
      </c>
      <c r="BG232" s="909">
        <f t="shared" ca="1" si="209"/>
        <v>452458.93065783195</v>
      </c>
      <c r="BH232" s="909">
        <f t="shared" si="210"/>
        <v>1815279.1844679494</v>
      </c>
      <c r="BI232" s="909">
        <f t="shared" ca="1" si="211"/>
        <v>-3261617.0712648537</v>
      </c>
      <c r="BJ232" s="909"/>
      <c r="BK232" s="653">
        <v>41</v>
      </c>
      <c r="BL232" s="909">
        <f t="shared" ca="1" si="169"/>
        <v>0</v>
      </c>
      <c r="BM232" s="909">
        <f t="shared" si="170"/>
        <v>0</v>
      </c>
      <c r="BN232" s="909">
        <f t="shared" ca="1" si="171"/>
        <v>-8640</v>
      </c>
      <c r="BO232" s="909">
        <f t="shared" si="172"/>
        <v>0</v>
      </c>
      <c r="BP232" s="909">
        <f t="shared" ca="1" si="173"/>
        <v>0</v>
      </c>
      <c r="BQ232" s="909">
        <f t="shared" si="174"/>
        <v>77534.903999999995</v>
      </c>
      <c r="BR232" s="909">
        <f t="shared" ca="1" si="175"/>
        <v>-8640</v>
      </c>
      <c r="BS232" s="653"/>
      <c r="BT232" s="653"/>
      <c r="BU232" s="653"/>
      <c r="BV232" s="654"/>
    </row>
    <row r="233" spans="2:74" x14ac:dyDescent="0.25">
      <c r="B233" s="651"/>
      <c r="C233" s="653"/>
      <c r="D233" s="653"/>
      <c r="E233" s="653"/>
      <c r="F233" s="653"/>
      <c r="G233" s="653"/>
      <c r="H233" s="653"/>
      <c r="I233" s="653"/>
      <c r="J233" s="653"/>
      <c r="K233" s="653"/>
      <c r="L233" s="653"/>
      <c r="M233" s="651">
        <v>42</v>
      </c>
      <c r="N233" s="909">
        <f t="shared" ca="1" si="176"/>
        <v>0</v>
      </c>
      <c r="O233" s="909">
        <f t="shared" ca="1" si="177"/>
        <v>0</v>
      </c>
      <c r="P233" s="909">
        <f t="shared" ca="1" si="178"/>
        <v>0</v>
      </c>
      <c r="Q233" s="910">
        <f t="shared" ca="1" si="179"/>
        <v>0</v>
      </c>
      <c r="R233" s="909">
        <f t="shared" si="180"/>
        <v>0</v>
      </c>
      <c r="S233" s="909">
        <f t="shared" ca="1" si="181"/>
        <v>1.2749947429226273E-10</v>
      </c>
      <c r="T233" s="909">
        <f t="shared" ca="1" si="182"/>
        <v>-1.2749947429226273E-10</v>
      </c>
      <c r="U233" s="909">
        <f t="shared" ca="1" si="183"/>
        <v>4.3774819507010205E-9</v>
      </c>
      <c r="V233" s="909">
        <f t="shared" ca="1" si="184"/>
        <v>8640</v>
      </c>
      <c r="W233" s="909">
        <f t="shared" ca="1" si="185"/>
        <v>0</v>
      </c>
      <c r="X233" s="909">
        <f t="shared" ca="1" si="186"/>
        <v>8640</v>
      </c>
      <c r="Y233" s="909">
        <f t="shared" si="187"/>
        <v>0</v>
      </c>
      <c r="Z233" s="910">
        <f t="shared" si="188"/>
        <v>0</v>
      </c>
      <c r="AA233" s="909">
        <f t="shared" ca="1" si="189"/>
        <v>0</v>
      </c>
      <c r="AB233" s="910">
        <f t="shared" ca="1" si="190"/>
        <v>0</v>
      </c>
      <c r="AC233" s="911">
        <f t="shared" ca="1" si="191"/>
        <v>0</v>
      </c>
      <c r="AD233" s="911">
        <f t="shared" ca="1" si="192"/>
        <v>0</v>
      </c>
      <c r="AE233" s="909">
        <f t="shared" ca="1" si="193"/>
        <v>68894.903999999995</v>
      </c>
      <c r="AF233" s="912">
        <f t="shared" ca="1" si="160"/>
        <v>29990.236136781052</v>
      </c>
      <c r="AG233" s="909">
        <f t="shared" si="194"/>
        <v>77534.903999999995</v>
      </c>
      <c r="AH233" s="917">
        <f t="shared" ca="1" si="195"/>
        <v>8640</v>
      </c>
      <c r="AI233" s="909" t="str">
        <f t="shared" si="196"/>
        <v/>
      </c>
      <c r="AJ233" s="916" t="str">
        <f t="shared" si="197"/>
        <v/>
      </c>
      <c r="AK233" s="916" t="str">
        <f t="shared" si="198"/>
        <v/>
      </c>
      <c r="AL233" s="909" t="str">
        <f t="shared" si="199"/>
        <v/>
      </c>
      <c r="AM233" s="918">
        <f t="shared" ca="1" si="200"/>
        <v>8640</v>
      </c>
      <c r="AN233" s="915">
        <f t="shared" si="161"/>
        <v>42</v>
      </c>
      <c r="AO233" s="653" t="str">
        <f t="shared" si="201"/>
        <v/>
      </c>
      <c r="AP233" s="916" t="str">
        <f t="shared" si="202"/>
        <v/>
      </c>
      <c r="AQ233" s="916" t="str">
        <f t="shared" si="203"/>
        <v/>
      </c>
      <c r="AR233" s="653"/>
      <c r="AS233" s="653">
        <v>42</v>
      </c>
      <c r="AT233" s="909">
        <f t="shared" ca="1" si="162"/>
        <v>0</v>
      </c>
      <c r="AU233" s="909">
        <f t="shared" si="163"/>
        <v>0</v>
      </c>
      <c r="AV233" s="909">
        <f t="shared" ca="1" si="164"/>
        <v>-2496.6076956222932</v>
      </c>
      <c r="AW233" s="909">
        <f t="shared" si="165"/>
        <v>0</v>
      </c>
      <c r="AX233" s="909">
        <f t="shared" ca="1" si="166"/>
        <v>0</v>
      </c>
      <c r="AY233" s="909">
        <f t="shared" si="167"/>
        <v>22404.425695108301</v>
      </c>
      <c r="AZ233" s="909">
        <f t="shared" ca="1" si="168"/>
        <v>-2496.6076956222932</v>
      </c>
      <c r="BA233" s="653"/>
      <c r="BB233" s="653">
        <f t="shared" si="204"/>
        <v>42</v>
      </c>
      <c r="BC233" s="909">
        <f t="shared" ca="1" si="205"/>
        <v>0</v>
      </c>
      <c r="BD233" s="909">
        <f t="shared" ca="1" si="206"/>
        <v>-3357414.5173999998</v>
      </c>
      <c r="BE233" s="909">
        <f t="shared" ca="1" si="207"/>
        <v>-359158.09221830789</v>
      </c>
      <c r="BF233" s="909">
        <f t="shared" si="208"/>
        <v>0</v>
      </c>
      <c r="BG233" s="909">
        <f t="shared" ca="1" si="209"/>
        <v>452458.93065783195</v>
      </c>
      <c r="BH233" s="909">
        <f t="shared" si="210"/>
        <v>1837683.6101630577</v>
      </c>
      <c r="BI233" s="909">
        <f t="shared" ca="1" si="211"/>
        <v>-3264113.6789604761</v>
      </c>
      <c r="BJ233" s="909"/>
      <c r="BK233" s="653">
        <v>42</v>
      </c>
      <c r="BL233" s="909">
        <f t="shared" ca="1" si="169"/>
        <v>0</v>
      </c>
      <c r="BM233" s="909">
        <f t="shared" si="170"/>
        <v>0</v>
      </c>
      <c r="BN233" s="909">
        <f t="shared" ca="1" si="171"/>
        <v>-8640</v>
      </c>
      <c r="BO233" s="909">
        <f t="shared" si="172"/>
        <v>0</v>
      </c>
      <c r="BP233" s="909">
        <f t="shared" ca="1" si="173"/>
        <v>0</v>
      </c>
      <c r="BQ233" s="909">
        <f t="shared" si="174"/>
        <v>77534.903999999995</v>
      </c>
      <c r="BR233" s="909">
        <f t="shared" ca="1" si="175"/>
        <v>-8640</v>
      </c>
      <c r="BS233" s="653"/>
      <c r="BT233" s="653"/>
      <c r="BU233" s="653"/>
      <c r="BV233" s="654"/>
    </row>
    <row r="234" spans="2:74" x14ac:dyDescent="0.25">
      <c r="B234" s="651"/>
      <c r="C234" s="653"/>
      <c r="D234" s="653"/>
      <c r="E234" s="653"/>
      <c r="F234" s="653"/>
      <c r="G234" s="653"/>
      <c r="H234" s="653"/>
      <c r="I234" s="653"/>
      <c r="J234" s="653"/>
      <c r="K234" s="653"/>
      <c r="L234" s="653"/>
      <c r="M234" s="651">
        <v>43</v>
      </c>
      <c r="N234" s="909">
        <f t="shared" ca="1" si="176"/>
        <v>0</v>
      </c>
      <c r="O234" s="909">
        <f t="shared" ca="1" si="177"/>
        <v>0</v>
      </c>
      <c r="P234" s="909">
        <f t="shared" ca="1" si="178"/>
        <v>0</v>
      </c>
      <c r="Q234" s="910">
        <f t="shared" ca="1" si="179"/>
        <v>0</v>
      </c>
      <c r="R234" s="909">
        <f t="shared" si="180"/>
        <v>0</v>
      </c>
      <c r="S234" s="909">
        <f t="shared" ca="1" si="181"/>
        <v>1.3132445852103062E-10</v>
      </c>
      <c r="T234" s="909">
        <f t="shared" ca="1" si="182"/>
        <v>-1.3132445852103062E-10</v>
      </c>
      <c r="U234" s="909">
        <f t="shared" ca="1" si="183"/>
        <v>4.5088064092220509E-9</v>
      </c>
      <c r="V234" s="909">
        <f t="shared" ca="1" si="184"/>
        <v>8640</v>
      </c>
      <c r="W234" s="909">
        <f t="shared" ca="1" si="185"/>
        <v>0</v>
      </c>
      <c r="X234" s="909">
        <f t="shared" ca="1" si="186"/>
        <v>8640</v>
      </c>
      <c r="Y234" s="909">
        <f t="shared" si="187"/>
        <v>0</v>
      </c>
      <c r="Z234" s="910">
        <f t="shared" si="188"/>
        <v>0</v>
      </c>
      <c r="AA234" s="909">
        <f t="shared" ca="1" si="189"/>
        <v>0</v>
      </c>
      <c r="AB234" s="910">
        <f t="shared" ca="1" si="190"/>
        <v>0</v>
      </c>
      <c r="AC234" s="911">
        <f t="shared" ca="1" si="191"/>
        <v>0</v>
      </c>
      <c r="AD234" s="911">
        <f t="shared" ca="1" si="192"/>
        <v>0</v>
      </c>
      <c r="AE234" s="909">
        <f t="shared" ca="1" si="193"/>
        <v>68894.903999999995</v>
      </c>
      <c r="AF234" s="912">
        <f t="shared" ca="1" si="160"/>
        <v>29402.192290961819</v>
      </c>
      <c r="AG234" s="909">
        <f t="shared" si="194"/>
        <v>77534.903999999995</v>
      </c>
      <c r="AH234" s="917">
        <f t="shared" ca="1" si="195"/>
        <v>8640</v>
      </c>
      <c r="AI234" s="909" t="str">
        <f t="shared" si="196"/>
        <v/>
      </c>
      <c r="AJ234" s="916" t="str">
        <f t="shared" si="197"/>
        <v/>
      </c>
      <c r="AK234" s="916" t="str">
        <f t="shared" si="198"/>
        <v/>
      </c>
      <c r="AL234" s="909" t="str">
        <f t="shared" si="199"/>
        <v/>
      </c>
      <c r="AM234" s="918">
        <f t="shared" ca="1" si="200"/>
        <v>8640</v>
      </c>
      <c r="AN234" s="915">
        <f t="shared" si="161"/>
        <v>43</v>
      </c>
      <c r="AO234" s="653" t="str">
        <f t="shared" si="201"/>
        <v/>
      </c>
      <c r="AP234" s="916" t="str">
        <f t="shared" si="202"/>
        <v/>
      </c>
      <c r="AQ234" s="916" t="str">
        <f t="shared" si="203"/>
        <v/>
      </c>
      <c r="AR234" s="653"/>
      <c r="AS234" s="653">
        <v>43</v>
      </c>
      <c r="AT234" s="909">
        <f t="shared" ca="1" si="162"/>
        <v>0</v>
      </c>
      <c r="AU234" s="909">
        <f t="shared" si="163"/>
        <v>0</v>
      </c>
      <c r="AV234" s="909">
        <f t="shared" ca="1" si="164"/>
        <v>-2423.8909666235859</v>
      </c>
      <c r="AW234" s="909">
        <f t="shared" si="165"/>
        <v>0</v>
      </c>
      <c r="AX234" s="909">
        <f t="shared" ca="1" si="166"/>
        <v>0</v>
      </c>
      <c r="AY234" s="909">
        <f t="shared" si="167"/>
        <v>21751.869606901262</v>
      </c>
      <c r="AZ234" s="909">
        <f t="shared" ca="1" si="168"/>
        <v>-2423.8909666235859</v>
      </c>
      <c r="BA234" s="653"/>
      <c r="BB234" s="653">
        <f t="shared" si="204"/>
        <v>43</v>
      </c>
      <c r="BC234" s="909">
        <f t="shared" ca="1" si="205"/>
        <v>0</v>
      </c>
      <c r="BD234" s="909">
        <f t="shared" ca="1" si="206"/>
        <v>-3357414.5173999998</v>
      </c>
      <c r="BE234" s="909">
        <f t="shared" ca="1" si="207"/>
        <v>-361581.98318493151</v>
      </c>
      <c r="BF234" s="909">
        <f t="shared" si="208"/>
        <v>0</v>
      </c>
      <c r="BG234" s="909">
        <f t="shared" ca="1" si="209"/>
        <v>452458.93065783195</v>
      </c>
      <c r="BH234" s="909">
        <f t="shared" si="210"/>
        <v>1859435.4797699589</v>
      </c>
      <c r="BI234" s="909">
        <f t="shared" ca="1" si="211"/>
        <v>-3266537.5699270996</v>
      </c>
      <c r="BJ234" s="909"/>
      <c r="BK234" s="653">
        <v>43</v>
      </c>
      <c r="BL234" s="909">
        <f t="shared" ca="1" si="169"/>
        <v>0</v>
      </c>
      <c r="BM234" s="909">
        <f t="shared" si="170"/>
        <v>0</v>
      </c>
      <c r="BN234" s="909">
        <f t="shared" ca="1" si="171"/>
        <v>-8640</v>
      </c>
      <c r="BO234" s="909">
        <f t="shared" si="172"/>
        <v>0</v>
      </c>
      <c r="BP234" s="909">
        <f t="shared" ca="1" si="173"/>
        <v>0</v>
      </c>
      <c r="BQ234" s="909">
        <f t="shared" si="174"/>
        <v>77534.903999999995</v>
      </c>
      <c r="BR234" s="909">
        <f t="shared" ca="1" si="175"/>
        <v>-8640</v>
      </c>
      <c r="BS234" s="653"/>
      <c r="BT234" s="653"/>
      <c r="BU234" s="653"/>
      <c r="BV234" s="654"/>
    </row>
    <row r="235" spans="2:74" x14ac:dyDescent="0.25">
      <c r="B235" s="651"/>
      <c r="C235" s="653"/>
      <c r="D235" s="653"/>
      <c r="E235" s="653"/>
      <c r="F235" s="653"/>
      <c r="G235" s="653"/>
      <c r="H235" s="653"/>
      <c r="I235" s="653"/>
      <c r="J235" s="653"/>
      <c r="K235" s="653"/>
      <c r="L235" s="653"/>
      <c r="M235" s="651">
        <v>44</v>
      </c>
      <c r="N235" s="909">
        <f t="shared" ca="1" si="176"/>
        <v>0</v>
      </c>
      <c r="O235" s="909">
        <f t="shared" ca="1" si="177"/>
        <v>0</v>
      </c>
      <c r="P235" s="909">
        <f t="shared" ca="1" si="178"/>
        <v>0</v>
      </c>
      <c r="Q235" s="910">
        <f t="shared" ca="1" si="179"/>
        <v>0</v>
      </c>
      <c r="R235" s="909">
        <f t="shared" si="180"/>
        <v>0</v>
      </c>
      <c r="S235" s="909">
        <f t="shared" ca="1" si="181"/>
        <v>1.3526419227666151E-10</v>
      </c>
      <c r="T235" s="909">
        <f t="shared" ca="1" si="182"/>
        <v>-1.3526419227666151E-10</v>
      </c>
      <c r="U235" s="909">
        <f t="shared" ca="1" si="183"/>
        <v>4.6440706014987126E-9</v>
      </c>
      <c r="V235" s="909">
        <f t="shared" ca="1" si="184"/>
        <v>8640</v>
      </c>
      <c r="W235" s="909">
        <f t="shared" ca="1" si="185"/>
        <v>0</v>
      </c>
      <c r="X235" s="909">
        <f t="shared" ca="1" si="186"/>
        <v>8640</v>
      </c>
      <c r="Y235" s="909">
        <f t="shared" si="187"/>
        <v>0</v>
      </c>
      <c r="Z235" s="910">
        <f t="shared" si="188"/>
        <v>0</v>
      </c>
      <c r="AA235" s="909">
        <f t="shared" ca="1" si="189"/>
        <v>0</v>
      </c>
      <c r="AB235" s="910">
        <f t="shared" ca="1" si="190"/>
        <v>0</v>
      </c>
      <c r="AC235" s="911">
        <f t="shared" ca="1" si="191"/>
        <v>0</v>
      </c>
      <c r="AD235" s="911">
        <f t="shared" ca="1" si="192"/>
        <v>0</v>
      </c>
      <c r="AE235" s="909">
        <f t="shared" ca="1" si="193"/>
        <v>68894.903999999995</v>
      </c>
      <c r="AF235" s="912">
        <f t="shared" ca="1" si="160"/>
        <v>28825.678716629227</v>
      </c>
      <c r="AG235" s="909">
        <f t="shared" si="194"/>
        <v>77534.903999999995</v>
      </c>
      <c r="AH235" s="917">
        <f t="shared" ca="1" si="195"/>
        <v>8640</v>
      </c>
      <c r="AI235" s="909" t="str">
        <f t="shared" si="196"/>
        <v/>
      </c>
      <c r="AJ235" s="916" t="str">
        <f t="shared" si="197"/>
        <v/>
      </c>
      <c r="AK235" s="916" t="str">
        <f t="shared" si="198"/>
        <v/>
      </c>
      <c r="AL235" s="909" t="str">
        <f t="shared" si="199"/>
        <v/>
      </c>
      <c r="AM235" s="918">
        <f t="shared" ca="1" si="200"/>
        <v>8640</v>
      </c>
      <c r="AN235" s="915">
        <f t="shared" si="161"/>
        <v>44</v>
      </c>
      <c r="AO235" s="653" t="str">
        <f t="shared" si="201"/>
        <v/>
      </c>
      <c r="AP235" s="916" t="str">
        <f t="shared" si="202"/>
        <v/>
      </c>
      <c r="AQ235" s="916" t="str">
        <f t="shared" si="203"/>
        <v/>
      </c>
      <c r="AR235" s="653"/>
      <c r="AS235" s="653">
        <v>44</v>
      </c>
      <c r="AT235" s="909">
        <f t="shared" ca="1" si="162"/>
        <v>0</v>
      </c>
      <c r="AU235" s="909">
        <f t="shared" si="163"/>
        <v>0</v>
      </c>
      <c r="AV235" s="909">
        <f t="shared" ca="1" si="164"/>
        <v>-2353.2922006054232</v>
      </c>
      <c r="AW235" s="909">
        <f t="shared" si="165"/>
        <v>0</v>
      </c>
      <c r="AX235" s="909">
        <f t="shared" ca="1" si="166"/>
        <v>0</v>
      </c>
      <c r="AY235" s="909">
        <f t="shared" si="167"/>
        <v>21118.320006700258</v>
      </c>
      <c r="AZ235" s="909">
        <f t="shared" ca="1" si="168"/>
        <v>-2353.2922006054232</v>
      </c>
      <c r="BA235" s="653"/>
      <c r="BB235" s="653">
        <f t="shared" si="204"/>
        <v>44</v>
      </c>
      <c r="BC235" s="909">
        <f t="shared" ca="1" si="205"/>
        <v>0</v>
      </c>
      <c r="BD235" s="909">
        <f t="shared" ca="1" si="206"/>
        <v>-3357414.5173999998</v>
      </c>
      <c r="BE235" s="909">
        <f t="shared" ca="1" si="207"/>
        <v>-363935.27538553695</v>
      </c>
      <c r="BF235" s="909">
        <f t="shared" si="208"/>
        <v>0</v>
      </c>
      <c r="BG235" s="909">
        <f t="shared" ca="1" si="209"/>
        <v>452458.93065783195</v>
      </c>
      <c r="BH235" s="909">
        <f t="shared" si="210"/>
        <v>1880553.7997766591</v>
      </c>
      <c r="BI235" s="909">
        <f t="shared" ca="1" si="211"/>
        <v>-3268890.862127705</v>
      </c>
      <c r="BJ235" s="909"/>
      <c r="BK235" s="653">
        <v>44</v>
      </c>
      <c r="BL235" s="909">
        <f t="shared" ca="1" si="169"/>
        <v>0</v>
      </c>
      <c r="BM235" s="909">
        <f t="shared" si="170"/>
        <v>0</v>
      </c>
      <c r="BN235" s="909">
        <f t="shared" ca="1" si="171"/>
        <v>-8640</v>
      </c>
      <c r="BO235" s="909">
        <f t="shared" si="172"/>
        <v>0</v>
      </c>
      <c r="BP235" s="909">
        <f t="shared" ca="1" si="173"/>
        <v>0</v>
      </c>
      <c r="BQ235" s="909">
        <f t="shared" si="174"/>
        <v>77534.903999999995</v>
      </c>
      <c r="BR235" s="909">
        <f t="shared" ca="1" si="175"/>
        <v>-8640</v>
      </c>
      <c r="BS235" s="653"/>
      <c r="BT235" s="653"/>
      <c r="BU235" s="653"/>
      <c r="BV235" s="654"/>
    </row>
    <row r="236" spans="2:74" x14ac:dyDescent="0.25">
      <c r="B236" s="651"/>
      <c r="C236" s="653"/>
      <c r="D236" s="653"/>
      <c r="E236" s="653"/>
      <c r="F236" s="653"/>
      <c r="G236" s="653"/>
      <c r="H236" s="653"/>
      <c r="I236" s="653"/>
      <c r="J236" s="653"/>
      <c r="K236" s="653"/>
      <c r="L236" s="653"/>
      <c r="M236" s="651">
        <v>45</v>
      </c>
      <c r="N236" s="909">
        <f t="shared" ca="1" si="176"/>
        <v>0</v>
      </c>
      <c r="O236" s="909">
        <f t="shared" ca="1" si="177"/>
        <v>0</v>
      </c>
      <c r="P236" s="909">
        <f t="shared" ca="1" si="178"/>
        <v>0</v>
      </c>
      <c r="Q236" s="910">
        <f t="shared" ca="1" si="179"/>
        <v>0</v>
      </c>
      <c r="R236" s="909">
        <f t="shared" si="180"/>
        <v>0</v>
      </c>
      <c r="S236" s="909">
        <f t="shared" ca="1" si="181"/>
        <v>1.3932211804496136E-10</v>
      </c>
      <c r="T236" s="909">
        <f t="shared" ca="1" si="182"/>
        <v>-1.3932211804496136E-10</v>
      </c>
      <c r="U236" s="909">
        <f t="shared" ca="1" si="183"/>
        <v>4.7833927195436739E-9</v>
      </c>
      <c r="V236" s="909">
        <f t="shared" ca="1" si="184"/>
        <v>8640</v>
      </c>
      <c r="W236" s="909">
        <f t="shared" ca="1" si="185"/>
        <v>0</v>
      </c>
      <c r="X236" s="909">
        <f t="shared" ca="1" si="186"/>
        <v>8640</v>
      </c>
      <c r="Y236" s="909">
        <f t="shared" si="187"/>
        <v>0</v>
      </c>
      <c r="Z236" s="910">
        <f t="shared" si="188"/>
        <v>0</v>
      </c>
      <c r="AA236" s="909">
        <f t="shared" ca="1" si="189"/>
        <v>0</v>
      </c>
      <c r="AB236" s="910">
        <f t="shared" ca="1" si="190"/>
        <v>0</v>
      </c>
      <c r="AC236" s="911">
        <f t="shared" ca="1" si="191"/>
        <v>0</v>
      </c>
      <c r="AD236" s="911">
        <f t="shared" ca="1" si="192"/>
        <v>0</v>
      </c>
      <c r="AE236" s="909">
        <f t="shared" ca="1" si="193"/>
        <v>68894.903999999995</v>
      </c>
      <c r="AF236" s="912">
        <f t="shared" ca="1" si="160"/>
        <v>28260.469330028656</v>
      </c>
      <c r="AG236" s="909">
        <f t="shared" si="194"/>
        <v>77534.903999999995</v>
      </c>
      <c r="AH236" s="917">
        <f t="shared" ca="1" si="195"/>
        <v>8640</v>
      </c>
      <c r="AI236" s="909" t="str">
        <f t="shared" si="196"/>
        <v/>
      </c>
      <c r="AJ236" s="916" t="str">
        <f t="shared" si="197"/>
        <v/>
      </c>
      <c r="AK236" s="916" t="str">
        <f t="shared" si="198"/>
        <v/>
      </c>
      <c r="AL236" s="909" t="str">
        <f t="shared" si="199"/>
        <v/>
      </c>
      <c r="AM236" s="918">
        <f t="shared" ca="1" si="200"/>
        <v>8640</v>
      </c>
      <c r="AN236" s="915">
        <f t="shared" si="161"/>
        <v>45</v>
      </c>
      <c r="AO236" s="653" t="str">
        <f t="shared" si="201"/>
        <v/>
      </c>
      <c r="AP236" s="916" t="str">
        <f t="shared" si="202"/>
        <v/>
      </c>
      <c r="AQ236" s="916" t="str">
        <f t="shared" si="203"/>
        <v/>
      </c>
      <c r="AR236" s="653"/>
      <c r="AS236" s="653">
        <v>45</v>
      </c>
      <c r="AT236" s="909">
        <f t="shared" ca="1" si="162"/>
        <v>0</v>
      </c>
      <c r="AU236" s="909">
        <f t="shared" si="163"/>
        <v>0</v>
      </c>
      <c r="AV236" s="909">
        <f t="shared" ca="1" si="164"/>
        <v>-2284.7497093256538</v>
      </c>
      <c r="AW236" s="909">
        <f t="shared" si="165"/>
        <v>0</v>
      </c>
      <c r="AX236" s="909">
        <f t="shared" ca="1" si="166"/>
        <v>0</v>
      </c>
      <c r="AY236" s="909">
        <f t="shared" si="167"/>
        <v>20503.223307475979</v>
      </c>
      <c r="AZ236" s="909">
        <f t="shared" ca="1" si="168"/>
        <v>-2284.7497093256538</v>
      </c>
      <c r="BA236" s="653"/>
      <c r="BB236" s="653">
        <f t="shared" si="204"/>
        <v>45</v>
      </c>
      <c r="BC236" s="909">
        <f t="shared" ca="1" si="205"/>
        <v>0</v>
      </c>
      <c r="BD236" s="909">
        <f t="shared" ca="1" si="206"/>
        <v>-3357414.5173999998</v>
      </c>
      <c r="BE236" s="909">
        <f t="shared" ca="1" si="207"/>
        <v>-366220.02509486262</v>
      </c>
      <c r="BF236" s="909">
        <f t="shared" si="208"/>
        <v>0</v>
      </c>
      <c r="BG236" s="909">
        <f t="shared" ca="1" si="209"/>
        <v>452458.93065783195</v>
      </c>
      <c r="BH236" s="909">
        <f t="shared" si="210"/>
        <v>1901057.023084135</v>
      </c>
      <c r="BI236" s="909">
        <f t="shared" ca="1" si="211"/>
        <v>-3271175.6118370309</v>
      </c>
      <c r="BJ236" s="909"/>
      <c r="BK236" s="653">
        <v>45</v>
      </c>
      <c r="BL236" s="909">
        <f t="shared" ca="1" si="169"/>
        <v>0</v>
      </c>
      <c r="BM236" s="909">
        <f t="shared" si="170"/>
        <v>0</v>
      </c>
      <c r="BN236" s="909">
        <f t="shared" ca="1" si="171"/>
        <v>-8640</v>
      </c>
      <c r="BO236" s="909">
        <f t="shared" si="172"/>
        <v>0</v>
      </c>
      <c r="BP236" s="909">
        <f t="shared" ca="1" si="173"/>
        <v>0</v>
      </c>
      <c r="BQ236" s="909">
        <f t="shared" si="174"/>
        <v>77534.903999999995</v>
      </c>
      <c r="BR236" s="909">
        <f t="shared" ca="1" si="175"/>
        <v>-8640</v>
      </c>
      <c r="BS236" s="653"/>
      <c r="BT236" s="653"/>
      <c r="BU236" s="653"/>
      <c r="BV236" s="654"/>
    </row>
    <row r="237" spans="2:74" x14ac:dyDescent="0.25">
      <c r="B237" s="651"/>
      <c r="C237" s="653"/>
      <c r="D237" s="653"/>
      <c r="E237" s="653"/>
      <c r="F237" s="653"/>
      <c r="G237" s="653"/>
      <c r="H237" s="653"/>
      <c r="I237" s="653"/>
      <c r="J237" s="653"/>
      <c r="K237" s="653"/>
      <c r="L237" s="653"/>
      <c r="M237" s="651">
        <v>46</v>
      </c>
      <c r="N237" s="909">
        <f t="shared" ca="1" si="176"/>
        <v>0</v>
      </c>
      <c r="O237" s="909">
        <f t="shared" ca="1" si="177"/>
        <v>0</v>
      </c>
      <c r="P237" s="909">
        <f t="shared" ca="1" si="178"/>
        <v>0</v>
      </c>
      <c r="Q237" s="910">
        <f t="shared" ca="1" si="179"/>
        <v>0</v>
      </c>
      <c r="R237" s="909">
        <f t="shared" si="180"/>
        <v>0</v>
      </c>
      <c r="S237" s="909">
        <f t="shared" ca="1" si="181"/>
        <v>1.435017815863102E-10</v>
      </c>
      <c r="T237" s="909">
        <f t="shared" ca="1" si="182"/>
        <v>-1.435017815863102E-10</v>
      </c>
      <c r="U237" s="909">
        <f t="shared" ca="1" si="183"/>
        <v>4.9268945011299845E-9</v>
      </c>
      <c r="V237" s="909">
        <f t="shared" ca="1" si="184"/>
        <v>8640</v>
      </c>
      <c r="W237" s="909">
        <f t="shared" ca="1" si="185"/>
        <v>0</v>
      </c>
      <c r="X237" s="909">
        <f t="shared" ca="1" si="186"/>
        <v>8640</v>
      </c>
      <c r="Y237" s="909">
        <f t="shared" si="187"/>
        <v>0</v>
      </c>
      <c r="Z237" s="910">
        <f t="shared" si="188"/>
        <v>0</v>
      </c>
      <c r="AA237" s="909">
        <f t="shared" ca="1" si="189"/>
        <v>0</v>
      </c>
      <c r="AB237" s="910">
        <f t="shared" ca="1" si="190"/>
        <v>0</v>
      </c>
      <c r="AC237" s="911">
        <f t="shared" ca="1" si="191"/>
        <v>0</v>
      </c>
      <c r="AD237" s="911">
        <f t="shared" ca="1" si="192"/>
        <v>0</v>
      </c>
      <c r="AE237" s="909">
        <f t="shared" ca="1" si="193"/>
        <v>68894.903999999995</v>
      </c>
      <c r="AF237" s="912">
        <f t="shared" ca="1" si="160"/>
        <v>27706.342480420248</v>
      </c>
      <c r="AG237" s="909">
        <f t="shared" si="194"/>
        <v>77534.903999999995</v>
      </c>
      <c r="AH237" s="917">
        <f t="shared" ca="1" si="195"/>
        <v>8640</v>
      </c>
      <c r="AI237" s="909" t="str">
        <f t="shared" si="196"/>
        <v/>
      </c>
      <c r="AJ237" s="916" t="str">
        <f t="shared" si="197"/>
        <v/>
      </c>
      <c r="AK237" s="916" t="str">
        <f t="shared" si="198"/>
        <v/>
      </c>
      <c r="AL237" s="909" t="str">
        <f t="shared" si="199"/>
        <v/>
      </c>
      <c r="AM237" s="918">
        <f t="shared" ca="1" si="200"/>
        <v>8640</v>
      </c>
      <c r="AN237" s="915">
        <f t="shared" si="161"/>
        <v>46</v>
      </c>
      <c r="AO237" s="653" t="str">
        <f t="shared" si="201"/>
        <v/>
      </c>
      <c r="AP237" s="916" t="str">
        <f t="shared" si="202"/>
        <v/>
      </c>
      <c r="AQ237" s="916" t="str">
        <f t="shared" si="203"/>
        <v/>
      </c>
      <c r="AR237" s="653"/>
      <c r="AS237" s="653">
        <v>46</v>
      </c>
      <c r="AT237" s="909">
        <f t="shared" ca="1" si="162"/>
        <v>0</v>
      </c>
      <c r="AU237" s="909">
        <f t="shared" si="163"/>
        <v>0</v>
      </c>
      <c r="AV237" s="909">
        <f t="shared" ca="1" si="164"/>
        <v>-2218.2036012870421</v>
      </c>
      <c r="AW237" s="909">
        <f t="shared" si="165"/>
        <v>0</v>
      </c>
      <c r="AX237" s="909">
        <f t="shared" ca="1" si="166"/>
        <v>0</v>
      </c>
      <c r="AY237" s="909">
        <f t="shared" si="167"/>
        <v>19906.042046093182</v>
      </c>
      <c r="AZ237" s="909">
        <f t="shared" ca="1" si="168"/>
        <v>-2218.2036012870421</v>
      </c>
      <c r="BA237" s="653"/>
      <c r="BB237" s="653">
        <f t="shared" si="204"/>
        <v>46</v>
      </c>
      <c r="BC237" s="909">
        <f t="shared" ca="1" si="205"/>
        <v>0</v>
      </c>
      <c r="BD237" s="909">
        <f t="shared" ca="1" si="206"/>
        <v>-3357414.5173999998</v>
      </c>
      <c r="BE237" s="909">
        <f t="shared" ca="1" si="207"/>
        <v>-368438.22869614966</v>
      </c>
      <c r="BF237" s="909">
        <f t="shared" si="208"/>
        <v>0</v>
      </c>
      <c r="BG237" s="909">
        <f t="shared" ca="1" si="209"/>
        <v>452458.93065783195</v>
      </c>
      <c r="BH237" s="909">
        <f t="shared" si="210"/>
        <v>1920963.0651302282</v>
      </c>
      <c r="BI237" s="909">
        <f t="shared" ca="1" si="211"/>
        <v>-3273393.8154383181</v>
      </c>
      <c r="BJ237" s="909"/>
      <c r="BK237" s="653">
        <v>46</v>
      </c>
      <c r="BL237" s="909">
        <f t="shared" ca="1" si="169"/>
        <v>0</v>
      </c>
      <c r="BM237" s="909">
        <f t="shared" si="170"/>
        <v>0</v>
      </c>
      <c r="BN237" s="909">
        <f t="shared" ca="1" si="171"/>
        <v>-8640</v>
      </c>
      <c r="BO237" s="909">
        <f t="shared" si="172"/>
        <v>0</v>
      </c>
      <c r="BP237" s="909">
        <f t="shared" ca="1" si="173"/>
        <v>0</v>
      </c>
      <c r="BQ237" s="909">
        <f t="shared" si="174"/>
        <v>77534.903999999995</v>
      </c>
      <c r="BR237" s="909">
        <f t="shared" ca="1" si="175"/>
        <v>-8640</v>
      </c>
      <c r="BS237" s="653"/>
      <c r="BT237" s="653"/>
      <c r="BU237" s="653"/>
      <c r="BV237" s="654"/>
    </row>
    <row r="238" spans="2:74" x14ac:dyDescent="0.25">
      <c r="B238" s="651"/>
      <c r="C238" s="653"/>
      <c r="D238" s="653"/>
      <c r="E238" s="653"/>
      <c r="F238" s="653"/>
      <c r="G238" s="653"/>
      <c r="H238" s="653"/>
      <c r="I238" s="653"/>
      <c r="J238" s="653"/>
      <c r="K238" s="653"/>
      <c r="L238" s="653"/>
      <c r="M238" s="651">
        <v>47</v>
      </c>
      <c r="N238" s="909">
        <f t="shared" ca="1" si="176"/>
        <v>0</v>
      </c>
      <c r="O238" s="909">
        <f t="shared" ca="1" si="177"/>
        <v>0</v>
      </c>
      <c r="P238" s="909">
        <f t="shared" ca="1" si="178"/>
        <v>0</v>
      </c>
      <c r="Q238" s="910">
        <f t="shared" ca="1" si="179"/>
        <v>0</v>
      </c>
      <c r="R238" s="909">
        <f t="shared" si="180"/>
        <v>0</v>
      </c>
      <c r="S238" s="909">
        <f t="shared" ca="1" si="181"/>
        <v>1.4780683503389954E-10</v>
      </c>
      <c r="T238" s="909">
        <f t="shared" ca="1" si="182"/>
        <v>-1.4780683503389954E-10</v>
      </c>
      <c r="U238" s="909">
        <f t="shared" ca="1" si="183"/>
        <v>5.0747013361638838E-9</v>
      </c>
      <c r="V238" s="909">
        <f t="shared" ca="1" si="184"/>
        <v>8640</v>
      </c>
      <c r="W238" s="909">
        <f t="shared" ca="1" si="185"/>
        <v>0</v>
      </c>
      <c r="X238" s="909">
        <f t="shared" ca="1" si="186"/>
        <v>8640</v>
      </c>
      <c r="Y238" s="909">
        <f t="shared" si="187"/>
        <v>0</v>
      </c>
      <c r="Z238" s="910">
        <f t="shared" si="188"/>
        <v>0</v>
      </c>
      <c r="AA238" s="909">
        <f t="shared" ca="1" si="189"/>
        <v>0</v>
      </c>
      <c r="AB238" s="910">
        <f t="shared" ca="1" si="190"/>
        <v>0</v>
      </c>
      <c r="AC238" s="911">
        <f t="shared" ca="1" si="191"/>
        <v>0</v>
      </c>
      <c r="AD238" s="911">
        <f t="shared" ca="1" si="192"/>
        <v>0</v>
      </c>
      <c r="AE238" s="909">
        <f t="shared" ca="1" si="193"/>
        <v>68894.903999999995</v>
      </c>
      <c r="AF238" s="912">
        <f t="shared" ca="1" si="160"/>
        <v>27163.080863157116</v>
      </c>
      <c r="AG238" s="909">
        <f t="shared" si="194"/>
        <v>77534.903999999995</v>
      </c>
      <c r="AH238" s="917">
        <f t="shared" ca="1" si="195"/>
        <v>8640</v>
      </c>
      <c r="AI238" s="909" t="str">
        <f t="shared" si="196"/>
        <v/>
      </c>
      <c r="AJ238" s="916" t="str">
        <f t="shared" si="197"/>
        <v/>
      </c>
      <c r="AK238" s="916" t="str">
        <f t="shared" si="198"/>
        <v/>
      </c>
      <c r="AL238" s="909" t="str">
        <f t="shared" si="199"/>
        <v/>
      </c>
      <c r="AM238" s="918">
        <f t="shared" ca="1" si="200"/>
        <v>8640</v>
      </c>
      <c r="AN238" s="915">
        <f t="shared" si="161"/>
        <v>47</v>
      </c>
      <c r="AO238" s="653" t="str">
        <f t="shared" si="201"/>
        <v/>
      </c>
      <c r="AP238" s="916" t="str">
        <f t="shared" si="202"/>
        <v/>
      </c>
      <c r="AQ238" s="916" t="str">
        <f t="shared" si="203"/>
        <v/>
      </c>
      <c r="AR238" s="653"/>
      <c r="AS238" s="653">
        <v>47</v>
      </c>
      <c r="AT238" s="909">
        <f t="shared" ca="1" si="162"/>
        <v>0</v>
      </c>
      <c r="AU238" s="909">
        <f t="shared" si="163"/>
        <v>0</v>
      </c>
      <c r="AV238" s="909">
        <f t="shared" ca="1" si="164"/>
        <v>-2153.5957294048953</v>
      </c>
      <c r="AW238" s="909">
        <f t="shared" si="165"/>
        <v>0</v>
      </c>
      <c r="AX238" s="909">
        <f t="shared" ca="1" si="166"/>
        <v>0</v>
      </c>
      <c r="AY238" s="909">
        <f t="shared" si="167"/>
        <v>19326.254413682702</v>
      </c>
      <c r="AZ238" s="909">
        <f t="shared" ca="1" si="168"/>
        <v>-2153.5957294048953</v>
      </c>
      <c r="BA238" s="653"/>
      <c r="BB238" s="653">
        <f t="shared" si="204"/>
        <v>47</v>
      </c>
      <c r="BC238" s="909">
        <f t="shared" ca="1" si="205"/>
        <v>0</v>
      </c>
      <c r="BD238" s="909">
        <f t="shared" ca="1" si="206"/>
        <v>-3357414.5173999998</v>
      </c>
      <c r="BE238" s="909">
        <f t="shared" ca="1" si="207"/>
        <v>-370591.82442555454</v>
      </c>
      <c r="BF238" s="909">
        <f t="shared" si="208"/>
        <v>0</v>
      </c>
      <c r="BG238" s="909">
        <f t="shared" ca="1" si="209"/>
        <v>452458.93065783195</v>
      </c>
      <c r="BH238" s="909">
        <f t="shared" si="210"/>
        <v>1940289.3195439109</v>
      </c>
      <c r="BI238" s="909">
        <f t="shared" ca="1" si="211"/>
        <v>-3275547.4111677231</v>
      </c>
      <c r="BJ238" s="909"/>
      <c r="BK238" s="653">
        <v>47</v>
      </c>
      <c r="BL238" s="909">
        <f t="shared" ca="1" si="169"/>
        <v>0</v>
      </c>
      <c r="BM238" s="909">
        <f t="shared" si="170"/>
        <v>0</v>
      </c>
      <c r="BN238" s="909">
        <f t="shared" ca="1" si="171"/>
        <v>-8640</v>
      </c>
      <c r="BO238" s="909">
        <f t="shared" si="172"/>
        <v>0</v>
      </c>
      <c r="BP238" s="909">
        <f t="shared" ca="1" si="173"/>
        <v>0</v>
      </c>
      <c r="BQ238" s="909">
        <f t="shared" si="174"/>
        <v>77534.903999999995</v>
      </c>
      <c r="BR238" s="909">
        <f t="shared" ca="1" si="175"/>
        <v>-8640</v>
      </c>
      <c r="BS238" s="653"/>
      <c r="BT238" s="653"/>
      <c r="BU238" s="653"/>
      <c r="BV238" s="654"/>
    </row>
    <row r="239" spans="2:74" x14ac:dyDescent="0.25">
      <c r="B239" s="651"/>
      <c r="C239" s="653"/>
      <c r="D239" s="653"/>
      <c r="E239" s="653"/>
      <c r="F239" s="653"/>
      <c r="G239" s="653"/>
      <c r="H239" s="653"/>
      <c r="I239" s="653"/>
      <c r="J239" s="653"/>
      <c r="K239" s="653"/>
      <c r="L239" s="653"/>
      <c r="M239" s="651">
        <v>48</v>
      </c>
      <c r="N239" s="909">
        <f t="shared" ca="1" si="176"/>
        <v>0</v>
      </c>
      <c r="O239" s="909">
        <f t="shared" ca="1" si="177"/>
        <v>0</v>
      </c>
      <c r="P239" s="909">
        <f t="shared" ca="1" si="178"/>
        <v>0</v>
      </c>
      <c r="Q239" s="910">
        <f t="shared" ca="1" si="179"/>
        <v>0</v>
      </c>
      <c r="R239" s="909">
        <f t="shared" si="180"/>
        <v>0</v>
      </c>
      <c r="S239" s="909">
        <f t="shared" ca="1" si="181"/>
        <v>1.5224104008491652E-10</v>
      </c>
      <c r="T239" s="909">
        <f t="shared" ca="1" si="182"/>
        <v>-1.5224104008491652E-10</v>
      </c>
      <c r="U239" s="909">
        <f t="shared" ca="1" si="183"/>
        <v>5.2269423762488E-9</v>
      </c>
      <c r="V239" s="909">
        <f t="shared" ca="1" si="184"/>
        <v>8640</v>
      </c>
      <c r="W239" s="909">
        <f t="shared" ca="1" si="185"/>
        <v>0</v>
      </c>
      <c r="X239" s="909">
        <f t="shared" ca="1" si="186"/>
        <v>8640</v>
      </c>
      <c r="Y239" s="909">
        <f t="shared" si="187"/>
        <v>0</v>
      </c>
      <c r="Z239" s="910">
        <f t="shared" si="188"/>
        <v>0</v>
      </c>
      <c r="AA239" s="909">
        <f t="shared" ca="1" si="189"/>
        <v>0</v>
      </c>
      <c r="AB239" s="910">
        <f t="shared" ca="1" si="190"/>
        <v>0</v>
      </c>
      <c r="AC239" s="911">
        <f t="shared" ca="1" si="191"/>
        <v>0</v>
      </c>
      <c r="AD239" s="911">
        <f t="shared" ca="1" si="192"/>
        <v>0</v>
      </c>
      <c r="AE239" s="909">
        <f t="shared" ca="1" si="193"/>
        <v>68894.903999999995</v>
      </c>
      <c r="AF239" s="912">
        <f t="shared" ca="1" si="160"/>
        <v>26630.471434467756</v>
      </c>
      <c r="AG239" s="909">
        <f t="shared" si="194"/>
        <v>77534.903999999995</v>
      </c>
      <c r="AH239" s="917">
        <f t="shared" ca="1" si="195"/>
        <v>8640</v>
      </c>
      <c r="AI239" s="909" t="str">
        <f t="shared" si="196"/>
        <v/>
      </c>
      <c r="AJ239" s="916" t="str">
        <f t="shared" si="197"/>
        <v/>
      </c>
      <c r="AK239" s="916" t="str">
        <f t="shared" si="198"/>
        <v/>
      </c>
      <c r="AL239" s="909" t="str">
        <f t="shared" si="199"/>
        <v/>
      </c>
      <c r="AM239" s="918">
        <f t="shared" ca="1" si="200"/>
        <v>8640</v>
      </c>
      <c r="AN239" s="915">
        <f t="shared" si="161"/>
        <v>48</v>
      </c>
      <c r="AO239" s="653" t="str">
        <f t="shared" si="201"/>
        <v/>
      </c>
      <c r="AP239" s="916" t="str">
        <f t="shared" si="202"/>
        <v/>
      </c>
      <c r="AQ239" s="916" t="str">
        <f t="shared" si="203"/>
        <v/>
      </c>
      <c r="AR239" s="653"/>
      <c r="AS239" s="653">
        <v>48</v>
      </c>
      <c r="AT239" s="909">
        <f t="shared" ca="1" si="162"/>
        <v>0</v>
      </c>
      <c r="AU239" s="909">
        <f t="shared" si="163"/>
        <v>0</v>
      </c>
      <c r="AV239" s="909">
        <f t="shared" ca="1" si="164"/>
        <v>-2090.8696401989278</v>
      </c>
      <c r="AW239" s="909">
        <f t="shared" si="165"/>
        <v>0</v>
      </c>
      <c r="AX239" s="909">
        <f t="shared" ca="1" si="166"/>
        <v>0</v>
      </c>
      <c r="AY239" s="909">
        <f t="shared" si="167"/>
        <v>18763.353799691944</v>
      </c>
      <c r="AZ239" s="909">
        <f t="shared" ca="1" si="168"/>
        <v>-2090.8696401989278</v>
      </c>
      <c r="BA239" s="653"/>
      <c r="BB239" s="653">
        <f t="shared" si="204"/>
        <v>48</v>
      </c>
      <c r="BC239" s="909">
        <f t="shared" ca="1" si="205"/>
        <v>0</v>
      </c>
      <c r="BD239" s="909">
        <f t="shared" ca="1" si="206"/>
        <v>-3357414.5173999998</v>
      </c>
      <c r="BE239" s="909">
        <f t="shared" ca="1" si="207"/>
        <v>-372682.69406575349</v>
      </c>
      <c r="BF239" s="909">
        <f t="shared" si="208"/>
        <v>0</v>
      </c>
      <c r="BG239" s="909">
        <f t="shared" ca="1" si="209"/>
        <v>452458.93065783195</v>
      </c>
      <c r="BH239" s="909">
        <f t="shared" si="210"/>
        <v>1959052.6733436028</v>
      </c>
      <c r="BI239" s="909">
        <f t="shared" ca="1" si="211"/>
        <v>-3277638.2808079221</v>
      </c>
      <c r="BJ239" s="909"/>
      <c r="BK239" s="653">
        <v>48</v>
      </c>
      <c r="BL239" s="909">
        <f t="shared" ca="1" si="169"/>
        <v>0</v>
      </c>
      <c r="BM239" s="909">
        <f t="shared" si="170"/>
        <v>0</v>
      </c>
      <c r="BN239" s="909">
        <f t="shared" ca="1" si="171"/>
        <v>-8640</v>
      </c>
      <c r="BO239" s="909">
        <f t="shared" si="172"/>
        <v>0</v>
      </c>
      <c r="BP239" s="909">
        <f t="shared" ca="1" si="173"/>
        <v>0</v>
      </c>
      <c r="BQ239" s="909">
        <f t="shared" si="174"/>
        <v>77534.903999999995</v>
      </c>
      <c r="BR239" s="909">
        <f t="shared" ca="1" si="175"/>
        <v>-8640</v>
      </c>
      <c r="BS239" s="653"/>
      <c r="BT239" s="653"/>
      <c r="BU239" s="653"/>
      <c r="BV239" s="654"/>
    </row>
    <row r="240" spans="2:74" x14ac:dyDescent="0.25">
      <c r="B240" s="651"/>
      <c r="C240" s="653"/>
      <c r="D240" s="653"/>
      <c r="E240" s="653"/>
      <c r="F240" s="653"/>
      <c r="G240" s="653"/>
      <c r="H240" s="653"/>
      <c r="I240" s="653"/>
      <c r="J240" s="653"/>
      <c r="K240" s="653"/>
      <c r="L240" s="653"/>
      <c r="M240" s="651">
        <v>49</v>
      </c>
      <c r="N240" s="909">
        <f t="shared" ca="1" si="176"/>
        <v>0</v>
      </c>
      <c r="O240" s="909">
        <f t="shared" ca="1" si="177"/>
        <v>0</v>
      </c>
      <c r="P240" s="909">
        <f t="shared" ca="1" si="178"/>
        <v>0</v>
      </c>
      <c r="Q240" s="910">
        <f t="shared" ca="1" si="179"/>
        <v>0</v>
      </c>
      <c r="R240" s="909">
        <f t="shared" si="180"/>
        <v>0</v>
      </c>
      <c r="S240" s="909">
        <f t="shared" ca="1" si="181"/>
        <v>1.5680827128746399E-10</v>
      </c>
      <c r="T240" s="909">
        <f t="shared" ca="1" si="182"/>
        <v>-1.5680827128746399E-10</v>
      </c>
      <c r="U240" s="909">
        <f t="shared" ca="1" si="183"/>
        <v>5.3837506475362644E-9</v>
      </c>
      <c r="V240" s="909">
        <f t="shared" ca="1" si="184"/>
        <v>8640</v>
      </c>
      <c r="W240" s="909">
        <f t="shared" ca="1" si="185"/>
        <v>0</v>
      </c>
      <c r="X240" s="909">
        <f t="shared" ca="1" si="186"/>
        <v>8640</v>
      </c>
      <c r="Y240" s="909">
        <f t="shared" si="187"/>
        <v>0</v>
      </c>
      <c r="Z240" s="910">
        <f t="shared" si="188"/>
        <v>0</v>
      </c>
      <c r="AA240" s="909">
        <f t="shared" ca="1" si="189"/>
        <v>0</v>
      </c>
      <c r="AB240" s="910">
        <f t="shared" ca="1" si="190"/>
        <v>0</v>
      </c>
      <c r="AC240" s="911">
        <f t="shared" ca="1" si="191"/>
        <v>0</v>
      </c>
      <c r="AD240" s="911">
        <f t="shared" ca="1" si="192"/>
        <v>0</v>
      </c>
      <c r="AE240" s="909">
        <f t="shared" ca="1" si="193"/>
        <v>68894.903999999995</v>
      </c>
      <c r="AF240" s="912">
        <f t="shared" ca="1" si="160"/>
        <v>26108.305327909562</v>
      </c>
      <c r="AG240" s="909">
        <f t="shared" si="194"/>
        <v>77534.903999999995</v>
      </c>
      <c r="AH240" s="917">
        <f t="shared" ca="1" si="195"/>
        <v>8640</v>
      </c>
      <c r="AI240" s="909" t="str">
        <f t="shared" si="196"/>
        <v/>
      </c>
      <c r="AJ240" s="916" t="str">
        <f t="shared" si="197"/>
        <v/>
      </c>
      <c r="AK240" s="916" t="str">
        <f t="shared" si="198"/>
        <v/>
      </c>
      <c r="AL240" s="909" t="str">
        <f t="shared" si="199"/>
        <v/>
      </c>
      <c r="AM240" s="918">
        <f t="shared" ca="1" si="200"/>
        <v>8640</v>
      </c>
      <c r="AN240" s="915">
        <f t="shared" si="161"/>
        <v>49</v>
      </c>
      <c r="AO240" s="653" t="str">
        <f t="shared" si="201"/>
        <v/>
      </c>
      <c r="AP240" s="916" t="str">
        <f t="shared" si="202"/>
        <v/>
      </c>
      <c r="AQ240" s="916" t="str">
        <f t="shared" si="203"/>
        <v/>
      </c>
      <c r="AR240" s="653"/>
      <c r="AS240" s="653">
        <v>49</v>
      </c>
      <c r="AT240" s="909">
        <f t="shared" ca="1" si="162"/>
        <v>0</v>
      </c>
      <c r="AU240" s="909">
        <f t="shared" si="163"/>
        <v>0</v>
      </c>
      <c r="AV240" s="909">
        <f t="shared" ca="1" si="164"/>
        <v>-2029.9705244649786</v>
      </c>
      <c r="AW240" s="909">
        <f t="shared" si="165"/>
        <v>0</v>
      </c>
      <c r="AX240" s="909">
        <f t="shared" ca="1" si="166"/>
        <v>0</v>
      </c>
      <c r="AY240" s="909">
        <f t="shared" si="167"/>
        <v>18216.848349215481</v>
      </c>
      <c r="AZ240" s="909">
        <f t="shared" ca="1" si="168"/>
        <v>-2029.9705244649786</v>
      </c>
      <c r="BA240" s="653"/>
      <c r="BB240" s="653">
        <f t="shared" si="204"/>
        <v>49</v>
      </c>
      <c r="BC240" s="909">
        <f t="shared" ca="1" si="205"/>
        <v>0</v>
      </c>
      <c r="BD240" s="909">
        <f t="shared" ca="1" si="206"/>
        <v>-3357414.5173999998</v>
      </c>
      <c r="BE240" s="909">
        <f t="shared" ca="1" si="207"/>
        <v>-374712.66459021845</v>
      </c>
      <c r="BF240" s="909">
        <f t="shared" si="208"/>
        <v>0</v>
      </c>
      <c r="BG240" s="909">
        <f t="shared" ca="1" si="209"/>
        <v>452458.93065783195</v>
      </c>
      <c r="BH240" s="909">
        <f t="shared" si="210"/>
        <v>1977269.5216928183</v>
      </c>
      <c r="BI240" s="909">
        <f t="shared" ca="1" si="211"/>
        <v>-3279668.2513323873</v>
      </c>
      <c r="BJ240" s="909"/>
      <c r="BK240" s="653">
        <v>49</v>
      </c>
      <c r="BL240" s="909">
        <f t="shared" ca="1" si="169"/>
        <v>0</v>
      </c>
      <c r="BM240" s="909">
        <f t="shared" si="170"/>
        <v>0</v>
      </c>
      <c r="BN240" s="909">
        <f t="shared" ca="1" si="171"/>
        <v>-8640</v>
      </c>
      <c r="BO240" s="909">
        <f t="shared" si="172"/>
        <v>0</v>
      </c>
      <c r="BP240" s="909">
        <f t="shared" ca="1" si="173"/>
        <v>0</v>
      </c>
      <c r="BQ240" s="909">
        <f t="shared" si="174"/>
        <v>77534.903999999995</v>
      </c>
      <c r="BR240" s="909">
        <f t="shared" ca="1" si="175"/>
        <v>-8640</v>
      </c>
      <c r="BS240" s="653"/>
      <c r="BT240" s="653"/>
      <c r="BU240" s="653"/>
      <c r="BV240" s="654"/>
    </row>
    <row r="241" spans="2:74" x14ac:dyDescent="0.25">
      <c r="B241" s="651"/>
      <c r="C241" s="653"/>
      <c r="D241" s="653"/>
      <c r="E241" s="653"/>
      <c r="F241" s="653"/>
      <c r="G241" s="653"/>
      <c r="H241" s="653"/>
      <c r="I241" s="653"/>
      <c r="J241" s="653"/>
      <c r="K241" s="653"/>
      <c r="L241" s="653"/>
      <c r="M241" s="651">
        <v>50</v>
      </c>
      <c r="N241" s="909">
        <f t="shared" ca="1" si="176"/>
        <v>0</v>
      </c>
      <c r="O241" s="909">
        <f t="shared" ca="1" si="177"/>
        <v>0</v>
      </c>
      <c r="P241" s="909">
        <f t="shared" ca="1" si="178"/>
        <v>0</v>
      </c>
      <c r="Q241" s="910">
        <f t="shared" ca="1" si="179"/>
        <v>0</v>
      </c>
      <c r="R241" s="909">
        <f t="shared" si="180"/>
        <v>0</v>
      </c>
      <c r="S241" s="909">
        <f t="shared" ca="1" si="181"/>
        <v>1.6151251942608793E-10</v>
      </c>
      <c r="T241" s="909">
        <f t="shared" ca="1" si="182"/>
        <v>-1.6151251942608793E-10</v>
      </c>
      <c r="U241" s="909">
        <f t="shared" ca="1" si="183"/>
        <v>5.5452631669623523E-9</v>
      </c>
      <c r="V241" s="909">
        <f t="shared" ca="1" si="184"/>
        <v>8640</v>
      </c>
      <c r="W241" s="909">
        <f t="shared" ca="1" si="185"/>
        <v>0</v>
      </c>
      <c r="X241" s="909">
        <f t="shared" ca="1" si="186"/>
        <v>8640</v>
      </c>
      <c r="Y241" s="909">
        <f t="shared" si="187"/>
        <v>0</v>
      </c>
      <c r="Z241" s="910">
        <f t="shared" si="188"/>
        <v>0</v>
      </c>
      <c r="AA241" s="909">
        <f t="shared" ca="1" si="189"/>
        <v>0</v>
      </c>
      <c r="AB241" s="910">
        <f t="shared" ca="1" si="190"/>
        <v>0</v>
      </c>
      <c r="AC241" s="911">
        <f t="shared" ca="1" si="191"/>
        <v>0</v>
      </c>
      <c r="AD241" s="911">
        <f t="shared" ca="1" si="192"/>
        <v>0</v>
      </c>
      <c r="AE241" s="909">
        <f t="shared" ca="1" si="193"/>
        <v>68894.903999999995</v>
      </c>
      <c r="AF241" s="912">
        <f t="shared" ca="1" si="160"/>
        <v>25596.377772460357</v>
      </c>
      <c r="AG241" s="909">
        <f t="shared" si="194"/>
        <v>77534.903999999995</v>
      </c>
      <c r="AH241" s="917">
        <f t="shared" ca="1" si="195"/>
        <v>8640</v>
      </c>
      <c r="AI241" s="909" t="str">
        <f t="shared" si="196"/>
        <v/>
      </c>
      <c r="AJ241" s="916" t="str">
        <f t="shared" si="197"/>
        <v/>
      </c>
      <c r="AK241" s="916" t="str">
        <f t="shared" si="198"/>
        <v/>
      </c>
      <c r="AL241" s="909" t="str">
        <f t="shared" si="199"/>
        <v/>
      </c>
      <c r="AM241" s="918">
        <f t="shared" ca="1" si="200"/>
        <v>8640</v>
      </c>
      <c r="AN241" s="915">
        <f t="shared" si="161"/>
        <v>50</v>
      </c>
      <c r="AO241" s="653" t="str">
        <f t="shared" si="201"/>
        <v/>
      </c>
      <c r="AP241" s="916" t="str">
        <f t="shared" si="202"/>
        <v/>
      </c>
      <c r="AQ241" s="916" t="str">
        <f t="shared" si="203"/>
        <v/>
      </c>
      <c r="AR241" s="653"/>
      <c r="AS241" s="653">
        <v>50</v>
      </c>
      <c r="AT241" s="909">
        <f t="shared" ca="1" si="162"/>
        <v>0</v>
      </c>
      <c r="AU241" s="909">
        <f t="shared" si="163"/>
        <v>0</v>
      </c>
      <c r="AV241" s="909">
        <f t="shared" ca="1" si="164"/>
        <v>-1970.8451693834743</v>
      </c>
      <c r="AW241" s="909">
        <f t="shared" si="165"/>
        <v>0</v>
      </c>
      <c r="AX241" s="909">
        <f t="shared" ca="1" si="166"/>
        <v>0</v>
      </c>
      <c r="AY241" s="909">
        <f t="shared" si="167"/>
        <v>17686.260533218912</v>
      </c>
      <c r="AZ241" s="909">
        <f t="shared" ca="1" si="168"/>
        <v>-1970.8451693834743</v>
      </c>
      <c r="BA241" s="653"/>
      <c r="BB241" s="653">
        <f t="shared" si="204"/>
        <v>50</v>
      </c>
      <c r="BC241" s="909">
        <f t="shared" ca="1" si="205"/>
        <v>0</v>
      </c>
      <c r="BD241" s="909">
        <f t="shared" ca="1" si="206"/>
        <v>-3357414.5173999998</v>
      </c>
      <c r="BE241" s="909">
        <f t="shared" ca="1" si="207"/>
        <v>-376683.5097596019</v>
      </c>
      <c r="BF241" s="909">
        <f t="shared" si="208"/>
        <v>0</v>
      </c>
      <c r="BG241" s="909">
        <f t="shared" ca="1" si="209"/>
        <v>452458.93065783195</v>
      </c>
      <c r="BH241" s="909">
        <f t="shared" si="210"/>
        <v>1994955.7822260372</v>
      </c>
      <c r="BI241" s="909">
        <f t="shared" ca="1" si="211"/>
        <v>-3281639.0965017709</v>
      </c>
      <c r="BJ241" s="909"/>
      <c r="BK241" s="653">
        <v>50</v>
      </c>
      <c r="BL241" s="909">
        <f t="shared" ca="1" si="169"/>
        <v>0</v>
      </c>
      <c r="BM241" s="909">
        <f t="shared" si="170"/>
        <v>0</v>
      </c>
      <c r="BN241" s="909">
        <f t="shared" ca="1" si="171"/>
        <v>-8640</v>
      </c>
      <c r="BO241" s="909">
        <f t="shared" si="172"/>
        <v>0</v>
      </c>
      <c r="BP241" s="909">
        <f t="shared" ca="1" si="173"/>
        <v>0</v>
      </c>
      <c r="BQ241" s="909">
        <f t="shared" si="174"/>
        <v>77534.903999999995</v>
      </c>
      <c r="BR241" s="909">
        <f t="shared" ca="1" si="175"/>
        <v>-8640</v>
      </c>
      <c r="BS241" s="653"/>
      <c r="BT241" s="653"/>
      <c r="BU241" s="653"/>
      <c r="BV241" s="654"/>
    </row>
    <row r="242" spans="2:74" x14ac:dyDescent="0.25">
      <c r="B242" s="651"/>
      <c r="C242" s="653"/>
      <c r="D242" s="653"/>
      <c r="E242" s="653"/>
      <c r="F242" s="653"/>
      <c r="G242" s="653"/>
      <c r="H242" s="653"/>
      <c r="I242" s="653"/>
      <c r="J242" s="653"/>
      <c r="K242" s="653"/>
      <c r="L242" s="653"/>
      <c r="M242" s="651"/>
      <c r="N242" s="909"/>
      <c r="O242" s="909"/>
      <c r="P242" s="909"/>
      <c r="Q242" s="910"/>
      <c r="R242" s="909"/>
      <c r="S242" s="909"/>
      <c r="T242" s="909"/>
      <c r="U242" s="909"/>
      <c r="V242" s="909"/>
      <c r="W242" s="909"/>
      <c r="X242" s="909"/>
      <c r="Y242" s="909"/>
      <c r="Z242" s="910"/>
      <c r="AA242" s="909"/>
      <c r="AB242" s="910"/>
      <c r="AC242" s="911"/>
      <c r="AD242" s="911"/>
      <c r="AE242" s="909"/>
      <c r="AF242" s="909"/>
      <c r="AG242" s="909"/>
      <c r="AH242" s="917"/>
      <c r="AI242" s="909"/>
      <c r="AJ242" s="916"/>
      <c r="AK242" s="916"/>
      <c r="AL242" s="653"/>
      <c r="AM242" s="918"/>
      <c r="AN242" s="915"/>
      <c r="AO242" s="653"/>
      <c r="AP242" s="653"/>
      <c r="AQ242" s="653"/>
      <c r="AR242" s="653"/>
      <c r="AS242" s="653"/>
      <c r="AT242" s="909"/>
      <c r="AU242" s="909"/>
      <c r="AV242" s="909"/>
      <c r="AW242" s="909"/>
      <c r="AX242" s="909"/>
      <c r="AY242" s="909"/>
      <c r="AZ242" s="909"/>
      <c r="BA242" s="653"/>
      <c r="BB242" s="653"/>
      <c r="BC242" s="909"/>
      <c r="BD242" s="909"/>
      <c r="BE242" s="909"/>
      <c r="BF242" s="909"/>
      <c r="BG242" s="909"/>
      <c r="BH242" s="909"/>
      <c r="BI242" s="909"/>
      <c r="BJ242" s="653"/>
      <c r="BK242" s="653"/>
      <c r="BL242" s="653"/>
      <c r="BM242" s="653"/>
      <c r="BN242" s="653"/>
      <c r="BO242" s="653"/>
      <c r="BP242" s="653"/>
      <c r="BQ242" s="653"/>
      <c r="BR242" s="653"/>
      <c r="BS242" s="653"/>
      <c r="BT242" s="653"/>
      <c r="BU242" s="653"/>
      <c r="BV242" s="654"/>
    </row>
    <row r="243" spans="2:74" x14ac:dyDescent="0.25">
      <c r="B243" s="651"/>
      <c r="C243" s="653"/>
      <c r="D243" s="653"/>
      <c r="E243" s="653"/>
      <c r="F243" s="653"/>
      <c r="G243" s="653"/>
      <c r="H243" s="653"/>
      <c r="I243" s="653"/>
      <c r="J243" s="653"/>
      <c r="K243" s="653"/>
      <c r="L243" s="653"/>
      <c r="M243" s="651"/>
      <c r="N243" s="909"/>
      <c r="O243" s="909"/>
      <c r="P243" s="909"/>
      <c r="Q243" s="910"/>
      <c r="R243" s="909"/>
      <c r="S243" s="909"/>
      <c r="T243" s="909"/>
      <c r="U243" s="909"/>
      <c r="V243" s="909"/>
      <c r="W243" s="909"/>
      <c r="X243" s="909"/>
      <c r="Y243" s="909"/>
      <c r="Z243" s="910"/>
      <c r="AA243" s="909"/>
      <c r="AB243" s="910"/>
      <c r="AC243" s="911"/>
      <c r="AD243" s="911"/>
      <c r="AE243" s="909"/>
      <c r="AF243" s="909"/>
      <c r="AG243" s="909"/>
      <c r="AH243" s="917"/>
      <c r="AI243" s="909"/>
      <c r="AJ243" s="916"/>
      <c r="AK243" s="916"/>
      <c r="AL243" s="653"/>
      <c r="AM243" s="918"/>
      <c r="AN243" s="915"/>
      <c r="AO243" s="909"/>
      <c r="AP243" s="653"/>
      <c r="AQ243" s="653"/>
      <c r="AR243" s="653"/>
      <c r="AS243" s="653"/>
      <c r="AT243" s="909"/>
      <c r="AU243" s="909"/>
      <c r="AV243" s="909"/>
      <c r="AW243" s="909"/>
      <c r="AX243" s="909"/>
      <c r="AY243" s="909"/>
      <c r="AZ243" s="909"/>
      <c r="BA243" s="653"/>
      <c r="BB243" s="653"/>
      <c r="BC243" s="909"/>
      <c r="BD243" s="909"/>
      <c r="BE243" s="909"/>
      <c r="BF243" s="909"/>
      <c r="BG243" s="909"/>
      <c r="BH243" s="909"/>
      <c r="BI243" s="909"/>
      <c r="BJ243" s="653"/>
      <c r="BK243" s="653"/>
      <c r="BL243" s="653"/>
      <c r="BM243" s="653"/>
      <c r="BN243" s="653"/>
      <c r="BO243" s="653"/>
      <c r="BP243" s="653"/>
      <c r="BQ243" s="653"/>
      <c r="BR243" s="653"/>
      <c r="BS243" s="653"/>
      <c r="BT243" s="653"/>
      <c r="BU243" s="653"/>
      <c r="BV243" s="654"/>
    </row>
    <row r="244" spans="2:74" x14ac:dyDescent="0.25">
      <c r="B244" s="651"/>
      <c r="C244" s="653"/>
      <c r="D244" s="653"/>
      <c r="E244" s="653"/>
      <c r="F244" s="653"/>
      <c r="G244" s="653"/>
      <c r="H244" s="653"/>
      <c r="I244" s="653"/>
      <c r="J244" s="653"/>
      <c r="K244" s="653"/>
      <c r="L244" s="653"/>
      <c r="M244" s="651"/>
      <c r="N244" s="909"/>
      <c r="O244" s="909"/>
      <c r="P244" s="909"/>
      <c r="Q244" s="910"/>
      <c r="R244" s="909"/>
      <c r="S244" s="909"/>
      <c r="T244" s="909"/>
      <c r="U244" s="909"/>
      <c r="V244" s="909"/>
      <c r="W244" s="909"/>
      <c r="X244" s="909"/>
      <c r="Y244" s="909"/>
      <c r="Z244" s="910"/>
      <c r="AA244" s="909"/>
      <c r="AB244" s="910"/>
      <c r="AC244" s="911"/>
      <c r="AD244" s="911"/>
      <c r="AE244" s="909"/>
      <c r="AF244" s="909"/>
      <c r="AG244" s="909"/>
      <c r="AH244" s="917"/>
      <c r="AI244" s="909"/>
      <c r="AJ244" s="916"/>
      <c r="AK244" s="916"/>
      <c r="AL244" s="653"/>
      <c r="AM244" s="918"/>
      <c r="AN244" s="915"/>
      <c r="AO244" s="653"/>
      <c r="AP244" s="653"/>
      <c r="AQ244" s="653"/>
      <c r="AR244" s="653"/>
      <c r="AS244" s="653"/>
      <c r="AT244" s="653"/>
      <c r="AU244" s="653"/>
      <c r="AV244" s="653"/>
      <c r="AW244" s="653"/>
      <c r="AX244" s="653"/>
      <c r="AY244" s="653"/>
      <c r="AZ244" s="653"/>
      <c r="BA244" s="653"/>
      <c r="BB244" s="653"/>
      <c r="BC244" s="909"/>
      <c r="BD244" s="909"/>
      <c r="BE244" s="909"/>
      <c r="BF244" s="909"/>
      <c r="BG244" s="909"/>
      <c r="BH244" s="909"/>
      <c r="BI244" s="909"/>
      <c r="BJ244" s="653"/>
      <c r="BK244" s="653"/>
      <c r="BL244" s="653"/>
      <c r="BM244" s="653"/>
      <c r="BN244" s="653"/>
      <c r="BO244" s="653"/>
      <c r="BP244" s="653"/>
      <c r="BQ244" s="653"/>
      <c r="BR244" s="653"/>
      <c r="BS244" s="653"/>
      <c r="BT244" s="653"/>
      <c r="BU244" s="653"/>
      <c r="BV244" s="654"/>
    </row>
    <row r="245" spans="2:74" x14ac:dyDescent="0.25">
      <c r="B245" s="651"/>
      <c r="C245" s="653"/>
      <c r="D245" s="653"/>
      <c r="E245" s="653"/>
      <c r="F245" s="653"/>
      <c r="G245" s="653"/>
      <c r="H245" s="653"/>
      <c r="I245" s="653"/>
      <c r="J245" s="653"/>
      <c r="K245" s="653"/>
      <c r="L245" s="653"/>
      <c r="M245" s="651"/>
      <c r="N245" s="909"/>
      <c r="O245" s="909"/>
      <c r="P245" s="909"/>
      <c r="Q245" s="910"/>
      <c r="R245" s="909"/>
      <c r="S245" s="909"/>
      <c r="T245" s="909"/>
      <c r="U245" s="909"/>
      <c r="V245" s="909"/>
      <c r="W245" s="909"/>
      <c r="X245" s="909"/>
      <c r="Y245" s="909"/>
      <c r="Z245" s="910"/>
      <c r="AA245" s="909"/>
      <c r="AB245" s="910"/>
      <c r="AC245" s="911"/>
      <c r="AD245" s="911"/>
      <c r="AE245" s="909"/>
      <c r="AF245" s="909"/>
      <c r="AG245" s="909"/>
      <c r="AH245" s="917"/>
      <c r="AI245" s="909"/>
      <c r="AJ245" s="916"/>
      <c r="AK245" s="916"/>
      <c r="AL245" s="653"/>
      <c r="AM245" s="918"/>
      <c r="AN245" s="915"/>
      <c r="AO245" s="653"/>
      <c r="AP245" s="653"/>
      <c r="AQ245" s="653"/>
      <c r="AR245" s="653"/>
      <c r="AS245" s="653"/>
      <c r="AT245" s="653"/>
      <c r="AU245" s="653"/>
      <c r="AV245" s="653"/>
      <c r="AW245" s="653"/>
      <c r="AX245" s="653"/>
      <c r="AY245" s="653"/>
      <c r="AZ245" s="653"/>
      <c r="BA245" s="653"/>
      <c r="BB245" s="653"/>
      <c r="BC245" s="653"/>
      <c r="BD245" s="653"/>
      <c r="BE245" s="653"/>
      <c r="BF245" s="653"/>
      <c r="BG245" s="653"/>
      <c r="BH245" s="653"/>
      <c r="BI245" s="653"/>
      <c r="BJ245" s="653"/>
      <c r="BK245" s="653"/>
      <c r="BL245" s="653"/>
      <c r="BM245" s="653"/>
      <c r="BN245" s="653"/>
      <c r="BO245" s="653"/>
      <c r="BP245" s="653"/>
      <c r="BQ245" s="653"/>
      <c r="BR245" s="653"/>
      <c r="BS245" s="653"/>
      <c r="BT245" s="653"/>
      <c r="BU245" s="653"/>
      <c r="BV245" s="654"/>
    </row>
    <row r="246" spans="2:74" x14ac:dyDescent="0.25">
      <c r="B246" s="651"/>
      <c r="C246" s="653"/>
      <c r="D246" s="653"/>
      <c r="E246" s="653"/>
      <c r="F246" s="653"/>
      <c r="G246" s="653"/>
      <c r="H246" s="653"/>
      <c r="I246" s="653"/>
      <c r="J246" s="653"/>
      <c r="K246" s="653"/>
      <c r="L246" s="653"/>
      <c r="M246" s="651"/>
      <c r="N246" s="909"/>
      <c r="O246" s="909"/>
      <c r="P246" s="909"/>
      <c r="Q246" s="910"/>
      <c r="R246" s="909"/>
      <c r="S246" s="909"/>
      <c r="T246" s="909"/>
      <c r="U246" s="909"/>
      <c r="V246" s="909"/>
      <c r="W246" s="909"/>
      <c r="X246" s="909"/>
      <c r="Y246" s="909"/>
      <c r="Z246" s="910"/>
      <c r="AA246" s="909"/>
      <c r="AB246" s="910"/>
      <c r="AC246" s="911"/>
      <c r="AD246" s="911"/>
      <c r="AE246" s="909"/>
      <c r="AF246" s="909"/>
      <c r="AG246" s="909"/>
      <c r="AH246" s="917"/>
      <c r="AI246" s="909"/>
      <c r="AJ246" s="916"/>
      <c r="AK246" s="916"/>
      <c r="AL246" s="653"/>
      <c r="AM246" s="918"/>
      <c r="AN246" s="915"/>
      <c r="AO246" s="909"/>
      <c r="AP246" s="909"/>
      <c r="AQ246" s="653"/>
      <c r="AR246" s="653"/>
      <c r="AS246" s="653"/>
      <c r="AT246" s="653"/>
      <c r="AU246" s="653"/>
      <c r="AV246" s="653"/>
      <c r="AW246" s="653"/>
      <c r="AX246" s="653"/>
      <c r="AY246" s="653"/>
      <c r="AZ246" s="653"/>
      <c r="BA246" s="653"/>
      <c r="BB246" s="653"/>
      <c r="BC246" s="653"/>
      <c r="BD246" s="653"/>
      <c r="BE246" s="653"/>
      <c r="BF246" s="653"/>
      <c r="BG246" s="653"/>
      <c r="BH246" s="653"/>
      <c r="BI246" s="653"/>
      <c r="BJ246" s="653"/>
      <c r="BK246" s="653"/>
      <c r="BL246" s="653"/>
      <c r="BM246" s="653"/>
      <c r="BN246" s="653"/>
      <c r="BO246" s="653"/>
      <c r="BP246" s="653"/>
      <c r="BQ246" s="653"/>
      <c r="BR246" s="653"/>
      <c r="BS246" s="653"/>
      <c r="BT246" s="653"/>
      <c r="BU246" s="653"/>
      <c r="BV246" s="654"/>
    </row>
    <row r="247" spans="2:74" x14ac:dyDescent="0.25">
      <c r="B247" s="651"/>
      <c r="C247" s="653"/>
      <c r="D247" s="653"/>
      <c r="E247" s="653"/>
      <c r="F247" s="653"/>
      <c r="G247" s="653"/>
      <c r="H247" s="653"/>
      <c r="I247" s="653"/>
      <c r="J247" s="653"/>
      <c r="K247" s="653"/>
      <c r="L247" s="653"/>
      <c r="M247" s="651"/>
      <c r="N247" s="909"/>
      <c r="O247" s="909"/>
      <c r="P247" s="909"/>
      <c r="Q247" s="910"/>
      <c r="R247" s="909"/>
      <c r="S247" s="909"/>
      <c r="T247" s="909"/>
      <c r="U247" s="909"/>
      <c r="V247" s="909"/>
      <c r="W247" s="909"/>
      <c r="X247" s="909"/>
      <c r="Y247" s="909"/>
      <c r="Z247" s="910"/>
      <c r="AA247" s="909"/>
      <c r="AB247" s="910"/>
      <c r="AC247" s="911"/>
      <c r="AD247" s="911"/>
      <c r="AE247" s="909"/>
      <c r="AF247" s="909"/>
      <c r="AG247" s="909"/>
      <c r="AH247" s="917"/>
      <c r="AI247" s="909"/>
      <c r="AJ247" s="916"/>
      <c r="AK247" s="916"/>
      <c r="AL247" s="653"/>
      <c r="AM247" s="918"/>
      <c r="AN247" s="915"/>
      <c r="AO247" s="909"/>
      <c r="AP247" s="909"/>
      <c r="AQ247" s="653"/>
      <c r="AR247" s="653"/>
      <c r="AS247" s="653"/>
      <c r="AT247" s="653"/>
      <c r="AU247" s="653"/>
      <c r="AV247" s="653"/>
      <c r="AW247" s="653"/>
      <c r="AX247" s="653"/>
      <c r="AY247" s="653"/>
      <c r="AZ247" s="653"/>
      <c r="BA247" s="653"/>
      <c r="BB247" s="653"/>
      <c r="BC247" s="653"/>
      <c r="BD247" s="653"/>
      <c r="BE247" s="653"/>
      <c r="BF247" s="653"/>
      <c r="BG247" s="653"/>
      <c r="BH247" s="653"/>
      <c r="BI247" s="653"/>
      <c r="BJ247" s="653"/>
      <c r="BK247" s="653"/>
      <c r="BL247" s="653"/>
      <c r="BM247" s="653"/>
      <c r="BN247" s="653"/>
      <c r="BO247" s="653"/>
      <c r="BP247" s="653"/>
      <c r="BQ247" s="653"/>
      <c r="BR247" s="653"/>
      <c r="BS247" s="653"/>
      <c r="BT247" s="653"/>
      <c r="BU247" s="653"/>
      <c r="BV247" s="654"/>
    </row>
    <row r="248" spans="2:74" x14ac:dyDescent="0.25">
      <c r="B248" s="651"/>
      <c r="C248" s="653"/>
      <c r="D248" s="653"/>
      <c r="E248" s="653"/>
      <c r="F248" s="653"/>
      <c r="G248" s="653"/>
      <c r="H248" s="653"/>
      <c r="I248" s="653"/>
      <c r="J248" s="653"/>
      <c r="K248" s="653"/>
      <c r="L248" s="653"/>
      <c r="M248" s="651"/>
      <c r="N248" s="909"/>
      <c r="O248" s="909"/>
      <c r="P248" s="909"/>
      <c r="Q248" s="910"/>
      <c r="R248" s="909"/>
      <c r="S248" s="909"/>
      <c r="T248" s="909"/>
      <c r="U248" s="909"/>
      <c r="V248" s="909"/>
      <c r="W248" s="909"/>
      <c r="X248" s="909"/>
      <c r="Y248" s="909"/>
      <c r="Z248" s="910"/>
      <c r="AA248" s="909"/>
      <c r="AB248" s="910"/>
      <c r="AC248" s="911"/>
      <c r="AD248" s="911"/>
      <c r="AE248" s="909"/>
      <c r="AF248" s="909"/>
      <c r="AG248" s="909"/>
      <c r="AH248" s="917"/>
      <c r="AI248" s="909"/>
      <c r="AJ248" s="916"/>
      <c r="AK248" s="916"/>
      <c r="AL248" s="653"/>
      <c r="AM248" s="918"/>
      <c r="AN248" s="915"/>
      <c r="AO248" s="653"/>
      <c r="AP248" s="653"/>
      <c r="AQ248" s="653"/>
      <c r="AR248" s="653"/>
      <c r="AS248" s="653"/>
      <c r="AT248" s="653"/>
      <c r="AU248" s="653"/>
      <c r="AV248" s="653"/>
      <c r="AW248" s="653"/>
      <c r="AX248" s="653"/>
      <c r="AY248" s="653"/>
      <c r="AZ248" s="653"/>
      <c r="BA248" s="653"/>
      <c r="BB248" s="653"/>
      <c r="BC248" s="653"/>
      <c r="BD248" s="653"/>
      <c r="BE248" s="653"/>
      <c r="BF248" s="653"/>
      <c r="BG248" s="653"/>
      <c r="BH248" s="653"/>
      <c r="BI248" s="653"/>
      <c r="BJ248" s="653"/>
      <c r="BK248" s="653"/>
      <c r="BL248" s="653"/>
      <c r="BM248" s="653"/>
      <c r="BN248" s="653"/>
      <c r="BO248" s="653"/>
      <c r="BP248" s="653"/>
      <c r="BQ248" s="653"/>
      <c r="BR248" s="653"/>
      <c r="BS248" s="653"/>
      <c r="BT248" s="653"/>
      <c r="BU248" s="653"/>
      <c r="BV248" s="654"/>
    </row>
    <row r="249" spans="2:74" x14ac:dyDescent="0.25">
      <c r="B249" s="651"/>
      <c r="C249" s="653"/>
      <c r="D249" s="653"/>
      <c r="E249" s="653"/>
      <c r="F249" s="653"/>
      <c r="G249" s="653"/>
      <c r="H249" s="653"/>
      <c r="I249" s="653"/>
      <c r="J249" s="653"/>
      <c r="K249" s="653"/>
      <c r="L249" s="653"/>
      <c r="M249" s="651"/>
      <c r="N249" s="909"/>
      <c r="O249" s="909"/>
      <c r="P249" s="909"/>
      <c r="Q249" s="910"/>
      <c r="R249" s="909"/>
      <c r="S249" s="909"/>
      <c r="T249" s="909"/>
      <c r="U249" s="909"/>
      <c r="V249" s="909"/>
      <c r="W249" s="909"/>
      <c r="X249" s="909"/>
      <c r="Y249" s="909"/>
      <c r="Z249" s="910"/>
      <c r="AA249" s="909"/>
      <c r="AB249" s="910"/>
      <c r="AC249" s="911"/>
      <c r="AD249" s="911"/>
      <c r="AE249" s="909"/>
      <c r="AF249" s="909"/>
      <c r="AG249" s="909"/>
      <c r="AH249" s="917"/>
      <c r="AI249" s="909"/>
      <c r="AJ249" s="916"/>
      <c r="AK249" s="916"/>
      <c r="AL249" s="653"/>
      <c r="AM249" s="918"/>
      <c r="AN249" s="915"/>
      <c r="AO249" s="653"/>
      <c r="AP249" s="909"/>
      <c r="AQ249" s="653"/>
      <c r="AR249" s="653"/>
      <c r="AS249" s="653"/>
      <c r="AT249" s="653"/>
      <c r="AU249" s="653"/>
      <c r="AV249" s="653"/>
      <c r="AW249" s="653"/>
      <c r="AX249" s="653"/>
      <c r="AY249" s="653"/>
      <c r="AZ249" s="653"/>
      <c r="BA249" s="653"/>
      <c r="BB249" s="653"/>
      <c r="BC249" s="653"/>
      <c r="BD249" s="653"/>
      <c r="BE249" s="653"/>
      <c r="BF249" s="653"/>
      <c r="BG249" s="653"/>
      <c r="BH249" s="653"/>
      <c r="BI249" s="653"/>
      <c r="BJ249" s="653"/>
      <c r="BK249" s="653"/>
      <c r="BL249" s="653"/>
      <c r="BM249" s="653"/>
      <c r="BN249" s="653"/>
      <c r="BO249" s="653"/>
      <c r="BP249" s="653"/>
      <c r="BQ249" s="653"/>
      <c r="BR249" s="653"/>
      <c r="BS249" s="653"/>
      <c r="BT249" s="653"/>
      <c r="BU249" s="653"/>
      <c r="BV249" s="654"/>
    </row>
    <row r="250" spans="2:74" x14ac:dyDescent="0.25">
      <c r="B250" s="651"/>
      <c r="C250" s="653"/>
      <c r="D250" s="653"/>
      <c r="E250" s="653"/>
      <c r="F250" s="653"/>
      <c r="G250" s="653"/>
      <c r="H250" s="653"/>
      <c r="I250" s="653"/>
      <c r="J250" s="653"/>
      <c r="K250" s="653"/>
      <c r="L250" s="653"/>
      <c r="M250" s="651"/>
      <c r="N250" s="909"/>
      <c r="O250" s="909"/>
      <c r="P250" s="909"/>
      <c r="Q250" s="910"/>
      <c r="R250" s="909"/>
      <c r="S250" s="909"/>
      <c r="T250" s="909"/>
      <c r="U250" s="909"/>
      <c r="V250" s="909"/>
      <c r="W250" s="909"/>
      <c r="X250" s="909"/>
      <c r="Y250" s="909"/>
      <c r="Z250" s="910"/>
      <c r="AA250" s="909"/>
      <c r="AB250" s="910"/>
      <c r="AC250" s="911"/>
      <c r="AD250" s="911"/>
      <c r="AE250" s="909"/>
      <c r="AF250" s="909"/>
      <c r="AG250" s="909"/>
      <c r="AH250" s="917"/>
      <c r="AI250" s="909"/>
      <c r="AJ250" s="916"/>
      <c r="AK250" s="916"/>
      <c r="AL250" s="653"/>
      <c r="AM250" s="918"/>
      <c r="AN250" s="915"/>
      <c r="AO250" s="653"/>
      <c r="AP250" s="653"/>
      <c r="AQ250" s="653"/>
      <c r="AR250" s="653"/>
      <c r="AS250" s="653"/>
      <c r="AT250" s="653"/>
      <c r="AU250" s="653"/>
      <c r="AV250" s="653"/>
      <c r="AW250" s="653"/>
      <c r="AX250" s="653"/>
      <c r="AY250" s="653"/>
      <c r="AZ250" s="653"/>
      <c r="BA250" s="653"/>
      <c r="BB250" s="653"/>
      <c r="BC250" s="653"/>
      <c r="BD250" s="653"/>
      <c r="BE250" s="653"/>
      <c r="BF250" s="653"/>
      <c r="BG250" s="653"/>
      <c r="BH250" s="653"/>
      <c r="BI250" s="653"/>
      <c r="BJ250" s="653"/>
      <c r="BK250" s="653"/>
      <c r="BL250" s="653"/>
      <c r="BM250" s="653"/>
      <c r="BN250" s="653"/>
      <c r="BO250" s="653"/>
      <c r="BP250" s="653"/>
      <c r="BQ250" s="653"/>
      <c r="BR250" s="653"/>
      <c r="BS250" s="653"/>
      <c r="BT250" s="653"/>
      <c r="BU250" s="653"/>
      <c r="BV250" s="654"/>
    </row>
    <row r="251" spans="2:74" x14ac:dyDescent="0.25">
      <c r="B251" s="651"/>
      <c r="C251" s="653"/>
      <c r="D251" s="653"/>
      <c r="E251" s="653"/>
      <c r="F251" s="653"/>
      <c r="G251" s="653"/>
      <c r="H251" s="653"/>
      <c r="I251" s="653"/>
      <c r="J251" s="653"/>
      <c r="K251" s="653"/>
      <c r="L251" s="653"/>
      <c r="M251" s="651"/>
      <c r="N251" s="909"/>
      <c r="O251" s="909"/>
      <c r="P251" s="909"/>
      <c r="Q251" s="910"/>
      <c r="R251" s="909"/>
      <c r="S251" s="909"/>
      <c r="T251" s="909"/>
      <c r="U251" s="909"/>
      <c r="V251" s="909"/>
      <c r="W251" s="909"/>
      <c r="X251" s="909"/>
      <c r="Y251" s="909"/>
      <c r="Z251" s="910"/>
      <c r="AA251" s="909"/>
      <c r="AB251" s="910"/>
      <c r="AC251" s="911"/>
      <c r="AD251" s="911"/>
      <c r="AE251" s="909"/>
      <c r="AF251" s="909"/>
      <c r="AG251" s="909"/>
      <c r="AH251" s="917"/>
      <c r="AI251" s="909"/>
      <c r="AJ251" s="916"/>
      <c r="AK251" s="916"/>
      <c r="AL251" s="653"/>
      <c r="AM251" s="918"/>
      <c r="AN251" s="915"/>
      <c r="AO251" s="653"/>
      <c r="AP251" s="653"/>
      <c r="AQ251" s="653"/>
      <c r="AR251" s="653"/>
      <c r="AS251" s="653"/>
      <c r="AT251" s="653"/>
      <c r="AU251" s="653"/>
      <c r="AV251" s="653"/>
      <c r="AW251" s="653"/>
      <c r="AX251" s="653"/>
      <c r="AY251" s="653"/>
      <c r="AZ251" s="653"/>
      <c r="BA251" s="653"/>
      <c r="BB251" s="653"/>
      <c r="BC251" s="653"/>
      <c r="BD251" s="653"/>
      <c r="BE251" s="653"/>
      <c r="BF251" s="653"/>
      <c r="BG251" s="653"/>
      <c r="BH251" s="653"/>
      <c r="BI251" s="653"/>
      <c r="BJ251" s="653"/>
      <c r="BK251" s="653"/>
      <c r="BL251" s="653"/>
      <c r="BM251" s="653"/>
      <c r="BN251" s="653"/>
      <c r="BO251" s="653"/>
      <c r="BP251" s="653"/>
      <c r="BQ251" s="653"/>
      <c r="BR251" s="653"/>
      <c r="BS251" s="653"/>
      <c r="BT251" s="653"/>
      <c r="BU251" s="653"/>
      <c r="BV251" s="654"/>
    </row>
    <row r="252" spans="2:74" x14ac:dyDescent="0.25">
      <c r="B252" s="651"/>
      <c r="C252" s="653"/>
      <c r="D252" s="653"/>
      <c r="E252" s="653"/>
      <c r="F252" s="653"/>
      <c r="G252" s="653"/>
      <c r="H252" s="653"/>
      <c r="I252" s="653"/>
      <c r="J252" s="653"/>
      <c r="K252" s="653"/>
      <c r="L252" s="653"/>
      <c r="M252" s="651"/>
      <c r="N252" s="909"/>
      <c r="O252" s="909"/>
      <c r="P252" s="909"/>
      <c r="Q252" s="910"/>
      <c r="R252" s="909"/>
      <c r="S252" s="909"/>
      <c r="T252" s="909"/>
      <c r="U252" s="909"/>
      <c r="V252" s="909"/>
      <c r="W252" s="909"/>
      <c r="X252" s="909"/>
      <c r="Y252" s="909"/>
      <c r="Z252" s="910"/>
      <c r="AA252" s="909"/>
      <c r="AB252" s="910"/>
      <c r="AC252" s="911"/>
      <c r="AD252" s="911"/>
      <c r="AE252" s="909"/>
      <c r="AF252" s="909"/>
      <c r="AG252" s="909"/>
      <c r="AH252" s="917"/>
      <c r="AI252" s="909"/>
      <c r="AJ252" s="916"/>
      <c r="AK252" s="916"/>
      <c r="AL252" s="653"/>
      <c r="AM252" s="918"/>
      <c r="AN252" s="915"/>
      <c r="AO252" s="653"/>
      <c r="AP252" s="653"/>
      <c r="AQ252" s="653"/>
      <c r="AR252" s="653"/>
      <c r="AS252" s="653"/>
      <c r="AT252" s="653"/>
      <c r="AU252" s="653"/>
      <c r="AV252" s="653"/>
      <c r="AW252" s="653"/>
      <c r="AX252" s="653"/>
      <c r="AY252" s="653"/>
      <c r="AZ252" s="653"/>
      <c r="BA252" s="653"/>
      <c r="BB252" s="653"/>
      <c r="BC252" s="653"/>
      <c r="BD252" s="653"/>
      <c r="BE252" s="653"/>
      <c r="BF252" s="653"/>
      <c r="BG252" s="653"/>
      <c r="BH252" s="653"/>
      <c r="BI252" s="653"/>
      <c r="BJ252" s="653"/>
      <c r="BK252" s="653"/>
      <c r="BL252" s="653"/>
      <c r="BM252" s="653"/>
      <c r="BN252" s="653"/>
      <c r="BO252" s="653"/>
      <c r="BP252" s="653"/>
      <c r="BQ252" s="653"/>
      <c r="BR252" s="653"/>
      <c r="BS252" s="653"/>
      <c r="BT252" s="653"/>
      <c r="BU252" s="653"/>
      <c r="BV252" s="654"/>
    </row>
    <row r="253" spans="2:74" x14ac:dyDescent="0.25">
      <c r="B253" s="651"/>
      <c r="C253" s="653"/>
      <c r="D253" s="653"/>
      <c r="E253" s="653"/>
      <c r="F253" s="653"/>
      <c r="G253" s="653"/>
      <c r="H253" s="653"/>
      <c r="I253" s="653"/>
      <c r="J253" s="653"/>
      <c r="K253" s="653"/>
      <c r="L253" s="653"/>
      <c r="M253" s="651"/>
      <c r="N253" s="909"/>
      <c r="O253" s="909"/>
      <c r="P253" s="909"/>
      <c r="Q253" s="910"/>
      <c r="R253" s="909"/>
      <c r="S253" s="909"/>
      <c r="T253" s="909"/>
      <c r="U253" s="909"/>
      <c r="V253" s="909"/>
      <c r="W253" s="909"/>
      <c r="X253" s="909"/>
      <c r="Y253" s="909"/>
      <c r="Z253" s="910"/>
      <c r="AA253" s="909"/>
      <c r="AB253" s="910"/>
      <c r="AC253" s="911"/>
      <c r="AD253" s="911"/>
      <c r="AE253" s="909"/>
      <c r="AF253" s="909"/>
      <c r="AG253" s="909"/>
      <c r="AH253" s="917"/>
      <c r="AI253" s="909"/>
      <c r="AJ253" s="916"/>
      <c r="AK253" s="916"/>
      <c r="AL253" s="653"/>
      <c r="AM253" s="918"/>
      <c r="AN253" s="915"/>
      <c r="AO253" s="653"/>
      <c r="AP253" s="653"/>
      <c r="AQ253" s="653"/>
      <c r="AR253" s="653"/>
      <c r="AS253" s="653"/>
      <c r="AT253" s="653"/>
      <c r="AU253" s="653"/>
      <c r="AV253" s="653"/>
      <c r="AW253" s="653"/>
      <c r="AX253" s="653"/>
      <c r="AY253" s="653"/>
      <c r="AZ253" s="653"/>
      <c r="BA253" s="653"/>
      <c r="BB253" s="653"/>
      <c r="BC253" s="653"/>
      <c r="BD253" s="653"/>
      <c r="BE253" s="653"/>
      <c r="BF253" s="653"/>
      <c r="BG253" s="653"/>
      <c r="BH253" s="653"/>
      <c r="BI253" s="653"/>
      <c r="BJ253" s="653"/>
      <c r="BK253" s="653"/>
      <c r="BL253" s="653"/>
      <c r="BM253" s="653"/>
      <c r="BN253" s="653"/>
      <c r="BO253" s="653"/>
      <c r="BP253" s="653"/>
      <c r="BQ253" s="653"/>
      <c r="BR253" s="653"/>
      <c r="BS253" s="653"/>
      <c r="BT253" s="653"/>
      <c r="BU253" s="653"/>
      <c r="BV253" s="654"/>
    </row>
    <row r="254" spans="2:74" x14ac:dyDescent="0.25">
      <c r="B254" s="651"/>
      <c r="C254" s="653"/>
      <c r="D254" s="653"/>
      <c r="E254" s="653"/>
      <c r="F254" s="653"/>
      <c r="G254" s="653"/>
      <c r="H254" s="653"/>
      <c r="I254" s="653"/>
      <c r="J254" s="653"/>
      <c r="K254" s="653"/>
      <c r="L254" s="653"/>
      <c r="M254" s="651"/>
      <c r="N254" s="909"/>
      <c r="O254" s="909"/>
      <c r="P254" s="909"/>
      <c r="Q254" s="910"/>
      <c r="R254" s="909"/>
      <c r="S254" s="909"/>
      <c r="T254" s="909"/>
      <c r="U254" s="909"/>
      <c r="V254" s="909"/>
      <c r="W254" s="909"/>
      <c r="X254" s="909"/>
      <c r="Y254" s="909"/>
      <c r="Z254" s="910"/>
      <c r="AA254" s="909"/>
      <c r="AB254" s="910"/>
      <c r="AC254" s="911"/>
      <c r="AD254" s="911"/>
      <c r="AE254" s="909"/>
      <c r="AF254" s="909"/>
      <c r="AG254" s="909"/>
      <c r="AH254" s="917"/>
      <c r="AI254" s="909"/>
      <c r="AJ254" s="916"/>
      <c r="AK254" s="916"/>
      <c r="AL254" s="653"/>
      <c r="AM254" s="918"/>
      <c r="AN254" s="915"/>
      <c r="AO254" s="653"/>
      <c r="AP254" s="653"/>
      <c r="AQ254" s="653"/>
      <c r="AR254" s="653"/>
      <c r="AS254" s="653"/>
      <c r="AT254" s="653"/>
      <c r="AU254" s="653"/>
      <c r="AV254" s="653"/>
      <c r="AW254" s="653"/>
      <c r="AX254" s="653"/>
      <c r="AY254" s="653"/>
      <c r="AZ254" s="653"/>
      <c r="BA254" s="653"/>
      <c r="BB254" s="653"/>
      <c r="BC254" s="653"/>
      <c r="BD254" s="653"/>
      <c r="BE254" s="653"/>
      <c r="BF254" s="653"/>
      <c r="BG254" s="653"/>
      <c r="BH254" s="653"/>
      <c r="BI254" s="653"/>
      <c r="BJ254" s="653"/>
      <c r="BK254" s="653"/>
      <c r="BL254" s="653"/>
      <c r="BM254" s="653"/>
      <c r="BN254" s="653"/>
      <c r="BO254" s="653"/>
      <c r="BP254" s="653"/>
      <c r="BQ254" s="653"/>
      <c r="BR254" s="653"/>
      <c r="BS254" s="653"/>
      <c r="BT254" s="653"/>
      <c r="BU254" s="653"/>
      <c r="BV254" s="654"/>
    </row>
    <row r="255" spans="2:74" x14ac:dyDescent="0.25">
      <c r="B255" s="651"/>
      <c r="C255" s="653"/>
      <c r="D255" s="653"/>
      <c r="E255" s="653"/>
      <c r="F255" s="653"/>
      <c r="G255" s="653"/>
      <c r="H255" s="653"/>
      <c r="I255" s="653"/>
      <c r="J255" s="653"/>
      <c r="K255" s="653"/>
      <c r="L255" s="653"/>
      <c r="M255" s="651"/>
      <c r="N255" s="909"/>
      <c r="O255" s="909"/>
      <c r="P255" s="909"/>
      <c r="Q255" s="910"/>
      <c r="R255" s="909"/>
      <c r="S255" s="909"/>
      <c r="T255" s="909"/>
      <c r="U255" s="909"/>
      <c r="V255" s="909"/>
      <c r="W255" s="909"/>
      <c r="X255" s="909"/>
      <c r="Y255" s="909"/>
      <c r="Z255" s="910"/>
      <c r="AA255" s="909"/>
      <c r="AB255" s="910"/>
      <c r="AC255" s="911"/>
      <c r="AD255" s="911"/>
      <c r="AE255" s="909"/>
      <c r="AF255" s="909"/>
      <c r="AG255" s="909"/>
      <c r="AH255" s="917"/>
      <c r="AI255" s="909"/>
      <c r="AJ255" s="916"/>
      <c r="AK255" s="916"/>
      <c r="AL255" s="653"/>
      <c r="AM255" s="918"/>
      <c r="AN255" s="915"/>
      <c r="AO255" s="653"/>
      <c r="AP255" s="653"/>
      <c r="AQ255" s="653"/>
      <c r="AR255" s="653"/>
      <c r="AS255" s="653"/>
      <c r="AT255" s="653"/>
      <c r="AU255" s="653"/>
      <c r="AV255" s="653"/>
      <c r="AW255" s="653"/>
      <c r="AX255" s="653"/>
      <c r="AY255" s="653"/>
      <c r="AZ255" s="653"/>
      <c r="BA255" s="653"/>
      <c r="BB255" s="653"/>
      <c r="BC255" s="653"/>
      <c r="BD255" s="653"/>
      <c r="BE255" s="653"/>
      <c r="BF255" s="653"/>
      <c r="BG255" s="653"/>
      <c r="BH255" s="653"/>
      <c r="BI255" s="653"/>
      <c r="BJ255" s="653"/>
      <c r="BK255" s="653"/>
      <c r="BL255" s="653"/>
      <c r="BM255" s="653"/>
      <c r="BN255" s="653"/>
      <c r="BO255" s="653"/>
      <c r="BP255" s="653"/>
      <c r="BQ255" s="653"/>
      <c r="BR255" s="653"/>
      <c r="BS255" s="653"/>
      <c r="BT255" s="653"/>
      <c r="BU255" s="653"/>
      <c r="BV255" s="654"/>
    </row>
    <row r="256" spans="2:74" x14ac:dyDescent="0.25">
      <c r="B256" s="651"/>
      <c r="C256" s="653"/>
      <c r="D256" s="653"/>
      <c r="E256" s="653"/>
      <c r="F256" s="653"/>
      <c r="G256" s="653"/>
      <c r="H256" s="653"/>
      <c r="I256" s="653"/>
      <c r="J256" s="653"/>
      <c r="K256" s="653"/>
      <c r="L256" s="653"/>
      <c r="M256" s="651"/>
      <c r="N256" s="909"/>
      <c r="O256" s="909"/>
      <c r="P256" s="909"/>
      <c r="Q256" s="910"/>
      <c r="R256" s="909"/>
      <c r="S256" s="909"/>
      <c r="T256" s="909"/>
      <c r="U256" s="909"/>
      <c r="V256" s="909"/>
      <c r="W256" s="909"/>
      <c r="X256" s="909"/>
      <c r="Y256" s="909"/>
      <c r="Z256" s="910"/>
      <c r="AA256" s="909"/>
      <c r="AB256" s="910"/>
      <c r="AC256" s="911"/>
      <c r="AD256" s="911"/>
      <c r="AE256" s="909"/>
      <c r="AF256" s="909"/>
      <c r="AG256" s="909"/>
      <c r="AH256" s="917"/>
      <c r="AI256" s="909"/>
      <c r="AJ256" s="916"/>
      <c r="AK256" s="916"/>
      <c r="AL256" s="653"/>
      <c r="AM256" s="918"/>
      <c r="AN256" s="915"/>
      <c r="AO256" s="653"/>
      <c r="AP256" s="653"/>
      <c r="AQ256" s="653"/>
      <c r="AR256" s="653"/>
      <c r="AS256" s="653"/>
      <c r="AT256" s="653"/>
      <c r="AU256" s="653"/>
      <c r="AV256" s="653"/>
      <c r="AW256" s="653"/>
      <c r="AX256" s="653"/>
      <c r="AY256" s="653"/>
      <c r="AZ256" s="653"/>
      <c r="BA256" s="653"/>
      <c r="BB256" s="653"/>
      <c r="BC256" s="653"/>
      <c r="BD256" s="653"/>
      <c r="BE256" s="653"/>
      <c r="BF256" s="653"/>
      <c r="BG256" s="653"/>
      <c r="BH256" s="653"/>
      <c r="BI256" s="653"/>
      <c r="BJ256" s="653"/>
      <c r="BK256" s="653"/>
      <c r="BL256" s="653"/>
      <c r="BM256" s="653"/>
      <c r="BN256" s="653"/>
      <c r="BO256" s="653"/>
      <c r="BP256" s="653"/>
      <c r="BQ256" s="653"/>
      <c r="BR256" s="653"/>
      <c r="BS256" s="653"/>
      <c r="BT256" s="653"/>
      <c r="BU256" s="653"/>
      <c r="BV256" s="654"/>
    </row>
    <row r="257" spans="2:74" x14ac:dyDescent="0.25">
      <c r="B257" s="651"/>
      <c r="C257" s="653"/>
      <c r="D257" s="653"/>
      <c r="E257" s="653"/>
      <c r="F257" s="653"/>
      <c r="G257" s="653"/>
      <c r="H257" s="653"/>
      <c r="I257" s="653"/>
      <c r="J257" s="653"/>
      <c r="K257" s="653"/>
      <c r="L257" s="653"/>
      <c r="M257" s="651"/>
      <c r="N257" s="909"/>
      <c r="O257" s="909"/>
      <c r="P257" s="909"/>
      <c r="Q257" s="910"/>
      <c r="R257" s="909"/>
      <c r="S257" s="909"/>
      <c r="T257" s="909"/>
      <c r="U257" s="909"/>
      <c r="V257" s="909"/>
      <c r="W257" s="909"/>
      <c r="X257" s="909"/>
      <c r="Y257" s="909"/>
      <c r="Z257" s="910"/>
      <c r="AA257" s="909"/>
      <c r="AB257" s="910"/>
      <c r="AC257" s="911"/>
      <c r="AD257" s="911"/>
      <c r="AE257" s="909"/>
      <c r="AF257" s="909"/>
      <c r="AG257" s="909"/>
      <c r="AH257" s="917"/>
      <c r="AI257" s="909"/>
      <c r="AJ257" s="916"/>
      <c r="AK257" s="916"/>
      <c r="AL257" s="653"/>
      <c r="AM257" s="918"/>
      <c r="AN257" s="915"/>
      <c r="AO257" s="653"/>
      <c r="AP257" s="653"/>
      <c r="AQ257" s="653"/>
      <c r="AR257" s="653"/>
      <c r="AS257" s="653"/>
      <c r="AT257" s="653"/>
      <c r="AU257" s="653"/>
      <c r="AV257" s="653"/>
      <c r="AW257" s="653"/>
      <c r="AX257" s="653"/>
      <c r="AY257" s="653"/>
      <c r="AZ257" s="653"/>
      <c r="BA257" s="653"/>
      <c r="BB257" s="653"/>
      <c r="BC257" s="653"/>
      <c r="BD257" s="653"/>
      <c r="BE257" s="653"/>
      <c r="BF257" s="653"/>
      <c r="BG257" s="653"/>
      <c r="BH257" s="653"/>
      <c r="BI257" s="653"/>
      <c r="BJ257" s="653"/>
      <c r="BK257" s="653"/>
      <c r="BL257" s="653"/>
      <c r="BM257" s="653"/>
      <c r="BN257" s="653"/>
      <c r="BO257" s="653"/>
      <c r="BP257" s="653"/>
      <c r="BQ257" s="653"/>
      <c r="BR257" s="653"/>
      <c r="BS257" s="653"/>
      <c r="BT257" s="653"/>
      <c r="BU257" s="653"/>
      <c r="BV257" s="654"/>
    </row>
    <row r="258" spans="2:74" x14ac:dyDescent="0.25">
      <c r="B258" s="651"/>
      <c r="C258" s="653"/>
      <c r="D258" s="653"/>
      <c r="E258" s="653"/>
      <c r="F258" s="653"/>
      <c r="G258" s="653"/>
      <c r="H258" s="653"/>
      <c r="I258" s="653"/>
      <c r="J258" s="653"/>
      <c r="K258" s="653"/>
      <c r="L258" s="653"/>
      <c r="M258" s="651"/>
      <c r="N258" s="909"/>
      <c r="O258" s="909"/>
      <c r="P258" s="909"/>
      <c r="Q258" s="910"/>
      <c r="R258" s="909"/>
      <c r="S258" s="909"/>
      <c r="T258" s="909"/>
      <c r="U258" s="909"/>
      <c r="V258" s="909"/>
      <c r="W258" s="909"/>
      <c r="X258" s="909"/>
      <c r="Y258" s="909"/>
      <c r="Z258" s="910"/>
      <c r="AA258" s="909"/>
      <c r="AB258" s="910"/>
      <c r="AC258" s="911"/>
      <c r="AD258" s="911"/>
      <c r="AE258" s="909"/>
      <c r="AF258" s="909"/>
      <c r="AG258" s="909"/>
      <c r="AH258" s="917"/>
      <c r="AI258" s="909"/>
      <c r="AJ258" s="916"/>
      <c r="AK258" s="916"/>
      <c r="AL258" s="653"/>
      <c r="AM258" s="918"/>
      <c r="AN258" s="915"/>
      <c r="AO258" s="653"/>
      <c r="AP258" s="653"/>
      <c r="AQ258" s="653"/>
      <c r="AR258" s="653"/>
      <c r="AS258" s="653"/>
      <c r="AT258" s="653"/>
      <c r="AU258" s="653"/>
      <c r="AV258" s="653"/>
      <c r="AW258" s="653"/>
      <c r="AX258" s="653"/>
      <c r="AY258" s="653"/>
      <c r="AZ258" s="653"/>
      <c r="BA258" s="653"/>
      <c r="BB258" s="653"/>
      <c r="BC258" s="653"/>
      <c r="BD258" s="653"/>
      <c r="BE258" s="653"/>
      <c r="BF258" s="653"/>
      <c r="BG258" s="653"/>
      <c r="BH258" s="653"/>
      <c r="BI258" s="653"/>
      <c r="BJ258" s="653"/>
      <c r="BK258" s="653"/>
      <c r="BL258" s="653"/>
      <c r="BM258" s="653"/>
      <c r="BN258" s="653"/>
      <c r="BO258" s="653"/>
      <c r="BP258" s="653"/>
      <c r="BQ258" s="653"/>
      <c r="BR258" s="653"/>
      <c r="BS258" s="653"/>
      <c r="BT258" s="653"/>
      <c r="BU258" s="653"/>
      <c r="BV258" s="654"/>
    </row>
    <row r="259" spans="2:74" x14ac:dyDescent="0.25">
      <c r="B259" s="651"/>
      <c r="C259" s="653"/>
      <c r="D259" s="653"/>
      <c r="E259" s="653"/>
      <c r="F259" s="653"/>
      <c r="G259" s="653"/>
      <c r="H259" s="653"/>
      <c r="I259" s="653"/>
      <c r="J259" s="653"/>
      <c r="K259" s="653"/>
      <c r="L259" s="653"/>
      <c r="M259" s="651"/>
      <c r="N259" s="909"/>
      <c r="O259" s="909"/>
      <c r="P259" s="909"/>
      <c r="Q259" s="910"/>
      <c r="R259" s="909"/>
      <c r="S259" s="909"/>
      <c r="T259" s="909"/>
      <c r="U259" s="909"/>
      <c r="V259" s="909"/>
      <c r="W259" s="909"/>
      <c r="X259" s="909"/>
      <c r="Y259" s="909"/>
      <c r="Z259" s="910"/>
      <c r="AA259" s="909"/>
      <c r="AB259" s="910"/>
      <c r="AC259" s="911"/>
      <c r="AD259" s="911"/>
      <c r="AE259" s="909"/>
      <c r="AF259" s="909"/>
      <c r="AG259" s="909"/>
      <c r="AH259" s="917"/>
      <c r="AI259" s="909"/>
      <c r="AJ259" s="916"/>
      <c r="AK259" s="916"/>
      <c r="AL259" s="653"/>
      <c r="AM259" s="918"/>
      <c r="AN259" s="915"/>
      <c r="AO259" s="653"/>
      <c r="AP259" s="653"/>
      <c r="AQ259" s="653"/>
      <c r="AR259" s="653"/>
      <c r="AS259" s="653"/>
      <c r="AT259" s="653"/>
      <c r="AU259" s="653"/>
      <c r="AV259" s="653"/>
      <c r="AW259" s="653"/>
      <c r="AX259" s="653"/>
      <c r="AY259" s="653"/>
      <c r="AZ259" s="653"/>
      <c r="BA259" s="653"/>
      <c r="BB259" s="653"/>
      <c r="BC259" s="653"/>
      <c r="BD259" s="653"/>
      <c r="BE259" s="653"/>
      <c r="BF259" s="653"/>
      <c r="BG259" s="653"/>
      <c r="BH259" s="653"/>
      <c r="BI259" s="653"/>
      <c r="BJ259" s="653"/>
      <c r="BK259" s="653"/>
      <c r="BL259" s="653"/>
      <c r="BM259" s="653"/>
      <c r="BN259" s="653"/>
      <c r="BO259" s="653"/>
      <c r="BP259" s="653"/>
      <c r="BQ259" s="653"/>
      <c r="BR259" s="653"/>
      <c r="BS259" s="653"/>
      <c r="BT259" s="653"/>
      <c r="BU259" s="653"/>
      <c r="BV259" s="654"/>
    </row>
    <row r="260" spans="2:74" x14ac:dyDescent="0.25">
      <c r="B260" s="651"/>
      <c r="C260" s="653"/>
      <c r="D260" s="653"/>
      <c r="E260" s="653"/>
      <c r="F260" s="653"/>
      <c r="G260" s="653"/>
      <c r="H260" s="653"/>
      <c r="I260" s="653"/>
      <c r="J260" s="653"/>
      <c r="K260" s="653"/>
      <c r="L260" s="653"/>
      <c r="M260" s="651"/>
      <c r="N260" s="909"/>
      <c r="O260" s="909"/>
      <c r="P260" s="909"/>
      <c r="Q260" s="910"/>
      <c r="R260" s="909"/>
      <c r="S260" s="909"/>
      <c r="T260" s="909"/>
      <c r="U260" s="909"/>
      <c r="V260" s="909"/>
      <c r="W260" s="909"/>
      <c r="X260" s="909"/>
      <c r="Y260" s="909"/>
      <c r="Z260" s="910"/>
      <c r="AA260" s="909"/>
      <c r="AB260" s="910"/>
      <c r="AC260" s="911"/>
      <c r="AD260" s="911"/>
      <c r="AE260" s="909"/>
      <c r="AF260" s="909"/>
      <c r="AG260" s="909"/>
      <c r="AH260" s="917"/>
      <c r="AI260" s="909"/>
      <c r="AJ260" s="916"/>
      <c r="AK260" s="916"/>
      <c r="AL260" s="653"/>
      <c r="AM260" s="918"/>
      <c r="AN260" s="915"/>
      <c r="AO260" s="653"/>
      <c r="AP260" s="653"/>
      <c r="AQ260" s="653"/>
      <c r="AR260" s="653"/>
      <c r="AS260" s="653"/>
      <c r="AT260" s="653"/>
      <c r="AU260" s="653"/>
      <c r="AV260" s="653"/>
      <c r="AW260" s="653"/>
      <c r="AX260" s="653"/>
      <c r="AY260" s="653"/>
      <c r="AZ260" s="653"/>
      <c r="BA260" s="653"/>
      <c r="BB260" s="653"/>
      <c r="BC260" s="653"/>
      <c r="BD260" s="653"/>
      <c r="BE260" s="653"/>
      <c r="BF260" s="653"/>
      <c r="BG260" s="653"/>
      <c r="BH260" s="653"/>
      <c r="BI260" s="653"/>
      <c r="BJ260" s="653"/>
      <c r="BK260" s="653"/>
      <c r="BL260" s="653"/>
      <c r="BM260" s="653"/>
      <c r="BN260" s="653"/>
      <c r="BO260" s="653"/>
      <c r="BP260" s="653"/>
      <c r="BQ260" s="653"/>
      <c r="BR260" s="653"/>
      <c r="BS260" s="653"/>
      <c r="BT260" s="653"/>
      <c r="BU260" s="653"/>
      <c r="BV260" s="654"/>
    </row>
    <row r="261" spans="2:74" x14ac:dyDescent="0.25">
      <c r="B261" s="651"/>
      <c r="C261" s="653"/>
      <c r="D261" s="653"/>
      <c r="E261" s="653"/>
      <c r="F261" s="653"/>
      <c r="G261" s="653"/>
      <c r="H261" s="653"/>
      <c r="I261" s="653"/>
      <c r="J261" s="653"/>
      <c r="K261" s="653"/>
      <c r="L261" s="653"/>
      <c r="M261" s="651"/>
      <c r="N261" s="909"/>
      <c r="O261" s="909"/>
      <c r="P261" s="909"/>
      <c r="Q261" s="910"/>
      <c r="R261" s="909"/>
      <c r="S261" s="909"/>
      <c r="T261" s="909"/>
      <c r="U261" s="909"/>
      <c r="V261" s="909"/>
      <c r="W261" s="909"/>
      <c r="X261" s="909"/>
      <c r="Y261" s="909"/>
      <c r="Z261" s="910"/>
      <c r="AA261" s="909"/>
      <c r="AB261" s="910"/>
      <c r="AC261" s="911"/>
      <c r="AD261" s="911"/>
      <c r="AE261" s="909"/>
      <c r="AF261" s="909"/>
      <c r="AG261" s="909"/>
      <c r="AH261" s="917"/>
      <c r="AI261" s="909"/>
      <c r="AJ261" s="916"/>
      <c r="AK261" s="916"/>
      <c r="AL261" s="653"/>
      <c r="AM261" s="918"/>
      <c r="AN261" s="915"/>
      <c r="AO261" s="653"/>
      <c r="AP261" s="653"/>
      <c r="AQ261" s="653"/>
      <c r="AR261" s="653"/>
      <c r="AS261" s="653"/>
      <c r="AT261" s="653"/>
      <c r="AU261" s="653"/>
      <c r="AV261" s="653"/>
      <c r="AW261" s="653"/>
      <c r="AX261" s="653"/>
      <c r="AY261" s="653"/>
      <c r="AZ261" s="653"/>
      <c r="BA261" s="653"/>
      <c r="BB261" s="653"/>
      <c r="BC261" s="653"/>
      <c r="BD261" s="653"/>
      <c r="BE261" s="653"/>
      <c r="BF261" s="653"/>
      <c r="BG261" s="653"/>
      <c r="BH261" s="653"/>
      <c r="BI261" s="653"/>
      <c r="BJ261" s="653"/>
      <c r="BK261" s="653"/>
      <c r="BL261" s="653"/>
      <c r="BM261" s="653"/>
      <c r="BN261" s="653"/>
      <c r="BO261" s="653"/>
      <c r="BP261" s="653"/>
      <c r="BQ261" s="653"/>
      <c r="BR261" s="653"/>
      <c r="BS261" s="653"/>
      <c r="BT261" s="653"/>
      <c r="BU261" s="653"/>
      <c r="BV261" s="654"/>
    </row>
    <row r="262" spans="2:74" x14ac:dyDescent="0.25">
      <c r="B262" s="651"/>
      <c r="C262" s="653"/>
      <c r="D262" s="653"/>
      <c r="E262" s="653"/>
      <c r="F262" s="653"/>
      <c r="G262" s="653"/>
      <c r="H262" s="653"/>
      <c r="I262" s="653"/>
      <c r="J262" s="653"/>
      <c r="K262" s="653"/>
      <c r="L262" s="653"/>
      <c r="M262" s="651"/>
      <c r="N262" s="909"/>
      <c r="O262" s="909"/>
      <c r="P262" s="909"/>
      <c r="Q262" s="910"/>
      <c r="R262" s="909"/>
      <c r="S262" s="909"/>
      <c r="T262" s="909"/>
      <c r="U262" s="909"/>
      <c r="V262" s="909"/>
      <c r="W262" s="909"/>
      <c r="X262" s="909"/>
      <c r="Y262" s="909"/>
      <c r="Z262" s="910"/>
      <c r="AA262" s="909"/>
      <c r="AB262" s="910"/>
      <c r="AC262" s="911"/>
      <c r="AD262" s="911"/>
      <c r="AE262" s="909"/>
      <c r="AF262" s="909"/>
      <c r="AG262" s="909"/>
      <c r="AH262" s="917"/>
      <c r="AI262" s="909"/>
      <c r="AJ262" s="916"/>
      <c r="AK262" s="916"/>
      <c r="AL262" s="653"/>
      <c r="AM262" s="918"/>
      <c r="AN262" s="915"/>
      <c r="AO262" s="653"/>
      <c r="AP262" s="653"/>
      <c r="AQ262" s="653"/>
      <c r="AR262" s="653"/>
      <c r="AS262" s="653"/>
      <c r="AT262" s="653"/>
      <c r="AU262" s="653"/>
      <c r="AV262" s="653"/>
      <c r="AW262" s="653"/>
      <c r="AX262" s="653"/>
      <c r="AY262" s="653"/>
      <c r="AZ262" s="653"/>
      <c r="BA262" s="653"/>
      <c r="BB262" s="653"/>
      <c r="BC262" s="653"/>
      <c r="BD262" s="653"/>
      <c r="BE262" s="653"/>
      <c r="BF262" s="653"/>
      <c r="BG262" s="653"/>
      <c r="BH262" s="653"/>
      <c r="BI262" s="653"/>
      <c r="BJ262" s="653"/>
      <c r="BK262" s="653"/>
      <c r="BL262" s="653"/>
      <c r="BM262" s="653"/>
      <c r="BN262" s="653"/>
      <c r="BO262" s="653"/>
      <c r="BP262" s="653"/>
      <c r="BQ262" s="653"/>
      <c r="BR262" s="653"/>
      <c r="BS262" s="653"/>
      <c r="BT262" s="653"/>
      <c r="BU262" s="653"/>
      <c r="BV262" s="654"/>
    </row>
    <row r="263" spans="2:74" x14ac:dyDescent="0.25">
      <c r="B263" s="651"/>
      <c r="C263" s="653"/>
      <c r="D263" s="653"/>
      <c r="E263" s="653"/>
      <c r="F263" s="653"/>
      <c r="G263" s="653"/>
      <c r="H263" s="653"/>
      <c r="I263" s="653"/>
      <c r="J263" s="653"/>
      <c r="K263" s="653"/>
      <c r="L263" s="653"/>
      <c r="M263" s="651"/>
      <c r="N263" s="909"/>
      <c r="O263" s="909"/>
      <c r="P263" s="909"/>
      <c r="Q263" s="910"/>
      <c r="R263" s="909"/>
      <c r="S263" s="909"/>
      <c r="T263" s="909"/>
      <c r="U263" s="909"/>
      <c r="V263" s="909"/>
      <c r="W263" s="909"/>
      <c r="X263" s="909"/>
      <c r="Y263" s="909"/>
      <c r="Z263" s="910"/>
      <c r="AA263" s="909"/>
      <c r="AB263" s="910"/>
      <c r="AC263" s="911"/>
      <c r="AD263" s="911"/>
      <c r="AE263" s="909"/>
      <c r="AF263" s="909"/>
      <c r="AG263" s="909"/>
      <c r="AH263" s="917"/>
      <c r="AI263" s="909"/>
      <c r="AJ263" s="916"/>
      <c r="AK263" s="916"/>
      <c r="AL263" s="653"/>
      <c r="AM263" s="918"/>
      <c r="AN263" s="915"/>
      <c r="AO263" s="653"/>
      <c r="AP263" s="653"/>
      <c r="AQ263" s="653"/>
      <c r="AR263" s="653"/>
      <c r="AS263" s="653"/>
      <c r="AT263" s="653"/>
      <c r="AU263" s="653"/>
      <c r="AV263" s="653"/>
      <c r="AW263" s="653"/>
      <c r="AX263" s="653"/>
      <c r="AY263" s="653"/>
      <c r="AZ263" s="653"/>
      <c r="BA263" s="653"/>
      <c r="BB263" s="653"/>
      <c r="BC263" s="653"/>
      <c r="BD263" s="653"/>
      <c r="BE263" s="653"/>
      <c r="BF263" s="653"/>
      <c r="BG263" s="653"/>
      <c r="BH263" s="653"/>
      <c r="BI263" s="653"/>
      <c r="BJ263" s="653"/>
      <c r="BK263" s="653"/>
      <c r="BL263" s="653"/>
      <c r="BM263" s="653"/>
      <c r="BN263" s="653"/>
      <c r="BO263" s="653"/>
      <c r="BP263" s="653"/>
      <c r="BQ263" s="653"/>
      <c r="BR263" s="653"/>
      <c r="BS263" s="653"/>
      <c r="BT263" s="653"/>
      <c r="BU263" s="653"/>
      <c r="BV263" s="654"/>
    </row>
    <row r="264" spans="2:74" x14ac:dyDescent="0.25">
      <c r="B264" s="651"/>
      <c r="C264" s="653"/>
      <c r="D264" s="653"/>
      <c r="E264" s="653"/>
      <c r="F264" s="653"/>
      <c r="G264" s="653"/>
      <c r="H264" s="653"/>
      <c r="I264" s="653"/>
      <c r="J264" s="653"/>
      <c r="K264" s="653"/>
      <c r="L264" s="653"/>
      <c r="M264" s="651"/>
      <c r="N264" s="909"/>
      <c r="O264" s="909"/>
      <c r="P264" s="909"/>
      <c r="Q264" s="910"/>
      <c r="R264" s="909"/>
      <c r="S264" s="909"/>
      <c r="T264" s="909"/>
      <c r="U264" s="909"/>
      <c r="V264" s="909"/>
      <c r="W264" s="909"/>
      <c r="X264" s="909"/>
      <c r="Y264" s="909"/>
      <c r="Z264" s="910"/>
      <c r="AA264" s="909"/>
      <c r="AB264" s="910"/>
      <c r="AC264" s="911"/>
      <c r="AD264" s="911"/>
      <c r="AE264" s="909"/>
      <c r="AF264" s="909"/>
      <c r="AG264" s="909"/>
      <c r="AH264" s="917"/>
      <c r="AI264" s="909"/>
      <c r="AJ264" s="916"/>
      <c r="AK264" s="916"/>
      <c r="AL264" s="653"/>
      <c r="AM264" s="918"/>
      <c r="AN264" s="915"/>
      <c r="AO264" s="653"/>
      <c r="AP264" s="653"/>
      <c r="AQ264" s="653"/>
      <c r="AR264" s="653"/>
      <c r="AS264" s="653"/>
      <c r="AT264" s="653"/>
      <c r="AU264" s="653"/>
      <c r="AV264" s="653"/>
      <c r="AW264" s="653"/>
      <c r="AX264" s="653"/>
      <c r="AY264" s="653"/>
      <c r="AZ264" s="653"/>
      <c r="BA264" s="653"/>
      <c r="BB264" s="653"/>
      <c r="BC264" s="653"/>
      <c r="BD264" s="653"/>
      <c r="BE264" s="653"/>
      <c r="BF264" s="653"/>
      <c r="BG264" s="653"/>
      <c r="BH264" s="653"/>
      <c r="BI264" s="653"/>
      <c r="BJ264" s="653"/>
      <c r="BK264" s="653"/>
      <c r="BL264" s="653"/>
      <c r="BM264" s="653"/>
      <c r="BN264" s="653"/>
      <c r="BO264" s="653"/>
      <c r="BP264" s="653"/>
      <c r="BQ264" s="653"/>
      <c r="BR264" s="653"/>
      <c r="BS264" s="653"/>
      <c r="BT264" s="653"/>
      <c r="BU264" s="653"/>
      <c r="BV264" s="654"/>
    </row>
    <row r="265" spans="2:74" x14ac:dyDescent="0.25">
      <c r="B265" s="651"/>
      <c r="C265" s="653"/>
      <c r="D265" s="653"/>
      <c r="E265" s="653"/>
      <c r="F265" s="653"/>
      <c r="G265" s="653"/>
      <c r="H265" s="653"/>
      <c r="I265" s="653"/>
      <c r="J265" s="653"/>
      <c r="K265" s="653"/>
      <c r="L265" s="653"/>
      <c r="M265" s="651"/>
      <c r="N265" s="909"/>
      <c r="O265" s="909"/>
      <c r="P265" s="909"/>
      <c r="Q265" s="910"/>
      <c r="R265" s="909"/>
      <c r="S265" s="909"/>
      <c r="T265" s="909"/>
      <c r="U265" s="909"/>
      <c r="V265" s="909"/>
      <c r="W265" s="909"/>
      <c r="X265" s="909"/>
      <c r="Y265" s="909"/>
      <c r="Z265" s="910"/>
      <c r="AA265" s="909"/>
      <c r="AB265" s="910"/>
      <c r="AC265" s="911"/>
      <c r="AD265" s="911"/>
      <c r="AE265" s="909"/>
      <c r="AF265" s="909"/>
      <c r="AG265" s="909"/>
      <c r="AH265" s="917"/>
      <c r="AI265" s="909"/>
      <c r="AJ265" s="916"/>
      <c r="AK265" s="916"/>
      <c r="AL265" s="653"/>
      <c r="AM265" s="918"/>
      <c r="AN265" s="915"/>
      <c r="AO265" s="653"/>
      <c r="AP265" s="653"/>
      <c r="AQ265" s="653"/>
      <c r="AR265" s="653"/>
      <c r="AS265" s="653"/>
      <c r="AT265" s="653"/>
      <c r="AU265" s="653"/>
      <c r="AV265" s="653"/>
      <c r="AW265" s="653"/>
      <c r="AX265" s="653"/>
      <c r="AY265" s="653"/>
      <c r="AZ265" s="653"/>
      <c r="BA265" s="653"/>
      <c r="BB265" s="653"/>
      <c r="BC265" s="653"/>
      <c r="BD265" s="653"/>
      <c r="BE265" s="653"/>
      <c r="BF265" s="653"/>
      <c r="BG265" s="653"/>
      <c r="BH265" s="653"/>
      <c r="BI265" s="653"/>
      <c r="BJ265" s="653"/>
      <c r="BK265" s="653"/>
      <c r="BL265" s="653"/>
      <c r="BM265" s="653"/>
      <c r="BN265" s="653"/>
      <c r="BO265" s="653"/>
      <c r="BP265" s="653"/>
      <c r="BQ265" s="653"/>
      <c r="BR265" s="653"/>
      <c r="BS265" s="653"/>
      <c r="BT265" s="653"/>
      <c r="BU265" s="653"/>
      <c r="BV265" s="654"/>
    </row>
    <row r="266" spans="2:74" x14ac:dyDescent="0.25">
      <c r="B266" s="651"/>
      <c r="C266" s="653"/>
      <c r="D266" s="653"/>
      <c r="E266" s="653"/>
      <c r="F266" s="653"/>
      <c r="G266" s="653"/>
      <c r="H266" s="653"/>
      <c r="I266" s="653"/>
      <c r="J266" s="653"/>
      <c r="K266" s="653"/>
      <c r="L266" s="653"/>
      <c r="M266" s="651"/>
      <c r="N266" s="909"/>
      <c r="O266" s="909"/>
      <c r="P266" s="909"/>
      <c r="Q266" s="910"/>
      <c r="R266" s="909"/>
      <c r="S266" s="909"/>
      <c r="T266" s="909"/>
      <c r="U266" s="909"/>
      <c r="V266" s="909"/>
      <c r="W266" s="909"/>
      <c r="X266" s="909"/>
      <c r="Y266" s="909"/>
      <c r="Z266" s="910"/>
      <c r="AA266" s="909"/>
      <c r="AB266" s="910"/>
      <c r="AC266" s="911"/>
      <c r="AD266" s="911"/>
      <c r="AE266" s="909"/>
      <c r="AF266" s="909"/>
      <c r="AG266" s="909"/>
      <c r="AH266" s="917"/>
      <c r="AI266" s="909"/>
      <c r="AJ266" s="916"/>
      <c r="AK266" s="916"/>
      <c r="AL266" s="653"/>
      <c r="AM266" s="918"/>
      <c r="AN266" s="915"/>
      <c r="AO266" s="653"/>
      <c r="AP266" s="653"/>
      <c r="AQ266" s="653"/>
      <c r="AR266" s="653"/>
      <c r="AS266" s="653"/>
      <c r="AT266" s="653"/>
      <c r="AU266" s="653"/>
      <c r="AV266" s="653"/>
      <c r="AW266" s="653"/>
      <c r="AX266" s="653"/>
      <c r="AY266" s="653"/>
      <c r="AZ266" s="653"/>
      <c r="BA266" s="653"/>
      <c r="BB266" s="653"/>
      <c r="BC266" s="653"/>
      <c r="BD266" s="653"/>
      <c r="BE266" s="653"/>
      <c r="BF266" s="653"/>
      <c r="BG266" s="653"/>
      <c r="BH266" s="653"/>
      <c r="BI266" s="653"/>
      <c r="BJ266" s="653"/>
      <c r="BK266" s="653"/>
      <c r="BL266" s="653"/>
      <c r="BM266" s="653"/>
      <c r="BN266" s="653"/>
      <c r="BO266" s="653"/>
      <c r="BP266" s="653"/>
      <c r="BQ266" s="653"/>
      <c r="BR266" s="653"/>
      <c r="BS266" s="653"/>
      <c r="BT266" s="653"/>
      <c r="BU266" s="653"/>
      <c r="BV266" s="654"/>
    </row>
    <row r="267" spans="2:74" x14ac:dyDescent="0.25">
      <c r="B267" s="651"/>
      <c r="C267" s="653"/>
      <c r="D267" s="653"/>
      <c r="E267" s="653"/>
      <c r="F267" s="653"/>
      <c r="G267" s="653"/>
      <c r="H267" s="653"/>
      <c r="I267" s="653"/>
      <c r="J267" s="653"/>
      <c r="K267" s="653"/>
      <c r="L267" s="653"/>
      <c r="M267" s="651"/>
      <c r="N267" s="909"/>
      <c r="O267" s="909"/>
      <c r="P267" s="909"/>
      <c r="Q267" s="910"/>
      <c r="R267" s="909"/>
      <c r="S267" s="909"/>
      <c r="T267" s="909"/>
      <c r="U267" s="909"/>
      <c r="V267" s="909"/>
      <c r="W267" s="909"/>
      <c r="X267" s="909"/>
      <c r="Y267" s="909"/>
      <c r="Z267" s="910"/>
      <c r="AA267" s="909"/>
      <c r="AB267" s="910"/>
      <c r="AC267" s="911"/>
      <c r="AD267" s="911"/>
      <c r="AE267" s="909"/>
      <c r="AF267" s="909"/>
      <c r="AG267" s="909"/>
      <c r="AH267" s="917"/>
      <c r="AI267" s="909"/>
      <c r="AJ267" s="916"/>
      <c r="AK267" s="916"/>
      <c r="AL267" s="653"/>
      <c r="AM267" s="918"/>
      <c r="AN267" s="915"/>
      <c r="AO267" s="653"/>
      <c r="AP267" s="653"/>
      <c r="AQ267" s="653"/>
      <c r="AR267" s="653"/>
      <c r="AS267" s="653"/>
      <c r="AT267" s="653"/>
      <c r="AU267" s="653"/>
      <c r="AV267" s="653"/>
      <c r="AW267" s="653"/>
      <c r="AX267" s="653"/>
      <c r="AY267" s="653"/>
      <c r="AZ267" s="653"/>
      <c r="BA267" s="653"/>
      <c r="BB267" s="653"/>
      <c r="BC267" s="653"/>
      <c r="BD267" s="653"/>
      <c r="BE267" s="653"/>
      <c r="BF267" s="653"/>
      <c r="BG267" s="653"/>
      <c r="BH267" s="653"/>
      <c r="BI267" s="653"/>
      <c r="BJ267" s="653"/>
      <c r="BK267" s="653"/>
      <c r="BL267" s="653"/>
      <c r="BM267" s="653"/>
      <c r="BN267" s="653"/>
      <c r="BO267" s="653"/>
      <c r="BP267" s="653"/>
      <c r="BQ267" s="653"/>
      <c r="BR267" s="653"/>
      <c r="BS267" s="653"/>
      <c r="BT267" s="653"/>
      <c r="BU267" s="653"/>
      <c r="BV267" s="654"/>
    </row>
    <row r="268" spans="2:74" x14ac:dyDescent="0.25">
      <c r="B268" s="651"/>
      <c r="C268" s="653"/>
      <c r="D268" s="653"/>
      <c r="E268" s="653"/>
      <c r="F268" s="653"/>
      <c r="G268" s="653"/>
      <c r="H268" s="653"/>
      <c r="I268" s="653"/>
      <c r="J268" s="653"/>
      <c r="K268" s="653"/>
      <c r="L268" s="653"/>
      <c r="M268" s="651"/>
      <c r="N268" s="909"/>
      <c r="O268" s="909"/>
      <c r="P268" s="909"/>
      <c r="Q268" s="910"/>
      <c r="R268" s="909"/>
      <c r="S268" s="909"/>
      <c r="T268" s="909"/>
      <c r="U268" s="909"/>
      <c r="V268" s="909"/>
      <c r="W268" s="909"/>
      <c r="X268" s="909"/>
      <c r="Y268" s="909"/>
      <c r="Z268" s="910"/>
      <c r="AA268" s="909"/>
      <c r="AB268" s="910"/>
      <c r="AC268" s="911"/>
      <c r="AD268" s="911"/>
      <c r="AE268" s="909"/>
      <c r="AF268" s="909"/>
      <c r="AG268" s="909"/>
      <c r="AH268" s="917"/>
      <c r="AI268" s="909"/>
      <c r="AJ268" s="916"/>
      <c r="AK268" s="916"/>
      <c r="AL268" s="653"/>
      <c r="AM268" s="918"/>
      <c r="AN268" s="915"/>
      <c r="AO268" s="653"/>
      <c r="AP268" s="653"/>
      <c r="AQ268" s="653"/>
      <c r="AR268" s="653"/>
      <c r="AS268" s="653"/>
      <c r="AT268" s="653"/>
      <c r="AU268" s="653"/>
      <c r="AV268" s="653"/>
      <c r="AW268" s="653"/>
      <c r="AX268" s="653"/>
      <c r="AY268" s="653"/>
      <c r="AZ268" s="653"/>
      <c r="BA268" s="653"/>
      <c r="BB268" s="653"/>
      <c r="BC268" s="653"/>
      <c r="BD268" s="653"/>
      <c r="BE268" s="653"/>
      <c r="BF268" s="653"/>
      <c r="BG268" s="653"/>
      <c r="BH268" s="653"/>
      <c r="BI268" s="653"/>
      <c r="BJ268" s="653"/>
      <c r="BK268" s="653"/>
      <c r="BL268" s="653"/>
      <c r="BM268" s="653"/>
      <c r="BN268" s="653"/>
      <c r="BO268" s="653"/>
      <c r="BP268" s="653"/>
      <c r="BQ268" s="653"/>
      <c r="BR268" s="653"/>
      <c r="BS268" s="653"/>
      <c r="BT268" s="653"/>
      <c r="BU268" s="653"/>
      <c r="BV268" s="654"/>
    </row>
    <row r="269" spans="2:74" x14ac:dyDescent="0.25">
      <c r="B269" s="651"/>
      <c r="C269" s="653"/>
      <c r="D269" s="653"/>
      <c r="E269" s="653"/>
      <c r="F269" s="653"/>
      <c r="G269" s="653"/>
      <c r="H269" s="653"/>
      <c r="I269" s="653"/>
      <c r="J269" s="653"/>
      <c r="K269" s="653"/>
      <c r="L269" s="653"/>
      <c r="M269" s="651"/>
      <c r="N269" s="909"/>
      <c r="O269" s="909"/>
      <c r="P269" s="909"/>
      <c r="Q269" s="910"/>
      <c r="R269" s="909"/>
      <c r="S269" s="909"/>
      <c r="T269" s="909"/>
      <c r="U269" s="909"/>
      <c r="V269" s="909"/>
      <c r="W269" s="909"/>
      <c r="X269" s="909"/>
      <c r="Y269" s="909"/>
      <c r="Z269" s="910"/>
      <c r="AA269" s="909"/>
      <c r="AB269" s="910"/>
      <c r="AC269" s="911"/>
      <c r="AD269" s="911"/>
      <c r="AE269" s="909"/>
      <c r="AF269" s="909"/>
      <c r="AG269" s="909"/>
      <c r="AH269" s="917"/>
      <c r="AI269" s="909"/>
      <c r="AJ269" s="916"/>
      <c r="AK269" s="916"/>
      <c r="AL269" s="653"/>
      <c r="AM269" s="918"/>
      <c r="AN269" s="915"/>
      <c r="AO269" s="653"/>
      <c r="AP269" s="653"/>
      <c r="AQ269" s="653"/>
      <c r="AR269" s="653"/>
      <c r="AS269" s="653"/>
      <c r="AT269" s="653"/>
      <c r="AU269" s="653"/>
      <c r="AV269" s="653"/>
      <c r="AW269" s="653"/>
      <c r="AX269" s="653"/>
      <c r="AY269" s="653"/>
      <c r="AZ269" s="653"/>
      <c r="BA269" s="653"/>
      <c r="BB269" s="653"/>
      <c r="BC269" s="653"/>
      <c r="BD269" s="653"/>
      <c r="BE269" s="653"/>
      <c r="BF269" s="653"/>
      <c r="BG269" s="653"/>
      <c r="BH269" s="653"/>
      <c r="BI269" s="653"/>
      <c r="BJ269" s="653"/>
      <c r="BK269" s="653"/>
      <c r="BL269" s="653"/>
      <c r="BM269" s="653"/>
      <c r="BN269" s="653"/>
      <c r="BO269" s="653"/>
      <c r="BP269" s="653"/>
      <c r="BQ269" s="653"/>
      <c r="BR269" s="653"/>
      <c r="BS269" s="653"/>
      <c r="BT269" s="653"/>
      <c r="BU269" s="653"/>
      <c r="BV269" s="654"/>
    </row>
    <row r="270" spans="2:74" x14ac:dyDescent="0.25">
      <c r="B270" s="651"/>
      <c r="C270" s="653"/>
      <c r="D270" s="653"/>
      <c r="E270" s="653"/>
      <c r="F270" s="653"/>
      <c r="G270" s="653"/>
      <c r="H270" s="653"/>
      <c r="I270" s="653"/>
      <c r="J270" s="653"/>
      <c r="K270" s="653"/>
      <c r="L270" s="653"/>
      <c r="M270" s="651"/>
      <c r="N270" s="909"/>
      <c r="O270" s="909"/>
      <c r="P270" s="909"/>
      <c r="Q270" s="910"/>
      <c r="R270" s="909"/>
      <c r="S270" s="909"/>
      <c r="T270" s="909"/>
      <c r="U270" s="909"/>
      <c r="V270" s="909"/>
      <c r="W270" s="909"/>
      <c r="X270" s="909"/>
      <c r="Y270" s="909"/>
      <c r="Z270" s="910"/>
      <c r="AA270" s="909"/>
      <c r="AB270" s="910"/>
      <c r="AC270" s="911"/>
      <c r="AD270" s="911"/>
      <c r="AE270" s="909"/>
      <c r="AF270" s="909"/>
      <c r="AG270" s="909"/>
      <c r="AH270" s="917"/>
      <c r="AI270" s="909"/>
      <c r="AJ270" s="916"/>
      <c r="AK270" s="916"/>
      <c r="AL270" s="653"/>
      <c r="AM270" s="918"/>
      <c r="AN270" s="915"/>
      <c r="AO270" s="653"/>
      <c r="AP270" s="653"/>
      <c r="AQ270" s="653"/>
      <c r="AR270" s="653"/>
      <c r="AS270" s="653"/>
      <c r="AT270" s="653"/>
      <c r="AU270" s="653"/>
      <c r="AV270" s="653"/>
      <c r="AW270" s="653"/>
      <c r="AX270" s="653"/>
      <c r="AY270" s="653"/>
      <c r="AZ270" s="653"/>
      <c r="BA270" s="653"/>
      <c r="BB270" s="653"/>
      <c r="BC270" s="653"/>
      <c r="BD270" s="653"/>
      <c r="BE270" s="653"/>
      <c r="BF270" s="653"/>
      <c r="BG270" s="653"/>
      <c r="BH270" s="653"/>
      <c r="BI270" s="653"/>
      <c r="BJ270" s="653"/>
      <c r="BK270" s="653"/>
      <c r="BL270" s="653"/>
      <c r="BM270" s="653"/>
      <c r="BN270" s="653"/>
      <c r="BO270" s="653"/>
      <c r="BP270" s="653"/>
      <c r="BQ270" s="653"/>
      <c r="BR270" s="653"/>
      <c r="BS270" s="653"/>
      <c r="BT270" s="653"/>
      <c r="BU270" s="653"/>
      <c r="BV270" s="654"/>
    </row>
    <row r="271" spans="2:74" x14ac:dyDescent="0.25">
      <c r="B271" s="651"/>
      <c r="C271" s="653"/>
      <c r="D271" s="653"/>
      <c r="E271" s="653"/>
      <c r="F271" s="653"/>
      <c r="G271" s="653"/>
      <c r="H271" s="653"/>
      <c r="I271" s="653"/>
      <c r="J271" s="653"/>
      <c r="K271" s="653"/>
      <c r="L271" s="653"/>
      <c r="M271" s="651"/>
      <c r="N271" s="909"/>
      <c r="O271" s="909"/>
      <c r="P271" s="909"/>
      <c r="Q271" s="910"/>
      <c r="R271" s="909"/>
      <c r="S271" s="909"/>
      <c r="T271" s="909"/>
      <c r="U271" s="909"/>
      <c r="V271" s="909"/>
      <c r="W271" s="909"/>
      <c r="X271" s="909"/>
      <c r="Y271" s="909"/>
      <c r="Z271" s="910"/>
      <c r="AA271" s="909"/>
      <c r="AB271" s="910"/>
      <c r="AC271" s="911"/>
      <c r="AD271" s="911"/>
      <c r="AE271" s="909"/>
      <c r="AF271" s="909"/>
      <c r="AG271" s="909"/>
      <c r="AH271" s="917"/>
      <c r="AI271" s="909"/>
      <c r="AJ271" s="916"/>
      <c r="AK271" s="916"/>
      <c r="AL271" s="653"/>
      <c r="AM271" s="918"/>
      <c r="AN271" s="915"/>
      <c r="AO271" s="653"/>
      <c r="AP271" s="653"/>
      <c r="AQ271" s="653"/>
      <c r="AR271" s="653"/>
      <c r="AS271" s="653"/>
      <c r="AT271" s="653"/>
      <c r="AU271" s="653"/>
      <c r="AV271" s="653"/>
      <c r="AW271" s="653"/>
      <c r="AX271" s="653"/>
      <c r="AY271" s="653"/>
      <c r="AZ271" s="653"/>
      <c r="BA271" s="653"/>
      <c r="BB271" s="653"/>
      <c r="BC271" s="653"/>
      <c r="BD271" s="653"/>
      <c r="BE271" s="653"/>
      <c r="BF271" s="653"/>
      <c r="BG271" s="653"/>
      <c r="BH271" s="653"/>
      <c r="BI271" s="653"/>
      <c r="BJ271" s="653"/>
      <c r="BK271" s="653"/>
      <c r="BL271" s="653"/>
      <c r="BM271" s="653"/>
      <c r="BN271" s="653"/>
      <c r="BO271" s="653"/>
      <c r="BP271" s="653"/>
      <c r="BQ271" s="653"/>
      <c r="BR271" s="653"/>
      <c r="BS271" s="653"/>
      <c r="BT271" s="653"/>
      <c r="BU271" s="653"/>
      <c r="BV271" s="654"/>
    </row>
    <row r="272" spans="2:74" x14ac:dyDescent="0.25">
      <c r="B272" s="651"/>
      <c r="C272" s="653"/>
      <c r="D272" s="653"/>
      <c r="E272" s="653"/>
      <c r="F272" s="653"/>
      <c r="G272" s="653"/>
      <c r="H272" s="653"/>
      <c r="I272" s="653"/>
      <c r="J272" s="653"/>
      <c r="K272" s="653"/>
      <c r="L272" s="653"/>
      <c r="M272" s="651"/>
      <c r="N272" s="909"/>
      <c r="O272" s="909"/>
      <c r="P272" s="909"/>
      <c r="Q272" s="910"/>
      <c r="R272" s="909"/>
      <c r="S272" s="909"/>
      <c r="T272" s="909"/>
      <c r="U272" s="909"/>
      <c r="V272" s="909"/>
      <c r="W272" s="909"/>
      <c r="X272" s="909"/>
      <c r="Y272" s="909"/>
      <c r="Z272" s="910"/>
      <c r="AA272" s="909"/>
      <c r="AB272" s="910"/>
      <c r="AC272" s="911"/>
      <c r="AD272" s="911"/>
      <c r="AE272" s="909"/>
      <c r="AF272" s="909"/>
      <c r="AG272" s="909"/>
      <c r="AH272" s="917"/>
      <c r="AI272" s="909"/>
      <c r="AJ272" s="916"/>
      <c r="AK272" s="916"/>
      <c r="AL272" s="653"/>
      <c r="AM272" s="918"/>
      <c r="AN272" s="915"/>
      <c r="AO272" s="653"/>
      <c r="AP272" s="653"/>
      <c r="AQ272" s="653"/>
      <c r="AR272" s="653"/>
      <c r="AS272" s="653"/>
      <c r="AT272" s="653"/>
      <c r="AU272" s="653"/>
      <c r="AV272" s="653"/>
      <c r="AW272" s="653"/>
      <c r="AX272" s="653"/>
      <c r="AY272" s="653"/>
      <c r="AZ272" s="653"/>
      <c r="BA272" s="653"/>
      <c r="BB272" s="653"/>
      <c r="BC272" s="653"/>
      <c r="BD272" s="653"/>
      <c r="BE272" s="653"/>
      <c r="BF272" s="653"/>
      <c r="BG272" s="653"/>
      <c r="BH272" s="653"/>
      <c r="BI272" s="653"/>
      <c r="BJ272" s="653"/>
      <c r="BK272" s="653"/>
      <c r="BL272" s="653"/>
      <c r="BM272" s="653"/>
      <c r="BN272" s="653"/>
      <c r="BO272" s="653"/>
      <c r="BP272" s="653"/>
      <c r="BQ272" s="653"/>
      <c r="BR272" s="653"/>
      <c r="BS272" s="653"/>
      <c r="BT272" s="653"/>
      <c r="BU272" s="653"/>
      <c r="BV272" s="654"/>
    </row>
    <row r="273" spans="2:74" x14ac:dyDescent="0.25">
      <c r="B273" s="651"/>
      <c r="C273" s="653"/>
      <c r="D273" s="653"/>
      <c r="E273" s="653"/>
      <c r="F273" s="653"/>
      <c r="G273" s="653"/>
      <c r="H273" s="653"/>
      <c r="I273" s="653"/>
      <c r="J273" s="653"/>
      <c r="K273" s="653"/>
      <c r="L273" s="653"/>
      <c r="M273" s="651"/>
      <c r="N273" s="909"/>
      <c r="O273" s="909"/>
      <c r="P273" s="909"/>
      <c r="Q273" s="910"/>
      <c r="R273" s="909"/>
      <c r="S273" s="909"/>
      <c r="T273" s="909"/>
      <c r="U273" s="909"/>
      <c r="V273" s="909"/>
      <c r="W273" s="909"/>
      <c r="X273" s="909"/>
      <c r="Y273" s="909"/>
      <c r="Z273" s="910"/>
      <c r="AA273" s="909"/>
      <c r="AB273" s="910"/>
      <c r="AC273" s="911"/>
      <c r="AD273" s="911"/>
      <c r="AE273" s="909"/>
      <c r="AF273" s="909"/>
      <c r="AG273" s="909"/>
      <c r="AH273" s="917"/>
      <c r="AI273" s="909"/>
      <c r="AJ273" s="916"/>
      <c r="AK273" s="916"/>
      <c r="AL273" s="653"/>
      <c r="AM273" s="918"/>
      <c r="AN273" s="915"/>
      <c r="AO273" s="653"/>
      <c r="AP273" s="653"/>
      <c r="AQ273" s="653"/>
      <c r="AR273" s="653"/>
      <c r="AS273" s="653"/>
      <c r="AT273" s="653"/>
      <c r="AU273" s="653"/>
      <c r="AV273" s="653"/>
      <c r="AW273" s="653"/>
      <c r="AX273" s="653"/>
      <c r="AY273" s="653"/>
      <c r="AZ273" s="653"/>
      <c r="BA273" s="653"/>
      <c r="BB273" s="653"/>
      <c r="BC273" s="653"/>
      <c r="BD273" s="653"/>
      <c r="BE273" s="653"/>
      <c r="BF273" s="653"/>
      <c r="BG273" s="653"/>
      <c r="BH273" s="653"/>
      <c r="BI273" s="653"/>
      <c r="BJ273" s="653"/>
      <c r="BK273" s="653"/>
      <c r="BL273" s="653"/>
      <c r="BM273" s="653"/>
      <c r="BN273" s="653"/>
      <c r="BO273" s="653"/>
      <c r="BP273" s="653"/>
      <c r="BQ273" s="653"/>
      <c r="BR273" s="653"/>
      <c r="BS273" s="653"/>
      <c r="BT273" s="653"/>
      <c r="BU273" s="653"/>
      <c r="BV273" s="654"/>
    </row>
    <row r="274" spans="2:74" x14ac:dyDescent="0.25">
      <c r="B274" s="651"/>
      <c r="C274" s="653"/>
      <c r="D274" s="653"/>
      <c r="E274" s="653"/>
      <c r="F274" s="653"/>
      <c r="G274" s="653"/>
      <c r="H274" s="653"/>
      <c r="I274" s="653"/>
      <c r="J274" s="653"/>
      <c r="K274" s="653"/>
      <c r="L274" s="653"/>
      <c r="M274" s="651"/>
      <c r="N274" s="909"/>
      <c r="O274" s="909"/>
      <c r="P274" s="909"/>
      <c r="Q274" s="910"/>
      <c r="R274" s="909"/>
      <c r="S274" s="909"/>
      <c r="T274" s="909"/>
      <c r="U274" s="909"/>
      <c r="V274" s="909"/>
      <c r="W274" s="909"/>
      <c r="X274" s="909"/>
      <c r="Y274" s="909"/>
      <c r="Z274" s="910"/>
      <c r="AA274" s="909"/>
      <c r="AB274" s="910"/>
      <c r="AC274" s="911"/>
      <c r="AD274" s="911"/>
      <c r="AE274" s="909"/>
      <c r="AF274" s="909"/>
      <c r="AG274" s="909"/>
      <c r="AH274" s="917"/>
      <c r="AI274" s="909"/>
      <c r="AJ274" s="916"/>
      <c r="AK274" s="916"/>
      <c r="AL274" s="653"/>
      <c r="AM274" s="918"/>
      <c r="AN274" s="915"/>
      <c r="AO274" s="653"/>
      <c r="AP274" s="653"/>
      <c r="AQ274" s="653"/>
      <c r="AR274" s="653"/>
      <c r="AS274" s="653"/>
      <c r="AT274" s="653"/>
      <c r="AU274" s="653"/>
      <c r="AV274" s="653"/>
      <c r="AW274" s="653"/>
      <c r="AX274" s="653"/>
      <c r="AY274" s="653"/>
      <c r="AZ274" s="653"/>
      <c r="BA274" s="653"/>
      <c r="BB274" s="653"/>
      <c r="BC274" s="653"/>
      <c r="BD274" s="653"/>
      <c r="BE274" s="653"/>
      <c r="BF274" s="653"/>
      <c r="BG274" s="653"/>
      <c r="BH274" s="653"/>
      <c r="BI274" s="653"/>
      <c r="BJ274" s="653"/>
      <c r="BK274" s="653"/>
      <c r="BL274" s="653"/>
      <c r="BM274" s="653"/>
      <c r="BN274" s="653"/>
      <c r="BO274" s="653"/>
      <c r="BP274" s="653"/>
      <c r="BQ274" s="653"/>
      <c r="BR274" s="653"/>
      <c r="BS274" s="653"/>
      <c r="BT274" s="653"/>
      <c r="BU274" s="653"/>
      <c r="BV274" s="654"/>
    </row>
    <row r="275" spans="2:74" x14ac:dyDescent="0.25">
      <c r="B275" s="651"/>
      <c r="C275" s="653"/>
      <c r="D275" s="653"/>
      <c r="E275" s="653"/>
      <c r="F275" s="653"/>
      <c r="G275" s="653"/>
      <c r="H275" s="653"/>
      <c r="I275" s="653"/>
      <c r="J275" s="653"/>
      <c r="K275" s="653"/>
      <c r="L275" s="653"/>
      <c r="M275" s="651"/>
      <c r="N275" s="909"/>
      <c r="O275" s="909"/>
      <c r="P275" s="909"/>
      <c r="Q275" s="910"/>
      <c r="R275" s="909"/>
      <c r="S275" s="909"/>
      <c r="T275" s="909"/>
      <c r="U275" s="909"/>
      <c r="V275" s="909"/>
      <c r="W275" s="909"/>
      <c r="X275" s="909"/>
      <c r="Y275" s="909"/>
      <c r="Z275" s="910"/>
      <c r="AA275" s="909"/>
      <c r="AB275" s="910"/>
      <c r="AC275" s="911"/>
      <c r="AD275" s="911"/>
      <c r="AE275" s="909"/>
      <c r="AF275" s="909"/>
      <c r="AG275" s="909"/>
      <c r="AH275" s="917"/>
      <c r="AI275" s="909"/>
      <c r="AJ275" s="916"/>
      <c r="AK275" s="916"/>
      <c r="AL275" s="653"/>
      <c r="AM275" s="918"/>
      <c r="AN275" s="915"/>
      <c r="AO275" s="653"/>
      <c r="AP275" s="653"/>
      <c r="AQ275" s="653"/>
      <c r="AR275" s="653"/>
      <c r="AS275" s="653"/>
      <c r="AT275" s="653"/>
      <c r="AU275" s="653"/>
      <c r="AV275" s="653"/>
      <c r="AW275" s="653"/>
      <c r="AX275" s="653"/>
      <c r="AY275" s="653"/>
      <c r="AZ275" s="653"/>
      <c r="BA275" s="653"/>
      <c r="BB275" s="653"/>
      <c r="BC275" s="653"/>
      <c r="BD275" s="653"/>
      <c r="BE275" s="653"/>
      <c r="BF275" s="653"/>
      <c r="BG275" s="653"/>
      <c r="BH275" s="653"/>
      <c r="BI275" s="653"/>
      <c r="BJ275" s="653"/>
      <c r="BK275" s="653"/>
      <c r="BL275" s="653"/>
      <c r="BM275" s="653"/>
      <c r="BN275" s="653"/>
      <c r="BO275" s="653"/>
      <c r="BP275" s="653"/>
      <c r="BQ275" s="653"/>
      <c r="BR275" s="653"/>
      <c r="BS275" s="653"/>
      <c r="BT275" s="653"/>
      <c r="BU275" s="653"/>
      <c r="BV275" s="654"/>
    </row>
    <row r="276" spans="2:74" x14ac:dyDescent="0.25">
      <c r="B276" s="651"/>
      <c r="C276" s="653"/>
      <c r="D276" s="653"/>
      <c r="E276" s="653"/>
      <c r="F276" s="653"/>
      <c r="G276" s="653"/>
      <c r="H276" s="653"/>
      <c r="I276" s="653"/>
      <c r="J276" s="653"/>
      <c r="K276" s="653"/>
      <c r="L276" s="653"/>
      <c r="M276" s="651"/>
      <c r="N276" s="909"/>
      <c r="O276" s="909"/>
      <c r="P276" s="909"/>
      <c r="Q276" s="910"/>
      <c r="R276" s="909"/>
      <c r="S276" s="909"/>
      <c r="T276" s="909"/>
      <c r="U276" s="909"/>
      <c r="V276" s="909"/>
      <c r="W276" s="909"/>
      <c r="X276" s="909"/>
      <c r="Y276" s="909"/>
      <c r="Z276" s="910"/>
      <c r="AA276" s="909"/>
      <c r="AB276" s="910"/>
      <c r="AC276" s="911"/>
      <c r="AD276" s="911"/>
      <c r="AE276" s="909"/>
      <c r="AF276" s="909"/>
      <c r="AG276" s="909"/>
      <c r="AH276" s="917"/>
      <c r="AI276" s="909"/>
      <c r="AJ276" s="916"/>
      <c r="AK276" s="916"/>
      <c r="AL276" s="653"/>
      <c r="AM276" s="918"/>
      <c r="AN276" s="915"/>
      <c r="AO276" s="653"/>
      <c r="AP276" s="653"/>
      <c r="AQ276" s="653"/>
      <c r="AR276" s="653"/>
      <c r="AS276" s="653"/>
      <c r="AT276" s="653"/>
      <c r="AU276" s="653"/>
      <c r="AV276" s="653"/>
      <c r="AW276" s="653"/>
      <c r="AX276" s="653"/>
      <c r="AY276" s="653"/>
      <c r="AZ276" s="653"/>
      <c r="BA276" s="653"/>
      <c r="BB276" s="653"/>
      <c r="BC276" s="653"/>
      <c r="BD276" s="653"/>
      <c r="BE276" s="653"/>
      <c r="BF276" s="653"/>
      <c r="BG276" s="653"/>
      <c r="BH276" s="653"/>
      <c r="BI276" s="653"/>
      <c r="BJ276" s="653"/>
      <c r="BK276" s="653"/>
      <c r="BL276" s="653"/>
      <c r="BM276" s="653"/>
      <c r="BN276" s="653"/>
      <c r="BO276" s="653"/>
      <c r="BP276" s="653"/>
      <c r="BQ276" s="653"/>
      <c r="BR276" s="653"/>
      <c r="BS276" s="653"/>
      <c r="BT276" s="653"/>
      <c r="BU276" s="653"/>
      <c r="BV276" s="654"/>
    </row>
    <row r="277" spans="2:74" x14ac:dyDescent="0.25">
      <c r="B277" s="651"/>
      <c r="C277" s="653"/>
      <c r="D277" s="653"/>
      <c r="E277" s="653"/>
      <c r="F277" s="653"/>
      <c r="G277" s="653"/>
      <c r="H277" s="653"/>
      <c r="I277" s="653"/>
      <c r="J277" s="653"/>
      <c r="K277" s="653"/>
      <c r="L277" s="653"/>
      <c r="M277" s="651"/>
      <c r="N277" s="909"/>
      <c r="O277" s="909"/>
      <c r="P277" s="909"/>
      <c r="Q277" s="910"/>
      <c r="R277" s="909"/>
      <c r="S277" s="909"/>
      <c r="T277" s="909"/>
      <c r="U277" s="909"/>
      <c r="V277" s="909"/>
      <c r="W277" s="909"/>
      <c r="X277" s="909"/>
      <c r="Y277" s="909"/>
      <c r="Z277" s="910"/>
      <c r="AA277" s="909"/>
      <c r="AB277" s="910"/>
      <c r="AC277" s="911"/>
      <c r="AD277" s="911"/>
      <c r="AE277" s="909"/>
      <c r="AF277" s="909"/>
      <c r="AG277" s="909"/>
      <c r="AH277" s="917"/>
      <c r="AI277" s="909"/>
      <c r="AJ277" s="916"/>
      <c r="AK277" s="916"/>
      <c r="AL277" s="653"/>
      <c r="AM277" s="918"/>
      <c r="AN277" s="915"/>
      <c r="AO277" s="653"/>
      <c r="AP277" s="653"/>
      <c r="AQ277" s="653"/>
      <c r="AR277" s="653"/>
      <c r="AS277" s="653"/>
      <c r="AT277" s="653"/>
      <c r="AU277" s="653"/>
      <c r="AV277" s="653"/>
      <c r="AW277" s="653"/>
      <c r="AX277" s="653"/>
      <c r="AY277" s="653"/>
      <c r="AZ277" s="653"/>
      <c r="BA277" s="653"/>
      <c r="BB277" s="653"/>
      <c r="BC277" s="653"/>
      <c r="BD277" s="653"/>
      <c r="BE277" s="653"/>
      <c r="BF277" s="653"/>
      <c r="BG277" s="653"/>
      <c r="BH277" s="653"/>
      <c r="BI277" s="653"/>
      <c r="BJ277" s="653"/>
      <c r="BK277" s="653"/>
      <c r="BL277" s="653"/>
      <c r="BM277" s="653"/>
      <c r="BN277" s="653"/>
      <c r="BO277" s="653"/>
      <c r="BP277" s="653"/>
      <c r="BQ277" s="653"/>
      <c r="BR277" s="653"/>
      <c r="BS277" s="653"/>
      <c r="BT277" s="653"/>
      <c r="BU277" s="653"/>
      <c r="BV277" s="654"/>
    </row>
    <row r="278" spans="2:74" x14ac:dyDescent="0.25">
      <c r="B278" s="651"/>
      <c r="C278" s="653"/>
      <c r="D278" s="653"/>
      <c r="E278" s="653"/>
      <c r="F278" s="653"/>
      <c r="G278" s="653"/>
      <c r="H278" s="653"/>
      <c r="I278" s="653"/>
      <c r="J278" s="653"/>
      <c r="K278" s="653"/>
      <c r="L278" s="653"/>
      <c r="M278" s="651"/>
      <c r="N278" s="909"/>
      <c r="O278" s="909"/>
      <c r="P278" s="909"/>
      <c r="Q278" s="910"/>
      <c r="R278" s="909"/>
      <c r="S278" s="909"/>
      <c r="T278" s="909"/>
      <c r="U278" s="909"/>
      <c r="V278" s="909"/>
      <c r="W278" s="909"/>
      <c r="X278" s="909"/>
      <c r="Y278" s="909"/>
      <c r="Z278" s="910"/>
      <c r="AA278" s="909"/>
      <c r="AB278" s="910"/>
      <c r="AC278" s="911"/>
      <c r="AD278" s="911"/>
      <c r="AE278" s="909"/>
      <c r="AF278" s="909"/>
      <c r="AG278" s="909"/>
      <c r="AH278" s="917"/>
      <c r="AI278" s="909"/>
      <c r="AJ278" s="916"/>
      <c r="AK278" s="916"/>
      <c r="AL278" s="653"/>
      <c r="AM278" s="918"/>
      <c r="AN278" s="915"/>
      <c r="AO278" s="653"/>
      <c r="AP278" s="653"/>
      <c r="AQ278" s="653"/>
      <c r="AR278" s="653"/>
      <c r="AS278" s="653"/>
      <c r="AT278" s="653"/>
      <c r="AU278" s="653"/>
      <c r="AV278" s="653"/>
      <c r="AW278" s="653"/>
      <c r="AX278" s="653"/>
      <c r="AY278" s="653"/>
      <c r="AZ278" s="653"/>
      <c r="BA278" s="653"/>
      <c r="BB278" s="653"/>
      <c r="BC278" s="653"/>
      <c r="BD278" s="653"/>
      <c r="BE278" s="653"/>
      <c r="BF278" s="653"/>
      <c r="BG278" s="653"/>
      <c r="BH278" s="653"/>
      <c r="BI278" s="653"/>
      <c r="BJ278" s="653"/>
      <c r="BK278" s="653"/>
      <c r="BL278" s="653"/>
      <c r="BM278" s="653"/>
      <c r="BN278" s="653"/>
      <c r="BO278" s="653"/>
      <c r="BP278" s="653"/>
      <c r="BQ278" s="653"/>
      <c r="BR278" s="653"/>
      <c r="BS278" s="653"/>
      <c r="BT278" s="653"/>
      <c r="BU278" s="653"/>
      <c r="BV278" s="654"/>
    </row>
    <row r="279" spans="2:74" x14ac:dyDescent="0.25">
      <c r="B279" s="651"/>
      <c r="C279" s="653"/>
      <c r="D279" s="653"/>
      <c r="E279" s="653"/>
      <c r="F279" s="653"/>
      <c r="G279" s="653"/>
      <c r="H279" s="653"/>
      <c r="I279" s="653"/>
      <c r="J279" s="653"/>
      <c r="K279" s="653"/>
      <c r="L279" s="653"/>
      <c r="M279" s="651"/>
      <c r="N279" s="909"/>
      <c r="O279" s="909"/>
      <c r="P279" s="909"/>
      <c r="Q279" s="910"/>
      <c r="R279" s="909"/>
      <c r="S279" s="909"/>
      <c r="T279" s="909"/>
      <c r="U279" s="909"/>
      <c r="V279" s="909"/>
      <c r="W279" s="909"/>
      <c r="X279" s="909"/>
      <c r="Y279" s="909"/>
      <c r="Z279" s="910"/>
      <c r="AA279" s="909"/>
      <c r="AB279" s="910"/>
      <c r="AC279" s="911"/>
      <c r="AD279" s="911"/>
      <c r="AE279" s="909"/>
      <c r="AF279" s="909"/>
      <c r="AG279" s="909"/>
      <c r="AH279" s="917"/>
      <c r="AI279" s="909"/>
      <c r="AJ279" s="916"/>
      <c r="AK279" s="916"/>
      <c r="AL279" s="653"/>
      <c r="AM279" s="918"/>
      <c r="AN279" s="915"/>
      <c r="AO279" s="653"/>
      <c r="AP279" s="653"/>
      <c r="AQ279" s="653"/>
      <c r="AR279" s="653"/>
      <c r="AS279" s="653"/>
      <c r="AT279" s="653"/>
      <c r="AU279" s="653"/>
      <c r="AV279" s="653"/>
      <c r="AW279" s="653"/>
      <c r="AX279" s="653"/>
      <c r="AY279" s="653"/>
      <c r="AZ279" s="653"/>
      <c r="BA279" s="653"/>
      <c r="BB279" s="653"/>
      <c r="BC279" s="653"/>
      <c r="BD279" s="653"/>
      <c r="BE279" s="653"/>
      <c r="BF279" s="653"/>
      <c r="BG279" s="653"/>
      <c r="BH279" s="653"/>
      <c r="BI279" s="653"/>
      <c r="BJ279" s="653"/>
      <c r="BK279" s="653"/>
      <c r="BL279" s="653"/>
      <c r="BM279" s="653"/>
      <c r="BN279" s="653"/>
      <c r="BO279" s="653"/>
      <c r="BP279" s="653"/>
      <c r="BQ279" s="653"/>
      <c r="BR279" s="653"/>
      <c r="BS279" s="653"/>
      <c r="BT279" s="653"/>
      <c r="BU279" s="653"/>
      <c r="BV279" s="654"/>
    </row>
    <row r="280" spans="2:74" x14ac:dyDescent="0.25">
      <c r="B280" s="651"/>
      <c r="C280" s="653"/>
      <c r="D280" s="653"/>
      <c r="E280" s="653"/>
      <c r="F280" s="653"/>
      <c r="G280" s="653"/>
      <c r="H280" s="653"/>
      <c r="I280" s="653"/>
      <c r="J280" s="653"/>
      <c r="K280" s="653"/>
      <c r="L280" s="653"/>
      <c r="M280" s="651"/>
      <c r="N280" s="909"/>
      <c r="O280" s="909"/>
      <c r="P280" s="909"/>
      <c r="Q280" s="910"/>
      <c r="R280" s="909"/>
      <c r="S280" s="909"/>
      <c r="T280" s="909"/>
      <c r="U280" s="909"/>
      <c r="V280" s="909"/>
      <c r="W280" s="909"/>
      <c r="X280" s="909"/>
      <c r="Y280" s="909"/>
      <c r="Z280" s="910"/>
      <c r="AA280" s="909"/>
      <c r="AB280" s="910"/>
      <c r="AC280" s="911"/>
      <c r="AD280" s="911"/>
      <c r="AE280" s="909"/>
      <c r="AF280" s="909"/>
      <c r="AG280" s="909"/>
      <c r="AH280" s="917"/>
      <c r="AI280" s="909"/>
      <c r="AJ280" s="916"/>
      <c r="AK280" s="916"/>
      <c r="AL280" s="653"/>
      <c r="AM280" s="918"/>
      <c r="AN280" s="915"/>
      <c r="AO280" s="653"/>
      <c r="AP280" s="653"/>
      <c r="AQ280" s="653"/>
      <c r="AR280" s="653"/>
      <c r="AS280" s="653"/>
      <c r="AT280" s="653"/>
      <c r="AU280" s="653"/>
      <c r="AV280" s="653"/>
      <c r="AW280" s="653"/>
      <c r="AX280" s="653"/>
      <c r="AY280" s="653"/>
      <c r="AZ280" s="653"/>
      <c r="BA280" s="653"/>
      <c r="BB280" s="653"/>
      <c r="BC280" s="653"/>
      <c r="BD280" s="653"/>
      <c r="BE280" s="653"/>
      <c r="BF280" s="653"/>
      <c r="BG280" s="653"/>
      <c r="BH280" s="653"/>
      <c r="BI280" s="653"/>
      <c r="BJ280" s="653"/>
      <c r="BK280" s="653"/>
      <c r="BL280" s="653"/>
      <c r="BM280" s="653"/>
      <c r="BN280" s="653"/>
      <c r="BO280" s="653"/>
      <c r="BP280" s="653"/>
      <c r="BQ280" s="653"/>
      <c r="BR280" s="653"/>
      <c r="BS280" s="653"/>
      <c r="BT280" s="653"/>
      <c r="BU280" s="653"/>
      <c r="BV280" s="654"/>
    </row>
    <row r="281" spans="2:74" x14ac:dyDescent="0.25">
      <c r="B281" s="651"/>
      <c r="C281" s="653"/>
      <c r="D281" s="653"/>
      <c r="E281" s="653"/>
      <c r="F281" s="653"/>
      <c r="G281" s="653"/>
      <c r="H281" s="653"/>
      <c r="I281" s="653"/>
      <c r="J281" s="653"/>
      <c r="K281" s="653"/>
      <c r="L281" s="653"/>
      <c r="M281" s="651"/>
      <c r="N281" s="909"/>
      <c r="O281" s="909"/>
      <c r="P281" s="909"/>
      <c r="Q281" s="910"/>
      <c r="R281" s="909"/>
      <c r="S281" s="909"/>
      <c r="T281" s="909"/>
      <c r="U281" s="909"/>
      <c r="V281" s="909"/>
      <c r="W281" s="909"/>
      <c r="X281" s="909"/>
      <c r="Y281" s="909"/>
      <c r="Z281" s="910"/>
      <c r="AA281" s="909"/>
      <c r="AB281" s="910"/>
      <c r="AC281" s="911"/>
      <c r="AD281" s="911"/>
      <c r="AE281" s="909"/>
      <c r="AF281" s="909"/>
      <c r="AG281" s="909"/>
      <c r="AH281" s="917"/>
      <c r="AI281" s="909"/>
      <c r="AJ281" s="916"/>
      <c r="AK281" s="916"/>
      <c r="AL281" s="653"/>
      <c r="AM281" s="918"/>
      <c r="AN281" s="915"/>
      <c r="AO281" s="653"/>
      <c r="AP281" s="653"/>
      <c r="AQ281" s="653"/>
      <c r="AR281" s="653"/>
      <c r="AS281" s="653"/>
      <c r="AT281" s="653"/>
      <c r="AU281" s="653"/>
      <c r="AV281" s="653"/>
      <c r="AW281" s="653"/>
      <c r="AX281" s="653"/>
      <c r="AY281" s="653"/>
      <c r="AZ281" s="653"/>
      <c r="BA281" s="653"/>
      <c r="BB281" s="653"/>
      <c r="BC281" s="653"/>
      <c r="BD281" s="653"/>
      <c r="BE281" s="653"/>
      <c r="BF281" s="653"/>
      <c r="BG281" s="653"/>
      <c r="BH281" s="653"/>
      <c r="BI281" s="653"/>
      <c r="BJ281" s="653"/>
      <c r="BK281" s="653"/>
      <c r="BL281" s="653"/>
      <c r="BM281" s="653"/>
      <c r="BN281" s="653"/>
      <c r="BO281" s="653"/>
      <c r="BP281" s="653"/>
      <c r="BQ281" s="653"/>
      <c r="BR281" s="653"/>
      <c r="BS281" s="653"/>
      <c r="BT281" s="653"/>
      <c r="BU281" s="653"/>
      <c r="BV281" s="654"/>
    </row>
    <row r="282" spans="2:74" x14ac:dyDescent="0.25">
      <c r="B282" s="651"/>
      <c r="C282" s="653"/>
      <c r="D282" s="653"/>
      <c r="E282" s="653"/>
      <c r="F282" s="653"/>
      <c r="G282" s="653"/>
      <c r="H282" s="653"/>
      <c r="I282" s="653"/>
      <c r="J282" s="653"/>
      <c r="K282" s="653"/>
      <c r="L282" s="653"/>
      <c r="M282" s="651"/>
      <c r="N282" s="909"/>
      <c r="O282" s="909"/>
      <c r="P282" s="909"/>
      <c r="Q282" s="910"/>
      <c r="R282" s="909"/>
      <c r="S282" s="909"/>
      <c r="T282" s="909"/>
      <c r="U282" s="909"/>
      <c r="V282" s="909"/>
      <c r="W282" s="909"/>
      <c r="X282" s="909"/>
      <c r="Y282" s="909"/>
      <c r="Z282" s="910"/>
      <c r="AA282" s="909"/>
      <c r="AB282" s="910"/>
      <c r="AC282" s="911"/>
      <c r="AD282" s="911"/>
      <c r="AE282" s="909"/>
      <c r="AF282" s="909"/>
      <c r="AG282" s="909"/>
      <c r="AH282" s="917"/>
      <c r="AI282" s="909"/>
      <c r="AJ282" s="916"/>
      <c r="AK282" s="916"/>
      <c r="AL282" s="653"/>
      <c r="AM282" s="918"/>
      <c r="AN282" s="915"/>
      <c r="AO282" s="653"/>
      <c r="AP282" s="653"/>
      <c r="AQ282" s="653"/>
      <c r="AR282" s="653"/>
      <c r="AS282" s="653"/>
      <c r="AT282" s="653"/>
      <c r="AU282" s="653"/>
      <c r="AV282" s="653"/>
      <c r="AW282" s="653"/>
      <c r="AX282" s="653"/>
      <c r="AY282" s="653"/>
      <c r="AZ282" s="653"/>
      <c r="BA282" s="653"/>
      <c r="BB282" s="653"/>
      <c r="BC282" s="653"/>
      <c r="BD282" s="653"/>
      <c r="BE282" s="653"/>
      <c r="BF282" s="653"/>
      <c r="BG282" s="653"/>
      <c r="BH282" s="653"/>
      <c r="BI282" s="653"/>
      <c r="BJ282" s="653"/>
      <c r="BK282" s="653"/>
      <c r="BL282" s="653"/>
      <c r="BM282" s="653"/>
      <c r="BN282" s="653"/>
      <c r="BO282" s="653"/>
      <c r="BP282" s="653"/>
      <c r="BQ282" s="653"/>
      <c r="BR282" s="653"/>
      <c r="BS282" s="653"/>
      <c r="BT282" s="653"/>
      <c r="BU282" s="653"/>
      <c r="BV282" s="654"/>
    </row>
    <row r="283" spans="2:74" x14ac:dyDescent="0.25">
      <c r="B283" s="651"/>
      <c r="C283" s="653"/>
      <c r="D283" s="653"/>
      <c r="E283" s="653"/>
      <c r="F283" s="653"/>
      <c r="G283" s="653"/>
      <c r="H283" s="653"/>
      <c r="I283" s="653"/>
      <c r="J283" s="653"/>
      <c r="K283" s="653"/>
      <c r="L283" s="653"/>
      <c r="M283" s="651"/>
      <c r="N283" s="909"/>
      <c r="O283" s="909"/>
      <c r="P283" s="909"/>
      <c r="Q283" s="910"/>
      <c r="R283" s="909"/>
      <c r="S283" s="909"/>
      <c r="T283" s="909"/>
      <c r="U283" s="909"/>
      <c r="V283" s="909"/>
      <c r="W283" s="909"/>
      <c r="X283" s="909"/>
      <c r="Y283" s="909"/>
      <c r="Z283" s="910"/>
      <c r="AA283" s="909"/>
      <c r="AB283" s="910"/>
      <c r="AC283" s="911"/>
      <c r="AD283" s="911"/>
      <c r="AE283" s="909"/>
      <c r="AF283" s="909"/>
      <c r="AG283" s="909"/>
      <c r="AH283" s="917"/>
      <c r="AI283" s="909"/>
      <c r="AJ283" s="916"/>
      <c r="AK283" s="916"/>
      <c r="AL283" s="653"/>
      <c r="AM283" s="918"/>
      <c r="AN283" s="915"/>
      <c r="AO283" s="653"/>
      <c r="AP283" s="653"/>
      <c r="AQ283" s="653"/>
      <c r="AR283" s="653"/>
      <c r="AS283" s="653"/>
      <c r="AT283" s="653"/>
      <c r="AU283" s="653"/>
      <c r="AV283" s="653"/>
      <c r="AW283" s="653"/>
      <c r="AX283" s="653"/>
      <c r="AY283" s="653"/>
      <c r="AZ283" s="653"/>
      <c r="BA283" s="653"/>
      <c r="BB283" s="653"/>
      <c r="BC283" s="653"/>
      <c r="BD283" s="653"/>
      <c r="BE283" s="653"/>
      <c r="BF283" s="653"/>
      <c r="BG283" s="653"/>
      <c r="BH283" s="653"/>
      <c r="BI283" s="653"/>
      <c r="BJ283" s="653"/>
      <c r="BK283" s="653"/>
      <c r="BL283" s="653"/>
      <c r="BM283" s="653"/>
      <c r="BN283" s="653"/>
      <c r="BO283" s="653"/>
      <c r="BP283" s="653"/>
      <c r="BQ283" s="653"/>
      <c r="BR283" s="653"/>
      <c r="BS283" s="653"/>
      <c r="BT283" s="653"/>
      <c r="BU283" s="653"/>
      <c r="BV283" s="654"/>
    </row>
    <row r="284" spans="2:74" x14ac:dyDescent="0.25">
      <c r="B284" s="651"/>
      <c r="C284" s="653"/>
      <c r="D284" s="653"/>
      <c r="E284" s="653"/>
      <c r="F284" s="653"/>
      <c r="G284" s="653"/>
      <c r="H284" s="653"/>
      <c r="I284" s="653"/>
      <c r="J284" s="653"/>
      <c r="K284" s="653"/>
      <c r="L284" s="653"/>
      <c r="M284" s="651"/>
      <c r="N284" s="909"/>
      <c r="O284" s="909"/>
      <c r="P284" s="909"/>
      <c r="Q284" s="910"/>
      <c r="R284" s="909"/>
      <c r="S284" s="909"/>
      <c r="T284" s="909"/>
      <c r="U284" s="909"/>
      <c r="V284" s="909"/>
      <c r="W284" s="909"/>
      <c r="X284" s="909"/>
      <c r="Y284" s="909"/>
      <c r="Z284" s="910"/>
      <c r="AA284" s="909"/>
      <c r="AB284" s="910"/>
      <c r="AC284" s="911"/>
      <c r="AD284" s="911"/>
      <c r="AE284" s="909"/>
      <c r="AF284" s="909"/>
      <c r="AG284" s="909"/>
      <c r="AH284" s="917"/>
      <c r="AI284" s="909"/>
      <c r="AJ284" s="916"/>
      <c r="AK284" s="916"/>
      <c r="AL284" s="653"/>
      <c r="AM284" s="918"/>
      <c r="AN284" s="915"/>
      <c r="AO284" s="653"/>
      <c r="AP284" s="653"/>
      <c r="AQ284" s="653"/>
      <c r="AR284" s="653"/>
      <c r="AS284" s="653"/>
      <c r="AT284" s="653"/>
      <c r="AU284" s="653"/>
      <c r="AV284" s="653"/>
      <c r="AW284" s="653"/>
      <c r="AX284" s="653"/>
      <c r="AY284" s="653"/>
      <c r="AZ284" s="653"/>
      <c r="BA284" s="653"/>
      <c r="BB284" s="653"/>
      <c r="BC284" s="653"/>
      <c r="BD284" s="653"/>
      <c r="BE284" s="653"/>
      <c r="BF284" s="653"/>
      <c r="BG284" s="653"/>
      <c r="BH284" s="653"/>
      <c r="BI284" s="653"/>
      <c r="BJ284" s="653"/>
      <c r="BK284" s="653"/>
      <c r="BL284" s="653"/>
      <c r="BM284" s="653"/>
      <c r="BN284" s="653"/>
      <c r="BO284" s="653"/>
      <c r="BP284" s="653"/>
      <c r="BQ284" s="653"/>
      <c r="BR284" s="653"/>
      <c r="BS284" s="653"/>
      <c r="BT284" s="653"/>
      <c r="BU284" s="653"/>
      <c r="BV284" s="654"/>
    </row>
    <row r="285" spans="2:74" x14ac:dyDescent="0.25">
      <c r="B285" s="651"/>
      <c r="C285" s="653"/>
      <c r="D285" s="653"/>
      <c r="E285" s="653"/>
      <c r="F285" s="653"/>
      <c r="G285" s="653"/>
      <c r="H285" s="653"/>
      <c r="I285" s="653"/>
      <c r="J285" s="653"/>
      <c r="K285" s="653"/>
      <c r="L285" s="653"/>
      <c r="M285" s="651"/>
      <c r="N285" s="909"/>
      <c r="O285" s="909"/>
      <c r="P285" s="909"/>
      <c r="Q285" s="910"/>
      <c r="R285" s="909"/>
      <c r="S285" s="909"/>
      <c r="T285" s="909"/>
      <c r="U285" s="909"/>
      <c r="V285" s="909"/>
      <c r="W285" s="909"/>
      <c r="X285" s="909"/>
      <c r="Y285" s="909"/>
      <c r="Z285" s="910"/>
      <c r="AA285" s="909"/>
      <c r="AB285" s="910"/>
      <c r="AC285" s="911"/>
      <c r="AD285" s="911"/>
      <c r="AE285" s="909"/>
      <c r="AF285" s="909"/>
      <c r="AG285" s="909"/>
      <c r="AH285" s="917"/>
      <c r="AI285" s="909"/>
      <c r="AJ285" s="916"/>
      <c r="AK285" s="916"/>
      <c r="AL285" s="653"/>
      <c r="AM285" s="918"/>
      <c r="AN285" s="915"/>
      <c r="AO285" s="653"/>
      <c r="AP285" s="653"/>
      <c r="AQ285" s="653"/>
      <c r="AR285" s="653"/>
      <c r="AS285" s="653"/>
      <c r="AT285" s="653"/>
      <c r="AU285" s="653"/>
      <c r="AV285" s="653"/>
      <c r="AW285" s="653"/>
      <c r="AX285" s="653"/>
      <c r="AY285" s="653"/>
      <c r="AZ285" s="653"/>
      <c r="BA285" s="653"/>
      <c r="BB285" s="653"/>
      <c r="BC285" s="653"/>
      <c r="BD285" s="653"/>
      <c r="BE285" s="653"/>
      <c r="BF285" s="653"/>
      <c r="BG285" s="653"/>
      <c r="BH285" s="653"/>
      <c r="BI285" s="653"/>
      <c r="BJ285" s="653"/>
      <c r="BK285" s="653"/>
      <c r="BL285" s="653"/>
      <c r="BM285" s="653"/>
      <c r="BN285" s="653"/>
      <c r="BO285" s="653"/>
      <c r="BP285" s="653"/>
      <c r="BQ285" s="653"/>
      <c r="BR285" s="653"/>
      <c r="BS285" s="653"/>
      <c r="BT285" s="653"/>
      <c r="BU285" s="653"/>
      <c r="BV285" s="654"/>
    </row>
    <row r="286" spans="2:74" x14ac:dyDescent="0.25">
      <c r="B286" s="651"/>
      <c r="C286" s="653"/>
      <c r="D286" s="653"/>
      <c r="E286" s="653"/>
      <c r="F286" s="653"/>
      <c r="G286" s="653"/>
      <c r="H286" s="653"/>
      <c r="I286" s="653"/>
      <c r="J286" s="653"/>
      <c r="K286" s="653"/>
      <c r="L286" s="653"/>
      <c r="M286" s="651"/>
      <c r="N286" s="909"/>
      <c r="O286" s="909"/>
      <c r="P286" s="909"/>
      <c r="Q286" s="910"/>
      <c r="R286" s="909"/>
      <c r="S286" s="909"/>
      <c r="T286" s="909"/>
      <c r="U286" s="909"/>
      <c r="V286" s="909"/>
      <c r="W286" s="909"/>
      <c r="X286" s="909"/>
      <c r="Y286" s="909"/>
      <c r="Z286" s="910"/>
      <c r="AA286" s="909"/>
      <c r="AB286" s="910"/>
      <c r="AC286" s="911"/>
      <c r="AD286" s="911"/>
      <c r="AE286" s="909"/>
      <c r="AF286" s="909"/>
      <c r="AG286" s="909"/>
      <c r="AH286" s="917"/>
      <c r="AI286" s="909"/>
      <c r="AJ286" s="916"/>
      <c r="AK286" s="916"/>
      <c r="AL286" s="653"/>
      <c r="AM286" s="918"/>
      <c r="AN286" s="915"/>
      <c r="AO286" s="653"/>
      <c r="AP286" s="653"/>
      <c r="AQ286" s="653"/>
      <c r="AR286" s="653"/>
      <c r="AS286" s="653"/>
      <c r="AT286" s="653"/>
      <c r="AU286" s="653"/>
      <c r="AV286" s="653"/>
      <c r="AW286" s="653"/>
      <c r="AX286" s="653"/>
      <c r="AY286" s="653"/>
      <c r="AZ286" s="653"/>
      <c r="BA286" s="653"/>
      <c r="BB286" s="653"/>
      <c r="BC286" s="653"/>
      <c r="BD286" s="653"/>
      <c r="BE286" s="653"/>
      <c r="BF286" s="653"/>
      <c r="BG286" s="653"/>
      <c r="BH286" s="653"/>
      <c r="BI286" s="653"/>
      <c r="BJ286" s="653"/>
      <c r="BK286" s="653"/>
      <c r="BL286" s="653"/>
      <c r="BM286" s="653"/>
      <c r="BN286" s="653"/>
      <c r="BO286" s="653"/>
      <c r="BP286" s="653"/>
      <c r="BQ286" s="653"/>
      <c r="BR286" s="653"/>
      <c r="BS286" s="653"/>
      <c r="BT286" s="653"/>
      <c r="BU286" s="653"/>
      <c r="BV286" s="654"/>
    </row>
    <row r="287" spans="2:74" x14ac:dyDescent="0.25">
      <c r="B287" s="651"/>
      <c r="C287" s="653"/>
      <c r="D287" s="653"/>
      <c r="E287" s="653"/>
      <c r="F287" s="653"/>
      <c r="G287" s="653"/>
      <c r="H287" s="653"/>
      <c r="I287" s="653"/>
      <c r="J287" s="653"/>
      <c r="K287" s="653"/>
      <c r="L287" s="653"/>
      <c r="M287" s="651"/>
      <c r="N287" s="909"/>
      <c r="O287" s="909"/>
      <c r="P287" s="909"/>
      <c r="Q287" s="910"/>
      <c r="R287" s="909"/>
      <c r="S287" s="909"/>
      <c r="T287" s="909"/>
      <c r="U287" s="909"/>
      <c r="V287" s="909"/>
      <c r="W287" s="909"/>
      <c r="X287" s="909"/>
      <c r="Y287" s="909"/>
      <c r="Z287" s="910"/>
      <c r="AA287" s="909"/>
      <c r="AB287" s="910"/>
      <c r="AC287" s="911"/>
      <c r="AD287" s="911"/>
      <c r="AE287" s="909"/>
      <c r="AF287" s="909"/>
      <c r="AG287" s="909"/>
      <c r="AH287" s="917"/>
      <c r="AI287" s="909"/>
      <c r="AJ287" s="916"/>
      <c r="AK287" s="916"/>
      <c r="AL287" s="653"/>
      <c r="AM287" s="918"/>
      <c r="AN287" s="915"/>
      <c r="AO287" s="653"/>
      <c r="AP287" s="653"/>
      <c r="AQ287" s="653"/>
      <c r="AR287" s="653"/>
      <c r="AS287" s="653"/>
      <c r="AT287" s="653"/>
      <c r="AU287" s="653"/>
      <c r="AV287" s="653"/>
      <c r="AW287" s="653"/>
      <c r="AX287" s="653"/>
      <c r="AY287" s="653"/>
      <c r="AZ287" s="653"/>
      <c r="BA287" s="653"/>
      <c r="BB287" s="653"/>
      <c r="BC287" s="653"/>
      <c r="BD287" s="653"/>
      <c r="BE287" s="653"/>
      <c r="BF287" s="653"/>
      <c r="BG287" s="653"/>
      <c r="BH287" s="653"/>
      <c r="BI287" s="653"/>
      <c r="BJ287" s="653"/>
      <c r="BK287" s="653"/>
      <c r="BL287" s="653"/>
      <c r="BM287" s="653"/>
      <c r="BN287" s="653"/>
      <c r="BO287" s="653"/>
      <c r="BP287" s="653"/>
      <c r="BQ287" s="653"/>
      <c r="BR287" s="653"/>
      <c r="BS287" s="653"/>
      <c r="BT287" s="653"/>
      <c r="BU287" s="653"/>
      <c r="BV287" s="654"/>
    </row>
    <row r="288" spans="2:74" x14ac:dyDescent="0.25">
      <c r="B288" s="651"/>
      <c r="C288" s="653"/>
      <c r="D288" s="653"/>
      <c r="E288" s="653"/>
      <c r="F288" s="653"/>
      <c r="G288" s="653"/>
      <c r="H288" s="653"/>
      <c r="I288" s="653"/>
      <c r="J288" s="653"/>
      <c r="K288" s="653"/>
      <c r="L288" s="653"/>
      <c r="M288" s="651"/>
      <c r="N288" s="909"/>
      <c r="O288" s="909"/>
      <c r="P288" s="909"/>
      <c r="Q288" s="910"/>
      <c r="R288" s="909"/>
      <c r="S288" s="909"/>
      <c r="T288" s="909"/>
      <c r="U288" s="909"/>
      <c r="V288" s="909"/>
      <c r="W288" s="909"/>
      <c r="X288" s="909"/>
      <c r="Y288" s="909"/>
      <c r="Z288" s="910"/>
      <c r="AA288" s="909"/>
      <c r="AB288" s="910"/>
      <c r="AC288" s="911"/>
      <c r="AD288" s="911"/>
      <c r="AE288" s="909"/>
      <c r="AF288" s="909"/>
      <c r="AG288" s="909"/>
      <c r="AH288" s="917"/>
      <c r="AI288" s="909"/>
      <c r="AJ288" s="916"/>
      <c r="AK288" s="916"/>
      <c r="AL288" s="653"/>
      <c r="AM288" s="918"/>
      <c r="AN288" s="915"/>
      <c r="AO288" s="653"/>
      <c r="AP288" s="653"/>
      <c r="AQ288" s="653"/>
      <c r="AR288" s="653"/>
      <c r="AS288" s="653"/>
      <c r="AT288" s="653"/>
      <c r="AU288" s="653"/>
      <c r="AV288" s="653"/>
      <c r="AW288" s="653"/>
      <c r="AX288" s="653"/>
      <c r="AY288" s="653"/>
      <c r="AZ288" s="653"/>
      <c r="BA288" s="653"/>
      <c r="BB288" s="653"/>
      <c r="BC288" s="653"/>
      <c r="BD288" s="653"/>
      <c r="BE288" s="653"/>
      <c r="BF288" s="653"/>
      <c r="BG288" s="653"/>
      <c r="BH288" s="653"/>
      <c r="BI288" s="653"/>
      <c r="BJ288" s="653"/>
      <c r="BK288" s="653"/>
      <c r="BL288" s="653"/>
      <c r="BM288" s="653"/>
      <c r="BN288" s="653"/>
      <c r="BO288" s="653"/>
      <c r="BP288" s="653"/>
      <c r="BQ288" s="653"/>
      <c r="BR288" s="653"/>
      <c r="BS288" s="653"/>
      <c r="BT288" s="653"/>
      <c r="BU288" s="653"/>
      <c r="BV288" s="654"/>
    </row>
    <row r="289" spans="2:74" x14ac:dyDescent="0.25">
      <c r="B289" s="651"/>
      <c r="C289" s="653"/>
      <c r="D289" s="653"/>
      <c r="E289" s="653"/>
      <c r="F289" s="653"/>
      <c r="G289" s="653"/>
      <c r="H289" s="653"/>
      <c r="I289" s="653"/>
      <c r="J289" s="653"/>
      <c r="K289" s="653"/>
      <c r="L289" s="653"/>
      <c r="M289" s="651"/>
      <c r="N289" s="909"/>
      <c r="O289" s="909"/>
      <c r="P289" s="909"/>
      <c r="Q289" s="910"/>
      <c r="R289" s="909"/>
      <c r="S289" s="909"/>
      <c r="T289" s="909"/>
      <c r="U289" s="909"/>
      <c r="V289" s="909"/>
      <c r="W289" s="909"/>
      <c r="X289" s="909"/>
      <c r="Y289" s="909"/>
      <c r="Z289" s="910"/>
      <c r="AA289" s="909"/>
      <c r="AB289" s="910"/>
      <c r="AC289" s="911"/>
      <c r="AD289" s="911"/>
      <c r="AE289" s="909"/>
      <c r="AF289" s="909"/>
      <c r="AG289" s="909"/>
      <c r="AH289" s="917"/>
      <c r="AI289" s="909"/>
      <c r="AJ289" s="916"/>
      <c r="AK289" s="916"/>
      <c r="AL289" s="653"/>
      <c r="AM289" s="918"/>
      <c r="AN289" s="915"/>
      <c r="AO289" s="653"/>
      <c r="AP289" s="653"/>
      <c r="AQ289" s="653"/>
      <c r="AR289" s="653"/>
      <c r="AS289" s="653"/>
      <c r="AT289" s="653"/>
      <c r="AU289" s="653"/>
      <c r="AV289" s="653"/>
      <c r="AW289" s="653"/>
      <c r="AX289" s="653"/>
      <c r="AY289" s="653"/>
      <c r="AZ289" s="653"/>
      <c r="BA289" s="653"/>
      <c r="BB289" s="653"/>
      <c r="BC289" s="653"/>
      <c r="BD289" s="653"/>
      <c r="BE289" s="653"/>
      <c r="BF289" s="653"/>
      <c r="BG289" s="653"/>
      <c r="BH289" s="653"/>
      <c r="BI289" s="653"/>
      <c r="BJ289" s="653"/>
      <c r="BK289" s="653"/>
      <c r="BL289" s="653"/>
      <c r="BM289" s="653"/>
      <c r="BN289" s="653"/>
      <c r="BO289" s="653"/>
      <c r="BP289" s="653"/>
      <c r="BQ289" s="653"/>
      <c r="BR289" s="653"/>
      <c r="BS289" s="653"/>
      <c r="BT289" s="653"/>
      <c r="BU289" s="653"/>
      <c r="BV289" s="654"/>
    </row>
    <row r="290" spans="2:74" x14ac:dyDescent="0.25">
      <c r="B290" s="651"/>
      <c r="C290" s="653"/>
      <c r="D290" s="653"/>
      <c r="E290" s="653"/>
      <c r="F290" s="653"/>
      <c r="G290" s="653"/>
      <c r="H290" s="653"/>
      <c r="I290" s="653"/>
      <c r="J290" s="653"/>
      <c r="K290" s="653"/>
      <c r="L290" s="653"/>
      <c r="M290" s="651"/>
      <c r="N290" s="909"/>
      <c r="O290" s="909"/>
      <c r="P290" s="909"/>
      <c r="Q290" s="910"/>
      <c r="R290" s="909"/>
      <c r="S290" s="909"/>
      <c r="T290" s="909"/>
      <c r="U290" s="909"/>
      <c r="V290" s="909"/>
      <c r="W290" s="909"/>
      <c r="X290" s="909"/>
      <c r="Y290" s="909"/>
      <c r="Z290" s="910"/>
      <c r="AA290" s="909"/>
      <c r="AB290" s="910"/>
      <c r="AC290" s="911"/>
      <c r="AD290" s="911"/>
      <c r="AE290" s="909"/>
      <c r="AF290" s="909"/>
      <c r="AG290" s="909"/>
      <c r="AH290" s="917"/>
      <c r="AI290" s="909"/>
      <c r="AJ290" s="916"/>
      <c r="AK290" s="916"/>
      <c r="AL290" s="653"/>
      <c r="AM290" s="918"/>
      <c r="AN290" s="915"/>
      <c r="AO290" s="653"/>
      <c r="AP290" s="653"/>
      <c r="AQ290" s="653"/>
      <c r="AR290" s="653"/>
      <c r="AS290" s="653"/>
      <c r="AT290" s="653"/>
      <c r="AU290" s="653"/>
      <c r="AV290" s="653"/>
      <c r="AW290" s="653"/>
      <c r="AX290" s="653"/>
      <c r="AY290" s="653"/>
      <c r="AZ290" s="653"/>
      <c r="BA290" s="653"/>
      <c r="BB290" s="653"/>
      <c r="BC290" s="653"/>
      <c r="BD290" s="653"/>
      <c r="BE290" s="653"/>
      <c r="BF290" s="653"/>
      <c r="BG290" s="653"/>
      <c r="BH290" s="653"/>
      <c r="BI290" s="653"/>
      <c r="BJ290" s="653"/>
      <c r="BK290" s="653"/>
      <c r="BL290" s="653"/>
      <c r="BM290" s="653"/>
      <c r="BN290" s="653"/>
      <c r="BO290" s="653"/>
      <c r="BP290" s="653"/>
      <c r="BQ290" s="653"/>
      <c r="BR290" s="653"/>
      <c r="BS290" s="653"/>
      <c r="BT290" s="653"/>
      <c r="BU290" s="653"/>
      <c r="BV290" s="654"/>
    </row>
    <row r="291" spans="2:74" ht="15.75" thickBot="1" x14ac:dyDescent="0.3">
      <c r="B291" s="651"/>
      <c r="C291" s="653"/>
      <c r="D291" s="653"/>
      <c r="E291" s="653"/>
      <c r="F291" s="653"/>
      <c r="G291" s="653"/>
      <c r="H291" s="653"/>
      <c r="I291" s="653"/>
      <c r="J291" s="653"/>
      <c r="K291" s="653"/>
      <c r="L291" s="653"/>
      <c r="M291" s="680"/>
      <c r="N291" s="909"/>
      <c r="O291" s="919"/>
      <c r="P291" s="909"/>
      <c r="Q291" s="920"/>
      <c r="R291" s="919"/>
      <c r="S291" s="909"/>
      <c r="T291" s="909"/>
      <c r="U291" s="909"/>
      <c r="V291" s="909"/>
      <c r="W291" s="909"/>
      <c r="X291" s="919"/>
      <c r="Y291" s="909"/>
      <c r="Z291" s="920"/>
      <c r="AA291" s="909"/>
      <c r="AB291" s="920"/>
      <c r="AC291" s="921"/>
      <c r="AD291" s="921"/>
      <c r="AE291" s="919"/>
      <c r="AF291" s="919"/>
      <c r="AG291" s="919"/>
      <c r="AH291" s="922"/>
      <c r="AI291" s="909"/>
      <c r="AJ291" s="916"/>
      <c r="AK291" s="916"/>
      <c r="AL291" s="653"/>
      <c r="AM291" s="918"/>
      <c r="AN291" s="923"/>
      <c r="AO291" s="653"/>
      <c r="AP291" s="653"/>
      <c r="AQ291" s="653"/>
      <c r="AR291" s="653"/>
      <c r="AS291" s="653"/>
      <c r="AT291" s="653"/>
      <c r="AU291" s="653"/>
      <c r="AV291" s="653"/>
      <c r="AW291" s="653"/>
      <c r="AX291" s="653"/>
      <c r="AY291" s="653"/>
      <c r="AZ291" s="653"/>
      <c r="BA291" s="653"/>
      <c r="BB291" s="653"/>
      <c r="BC291" s="653"/>
      <c r="BD291" s="653"/>
      <c r="BE291" s="653"/>
      <c r="BF291" s="653"/>
      <c r="BG291" s="653"/>
      <c r="BH291" s="653"/>
      <c r="BI291" s="653"/>
      <c r="BJ291" s="653"/>
      <c r="BK291" s="653"/>
      <c r="BL291" s="653"/>
      <c r="BM291" s="653"/>
      <c r="BN291" s="653"/>
      <c r="BO291" s="653"/>
      <c r="BP291" s="653"/>
      <c r="BQ291" s="653"/>
      <c r="BR291" s="653"/>
      <c r="BS291" s="653"/>
      <c r="BT291" s="653"/>
      <c r="BU291" s="653"/>
      <c r="BV291" s="654"/>
    </row>
    <row r="292" spans="2:74" x14ac:dyDescent="0.25">
      <c r="B292" s="651"/>
      <c r="C292" s="653"/>
      <c r="D292" s="653"/>
      <c r="E292" s="653"/>
      <c r="F292" s="653"/>
      <c r="G292" s="653"/>
      <c r="H292" s="653"/>
      <c r="I292" s="653"/>
      <c r="J292" s="653"/>
      <c r="K292" s="653"/>
      <c r="L292" s="653"/>
      <c r="M292" s="653"/>
      <c r="N292" s="653"/>
      <c r="O292" s="653"/>
      <c r="P292" s="653"/>
      <c r="Q292" s="653"/>
      <c r="R292" s="653"/>
      <c r="S292" s="653"/>
      <c r="T292" s="653"/>
      <c r="U292" s="653"/>
      <c r="V292" s="653"/>
      <c r="W292" s="653"/>
      <c r="X292" s="653"/>
      <c r="Y292" s="653"/>
      <c r="Z292" s="653"/>
      <c r="AA292" s="653"/>
      <c r="AB292" s="653"/>
      <c r="AC292" s="653"/>
      <c r="AD292" s="653"/>
      <c r="AE292" s="653"/>
      <c r="AF292" s="1063"/>
      <c r="AG292" s="653"/>
      <c r="AH292" s="653"/>
      <c r="AI292" s="653"/>
      <c r="AJ292" s="653"/>
      <c r="AK292" s="653"/>
      <c r="AL292" s="653"/>
      <c r="AM292" s="653"/>
      <c r="AN292" s="653"/>
      <c r="AO292" s="653"/>
      <c r="AP292" s="653"/>
      <c r="AQ292" s="653"/>
      <c r="AR292" s="653"/>
      <c r="AS292" s="653"/>
      <c r="AT292" s="653"/>
      <c r="AU292" s="653"/>
      <c r="AV292" s="653"/>
      <c r="AW292" s="653"/>
      <c r="AX292" s="653"/>
      <c r="AY292" s="653"/>
      <c r="AZ292" s="653"/>
      <c r="BA292" s="653"/>
      <c r="BB292" s="653"/>
      <c r="BC292" s="653"/>
      <c r="BD292" s="653"/>
      <c r="BE292" s="653"/>
      <c r="BF292" s="653"/>
      <c r="BG292" s="653"/>
      <c r="BH292" s="653"/>
      <c r="BI292" s="653"/>
      <c r="BJ292" s="653"/>
      <c r="BK292" s="653"/>
      <c r="BL292" s="653"/>
      <c r="BM292" s="653"/>
      <c r="BN292" s="653"/>
      <c r="BO292" s="653"/>
      <c r="BP292" s="653"/>
      <c r="BQ292" s="653"/>
      <c r="BR292" s="653"/>
      <c r="BS292" s="653"/>
      <c r="BT292" s="653"/>
      <c r="BU292" s="653"/>
      <c r="BV292" s="654"/>
    </row>
    <row r="293" spans="2:74" x14ac:dyDescent="0.25">
      <c r="B293" s="651"/>
      <c r="C293" s="653"/>
      <c r="D293" s="653"/>
      <c r="E293" s="653"/>
      <c r="F293" s="653"/>
      <c r="G293" s="653"/>
      <c r="H293" s="653"/>
      <c r="I293" s="653"/>
      <c r="J293" s="653"/>
      <c r="K293" s="653"/>
      <c r="L293" s="653"/>
      <c r="M293" s="653"/>
      <c r="N293" s="653"/>
      <c r="O293" s="653"/>
      <c r="P293" s="653"/>
      <c r="Q293" s="653"/>
      <c r="R293" s="653"/>
      <c r="S293" s="653"/>
      <c r="T293" s="653"/>
      <c r="U293" s="653"/>
      <c r="V293" s="653"/>
      <c r="W293" s="653"/>
      <c r="X293" s="653"/>
      <c r="Y293" s="653"/>
      <c r="Z293" s="653"/>
      <c r="AA293" s="653"/>
      <c r="AB293" s="653"/>
      <c r="AC293" s="653"/>
      <c r="AD293" s="653"/>
      <c r="AE293" s="653"/>
      <c r="AF293" s="1063"/>
      <c r="AG293" s="653"/>
      <c r="AH293" s="653"/>
      <c r="AI293" s="653"/>
      <c r="AJ293" s="653"/>
      <c r="AK293" s="653"/>
      <c r="AL293" s="653"/>
      <c r="AM293" s="653"/>
      <c r="AN293" s="653"/>
      <c r="AO293" s="653"/>
      <c r="AP293" s="653"/>
      <c r="AQ293" s="653"/>
      <c r="AR293" s="653"/>
      <c r="AS293" s="653"/>
      <c r="AT293" s="653"/>
      <c r="AU293" s="653"/>
      <c r="AV293" s="653"/>
      <c r="AW293" s="653"/>
      <c r="AX293" s="653"/>
      <c r="AY293" s="653"/>
      <c r="AZ293" s="653"/>
      <c r="BA293" s="653"/>
      <c r="BB293" s="653"/>
      <c r="BC293" s="653"/>
      <c r="BD293" s="653"/>
      <c r="BE293" s="653"/>
      <c r="BF293" s="653"/>
      <c r="BG293" s="653"/>
      <c r="BH293" s="653"/>
      <c r="BI293" s="653"/>
      <c r="BJ293" s="653"/>
      <c r="BK293" s="653"/>
      <c r="BL293" s="653"/>
      <c r="BM293" s="653"/>
      <c r="BN293" s="653"/>
      <c r="BO293" s="653"/>
      <c r="BP293" s="653"/>
      <c r="BQ293" s="653"/>
      <c r="BR293" s="653"/>
      <c r="BS293" s="653"/>
      <c r="BT293" s="653"/>
      <c r="BU293" s="653"/>
      <c r="BV293" s="654"/>
    </row>
    <row r="294" spans="2:74" x14ac:dyDescent="0.25">
      <c r="B294" s="651"/>
      <c r="C294" s="653"/>
      <c r="D294" s="653"/>
      <c r="E294" s="653"/>
      <c r="F294" s="653"/>
      <c r="G294" s="653"/>
      <c r="H294" s="653"/>
      <c r="I294" s="653"/>
      <c r="J294" s="653"/>
      <c r="K294" s="653"/>
      <c r="L294" s="653"/>
      <c r="M294" s="653"/>
      <c r="N294" s="653"/>
      <c r="O294" s="653"/>
      <c r="P294" s="653"/>
      <c r="Q294" s="653"/>
      <c r="R294" s="653"/>
      <c r="S294" s="653"/>
      <c r="T294" s="653"/>
      <c r="U294" s="653"/>
      <c r="V294" s="653"/>
      <c r="W294" s="653"/>
      <c r="X294" s="653"/>
      <c r="Y294" s="653"/>
      <c r="Z294" s="653"/>
      <c r="AA294" s="653"/>
      <c r="AB294" s="653"/>
      <c r="AC294" s="653"/>
      <c r="AD294" s="653"/>
      <c r="AE294" s="653"/>
      <c r="AF294" s="1063"/>
      <c r="AG294" s="653"/>
      <c r="AH294" s="653"/>
      <c r="AI294" s="653"/>
      <c r="AJ294" s="653"/>
      <c r="AK294" s="653"/>
      <c r="AL294" s="653"/>
      <c r="AM294" s="653"/>
      <c r="AN294" s="653"/>
      <c r="AO294" s="653"/>
      <c r="AP294" s="653"/>
      <c r="AQ294" s="653"/>
      <c r="AR294" s="653"/>
      <c r="AS294" s="653"/>
      <c r="AT294" s="653"/>
      <c r="AU294" s="653"/>
      <c r="AV294" s="653"/>
      <c r="AW294" s="653"/>
      <c r="AX294" s="653"/>
      <c r="AY294" s="653"/>
      <c r="AZ294" s="653"/>
      <c r="BA294" s="653"/>
      <c r="BB294" s="653"/>
      <c r="BC294" s="653"/>
      <c r="BD294" s="653"/>
      <c r="BE294" s="653"/>
      <c r="BF294" s="653"/>
      <c r="BG294" s="653"/>
      <c r="BH294" s="653"/>
      <c r="BI294" s="653"/>
      <c r="BJ294" s="653"/>
      <c r="BK294" s="653"/>
      <c r="BL294" s="653"/>
      <c r="BM294" s="653"/>
      <c r="BN294" s="653"/>
      <c r="BO294" s="653"/>
      <c r="BP294" s="653"/>
      <c r="BQ294" s="653"/>
      <c r="BR294" s="653"/>
      <c r="BS294" s="653"/>
      <c r="BT294" s="653"/>
      <c r="BU294" s="653"/>
      <c r="BV294" s="654"/>
    </row>
    <row r="295" spans="2:74" x14ac:dyDescent="0.25">
      <c r="B295" s="651"/>
      <c r="C295" s="653"/>
      <c r="D295" s="653"/>
      <c r="E295" s="653"/>
      <c r="F295" s="653"/>
      <c r="G295" s="653"/>
      <c r="H295" s="653"/>
      <c r="I295" s="653"/>
      <c r="J295" s="653"/>
      <c r="K295" s="653"/>
      <c r="L295" s="653"/>
      <c r="M295" s="653"/>
      <c r="N295" s="653"/>
      <c r="O295" s="653"/>
      <c r="P295" s="653"/>
      <c r="Q295" s="653"/>
      <c r="R295" s="653"/>
      <c r="S295" s="653"/>
      <c r="T295" s="653"/>
      <c r="U295" s="653"/>
      <c r="V295" s="653"/>
      <c r="W295" s="653"/>
      <c r="X295" s="653"/>
      <c r="Y295" s="653"/>
      <c r="Z295" s="653"/>
      <c r="AA295" s="653"/>
      <c r="AB295" s="653"/>
      <c r="AC295" s="653"/>
      <c r="AD295" s="653"/>
      <c r="AE295" s="653"/>
      <c r="AF295" s="1063"/>
      <c r="AG295" s="653"/>
      <c r="AH295" s="653"/>
      <c r="AI295" s="653"/>
      <c r="AJ295" s="653"/>
      <c r="AK295" s="653"/>
      <c r="AL295" s="653"/>
      <c r="AM295" s="653"/>
      <c r="AN295" s="653"/>
      <c r="AO295" s="653"/>
      <c r="AP295" s="653"/>
      <c r="AQ295" s="653"/>
      <c r="AR295" s="653"/>
      <c r="AS295" s="653"/>
      <c r="AT295" s="653"/>
      <c r="AU295" s="653"/>
      <c r="AV295" s="653"/>
      <c r="AW295" s="653"/>
      <c r="AX295" s="653"/>
      <c r="AY295" s="653"/>
      <c r="AZ295" s="653"/>
      <c r="BA295" s="653"/>
      <c r="BB295" s="653"/>
      <c r="BC295" s="653"/>
      <c r="BD295" s="653"/>
      <c r="BE295" s="653"/>
      <c r="BF295" s="653"/>
      <c r="BG295" s="653"/>
      <c r="BH295" s="653"/>
      <c r="BI295" s="653"/>
      <c r="BJ295" s="653"/>
      <c r="BK295" s="653"/>
      <c r="BL295" s="653"/>
      <c r="BM295" s="653"/>
      <c r="BN295" s="653"/>
      <c r="BO295" s="653"/>
      <c r="BP295" s="653"/>
      <c r="BQ295" s="653"/>
      <c r="BR295" s="653"/>
      <c r="BS295" s="653"/>
      <c r="BT295" s="653"/>
      <c r="BU295" s="653"/>
      <c r="BV295" s="654"/>
    </row>
    <row r="296" spans="2:74" x14ac:dyDescent="0.25">
      <c r="B296" s="651"/>
      <c r="C296" s="653"/>
      <c r="D296" s="653"/>
      <c r="E296" s="653"/>
      <c r="F296" s="653"/>
      <c r="G296" s="653"/>
      <c r="H296" s="653"/>
      <c r="I296" s="653"/>
      <c r="J296" s="653"/>
      <c r="K296" s="653"/>
      <c r="L296" s="653"/>
      <c r="M296" s="653"/>
      <c r="N296" s="653"/>
      <c r="O296" s="653"/>
      <c r="P296" s="653"/>
      <c r="Q296" s="653"/>
      <c r="R296" s="653"/>
      <c r="S296" s="653"/>
      <c r="T296" s="653"/>
      <c r="U296" s="653"/>
      <c r="V296" s="653"/>
      <c r="W296" s="653"/>
      <c r="X296" s="653"/>
      <c r="Y296" s="653"/>
      <c r="Z296" s="653"/>
      <c r="AA296" s="653"/>
      <c r="AB296" s="653"/>
      <c r="AC296" s="653"/>
      <c r="AD296" s="653"/>
      <c r="AE296" s="653"/>
      <c r="AF296" s="1063"/>
      <c r="AG296" s="653"/>
      <c r="AH296" s="653"/>
      <c r="AI296" s="653"/>
      <c r="AJ296" s="653"/>
      <c r="AK296" s="653"/>
      <c r="AL296" s="653"/>
      <c r="AM296" s="653"/>
      <c r="AN296" s="653"/>
      <c r="AO296" s="653"/>
      <c r="AP296" s="653"/>
      <c r="AQ296" s="653"/>
      <c r="AR296" s="653"/>
      <c r="AS296" s="653"/>
      <c r="AT296" s="653"/>
      <c r="AU296" s="653"/>
      <c r="AV296" s="653"/>
      <c r="AW296" s="653"/>
      <c r="AX296" s="653"/>
      <c r="AY296" s="653"/>
      <c r="AZ296" s="653"/>
      <c r="BA296" s="653"/>
      <c r="BB296" s="653"/>
      <c r="BC296" s="653"/>
      <c r="BD296" s="653"/>
      <c r="BE296" s="653"/>
      <c r="BF296" s="653"/>
      <c r="BG296" s="653"/>
      <c r="BH296" s="653"/>
      <c r="BI296" s="653"/>
      <c r="BJ296" s="653"/>
      <c r="BK296" s="653"/>
      <c r="BL296" s="653"/>
      <c r="BM296" s="653"/>
      <c r="BN296" s="653"/>
      <c r="BO296" s="653"/>
      <c r="BP296" s="653"/>
      <c r="BQ296" s="653"/>
      <c r="BR296" s="653"/>
      <c r="BS296" s="653"/>
      <c r="BT296" s="653"/>
      <c r="BU296" s="653"/>
      <c r="BV296" s="654"/>
    </row>
    <row r="297" spans="2:74" x14ac:dyDescent="0.25">
      <c r="B297" s="651"/>
      <c r="C297" s="653"/>
      <c r="D297" s="653"/>
      <c r="E297" s="653"/>
      <c r="F297" s="653"/>
      <c r="G297" s="653"/>
      <c r="H297" s="653"/>
      <c r="I297" s="653"/>
      <c r="J297" s="653"/>
      <c r="K297" s="653"/>
      <c r="L297" s="653"/>
      <c r="M297" s="653"/>
      <c r="N297" s="653"/>
      <c r="O297" s="653"/>
      <c r="P297" s="653"/>
      <c r="Q297" s="653"/>
      <c r="R297" s="653"/>
      <c r="S297" s="653"/>
      <c r="T297" s="653"/>
      <c r="U297" s="653"/>
      <c r="V297" s="653"/>
      <c r="W297" s="653"/>
      <c r="X297" s="653"/>
      <c r="Y297" s="653"/>
      <c r="Z297" s="653"/>
      <c r="AA297" s="653"/>
      <c r="AB297" s="653"/>
      <c r="AC297" s="653"/>
      <c r="AD297" s="653"/>
      <c r="AE297" s="653"/>
      <c r="AF297" s="1063"/>
      <c r="AG297" s="653"/>
      <c r="AH297" s="653"/>
      <c r="AI297" s="653"/>
      <c r="AJ297" s="653"/>
      <c r="AK297" s="653"/>
      <c r="AL297" s="653"/>
      <c r="AM297" s="653"/>
      <c r="AN297" s="653"/>
      <c r="AO297" s="653"/>
      <c r="AP297" s="653"/>
      <c r="AQ297" s="653"/>
      <c r="AR297" s="653"/>
      <c r="AS297" s="653"/>
      <c r="AT297" s="653"/>
      <c r="AU297" s="653"/>
      <c r="AV297" s="653"/>
      <c r="AW297" s="653"/>
      <c r="AX297" s="653"/>
      <c r="AY297" s="653"/>
      <c r="AZ297" s="653"/>
      <c r="BA297" s="653"/>
      <c r="BB297" s="653"/>
      <c r="BC297" s="653"/>
      <c r="BD297" s="653"/>
      <c r="BE297" s="653"/>
      <c r="BF297" s="653"/>
      <c r="BG297" s="653"/>
      <c r="BH297" s="653"/>
      <c r="BI297" s="653"/>
      <c r="BJ297" s="653"/>
      <c r="BK297" s="653"/>
      <c r="BL297" s="653"/>
      <c r="BM297" s="653"/>
      <c r="BN297" s="653"/>
      <c r="BO297" s="653"/>
      <c r="BP297" s="653"/>
      <c r="BQ297" s="653"/>
      <c r="BR297" s="653"/>
      <c r="BS297" s="653"/>
      <c r="BT297" s="653"/>
      <c r="BU297" s="653"/>
      <c r="BV297" s="654"/>
    </row>
    <row r="298" spans="2:74" ht="15.75" thickBot="1" x14ac:dyDescent="0.3">
      <c r="B298" s="680"/>
      <c r="C298" s="681"/>
      <c r="D298" s="681"/>
      <c r="E298" s="681"/>
      <c r="F298" s="681"/>
      <c r="G298" s="681"/>
      <c r="H298" s="681"/>
      <c r="I298" s="681"/>
      <c r="J298" s="681"/>
      <c r="K298" s="681"/>
      <c r="L298" s="681"/>
      <c r="M298" s="681"/>
      <c r="N298" s="681"/>
      <c r="O298" s="681"/>
      <c r="P298" s="681"/>
      <c r="Q298" s="681"/>
      <c r="R298" s="681"/>
      <c r="S298" s="681"/>
      <c r="T298" s="681"/>
      <c r="U298" s="681"/>
      <c r="V298" s="681"/>
      <c r="W298" s="681"/>
      <c r="X298" s="681"/>
      <c r="Y298" s="681"/>
      <c r="Z298" s="681"/>
      <c r="AA298" s="681"/>
      <c r="AB298" s="681"/>
      <c r="AC298" s="681"/>
      <c r="AD298" s="681"/>
      <c r="AE298" s="681"/>
      <c r="AF298" s="980"/>
      <c r="AG298" s="681"/>
      <c r="AH298" s="681"/>
      <c r="AI298" s="681"/>
      <c r="AJ298" s="681"/>
      <c r="AK298" s="681"/>
      <c r="AL298" s="681"/>
      <c r="AM298" s="681"/>
      <c r="AN298" s="681"/>
      <c r="AO298" s="681"/>
      <c r="AP298" s="681"/>
      <c r="AQ298" s="681"/>
      <c r="AR298" s="681"/>
      <c r="AS298" s="681"/>
      <c r="AT298" s="681"/>
      <c r="AU298" s="681"/>
      <c r="AV298" s="681"/>
      <c r="AW298" s="681"/>
      <c r="AX298" s="681"/>
      <c r="AY298" s="681"/>
      <c r="AZ298" s="681"/>
      <c r="BA298" s="681"/>
      <c r="BB298" s="681"/>
      <c r="BC298" s="681"/>
      <c r="BD298" s="681"/>
      <c r="BE298" s="681"/>
      <c r="BF298" s="681"/>
      <c r="BG298" s="681"/>
      <c r="BH298" s="681"/>
      <c r="BI298" s="681"/>
      <c r="BJ298" s="681"/>
      <c r="BK298" s="681"/>
      <c r="BL298" s="681"/>
      <c r="BM298" s="681"/>
      <c r="BN298" s="681"/>
      <c r="BO298" s="681"/>
      <c r="BP298" s="681"/>
      <c r="BQ298" s="681"/>
      <c r="BR298" s="681"/>
      <c r="BS298" s="681"/>
      <c r="BT298" s="681"/>
      <c r="BU298" s="681"/>
      <c r="BV298" s="666"/>
    </row>
    <row r="302" spans="2:74" ht="15.75" thickBot="1" x14ac:dyDescent="0.3"/>
    <row r="303" spans="2:74" ht="47.25" thickBot="1" x14ac:dyDescent="0.75">
      <c r="B303" s="982" t="str">
        <f>"Variante: "&amp;'1. Projektangaben'!C25&amp;" "</f>
        <v xml:space="preserve">Variante: PH-WDVS-WP-Abl-mittl.Sol-ohne PV </v>
      </c>
      <c r="C303" s="981"/>
      <c r="D303" s="981"/>
      <c r="E303" s="649"/>
      <c r="F303" s="649"/>
      <c r="G303" s="649"/>
      <c r="H303" s="649"/>
      <c r="I303" s="649"/>
      <c r="J303" s="649"/>
      <c r="K303" s="649"/>
      <c r="L303" s="649"/>
      <c r="M303" s="649"/>
      <c r="N303" s="649"/>
      <c r="O303" s="649"/>
      <c r="P303" s="649"/>
      <c r="Q303" s="649"/>
      <c r="R303" s="649"/>
      <c r="S303" s="649"/>
      <c r="T303" s="649"/>
      <c r="U303" s="649"/>
      <c r="V303" s="649"/>
      <c r="W303" s="649"/>
      <c r="X303" s="649"/>
      <c r="Y303" s="649"/>
      <c r="Z303" s="649"/>
      <c r="AA303" s="649"/>
      <c r="AB303" s="649"/>
      <c r="AC303" s="649"/>
      <c r="AD303" s="649"/>
      <c r="AE303" s="649"/>
      <c r="AF303" s="959"/>
      <c r="AG303" s="649"/>
      <c r="AH303" s="649"/>
      <c r="AI303" s="649"/>
      <c r="AJ303" s="649"/>
      <c r="AK303" s="649"/>
      <c r="AL303" s="649"/>
      <c r="AM303" s="649"/>
      <c r="AN303" s="649"/>
      <c r="AO303" s="649"/>
      <c r="AP303" s="649"/>
      <c r="AQ303" s="649"/>
      <c r="AR303" s="649"/>
      <c r="AS303" s="649"/>
      <c r="AT303" s="649"/>
      <c r="AU303" s="649"/>
      <c r="AV303" s="649"/>
      <c r="AW303" s="649"/>
      <c r="AX303" s="649"/>
      <c r="AY303" s="649"/>
      <c r="AZ303" s="649"/>
      <c r="BA303" s="649"/>
      <c r="BB303" s="649"/>
      <c r="BC303" s="649"/>
      <c r="BD303" s="649"/>
      <c r="BE303" s="649"/>
      <c r="BF303" s="649"/>
      <c r="BG303" s="649"/>
      <c r="BH303" s="649"/>
      <c r="BI303" s="649"/>
      <c r="BJ303" s="649"/>
      <c r="BK303" s="649"/>
      <c r="BL303" s="649"/>
      <c r="BM303" s="649"/>
      <c r="BN303" s="649"/>
      <c r="BO303" s="649"/>
      <c r="BP303" s="649"/>
      <c r="BQ303" s="649"/>
      <c r="BR303" s="649"/>
      <c r="BS303" s="649"/>
      <c r="BT303" s="649"/>
      <c r="BU303" s="649"/>
      <c r="BV303" s="650"/>
    </row>
    <row r="304" spans="2:74" ht="15.75" thickBot="1" x14ac:dyDescent="0.3">
      <c r="B304" s="651"/>
      <c r="C304" s="653"/>
      <c r="D304" s="653"/>
      <c r="E304" s="653"/>
      <c r="F304" s="653"/>
      <c r="G304" s="653"/>
      <c r="H304" s="653"/>
      <c r="I304" s="653"/>
      <c r="J304" s="653"/>
      <c r="K304" s="653"/>
      <c r="L304" s="653"/>
      <c r="M304" s="653"/>
      <c r="N304" s="653"/>
      <c r="O304" s="653"/>
      <c r="P304" s="653"/>
      <c r="Q304" s="653"/>
      <c r="R304" s="653"/>
      <c r="S304" s="653"/>
      <c r="T304" s="1004" t="s">
        <v>695</v>
      </c>
      <c r="U304" s="649" t="s">
        <v>596</v>
      </c>
      <c r="V304" s="999"/>
      <c r="W304" s="1000" t="str">
        <f>Annuitätenzuschuss!B17</f>
        <v>Kreditlaufzeit in Jahren</v>
      </c>
      <c r="X304" s="990"/>
      <c r="Y304" s="990"/>
      <c r="Z304" s="990"/>
      <c r="AA304" s="990" t="str">
        <f>Annuitätenzuschuss!F17</f>
        <v>Kreditlaufzeit</v>
      </c>
      <c r="AB304" s="991" t="str">
        <f>Annuitätenzuschuss!G17</f>
        <v>Tilgung</v>
      </c>
      <c r="AC304" s="653"/>
      <c r="AD304" s="653"/>
      <c r="AE304" s="653"/>
      <c r="AF304" s="1063"/>
      <c r="AG304" s="653"/>
      <c r="AH304" s="653"/>
      <c r="AI304" s="653"/>
      <c r="AJ304" s="653"/>
      <c r="AK304" s="653"/>
      <c r="AL304" s="653"/>
      <c r="AM304" s="653"/>
      <c r="AN304" s="653"/>
      <c r="AO304" s="653"/>
      <c r="AP304" s="653"/>
      <c r="AQ304" s="653"/>
      <c r="AR304" s="653"/>
      <c r="AS304" s="653"/>
      <c r="AT304" s="653"/>
      <c r="AU304" s="653"/>
      <c r="AV304" s="653"/>
      <c r="AW304" s="653"/>
      <c r="AX304" s="653"/>
      <c r="AY304" s="653"/>
      <c r="AZ304" s="653"/>
      <c r="BA304" s="653"/>
      <c r="BB304" s="653"/>
      <c r="BC304" s="653"/>
      <c r="BD304" s="653"/>
      <c r="BE304" s="653"/>
      <c r="BF304" s="653"/>
      <c r="BG304" s="653"/>
      <c r="BH304" s="653"/>
      <c r="BI304" s="653"/>
      <c r="BJ304" s="653"/>
      <c r="BK304" s="653"/>
      <c r="BL304" s="653"/>
      <c r="BM304" s="653"/>
      <c r="BN304" s="653"/>
      <c r="BO304" s="653"/>
      <c r="BP304" s="653"/>
      <c r="BQ304" s="653"/>
      <c r="BR304" s="653"/>
      <c r="BS304" s="653"/>
      <c r="BT304" s="653"/>
      <c r="BU304" s="653"/>
      <c r="BV304" s="654"/>
    </row>
    <row r="305" spans="2:74" x14ac:dyDescent="0.25">
      <c r="B305" s="651"/>
      <c r="C305" s="653"/>
      <c r="D305" s="653"/>
      <c r="E305" s="653"/>
      <c r="F305" s="653"/>
      <c r="G305" s="653"/>
      <c r="H305" s="653"/>
      <c r="I305" s="653"/>
      <c r="J305" s="653"/>
      <c r="K305" s="653"/>
      <c r="L305" s="653"/>
      <c r="M305" s="653"/>
      <c r="N305" s="653"/>
      <c r="O305" s="653"/>
      <c r="P305" s="653"/>
      <c r="Q305" s="653"/>
      <c r="R305" s="653"/>
      <c r="S305" s="653"/>
      <c r="T305" s="653"/>
      <c r="U305" s="1001">
        <f>Annuitätenzuschuss!$C$25</f>
        <v>12</v>
      </c>
      <c r="V305" s="879" t="s">
        <v>371</v>
      </c>
      <c r="W305" s="934" t="str">
        <f>Annuitätenzuschuss!B18</f>
        <v>von</v>
      </c>
      <c r="X305" s="899"/>
      <c r="Y305" s="899" t="str">
        <f>Annuitätenzuschuss!D18</f>
        <v>bis</v>
      </c>
      <c r="Z305" s="899"/>
      <c r="AA305" s="893" t="str">
        <f>Annuitätenzuschuss!F18</f>
        <v>(a)</v>
      </c>
      <c r="AB305" s="992" t="str">
        <f>Annuitätenzuschuss!G18</f>
        <v>(%)</v>
      </c>
      <c r="AC305" s="653"/>
      <c r="AD305" s="653"/>
      <c r="AE305" s="653"/>
      <c r="AF305" s="1063"/>
      <c r="AG305" s="653"/>
      <c r="AH305" s="653"/>
      <c r="AI305" s="653"/>
      <c r="AJ305" s="653"/>
      <c r="AK305" s="653"/>
      <c r="AL305" s="653"/>
      <c r="AM305" s="653"/>
      <c r="AN305" s="653"/>
      <c r="AO305" s="653"/>
      <c r="AP305" s="653"/>
      <c r="AQ305" s="653"/>
      <c r="AR305" s="653"/>
      <c r="AS305" s="653"/>
      <c r="AT305" s="653"/>
      <c r="AU305" s="653"/>
      <c r="AV305" s="653"/>
      <c r="AW305" s="653"/>
      <c r="AX305" s="653"/>
      <c r="AY305" s="653"/>
      <c r="AZ305" s="653"/>
      <c r="BA305" s="653"/>
      <c r="BB305" s="653"/>
      <c r="BC305" s="653"/>
      <c r="BD305" s="653"/>
      <c r="BE305" s="653"/>
      <c r="BF305" s="653"/>
      <c r="BG305" s="653"/>
      <c r="BH305" s="653"/>
      <c r="BI305" s="653"/>
      <c r="BJ305" s="653"/>
      <c r="BK305" s="653"/>
      <c r="BL305" s="653"/>
      <c r="BM305" s="653"/>
      <c r="BN305" s="653"/>
      <c r="BO305" s="653"/>
      <c r="BP305" s="653"/>
      <c r="BQ305" s="653"/>
      <c r="BR305" s="653"/>
      <c r="BS305" s="653"/>
      <c r="BT305" s="653"/>
      <c r="BU305" s="653"/>
      <c r="BV305" s="654"/>
    </row>
    <row r="306" spans="2:74" ht="15.75" thickBot="1" x14ac:dyDescent="0.3">
      <c r="B306" s="651"/>
      <c r="C306" s="653"/>
      <c r="D306" s="653"/>
      <c r="E306" s="653"/>
      <c r="F306" s="653"/>
      <c r="G306" s="653"/>
      <c r="H306" s="653"/>
      <c r="I306" s="653"/>
      <c r="J306" s="653"/>
      <c r="K306" s="653"/>
      <c r="L306" s="653"/>
      <c r="M306" s="653"/>
      <c r="N306" s="653"/>
      <c r="O306" s="653"/>
      <c r="P306" s="653" t="str">
        <f>Annuitätenzuschuss!B7</f>
        <v>Nominalzins Land Vorarlberg AUSGABEN</v>
      </c>
      <c r="Q306" s="960">
        <f>Annuitätenzuschuss!C7</f>
        <v>0.03</v>
      </c>
      <c r="R306" s="653"/>
      <c r="S306" s="653"/>
      <c r="T306" s="653"/>
      <c r="U306" s="651" t="s">
        <v>674</v>
      </c>
      <c r="V306" s="653"/>
      <c r="W306" s="996">
        <f>Annuitätenzuschuss!B19</f>
        <v>1</v>
      </c>
      <c r="X306" s="893" t="str">
        <f>Annuitätenzuschuss!C19</f>
        <v>-</v>
      </c>
      <c r="Y306" s="899">
        <f>Annuitätenzuschuss!D19</f>
        <v>25</v>
      </c>
      <c r="Z306" s="899" t="str">
        <f>Annuitätenzuschuss!E19</f>
        <v/>
      </c>
      <c r="AA306" s="899">
        <f>Annuitätenzuschuss!F19</f>
        <v>25</v>
      </c>
      <c r="AB306" s="993">
        <f>Annuitätenzuschuss!G19</f>
        <v>5.0000000000000001E-3</v>
      </c>
      <c r="AC306" s="1063">
        <f ca="1">IF(OR($S$311="",$S$311=0,Y306=""),"",$S$311*AB306)</f>
        <v>8623.5699999999961</v>
      </c>
      <c r="AD306" s="653"/>
      <c r="AE306" s="653"/>
      <c r="AF306" s="653"/>
      <c r="AG306" s="653"/>
      <c r="AH306" s="653"/>
      <c r="AI306" s="653"/>
      <c r="AJ306" s="653"/>
      <c r="AK306" s="653"/>
      <c r="AL306" s="653"/>
      <c r="AM306" s="653"/>
      <c r="AN306" s="653"/>
      <c r="AO306" s="653"/>
      <c r="AP306" s="653"/>
      <c r="AQ306" s="653"/>
      <c r="AR306" s="653"/>
      <c r="AS306" s="653"/>
      <c r="AT306" s="653"/>
      <c r="AU306" s="653"/>
      <c r="AV306" s="653"/>
      <c r="AW306" s="653"/>
      <c r="AX306" s="653"/>
      <c r="AY306" s="653"/>
      <c r="AZ306" s="653"/>
      <c r="BA306" s="653"/>
      <c r="BB306" s="653"/>
      <c r="BC306" s="653"/>
      <c r="BD306" s="653"/>
      <c r="BE306" s="653"/>
      <c r="BF306" s="653"/>
      <c r="BG306" s="653"/>
      <c r="BH306" s="653"/>
      <c r="BI306" s="653"/>
      <c r="BJ306" s="653"/>
      <c r="BK306" s="653"/>
      <c r="BL306" s="653"/>
      <c r="BM306" s="653"/>
      <c r="BN306" s="653"/>
      <c r="BO306" s="653"/>
      <c r="BP306" s="653"/>
      <c r="BQ306" s="653"/>
      <c r="BR306" s="653"/>
      <c r="BS306" s="653"/>
      <c r="BT306" s="653"/>
      <c r="BU306" s="653"/>
      <c r="BV306" s="654"/>
    </row>
    <row r="307" spans="2:74" x14ac:dyDescent="0.25">
      <c r="B307" s="648"/>
      <c r="C307" s="649"/>
      <c r="D307" s="649"/>
      <c r="E307" s="649"/>
      <c r="F307" s="650"/>
      <c r="G307" s="653"/>
      <c r="H307" s="653"/>
      <c r="I307" s="653"/>
      <c r="J307" s="653"/>
      <c r="K307" s="653"/>
      <c r="L307" s="653"/>
      <c r="M307" s="653"/>
      <c r="N307" s="653"/>
      <c r="O307" s="653"/>
      <c r="P307" s="653" t="s">
        <v>587</v>
      </c>
      <c r="Q307" s="961">
        <f>Annuitätenzuschuss!$C$5</f>
        <v>0.02</v>
      </c>
      <c r="R307" s="653"/>
      <c r="S307" s="653"/>
      <c r="T307" s="653"/>
      <c r="U307" s="968">
        <f>Annuitätenzuschuss!$C$16</f>
        <v>0</v>
      </c>
      <c r="V307" s="653"/>
      <c r="W307" s="996">
        <f>Annuitätenzuschuss!B20</f>
        <v>26</v>
      </c>
      <c r="X307" s="893" t="str">
        <f>Annuitätenzuschuss!C20</f>
        <v>-</v>
      </c>
      <c r="Y307" s="899">
        <f>Annuitätenzuschuss!D20</f>
        <v>45</v>
      </c>
      <c r="Z307" s="899" t="str">
        <f>Annuitätenzuschuss!E20</f>
        <v/>
      </c>
      <c r="AA307" s="899">
        <f>Annuitätenzuschuss!F20</f>
        <v>20</v>
      </c>
      <c r="AB307" s="993">
        <f>Annuitätenzuschuss!G20</f>
        <v>3.5000000000000003E-2</v>
      </c>
      <c r="AC307" s="1063">
        <f ca="1">IF(OR($S$311="",$S$311=0,Y307=""),"",$S$311*AB307)</f>
        <v>60364.989999999983</v>
      </c>
      <c r="AD307" s="653"/>
      <c r="AE307" s="653"/>
      <c r="AF307" s="653"/>
      <c r="AG307" s="653"/>
      <c r="AH307" s="653"/>
      <c r="AI307" s="653"/>
      <c r="AJ307" s="653"/>
      <c r="AK307" s="653"/>
      <c r="AL307" s="653"/>
      <c r="AM307" s="653"/>
      <c r="AN307" s="653"/>
      <c r="AO307" s="653"/>
      <c r="AP307" s="653"/>
      <c r="AQ307" s="653"/>
      <c r="AR307" s="653"/>
      <c r="AS307" s="653"/>
      <c r="AT307" s="653"/>
      <c r="AU307" s="653"/>
      <c r="AV307" s="653"/>
      <c r="AW307" s="653"/>
      <c r="AX307" s="653"/>
      <c r="AY307" s="653"/>
      <c r="AZ307" s="653"/>
      <c r="BA307" s="653"/>
      <c r="BB307" s="653"/>
      <c r="BC307" s="653"/>
      <c r="BD307" s="653"/>
      <c r="BE307" s="653"/>
      <c r="BF307" s="653"/>
      <c r="BG307" s="653"/>
      <c r="BH307" s="653"/>
      <c r="BI307" s="653"/>
      <c r="BJ307" s="653"/>
      <c r="BK307" s="653"/>
      <c r="BL307" s="653"/>
      <c r="BM307" s="653"/>
      <c r="BN307" s="653"/>
      <c r="BO307" s="653"/>
      <c r="BP307" s="653"/>
      <c r="BQ307" s="653"/>
      <c r="BR307" s="653"/>
      <c r="BS307" s="653"/>
      <c r="BT307" s="653"/>
      <c r="BU307" s="653"/>
      <c r="BV307" s="654"/>
    </row>
    <row r="308" spans="2:74" x14ac:dyDescent="0.25">
      <c r="B308" s="651"/>
      <c r="C308" s="653"/>
      <c r="D308" s="653"/>
      <c r="E308" s="653"/>
      <c r="F308" s="654"/>
      <c r="G308" s="653"/>
      <c r="H308" s="653"/>
      <c r="I308" s="653"/>
      <c r="J308" s="653"/>
      <c r="K308" s="653"/>
      <c r="L308" s="653"/>
      <c r="M308" s="653"/>
      <c r="N308" s="653"/>
      <c r="O308" s="653"/>
      <c r="P308" s="653" t="s">
        <v>588</v>
      </c>
      <c r="Q308" s="961">
        <f>Annuitätenzuschuss!$C$6</f>
        <v>0.02</v>
      </c>
      <c r="R308" s="962"/>
      <c r="S308" s="653" t="str">
        <f ca="1">IF(SUM(R311:R314,R316:R317)&gt;R318,"WARNUNG","OK")</f>
        <v>OK</v>
      </c>
      <c r="T308" s="653"/>
      <c r="U308" s="651"/>
      <c r="V308" s="653"/>
      <c r="W308" s="996">
        <f>Annuitätenzuschuss!B21</f>
        <v>46</v>
      </c>
      <c r="X308" s="893" t="str">
        <f>Annuitätenzuschuss!C21</f>
        <v>-</v>
      </c>
      <c r="Y308" s="899">
        <f>Annuitätenzuschuss!D21</f>
        <v>50</v>
      </c>
      <c r="Z308" s="899" t="str">
        <f>Annuitätenzuschuss!E21</f>
        <v/>
      </c>
      <c r="AA308" s="899">
        <f>Annuitätenzuschuss!F21</f>
        <v>5</v>
      </c>
      <c r="AB308" s="993">
        <f>Annuitätenzuschuss!G21</f>
        <v>4.4999999999999998E-2</v>
      </c>
      <c r="AC308" s="1063">
        <f ca="1">IF(OR($S$311="",$S$311=0,Y308=""),"",$S$311*AB308)</f>
        <v>77612.129999999961</v>
      </c>
      <c r="AD308" s="653"/>
      <c r="AE308" s="653"/>
      <c r="AF308" s="653"/>
      <c r="AG308" s="653"/>
      <c r="AH308" s="653"/>
      <c r="AI308" s="653"/>
      <c r="AJ308" s="653"/>
      <c r="AK308" s="653"/>
      <c r="AL308" s="653"/>
      <c r="AM308" s="653"/>
      <c r="AN308" s="653"/>
      <c r="AO308" s="653"/>
      <c r="AP308" s="653"/>
      <c r="AQ308" s="653"/>
      <c r="AR308" s="653"/>
      <c r="AS308" s="653"/>
      <c r="AT308" s="653"/>
      <c r="AU308" s="653"/>
      <c r="AV308" s="653"/>
      <c r="AW308" s="653"/>
      <c r="AX308" s="653"/>
      <c r="AY308" s="653"/>
      <c r="AZ308" s="653"/>
      <c r="BA308" s="653"/>
      <c r="BB308" s="653"/>
      <c r="BC308" s="653"/>
      <c r="BD308" s="653"/>
      <c r="BE308" s="653"/>
      <c r="BF308" s="653"/>
      <c r="BG308" s="653"/>
      <c r="BH308" s="653"/>
      <c r="BI308" s="653"/>
      <c r="BJ308" s="653"/>
      <c r="BK308" s="653"/>
      <c r="BL308" s="653"/>
      <c r="BM308" s="653"/>
      <c r="BN308" s="653"/>
      <c r="BO308" s="653"/>
      <c r="BP308" s="653"/>
      <c r="BQ308" s="653"/>
      <c r="BR308" s="653"/>
      <c r="BS308" s="653"/>
      <c r="BT308" s="653"/>
      <c r="BU308" s="653"/>
      <c r="BV308" s="654"/>
    </row>
    <row r="309" spans="2:74" x14ac:dyDescent="0.25">
      <c r="B309" s="651"/>
      <c r="C309" s="875" t="s">
        <v>589</v>
      </c>
      <c r="D309" s="876"/>
      <c r="E309" s="876"/>
      <c r="F309" s="654"/>
      <c r="G309" s="653"/>
      <c r="H309" s="653"/>
      <c r="I309" s="691"/>
      <c r="J309" s="691"/>
      <c r="K309" s="653"/>
      <c r="L309" s="653"/>
      <c r="M309" s="653"/>
      <c r="N309" s="653"/>
      <c r="O309" s="653"/>
      <c r="P309" s="898" t="s">
        <v>200</v>
      </c>
      <c r="Q309" s="963">
        <f>Annuitätenzuschuss!$C$8</f>
        <v>35</v>
      </c>
      <c r="R309" s="653" t="s">
        <v>161</v>
      </c>
      <c r="S309" s="653"/>
      <c r="T309" s="653"/>
      <c r="U309" s="651"/>
      <c r="V309" s="653"/>
      <c r="W309" s="996" t="str">
        <f>Annuitätenzuschuss!B22</f>
        <v/>
      </c>
      <c r="X309" s="893" t="str">
        <f>Annuitätenzuschuss!C22</f>
        <v>-</v>
      </c>
      <c r="Y309" s="899">
        <f>Annuitätenzuschuss!D22</f>
        <v>0</v>
      </c>
      <c r="Z309" s="899" t="str">
        <f>Annuitätenzuschuss!E22</f>
        <v/>
      </c>
      <c r="AA309" s="899">
        <f>Annuitätenzuschuss!F22</f>
        <v>0</v>
      </c>
      <c r="AB309" s="993">
        <f>Annuitätenzuschuss!G22</f>
        <v>0</v>
      </c>
      <c r="AC309" s="1063">
        <f ca="1">IF(OR($S$311="",$S$311=0,Y309=""),"",$S$311*AB309)</f>
        <v>0</v>
      </c>
      <c r="AD309" s="653"/>
      <c r="AE309" s="653"/>
      <c r="AF309" s="653"/>
      <c r="AG309" s="653"/>
      <c r="AH309" s="653"/>
      <c r="AI309" s="653"/>
      <c r="AJ309" s="653"/>
      <c r="AK309" s="653"/>
      <c r="AL309" s="653"/>
      <c r="AM309" s="653"/>
      <c r="AN309" s="653"/>
      <c r="AO309" s="653"/>
      <c r="AP309" s="653"/>
      <c r="AQ309" s="653"/>
      <c r="AR309" s="653"/>
      <c r="AS309" s="653"/>
      <c r="AT309" s="653"/>
      <c r="AU309" s="653"/>
      <c r="AV309" s="653"/>
      <c r="AW309" s="653"/>
      <c r="AX309" s="653"/>
      <c r="AY309" s="653"/>
      <c r="AZ309" s="653"/>
      <c r="BA309" s="653"/>
      <c r="BB309" s="653"/>
      <c r="BC309" s="653"/>
      <c r="BD309" s="653"/>
      <c r="BE309" s="653"/>
      <c r="BF309" s="653"/>
      <c r="BG309" s="653"/>
      <c r="BH309" s="653"/>
      <c r="BI309" s="653"/>
      <c r="BJ309" s="653"/>
      <c r="BK309" s="653"/>
      <c r="BL309" s="653"/>
      <c r="BM309" s="653"/>
      <c r="BN309" s="653"/>
      <c r="BO309" s="653"/>
      <c r="BP309" s="653"/>
      <c r="BQ309" s="653"/>
      <c r="BR309" s="653"/>
      <c r="BS309" s="653"/>
      <c r="BT309" s="653"/>
      <c r="BU309" s="653"/>
      <c r="BV309" s="654"/>
    </row>
    <row r="310" spans="2:74" ht="15.75" thickBot="1" x14ac:dyDescent="0.3">
      <c r="B310" s="651"/>
      <c r="C310" s="877" t="e">
        <f ca="1">-(-AJ375/(1+$Q$308)^M375-AC375/(1+$Q$308)^M375)</f>
        <v>#VALUE!</v>
      </c>
      <c r="D310" s="876"/>
      <c r="E310" s="876"/>
      <c r="F310" s="654"/>
      <c r="G310" s="653"/>
      <c r="H310" s="653"/>
      <c r="I310" s="691"/>
      <c r="J310" s="691"/>
      <c r="K310" s="653"/>
      <c r="L310" s="653"/>
      <c r="M310" s="653"/>
      <c r="N310" s="653" t="s">
        <v>590</v>
      </c>
      <c r="O310" s="653"/>
      <c r="P310" s="653"/>
      <c r="Q310" s="653"/>
      <c r="R310" s="653"/>
      <c r="S310" s="653" t="s">
        <v>591</v>
      </c>
      <c r="T310" s="653"/>
      <c r="U310" s="680"/>
      <c r="V310" s="681"/>
      <c r="W310" s="1002" t="str">
        <f>Annuitätenzuschuss!B23</f>
        <v/>
      </c>
      <c r="X310" s="1003" t="str">
        <f>Annuitätenzuschuss!C23</f>
        <v>-</v>
      </c>
      <c r="Y310" s="994">
        <f>Annuitätenzuschuss!D23</f>
        <v>0</v>
      </c>
      <c r="Z310" s="994" t="str">
        <f>Annuitätenzuschuss!E23</f>
        <v/>
      </c>
      <c r="AA310" s="994">
        <f>Annuitätenzuschuss!F23</f>
        <v>0</v>
      </c>
      <c r="AB310" s="995">
        <f>Annuitätenzuschuss!G23</f>
        <v>0</v>
      </c>
      <c r="AC310" s="1063">
        <f ca="1">IF(OR($S$311="",$S$311=0,Y310=""),"",$S$311*AB310)</f>
        <v>0</v>
      </c>
      <c r="AD310" s="653"/>
      <c r="AE310" s="653"/>
      <c r="AF310" s="653"/>
      <c r="AG310" s="653"/>
      <c r="AH310" s="653"/>
      <c r="AI310" s="653"/>
      <c r="AJ310" s="653"/>
      <c r="AK310" s="653"/>
      <c r="AL310" s="653"/>
      <c r="AM310" s="653"/>
      <c r="AN310" s="653"/>
      <c r="AO310" s="653"/>
      <c r="AP310" s="653"/>
      <c r="AQ310" s="653"/>
      <c r="AR310" s="653"/>
      <c r="AS310" s="653"/>
      <c r="AT310" s="653"/>
      <c r="AU310" s="653"/>
      <c r="AV310" s="653"/>
      <c r="AW310" s="653"/>
      <c r="AX310" s="653"/>
      <c r="AY310" s="653"/>
      <c r="AZ310" s="653"/>
      <c r="BA310" s="653"/>
      <c r="BB310" s="653"/>
      <c r="BC310" s="653"/>
      <c r="BD310" s="653"/>
      <c r="BE310" s="653"/>
      <c r="BF310" s="653"/>
      <c r="BG310" s="653"/>
      <c r="BH310" s="653"/>
      <c r="BI310" s="653"/>
      <c r="BJ310" s="653"/>
      <c r="BK310" s="653"/>
      <c r="BL310" s="653"/>
      <c r="BM310" s="653"/>
      <c r="BN310" s="653"/>
      <c r="BO310" s="653"/>
      <c r="BP310" s="653"/>
      <c r="BQ310" s="653"/>
      <c r="BR310" s="653"/>
      <c r="BS310" s="653"/>
      <c r="BT310" s="653"/>
      <c r="BU310" s="653"/>
      <c r="BV310" s="654"/>
    </row>
    <row r="311" spans="2:74" x14ac:dyDescent="0.25">
      <c r="B311" s="651"/>
      <c r="C311" s="876"/>
      <c r="D311" s="876"/>
      <c r="E311" s="876"/>
      <c r="F311" s="654"/>
      <c r="G311" s="653"/>
      <c r="H311" s="653" t="s">
        <v>592</v>
      </c>
      <c r="I311" s="653"/>
      <c r="J311" s="653"/>
      <c r="K311" s="653"/>
      <c r="L311" s="653"/>
      <c r="M311" s="653"/>
      <c r="N311" s="653" t="s">
        <v>593</v>
      </c>
      <c r="O311" s="653"/>
      <c r="P311" s="964">
        <f>Annuitätenzuschuss!D323</f>
        <v>1340</v>
      </c>
      <c r="Q311" s="653" t="s">
        <v>68</v>
      </c>
      <c r="R311" s="965">
        <f>P311*I317</f>
        <v>1724713.9999999998</v>
      </c>
      <c r="S311" s="965">
        <f ca="1">IF(R315&lt;0,R311+R315,R311)</f>
        <v>1724713.9999999993</v>
      </c>
      <c r="T311" s="966"/>
      <c r="U311" s="653" t="s">
        <v>594</v>
      </c>
      <c r="V311" s="653" t="s">
        <v>595</v>
      </c>
      <c r="W311" s="653"/>
      <c r="X311" s="691"/>
      <c r="Y311" s="653"/>
      <c r="AB311" s="653"/>
      <c r="AC311" s="653"/>
      <c r="AD311" s="653"/>
      <c r="AE311" s="653"/>
      <c r="AF311" s="653"/>
      <c r="AG311" s="653"/>
      <c r="AH311" s="653"/>
      <c r="AI311" s="653"/>
      <c r="AJ311" s="653"/>
      <c r="AK311" s="653"/>
      <c r="AL311" s="653"/>
      <c r="AM311" s="653"/>
      <c r="AN311" s="653"/>
      <c r="AO311" s="653"/>
      <c r="AP311" s="653"/>
      <c r="AQ311" s="653"/>
      <c r="AR311" s="653"/>
      <c r="AS311" s="653"/>
      <c r="AT311" s="653"/>
      <c r="AU311" s="653"/>
      <c r="AV311" s="653"/>
      <c r="AW311" s="653"/>
      <c r="AX311" s="653"/>
      <c r="AY311" s="653"/>
      <c r="AZ311" s="653"/>
      <c r="BA311" s="653"/>
      <c r="BB311" s="653"/>
      <c r="BC311" s="653"/>
      <c r="BD311" s="653"/>
      <c r="BE311" s="653"/>
      <c r="BF311" s="653"/>
      <c r="BG311" s="653"/>
      <c r="BH311" s="653"/>
      <c r="BI311" s="653"/>
      <c r="BJ311" s="653"/>
      <c r="BK311" s="653"/>
      <c r="BL311" s="653"/>
      <c r="BM311" s="653"/>
      <c r="BN311" s="653"/>
      <c r="BO311" s="653"/>
      <c r="BP311" s="653"/>
      <c r="BQ311" s="653"/>
      <c r="BR311" s="653"/>
      <c r="BS311" s="653"/>
      <c r="BT311" s="653"/>
      <c r="BU311" s="653"/>
      <c r="BV311" s="654"/>
    </row>
    <row r="312" spans="2:74" x14ac:dyDescent="0.25">
      <c r="B312" s="651"/>
      <c r="C312" s="875" t="s">
        <v>597</v>
      </c>
      <c r="D312" s="876"/>
      <c r="E312" s="876"/>
      <c r="F312" s="654"/>
      <c r="G312" s="653"/>
      <c r="H312" s="653" t="s">
        <v>598</v>
      </c>
      <c r="I312" s="962">
        <f ca="1">K312/$I$317</f>
        <v>335.63825654572298</v>
      </c>
      <c r="J312" s="653" t="s">
        <v>68</v>
      </c>
      <c r="K312" s="964">
        <f ca="1">D321</f>
        <v>432000</v>
      </c>
      <c r="L312" s="653" t="s">
        <v>363</v>
      </c>
      <c r="M312" s="653"/>
      <c r="N312" s="653" t="s">
        <v>599</v>
      </c>
      <c r="O312" s="653"/>
      <c r="P312" s="653"/>
      <c r="Q312" s="653"/>
      <c r="R312" s="965">
        <f ca="1">IF(K314-R311-R313-R314-R316-R317&lt;=0,0,K314-R311-R313-R314-R316-R317)</f>
        <v>1667622.6774000004</v>
      </c>
      <c r="S312" s="965">
        <f ca="1">R312</f>
        <v>1667622.6774000004</v>
      </c>
      <c r="T312" s="966"/>
      <c r="U312" s="967"/>
      <c r="W312" s="998"/>
      <c r="X312" s="691"/>
      <c r="Y312" s="653"/>
      <c r="AB312" s="653"/>
      <c r="AC312" s="653"/>
      <c r="AD312" s="969"/>
      <c r="AE312" s="969"/>
      <c r="AF312" s="969"/>
      <c r="AG312" s="969"/>
      <c r="AH312" s="653"/>
      <c r="AI312" s="653"/>
      <c r="AJ312" s="653"/>
      <c r="AK312" s="653"/>
      <c r="AL312" s="653"/>
      <c r="AM312" s="653"/>
      <c r="AN312" s="653"/>
      <c r="AO312" s="653"/>
      <c r="AP312" s="653"/>
      <c r="AQ312" s="653"/>
      <c r="AR312" s="653"/>
      <c r="AS312" s="653"/>
      <c r="AT312" s="653"/>
      <c r="AU312" s="653"/>
      <c r="AV312" s="653"/>
      <c r="AW312" s="653"/>
      <c r="AX312" s="653"/>
      <c r="AY312" s="653"/>
      <c r="AZ312" s="653"/>
      <c r="BA312" s="653"/>
      <c r="BB312" s="653"/>
      <c r="BC312" s="653"/>
      <c r="BD312" s="653"/>
      <c r="BE312" s="653"/>
      <c r="BF312" s="653"/>
      <c r="BG312" s="653"/>
      <c r="BH312" s="653"/>
      <c r="BI312" s="653"/>
      <c r="BJ312" s="653"/>
      <c r="BK312" s="653"/>
      <c r="BL312" s="653"/>
      <c r="BM312" s="653"/>
      <c r="BN312" s="653"/>
      <c r="BO312" s="653"/>
      <c r="BP312" s="653"/>
      <c r="BQ312" s="653"/>
      <c r="BR312" s="653"/>
      <c r="BS312" s="653"/>
      <c r="BT312" s="653"/>
      <c r="BU312" s="653"/>
      <c r="BV312" s="654"/>
    </row>
    <row r="313" spans="2:74" x14ac:dyDescent="0.25">
      <c r="B313" s="651"/>
      <c r="C313" s="877">
        <f ca="1">SUM(AF325:AF375)</f>
        <v>54588.777032186757</v>
      </c>
      <c r="D313" s="876"/>
      <c r="E313" s="876"/>
      <c r="F313" s="654"/>
      <c r="G313" s="653"/>
      <c r="H313" s="880" t="s">
        <v>600</v>
      </c>
      <c r="I313" s="881">
        <f ca="1">K313/$I$317</f>
        <v>2828.1736399658148</v>
      </c>
      <c r="J313" s="880" t="s">
        <v>68</v>
      </c>
      <c r="K313" s="882">
        <f ca="1">K314-K312</f>
        <v>3640142.2919999999</v>
      </c>
      <c r="L313" s="880" t="s">
        <v>363</v>
      </c>
      <c r="M313" s="653"/>
      <c r="N313" s="653" t="s">
        <v>601</v>
      </c>
      <c r="O313" s="653"/>
      <c r="P313" s="970">
        <f>Annuitätenzuschuss!$C$9</f>
        <v>1</v>
      </c>
      <c r="Q313" s="653" t="s">
        <v>602</v>
      </c>
      <c r="R313" s="965">
        <f ca="1">K312*P313</f>
        <v>432000</v>
      </c>
      <c r="S313" s="965">
        <f ca="1">R313</f>
        <v>432000</v>
      </c>
      <c r="T313" s="653"/>
      <c r="U313" s="968">
        <f>Annuitätenzuschuss!$C$13</f>
        <v>0.03</v>
      </c>
      <c r="V313" s="899">
        <f>Annuitätenzuschuss!$C$14</f>
        <v>25</v>
      </c>
      <c r="W313" s="653" t="s">
        <v>161</v>
      </c>
      <c r="X313" s="691"/>
      <c r="Y313" s="653"/>
      <c r="Z313" s="653"/>
      <c r="AA313" s="1063"/>
      <c r="AB313" s="653"/>
      <c r="AC313" s="653"/>
      <c r="AD313" s="653"/>
      <c r="AE313" s="653"/>
      <c r="AF313" s="653"/>
      <c r="AG313" s="653"/>
      <c r="AH313" s="653"/>
      <c r="AI313" s="653"/>
      <c r="AJ313" s="653"/>
      <c r="AK313" s="653"/>
      <c r="AL313" s="653"/>
      <c r="AM313" s="653"/>
      <c r="AN313" s="653"/>
      <c r="AO313" s="653"/>
      <c r="AP313" s="653"/>
      <c r="AQ313" s="653"/>
      <c r="AR313" s="653"/>
      <c r="AS313" s="653"/>
      <c r="AT313" s="653"/>
      <c r="AU313" s="653"/>
      <c r="AV313" s="653"/>
      <c r="AW313" s="653"/>
      <c r="AX313" s="653"/>
      <c r="AY313" s="653"/>
      <c r="AZ313" s="653"/>
      <c r="BA313" s="653"/>
      <c r="BB313" s="653"/>
      <c r="BC313" s="653"/>
      <c r="BD313" s="653"/>
      <c r="BE313" s="653"/>
      <c r="BF313" s="653"/>
      <c r="BG313" s="653"/>
      <c r="BH313" s="653"/>
      <c r="BI313" s="653"/>
      <c r="BJ313" s="653"/>
      <c r="BK313" s="653"/>
      <c r="BL313" s="653"/>
      <c r="BM313" s="653"/>
      <c r="BN313" s="653"/>
      <c r="BO313" s="653"/>
      <c r="BP313" s="653"/>
      <c r="BQ313" s="653"/>
      <c r="BR313" s="653"/>
      <c r="BS313" s="653"/>
      <c r="BT313" s="653"/>
      <c r="BU313" s="653"/>
      <c r="BV313" s="654"/>
    </row>
    <row r="314" spans="2:74" ht="23.25" x14ac:dyDescent="0.35">
      <c r="B314" s="651"/>
      <c r="C314" s="884" t="s">
        <v>603</v>
      </c>
      <c r="D314" s="885"/>
      <c r="E314" s="885"/>
      <c r="F314" s="654"/>
      <c r="G314" s="653"/>
      <c r="H314" s="653" t="s">
        <v>604</v>
      </c>
      <c r="I314" s="962">
        <f ca="1">K314/$I$317</f>
        <v>3163.8118965115377</v>
      </c>
      <c r="J314" s="653" t="s">
        <v>68</v>
      </c>
      <c r="K314" s="964">
        <f ca="1">Annuitätenzuschuss!D320</f>
        <v>4072142.2919999999</v>
      </c>
      <c r="L314" s="653" t="s">
        <v>363</v>
      </c>
      <c r="M314" s="653"/>
      <c r="N314" s="653" t="s">
        <v>605</v>
      </c>
      <c r="O314" s="653"/>
      <c r="P314" s="970">
        <f>Annuitätenzuschuss!$C$11</f>
        <v>0.05</v>
      </c>
      <c r="Q314" s="653" t="str">
        <f>IF($F$11="Prozent","%Baukosten","AbsoluterWert")</f>
        <v>%Baukosten</v>
      </c>
      <c r="R314" s="965">
        <f ca="1">IF($F$11="Prozent",K313*P314,P314)</f>
        <v>182007.1146</v>
      </c>
      <c r="S314" s="965">
        <f ca="1">R314</f>
        <v>182007.1146</v>
      </c>
      <c r="T314" s="898" t="s">
        <v>205</v>
      </c>
      <c r="U314" s="968">
        <f>Annuitätenzuschuss!$C$10</f>
        <v>0</v>
      </c>
      <c r="V314" s="971">
        <v>2000</v>
      </c>
      <c r="W314" s="653" t="s">
        <v>606</v>
      </c>
      <c r="X314" s="691"/>
      <c r="Y314" s="653" t="s">
        <v>607</v>
      </c>
      <c r="Z314" s="653"/>
      <c r="AA314" s="1063"/>
      <c r="AB314" s="653"/>
      <c r="AC314" s="653"/>
      <c r="AD314" s="653"/>
      <c r="AE314" s="653"/>
      <c r="AF314" s="653"/>
      <c r="AG314" s="653"/>
      <c r="AH314" s="653"/>
      <c r="AI314" s="653"/>
      <c r="AJ314" s="653"/>
      <c r="AK314" s="653"/>
      <c r="AL314" s="653"/>
      <c r="AM314" s="653"/>
      <c r="AN314" s="653"/>
      <c r="AO314" s="653"/>
      <c r="AP314" s="653"/>
      <c r="AQ314" s="653"/>
      <c r="AR314" s="653"/>
      <c r="AS314" s="653"/>
      <c r="AT314" s="653"/>
      <c r="AU314" s="653"/>
      <c r="AV314" s="653"/>
      <c r="AW314" s="653"/>
      <c r="AX314" s="653"/>
      <c r="AY314" s="653"/>
      <c r="AZ314" s="653"/>
      <c r="BA314" s="653"/>
      <c r="BB314" s="653"/>
      <c r="BC314" s="653"/>
      <c r="BD314" s="653"/>
      <c r="BE314" s="653"/>
      <c r="BF314" s="653"/>
      <c r="BG314" s="653"/>
      <c r="BH314" s="653"/>
      <c r="BI314" s="653"/>
      <c r="BJ314" s="653"/>
      <c r="BK314" s="653"/>
      <c r="BL314" s="653"/>
      <c r="BM314" s="653"/>
      <c r="BN314" s="653"/>
      <c r="BO314" s="653"/>
      <c r="BP314" s="653"/>
      <c r="BQ314" s="653"/>
      <c r="BR314" s="653"/>
      <c r="BS314" s="653"/>
      <c r="BT314" s="653"/>
      <c r="BU314" s="653"/>
      <c r="BV314" s="654"/>
    </row>
    <row r="315" spans="2:74" ht="23.25" x14ac:dyDescent="0.35">
      <c r="B315" s="651"/>
      <c r="C315" s="886">
        <f ca="1">AL322</f>
        <v>-528703.18289510324</v>
      </c>
      <c r="D315" s="885"/>
      <c r="E315" s="885"/>
      <c r="F315" s="654"/>
      <c r="G315" s="653"/>
      <c r="H315" s="653"/>
      <c r="I315" s="653"/>
      <c r="J315" s="653"/>
      <c r="K315" s="653"/>
      <c r="L315" s="653"/>
      <c r="M315" s="653"/>
      <c r="N315" s="653" t="s">
        <v>608</v>
      </c>
      <c r="O315" s="653"/>
      <c r="P315" s="653"/>
      <c r="Q315" s="653"/>
      <c r="R315" s="962">
        <f ca="1">IF(SUM(R311:R314,R316:R317)-K314&gt;0,-SUM(R311:R314,R316:R317)+K314,0)</f>
        <v>-4.6566128730773926E-10</v>
      </c>
      <c r="S315" s="653"/>
      <c r="T315" s="898" t="s">
        <v>205</v>
      </c>
      <c r="U315" s="968">
        <f>Annuitätenzuschuss!$C$12</f>
        <v>0.02</v>
      </c>
      <c r="V315" s="971">
        <f ca="1">IF(S314=0,0,NPER(U315,-(U315+$Q$307)*S314,S314))</f>
        <v>35.002788781146499</v>
      </c>
      <c r="W315" s="653" t="s">
        <v>606</v>
      </c>
      <c r="X315" s="653"/>
      <c r="Y315" s="653" t="s">
        <v>609</v>
      </c>
      <c r="Z315" s="653"/>
      <c r="AA315" s="1063"/>
      <c r="AB315" s="653"/>
      <c r="AC315" s="653"/>
      <c r="AD315" s="653"/>
      <c r="AE315" s="653"/>
      <c r="AF315" s="653"/>
      <c r="AG315" s="653"/>
      <c r="AH315" s="653"/>
      <c r="AI315" s="653"/>
      <c r="AJ315" s="653"/>
      <c r="AK315" s="653"/>
      <c r="AL315" s="653"/>
      <c r="AM315" s="653"/>
      <c r="AN315" s="653"/>
      <c r="AO315" s="653"/>
      <c r="AP315" s="653"/>
      <c r="AQ315" s="653"/>
      <c r="AR315" s="653"/>
      <c r="AS315" s="653"/>
      <c r="AT315" s="653"/>
      <c r="AU315" s="653"/>
      <c r="AV315" s="653"/>
      <c r="AW315" s="653"/>
      <c r="AX315" s="653"/>
      <c r="AY315" s="653"/>
      <c r="AZ315" s="653"/>
      <c r="BA315" s="653"/>
      <c r="BB315" s="653"/>
      <c r="BC315" s="653"/>
      <c r="BD315" s="653"/>
      <c r="BE315" s="653"/>
      <c r="BF315" s="653"/>
      <c r="BG315" s="653"/>
      <c r="BH315" s="653"/>
      <c r="BI315" s="653"/>
      <c r="BJ315" s="653"/>
      <c r="BK315" s="653"/>
      <c r="BL315" s="653"/>
      <c r="BM315" s="653"/>
      <c r="BN315" s="653"/>
      <c r="BO315" s="653"/>
      <c r="BP315" s="653"/>
      <c r="BQ315" s="653"/>
      <c r="BR315" s="653"/>
      <c r="BS315" s="653"/>
      <c r="BT315" s="653"/>
      <c r="BU315" s="653"/>
      <c r="BV315" s="654"/>
    </row>
    <row r="316" spans="2:74" x14ac:dyDescent="0.25">
      <c r="B316" s="651"/>
      <c r="C316" s="653"/>
      <c r="D316" s="653"/>
      <c r="E316" s="653"/>
      <c r="F316" s="654"/>
      <c r="G316" s="653"/>
      <c r="H316" s="653" t="s">
        <v>610</v>
      </c>
      <c r="I316" s="653"/>
      <c r="J316" s="653"/>
      <c r="K316" s="653"/>
      <c r="L316" s="653"/>
      <c r="M316" s="653"/>
      <c r="N316" s="653" t="s">
        <v>611</v>
      </c>
      <c r="O316" s="653"/>
      <c r="P316" s="653"/>
      <c r="Q316" s="653"/>
      <c r="R316" s="964">
        <f>D324</f>
        <v>20750</v>
      </c>
      <c r="S316" s="965">
        <f>R316</f>
        <v>20750</v>
      </c>
      <c r="T316" s="653"/>
      <c r="U316" s="653"/>
      <c r="V316" s="653"/>
      <c r="W316" s="653"/>
      <c r="X316" s="653"/>
      <c r="Y316" s="653"/>
      <c r="Z316" s="653"/>
      <c r="AA316" s="1063"/>
      <c r="AB316" s="653"/>
      <c r="AC316" s="653"/>
      <c r="AD316" s="653"/>
      <c r="AE316" s="653"/>
      <c r="AF316" s="653"/>
      <c r="AG316" s="653"/>
      <c r="AH316" s="653"/>
      <c r="AI316" s="653"/>
      <c r="AJ316" s="653"/>
      <c r="AK316" s="653"/>
      <c r="AL316" s="653"/>
      <c r="AM316" s="653"/>
      <c r="AN316" s="653"/>
      <c r="AO316" s="653"/>
      <c r="AP316" s="653"/>
      <c r="AQ316" s="653"/>
      <c r="AR316" s="653"/>
      <c r="AS316" s="653"/>
      <c r="AT316" s="653"/>
      <c r="AU316" s="653"/>
      <c r="AV316" s="653"/>
      <c r="AW316" s="653"/>
      <c r="AX316" s="653"/>
      <c r="AY316" s="653"/>
      <c r="AZ316" s="653"/>
      <c r="BA316" s="653"/>
      <c r="BB316" s="653"/>
      <c r="BC316" s="653"/>
      <c r="BD316" s="653"/>
      <c r="BE316" s="653"/>
      <c r="BF316" s="653"/>
      <c r="BG316" s="653"/>
      <c r="BH316" s="653"/>
      <c r="BI316" s="653"/>
      <c r="BJ316" s="653"/>
      <c r="BK316" s="653"/>
      <c r="BL316" s="653"/>
      <c r="BM316" s="653"/>
      <c r="BN316" s="653"/>
      <c r="BO316" s="653"/>
      <c r="BP316" s="653"/>
      <c r="BQ316" s="653"/>
      <c r="BR316" s="653"/>
      <c r="BS316" s="653"/>
      <c r="BT316" s="653"/>
      <c r="BU316" s="653"/>
      <c r="BV316" s="654"/>
    </row>
    <row r="317" spans="2:74" ht="15.75" thickBot="1" x14ac:dyDescent="0.3">
      <c r="B317" s="680"/>
      <c r="C317" s="681"/>
      <c r="D317" s="681"/>
      <c r="E317" s="681"/>
      <c r="F317" s="666"/>
      <c r="G317" s="653"/>
      <c r="H317" s="653" t="s">
        <v>361</v>
      </c>
      <c r="I317" s="983">
        <f>D322</f>
        <v>1287.0999999999999</v>
      </c>
      <c r="J317" s="653" t="s">
        <v>67</v>
      </c>
      <c r="K317" s="653"/>
      <c r="L317" s="653"/>
      <c r="M317" s="653"/>
      <c r="N317" s="880" t="s">
        <v>612</v>
      </c>
      <c r="O317" s="880"/>
      <c r="P317" s="887">
        <f>Annuitätenzuschuss!$C$15</f>
        <v>35</v>
      </c>
      <c r="Q317" s="880" t="s">
        <v>68</v>
      </c>
      <c r="R317" s="888">
        <f>P317*I317</f>
        <v>45048.5</v>
      </c>
      <c r="S317" s="965">
        <f>R317</f>
        <v>45048.5</v>
      </c>
      <c r="T317" s="653"/>
      <c r="U317" s="878" t="s">
        <v>613</v>
      </c>
      <c r="V317" s="889"/>
      <c r="W317" s="889"/>
      <c r="X317" s="889"/>
      <c r="Y317" s="890"/>
      <c r="Z317" s="889"/>
      <c r="AA317" s="889"/>
      <c r="AB317" s="889"/>
      <c r="AC317" s="889"/>
      <c r="AD317" s="891"/>
      <c r="AE317" s="653"/>
      <c r="AF317" s="653"/>
      <c r="AG317" s="653"/>
      <c r="AH317" s="653"/>
      <c r="AI317" s="653"/>
      <c r="AJ317" s="653"/>
      <c r="AK317" s="653"/>
      <c r="AL317" s="653"/>
      <c r="AM317" s="653"/>
      <c r="AN317" s="653"/>
      <c r="AO317" s="653"/>
      <c r="AP317" s="653"/>
      <c r="AQ317" s="653"/>
      <c r="AR317" s="653"/>
      <c r="AS317" s="653"/>
      <c r="AT317" s="653"/>
      <c r="AU317" s="653"/>
      <c r="AV317" s="653"/>
      <c r="AW317" s="653"/>
      <c r="AX317" s="653"/>
      <c r="AY317" s="653"/>
      <c r="AZ317" s="653"/>
      <c r="BA317" s="653"/>
      <c r="BB317" s="653"/>
      <c r="BC317" s="653"/>
      <c r="BD317" s="653"/>
      <c r="BE317" s="653"/>
      <c r="BF317" s="653"/>
      <c r="BG317" s="653"/>
      <c r="BH317" s="653"/>
      <c r="BI317" s="653"/>
      <c r="BJ317" s="653"/>
      <c r="BK317" s="653"/>
      <c r="BL317" s="653"/>
      <c r="BM317" s="653"/>
      <c r="BN317" s="653"/>
      <c r="BO317" s="653"/>
      <c r="BP317" s="653"/>
      <c r="BQ317" s="653"/>
      <c r="BR317" s="653"/>
      <c r="BS317" s="653"/>
      <c r="BT317" s="653"/>
      <c r="BU317" s="653"/>
      <c r="BV317" s="654"/>
    </row>
    <row r="318" spans="2:74" ht="19.5" thickBot="1" x14ac:dyDescent="0.3">
      <c r="B318" s="651"/>
      <c r="C318" s="653"/>
      <c r="D318" s="653"/>
      <c r="E318" s="653"/>
      <c r="F318" s="653"/>
      <c r="G318" s="653"/>
      <c r="H318" s="653"/>
      <c r="I318" s="653"/>
      <c r="J318" s="653"/>
      <c r="K318" s="653"/>
      <c r="L318" s="653"/>
      <c r="M318" s="653"/>
      <c r="N318" s="653"/>
      <c r="O318" s="653"/>
      <c r="P318" s="653"/>
      <c r="Q318" s="653"/>
      <c r="R318" s="962">
        <f ca="1">SUM(R311:R317)</f>
        <v>4072142.2919999999</v>
      </c>
      <c r="S318" s="965">
        <f ca="1">SUM(S311:S317)</f>
        <v>4072142.2919999994</v>
      </c>
      <c r="T318" s="965"/>
      <c r="U318" s="892"/>
      <c r="V318" s="653" t="s">
        <v>614</v>
      </c>
      <c r="W318" s="653"/>
      <c r="X318" s="653"/>
      <c r="Y318" s="893">
        <f>Annuitätenzuschuss!$C$27</f>
        <v>5.0199999999999996</v>
      </c>
      <c r="Z318" s="653" t="s">
        <v>615</v>
      </c>
      <c r="AA318" s="876"/>
      <c r="AB318" s="876"/>
      <c r="AC318" s="894" t="s">
        <v>616</v>
      </c>
      <c r="AD318" s="895">
        <f ca="1">VLOOKUP($V$326,AM326:AN425,2,FALSE)-1</f>
        <v>48</v>
      </c>
      <c r="AE318" s="896"/>
      <c r="AF318" s="896"/>
      <c r="AG318" s="896"/>
      <c r="AH318" s="653"/>
      <c r="AI318" s="1705" t="s">
        <v>700</v>
      </c>
      <c r="AJ318" s="1705"/>
      <c r="AK318" s="1705"/>
      <c r="AL318" s="1705"/>
      <c r="AM318" s="653"/>
      <c r="AN318" s="653"/>
      <c r="AO318" s="1706" t="s">
        <v>700</v>
      </c>
      <c r="AP318" s="1706"/>
      <c r="AQ318" s="1706"/>
      <c r="AR318" s="653"/>
      <c r="AS318" s="653"/>
      <c r="AT318" s="653"/>
      <c r="AU318" s="653"/>
      <c r="AV318" s="653"/>
      <c r="AW318" s="653"/>
      <c r="AX318" s="653"/>
      <c r="AY318" s="653"/>
      <c r="AZ318" s="653"/>
      <c r="BA318" s="653"/>
      <c r="BB318" s="653"/>
      <c r="BC318" s="653"/>
      <c r="BD318" s="653"/>
      <c r="BE318" s="653"/>
      <c r="BF318" s="653"/>
      <c r="BG318" s="653"/>
      <c r="BH318" s="653"/>
      <c r="BI318" s="653"/>
      <c r="BJ318" s="653"/>
      <c r="BK318" s="653"/>
      <c r="BL318" s="653"/>
      <c r="BM318" s="653"/>
      <c r="BN318" s="653"/>
      <c r="BO318" s="653"/>
      <c r="BP318" s="653"/>
      <c r="BQ318" s="653"/>
      <c r="BR318" s="653"/>
      <c r="BS318" s="653"/>
      <c r="BT318" s="653"/>
      <c r="BU318" s="653"/>
      <c r="BV318" s="654"/>
    </row>
    <row r="319" spans="2:74" ht="27" thickBot="1" x14ac:dyDescent="0.45">
      <c r="B319" s="651"/>
      <c r="C319" s="1707" t="s">
        <v>693</v>
      </c>
      <c r="D319" s="1708"/>
      <c r="E319" s="1709"/>
      <c r="F319" s="653"/>
      <c r="G319" s="653"/>
      <c r="H319" s="653"/>
      <c r="I319" s="653"/>
      <c r="J319" s="653"/>
      <c r="K319" s="653"/>
      <c r="L319" s="653"/>
      <c r="M319" s="653"/>
      <c r="N319" s="653"/>
      <c r="O319" s="653"/>
      <c r="P319" s="653"/>
      <c r="Q319" s="653"/>
      <c r="R319" s="653"/>
      <c r="S319" s="965"/>
      <c r="T319" s="691"/>
      <c r="U319" s="897"/>
      <c r="V319" s="898" t="s">
        <v>617</v>
      </c>
      <c r="W319" s="899">
        <f>Annuitätenzuschuss!$C$26</f>
        <v>25</v>
      </c>
      <c r="X319" s="653" t="s">
        <v>481</v>
      </c>
      <c r="Y319" s="1063"/>
      <c r="Z319" s="653"/>
      <c r="AA319" s="876"/>
      <c r="AB319" s="876"/>
      <c r="AC319" s="894" t="s">
        <v>618</v>
      </c>
      <c r="AD319" s="895">
        <f ca="1">SUMIF(Y326:Y375,"&lt;0")*-1</f>
        <v>1069724.266091306</v>
      </c>
      <c r="AE319" s="896"/>
      <c r="AF319" s="896"/>
      <c r="AG319" s="896"/>
      <c r="AH319" s="653"/>
      <c r="AI319" s="653"/>
      <c r="AJ319" s="653"/>
      <c r="AK319" s="653"/>
      <c r="AL319" s="653"/>
      <c r="AM319" s="653"/>
      <c r="AN319" s="653"/>
      <c r="AO319" s="653"/>
      <c r="AP319" s="653"/>
      <c r="AQ319" s="653"/>
      <c r="AR319" s="653"/>
      <c r="AS319" s="653"/>
      <c r="AT319" s="653"/>
      <c r="AU319" s="653"/>
      <c r="AV319" s="653"/>
      <c r="AW319" s="653"/>
      <c r="AX319" s="653"/>
      <c r="AY319" s="653"/>
      <c r="AZ319" s="653"/>
      <c r="BA319" s="653"/>
      <c r="BB319" s="653"/>
      <c r="BC319" s="653"/>
      <c r="BD319" s="653"/>
      <c r="BE319" s="653"/>
      <c r="BF319" s="653"/>
      <c r="BG319" s="653"/>
      <c r="BH319" s="653"/>
      <c r="BI319" s="653"/>
      <c r="BJ319" s="653"/>
      <c r="BK319" s="653"/>
      <c r="BL319" s="653"/>
      <c r="BM319" s="653"/>
      <c r="BN319" s="653"/>
      <c r="BO319" s="653"/>
      <c r="BP319" s="653"/>
      <c r="BQ319" s="653"/>
      <c r="BR319" s="653"/>
      <c r="BS319" s="653"/>
      <c r="BT319" s="653"/>
      <c r="BU319" s="653"/>
      <c r="BV319" s="654"/>
    </row>
    <row r="320" spans="2:74" ht="15.75" thickBot="1" x14ac:dyDescent="0.3">
      <c r="B320" s="651"/>
      <c r="C320" s="924" t="s">
        <v>652</v>
      </c>
      <c r="D320" s="1012">
        <f ca="1">'3.3 Fi&amp;Fo'!$G$13</f>
        <v>4072142.2919999999</v>
      </c>
      <c r="E320" s="925" t="s">
        <v>363</v>
      </c>
      <c r="F320" s="653"/>
      <c r="G320" s="899" t="s">
        <v>619</v>
      </c>
      <c r="H320" s="899"/>
      <c r="I320" s="691"/>
      <c r="J320" s="691"/>
      <c r="K320" s="691"/>
      <c r="L320" s="653"/>
      <c r="M320" s="653"/>
      <c r="N320" s="653"/>
      <c r="O320" s="1711" t="s">
        <v>620</v>
      </c>
      <c r="P320" s="1712"/>
      <c r="Q320" s="1712"/>
      <c r="R320" s="1712"/>
      <c r="S320" s="1712"/>
      <c r="T320" s="1712"/>
      <c r="U320" s="1712"/>
      <c r="V320" s="1712"/>
      <c r="W320" s="1712"/>
      <c r="X320" s="1712"/>
      <c r="Y320" s="1712"/>
      <c r="Z320" s="1712"/>
      <c r="AA320" s="1712"/>
      <c r="AB320" s="1712"/>
      <c r="AC320" s="1712"/>
      <c r="AD320" s="1712"/>
      <c r="AE320" s="1712"/>
      <c r="AF320" s="1712"/>
      <c r="AG320" s="1712"/>
      <c r="AH320" s="1713"/>
      <c r="AI320" s="1714" t="s">
        <v>621</v>
      </c>
      <c r="AJ320" s="1715"/>
      <c r="AK320" s="1715"/>
      <c r="AL320" s="1716"/>
      <c r="AM320" s="691"/>
      <c r="AN320" s="691"/>
      <c r="AO320" s="653" t="s">
        <v>666</v>
      </c>
      <c r="AP320" s="653" t="s">
        <v>625</v>
      </c>
      <c r="AQ320" s="653" t="s">
        <v>626</v>
      </c>
      <c r="AR320" s="653"/>
      <c r="AS320" s="653"/>
      <c r="AT320" s="653"/>
      <c r="AU320" s="653"/>
      <c r="AV320" s="653"/>
      <c r="AW320" s="653"/>
      <c r="AX320" s="653"/>
      <c r="AY320" s="653"/>
      <c r="AZ320" s="653"/>
      <c r="BA320" s="653"/>
      <c r="BB320" s="653"/>
      <c r="BC320" s="653"/>
      <c r="BD320" s="653"/>
      <c r="BE320" s="653"/>
      <c r="BF320" s="653"/>
      <c r="BG320" s="653"/>
      <c r="BH320" s="653"/>
      <c r="BI320" s="653"/>
      <c r="BJ320" s="653"/>
      <c r="BK320" s="653"/>
      <c r="BL320" s="653"/>
      <c r="BM320" s="653"/>
      <c r="BN320" s="653"/>
      <c r="BO320" s="653"/>
      <c r="BP320" s="653"/>
      <c r="BQ320" s="653"/>
      <c r="BR320" s="653"/>
      <c r="BS320" s="653"/>
      <c r="BT320" s="653"/>
      <c r="BU320" s="653"/>
      <c r="BV320" s="654"/>
    </row>
    <row r="321" spans="2:74" ht="15.75" thickBot="1" x14ac:dyDescent="0.3">
      <c r="B321" s="651"/>
      <c r="C321" s="924" t="s">
        <v>598</v>
      </c>
      <c r="D321" s="1012">
        <f ca="1">'3.3 I&amp;W'!$S$27</f>
        <v>432000</v>
      </c>
      <c r="E321" s="925"/>
      <c r="F321" s="653"/>
      <c r="G321" s="876" t="s">
        <v>622</v>
      </c>
      <c r="H321" s="876"/>
      <c r="I321" s="691"/>
      <c r="J321" s="691"/>
      <c r="K321" s="691"/>
      <c r="L321" s="653"/>
      <c r="M321" s="653"/>
      <c r="N321" s="972"/>
      <c r="O321" s="691"/>
      <c r="P321" s="909"/>
      <c r="Q321" s="798"/>
      <c r="R321" s="798"/>
      <c r="S321" s="798"/>
      <c r="T321" s="798"/>
      <c r="U321" s="798"/>
      <c r="V321" s="653"/>
      <c r="W321" s="691"/>
      <c r="X321" s="691"/>
      <c r="Y321" s="691"/>
      <c r="Z321" s="691"/>
      <c r="AA321" s="691"/>
      <c r="AB321" s="691"/>
      <c r="AC321" s="691"/>
      <c r="AD321" s="691"/>
      <c r="AE321" s="691"/>
      <c r="AF321" s="691"/>
      <c r="AG321" s="973"/>
      <c r="AH321" s="691"/>
      <c r="AI321" s="1717" t="s">
        <v>623</v>
      </c>
      <c r="AJ321" s="1718"/>
      <c r="AK321" s="1719" t="s">
        <v>624</v>
      </c>
      <c r="AL321" s="1720"/>
      <c r="AM321" s="691"/>
      <c r="AN321" s="691"/>
      <c r="AO321" s="1014">
        <f>NPV($Q$308,AO325:AO374)</f>
        <v>1900260.3431783211</v>
      </c>
      <c r="AP321" s="1014">
        <f ca="1">NPV($Q$306,AP326:AP375)</f>
        <v>396352.68326211948</v>
      </c>
      <c r="AQ321" s="1014">
        <f ca="1">NPV($Q$306,AQ326:AQ375)</f>
        <v>-364284.55862232239</v>
      </c>
      <c r="AR321" s="653"/>
      <c r="AS321" s="653"/>
      <c r="AT321" s="653"/>
      <c r="AU321" s="653"/>
      <c r="AV321" s="653"/>
      <c r="AW321" s="653"/>
      <c r="AX321" s="653"/>
      <c r="AY321" s="653"/>
      <c r="AZ321" s="653"/>
      <c r="BA321" s="653"/>
      <c r="BB321" s="653"/>
      <c r="BC321" s="653"/>
      <c r="BD321" s="653"/>
      <c r="BE321" s="653"/>
      <c r="BF321" s="653"/>
      <c r="BG321" s="653"/>
      <c r="BH321" s="653"/>
      <c r="BI321" s="653"/>
      <c r="BJ321" s="653"/>
      <c r="BK321" s="653"/>
      <c r="BL321" s="653"/>
      <c r="BM321" s="653"/>
      <c r="BN321" s="653"/>
      <c r="BO321" s="653"/>
      <c r="BP321" s="653"/>
      <c r="BQ321" s="653"/>
      <c r="BR321" s="653"/>
      <c r="BS321" s="653"/>
      <c r="BT321" s="653"/>
      <c r="BU321" s="653"/>
      <c r="BV321" s="654"/>
    </row>
    <row r="322" spans="2:74" x14ac:dyDescent="0.25">
      <c r="B322" s="651"/>
      <c r="C322" s="924" t="s">
        <v>361</v>
      </c>
      <c r="D322" s="1012">
        <f>'1. Projektangaben'!$F$90</f>
        <v>1287.0999999999999</v>
      </c>
      <c r="E322" s="925"/>
      <c r="F322" s="653"/>
      <c r="G322" s="974" t="s">
        <v>627</v>
      </c>
      <c r="H322" s="974"/>
      <c r="I322" s="653"/>
      <c r="J322" s="653"/>
      <c r="K322" s="653"/>
      <c r="L322" s="653"/>
      <c r="M322" s="653"/>
      <c r="N322" s="975">
        <f ca="1">NPV($Q$308,N326:N375)*-1</f>
        <v>-855555.59840467013</v>
      </c>
      <c r="O322" s="975">
        <f ca="1">NPV($Q$308,O326:O375)*-1</f>
        <v>-38258.556068258426</v>
      </c>
      <c r="P322" s="975"/>
      <c r="Q322" s="975">
        <f ca="1">NPV($Q$308,R326:R375)*-1</f>
        <v>-1869722.7711961351</v>
      </c>
      <c r="R322" s="916"/>
      <c r="S322" s="916"/>
      <c r="T322" s="916"/>
      <c r="U322" s="916"/>
      <c r="V322" s="916"/>
      <c r="W322" s="916"/>
      <c r="X322" s="916"/>
      <c r="Y322" s="916"/>
      <c r="Z322" s="916"/>
      <c r="AA322" s="916"/>
      <c r="AB322" s="916"/>
      <c r="AC322" s="975">
        <f ca="1">NPV($Q$308,AC326:AC375)</f>
        <v>0</v>
      </c>
      <c r="AD322" s="975"/>
      <c r="AE322" s="975"/>
      <c r="AF322" s="975"/>
      <c r="AG322" s="975">
        <f>NPV($Q$308,AG326:AG375)</f>
        <v>2436426.2662981339</v>
      </c>
      <c r="AH322" s="975"/>
      <c r="AI322" s="1014">
        <f ca="1">NPV($Q$308,AI326:AI375)</f>
        <v>-2466968.7329369914</v>
      </c>
      <c r="AJ322" s="1014">
        <f ca="1">NPV($Q$308,AJ326:AJ375)</f>
        <v>-528703.18289510324</v>
      </c>
      <c r="AK322" s="1014">
        <f ca="1">NPV($Q$308,AK326:AK375)</f>
        <v>-2466968.7329369914</v>
      </c>
      <c r="AL322" s="1014">
        <f ca="1">NPV($Q$308,AL326:AL375)</f>
        <v>-528703.18289510324</v>
      </c>
      <c r="AM322" s="975"/>
      <c r="AN322" s="975"/>
      <c r="AO322" s="975"/>
      <c r="AR322" s="653"/>
      <c r="AS322" s="653"/>
      <c r="AT322" s="653"/>
      <c r="AU322" s="653"/>
      <c r="AV322" s="653"/>
      <c r="AW322" s="653"/>
      <c r="AX322" s="653"/>
      <c r="AY322" s="653"/>
      <c r="AZ322" s="653"/>
      <c r="BA322" s="653"/>
      <c r="BB322" s="653"/>
      <c r="BC322" s="653"/>
      <c r="BD322" s="653"/>
      <c r="BE322" s="653"/>
      <c r="BF322" s="653"/>
      <c r="BG322" s="653"/>
      <c r="BH322" s="653"/>
      <c r="BI322" s="653"/>
      <c r="BJ322" s="653"/>
      <c r="BK322" s="653"/>
      <c r="BL322" s="653"/>
      <c r="BM322" s="653"/>
      <c r="BN322" s="653"/>
      <c r="BO322" s="653"/>
      <c r="BP322" s="653"/>
      <c r="BQ322" s="653"/>
      <c r="BR322" s="653"/>
      <c r="BS322" s="653"/>
      <c r="BT322" s="653"/>
      <c r="BU322" s="653"/>
      <c r="BV322" s="654"/>
    </row>
    <row r="323" spans="2:74" ht="15.75" thickBot="1" x14ac:dyDescent="0.3">
      <c r="B323" s="651"/>
      <c r="C323" s="924" t="s">
        <v>653</v>
      </c>
      <c r="D323" s="1012">
        <f>'1. Projektangaben'!$H$90</f>
        <v>1340</v>
      </c>
      <c r="E323" s="925" t="s">
        <v>68</v>
      </c>
      <c r="F323" s="653"/>
      <c r="G323" s="976" t="s">
        <v>628</v>
      </c>
      <c r="H323" s="976"/>
      <c r="I323" s="653"/>
      <c r="J323" s="653"/>
      <c r="K323" s="653"/>
      <c r="L323" s="653"/>
      <c r="M323" s="653"/>
      <c r="N323" s="691"/>
      <c r="O323" s="691"/>
      <c r="P323" s="691"/>
      <c r="Q323" s="653"/>
      <c r="R323" s="653"/>
      <c r="S323" s="653"/>
      <c r="T323" s="653"/>
      <c r="U323" s="909"/>
      <c r="V323" s="909"/>
      <c r="W323" s="653"/>
      <c r="X323" s="691"/>
      <c r="Y323" s="691"/>
      <c r="Z323" s="691"/>
      <c r="AA323" s="1721" t="s">
        <v>629</v>
      </c>
      <c r="AB323" s="1721"/>
      <c r="AC323" s="691"/>
      <c r="AD323" s="691"/>
      <c r="AE323" s="691"/>
      <c r="AF323" s="691"/>
      <c r="AG323" s="691"/>
      <c r="AH323" s="691"/>
      <c r="AI323" s="691"/>
      <c r="AJ323" s="691"/>
      <c r="AK323" s="691"/>
      <c r="AL323" s="691"/>
      <c r="AM323" s="977" t="s">
        <v>630</v>
      </c>
      <c r="AN323" s="978"/>
      <c r="AO323" s="691"/>
      <c r="AP323" s="691"/>
      <c r="AQ323" s="691"/>
      <c r="AR323" s="691"/>
      <c r="AS323" s="653"/>
      <c r="AT323" s="653"/>
      <c r="AU323" s="653"/>
      <c r="AV323" s="653"/>
      <c r="AW323" s="653"/>
      <c r="AX323" s="653"/>
      <c r="AY323" s="653"/>
      <c r="AZ323" s="653"/>
      <c r="BA323" s="653"/>
      <c r="BB323" s="653"/>
      <c r="BC323" s="1710" t="s">
        <v>677</v>
      </c>
      <c r="BD323" s="1710"/>
      <c r="BE323" s="1710"/>
      <c r="BF323" s="1710"/>
      <c r="BG323" s="1710"/>
      <c r="BH323" s="1710"/>
      <c r="BI323" s="1710"/>
      <c r="BJ323" s="653"/>
      <c r="BK323" s="653"/>
      <c r="BL323" s="653"/>
      <c r="BM323" s="653"/>
      <c r="BN323" s="653"/>
      <c r="BO323" s="653"/>
      <c r="BP323" s="653"/>
      <c r="BQ323" s="653"/>
      <c r="BR323" s="653"/>
      <c r="BS323" s="653"/>
      <c r="BT323" s="653"/>
      <c r="BU323" s="653"/>
      <c r="BV323" s="654"/>
    </row>
    <row r="324" spans="2:74" ht="270.75" thickBot="1" x14ac:dyDescent="0.3">
      <c r="B324" s="651"/>
      <c r="C324" s="928" t="s">
        <v>655</v>
      </c>
      <c r="D324" s="1013">
        <f>'1. Projektangaben'!$J$90</f>
        <v>20750</v>
      </c>
      <c r="E324" s="929" t="s">
        <v>363</v>
      </c>
      <c r="F324" s="653"/>
      <c r="G324" s="653"/>
      <c r="H324" s="653"/>
      <c r="I324" s="653"/>
      <c r="J324" s="653"/>
      <c r="K324" s="653"/>
      <c r="L324" s="653"/>
      <c r="M324" s="648" t="s">
        <v>481</v>
      </c>
      <c r="N324" s="900" t="s">
        <v>696</v>
      </c>
      <c r="O324" s="900" t="s">
        <v>632</v>
      </c>
      <c r="P324" s="900" t="s">
        <v>697</v>
      </c>
      <c r="Q324" s="901" t="s">
        <v>633</v>
      </c>
      <c r="R324" s="902" t="s">
        <v>245</v>
      </c>
      <c r="S324" s="902" t="s">
        <v>246</v>
      </c>
      <c r="T324" s="902" t="s">
        <v>205</v>
      </c>
      <c r="U324" s="902" t="s">
        <v>247</v>
      </c>
      <c r="V324" s="902" t="s">
        <v>601</v>
      </c>
      <c r="W324" s="902" t="s">
        <v>605</v>
      </c>
      <c r="X324" s="902" t="s">
        <v>635</v>
      </c>
      <c r="Y324" s="902" t="s">
        <v>636</v>
      </c>
      <c r="Z324" s="901" t="s">
        <v>637</v>
      </c>
      <c r="AA324" s="903" t="s">
        <v>638</v>
      </c>
      <c r="AB324" s="903" t="s">
        <v>639</v>
      </c>
      <c r="AC324" s="904" t="s">
        <v>640</v>
      </c>
      <c r="AD324" s="904" t="s">
        <v>641</v>
      </c>
      <c r="AE324" s="902" t="s">
        <v>642</v>
      </c>
      <c r="AF324" s="902" t="s">
        <v>643</v>
      </c>
      <c r="AG324" s="902" t="s">
        <v>644</v>
      </c>
      <c r="AH324" s="905" t="s">
        <v>645</v>
      </c>
      <c r="AI324" s="906" t="s">
        <v>646</v>
      </c>
      <c r="AJ324" s="906" t="s">
        <v>647</v>
      </c>
      <c r="AK324" s="906" t="s">
        <v>648</v>
      </c>
      <c r="AL324" s="653"/>
      <c r="AM324" s="907" t="s">
        <v>649</v>
      </c>
      <c r="AN324" s="908" t="s">
        <v>481</v>
      </c>
      <c r="AO324" s="906" t="s">
        <v>699</v>
      </c>
      <c r="AP324" s="979" t="s">
        <v>650</v>
      </c>
      <c r="AQ324" s="979" t="s">
        <v>651</v>
      </c>
      <c r="AR324" s="653"/>
      <c r="AS324" s="653" t="s">
        <v>481</v>
      </c>
      <c r="AT324" s="653" t="s">
        <v>631</v>
      </c>
      <c r="AU324" s="653" t="s">
        <v>634</v>
      </c>
      <c r="AV324" s="653" t="s">
        <v>678</v>
      </c>
      <c r="AW324" s="653" t="s">
        <v>613</v>
      </c>
      <c r="AX324" s="653" t="s">
        <v>679</v>
      </c>
      <c r="AY324" s="653" t="s">
        <v>680</v>
      </c>
      <c r="AZ324" s="653" t="s">
        <v>681</v>
      </c>
      <c r="BA324" s="653"/>
      <c r="BB324" s="653" t="str">
        <f t="shared" ref="BB324:BI324" si="212">AS324</f>
        <v>Jahre</v>
      </c>
      <c r="BC324" s="653" t="str">
        <f t="shared" si="212"/>
        <v>WBF Darlehen</v>
      </c>
      <c r="BD324" s="653" t="str">
        <f t="shared" si="212"/>
        <v>Bankdarlehen</v>
      </c>
      <c r="BE324" s="653" t="str">
        <f t="shared" si="212"/>
        <v>Eigenkapital</v>
      </c>
      <c r="BF324" s="653" t="str">
        <f t="shared" si="212"/>
        <v>Annuitätenzuschuss</v>
      </c>
      <c r="BG324" s="653" t="str">
        <f t="shared" si="212"/>
        <v>Entgeltstundung</v>
      </c>
      <c r="BH324" s="653" t="str">
        <f t="shared" si="212"/>
        <v>(Mieteinnahmen)</v>
      </c>
      <c r="BI324" s="653" t="str">
        <f t="shared" si="212"/>
        <v>Barwert Gesamt</v>
      </c>
      <c r="BJ324" s="653"/>
      <c r="BK324" s="653" t="s">
        <v>481</v>
      </c>
      <c r="BL324" s="653" t="str">
        <f t="shared" ref="BL324:BQ324" si="213">BC324</f>
        <v>WBF Darlehen</v>
      </c>
      <c r="BM324" s="653" t="str">
        <f t="shared" si="213"/>
        <v>Bankdarlehen</v>
      </c>
      <c r="BN324" s="653" t="str">
        <f t="shared" si="213"/>
        <v>Eigenkapital</v>
      </c>
      <c r="BO324" s="653" t="str">
        <f t="shared" si="213"/>
        <v>Annuitätenzuschuss</v>
      </c>
      <c r="BP324" s="653" t="str">
        <f t="shared" si="213"/>
        <v>Entgeltstundung</v>
      </c>
      <c r="BQ324" s="653" t="str">
        <f t="shared" si="213"/>
        <v>(Mieteinnahmen)</v>
      </c>
      <c r="BR324" s="653" t="s">
        <v>682</v>
      </c>
      <c r="BS324" s="653"/>
      <c r="BT324" s="653"/>
      <c r="BU324" s="653"/>
      <c r="BV324" s="654"/>
    </row>
    <row r="325" spans="2:74" x14ac:dyDescent="0.25">
      <c r="B325" s="651"/>
      <c r="C325" s="653"/>
      <c r="D325" s="653"/>
      <c r="E325" s="653"/>
      <c r="F325" s="653"/>
      <c r="G325" s="653"/>
      <c r="H325" s="653"/>
      <c r="I325" s="653"/>
      <c r="J325" s="653"/>
      <c r="K325" s="653"/>
      <c r="L325" s="653"/>
      <c r="M325" s="651">
        <v>0</v>
      </c>
      <c r="N325" s="909">
        <v>0</v>
      </c>
      <c r="O325" s="909">
        <v>0</v>
      </c>
      <c r="P325" s="909">
        <v>0</v>
      </c>
      <c r="Q325" s="910">
        <f ca="1">S311</f>
        <v>1724713.9999999993</v>
      </c>
      <c r="R325" s="909">
        <v>0</v>
      </c>
      <c r="S325" s="909"/>
      <c r="T325" s="909"/>
      <c r="U325" s="909">
        <f ca="1">S312</f>
        <v>1667622.6774000004</v>
      </c>
      <c r="V325" s="909">
        <v>0</v>
      </c>
      <c r="W325" s="909">
        <v>0</v>
      </c>
      <c r="X325" s="909">
        <f>N325+R325+V325+W325</f>
        <v>0</v>
      </c>
      <c r="Y325" s="909">
        <v>0</v>
      </c>
      <c r="Z325" s="910">
        <v>0</v>
      </c>
      <c r="AA325" s="909">
        <v>0</v>
      </c>
      <c r="AB325" s="910">
        <v>0</v>
      </c>
      <c r="AC325" s="911">
        <v>0</v>
      </c>
      <c r="AD325" s="911">
        <v>0</v>
      </c>
      <c r="AE325" s="909">
        <v>0</v>
      </c>
      <c r="AF325" s="912">
        <f t="shared" ref="AF325:AF356" si="214">AE325/(1+$Q$308)^M325</f>
        <v>0</v>
      </c>
      <c r="AG325" s="909">
        <v>0</v>
      </c>
      <c r="AH325" s="913">
        <v>0</v>
      </c>
      <c r="AI325" s="909"/>
      <c r="AJ325" s="909"/>
      <c r="AK325" s="909"/>
      <c r="AL325" s="653"/>
      <c r="AM325" s="914"/>
      <c r="AN325" s="915">
        <f t="shared" ref="AN325:AN356" si="215">M325</f>
        <v>0</v>
      </c>
      <c r="AO325" s="653">
        <v>0</v>
      </c>
      <c r="AP325" s="916">
        <v>0</v>
      </c>
      <c r="AQ325" s="916">
        <f>Y325</f>
        <v>0</v>
      </c>
      <c r="AR325" s="653"/>
      <c r="AS325" s="653">
        <v>1</v>
      </c>
      <c r="AT325" s="909">
        <f t="shared" ref="AT325:AT356" si="216">-(N325+O325)*(1+$Q$306)^-M325</f>
        <v>0</v>
      </c>
      <c r="AU325" s="909">
        <f t="shared" ref="AU325:AU356" si="217">-R325*(1+$Q$306)^-M325</f>
        <v>0</v>
      </c>
      <c r="AV325" s="909">
        <f t="shared" ref="AV325:AV356" si="218">-(V325+W325)*(1+$Q$306)^-M325</f>
        <v>0</v>
      </c>
      <c r="AW325" s="909">
        <f t="shared" ref="AW325:AW356" si="219">-Y325*(1+$Q$306)^-M325</f>
        <v>0</v>
      </c>
      <c r="AX325" s="909">
        <f t="shared" ref="AX325:AX356" si="220">AC325*(1+$Q$306)^-M325</f>
        <v>0</v>
      </c>
      <c r="AY325" s="909">
        <f t="shared" ref="AY325:AY356" si="221">AG325*(1+$Q$306)^-M325</f>
        <v>0</v>
      </c>
      <c r="AZ325" s="909">
        <f t="shared" ref="AZ325:AZ356" si="222">SUM(AT325:AX325)</f>
        <v>0</v>
      </c>
      <c r="BA325" s="653"/>
      <c r="BB325" s="653">
        <v>1</v>
      </c>
      <c r="BC325" s="653">
        <f>0</f>
        <v>0</v>
      </c>
      <c r="BD325" s="653">
        <v>0</v>
      </c>
      <c r="BE325" s="653">
        <v>0</v>
      </c>
      <c r="BF325" s="653">
        <v>0</v>
      </c>
      <c r="BG325" s="653">
        <v>0</v>
      </c>
      <c r="BH325" s="653">
        <v>1</v>
      </c>
      <c r="BI325" s="653">
        <v>0</v>
      </c>
      <c r="BJ325" s="653"/>
      <c r="BK325" s="653">
        <v>1</v>
      </c>
      <c r="BL325" s="909">
        <f t="shared" ref="BL325:BL356" si="223">-(N325+O325)</f>
        <v>0</v>
      </c>
      <c r="BM325" s="909">
        <f t="shared" ref="BM325:BM356" si="224">-R325</f>
        <v>0</v>
      </c>
      <c r="BN325" s="909">
        <f t="shared" ref="BN325:BN356" si="225">-(V325+W325)</f>
        <v>0</v>
      </c>
      <c r="BO325" s="909">
        <f t="shared" ref="BO325:BO356" si="226">-Y325</f>
        <v>0</v>
      </c>
      <c r="BP325" s="909">
        <f t="shared" ref="BP325:BP356" si="227">AC325</f>
        <v>0</v>
      </c>
      <c r="BQ325" s="909">
        <f t="shared" ref="BQ325:BQ356" si="228">AG325</f>
        <v>0</v>
      </c>
      <c r="BR325" s="909">
        <f t="shared" ref="BR325:BR356" si="229">SUM(BL325:BP325)</f>
        <v>0</v>
      </c>
      <c r="BS325" s="653"/>
      <c r="BT325" s="653"/>
      <c r="BU325" s="653"/>
      <c r="BV325" s="654"/>
    </row>
    <row r="326" spans="2:74" x14ac:dyDescent="0.25">
      <c r="B326" s="651"/>
      <c r="C326" s="653"/>
      <c r="D326" s="653"/>
      <c r="E326" s="653"/>
      <c r="F326" s="653"/>
      <c r="G326" s="653"/>
      <c r="H326" s="653"/>
      <c r="I326" s="653"/>
      <c r="J326" s="653"/>
      <c r="K326" s="653"/>
      <c r="L326" s="653"/>
      <c r="M326" s="651">
        <v>1</v>
      </c>
      <c r="N326" s="909">
        <f t="shared" ref="N326:N357" ca="1" si="230">MIN(IF(Q325&lt;=0,0,IF(M326&lt;=$Y$306,$AC$306,IF(M326&lt;=$Y$307,$AC$307,IF(M326&lt;=$Y$308,$AC$308,IF(M326&lt;=$Y$309,$AC$309,IF(M326&lt;=$Y$310,$AC$310)))))),Q325)</f>
        <v>8623.5699999999961</v>
      </c>
      <c r="O326" s="909">
        <f t="shared" ref="O326:O357" ca="1" si="231">MAX(MIN(AG326-X326+AC326-Y326,Q325-N326),0)</f>
        <v>0</v>
      </c>
      <c r="P326" s="909">
        <f t="shared" ref="P326:P357" ca="1" si="232">IF(Q325=0,0,Q325*$U$307+$U$305)</f>
        <v>12</v>
      </c>
      <c r="Q326" s="910">
        <f t="shared" ref="Q326:Q357" ca="1" si="233">IF(Q325=0,0,Q325-N326-O326)</f>
        <v>1716090.4299999992</v>
      </c>
      <c r="R326" s="909">
        <f t="shared" ref="R326:R357" ca="1" si="234">IF(M326&lt;=$V$313,-PMT($U$313,$V$313,$S$312),0)</f>
        <v>95768.020059652234</v>
      </c>
      <c r="S326" s="909">
        <f t="shared" ref="S326:S357" ca="1" si="235">U325*$U$313</f>
        <v>50028.680322000007</v>
      </c>
      <c r="T326" s="909">
        <f t="shared" ref="T326:T357" ca="1" si="236">R326-S326</f>
        <v>45739.339737652226</v>
      </c>
      <c r="U326" s="909">
        <f t="shared" ref="U326:U357" ca="1" si="237">U325-T326</f>
        <v>1621883.3376623481</v>
      </c>
      <c r="V326" s="909">
        <f t="shared" ref="V326:V357" ca="1" si="238">IF(M326&lt;=$V$314,($Q$307+$U$314)*$S$313,0)</f>
        <v>8640</v>
      </c>
      <c r="W326" s="909">
        <f t="shared" ref="W326:W357" ca="1" si="239">IF(M326&lt;=$V$315,($Q$307+$U$315)*$S$314,0)</f>
        <v>7280.284584</v>
      </c>
      <c r="X326" s="909">
        <f t="shared" ref="X326:X357" ca="1" si="240">N326+R326+V326+W326+P326</f>
        <v>120323.87464365222</v>
      </c>
      <c r="Y326" s="909">
        <f t="shared" ref="Y326:Y357" ca="1" si="241">IF($R$311&gt;0,IF(M326&gt;=$Q$309,Z325*-1,IF(M326&gt;$W$319,IF(X326&gt;=AG326,0,IF(Z325+AG326-X326&gt;=0,-Z325,AG326-X326)),IF(AG326-X326&gt;=0,0,AG326-X326))),0)</f>
        <v>-42788.970643652225</v>
      </c>
      <c r="Z326" s="910">
        <f t="shared" ref="Z326:Z357" ca="1" si="242">IF(Z325+Y326&gt;=0,0,Z325+Y326)</f>
        <v>-42788.970643652225</v>
      </c>
      <c r="AA326" s="909">
        <f t="shared" ref="AA326:AA357" ca="1" si="243">IF($S$311&gt;0,IF(M326&gt;$W$319,IF(X326&gt;=AG326,0,IF(AB325+AG326&gt;=0,-AB325,AG326-X326)),IF(AG326-X326&gt;=0,0,AG326-X326)),0)</f>
        <v>-42788.970643652225</v>
      </c>
      <c r="AB326" s="910">
        <f t="shared" ref="AB326:AB357" ca="1" si="244">IF(AB325+AA326&gt;=0,0,AB325+AA326)</f>
        <v>-42788.970643652225</v>
      </c>
      <c r="AC326" s="911">
        <f t="shared" ref="AC326:AC357" ca="1" si="245">IF(M326&gt;=$Q$309,AD325*-1*(1+$Q$307),MAX(X326+Y326-AG326,AD325*-1*(1+$Q$307)))</f>
        <v>0</v>
      </c>
      <c r="AD326" s="911">
        <f t="shared" ref="AD326:AD357" ca="1" si="246">AC326+AD325*(1+$Q$307)</f>
        <v>0</v>
      </c>
      <c r="AE326" s="909">
        <f t="shared" ref="AE326:AE357" ca="1" si="247">IF(AG326-Y326-X326+AC326&lt;0,0,AG326-Y326-X326+AC326-O326)</f>
        <v>0</v>
      </c>
      <c r="AF326" s="912">
        <f t="shared" ca="1" si="214"/>
        <v>0</v>
      </c>
      <c r="AG326" s="909">
        <f t="shared" ref="AG326:AG357" si="248">$Y$318*$I$317*12</f>
        <v>77534.903999999995</v>
      </c>
      <c r="AH326" s="917">
        <f t="shared" ref="AH326:AH357" ca="1" si="249">(X326+Y326)</f>
        <v>77534.903999999995</v>
      </c>
      <c r="AI326" s="909">
        <f t="shared" ref="AI326:AI357" ca="1" si="250">IF(M326&gt;$Q$309,"",(X326+Y326+O326)*-1)</f>
        <v>-77534.903999999995</v>
      </c>
      <c r="AJ326" s="916">
        <f t="shared" ref="AJ326:AJ357" ca="1" si="251">IF(M326&gt;$Q$309,"",AI326+AG326)</f>
        <v>0</v>
      </c>
      <c r="AK326" s="916">
        <f t="shared" ref="AK326:AK357" ca="1" si="252">IF(M326&gt;$Q$309,"",(N326+O326+P326+R326+V326+W326+Y326-AC326)*-1)</f>
        <v>-77534.903999999995</v>
      </c>
      <c r="AL326" s="909">
        <f t="shared" ref="AL326:AL357" ca="1" si="253">IF(M326&gt;$Q$309,"",AK326+AG326)</f>
        <v>0</v>
      </c>
      <c r="AM326" s="918">
        <f t="shared" ref="AM326:AM357" ca="1" si="254">X326+Y326+O326</f>
        <v>77534.903999999995</v>
      </c>
      <c r="AN326" s="915">
        <f t="shared" si="215"/>
        <v>1</v>
      </c>
      <c r="AO326" s="653">
        <f t="shared" ref="AO326:AO357" si="255">IF(M326&gt;$Q$309,"",AG326)</f>
        <v>77534.903999999995</v>
      </c>
      <c r="AP326" s="916">
        <f t="shared" ref="AP326:AP357" ca="1" si="256">IF(M326&gt;$Q$309,"",N326+O326+P326)</f>
        <v>8635.5699999999961</v>
      </c>
      <c r="AQ326" s="916">
        <f t="shared" ref="AQ326:AQ357" ca="1" si="257">IF(M326&gt;$Q$309,"",Y326)</f>
        <v>-42788.970643652225</v>
      </c>
      <c r="AR326" s="653"/>
      <c r="AS326" s="653">
        <v>1</v>
      </c>
      <c r="AT326" s="909">
        <f t="shared" ca="1" si="216"/>
        <v>-8372.3980582524237</v>
      </c>
      <c r="AU326" s="909">
        <f t="shared" ca="1" si="217"/>
        <v>-92978.660252089554</v>
      </c>
      <c r="AV326" s="909">
        <f t="shared" ca="1" si="218"/>
        <v>-15456.586974757283</v>
      </c>
      <c r="AW326" s="909">
        <f t="shared" ca="1" si="219"/>
        <v>41542.689945293423</v>
      </c>
      <c r="AX326" s="909">
        <f t="shared" ca="1" si="220"/>
        <v>0</v>
      </c>
      <c r="AY326" s="909">
        <f t="shared" si="221"/>
        <v>75276.605825242717</v>
      </c>
      <c r="AZ326" s="909">
        <f t="shared" ca="1" si="222"/>
        <v>-75264.955339805834</v>
      </c>
      <c r="BA326" s="653"/>
      <c r="BB326" s="653">
        <f t="shared" ref="BB326:BB357" si="258">AS326</f>
        <v>1</v>
      </c>
      <c r="BC326" s="909">
        <f t="shared" ref="BC326:BC357" ca="1" si="259">BC325+AT326</f>
        <v>-8372.3980582524237</v>
      </c>
      <c r="BD326" s="909">
        <f t="shared" ref="BD326:BD357" ca="1" si="260">BD325+AU326</f>
        <v>-92978.660252089554</v>
      </c>
      <c r="BE326" s="909">
        <f t="shared" ref="BE326:BE357" ca="1" si="261">BE325+AV326</f>
        <v>-15456.586974757283</v>
      </c>
      <c r="BF326" s="909">
        <f t="shared" ref="BF326:BF357" ca="1" si="262">BF325+AW326</f>
        <v>41542.689945293423</v>
      </c>
      <c r="BG326" s="909">
        <f t="shared" ref="BG326:BG357" ca="1" si="263">BG325+AX326</f>
        <v>0</v>
      </c>
      <c r="BH326" s="909">
        <f t="shared" ref="BH326:BH357" si="264">BH325+AY326</f>
        <v>75277.605825242717</v>
      </c>
      <c r="BI326" s="909">
        <f t="shared" ref="BI326:BI357" ca="1" si="265">BI325+AZ326</f>
        <v>-75264.955339805834</v>
      </c>
      <c r="BJ326" s="909"/>
      <c r="BK326" s="653">
        <v>1</v>
      </c>
      <c r="BL326" s="909">
        <f t="shared" ca="1" si="223"/>
        <v>-8623.5699999999961</v>
      </c>
      <c r="BM326" s="909">
        <f t="shared" ca="1" si="224"/>
        <v>-95768.020059652234</v>
      </c>
      <c r="BN326" s="909">
        <f t="shared" ca="1" si="225"/>
        <v>-15920.284584000001</v>
      </c>
      <c r="BO326" s="909">
        <f t="shared" ca="1" si="226"/>
        <v>42788.970643652225</v>
      </c>
      <c r="BP326" s="909">
        <f t="shared" ca="1" si="227"/>
        <v>0</v>
      </c>
      <c r="BQ326" s="909">
        <f t="shared" si="228"/>
        <v>77534.903999999995</v>
      </c>
      <c r="BR326" s="909">
        <f t="shared" ca="1" si="229"/>
        <v>-77522.90400000001</v>
      </c>
      <c r="BS326" s="653"/>
      <c r="BT326" s="653"/>
      <c r="BU326" s="653"/>
      <c r="BV326" s="654"/>
    </row>
    <row r="327" spans="2:74" x14ac:dyDescent="0.25">
      <c r="B327" s="651"/>
      <c r="C327" s="653"/>
      <c r="D327" s="653"/>
      <c r="E327" s="653"/>
      <c r="F327" s="653"/>
      <c r="G327" s="653"/>
      <c r="H327" s="653"/>
      <c r="I327" s="653"/>
      <c r="J327" s="653"/>
      <c r="K327" s="653"/>
      <c r="L327" s="653"/>
      <c r="M327" s="651">
        <v>2</v>
      </c>
      <c r="N327" s="909">
        <f t="shared" ca="1" si="230"/>
        <v>8623.5699999999961</v>
      </c>
      <c r="O327" s="909">
        <f t="shared" ca="1" si="231"/>
        <v>0</v>
      </c>
      <c r="P327" s="909">
        <f t="shared" ca="1" si="232"/>
        <v>12</v>
      </c>
      <c r="Q327" s="910">
        <f t="shared" ca="1" si="233"/>
        <v>1707466.8599999992</v>
      </c>
      <c r="R327" s="909">
        <f t="shared" ca="1" si="234"/>
        <v>95768.020059652234</v>
      </c>
      <c r="S327" s="909">
        <f t="shared" ca="1" si="235"/>
        <v>48656.500129870437</v>
      </c>
      <c r="T327" s="909">
        <f t="shared" ca="1" si="236"/>
        <v>47111.519929781796</v>
      </c>
      <c r="U327" s="909">
        <f t="shared" ca="1" si="237"/>
        <v>1574771.8177325663</v>
      </c>
      <c r="V327" s="909">
        <f t="shared" ca="1" si="238"/>
        <v>8640</v>
      </c>
      <c r="W327" s="909">
        <f t="shared" ca="1" si="239"/>
        <v>7280.284584</v>
      </c>
      <c r="X327" s="909">
        <f t="shared" ca="1" si="240"/>
        <v>120323.87464365222</v>
      </c>
      <c r="Y327" s="909">
        <f t="shared" ca="1" si="241"/>
        <v>-42788.970643652225</v>
      </c>
      <c r="Z327" s="910">
        <f t="shared" ca="1" si="242"/>
        <v>-85577.941287304449</v>
      </c>
      <c r="AA327" s="909">
        <f t="shared" ca="1" si="243"/>
        <v>-42788.970643652225</v>
      </c>
      <c r="AB327" s="910">
        <f t="shared" ca="1" si="244"/>
        <v>-85577.941287304449</v>
      </c>
      <c r="AC327" s="911">
        <f t="shared" ca="1" si="245"/>
        <v>0</v>
      </c>
      <c r="AD327" s="911">
        <f t="shared" ca="1" si="246"/>
        <v>0</v>
      </c>
      <c r="AE327" s="909">
        <f t="shared" ca="1" si="247"/>
        <v>0</v>
      </c>
      <c r="AF327" s="912">
        <f t="shared" ca="1" si="214"/>
        <v>0</v>
      </c>
      <c r="AG327" s="909">
        <f t="shared" si="248"/>
        <v>77534.903999999995</v>
      </c>
      <c r="AH327" s="917">
        <f t="shared" ca="1" si="249"/>
        <v>77534.903999999995</v>
      </c>
      <c r="AI327" s="909">
        <f t="shared" ca="1" si="250"/>
        <v>-77534.903999999995</v>
      </c>
      <c r="AJ327" s="916">
        <f t="shared" ca="1" si="251"/>
        <v>0</v>
      </c>
      <c r="AK327" s="916">
        <f t="shared" ca="1" si="252"/>
        <v>-77534.903999999995</v>
      </c>
      <c r="AL327" s="909">
        <f t="shared" ca="1" si="253"/>
        <v>0</v>
      </c>
      <c r="AM327" s="918">
        <f t="shared" ca="1" si="254"/>
        <v>77534.903999999995</v>
      </c>
      <c r="AN327" s="915">
        <f t="shared" si="215"/>
        <v>2</v>
      </c>
      <c r="AO327" s="653">
        <f t="shared" si="255"/>
        <v>77534.903999999995</v>
      </c>
      <c r="AP327" s="916">
        <f t="shared" ca="1" si="256"/>
        <v>8635.5699999999961</v>
      </c>
      <c r="AQ327" s="916">
        <f t="shared" ca="1" si="257"/>
        <v>-42788.970643652225</v>
      </c>
      <c r="AR327" s="653"/>
      <c r="AS327" s="653">
        <v>2</v>
      </c>
      <c r="AT327" s="909">
        <f t="shared" ca="1" si="216"/>
        <v>-8128.5418041285666</v>
      </c>
      <c r="AU327" s="909">
        <f t="shared" ca="1" si="217"/>
        <v>-90270.543934067522</v>
      </c>
      <c r="AV327" s="909">
        <f t="shared" ca="1" si="218"/>
        <v>-15006.395121123574</v>
      </c>
      <c r="AW327" s="909">
        <f t="shared" ca="1" si="219"/>
        <v>40332.708684750898</v>
      </c>
      <c r="AX327" s="909">
        <f t="shared" ca="1" si="220"/>
        <v>0</v>
      </c>
      <c r="AY327" s="909">
        <f t="shared" si="221"/>
        <v>73084.083325478365</v>
      </c>
      <c r="AZ327" s="909">
        <f t="shared" ca="1" si="222"/>
        <v>-73072.77217456876</v>
      </c>
      <c r="BA327" s="653"/>
      <c r="BB327" s="653">
        <f t="shared" si="258"/>
        <v>2</v>
      </c>
      <c r="BC327" s="909">
        <f t="shared" ca="1" si="259"/>
        <v>-16500.93986238099</v>
      </c>
      <c r="BD327" s="909">
        <f t="shared" ca="1" si="260"/>
        <v>-183249.20418615709</v>
      </c>
      <c r="BE327" s="909">
        <f t="shared" ca="1" si="261"/>
        <v>-30462.982095880856</v>
      </c>
      <c r="BF327" s="909">
        <f t="shared" ca="1" si="262"/>
        <v>81875.398630044321</v>
      </c>
      <c r="BG327" s="909">
        <f t="shared" ca="1" si="263"/>
        <v>0</v>
      </c>
      <c r="BH327" s="909">
        <f t="shared" si="264"/>
        <v>148361.68915072107</v>
      </c>
      <c r="BI327" s="909">
        <f t="shared" ca="1" si="265"/>
        <v>-148337.72751437459</v>
      </c>
      <c r="BJ327" s="909"/>
      <c r="BK327" s="653">
        <v>2</v>
      </c>
      <c r="BL327" s="909">
        <f t="shared" ca="1" si="223"/>
        <v>-8623.5699999999961</v>
      </c>
      <c r="BM327" s="909">
        <f t="shared" ca="1" si="224"/>
        <v>-95768.020059652234</v>
      </c>
      <c r="BN327" s="909">
        <f t="shared" ca="1" si="225"/>
        <v>-15920.284584000001</v>
      </c>
      <c r="BO327" s="909">
        <f t="shared" ca="1" si="226"/>
        <v>42788.970643652225</v>
      </c>
      <c r="BP327" s="909">
        <f t="shared" ca="1" si="227"/>
        <v>0</v>
      </c>
      <c r="BQ327" s="909">
        <f t="shared" si="228"/>
        <v>77534.903999999995</v>
      </c>
      <c r="BR327" s="909">
        <f t="shared" ca="1" si="229"/>
        <v>-77522.90400000001</v>
      </c>
      <c r="BS327" s="653"/>
      <c r="BT327" s="653"/>
      <c r="BU327" s="653"/>
      <c r="BV327" s="654"/>
    </row>
    <row r="328" spans="2:74" x14ac:dyDescent="0.25">
      <c r="B328" s="651"/>
      <c r="C328" s="653"/>
      <c r="D328" s="653"/>
      <c r="E328" s="653"/>
      <c r="F328" s="653"/>
      <c r="G328" s="653"/>
      <c r="H328" s="653"/>
      <c r="I328" s="653"/>
      <c r="J328" s="653"/>
      <c r="K328" s="653"/>
      <c r="L328" s="653"/>
      <c r="M328" s="651">
        <v>3</v>
      </c>
      <c r="N328" s="909">
        <f t="shared" ca="1" si="230"/>
        <v>8623.5699999999961</v>
      </c>
      <c r="O328" s="909">
        <f t="shared" ca="1" si="231"/>
        <v>0</v>
      </c>
      <c r="P328" s="909">
        <f t="shared" ca="1" si="232"/>
        <v>12</v>
      </c>
      <c r="Q328" s="910">
        <f t="shared" ca="1" si="233"/>
        <v>1698843.2899999991</v>
      </c>
      <c r="R328" s="909">
        <f t="shared" ca="1" si="234"/>
        <v>95768.020059652234</v>
      </c>
      <c r="S328" s="909">
        <f t="shared" ca="1" si="235"/>
        <v>47243.154531976987</v>
      </c>
      <c r="T328" s="909">
        <f t="shared" ca="1" si="236"/>
        <v>48524.865527675247</v>
      </c>
      <c r="U328" s="909">
        <f t="shared" ca="1" si="237"/>
        <v>1526246.952204891</v>
      </c>
      <c r="V328" s="909">
        <f t="shared" ca="1" si="238"/>
        <v>8640</v>
      </c>
      <c r="W328" s="909">
        <f t="shared" ca="1" si="239"/>
        <v>7280.284584</v>
      </c>
      <c r="X328" s="909">
        <f t="shared" ca="1" si="240"/>
        <v>120323.87464365222</v>
      </c>
      <c r="Y328" s="909">
        <f t="shared" ca="1" si="241"/>
        <v>-42788.970643652225</v>
      </c>
      <c r="Z328" s="910">
        <f t="shared" ca="1" si="242"/>
        <v>-128366.91193095667</v>
      </c>
      <c r="AA328" s="909">
        <f t="shared" ca="1" si="243"/>
        <v>-42788.970643652225</v>
      </c>
      <c r="AB328" s="910">
        <f t="shared" ca="1" si="244"/>
        <v>-128366.91193095667</v>
      </c>
      <c r="AC328" s="911">
        <f t="shared" ca="1" si="245"/>
        <v>0</v>
      </c>
      <c r="AD328" s="911">
        <f t="shared" ca="1" si="246"/>
        <v>0</v>
      </c>
      <c r="AE328" s="909">
        <f t="shared" ca="1" si="247"/>
        <v>0</v>
      </c>
      <c r="AF328" s="912">
        <f t="shared" ca="1" si="214"/>
        <v>0</v>
      </c>
      <c r="AG328" s="909">
        <f t="shared" si="248"/>
        <v>77534.903999999995</v>
      </c>
      <c r="AH328" s="917">
        <f t="shared" ca="1" si="249"/>
        <v>77534.903999999995</v>
      </c>
      <c r="AI328" s="909">
        <f t="shared" ca="1" si="250"/>
        <v>-77534.903999999995</v>
      </c>
      <c r="AJ328" s="916">
        <f t="shared" ca="1" si="251"/>
        <v>0</v>
      </c>
      <c r="AK328" s="916">
        <f t="shared" ca="1" si="252"/>
        <v>-77534.903999999995</v>
      </c>
      <c r="AL328" s="909">
        <f t="shared" ca="1" si="253"/>
        <v>0</v>
      </c>
      <c r="AM328" s="918">
        <f t="shared" ca="1" si="254"/>
        <v>77534.903999999995</v>
      </c>
      <c r="AN328" s="915">
        <f t="shared" si="215"/>
        <v>3</v>
      </c>
      <c r="AO328" s="653">
        <f t="shared" si="255"/>
        <v>77534.903999999995</v>
      </c>
      <c r="AP328" s="916">
        <f t="shared" ca="1" si="256"/>
        <v>8635.5699999999961</v>
      </c>
      <c r="AQ328" s="916">
        <f t="shared" ca="1" si="257"/>
        <v>-42788.970643652225</v>
      </c>
      <c r="AR328" s="653"/>
      <c r="AS328" s="653">
        <v>3</v>
      </c>
      <c r="AT328" s="909">
        <f t="shared" ca="1" si="216"/>
        <v>-7891.7881593481234</v>
      </c>
      <c r="AU328" s="909">
        <f t="shared" ca="1" si="217"/>
        <v>-87641.304790356822</v>
      </c>
      <c r="AV328" s="909">
        <f t="shared" ca="1" si="218"/>
        <v>-14569.315651576288</v>
      </c>
      <c r="AW328" s="909">
        <f t="shared" ca="1" si="219"/>
        <v>39157.969596845534</v>
      </c>
      <c r="AX328" s="909">
        <f t="shared" ca="1" si="220"/>
        <v>0</v>
      </c>
      <c r="AY328" s="909">
        <f t="shared" si="221"/>
        <v>70955.420704347925</v>
      </c>
      <c r="AZ328" s="909">
        <f t="shared" ca="1" si="222"/>
        <v>-70944.439004435699</v>
      </c>
      <c r="BA328" s="653"/>
      <c r="BB328" s="653">
        <f t="shared" si="258"/>
        <v>3</v>
      </c>
      <c r="BC328" s="909">
        <f t="shared" ca="1" si="259"/>
        <v>-24392.728021729112</v>
      </c>
      <c r="BD328" s="909">
        <f t="shared" ca="1" si="260"/>
        <v>-270890.50897651393</v>
      </c>
      <c r="BE328" s="909">
        <f t="shared" ca="1" si="261"/>
        <v>-45032.297747457145</v>
      </c>
      <c r="BF328" s="909">
        <f t="shared" ca="1" si="262"/>
        <v>121033.36822688986</v>
      </c>
      <c r="BG328" s="909">
        <f t="shared" ca="1" si="263"/>
        <v>0</v>
      </c>
      <c r="BH328" s="909">
        <f t="shared" si="264"/>
        <v>219317.10985506899</v>
      </c>
      <c r="BI328" s="909">
        <f t="shared" ca="1" si="265"/>
        <v>-219282.16651881029</v>
      </c>
      <c r="BJ328" s="909"/>
      <c r="BK328" s="653">
        <v>3</v>
      </c>
      <c r="BL328" s="909">
        <f t="shared" ca="1" si="223"/>
        <v>-8623.5699999999961</v>
      </c>
      <c r="BM328" s="909">
        <f t="shared" ca="1" si="224"/>
        <v>-95768.020059652234</v>
      </c>
      <c r="BN328" s="909">
        <f t="shared" ca="1" si="225"/>
        <v>-15920.284584000001</v>
      </c>
      <c r="BO328" s="909">
        <f t="shared" ca="1" si="226"/>
        <v>42788.970643652225</v>
      </c>
      <c r="BP328" s="909">
        <f t="shared" ca="1" si="227"/>
        <v>0</v>
      </c>
      <c r="BQ328" s="909">
        <f t="shared" si="228"/>
        <v>77534.903999999995</v>
      </c>
      <c r="BR328" s="909">
        <f t="shared" ca="1" si="229"/>
        <v>-77522.90400000001</v>
      </c>
      <c r="BS328" s="653"/>
      <c r="BT328" s="653"/>
      <c r="BU328" s="653"/>
      <c r="BV328" s="654"/>
    </row>
    <row r="329" spans="2:74" x14ac:dyDescent="0.25">
      <c r="B329" s="651"/>
      <c r="C329" s="653"/>
      <c r="D329" s="653"/>
      <c r="E329" s="653"/>
      <c r="F329" s="653"/>
      <c r="G329" s="653"/>
      <c r="H329" s="653"/>
      <c r="I329" s="653"/>
      <c r="J329" s="653"/>
      <c r="K329" s="653"/>
      <c r="L329" s="653"/>
      <c r="M329" s="651">
        <v>4</v>
      </c>
      <c r="N329" s="909">
        <f t="shared" ca="1" si="230"/>
        <v>8623.5699999999961</v>
      </c>
      <c r="O329" s="909">
        <f t="shared" ca="1" si="231"/>
        <v>0</v>
      </c>
      <c r="P329" s="909">
        <f t="shared" ca="1" si="232"/>
        <v>12</v>
      </c>
      <c r="Q329" s="910">
        <f t="shared" ca="1" si="233"/>
        <v>1690219.719999999</v>
      </c>
      <c r="R329" s="909">
        <f t="shared" ca="1" si="234"/>
        <v>95768.020059652234</v>
      </c>
      <c r="S329" s="909">
        <f t="shared" ca="1" si="235"/>
        <v>45787.408566146725</v>
      </c>
      <c r="T329" s="909">
        <f t="shared" ca="1" si="236"/>
        <v>49980.611493505508</v>
      </c>
      <c r="U329" s="909">
        <f t="shared" ca="1" si="237"/>
        <v>1476266.3407113855</v>
      </c>
      <c r="V329" s="909">
        <f t="shared" ca="1" si="238"/>
        <v>8640</v>
      </c>
      <c r="W329" s="909">
        <f t="shared" ca="1" si="239"/>
        <v>7280.284584</v>
      </c>
      <c r="X329" s="909">
        <f t="shared" ca="1" si="240"/>
        <v>120323.87464365222</v>
      </c>
      <c r="Y329" s="909">
        <f t="shared" ca="1" si="241"/>
        <v>-42788.970643652225</v>
      </c>
      <c r="Z329" s="910">
        <f t="shared" ca="1" si="242"/>
        <v>-171155.8825746089</v>
      </c>
      <c r="AA329" s="909">
        <f t="shared" ca="1" si="243"/>
        <v>-42788.970643652225</v>
      </c>
      <c r="AB329" s="910">
        <f t="shared" ca="1" si="244"/>
        <v>-171155.8825746089</v>
      </c>
      <c r="AC329" s="911">
        <f t="shared" ca="1" si="245"/>
        <v>0</v>
      </c>
      <c r="AD329" s="911">
        <f t="shared" ca="1" si="246"/>
        <v>0</v>
      </c>
      <c r="AE329" s="909">
        <f t="shared" ca="1" si="247"/>
        <v>0</v>
      </c>
      <c r="AF329" s="912">
        <f t="shared" ca="1" si="214"/>
        <v>0</v>
      </c>
      <c r="AG329" s="909">
        <f t="shared" si="248"/>
        <v>77534.903999999995</v>
      </c>
      <c r="AH329" s="917">
        <f t="shared" ca="1" si="249"/>
        <v>77534.903999999995</v>
      </c>
      <c r="AI329" s="909">
        <f t="shared" ca="1" si="250"/>
        <v>-77534.903999999995</v>
      </c>
      <c r="AJ329" s="916">
        <f t="shared" ca="1" si="251"/>
        <v>0</v>
      </c>
      <c r="AK329" s="916">
        <f t="shared" ca="1" si="252"/>
        <v>-77534.903999999995</v>
      </c>
      <c r="AL329" s="909">
        <f t="shared" ca="1" si="253"/>
        <v>0</v>
      </c>
      <c r="AM329" s="918">
        <f t="shared" ca="1" si="254"/>
        <v>77534.903999999995</v>
      </c>
      <c r="AN329" s="915">
        <f t="shared" si="215"/>
        <v>4</v>
      </c>
      <c r="AO329" s="653">
        <f t="shared" si="255"/>
        <v>77534.903999999995</v>
      </c>
      <c r="AP329" s="916">
        <f t="shared" ca="1" si="256"/>
        <v>8635.5699999999961</v>
      </c>
      <c r="AQ329" s="916">
        <f t="shared" ca="1" si="257"/>
        <v>-42788.970643652225</v>
      </c>
      <c r="AR329" s="653"/>
      <c r="AS329" s="653">
        <v>4</v>
      </c>
      <c r="AT329" s="909">
        <f t="shared" ca="1" si="216"/>
        <v>-7661.9302517942942</v>
      </c>
      <c r="AU329" s="909">
        <f t="shared" ca="1" si="217"/>
        <v>-85088.645427530893</v>
      </c>
      <c r="AV329" s="909">
        <f t="shared" ca="1" si="218"/>
        <v>-14144.966652015813</v>
      </c>
      <c r="AW329" s="909">
        <f t="shared" ca="1" si="219"/>
        <v>38017.446210529641</v>
      </c>
      <c r="AX329" s="909">
        <f t="shared" ca="1" si="220"/>
        <v>0</v>
      </c>
      <c r="AY329" s="909">
        <f t="shared" si="221"/>
        <v>68888.757965386336</v>
      </c>
      <c r="AZ329" s="909">
        <f t="shared" ca="1" si="222"/>
        <v>-68878.096120811373</v>
      </c>
      <c r="BA329" s="653"/>
      <c r="BB329" s="653">
        <f t="shared" si="258"/>
        <v>4</v>
      </c>
      <c r="BC329" s="909">
        <f t="shared" ca="1" si="259"/>
        <v>-32054.658273523404</v>
      </c>
      <c r="BD329" s="909">
        <f t="shared" ca="1" si="260"/>
        <v>-355979.15440404485</v>
      </c>
      <c r="BE329" s="909">
        <f t="shared" ca="1" si="261"/>
        <v>-59177.264399472959</v>
      </c>
      <c r="BF329" s="909">
        <f t="shared" ca="1" si="262"/>
        <v>159050.8144374195</v>
      </c>
      <c r="BG329" s="909">
        <f t="shared" ca="1" si="263"/>
        <v>0</v>
      </c>
      <c r="BH329" s="909">
        <f t="shared" si="264"/>
        <v>288205.86782045534</v>
      </c>
      <c r="BI329" s="909">
        <f t="shared" ca="1" si="265"/>
        <v>-288160.26263962168</v>
      </c>
      <c r="BJ329" s="909"/>
      <c r="BK329" s="653">
        <v>4</v>
      </c>
      <c r="BL329" s="909">
        <f t="shared" ca="1" si="223"/>
        <v>-8623.5699999999961</v>
      </c>
      <c r="BM329" s="909">
        <f t="shared" ca="1" si="224"/>
        <v>-95768.020059652234</v>
      </c>
      <c r="BN329" s="909">
        <f t="shared" ca="1" si="225"/>
        <v>-15920.284584000001</v>
      </c>
      <c r="BO329" s="909">
        <f t="shared" ca="1" si="226"/>
        <v>42788.970643652225</v>
      </c>
      <c r="BP329" s="909">
        <f t="shared" ca="1" si="227"/>
        <v>0</v>
      </c>
      <c r="BQ329" s="909">
        <f t="shared" si="228"/>
        <v>77534.903999999995</v>
      </c>
      <c r="BR329" s="909">
        <f t="shared" ca="1" si="229"/>
        <v>-77522.90400000001</v>
      </c>
      <c r="BS329" s="653"/>
      <c r="BT329" s="653"/>
      <c r="BU329" s="653"/>
      <c r="BV329" s="654"/>
    </row>
    <row r="330" spans="2:74" x14ac:dyDescent="0.25">
      <c r="B330" s="651"/>
      <c r="C330" s="653"/>
      <c r="D330" s="653"/>
      <c r="E330" s="653"/>
      <c r="F330" s="653"/>
      <c r="G330" s="653"/>
      <c r="H330" s="653"/>
      <c r="I330" s="653"/>
      <c r="J330" s="653"/>
      <c r="K330" s="653"/>
      <c r="L330" s="653"/>
      <c r="M330" s="651">
        <v>5</v>
      </c>
      <c r="N330" s="909">
        <f t="shared" ca="1" si="230"/>
        <v>8623.5699999999961</v>
      </c>
      <c r="O330" s="909">
        <f t="shared" ca="1" si="231"/>
        <v>0</v>
      </c>
      <c r="P330" s="909">
        <f t="shared" ca="1" si="232"/>
        <v>12</v>
      </c>
      <c r="Q330" s="910">
        <f t="shared" ca="1" si="233"/>
        <v>1681596.149999999</v>
      </c>
      <c r="R330" s="909">
        <f t="shared" ca="1" si="234"/>
        <v>95768.020059652234</v>
      </c>
      <c r="S330" s="909">
        <f t="shared" ca="1" si="235"/>
        <v>44287.990221341563</v>
      </c>
      <c r="T330" s="909">
        <f t="shared" ca="1" si="236"/>
        <v>51480.029838310671</v>
      </c>
      <c r="U330" s="909">
        <f t="shared" ca="1" si="237"/>
        <v>1424786.3108730749</v>
      </c>
      <c r="V330" s="909">
        <f t="shared" ca="1" si="238"/>
        <v>8640</v>
      </c>
      <c r="W330" s="909">
        <f t="shared" ca="1" si="239"/>
        <v>7280.284584</v>
      </c>
      <c r="X330" s="909">
        <f t="shared" ca="1" si="240"/>
        <v>120323.87464365222</v>
      </c>
      <c r="Y330" s="909">
        <f t="shared" ca="1" si="241"/>
        <v>-42788.970643652225</v>
      </c>
      <c r="Z330" s="910">
        <f t="shared" ca="1" si="242"/>
        <v>-213944.85321826112</v>
      </c>
      <c r="AA330" s="909">
        <f t="shared" ca="1" si="243"/>
        <v>-42788.970643652225</v>
      </c>
      <c r="AB330" s="910">
        <f t="shared" ca="1" si="244"/>
        <v>-213944.85321826112</v>
      </c>
      <c r="AC330" s="911">
        <f t="shared" ca="1" si="245"/>
        <v>0</v>
      </c>
      <c r="AD330" s="911">
        <f t="shared" ca="1" si="246"/>
        <v>0</v>
      </c>
      <c r="AE330" s="909">
        <f t="shared" ca="1" si="247"/>
        <v>0</v>
      </c>
      <c r="AF330" s="912">
        <f t="shared" ca="1" si="214"/>
        <v>0</v>
      </c>
      <c r="AG330" s="909">
        <f t="shared" si="248"/>
        <v>77534.903999999995</v>
      </c>
      <c r="AH330" s="917">
        <f t="shared" ca="1" si="249"/>
        <v>77534.903999999995</v>
      </c>
      <c r="AI330" s="909">
        <f t="shared" ca="1" si="250"/>
        <v>-77534.903999999995</v>
      </c>
      <c r="AJ330" s="916">
        <f t="shared" ca="1" si="251"/>
        <v>0</v>
      </c>
      <c r="AK330" s="916">
        <f t="shared" ca="1" si="252"/>
        <v>-77534.903999999995</v>
      </c>
      <c r="AL330" s="909">
        <f t="shared" ca="1" si="253"/>
        <v>0</v>
      </c>
      <c r="AM330" s="918">
        <f t="shared" ca="1" si="254"/>
        <v>77534.903999999995</v>
      </c>
      <c r="AN330" s="915">
        <f t="shared" si="215"/>
        <v>5</v>
      </c>
      <c r="AO330" s="653">
        <f t="shared" si="255"/>
        <v>77534.903999999995</v>
      </c>
      <c r="AP330" s="916">
        <f t="shared" ca="1" si="256"/>
        <v>8635.5699999999961</v>
      </c>
      <c r="AQ330" s="916">
        <f t="shared" ca="1" si="257"/>
        <v>-42788.970643652225</v>
      </c>
      <c r="AR330" s="653"/>
      <c r="AS330" s="653">
        <v>5</v>
      </c>
      <c r="AT330" s="909">
        <f t="shared" ca="1" si="216"/>
        <v>-7438.7672347517428</v>
      </c>
      <c r="AU330" s="909">
        <f t="shared" ca="1" si="217"/>
        <v>-82610.335366534855</v>
      </c>
      <c r="AV330" s="909">
        <f t="shared" ca="1" si="218"/>
        <v>-13732.977332054188</v>
      </c>
      <c r="AW330" s="909">
        <f t="shared" ca="1" si="219"/>
        <v>36910.14195197053</v>
      </c>
      <c r="AX330" s="909">
        <f t="shared" ca="1" si="220"/>
        <v>0</v>
      </c>
      <c r="AY330" s="909">
        <f t="shared" si="221"/>
        <v>66882.289286782863</v>
      </c>
      <c r="AZ330" s="909">
        <f t="shared" ca="1" si="222"/>
        <v>-66871.937981370254</v>
      </c>
      <c r="BA330" s="653"/>
      <c r="BB330" s="653">
        <f t="shared" si="258"/>
        <v>5</v>
      </c>
      <c r="BC330" s="909">
        <f t="shared" ca="1" si="259"/>
        <v>-39493.425508275148</v>
      </c>
      <c r="BD330" s="909">
        <f t="shared" ca="1" si="260"/>
        <v>-438589.48977057973</v>
      </c>
      <c r="BE330" s="909">
        <f t="shared" ca="1" si="261"/>
        <v>-72910.241731527145</v>
      </c>
      <c r="BF330" s="909">
        <f t="shared" ca="1" si="262"/>
        <v>195960.95638939002</v>
      </c>
      <c r="BG330" s="909">
        <f t="shared" ca="1" si="263"/>
        <v>0</v>
      </c>
      <c r="BH330" s="909">
        <f t="shared" si="264"/>
        <v>355088.15710723819</v>
      </c>
      <c r="BI330" s="909">
        <f t="shared" ca="1" si="265"/>
        <v>-355032.20062099193</v>
      </c>
      <c r="BJ330" s="909"/>
      <c r="BK330" s="653">
        <v>5</v>
      </c>
      <c r="BL330" s="909">
        <f t="shared" ca="1" si="223"/>
        <v>-8623.5699999999961</v>
      </c>
      <c r="BM330" s="909">
        <f t="shared" ca="1" si="224"/>
        <v>-95768.020059652234</v>
      </c>
      <c r="BN330" s="909">
        <f t="shared" ca="1" si="225"/>
        <v>-15920.284584000001</v>
      </c>
      <c r="BO330" s="909">
        <f t="shared" ca="1" si="226"/>
        <v>42788.970643652225</v>
      </c>
      <c r="BP330" s="909">
        <f t="shared" ca="1" si="227"/>
        <v>0</v>
      </c>
      <c r="BQ330" s="909">
        <f t="shared" si="228"/>
        <v>77534.903999999995</v>
      </c>
      <c r="BR330" s="909">
        <f t="shared" ca="1" si="229"/>
        <v>-77522.90400000001</v>
      </c>
      <c r="BS330" s="653"/>
      <c r="BT330" s="653"/>
      <c r="BU330" s="653"/>
      <c r="BV330" s="654"/>
    </row>
    <row r="331" spans="2:74" x14ac:dyDescent="0.25">
      <c r="B331" s="651"/>
      <c r="C331" s="653"/>
      <c r="D331" s="653"/>
      <c r="E331" s="653"/>
      <c r="F331" s="653"/>
      <c r="G331" s="653"/>
      <c r="H331" s="653"/>
      <c r="I331" s="653"/>
      <c r="J331" s="653"/>
      <c r="K331" s="653"/>
      <c r="L331" s="653"/>
      <c r="M331" s="651">
        <v>6</v>
      </c>
      <c r="N331" s="909">
        <f t="shared" ca="1" si="230"/>
        <v>8623.5699999999961</v>
      </c>
      <c r="O331" s="909">
        <f t="shared" ca="1" si="231"/>
        <v>0</v>
      </c>
      <c r="P331" s="909">
        <f t="shared" ca="1" si="232"/>
        <v>12</v>
      </c>
      <c r="Q331" s="910">
        <f t="shared" ca="1" si="233"/>
        <v>1672972.5799999989</v>
      </c>
      <c r="R331" s="909">
        <f t="shared" ca="1" si="234"/>
        <v>95768.020059652234</v>
      </c>
      <c r="S331" s="909">
        <f t="shared" ca="1" si="235"/>
        <v>42743.589326192247</v>
      </c>
      <c r="T331" s="909">
        <f t="shared" ca="1" si="236"/>
        <v>53024.430733459987</v>
      </c>
      <c r="U331" s="909">
        <f t="shared" ca="1" si="237"/>
        <v>1371761.8801396149</v>
      </c>
      <c r="V331" s="909">
        <f t="shared" ca="1" si="238"/>
        <v>8640</v>
      </c>
      <c r="W331" s="909">
        <f t="shared" ca="1" si="239"/>
        <v>7280.284584</v>
      </c>
      <c r="X331" s="909">
        <f t="shared" ca="1" si="240"/>
        <v>120323.87464365222</v>
      </c>
      <c r="Y331" s="909">
        <f t="shared" ca="1" si="241"/>
        <v>-42788.970643652225</v>
      </c>
      <c r="Z331" s="910">
        <f t="shared" ca="1" si="242"/>
        <v>-256733.82386191335</v>
      </c>
      <c r="AA331" s="909">
        <f t="shared" ca="1" si="243"/>
        <v>-42788.970643652225</v>
      </c>
      <c r="AB331" s="910">
        <f t="shared" ca="1" si="244"/>
        <v>-256733.82386191335</v>
      </c>
      <c r="AC331" s="911">
        <f t="shared" ca="1" si="245"/>
        <v>0</v>
      </c>
      <c r="AD331" s="911">
        <f t="shared" ca="1" si="246"/>
        <v>0</v>
      </c>
      <c r="AE331" s="909">
        <f t="shared" ca="1" si="247"/>
        <v>0</v>
      </c>
      <c r="AF331" s="912">
        <f t="shared" ca="1" si="214"/>
        <v>0</v>
      </c>
      <c r="AG331" s="909">
        <f t="shared" si="248"/>
        <v>77534.903999999995</v>
      </c>
      <c r="AH331" s="917">
        <f t="shared" ca="1" si="249"/>
        <v>77534.903999999995</v>
      </c>
      <c r="AI331" s="909">
        <f t="shared" ca="1" si="250"/>
        <v>-77534.903999999995</v>
      </c>
      <c r="AJ331" s="916">
        <f t="shared" ca="1" si="251"/>
        <v>0</v>
      </c>
      <c r="AK331" s="916">
        <f t="shared" ca="1" si="252"/>
        <v>-77534.903999999995</v>
      </c>
      <c r="AL331" s="909">
        <f t="shared" ca="1" si="253"/>
        <v>0</v>
      </c>
      <c r="AM331" s="918">
        <f t="shared" ca="1" si="254"/>
        <v>77534.903999999995</v>
      </c>
      <c r="AN331" s="915">
        <f t="shared" si="215"/>
        <v>6</v>
      </c>
      <c r="AO331" s="653">
        <f t="shared" si="255"/>
        <v>77534.903999999995</v>
      </c>
      <c r="AP331" s="916">
        <f t="shared" ca="1" si="256"/>
        <v>8635.5699999999961</v>
      </c>
      <c r="AQ331" s="916">
        <f t="shared" ca="1" si="257"/>
        <v>-42788.970643652225</v>
      </c>
      <c r="AR331" s="653"/>
      <c r="AS331" s="653">
        <v>6</v>
      </c>
      <c r="AT331" s="909">
        <f t="shared" ca="1" si="216"/>
        <v>-7222.1041114094587</v>
      </c>
      <c r="AU331" s="909">
        <f t="shared" ca="1" si="217"/>
        <v>-80204.209093723155</v>
      </c>
      <c r="AV331" s="909">
        <f t="shared" ca="1" si="218"/>
        <v>-13332.987701023483</v>
      </c>
      <c r="AW331" s="909">
        <f t="shared" ca="1" si="219"/>
        <v>35835.089273757796</v>
      </c>
      <c r="AX331" s="909">
        <f t="shared" ca="1" si="220"/>
        <v>0</v>
      </c>
      <c r="AY331" s="909">
        <f t="shared" si="221"/>
        <v>64934.261443478499</v>
      </c>
      <c r="AZ331" s="909">
        <f t="shared" ca="1" si="222"/>
        <v>-64924.211632398292</v>
      </c>
      <c r="BA331" s="653"/>
      <c r="BB331" s="653">
        <f t="shared" si="258"/>
        <v>6</v>
      </c>
      <c r="BC331" s="909">
        <f t="shared" ca="1" si="259"/>
        <v>-46715.529619684603</v>
      </c>
      <c r="BD331" s="909">
        <f t="shared" ca="1" si="260"/>
        <v>-518793.69886430289</v>
      </c>
      <c r="BE331" s="909">
        <f t="shared" ca="1" si="261"/>
        <v>-86243.229432550623</v>
      </c>
      <c r="BF331" s="909">
        <f t="shared" ca="1" si="262"/>
        <v>231796.04566314782</v>
      </c>
      <c r="BG331" s="909">
        <f t="shared" ca="1" si="263"/>
        <v>0</v>
      </c>
      <c r="BH331" s="909">
        <f t="shared" si="264"/>
        <v>420022.41855071671</v>
      </c>
      <c r="BI331" s="909">
        <f t="shared" ca="1" si="265"/>
        <v>-419956.41225339024</v>
      </c>
      <c r="BJ331" s="909"/>
      <c r="BK331" s="653">
        <v>6</v>
      </c>
      <c r="BL331" s="909">
        <f t="shared" ca="1" si="223"/>
        <v>-8623.5699999999961</v>
      </c>
      <c r="BM331" s="909">
        <f t="shared" ca="1" si="224"/>
        <v>-95768.020059652234</v>
      </c>
      <c r="BN331" s="909">
        <f t="shared" ca="1" si="225"/>
        <v>-15920.284584000001</v>
      </c>
      <c r="BO331" s="909">
        <f t="shared" ca="1" si="226"/>
        <v>42788.970643652225</v>
      </c>
      <c r="BP331" s="909">
        <f t="shared" ca="1" si="227"/>
        <v>0</v>
      </c>
      <c r="BQ331" s="909">
        <f t="shared" si="228"/>
        <v>77534.903999999995</v>
      </c>
      <c r="BR331" s="909">
        <f t="shared" ca="1" si="229"/>
        <v>-77522.90400000001</v>
      </c>
      <c r="BS331" s="653"/>
      <c r="BT331" s="653"/>
      <c r="BU331" s="653"/>
      <c r="BV331" s="654"/>
    </row>
    <row r="332" spans="2:74" x14ac:dyDescent="0.25">
      <c r="B332" s="651"/>
      <c r="C332" s="653"/>
      <c r="D332" s="653"/>
      <c r="E332" s="653"/>
      <c r="F332" s="653"/>
      <c r="G332" s="653"/>
      <c r="H332" s="653"/>
      <c r="I332" s="653"/>
      <c r="J332" s="653"/>
      <c r="K332" s="653"/>
      <c r="L332" s="653"/>
      <c r="M332" s="651">
        <v>7</v>
      </c>
      <c r="N332" s="909">
        <f t="shared" ca="1" si="230"/>
        <v>8623.5699999999961</v>
      </c>
      <c r="O332" s="909">
        <f t="shared" ca="1" si="231"/>
        <v>0</v>
      </c>
      <c r="P332" s="909">
        <f t="shared" ca="1" si="232"/>
        <v>12</v>
      </c>
      <c r="Q332" s="910">
        <f t="shared" ca="1" si="233"/>
        <v>1664349.0099999988</v>
      </c>
      <c r="R332" s="909">
        <f t="shared" ca="1" si="234"/>
        <v>95768.020059652234</v>
      </c>
      <c r="S332" s="909">
        <f t="shared" ca="1" si="235"/>
        <v>41152.856404188446</v>
      </c>
      <c r="T332" s="909">
        <f t="shared" ca="1" si="236"/>
        <v>54615.163655463788</v>
      </c>
      <c r="U332" s="909">
        <f t="shared" ca="1" si="237"/>
        <v>1317146.7164841511</v>
      </c>
      <c r="V332" s="909">
        <f t="shared" ca="1" si="238"/>
        <v>8640</v>
      </c>
      <c r="W332" s="909">
        <f t="shared" ca="1" si="239"/>
        <v>7280.284584</v>
      </c>
      <c r="X332" s="909">
        <f t="shared" ca="1" si="240"/>
        <v>120323.87464365222</v>
      </c>
      <c r="Y332" s="909">
        <f t="shared" ca="1" si="241"/>
        <v>-42788.970643652225</v>
      </c>
      <c r="Z332" s="910">
        <f t="shared" ca="1" si="242"/>
        <v>-299522.79450556554</v>
      </c>
      <c r="AA332" s="909">
        <f t="shared" ca="1" si="243"/>
        <v>-42788.970643652225</v>
      </c>
      <c r="AB332" s="910">
        <f t="shared" ca="1" si="244"/>
        <v>-299522.79450556554</v>
      </c>
      <c r="AC332" s="911">
        <f t="shared" ca="1" si="245"/>
        <v>0</v>
      </c>
      <c r="AD332" s="911">
        <f t="shared" ca="1" si="246"/>
        <v>0</v>
      </c>
      <c r="AE332" s="909">
        <f t="shared" ca="1" si="247"/>
        <v>0</v>
      </c>
      <c r="AF332" s="912">
        <f t="shared" ca="1" si="214"/>
        <v>0</v>
      </c>
      <c r="AG332" s="909">
        <f t="shared" si="248"/>
        <v>77534.903999999995</v>
      </c>
      <c r="AH332" s="917">
        <f t="shared" ca="1" si="249"/>
        <v>77534.903999999995</v>
      </c>
      <c r="AI332" s="909">
        <f t="shared" ca="1" si="250"/>
        <v>-77534.903999999995</v>
      </c>
      <c r="AJ332" s="916">
        <f t="shared" ca="1" si="251"/>
        <v>0</v>
      </c>
      <c r="AK332" s="916">
        <f t="shared" ca="1" si="252"/>
        <v>-77534.903999999995</v>
      </c>
      <c r="AL332" s="909">
        <f t="shared" ca="1" si="253"/>
        <v>0</v>
      </c>
      <c r="AM332" s="918">
        <f t="shared" ca="1" si="254"/>
        <v>77534.903999999995</v>
      </c>
      <c r="AN332" s="915">
        <f t="shared" si="215"/>
        <v>7</v>
      </c>
      <c r="AO332" s="653">
        <f t="shared" si="255"/>
        <v>77534.903999999995</v>
      </c>
      <c r="AP332" s="916">
        <f t="shared" ca="1" si="256"/>
        <v>8635.5699999999961</v>
      </c>
      <c r="AQ332" s="916">
        <f t="shared" ca="1" si="257"/>
        <v>-42788.970643652225</v>
      </c>
      <c r="AR332" s="653"/>
      <c r="AS332" s="653">
        <v>7</v>
      </c>
      <c r="AT332" s="909">
        <f t="shared" ca="1" si="216"/>
        <v>-7011.751564475202</v>
      </c>
      <c r="AU332" s="909">
        <f t="shared" ca="1" si="217"/>
        <v>-77868.16416866325</v>
      </c>
      <c r="AV332" s="909">
        <f t="shared" ca="1" si="218"/>
        <v>-12944.648253420857</v>
      </c>
      <c r="AW332" s="909">
        <f t="shared" ca="1" si="219"/>
        <v>34791.348809473588</v>
      </c>
      <c r="AX332" s="909">
        <f t="shared" ca="1" si="220"/>
        <v>0</v>
      </c>
      <c r="AY332" s="909">
        <f t="shared" si="221"/>
        <v>63042.972275221844</v>
      </c>
      <c r="AZ332" s="909">
        <f t="shared" ca="1" si="222"/>
        <v>-63033.215177085724</v>
      </c>
      <c r="BA332" s="653"/>
      <c r="BB332" s="653">
        <f t="shared" si="258"/>
        <v>7</v>
      </c>
      <c r="BC332" s="909">
        <f t="shared" ca="1" si="259"/>
        <v>-53727.281184159801</v>
      </c>
      <c r="BD332" s="909">
        <f t="shared" ca="1" si="260"/>
        <v>-596661.86303296615</v>
      </c>
      <c r="BE332" s="909">
        <f t="shared" ca="1" si="261"/>
        <v>-99187.877685971485</v>
      </c>
      <c r="BF332" s="909">
        <f t="shared" ca="1" si="262"/>
        <v>266587.39447262138</v>
      </c>
      <c r="BG332" s="909">
        <f t="shared" ca="1" si="263"/>
        <v>0</v>
      </c>
      <c r="BH332" s="909">
        <f t="shared" si="264"/>
        <v>483065.39082593855</v>
      </c>
      <c r="BI332" s="909">
        <f t="shared" ca="1" si="265"/>
        <v>-482989.62743047596</v>
      </c>
      <c r="BJ332" s="909"/>
      <c r="BK332" s="653">
        <v>7</v>
      </c>
      <c r="BL332" s="909">
        <f t="shared" ca="1" si="223"/>
        <v>-8623.5699999999961</v>
      </c>
      <c r="BM332" s="909">
        <f t="shared" ca="1" si="224"/>
        <v>-95768.020059652234</v>
      </c>
      <c r="BN332" s="909">
        <f t="shared" ca="1" si="225"/>
        <v>-15920.284584000001</v>
      </c>
      <c r="BO332" s="909">
        <f t="shared" ca="1" si="226"/>
        <v>42788.970643652225</v>
      </c>
      <c r="BP332" s="909">
        <f t="shared" ca="1" si="227"/>
        <v>0</v>
      </c>
      <c r="BQ332" s="909">
        <f t="shared" si="228"/>
        <v>77534.903999999995</v>
      </c>
      <c r="BR332" s="909">
        <f t="shared" ca="1" si="229"/>
        <v>-77522.90400000001</v>
      </c>
      <c r="BS332" s="653"/>
      <c r="BT332" s="653"/>
      <c r="BU332" s="653"/>
      <c r="BV332" s="654"/>
    </row>
    <row r="333" spans="2:74" x14ac:dyDescent="0.25">
      <c r="B333" s="651"/>
      <c r="C333" s="653"/>
      <c r="D333" s="653"/>
      <c r="E333" s="653"/>
      <c r="F333" s="653"/>
      <c r="G333" s="653"/>
      <c r="H333" s="653"/>
      <c r="I333" s="653"/>
      <c r="J333" s="653"/>
      <c r="K333" s="653"/>
      <c r="L333" s="653"/>
      <c r="M333" s="651">
        <v>8</v>
      </c>
      <c r="N333" s="909">
        <f t="shared" ca="1" si="230"/>
        <v>8623.5699999999961</v>
      </c>
      <c r="O333" s="909">
        <f t="shared" ca="1" si="231"/>
        <v>0</v>
      </c>
      <c r="P333" s="909">
        <f t="shared" ca="1" si="232"/>
        <v>12</v>
      </c>
      <c r="Q333" s="910">
        <f t="shared" ca="1" si="233"/>
        <v>1655725.4399999988</v>
      </c>
      <c r="R333" s="909">
        <f t="shared" ca="1" si="234"/>
        <v>95768.020059652234</v>
      </c>
      <c r="S333" s="909">
        <f t="shared" ca="1" si="235"/>
        <v>39514.401494524529</v>
      </c>
      <c r="T333" s="909">
        <f t="shared" ca="1" si="236"/>
        <v>56253.618565127705</v>
      </c>
      <c r="U333" s="909">
        <f t="shared" ca="1" si="237"/>
        <v>1260893.0979190234</v>
      </c>
      <c r="V333" s="909">
        <f t="shared" ca="1" si="238"/>
        <v>8640</v>
      </c>
      <c r="W333" s="909">
        <f t="shared" ca="1" si="239"/>
        <v>7280.284584</v>
      </c>
      <c r="X333" s="909">
        <f t="shared" ca="1" si="240"/>
        <v>120323.87464365222</v>
      </c>
      <c r="Y333" s="909">
        <f t="shared" ca="1" si="241"/>
        <v>-42788.970643652225</v>
      </c>
      <c r="Z333" s="910">
        <f t="shared" ca="1" si="242"/>
        <v>-342311.7651492178</v>
      </c>
      <c r="AA333" s="909">
        <f t="shared" ca="1" si="243"/>
        <v>-42788.970643652225</v>
      </c>
      <c r="AB333" s="910">
        <f t="shared" ca="1" si="244"/>
        <v>-342311.7651492178</v>
      </c>
      <c r="AC333" s="911">
        <f t="shared" ca="1" si="245"/>
        <v>0</v>
      </c>
      <c r="AD333" s="911">
        <f t="shared" ca="1" si="246"/>
        <v>0</v>
      </c>
      <c r="AE333" s="909">
        <f t="shared" ca="1" si="247"/>
        <v>0</v>
      </c>
      <c r="AF333" s="912">
        <f t="shared" ca="1" si="214"/>
        <v>0</v>
      </c>
      <c r="AG333" s="909">
        <f t="shared" si="248"/>
        <v>77534.903999999995</v>
      </c>
      <c r="AH333" s="917">
        <f t="shared" ca="1" si="249"/>
        <v>77534.903999999995</v>
      </c>
      <c r="AI333" s="909">
        <f t="shared" ca="1" si="250"/>
        <v>-77534.903999999995</v>
      </c>
      <c r="AJ333" s="916">
        <f t="shared" ca="1" si="251"/>
        <v>0</v>
      </c>
      <c r="AK333" s="916">
        <f t="shared" ca="1" si="252"/>
        <v>-77534.903999999995</v>
      </c>
      <c r="AL333" s="909">
        <f t="shared" ca="1" si="253"/>
        <v>0</v>
      </c>
      <c r="AM333" s="918">
        <f t="shared" ca="1" si="254"/>
        <v>77534.903999999995</v>
      </c>
      <c r="AN333" s="915">
        <f t="shared" si="215"/>
        <v>8</v>
      </c>
      <c r="AO333" s="653">
        <f t="shared" si="255"/>
        <v>77534.903999999995</v>
      </c>
      <c r="AP333" s="916">
        <f t="shared" ca="1" si="256"/>
        <v>8635.5699999999961</v>
      </c>
      <c r="AQ333" s="916">
        <f t="shared" ca="1" si="257"/>
        <v>-42788.970643652225</v>
      </c>
      <c r="AR333" s="653"/>
      <c r="AS333" s="653">
        <v>8</v>
      </c>
      <c r="AT333" s="909">
        <f t="shared" ca="1" si="216"/>
        <v>-6807.5257907526238</v>
      </c>
      <c r="AU333" s="909">
        <f t="shared" ca="1" si="217"/>
        <v>-75600.15938705171</v>
      </c>
      <c r="AV333" s="909">
        <f t="shared" ca="1" si="218"/>
        <v>-12567.619663515396</v>
      </c>
      <c r="AW333" s="909">
        <f t="shared" ca="1" si="219"/>
        <v>33778.008552886975</v>
      </c>
      <c r="AX333" s="909">
        <f t="shared" ca="1" si="220"/>
        <v>0</v>
      </c>
      <c r="AY333" s="909">
        <f t="shared" si="221"/>
        <v>61206.769199244511</v>
      </c>
      <c r="AZ333" s="909">
        <f t="shared" ca="1" si="222"/>
        <v>-61197.29628843275</v>
      </c>
      <c r="BA333" s="653"/>
      <c r="BB333" s="653">
        <f t="shared" si="258"/>
        <v>8</v>
      </c>
      <c r="BC333" s="909">
        <f t="shared" ca="1" si="259"/>
        <v>-60534.806974912426</v>
      </c>
      <c r="BD333" s="909">
        <f t="shared" ca="1" si="260"/>
        <v>-672262.02242001786</v>
      </c>
      <c r="BE333" s="909">
        <f t="shared" ca="1" si="261"/>
        <v>-111755.49734948688</v>
      </c>
      <c r="BF333" s="909">
        <f t="shared" ca="1" si="262"/>
        <v>300365.40302550833</v>
      </c>
      <c r="BG333" s="909">
        <f t="shared" ca="1" si="263"/>
        <v>0</v>
      </c>
      <c r="BH333" s="909">
        <f t="shared" si="264"/>
        <v>544272.16002518311</v>
      </c>
      <c r="BI333" s="909">
        <f t="shared" ca="1" si="265"/>
        <v>-544186.92371890869</v>
      </c>
      <c r="BJ333" s="909"/>
      <c r="BK333" s="653">
        <v>8</v>
      </c>
      <c r="BL333" s="909">
        <f t="shared" ca="1" si="223"/>
        <v>-8623.5699999999961</v>
      </c>
      <c r="BM333" s="909">
        <f t="shared" ca="1" si="224"/>
        <v>-95768.020059652234</v>
      </c>
      <c r="BN333" s="909">
        <f t="shared" ca="1" si="225"/>
        <v>-15920.284584000001</v>
      </c>
      <c r="BO333" s="909">
        <f t="shared" ca="1" si="226"/>
        <v>42788.970643652225</v>
      </c>
      <c r="BP333" s="909">
        <f t="shared" ca="1" si="227"/>
        <v>0</v>
      </c>
      <c r="BQ333" s="909">
        <f t="shared" si="228"/>
        <v>77534.903999999995</v>
      </c>
      <c r="BR333" s="909">
        <f t="shared" ca="1" si="229"/>
        <v>-77522.90400000001</v>
      </c>
      <c r="BS333" s="653"/>
      <c r="BT333" s="653"/>
      <c r="BU333" s="653"/>
      <c r="BV333" s="654"/>
    </row>
    <row r="334" spans="2:74" x14ac:dyDescent="0.25">
      <c r="B334" s="651"/>
      <c r="C334" s="653"/>
      <c r="D334" s="653"/>
      <c r="E334" s="653"/>
      <c r="F334" s="653"/>
      <c r="G334" s="653"/>
      <c r="H334" s="653"/>
      <c r="I334" s="653"/>
      <c r="J334" s="653"/>
      <c r="K334" s="653"/>
      <c r="L334" s="653"/>
      <c r="M334" s="651">
        <v>9</v>
      </c>
      <c r="N334" s="909">
        <f t="shared" ca="1" si="230"/>
        <v>8623.5699999999961</v>
      </c>
      <c r="O334" s="909">
        <f t="shared" ca="1" si="231"/>
        <v>0</v>
      </c>
      <c r="P334" s="909">
        <f t="shared" ca="1" si="232"/>
        <v>12</v>
      </c>
      <c r="Q334" s="910">
        <f t="shared" ca="1" si="233"/>
        <v>1647101.8699999987</v>
      </c>
      <c r="R334" s="909">
        <f t="shared" ca="1" si="234"/>
        <v>95768.020059652234</v>
      </c>
      <c r="S334" s="909">
        <f t="shared" ca="1" si="235"/>
        <v>37826.792937570703</v>
      </c>
      <c r="T334" s="909">
        <f t="shared" ca="1" si="236"/>
        <v>57941.227122081531</v>
      </c>
      <c r="U334" s="909">
        <f t="shared" ca="1" si="237"/>
        <v>1202951.8707969419</v>
      </c>
      <c r="V334" s="909">
        <f t="shared" ca="1" si="238"/>
        <v>8640</v>
      </c>
      <c r="W334" s="909">
        <f t="shared" ca="1" si="239"/>
        <v>7280.284584</v>
      </c>
      <c r="X334" s="909">
        <f t="shared" ca="1" si="240"/>
        <v>120323.87464365222</v>
      </c>
      <c r="Y334" s="909">
        <f t="shared" ca="1" si="241"/>
        <v>-42788.970643652225</v>
      </c>
      <c r="Z334" s="910">
        <f t="shared" ca="1" si="242"/>
        <v>-385100.73579287005</v>
      </c>
      <c r="AA334" s="909">
        <f t="shared" ca="1" si="243"/>
        <v>-42788.970643652225</v>
      </c>
      <c r="AB334" s="910">
        <f t="shared" ca="1" si="244"/>
        <v>-385100.73579287005</v>
      </c>
      <c r="AC334" s="911">
        <f t="shared" ca="1" si="245"/>
        <v>0</v>
      </c>
      <c r="AD334" s="911">
        <f t="shared" ca="1" si="246"/>
        <v>0</v>
      </c>
      <c r="AE334" s="909">
        <f t="shared" ca="1" si="247"/>
        <v>0</v>
      </c>
      <c r="AF334" s="912">
        <f t="shared" ca="1" si="214"/>
        <v>0</v>
      </c>
      <c r="AG334" s="909">
        <f t="shared" si="248"/>
        <v>77534.903999999995</v>
      </c>
      <c r="AH334" s="917">
        <f t="shared" ca="1" si="249"/>
        <v>77534.903999999995</v>
      </c>
      <c r="AI334" s="909">
        <f t="shared" ca="1" si="250"/>
        <v>-77534.903999999995</v>
      </c>
      <c r="AJ334" s="916">
        <f t="shared" ca="1" si="251"/>
        <v>0</v>
      </c>
      <c r="AK334" s="916">
        <f t="shared" ca="1" si="252"/>
        <v>-77534.903999999995</v>
      </c>
      <c r="AL334" s="909">
        <f t="shared" ca="1" si="253"/>
        <v>0</v>
      </c>
      <c r="AM334" s="918">
        <f t="shared" ca="1" si="254"/>
        <v>77534.903999999995</v>
      </c>
      <c r="AN334" s="915">
        <f t="shared" si="215"/>
        <v>9</v>
      </c>
      <c r="AO334" s="653">
        <f t="shared" si="255"/>
        <v>77534.903999999995</v>
      </c>
      <c r="AP334" s="916">
        <f t="shared" ca="1" si="256"/>
        <v>8635.5699999999961</v>
      </c>
      <c r="AQ334" s="916">
        <f t="shared" ca="1" si="257"/>
        <v>-42788.970643652225</v>
      </c>
      <c r="AR334" s="909"/>
      <c r="AS334" s="653">
        <v>9</v>
      </c>
      <c r="AT334" s="909">
        <f t="shared" ca="1" si="216"/>
        <v>-6609.2483405365283</v>
      </c>
      <c r="AU334" s="909">
        <f t="shared" ca="1" si="217"/>
        <v>-73398.212997137583</v>
      </c>
      <c r="AV334" s="909">
        <f t="shared" ca="1" si="218"/>
        <v>-12201.572488849899</v>
      </c>
      <c r="AW334" s="909">
        <f t="shared" ca="1" si="219"/>
        <v>32794.183061055315</v>
      </c>
      <c r="AX334" s="909">
        <f t="shared" ca="1" si="220"/>
        <v>0</v>
      </c>
      <c r="AY334" s="909">
        <f t="shared" si="221"/>
        <v>59424.047766256808</v>
      </c>
      <c r="AZ334" s="909">
        <f t="shared" ca="1" si="222"/>
        <v>-59414.850765468698</v>
      </c>
      <c r="BA334" s="653"/>
      <c r="BB334" s="653">
        <f t="shared" si="258"/>
        <v>9</v>
      </c>
      <c r="BC334" s="909">
        <f t="shared" ca="1" si="259"/>
        <v>-67144.055315448961</v>
      </c>
      <c r="BD334" s="909">
        <f t="shared" ca="1" si="260"/>
        <v>-745660.23541715543</v>
      </c>
      <c r="BE334" s="909">
        <f t="shared" ca="1" si="261"/>
        <v>-123957.06983833677</v>
      </c>
      <c r="BF334" s="909">
        <f t="shared" ca="1" si="262"/>
        <v>333159.58608656365</v>
      </c>
      <c r="BG334" s="909">
        <f t="shared" ca="1" si="263"/>
        <v>0</v>
      </c>
      <c r="BH334" s="909">
        <f t="shared" si="264"/>
        <v>603696.20779143996</v>
      </c>
      <c r="BI334" s="909">
        <f t="shared" ca="1" si="265"/>
        <v>-603601.77448437735</v>
      </c>
      <c r="BJ334" s="909"/>
      <c r="BK334" s="653">
        <v>9</v>
      </c>
      <c r="BL334" s="909">
        <f t="shared" ca="1" si="223"/>
        <v>-8623.5699999999961</v>
      </c>
      <c r="BM334" s="909">
        <f t="shared" ca="1" si="224"/>
        <v>-95768.020059652234</v>
      </c>
      <c r="BN334" s="909">
        <f t="shared" ca="1" si="225"/>
        <v>-15920.284584000001</v>
      </c>
      <c r="BO334" s="909">
        <f t="shared" ca="1" si="226"/>
        <v>42788.970643652225</v>
      </c>
      <c r="BP334" s="909">
        <f t="shared" ca="1" si="227"/>
        <v>0</v>
      </c>
      <c r="BQ334" s="909">
        <f t="shared" si="228"/>
        <v>77534.903999999995</v>
      </c>
      <c r="BR334" s="909">
        <f t="shared" ca="1" si="229"/>
        <v>-77522.90400000001</v>
      </c>
      <c r="BS334" s="653"/>
      <c r="BT334" s="653"/>
      <c r="BU334" s="653"/>
      <c r="BV334" s="654"/>
    </row>
    <row r="335" spans="2:74" x14ac:dyDescent="0.25">
      <c r="B335" s="651"/>
      <c r="C335" s="653"/>
      <c r="D335" s="653"/>
      <c r="E335" s="653"/>
      <c r="F335" s="653"/>
      <c r="G335" s="653"/>
      <c r="H335" s="653"/>
      <c r="I335" s="653"/>
      <c r="J335" s="653"/>
      <c r="K335" s="653"/>
      <c r="L335" s="653"/>
      <c r="M335" s="651">
        <v>10</v>
      </c>
      <c r="N335" s="909">
        <f t="shared" ca="1" si="230"/>
        <v>8623.5699999999961</v>
      </c>
      <c r="O335" s="909">
        <f t="shared" ca="1" si="231"/>
        <v>0</v>
      </c>
      <c r="P335" s="909">
        <f t="shared" ca="1" si="232"/>
        <v>12</v>
      </c>
      <c r="Q335" s="910">
        <f t="shared" ca="1" si="233"/>
        <v>1638478.2999999986</v>
      </c>
      <c r="R335" s="909">
        <f t="shared" ca="1" si="234"/>
        <v>95768.020059652234</v>
      </c>
      <c r="S335" s="909">
        <f t="shared" ca="1" si="235"/>
        <v>36088.556123908253</v>
      </c>
      <c r="T335" s="909">
        <f t="shared" ca="1" si="236"/>
        <v>59679.463935743981</v>
      </c>
      <c r="U335" s="909">
        <f t="shared" ca="1" si="237"/>
        <v>1143272.4068611979</v>
      </c>
      <c r="V335" s="909">
        <f t="shared" ca="1" si="238"/>
        <v>8640</v>
      </c>
      <c r="W335" s="909">
        <f t="shared" ca="1" si="239"/>
        <v>7280.284584</v>
      </c>
      <c r="X335" s="909">
        <f t="shared" ca="1" si="240"/>
        <v>120323.87464365222</v>
      </c>
      <c r="Y335" s="909">
        <f t="shared" ca="1" si="241"/>
        <v>-42788.970643652225</v>
      </c>
      <c r="Z335" s="910">
        <f t="shared" ca="1" si="242"/>
        <v>-427889.70643652231</v>
      </c>
      <c r="AA335" s="909">
        <f t="shared" ca="1" si="243"/>
        <v>-42788.970643652225</v>
      </c>
      <c r="AB335" s="910">
        <f t="shared" ca="1" si="244"/>
        <v>-427889.70643652231</v>
      </c>
      <c r="AC335" s="911">
        <f t="shared" ca="1" si="245"/>
        <v>0</v>
      </c>
      <c r="AD335" s="911">
        <f t="shared" ca="1" si="246"/>
        <v>0</v>
      </c>
      <c r="AE335" s="909">
        <f t="shared" ca="1" si="247"/>
        <v>0</v>
      </c>
      <c r="AF335" s="912">
        <f t="shared" ca="1" si="214"/>
        <v>0</v>
      </c>
      <c r="AG335" s="909">
        <f t="shared" si="248"/>
        <v>77534.903999999995</v>
      </c>
      <c r="AH335" s="917">
        <f t="shared" ca="1" si="249"/>
        <v>77534.903999999995</v>
      </c>
      <c r="AI335" s="909">
        <f t="shared" ca="1" si="250"/>
        <v>-77534.903999999995</v>
      </c>
      <c r="AJ335" s="916">
        <f t="shared" ca="1" si="251"/>
        <v>0</v>
      </c>
      <c r="AK335" s="916">
        <f t="shared" ca="1" si="252"/>
        <v>-77534.903999999995</v>
      </c>
      <c r="AL335" s="909">
        <f t="shared" ca="1" si="253"/>
        <v>0</v>
      </c>
      <c r="AM335" s="918">
        <f t="shared" ca="1" si="254"/>
        <v>77534.903999999995</v>
      </c>
      <c r="AN335" s="915">
        <f t="shared" si="215"/>
        <v>10</v>
      </c>
      <c r="AO335" s="653">
        <f t="shared" si="255"/>
        <v>77534.903999999995</v>
      </c>
      <c r="AP335" s="916">
        <f t="shared" ca="1" si="256"/>
        <v>8635.5699999999961</v>
      </c>
      <c r="AQ335" s="916">
        <f t="shared" ca="1" si="257"/>
        <v>-42788.970643652225</v>
      </c>
      <c r="AR335" s="653"/>
      <c r="AS335" s="653">
        <v>10</v>
      </c>
      <c r="AT335" s="909">
        <f t="shared" ca="1" si="216"/>
        <v>-6416.7459616859496</v>
      </c>
      <c r="AU335" s="909">
        <f t="shared" ca="1" si="217"/>
        <v>-71260.400968094735</v>
      </c>
      <c r="AV335" s="909">
        <f t="shared" ca="1" si="218"/>
        <v>-11846.186882378543</v>
      </c>
      <c r="AW335" s="909">
        <f t="shared" ca="1" si="219"/>
        <v>31839.012680636231</v>
      </c>
      <c r="AX335" s="909">
        <f t="shared" ca="1" si="220"/>
        <v>0</v>
      </c>
      <c r="AY335" s="909">
        <f t="shared" si="221"/>
        <v>57693.25025850175</v>
      </c>
      <c r="AZ335" s="909">
        <f t="shared" ca="1" si="222"/>
        <v>-57684.321131523007</v>
      </c>
      <c r="BA335" s="653"/>
      <c r="BB335" s="653">
        <f t="shared" si="258"/>
        <v>10</v>
      </c>
      <c r="BC335" s="909">
        <f t="shared" ca="1" si="259"/>
        <v>-73560.801277134917</v>
      </c>
      <c r="BD335" s="909">
        <f t="shared" ca="1" si="260"/>
        <v>-816920.63638525014</v>
      </c>
      <c r="BE335" s="909">
        <f t="shared" ca="1" si="261"/>
        <v>-135803.25672071532</v>
      </c>
      <c r="BF335" s="909">
        <f t="shared" ca="1" si="262"/>
        <v>364998.5987671999</v>
      </c>
      <c r="BG335" s="909">
        <f t="shared" ca="1" si="263"/>
        <v>0</v>
      </c>
      <c r="BH335" s="909">
        <f t="shared" si="264"/>
        <v>661389.45804994169</v>
      </c>
      <c r="BI335" s="909">
        <f t="shared" ca="1" si="265"/>
        <v>-661286.09561590035</v>
      </c>
      <c r="BJ335" s="909"/>
      <c r="BK335" s="653">
        <v>10</v>
      </c>
      <c r="BL335" s="909">
        <f t="shared" ca="1" si="223"/>
        <v>-8623.5699999999961</v>
      </c>
      <c r="BM335" s="909">
        <f t="shared" ca="1" si="224"/>
        <v>-95768.020059652234</v>
      </c>
      <c r="BN335" s="909">
        <f t="shared" ca="1" si="225"/>
        <v>-15920.284584000001</v>
      </c>
      <c r="BO335" s="909">
        <f t="shared" ca="1" si="226"/>
        <v>42788.970643652225</v>
      </c>
      <c r="BP335" s="909">
        <f t="shared" ca="1" si="227"/>
        <v>0</v>
      </c>
      <c r="BQ335" s="909">
        <f t="shared" si="228"/>
        <v>77534.903999999995</v>
      </c>
      <c r="BR335" s="909">
        <f t="shared" ca="1" si="229"/>
        <v>-77522.90400000001</v>
      </c>
      <c r="BS335" s="653"/>
      <c r="BT335" s="653"/>
      <c r="BU335" s="653"/>
      <c r="BV335" s="654"/>
    </row>
    <row r="336" spans="2:74" x14ac:dyDescent="0.25">
      <c r="B336" s="651"/>
      <c r="C336" s="653"/>
      <c r="D336" s="653"/>
      <c r="E336" s="653"/>
      <c r="F336" s="653"/>
      <c r="G336" s="653"/>
      <c r="H336" s="653"/>
      <c r="I336" s="653"/>
      <c r="J336" s="653"/>
      <c r="K336" s="653"/>
      <c r="L336" s="653"/>
      <c r="M336" s="651">
        <v>11</v>
      </c>
      <c r="N336" s="909">
        <f t="shared" ca="1" si="230"/>
        <v>8623.5699999999961</v>
      </c>
      <c r="O336" s="909">
        <f t="shared" ca="1" si="231"/>
        <v>0</v>
      </c>
      <c r="P336" s="909">
        <f t="shared" ca="1" si="232"/>
        <v>12</v>
      </c>
      <c r="Q336" s="910">
        <f t="shared" ca="1" si="233"/>
        <v>1629854.7299999986</v>
      </c>
      <c r="R336" s="909">
        <f t="shared" ca="1" si="234"/>
        <v>95768.020059652234</v>
      </c>
      <c r="S336" s="909">
        <f t="shared" ca="1" si="235"/>
        <v>34298.172205835937</v>
      </c>
      <c r="T336" s="909">
        <f t="shared" ca="1" si="236"/>
        <v>61469.847853816296</v>
      </c>
      <c r="U336" s="909">
        <f t="shared" ca="1" si="237"/>
        <v>1081802.5590073816</v>
      </c>
      <c r="V336" s="909">
        <f t="shared" ca="1" si="238"/>
        <v>8640</v>
      </c>
      <c r="W336" s="909">
        <f t="shared" ca="1" si="239"/>
        <v>7280.284584</v>
      </c>
      <c r="X336" s="909">
        <f t="shared" ca="1" si="240"/>
        <v>120323.87464365222</v>
      </c>
      <c r="Y336" s="909">
        <f t="shared" ca="1" si="241"/>
        <v>-42788.970643652225</v>
      </c>
      <c r="Z336" s="910">
        <f t="shared" ca="1" si="242"/>
        <v>-470678.67708017456</v>
      </c>
      <c r="AA336" s="909">
        <f t="shared" ca="1" si="243"/>
        <v>-42788.970643652225</v>
      </c>
      <c r="AB336" s="910">
        <f t="shared" ca="1" si="244"/>
        <v>-470678.67708017456</v>
      </c>
      <c r="AC336" s="911">
        <f t="shared" ca="1" si="245"/>
        <v>0</v>
      </c>
      <c r="AD336" s="911">
        <f t="shared" ca="1" si="246"/>
        <v>0</v>
      </c>
      <c r="AE336" s="909">
        <f t="shared" ca="1" si="247"/>
        <v>0</v>
      </c>
      <c r="AF336" s="912">
        <f t="shared" ca="1" si="214"/>
        <v>0</v>
      </c>
      <c r="AG336" s="909">
        <f t="shared" si="248"/>
        <v>77534.903999999995</v>
      </c>
      <c r="AH336" s="917">
        <f t="shared" ca="1" si="249"/>
        <v>77534.903999999995</v>
      </c>
      <c r="AI336" s="909">
        <f t="shared" ca="1" si="250"/>
        <v>-77534.903999999995</v>
      </c>
      <c r="AJ336" s="916">
        <f t="shared" ca="1" si="251"/>
        <v>0</v>
      </c>
      <c r="AK336" s="916">
        <f t="shared" ca="1" si="252"/>
        <v>-77534.903999999995</v>
      </c>
      <c r="AL336" s="909">
        <f t="shared" ca="1" si="253"/>
        <v>0</v>
      </c>
      <c r="AM336" s="918">
        <f t="shared" ca="1" si="254"/>
        <v>77534.903999999995</v>
      </c>
      <c r="AN336" s="915">
        <f t="shared" si="215"/>
        <v>11</v>
      </c>
      <c r="AO336" s="653">
        <f t="shared" si="255"/>
        <v>77534.903999999995</v>
      </c>
      <c r="AP336" s="916">
        <f t="shared" ca="1" si="256"/>
        <v>8635.5699999999961</v>
      </c>
      <c r="AQ336" s="916">
        <f t="shared" ca="1" si="257"/>
        <v>-42788.970643652225</v>
      </c>
      <c r="AR336" s="653"/>
      <c r="AS336" s="653">
        <v>11</v>
      </c>
      <c r="AT336" s="909">
        <f t="shared" ca="1" si="216"/>
        <v>-6229.8504482387862</v>
      </c>
      <c r="AU336" s="909">
        <f t="shared" ca="1" si="217"/>
        <v>-69184.85530882985</v>
      </c>
      <c r="AV336" s="909">
        <f t="shared" ca="1" si="218"/>
        <v>-11501.152312988876</v>
      </c>
      <c r="AW336" s="909">
        <f t="shared" ca="1" si="219"/>
        <v>30911.662796734206</v>
      </c>
      <c r="AX336" s="909">
        <f t="shared" ca="1" si="220"/>
        <v>0</v>
      </c>
      <c r="AY336" s="909">
        <f t="shared" si="221"/>
        <v>56012.864328642478</v>
      </c>
      <c r="AZ336" s="909">
        <f t="shared" ca="1" si="222"/>
        <v>-56004.195273323305</v>
      </c>
      <c r="BA336" s="653"/>
      <c r="BB336" s="653">
        <f t="shared" si="258"/>
        <v>11</v>
      </c>
      <c r="BC336" s="909">
        <f t="shared" ca="1" si="259"/>
        <v>-79790.651725373697</v>
      </c>
      <c r="BD336" s="909">
        <f t="shared" ca="1" si="260"/>
        <v>-886105.49169407994</v>
      </c>
      <c r="BE336" s="909">
        <f t="shared" ca="1" si="261"/>
        <v>-147304.4090337042</v>
      </c>
      <c r="BF336" s="909">
        <f t="shared" ca="1" si="262"/>
        <v>395910.26156393409</v>
      </c>
      <c r="BG336" s="909">
        <f t="shared" ca="1" si="263"/>
        <v>0</v>
      </c>
      <c r="BH336" s="909">
        <f t="shared" si="264"/>
        <v>717402.32237858418</v>
      </c>
      <c r="BI336" s="909">
        <f t="shared" ca="1" si="265"/>
        <v>-717290.29088922369</v>
      </c>
      <c r="BJ336" s="909"/>
      <c r="BK336" s="653">
        <v>11</v>
      </c>
      <c r="BL336" s="909">
        <f t="shared" ca="1" si="223"/>
        <v>-8623.5699999999961</v>
      </c>
      <c r="BM336" s="909">
        <f t="shared" ca="1" si="224"/>
        <v>-95768.020059652234</v>
      </c>
      <c r="BN336" s="909">
        <f t="shared" ca="1" si="225"/>
        <v>-15920.284584000001</v>
      </c>
      <c r="BO336" s="909">
        <f t="shared" ca="1" si="226"/>
        <v>42788.970643652225</v>
      </c>
      <c r="BP336" s="909">
        <f t="shared" ca="1" si="227"/>
        <v>0</v>
      </c>
      <c r="BQ336" s="909">
        <f t="shared" si="228"/>
        <v>77534.903999999995</v>
      </c>
      <c r="BR336" s="909">
        <f t="shared" ca="1" si="229"/>
        <v>-77522.90400000001</v>
      </c>
      <c r="BS336" s="653"/>
      <c r="BT336" s="653"/>
      <c r="BU336" s="653"/>
      <c r="BV336" s="654"/>
    </row>
    <row r="337" spans="2:74" x14ac:dyDescent="0.25">
      <c r="B337" s="651"/>
      <c r="C337" s="653"/>
      <c r="D337" s="653"/>
      <c r="E337" s="653"/>
      <c r="F337" s="653"/>
      <c r="G337" s="653"/>
      <c r="H337" s="653"/>
      <c r="I337" s="653"/>
      <c r="J337" s="653"/>
      <c r="K337" s="653"/>
      <c r="L337" s="653"/>
      <c r="M337" s="651">
        <v>12</v>
      </c>
      <c r="N337" s="909">
        <f t="shared" ca="1" si="230"/>
        <v>8623.5699999999961</v>
      </c>
      <c r="O337" s="909">
        <f t="shared" ca="1" si="231"/>
        <v>0</v>
      </c>
      <c r="P337" s="909">
        <f t="shared" ca="1" si="232"/>
        <v>12</v>
      </c>
      <c r="Q337" s="910">
        <f t="shared" ca="1" si="233"/>
        <v>1621231.1599999985</v>
      </c>
      <c r="R337" s="909">
        <f t="shared" ca="1" si="234"/>
        <v>95768.020059652234</v>
      </c>
      <c r="S337" s="909">
        <f t="shared" ca="1" si="235"/>
        <v>32454.076770221447</v>
      </c>
      <c r="T337" s="909">
        <f t="shared" ca="1" si="236"/>
        <v>63313.943289430783</v>
      </c>
      <c r="U337" s="909">
        <f t="shared" ca="1" si="237"/>
        <v>1018488.6157179507</v>
      </c>
      <c r="V337" s="909">
        <f t="shared" ca="1" si="238"/>
        <v>8640</v>
      </c>
      <c r="W337" s="909">
        <f t="shared" ca="1" si="239"/>
        <v>7280.284584</v>
      </c>
      <c r="X337" s="909">
        <f t="shared" ca="1" si="240"/>
        <v>120323.87464365222</v>
      </c>
      <c r="Y337" s="909">
        <f t="shared" ca="1" si="241"/>
        <v>-42788.970643652225</v>
      </c>
      <c r="Z337" s="910">
        <f t="shared" ca="1" si="242"/>
        <v>-513467.64772382681</v>
      </c>
      <c r="AA337" s="909">
        <f t="shared" ca="1" si="243"/>
        <v>-42788.970643652225</v>
      </c>
      <c r="AB337" s="910">
        <f t="shared" ca="1" si="244"/>
        <v>-513467.64772382681</v>
      </c>
      <c r="AC337" s="911">
        <f t="shared" ca="1" si="245"/>
        <v>0</v>
      </c>
      <c r="AD337" s="911">
        <f t="shared" ca="1" si="246"/>
        <v>0</v>
      </c>
      <c r="AE337" s="909">
        <f t="shared" ca="1" si="247"/>
        <v>0</v>
      </c>
      <c r="AF337" s="912">
        <f t="shared" ca="1" si="214"/>
        <v>0</v>
      </c>
      <c r="AG337" s="909">
        <f t="shared" si="248"/>
        <v>77534.903999999995</v>
      </c>
      <c r="AH337" s="917">
        <f t="shared" ca="1" si="249"/>
        <v>77534.903999999995</v>
      </c>
      <c r="AI337" s="909">
        <f t="shared" ca="1" si="250"/>
        <v>-77534.903999999995</v>
      </c>
      <c r="AJ337" s="916">
        <f t="shared" ca="1" si="251"/>
        <v>0</v>
      </c>
      <c r="AK337" s="916">
        <f t="shared" ca="1" si="252"/>
        <v>-77534.903999999995</v>
      </c>
      <c r="AL337" s="909">
        <f t="shared" ca="1" si="253"/>
        <v>0</v>
      </c>
      <c r="AM337" s="918">
        <f t="shared" ca="1" si="254"/>
        <v>77534.903999999995</v>
      </c>
      <c r="AN337" s="915">
        <f t="shared" si="215"/>
        <v>12</v>
      </c>
      <c r="AO337" s="653">
        <f t="shared" si="255"/>
        <v>77534.903999999995</v>
      </c>
      <c r="AP337" s="916">
        <f t="shared" ca="1" si="256"/>
        <v>8635.5699999999961</v>
      </c>
      <c r="AQ337" s="916">
        <f t="shared" ca="1" si="257"/>
        <v>-42788.970643652225</v>
      </c>
      <c r="AR337" s="653"/>
      <c r="AS337" s="653">
        <v>12</v>
      </c>
      <c r="AT337" s="909">
        <f t="shared" ca="1" si="216"/>
        <v>-6048.3984934357159</v>
      </c>
      <c r="AU337" s="909">
        <f t="shared" ca="1" si="217"/>
        <v>-67169.762435757148</v>
      </c>
      <c r="AV337" s="909">
        <f t="shared" ca="1" si="218"/>
        <v>-11166.167294163959</v>
      </c>
      <c r="AW337" s="909">
        <f t="shared" ca="1" si="219"/>
        <v>30011.323103625447</v>
      </c>
      <c r="AX337" s="909">
        <f t="shared" ca="1" si="220"/>
        <v>0</v>
      </c>
      <c r="AY337" s="909">
        <f t="shared" si="221"/>
        <v>54381.421678293678</v>
      </c>
      <c r="AZ337" s="909">
        <f t="shared" ca="1" si="222"/>
        <v>-54373.005119731373</v>
      </c>
      <c r="BA337" s="653"/>
      <c r="BB337" s="653">
        <f t="shared" si="258"/>
        <v>12</v>
      </c>
      <c r="BC337" s="909">
        <f t="shared" ca="1" si="259"/>
        <v>-85839.050218809411</v>
      </c>
      <c r="BD337" s="909">
        <f t="shared" ca="1" si="260"/>
        <v>-953275.25412983703</v>
      </c>
      <c r="BE337" s="909">
        <f t="shared" ca="1" si="261"/>
        <v>-158470.57632786816</v>
      </c>
      <c r="BF337" s="909">
        <f t="shared" ca="1" si="262"/>
        <v>425921.58466755954</v>
      </c>
      <c r="BG337" s="909">
        <f t="shared" ca="1" si="263"/>
        <v>0</v>
      </c>
      <c r="BH337" s="909">
        <f t="shared" si="264"/>
        <v>771783.74405687791</v>
      </c>
      <c r="BI337" s="909">
        <f t="shared" ca="1" si="265"/>
        <v>-771663.29600895511</v>
      </c>
      <c r="BJ337" s="909"/>
      <c r="BK337" s="653">
        <v>12</v>
      </c>
      <c r="BL337" s="909">
        <f t="shared" ca="1" si="223"/>
        <v>-8623.5699999999961</v>
      </c>
      <c r="BM337" s="909">
        <f t="shared" ca="1" si="224"/>
        <v>-95768.020059652234</v>
      </c>
      <c r="BN337" s="909">
        <f t="shared" ca="1" si="225"/>
        <v>-15920.284584000001</v>
      </c>
      <c r="BO337" s="909">
        <f t="shared" ca="1" si="226"/>
        <v>42788.970643652225</v>
      </c>
      <c r="BP337" s="909">
        <f t="shared" ca="1" si="227"/>
        <v>0</v>
      </c>
      <c r="BQ337" s="909">
        <f t="shared" si="228"/>
        <v>77534.903999999995</v>
      </c>
      <c r="BR337" s="909">
        <f t="shared" ca="1" si="229"/>
        <v>-77522.90400000001</v>
      </c>
      <c r="BS337" s="653"/>
      <c r="BT337" s="653"/>
      <c r="BU337" s="653"/>
      <c r="BV337" s="654"/>
    </row>
    <row r="338" spans="2:74" x14ac:dyDescent="0.25">
      <c r="B338" s="651"/>
      <c r="C338" s="653"/>
      <c r="D338" s="653"/>
      <c r="E338" s="653"/>
      <c r="F338" s="653"/>
      <c r="G338" s="653"/>
      <c r="H338" s="653"/>
      <c r="I338" s="653"/>
      <c r="J338" s="653"/>
      <c r="K338" s="653"/>
      <c r="L338" s="653"/>
      <c r="M338" s="651">
        <v>13</v>
      </c>
      <c r="N338" s="909">
        <f t="shared" ca="1" si="230"/>
        <v>8623.5699999999961</v>
      </c>
      <c r="O338" s="909">
        <f t="shared" ca="1" si="231"/>
        <v>0</v>
      </c>
      <c r="P338" s="909">
        <f t="shared" ca="1" si="232"/>
        <v>12</v>
      </c>
      <c r="Q338" s="910">
        <f t="shared" ca="1" si="233"/>
        <v>1612607.5899999985</v>
      </c>
      <c r="R338" s="909">
        <f t="shared" ca="1" si="234"/>
        <v>95768.020059652234</v>
      </c>
      <c r="S338" s="909">
        <f t="shared" ca="1" si="235"/>
        <v>30554.658471538522</v>
      </c>
      <c r="T338" s="909">
        <f t="shared" ca="1" si="236"/>
        <v>65213.361588113708</v>
      </c>
      <c r="U338" s="909">
        <f t="shared" ca="1" si="237"/>
        <v>953275.25412983703</v>
      </c>
      <c r="V338" s="909">
        <f t="shared" ca="1" si="238"/>
        <v>8640</v>
      </c>
      <c r="W338" s="909">
        <f t="shared" ca="1" si="239"/>
        <v>7280.284584</v>
      </c>
      <c r="X338" s="909">
        <f t="shared" ca="1" si="240"/>
        <v>120323.87464365222</v>
      </c>
      <c r="Y338" s="909">
        <f t="shared" ca="1" si="241"/>
        <v>-42788.970643652225</v>
      </c>
      <c r="Z338" s="910">
        <f t="shared" ca="1" si="242"/>
        <v>-556256.61836747907</v>
      </c>
      <c r="AA338" s="909">
        <f t="shared" ca="1" si="243"/>
        <v>-42788.970643652225</v>
      </c>
      <c r="AB338" s="910">
        <f t="shared" ca="1" si="244"/>
        <v>-556256.61836747907</v>
      </c>
      <c r="AC338" s="911">
        <f t="shared" ca="1" si="245"/>
        <v>0</v>
      </c>
      <c r="AD338" s="911">
        <f t="shared" ca="1" si="246"/>
        <v>0</v>
      </c>
      <c r="AE338" s="909">
        <f t="shared" ca="1" si="247"/>
        <v>0</v>
      </c>
      <c r="AF338" s="912">
        <f t="shared" ca="1" si="214"/>
        <v>0</v>
      </c>
      <c r="AG338" s="909">
        <f t="shared" si="248"/>
        <v>77534.903999999995</v>
      </c>
      <c r="AH338" s="917">
        <f t="shared" ca="1" si="249"/>
        <v>77534.903999999995</v>
      </c>
      <c r="AI338" s="909">
        <f t="shared" ca="1" si="250"/>
        <v>-77534.903999999995</v>
      </c>
      <c r="AJ338" s="916">
        <f t="shared" ca="1" si="251"/>
        <v>0</v>
      </c>
      <c r="AK338" s="916">
        <f t="shared" ca="1" si="252"/>
        <v>-77534.903999999995</v>
      </c>
      <c r="AL338" s="909">
        <f t="shared" ca="1" si="253"/>
        <v>0</v>
      </c>
      <c r="AM338" s="918">
        <f t="shared" ca="1" si="254"/>
        <v>77534.903999999995</v>
      </c>
      <c r="AN338" s="915">
        <f t="shared" si="215"/>
        <v>13</v>
      </c>
      <c r="AO338" s="653">
        <f t="shared" si="255"/>
        <v>77534.903999999995</v>
      </c>
      <c r="AP338" s="916">
        <f t="shared" ca="1" si="256"/>
        <v>8635.5699999999961</v>
      </c>
      <c r="AQ338" s="916">
        <f t="shared" ca="1" si="257"/>
        <v>-42788.970643652225</v>
      </c>
      <c r="AR338" s="653"/>
      <c r="AS338" s="653">
        <v>13</v>
      </c>
      <c r="AT338" s="909">
        <f t="shared" ca="1" si="216"/>
        <v>-5872.2315470249669</v>
      </c>
      <c r="AU338" s="909">
        <f t="shared" ca="1" si="217"/>
        <v>-65213.36158811373</v>
      </c>
      <c r="AV338" s="909">
        <f t="shared" ca="1" si="218"/>
        <v>-10840.939120547533</v>
      </c>
      <c r="AW338" s="909">
        <f t="shared" ca="1" si="219"/>
        <v>29137.206896723736</v>
      </c>
      <c r="AX338" s="909">
        <f t="shared" ca="1" si="220"/>
        <v>0</v>
      </c>
      <c r="AY338" s="909">
        <f t="shared" si="221"/>
        <v>52797.496775042404</v>
      </c>
      <c r="AZ338" s="909">
        <f t="shared" ca="1" si="222"/>
        <v>-52789.325358962502</v>
      </c>
      <c r="BA338" s="653"/>
      <c r="BB338" s="653">
        <f t="shared" si="258"/>
        <v>13</v>
      </c>
      <c r="BC338" s="909">
        <f t="shared" ca="1" si="259"/>
        <v>-91711.28176583437</v>
      </c>
      <c r="BD338" s="909">
        <f t="shared" ca="1" si="260"/>
        <v>-1018488.6157179507</v>
      </c>
      <c r="BE338" s="909">
        <f t="shared" ca="1" si="261"/>
        <v>-169311.51544841568</v>
      </c>
      <c r="BF338" s="909">
        <f t="shared" ca="1" si="262"/>
        <v>455058.79156428325</v>
      </c>
      <c r="BG338" s="909">
        <f t="shared" ca="1" si="263"/>
        <v>0</v>
      </c>
      <c r="BH338" s="909">
        <f t="shared" si="264"/>
        <v>824581.2408319203</v>
      </c>
      <c r="BI338" s="909">
        <f t="shared" ca="1" si="265"/>
        <v>-824452.62136791763</v>
      </c>
      <c r="BJ338" s="909"/>
      <c r="BK338" s="653">
        <v>13</v>
      </c>
      <c r="BL338" s="909">
        <f t="shared" ca="1" si="223"/>
        <v>-8623.5699999999961</v>
      </c>
      <c r="BM338" s="909">
        <f t="shared" ca="1" si="224"/>
        <v>-95768.020059652234</v>
      </c>
      <c r="BN338" s="909">
        <f t="shared" ca="1" si="225"/>
        <v>-15920.284584000001</v>
      </c>
      <c r="BO338" s="909">
        <f t="shared" ca="1" si="226"/>
        <v>42788.970643652225</v>
      </c>
      <c r="BP338" s="909">
        <f t="shared" ca="1" si="227"/>
        <v>0</v>
      </c>
      <c r="BQ338" s="909">
        <f t="shared" si="228"/>
        <v>77534.903999999995</v>
      </c>
      <c r="BR338" s="909">
        <f t="shared" ca="1" si="229"/>
        <v>-77522.90400000001</v>
      </c>
      <c r="BS338" s="653"/>
      <c r="BT338" s="653"/>
      <c r="BU338" s="653"/>
      <c r="BV338" s="654"/>
    </row>
    <row r="339" spans="2:74" x14ac:dyDescent="0.25">
      <c r="B339" s="651"/>
      <c r="C339" s="653"/>
      <c r="D339" s="653"/>
      <c r="E339" s="653"/>
      <c r="F339" s="653"/>
      <c r="G339" s="653"/>
      <c r="H339" s="653"/>
      <c r="I339" s="653"/>
      <c r="J339" s="653"/>
      <c r="K339" s="653"/>
      <c r="L339" s="653"/>
      <c r="M339" s="651">
        <v>14</v>
      </c>
      <c r="N339" s="909">
        <f t="shared" ca="1" si="230"/>
        <v>8623.5699999999961</v>
      </c>
      <c r="O339" s="909">
        <f t="shared" ca="1" si="231"/>
        <v>0</v>
      </c>
      <c r="P339" s="909">
        <f t="shared" ca="1" si="232"/>
        <v>12</v>
      </c>
      <c r="Q339" s="910">
        <f t="shared" ca="1" si="233"/>
        <v>1603984.0199999984</v>
      </c>
      <c r="R339" s="909">
        <f t="shared" ca="1" si="234"/>
        <v>95768.020059652234</v>
      </c>
      <c r="S339" s="909">
        <f t="shared" ca="1" si="235"/>
        <v>28598.257623895111</v>
      </c>
      <c r="T339" s="909">
        <f t="shared" ca="1" si="236"/>
        <v>67169.762435757119</v>
      </c>
      <c r="U339" s="909">
        <f t="shared" ca="1" si="237"/>
        <v>886105.49169407994</v>
      </c>
      <c r="V339" s="909">
        <f t="shared" ca="1" si="238"/>
        <v>8640</v>
      </c>
      <c r="W339" s="909">
        <f t="shared" ca="1" si="239"/>
        <v>7280.284584</v>
      </c>
      <c r="X339" s="909">
        <f t="shared" ca="1" si="240"/>
        <v>120323.87464365222</v>
      </c>
      <c r="Y339" s="909">
        <f t="shared" ca="1" si="241"/>
        <v>-42788.970643652225</v>
      </c>
      <c r="Z339" s="910">
        <f t="shared" ca="1" si="242"/>
        <v>-599045.58901113132</v>
      </c>
      <c r="AA339" s="909">
        <f t="shared" ca="1" si="243"/>
        <v>-42788.970643652225</v>
      </c>
      <c r="AB339" s="910">
        <f t="shared" ca="1" si="244"/>
        <v>-599045.58901113132</v>
      </c>
      <c r="AC339" s="911">
        <f t="shared" ca="1" si="245"/>
        <v>0</v>
      </c>
      <c r="AD339" s="911">
        <f t="shared" ca="1" si="246"/>
        <v>0</v>
      </c>
      <c r="AE339" s="909">
        <f t="shared" ca="1" si="247"/>
        <v>0</v>
      </c>
      <c r="AF339" s="912">
        <f t="shared" ca="1" si="214"/>
        <v>0</v>
      </c>
      <c r="AG339" s="909">
        <f t="shared" si="248"/>
        <v>77534.903999999995</v>
      </c>
      <c r="AH339" s="917">
        <f t="shared" ca="1" si="249"/>
        <v>77534.903999999995</v>
      </c>
      <c r="AI339" s="909">
        <f t="shared" ca="1" si="250"/>
        <v>-77534.903999999995</v>
      </c>
      <c r="AJ339" s="916">
        <f t="shared" ca="1" si="251"/>
        <v>0</v>
      </c>
      <c r="AK339" s="916">
        <f t="shared" ca="1" si="252"/>
        <v>-77534.903999999995</v>
      </c>
      <c r="AL339" s="909">
        <f t="shared" ca="1" si="253"/>
        <v>0</v>
      </c>
      <c r="AM339" s="918">
        <f t="shared" ca="1" si="254"/>
        <v>77534.903999999995</v>
      </c>
      <c r="AN339" s="915">
        <f t="shared" si="215"/>
        <v>14</v>
      </c>
      <c r="AO339" s="653">
        <f t="shared" si="255"/>
        <v>77534.903999999995</v>
      </c>
      <c r="AP339" s="916">
        <f t="shared" ca="1" si="256"/>
        <v>8635.5699999999961</v>
      </c>
      <c r="AQ339" s="916">
        <f t="shared" ca="1" si="257"/>
        <v>-42788.970643652225</v>
      </c>
      <c r="AR339" s="653"/>
      <c r="AS339" s="653">
        <v>14</v>
      </c>
      <c r="AT339" s="909">
        <f t="shared" ca="1" si="216"/>
        <v>-5701.1956767232678</v>
      </c>
      <c r="AU339" s="909">
        <f t="shared" ca="1" si="217"/>
        <v>-63313.943289430797</v>
      </c>
      <c r="AV339" s="909">
        <f t="shared" ca="1" si="218"/>
        <v>-10525.183612182071</v>
      </c>
      <c r="AW339" s="909">
        <f t="shared" ca="1" si="219"/>
        <v>28288.55038516867</v>
      </c>
      <c r="AX339" s="909">
        <f t="shared" ca="1" si="220"/>
        <v>0</v>
      </c>
      <c r="AY339" s="909">
        <f t="shared" si="221"/>
        <v>51259.705606837277</v>
      </c>
      <c r="AZ339" s="909">
        <f t="shared" ca="1" si="222"/>
        <v>-51251.772193167461</v>
      </c>
      <c r="BA339" s="653"/>
      <c r="BB339" s="653">
        <f t="shared" si="258"/>
        <v>14</v>
      </c>
      <c r="BC339" s="909">
        <f t="shared" ca="1" si="259"/>
        <v>-97412.477442557632</v>
      </c>
      <c r="BD339" s="909">
        <f t="shared" ca="1" si="260"/>
        <v>-1081802.5590073816</v>
      </c>
      <c r="BE339" s="909">
        <f t="shared" ca="1" si="261"/>
        <v>-179836.69906059775</v>
      </c>
      <c r="BF339" s="909">
        <f t="shared" ca="1" si="262"/>
        <v>483347.34194945195</v>
      </c>
      <c r="BG339" s="909">
        <f t="shared" ca="1" si="263"/>
        <v>0</v>
      </c>
      <c r="BH339" s="909">
        <f t="shared" si="264"/>
        <v>875840.94643875759</v>
      </c>
      <c r="BI339" s="909">
        <f t="shared" ca="1" si="265"/>
        <v>-875704.3935610851</v>
      </c>
      <c r="BJ339" s="909"/>
      <c r="BK339" s="653">
        <v>14</v>
      </c>
      <c r="BL339" s="909">
        <f t="shared" ca="1" si="223"/>
        <v>-8623.5699999999961</v>
      </c>
      <c r="BM339" s="909">
        <f t="shared" ca="1" si="224"/>
        <v>-95768.020059652234</v>
      </c>
      <c r="BN339" s="909">
        <f t="shared" ca="1" si="225"/>
        <v>-15920.284584000001</v>
      </c>
      <c r="BO339" s="909">
        <f t="shared" ca="1" si="226"/>
        <v>42788.970643652225</v>
      </c>
      <c r="BP339" s="909">
        <f t="shared" ca="1" si="227"/>
        <v>0</v>
      </c>
      <c r="BQ339" s="909">
        <f t="shared" si="228"/>
        <v>77534.903999999995</v>
      </c>
      <c r="BR339" s="909">
        <f t="shared" ca="1" si="229"/>
        <v>-77522.90400000001</v>
      </c>
      <c r="BS339" s="653"/>
      <c r="BT339" s="653"/>
      <c r="BU339" s="653"/>
      <c r="BV339" s="654"/>
    </row>
    <row r="340" spans="2:74" x14ac:dyDescent="0.25">
      <c r="B340" s="651"/>
      <c r="C340" s="653"/>
      <c r="D340" s="653"/>
      <c r="E340" s="653"/>
      <c r="F340" s="653"/>
      <c r="G340" s="653"/>
      <c r="H340" s="653"/>
      <c r="I340" s="653"/>
      <c r="J340" s="653"/>
      <c r="K340" s="653"/>
      <c r="L340" s="653"/>
      <c r="M340" s="651">
        <v>15</v>
      </c>
      <c r="N340" s="909">
        <f t="shared" ca="1" si="230"/>
        <v>8623.5699999999961</v>
      </c>
      <c r="O340" s="909">
        <f t="shared" ca="1" si="231"/>
        <v>0</v>
      </c>
      <c r="P340" s="909">
        <f t="shared" ca="1" si="232"/>
        <v>12</v>
      </c>
      <c r="Q340" s="910">
        <f t="shared" ca="1" si="233"/>
        <v>1595360.4499999983</v>
      </c>
      <c r="R340" s="909">
        <f t="shared" ca="1" si="234"/>
        <v>95768.020059652234</v>
      </c>
      <c r="S340" s="909">
        <f t="shared" ca="1" si="235"/>
        <v>26583.164750822398</v>
      </c>
      <c r="T340" s="909">
        <f t="shared" ca="1" si="236"/>
        <v>69184.855308829836</v>
      </c>
      <c r="U340" s="909">
        <f t="shared" ca="1" si="237"/>
        <v>816920.63638525014</v>
      </c>
      <c r="V340" s="909">
        <f t="shared" ca="1" si="238"/>
        <v>8640</v>
      </c>
      <c r="W340" s="909">
        <f t="shared" ca="1" si="239"/>
        <v>7280.284584</v>
      </c>
      <c r="X340" s="909">
        <f t="shared" ca="1" si="240"/>
        <v>120323.87464365222</v>
      </c>
      <c r="Y340" s="909">
        <f t="shared" ca="1" si="241"/>
        <v>-42788.970643652225</v>
      </c>
      <c r="Z340" s="910">
        <f t="shared" ca="1" si="242"/>
        <v>-641834.55965478357</v>
      </c>
      <c r="AA340" s="909">
        <f t="shared" ca="1" si="243"/>
        <v>-42788.970643652225</v>
      </c>
      <c r="AB340" s="910">
        <f t="shared" ca="1" si="244"/>
        <v>-641834.55965478357</v>
      </c>
      <c r="AC340" s="911">
        <f t="shared" ca="1" si="245"/>
        <v>0</v>
      </c>
      <c r="AD340" s="911">
        <f t="shared" ca="1" si="246"/>
        <v>0</v>
      </c>
      <c r="AE340" s="909">
        <f t="shared" ca="1" si="247"/>
        <v>0</v>
      </c>
      <c r="AF340" s="912">
        <f t="shared" ca="1" si="214"/>
        <v>0</v>
      </c>
      <c r="AG340" s="909">
        <f t="shared" si="248"/>
        <v>77534.903999999995</v>
      </c>
      <c r="AH340" s="917">
        <f t="shared" ca="1" si="249"/>
        <v>77534.903999999995</v>
      </c>
      <c r="AI340" s="909">
        <f t="shared" ca="1" si="250"/>
        <v>-77534.903999999995</v>
      </c>
      <c r="AJ340" s="916">
        <f t="shared" ca="1" si="251"/>
        <v>0</v>
      </c>
      <c r="AK340" s="916">
        <f t="shared" ca="1" si="252"/>
        <v>-77534.903999999995</v>
      </c>
      <c r="AL340" s="909">
        <f t="shared" ca="1" si="253"/>
        <v>0</v>
      </c>
      <c r="AM340" s="918">
        <f t="shared" ca="1" si="254"/>
        <v>77534.903999999995</v>
      </c>
      <c r="AN340" s="915">
        <f t="shared" si="215"/>
        <v>15</v>
      </c>
      <c r="AO340" s="653">
        <f t="shared" si="255"/>
        <v>77534.903999999995</v>
      </c>
      <c r="AP340" s="916">
        <f t="shared" ca="1" si="256"/>
        <v>8635.5699999999961</v>
      </c>
      <c r="AQ340" s="916">
        <f t="shared" ca="1" si="257"/>
        <v>-42788.970643652225</v>
      </c>
      <c r="AR340" s="653"/>
      <c r="AS340" s="653">
        <v>15</v>
      </c>
      <c r="AT340" s="909">
        <f t="shared" ca="1" si="216"/>
        <v>-5535.1414337119095</v>
      </c>
      <c r="AU340" s="909">
        <f t="shared" ca="1" si="217"/>
        <v>-61469.847853816304</v>
      </c>
      <c r="AV340" s="909">
        <f t="shared" ca="1" si="218"/>
        <v>-10218.624866196184</v>
      </c>
      <c r="AW340" s="909">
        <f t="shared" ca="1" si="219"/>
        <v>27464.612024435599</v>
      </c>
      <c r="AX340" s="909">
        <f t="shared" ca="1" si="220"/>
        <v>0</v>
      </c>
      <c r="AY340" s="909">
        <f t="shared" si="221"/>
        <v>49766.704472657548</v>
      </c>
      <c r="AZ340" s="909">
        <f t="shared" ca="1" si="222"/>
        <v>-49759.002129288798</v>
      </c>
      <c r="BA340" s="653"/>
      <c r="BB340" s="653">
        <f t="shared" si="258"/>
        <v>15</v>
      </c>
      <c r="BC340" s="909">
        <f t="shared" ca="1" si="259"/>
        <v>-102947.61887626954</v>
      </c>
      <c r="BD340" s="909">
        <f t="shared" ca="1" si="260"/>
        <v>-1143272.4068611979</v>
      </c>
      <c r="BE340" s="909">
        <f t="shared" ca="1" si="261"/>
        <v>-190055.32392679394</v>
      </c>
      <c r="BF340" s="909">
        <f t="shared" ca="1" si="262"/>
        <v>510811.95397388755</v>
      </c>
      <c r="BG340" s="909">
        <f t="shared" ca="1" si="263"/>
        <v>0</v>
      </c>
      <c r="BH340" s="909">
        <f t="shared" si="264"/>
        <v>925607.65091141511</v>
      </c>
      <c r="BI340" s="909">
        <f t="shared" ca="1" si="265"/>
        <v>-925463.39569037384</v>
      </c>
      <c r="BJ340" s="909"/>
      <c r="BK340" s="653">
        <v>15</v>
      </c>
      <c r="BL340" s="909">
        <f t="shared" ca="1" si="223"/>
        <v>-8623.5699999999961</v>
      </c>
      <c r="BM340" s="909">
        <f t="shared" ca="1" si="224"/>
        <v>-95768.020059652234</v>
      </c>
      <c r="BN340" s="909">
        <f t="shared" ca="1" si="225"/>
        <v>-15920.284584000001</v>
      </c>
      <c r="BO340" s="909">
        <f t="shared" ca="1" si="226"/>
        <v>42788.970643652225</v>
      </c>
      <c r="BP340" s="909">
        <f t="shared" ca="1" si="227"/>
        <v>0</v>
      </c>
      <c r="BQ340" s="909">
        <f t="shared" si="228"/>
        <v>77534.903999999995</v>
      </c>
      <c r="BR340" s="909">
        <f t="shared" ca="1" si="229"/>
        <v>-77522.90400000001</v>
      </c>
      <c r="BS340" s="653"/>
      <c r="BT340" s="653"/>
      <c r="BU340" s="653"/>
      <c r="BV340" s="654"/>
    </row>
    <row r="341" spans="2:74" x14ac:dyDescent="0.25">
      <c r="B341" s="651"/>
      <c r="C341" s="653"/>
      <c r="D341" s="653"/>
      <c r="E341" s="653"/>
      <c r="F341" s="653"/>
      <c r="G341" s="653"/>
      <c r="H341" s="653"/>
      <c r="I341" s="653"/>
      <c r="J341" s="653"/>
      <c r="K341" s="653"/>
      <c r="L341" s="653"/>
      <c r="M341" s="651">
        <v>16</v>
      </c>
      <c r="N341" s="909">
        <f t="shared" ca="1" si="230"/>
        <v>8623.5699999999961</v>
      </c>
      <c r="O341" s="909">
        <f t="shared" ca="1" si="231"/>
        <v>0</v>
      </c>
      <c r="P341" s="909">
        <f t="shared" ca="1" si="232"/>
        <v>12</v>
      </c>
      <c r="Q341" s="910">
        <f t="shared" ca="1" si="233"/>
        <v>1586736.8799999983</v>
      </c>
      <c r="R341" s="909">
        <f t="shared" ca="1" si="234"/>
        <v>95768.020059652234</v>
      </c>
      <c r="S341" s="909">
        <f t="shared" ca="1" si="235"/>
        <v>24507.619091557503</v>
      </c>
      <c r="T341" s="909">
        <f t="shared" ca="1" si="236"/>
        <v>71260.400968094735</v>
      </c>
      <c r="U341" s="909">
        <f t="shared" ca="1" si="237"/>
        <v>745660.23541715543</v>
      </c>
      <c r="V341" s="909">
        <f t="shared" ca="1" si="238"/>
        <v>8640</v>
      </c>
      <c r="W341" s="909">
        <f t="shared" ca="1" si="239"/>
        <v>7280.284584</v>
      </c>
      <c r="X341" s="909">
        <f t="shared" ca="1" si="240"/>
        <v>120323.87464365222</v>
      </c>
      <c r="Y341" s="909">
        <f t="shared" ca="1" si="241"/>
        <v>-42788.970643652225</v>
      </c>
      <c r="Z341" s="910">
        <f t="shared" ca="1" si="242"/>
        <v>-684623.53029843583</v>
      </c>
      <c r="AA341" s="909">
        <f t="shared" ca="1" si="243"/>
        <v>-42788.970643652225</v>
      </c>
      <c r="AB341" s="910">
        <f t="shared" ca="1" si="244"/>
        <v>-684623.53029843583</v>
      </c>
      <c r="AC341" s="911">
        <f t="shared" ca="1" si="245"/>
        <v>0</v>
      </c>
      <c r="AD341" s="911">
        <f t="shared" ca="1" si="246"/>
        <v>0</v>
      </c>
      <c r="AE341" s="909">
        <f t="shared" ca="1" si="247"/>
        <v>0</v>
      </c>
      <c r="AF341" s="912">
        <f t="shared" ca="1" si="214"/>
        <v>0</v>
      </c>
      <c r="AG341" s="909">
        <f t="shared" si="248"/>
        <v>77534.903999999995</v>
      </c>
      <c r="AH341" s="917">
        <f t="shared" ca="1" si="249"/>
        <v>77534.903999999995</v>
      </c>
      <c r="AI341" s="909">
        <f t="shared" ca="1" si="250"/>
        <v>-77534.903999999995</v>
      </c>
      <c r="AJ341" s="916">
        <f t="shared" ca="1" si="251"/>
        <v>0</v>
      </c>
      <c r="AK341" s="916">
        <f t="shared" ca="1" si="252"/>
        <v>-77534.903999999995</v>
      </c>
      <c r="AL341" s="909">
        <f t="shared" ca="1" si="253"/>
        <v>0</v>
      </c>
      <c r="AM341" s="918">
        <f t="shared" ca="1" si="254"/>
        <v>77534.903999999995</v>
      </c>
      <c r="AN341" s="915">
        <f t="shared" si="215"/>
        <v>16</v>
      </c>
      <c r="AO341" s="653">
        <f t="shared" si="255"/>
        <v>77534.903999999995</v>
      </c>
      <c r="AP341" s="916">
        <f t="shared" ca="1" si="256"/>
        <v>8635.5699999999961</v>
      </c>
      <c r="AQ341" s="916">
        <f t="shared" ca="1" si="257"/>
        <v>-42788.970643652225</v>
      </c>
      <c r="AR341" s="653"/>
      <c r="AS341" s="653">
        <v>16</v>
      </c>
      <c r="AT341" s="909">
        <f t="shared" ca="1" si="216"/>
        <v>-5373.9237220503992</v>
      </c>
      <c r="AU341" s="909">
        <f t="shared" ca="1" si="217"/>
        <v>-59679.463935743996</v>
      </c>
      <c r="AV341" s="909">
        <f t="shared" ca="1" si="218"/>
        <v>-9920.9950157244512</v>
      </c>
      <c r="AW341" s="909">
        <f t="shared" ca="1" si="219"/>
        <v>26664.671868384085</v>
      </c>
      <c r="AX341" s="909">
        <f t="shared" ca="1" si="220"/>
        <v>0</v>
      </c>
      <c r="AY341" s="909">
        <f t="shared" si="221"/>
        <v>48317.188808405401</v>
      </c>
      <c r="AZ341" s="909">
        <f t="shared" ca="1" si="222"/>
        <v>-48309.71080513476</v>
      </c>
      <c r="BA341" s="653"/>
      <c r="BB341" s="653">
        <f t="shared" si="258"/>
        <v>16</v>
      </c>
      <c r="BC341" s="909">
        <f t="shared" ca="1" si="259"/>
        <v>-108321.54259831994</v>
      </c>
      <c r="BD341" s="909">
        <f t="shared" ca="1" si="260"/>
        <v>-1202951.8707969419</v>
      </c>
      <c r="BE341" s="909">
        <f t="shared" ca="1" si="261"/>
        <v>-199976.31894251838</v>
      </c>
      <c r="BF341" s="909">
        <f t="shared" ca="1" si="262"/>
        <v>537476.62584227161</v>
      </c>
      <c r="BG341" s="909">
        <f t="shared" ca="1" si="263"/>
        <v>0</v>
      </c>
      <c r="BH341" s="909">
        <f t="shared" si="264"/>
        <v>973924.83971982053</v>
      </c>
      <c r="BI341" s="909">
        <f t="shared" ca="1" si="265"/>
        <v>-973773.10649550857</v>
      </c>
      <c r="BJ341" s="909"/>
      <c r="BK341" s="653">
        <v>16</v>
      </c>
      <c r="BL341" s="909">
        <f t="shared" ca="1" si="223"/>
        <v>-8623.5699999999961</v>
      </c>
      <c r="BM341" s="909">
        <f t="shared" ca="1" si="224"/>
        <v>-95768.020059652234</v>
      </c>
      <c r="BN341" s="909">
        <f t="shared" ca="1" si="225"/>
        <v>-15920.284584000001</v>
      </c>
      <c r="BO341" s="909">
        <f t="shared" ca="1" si="226"/>
        <v>42788.970643652225</v>
      </c>
      <c r="BP341" s="909">
        <f t="shared" ca="1" si="227"/>
        <v>0</v>
      </c>
      <c r="BQ341" s="909">
        <f t="shared" si="228"/>
        <v>77534.903999999995</v>
      </c>
      <c r="BR341" s="909">
        <f t="shared" ca="1" si="229"/>
        <v>-77522.90400000001</v>
      </c>
      <c r="BS341" s="653"/>
      <c r="BT341" s="653"/>
      <c r="BU341" s="653"/>
      <c r="BV341" s="654"/>
    </row>
    <row r="342" spans="2:74" x14ac:dyDescent="0.25">
      <c r="B342" s="651"/>
      <c r="C342" s="653"/>
      <c r="D342" s="653"/>
      <c r="E342" s="653"/>
      <c r="F342" s="653"/>
      <c r="G342" s="653"/>
      <c r="H342" s="653"/>
      <c r="I342" s="653"/>
      <c r="J342" s="653"/>
      <c r="K342" s="653"/>
      <c r="L342" s="653"/>
      <c r="M342" s="651">
        <v>17</v>
      </c>
      <c r="N342" s="909">
        <f t="shared" ca="1" si="230"/>
        <v>8623.5699999999961</v>
      </c>
      <c r="O342" s="909">
        <f t="shared" ca="1" si="231"/>
        <v>0</v>
      </c>
      <c r="P342" s="909">
        <f t="shared" ca="1" si="232"/>
        <v>12</v>
      </c>
      <c r="Q342" s="910">
        <f t="shared" ca="1" si="233"/>
        <v>1578113.3099999982</v>
      </c>
      <c r="R342" s="909">
        <f t="shared" ca="1" si="234"/>
        <v>95768.020059652234</v>
      </c>
      <c r="S342" s="909">
        <f t="shared" ca="1" si="235"/>
        <v>22369.807062514661</v>
      </c>
      <c r="T342" s="909">
        <f t="shared" ca="1" si="236"/>
        <v>73398.212997137569</v>
      </c>
      <c r="U342" s="909">
        <f t="shared" ca="1" si="237"/>
        <v>672262.02242001786</v>
      </c>
      <c r="V342" s="909">
        <f t="shared" ca="1" si="238"/>
        <v>8640</v>
      </c>
      <c r="W342" s="909">
        <f t="shared" ca="1" si="239"/>
        <v>7280.284584</v>
      </c>
      <c r="X342" s="909">
        <f t="shared" ca="1" si="240"/>
        <v>120323.87464365222</v>
      </c>
      <c r="Y342" s="909">
        <f t="shared" ca="1" si="241"/>
        <v>-42788.970643652225</v>
      </c>
      <c r="Z342" s="910">
        <f t="shared" ca="1" si="242"/>
        <v>-727412.50094208808</v>
      </c>
      <c r="AA342" s="909">
        <f t="shared" ca="1" si="243"/>
        <v>-42788.970643652225</v>
      </c>
      <c r="AB342" s="910">
        <f t="shared" ca="1" si="244"/>
        <v>-727412.50094208808</v>
      </c>
      <c r="AC342" s="911">
        <f t="shared" ca="1" si="245"/>
        <v>0</v>
      </c>
      <c r="AD342" s="911">
        <f t="shared" ca="1" si="246"/>
        <v>0</v>
      </c>
      <c r="AE342" s="909">
        <f t="shared" ca="1" si="247"/>
        <v>0</v>
      </c>
      <c r="AF342" s="912">
        <f t="shared" ca="1" si="214"/>
        <v>0</v>
      </c>
      <c r="AG342" s="909">
        <f t="shared" si="248"/>
        <v>77534.903999999995</v>
      </c>
      <c r="AH342" s="917">
        <f t="shared" ca="1" si="249"/>
        <v>77534.903999999995</v>
      </c>
      <c r="AI342" s="909">
        <f t="shared" ca="1" si="250"/>
        <v>-77534.903999999995</v>
      </c>
      <c r="AJ342" s="916">
        <f t="shared" ca="1" si="251"/>
        <v>0</v>
      </c>
      <c r="AK342" s="916">
        <f t="shared" ca="1" si="252"/>
        <v>-77534.903999999995</v>
      </c>
      <c r="AL342" s="909">
        <f t="shared" ca="1" si="253"/>
        <v>0</v>
      </c>
      <c r="AM342" s="918">
        <f t="shared" ca="1" si="254"/>
        <v>77534.903999999995</v>
      </c>
      <c r="AN342" s="915">
        <f t="shared" si="215"/>
        <v>17</v>
      </c>
      <c r="AO342" s="653">
        <f t="shared" si="255"/>
        <v>77534.903999999995</v>
      </c>
      <c r="AP342" s="916">
        <f t="shared" ca="1" si="256"/>
        <v>8635.5699999999961</v>
      </c>
      <c r="AQ342" s="916">
        <f t="shared" ca="1" si="257"/>
        <v>-42788.970643652225</v>
      </c>
      <c r="AR342" s="653"/>
      <c r="AS342" s="653">
        <v>17</v>
      </c>
      <c r="AT342" s="909">
        <f t="shared" ca="1" si="216"/>
        <v>-5217.4016718935909</v>
      </c>
      <c r="AU342" s="909">
        <f t="shared" ca="1" si="217"/>
        <v>-57941.227122081546</v>
      </c>
      <c r="AV342" s="909">
        <f t="shared" ca="1" si="218"/>
        <v>-9632.0339958489822</v>
      </c>
      <c r="AW342" s="909">
        <f t="shared" ca="1" si="219"/>
        <v>25888.03094017872</v>
      </c>
      <c r="AX342" s="909">
        <f t="shared" ca="1" si="220"/>
        <v>0</v>
      </c>
      <c r="AY342" s="909">
        <f t="shared" si="221"/>
        <v>46909.892046995534</v>
      </c>
      <c r="AZ342" s="909">
        <f t="shared" ca="1" si="222"/>
        <v>-46902.63184964539</v>
      </c>
      <c r="BA342" s="653"/>
      <c r="BB342" s="653">
        <f t="shared" si="258"/>
        <v>17</v>
      </c>
      <c r="BC342" s="909">
        <f t="shared" ca="1" si="259"/>
        <v>-113538.94427021353</v>
      </c>
      <c r="BD342" s="909">
        <f t="shared" ca="1" si="260"/>
        <v>-1260893.0979190234</v>
      </c>
      <c r="BE342" s="909">
        <f t="shared" ca="1" si="261"/>
        <v>-209608.35293836737</v>
      </c>
      <c r="BF342" s="909">
        <f t="shared" ca="1" si="262"/>
        <v>563364.65678245027</v>
      </c>
      <c r="BG342" s="909">
        <f t="shared" ca="1" si="263"/>
        <v>0</v>
      </c>
      <c r="BH342" s="909">
        <f t="shared" si="264"/>
        <v>1020834.7317668161</v>
      </c>
      <c r="BI342" s="909">
        <f t="shared" ca="1" si="265"/>
        <v>-1020675.738345154</v>
      </c>
      <c r="BJ342" s="909"/>
      <c r="BK342" s="653">
        <v>17</v>
      </c>
      <c r="BL342" s="909">
        <f t="shared" ca="1" si="223"/>
        <v>-8623.5699999999961</v>
      </c>
      <c r="BM342" s="909">
        <f t="shared" ca="1" si="224"/>
        <v>-95768.020059652234</v>
      </c>
      <c r="BN342" s="909">
        <f t="shared" ca="1" si="225"/>
        <v>-15920.284584000001</v>
      </c>
      <c r="BO342" s="909">
        <f t="shared" ca="1" si="226"/>
        <v>42788.970643652225</v>
      </c>
      <c r="BP342" s="909">
        <f t="shared" ca="1" si="227"/>
        <v>0</v>
      </c>
      <c r="BQ342" s="909">
        <f t="shared" si="228"/>
        <v>77534.903999999995</v>
      </c>
      <c r="BR342" s="909">
        <f t="shared" ca="1" si="229"/>
        <v>-77522.90400000001</v>
      </c>
      <c r="BS342" s="653"/>
      <c r="BT342" s="653"/>
      <c r="BU342" s="653"/>
      <c r="BV342" s="654"/>
    </row>
    <row r="343" spans="2:74" x14ac:dyDescent="0.25">
      <c r="B343" s="651"/>
      <c r="C343" s="653"/>
      <c r="D343" s="653"/>
      <c r="E343" s="653"/>
      <c r="F343" s="653"/>
      <c r="G343" s="653"/>
      <c r="H343" s="653"/>
      <c r="I343" s="653"/>
      <c r="J343" s="653"/>
      <c r="K343" s="653"/>
      <c r="L343" s="653"/>
      <c r="M343" s="651">
        <v>18</v>
      </c>
      <c r="N343" s="909">
        <f t="shared" ca="1" si="230"/>
        <v>8623.5699999999961</v>
      </c>
      <c r="O343" s="909">
        <f t="shared" ca="1" si="231"/>
        <v>0</v>
      </c>
      <c r="P343" s="909">
        <f t="shared" ca="1" si="232"/>
        <v>12</v>
      </c>
      <c r="Q343" s="910">
        <f t="shared" ca="1" si="233"/>
        <v>1569489.7399999981</v>
      </c>
      <c r="R343" s="909">
        <f t="shared" ca="1" si="234"/>
        <v>95768.020059652234</v>
      </c>
      <c r="S343" s="909">
        <f t="shared" ca="1" si="235"/>
        <v>20167.860672600535</v>
      </c>
      <c r="T343" s="909">
        <f t="shared" ca="1" si="236"/>
        <v>75600.159387051695</v>
      </c>
      <c r="U343" s="909">
        <f t="shared" ca="1" si="237"/>
        <v>596661.86303296615</v>
      </c>
      <c r="V343" s="909">
        <f t="shared" ca="1" si="238"/>
        <v>8640</v>
      </c>
      <c r="W343" s="909">
        <f t="shared" ca="1" si="239"/>
        <v>7280.284584</v>
      </c>
      <c r="X343" s="909">
        <f t="shared" ca="1" si="240"/>
        <v>120323.87464365222</v>
      </c>
      <c r="Y343" s="909">
        <f t="shared" ca="1" si="241"/>
        <v>-42788.970643652225</v>
      </c>
      <c r="Z343" s="910">
        <f t="shared" ca="1" si="242"/>
        <v>-770201.47158574034</v>
      </c>
      <c r="AA343" s="909">
        <f t="shared" ca="1" si="243"/>
        <v>-42788.970643652225</v>
      </c>
      <c r="AB343" s="910">
        <f t="shared" ca="1" si="244"/>
        <v>-770201.47158574034</v>
      </c>
      <c r="AC343" s="911">
        <f t="shared" ca="1" si="245"/>
        <v>0</v>
      </c>
      <c r="AD343" s="911">
        <f t="shared" ca="1" si="246"/>
        <v>0</v>
      </c>
      <c r="AE343" s="909">
        <f t="shared" ca="1" si="247"/>
        <v>0</v>
      </c>
      <c r="AF343" s="912">
        <f t="shared" ca="1" si="214"/>
        <v>0</v>
      </c>
      <c r="AG343" s="909">
        <f t="shared" si="248"/>
        <v>77534.903999999995</v>
      </c>
      <c r="AH343" s="917">
        <f t="shared" ca="1" si="249"/>
        <v>77534.903999999995</v>
      </c>
      <c r="AI343" s="909">
        <f t="shared" ca="1" si="250"/>
        <v>-77534.903999999995</v>
      </c>
      <c r="AJ343" s="916">
        <f t="shared" ca="1" si="251"/>
        <v>0</v>
      </c>
      <c r="AK343" s="916">
        <f t="shared" ca="1" si="252"/>
        <v>-77534.903999999995</v>
      </c>
      <c r="AL343" s="909">
        <f t="shared" ca="1" si="253"/>
        <v>0</v>
      </c>
      <c r="AM343" s="918">
        <f t="shared" ca="1" si="254"/>
        <v>77534.903999999995</v>
      </c>
      <c r="AN343" s="915">
        <f t="shared" si="215"/>
        <v>18</v>
      </c>
      <c r="AO343" s="653">
        <f t="shared" si="255"/>
        <v>77534.903999999995</v>
      </c>
      <c r="AP343" s="916">
        <f t="shared" ca="1" si="256"/>
        <v>8635.5699999999961</v>
      </c>
      <c r="AQ343" s="916">
        <f t="shared" ca="1" si="257"/>
        <v>-42788.970643652225</v>
      </c>
      <c r="AR343" s="653"/>
      <c r="AS343" s="653">
        <v>18</v>
      </c>
      <c r="AT343" s="909">
        <f t="shared" ca="1" si="216"/>
        <v>-5065.4385164015448</v>
      </c>
      <c r="AU343" s="909">
        <f t="shared" ca="1" si="217"/>
        <v>-56253.618565127712</v>
      </c>
      <c r="AV343" s="909">
        <f t="shared" ca="1" si="218"/>
        <v>-9351.4893163582346</v>
      </c>
      <c r="AW343" s="909">
        <f t="shared" ca="1" si="219"/>
        <v>25134.01062153274</v>
      </c>
      <c r="AX343" s="909">
        <f t="shared" ca="1" si="220"/>
        <v>0</v>
      </c>
      <c r="AY343" s="909">
        <f t="shared" si="221"/>
        <v>45543.584511646142</v>
      </c>
      <c r="AZ343" s="909">
        <f t="shared" ca="1" si="222"/>
        <v>-45536.535776354751</v>
      </c>
      <c r="BA343" s="653"/>
      <c r="BB343" s="653">
        <f t="shared" si="258"/>
        <v>18</v>
      </c>
      <c r="BC343" s="909">
        <f t="shared" ca="1" si="259"/>
        <v>-118604.38278661507</v>
      </c>
      <c r="BD343" s="909">
        <f t="shared" ca="1" si="260"/>
        <v>-1317146.7164841511</v>
      </c>
      <c r="BE343" s="909">
        <f t="shared" ca="1" si="261"/>
        <v>-218959.84225472561</v>
      </c>
      <c r="BF343" s="909">
        <f t="shared" ca="1" si="262"/>
        <v>588498.66740398295</v>
      </c>
      <c r="BG343" s="909">
        <f t="shared" ca="1" si="263"/>
        <v>0</v>
      </c>
      <c r="BH343" s="909">
        <f t="shared" si="264"/>
        <v>1066378.3162784623</v>
      </c>
      <c r="BI343" s="909">
        <f t="shared" ca="1" si="265"/>
        <v>-1066212.2741215087</v>
      </c>
      <c r="BJ343" s="909"/>
      <c r="BK343" s="653">
        <v>18</v>
      </c>
      <c r="BL343" s="909">
        <f t="shared" ca="1" si="223"/>
        <v>-8623.5699999999961</v>
      </c>
      <c r="BM343" s="909">
        <f t="shared" ca="1" si="224"/>
        <v>-95768.020059652234</v>
      </c>
      <c r="BN343" s="909">
        <f t="shared" ca="1" si="225"/>
        <v>-15920.284584000001</v>
      </c>
      <c r="BO343" s="909">
        <f t="shared" ca="1" si="226"/>
        <v>42788.970643652225</v>
      </c>
      <c r="BP343" s="909">
        <f t="shared" ca="1" si="227"/>
        <v>0</v>
      </c>
      <c r="BQ343" s="909">
        <f t="shared" si="228"/>
        <v>77534.903999999995</v>
      </c>
      <c r="BR343" s="909">
        <f t="shared" ca="1" si="229"/>
        <v>-77522.90400000001</v>
      </c>
      <c r="BS343" s="653"/>
      <c r="BT343" s="653"/>
      <c r="BU343" s="653"/>
      <c r="BV343" s="654"/>
    </row>
    <row r="344" spans="2:74" x14ac:dyDescent="0.25">
      <c r="B344" s="651"/>
      <c r="C344" s="653"/>
      <c r="D344" s="653"/>
      <c r="E344" s="653"/>
      <c r="F344" s="653"/>
      <c r="G344" s="653"/>
      <c r="H344" s="653"/>
      <c r="I344" s="653"/>
      <c r="J344" s="653"/>
      <c r="K344" s="653"/>
      <c r="L344" s="653"/>
      <c r="M344" s="651">
        <v>19</v>
      </c>
      <c r="N344" s="909">
        <f t="shared" ca="1" si="230"/>
        <v>8623.5699999999961</v>
      </c>
      <c r="O344" s="909">
        <f t="shared" ca="1" si="231"/>
        <v>0</v>
      </c>
      <c r="P344" s="909">
        <f t="shared" ca="1" si="232"/>
        <v>12</v>
      </c>
      <c r="Q344" s="910">
        <f t="shared" ca="1" si="233"/>
        <v>1560866.1699999981</v>
      </c>
      <c r="R344" s="909">
        <f t="shared" ca="1" si="234"/>
        <v>95768.020059652234</v>
      </c>
      <c r="S344" s="909">
        <f t="shared" ca="1" si="235"/>
        <v>17899.855890988983</v>
      </c>
      <c r="T344" s="909">
        <f t="shared" ca="1" si="236"/>
        <v>77868.16416866325</v>
      </c>
      <c r="U344" s="909">
        <f t="shared" ca="1" si="237"/>
        <v>518793.69886430289</v>
      </c>
      <c r="V344" s="909">
        <f t="shared" ca="1" si="238"/>
        <v>8640</v>
      </c>
      <c r="W344" s="909">
        <f t="shared" ca="1" si="239"/>
        <v>7280.284584</v>
      </c>
      <c r="X344" s="909">
        <f t="shared" ca="1" si="240"/>
        <v>120323.87464365222</v>
      </c>
      <c r="Y344" s="909">
        <f t="shared" ca="1" si="241"/>
        <v>-42788.970643652225</v>
      </c>
      <c r="Z344" s="910">
        <f t="shared" ca="1" si="242"/>
        <v>-812990.44222939259</v>
      </c>
      <c r="AA344" s="909">
        <f t="shared" ca="1" si="243"/>
        <v>-42788.970643652225</v>
      </c>
      <c r="AB344" s="910">
        <f t="shared" ca="1" si="244"/>
        <v>-812990.44222939259</v>
      </c>
      <c r="AC344" s="911">
        <f t="shared" ca="1" si="245"/>
        <v>0</v>
      </c>
      <c r="AD344" s="911">
        <f t="shared" ca="1" si="246"/>
        <v>0</v>
      </c>
      <c r="AE344" s="909">
        <f t="shared" ca="1" si="247"/>
        <v>0</v>
      </c>
      <c r="AF344" s="912">
        <f t="shared" ca="1" si="214"/>
        <v>0</v>
      </c>
      <c r="AG344" s="909">
        <f t="shared" si="248"/>
        <v>77534.903999999995</v>
      </c>
      <c r="AH344" s="917">
        <f t="shared" ca="1" si="249"/>
        <v>77534.903999999995</v>
      </c>
      <c r="AI344" s="909">
        <f t="shared" ca="1" si="250"/>
        <v>-77534.903999999995</v>
      </c>
      <c r="AJ344" s="916">
        <f t="shared" ca="1" si="251"/>
        <v>0</v>
      </c>
      <c r="AK344" s="916">
        <f t="shared" ca="1" si="252"/>
        <v>-77534.903999999995</v>
      </c>
      <c r="AL344" s="909">
        <f t="shared" ca="1" si="253"/>
        <v>0</v>
      </c>
      <c r="AM344" s="918">
        <f t="shared" ca="1" si="254"/>
        <v>77534.903999999995</v>
      </c>
      <c r="AN344" s="915">
        <f t="shared" si="215"/>
        <v>19</v>
      </c>
      <c r="AO344" s="653">
        <f t="shared" si="255"/>
        <v>77534.903999999995</v>
      </c>
      <c r="AP344" s="916">
        <f t="shared" ca="1" si="256"/>
        <v>8635.5699999999961</v>
      </c>
      <c r="AQ344" s="916">
        <f t="shared" ca="1" si="257"/>
        <v>-42788.970643652225</v>
      </c>
      <c r="AR344" s="653"/>
      <c r="AS344" s="653">
        <v>19</v>
      </c>
      <c r="AT344" s="909">
        <f t="shared" ca="1" si="216"/>
        <v>-4917.90147223451</v>
      </c>
      <c r="AU344" s="909">
        <f t="shared" ca="1" si="217"/>
        <v>-54615.163655463803</v>
      </c>
      <c r="AV344" s="909">
        <f t="shared" ca="1" si="218"/>
        <v>-9079.1158411244996</v>
      </c>
      <c r="AW344" s="909">
        <f t="shared" ca="1" si="219"/>
        <v>24401.952059740524</v>
      </c>
      <c r="AX344" s="909">
        <f t="shared" ca="1" si="220"/>
        <v>0</v>
      </c>
      <c r="AY344" s="909">
        <f t="shared" si="221"/>
        <v>44217.072341404026</v>
      </c>
      <c r="AZ344" s="909">
        <f t="shared" ca="1" si="222"/>
        <v>-44210.228909082289</v>
      </c>
      <c r="BA344" s="653"/>
      <c r="BB344" s="653">
        <f t="shared" si="258"/>
        <v>19</v>
      </c>
      <c r="BC344" s="909">
        <f t="shared" ca="1" si="259"/>
        <v>-123522.28425884958</v>
      </c>
      <c r="BD344" s="909">
        <f t="shared" ca="1" si="260"/>
        <v>-1371761.8801396149</v>
      </c>
      <c r="BE344" s="909">
        <f t="shared" ca="1" si="261"/>
        <v>-228038.9580958501</v>
      </c>
      <c r="BF344" s="909">
        <f t="shared" ca="1" si="262"/>
        <v>612900.6194637235</v>
      </c>
      <c r="BG344" s="909">
        <f t="shared" ca="1" si="263"/>
        <v>0</v>
      </c>
      <c r="BH344" s="909">
        <f t="shared" si="264"/>
        <v>1110595.3886198662</v>
      </c>
      <c r="BI344" s="909">
        <f t="shared" ca="1" si="265"/>
        <v>-1110422.5030305909</v>
      </c>
      <c r="BJ344" s="909"/>
      <c r="BK344" s="653">
        <v>19</v>
      </c>
      <c r="BL344" s="909">
        <f t="shared" ca="1" si="223"/>
        <v>-8623.5699999999961</v>
      </c>
      <c r="BM344" s="909">
        <f t="shared" ca="1" si="224"/>
        <v>-95768.020059652234</v>
      </c>
      <c r="BN344" s="909">
        <f t="shared" ca="1" si="225"/>
        <v>-15920.284584000001</v>
      </c>
      <c r="BO344" s="909">
        <f t="shared" ca="1" si="226"/>
        <v>42788.970643652225</v>
      </c>
      <c r="BP344" s="909">
        <f t="shared" ca="1" si="227"/>
        <v>0</v>
      </c>
      <c r="BQ344" s="909">
        <f t="shared" si="228"/>
        <v>77534.903999999995</v>
      </c>
      <c r="BR344" s="909">
        <f t="shared" ca="1" si="229"/>
        <v>-77522.90400000001</v>
      </c>
      <c r="BS344" s="653"/>
      <c r="BT344" s="653"/>
      <c r="BU344" s="653"/>
      <c r="BV344" s="654"/>
    </row>
    <row r="345" spans="2:74" x14ac:dyDescent="0.25">
      <c r="B345" s="651"/>
      <c r="C345" s="653"/>
      <c r="D345" s="653"/>
      <c r="E345" s="653"/>
      <c r="F345" s="653"/>
      <c r="G345" s="653"/>
      <c r="H345" s="653"/>
      <c r="I345" s="653"/>
      <c r="J345" s="653"/>
      <c r="K345" s="653"/>
      <c r="L345" s="653"/>
      <c r="M345" s="651">
        <v>20</v>
      </c>
      <c r="N345" s="909">
        <f t="shared" ca="1" si="230"/>
        <v>8623.5699999999961</v>
      </c>
      <c r="O345" s="909">
        <f t="shared" ca="1" si="231"/>
        <v>0</v>
      </c>
      <c r="P345" s="909">
        <f t="shared" ca="1" si="232"/>
        <v>12</v>
      </c>
      <c r="Q345" s="910">
        <f t="shared" ca="1" si="233"/>
        <v>1552242.599999998</v>
      </c>
      <c r="R345" s="909">
        <f t="shared" ca="1" si="234"/>
        <v>95768.020059652234</v>
      </c>
      <c r="S345" s="909">
        <f t="shared" ca="1" si="235"/>
        <v>15563.810965929086</v>
      </c>
      <c r="T345" s="909">
        <f t="shared" ca="1" si="236"/>
        <v>80204.209093723155</v>
      </c>
      <c r="U345" s="909">
        <f t="shared" ca="1" si="237"/>
        <v>438589.48977057973</v>
      </c>
      <c r="V345" s="909">
        <f t="shared" ca="1" si="238"/>
        <v>8640</v>
      </c>
      <c r="W345" s="909">
        <f t="shared" ca="1" si="239"/>
        <v>7280.284584</v>
      </c>
      <c r="X345" s="909">
        <f t="shared" ca="1" si="240"/>
        <v>120323.87464365222</v>
      </c>
      <c r="Y345" s="909">
        <f t="shared" ca="1" si="241"/>
        <v>-42788.970643652225</v>
      </c>
      <c r="Z345" s="910">
        <f t="shared" ca="1" si="242"/>
        <v>-855779.41287304484</v>
      </c>
      <c r="AA345" s="909">
        <f t="shared" ca="1" si="243"/>
        <v>-42788.970643652225</v>
      </c>
      <c r="AB345" s="910">
        <f t="shared" ca="1" si="244"/>
        <v>-855779.41287304484</v>
      </c>
      <c r="AC345" s="911">
        <f t="shared" ca="1" si="245"/>
        <v>0</v>
      </c>
      <c r="AD345" s="911">
        <f t="shared" ca="1" si="246"/>
        <v>0</v>
      </c>
      <c r="AE345" s="909">
        <f t="shared" ca="1" si="247"/>
        <v>0</v>
      </c>
      <c r="AF345" s="912">
        <f t="shared" ca="1" si="214"/>
        <v>0</v>
      </c>
      <c r="AG345" s="909">
        <f t="shared" si="248"/>
        <v>77534.903999999995</v>
      </c>
      <c r="AH345" s="917">
        <f t="shared" ca="1" si="249"/>
        <v>77534.903999999995</v>
      </c>
      <c r="AI345" s="909">
        <f t="shared" ca="1" si="250"/>
        <v>-77534.903999999995</v>
      </c>
      <c r="AJ345" s="916">
        <f t="shared" ca="1" si="251"/>
        <v>0</v>
      </c>
      <c r="AK345" s="916">
        <f t="shared" ca="1" si="252"/>
        <v>-77534.903999999995</v>
      </c>
      <c r="AL345" s="909">
        <f t="shared" ca="1" si="253"/>
        <v>0</v>
      </c>
      <c r="AM345" s="918">
        <f t="shared" ca="1" si="254"/>
        <v>77534.903999999995</v>
      </c>
      <c r="AN345" s="915">
        <f t="shared" si="215"/>
        <v>20</v>
      </c>
      <c r="AO345" s="653">
        <f t="shared" si="255"/>
        <v>77534.903999999995</v>
      </c>
      <c r="AP345" s="916">
        <f t="shared" ca="1" si="256"/>
        <v>8635.5699999999961</v>
      </c>
      <c r="AQ345" s="916">
        <f t="shared" ca="1" si="257"/>
        <v>-42788.970643652225</v>
      </c>
      <c r="AR345" s="653"/>
      <c r="AS345" s="653">
        <v>20</v>
      </c>
      <c r="AT345" s="909">
        <f t="shared" ca="1" si="216"/>
        <v>-4774.6616235286501</v>
      </c>
      <c r="AU345" s="909">
        <f t="shared" ca="1" si="217"/>
        <v>-53024.430733460009</v>
      </c>
      <c r="AV345" s="909">
        <f t="shared" ca="1" si="218"/>
        <v>-8814.6755739072833</v>
      </c>
      <c r="AW345" s="909">
        <f t="shared" ca="1" si="219"/>
        <v>23691.215591981094</v>
      </c>
      <c r="AX345" s="909">
        <f t="shared" ca="1" si="220"/>
        <v>0</v>
      </c>
      <c r="AY345" s="909">
        <f t="shared" si="221"/>
        <v>42929.196447965078</v>
      </c>
      <c r="AZ345" s="909">
        <f t="shared" ca="1" si="222"/>
        <v>-42922.552338914844</v>
      </c>
      <c r="BA345" s="653"/>
      <c r="BB345" s="653">
        <f t="shared" si="258"/>
        <v>20</v>
      </c>
      <c r="BC345" s="909">
        <f t="shared" ca="1" si="259"/>
        <v>-128296.94588237823</v>
      </c>
      <c r="BD345" s="909">
        <f t="shared" ca="1" si="260"/>
        <v>-1424786.3108730749</v>
      </c>
      <c r="BE345" s="909">
        <f t="shared" ca="1" si="261"/>
        <v>-236853.6336697574</v>
      </c>
      <c r="BF345" s="909">
        <f t="shared" ca="1" si="262"/>
        <v>636591.83505570458</v>
      </c>
      <c r="BG345" s="909">
        <f t="shared" ca="1" si="263"/>
        <v>0</v>
      </c>
      <c r="BH345" s="909">
        <f t="shared" si="264"/>
        <v>1153524.5850678312</v>
      </c>
      <c r="BI345" s="909">
        <f t="shared" ca="1" si="265"/>
        <v>-1153345.0553695059</v>
      </c>
      <c r="BJ345" s="909"/>
      <c r="BK345" s="653">
        <v>20</v>
      </c>
      <c r="BL345" s="909">
        <f t="shared" ca="1" si="223"/>
        <v>-8623.5699999999961</v>
      </c>
      <c r="BM345" s="909">
        <f t="shared" ca="1" si="224"/>
        <v>-95768.020059652234</v>
      </c>
      <c r="BN345" s="909">
        <f t="shared" ca="1" si="225"/>
        <v>-15920.284584000001</v>
      </c>
      <c r="BO345" s="909">
        <f t="shared" ca="1" si="226"/>
        <v>42788.970643652225</v>
      </c>
      <c r="BP345" s="909">
        <f t="shared" ca="1" si="227"/>
        <v>0</v>
      </c>
      <c r="BQ345" s="909">
        <f t="shared" si="228"/>
        <v>77534.903999999995</v>
      </c>
      <c r="BR345" s="909">
        <f t="shared" ca="1" si="229"/>
        <v>-77522.90400000001</v>
      </c>
      <c r="BS345" s="653"/>
      <c r="BT345" s="653"/>
      <c r="BU345" s="653"/>
      <c r="BV345" s="654"/>
    </row>
    <row r="346" spans="2:74" x14ac:dyDescent="0.25">
      <c r="B346" s="651"/>
      <c r="C346" s="653"/>
      <c r="D346" s="653"/>
      <c r="E346" s="653"/>
      <c r="F346" s="653"/>
      <c r="G346" s="653"/>
      <c r="H346" s="653"/>
      <c r="I346" s="653"/>
      <c r="J346" s="653"/>
      <c r="K346" s="653"/>
      <c r="L346" s="653"/>
      <c r="M346" s="651">
        <v>21</v>
      </c>
      <c r="N346" s="909">
        <f t="shared" ca="1" si="230"/>
        <v>8623.5699999999961</v>
      </c>
      <c r="O346" s="909">
        <f t="shared" ca="1" si="231"/>
        <v>0</v>
      </c>
      <c r="P346" s="909">
        <f t="shared" ca="1" si="232"/>
        <v>12</v>
      </c>
      <c r="Q346" s="910">
        <f t="shared" ca="1" si="233"/>
        <v>1543619.0299999979</v>
      </c>
      <c r="R346" s="909">
        <f t="shared" ca="1" si="234"/>
        <v>95768.020059652234</v>
      </c>
      <c r="S346" s="909">
        <f t="shared" ca="1" si="235"/>
        <v>13157.684693117391</v>
      </c>
      <c r="T346" s="909">
        <f t="shared" ca="1" si="236"/>
        <v>82610.33536653484</v>
      </c>
      <c r="U346" s="909">
        <f t="shared" ca="1" si="237"/>
        <v>355979.15440404491</v>
      </c>
      <c r="V346" s="909">
        <f t="shared" ca="1" si="238"/>
        <v>8640</v>
      </c>
      <c r="W346" s="909">
        <f t="shared" ca="1" si="239"/>
        <v>7280.284584</v>
      </c>
      <c r="X346" s="909">
        <f t="shared" ca="1" si="240"/>
        <v>120323.87464365222</v>
      </c>
      <c r="Y346" s="909">
        <f t="shared" ca="1" si="241"/>
        <v>-42788.970643652225</v>
      </c>
      <c r="Z346" s="910">
        <f t="shared" ca="1" si="242"/>
        <v>-898568.3835166971</v>
      </c>
      <c r="AA346" s="909">
        <f t="shared" ca="1" si="243"/>
        <v>-42788.970643652225</v>
      </c>
      <c r="AB346" s="910">
        <f t="shared" ca="1" si="244"/>
        <v>-898568.3835166971</v>
      </c>
      <c r="AC346" s="911">
        <f t="shared" ca="1" si="245"/>
        <v>0</v>
      </c>
      <c r="AD346" s="911">
        <f t="shared" ca="1" si="246"/>
        <v>0</v>
      </c>
      <c r="AE346" s="909">
        <f t="shared" ca="1" si="247"/>
        <v>0</v>
      </c>
      <c r="AF346" s="912">
        <f t="shared" ca="1" si="214"/>
        <v>0</v>
      </c>
      <c r="AG346" s="909">
        <f t="shared" si="248"/>
        <v>77534.903999999995</v>
      </c>
      <c r="AH346" s="917">
        <f t="shared" ca="1" si="249"/>
        <v>77534.903999999995</v>
      </c>
      <c r="AI346" s="909">
        <f t="shared" ca="1" si="250"/>
        <v>-77534.903999999995</v>
      </c>
      <c r="AJ346" s="916">
        <f t="shared" ca="1" si="251"/>
        <v>0</v>
      </c>
      <c r="AK346" s="916">
        <f t="shared" ca="1" si="252"/>
        <v>-77534.903999999995</v>
      </c>
      <c r="AL346" s="909">
        <f t="shared" ca="1" si="253"/>
        <v>0</v>
      </c>
      <c r="AM346" s="918">
        <f t="shared" ca="1" si="254"/>
        <v>77534.903999999995</v>
      </c>
      <c r="AN346" s="915">
        <f t="shared" si="215"/>
        <v>21</v>
      </c>
      <c r="AO346" s="653">
        <f t="shared" si="255"/>
        <v>77534.903999999995</v>
      </c>
      <c r="AP346" s="916">
        <f t="shared" ca="1" si="256"/>
        <v>8635.5699999999961</v>
      </c>
      <c r="AQ346" s="916">
        <f t="shared" ca="1" si="257"/>
        <v>-42788.970643652225</v>
      </c>
      <c r="AR346" s="653"/>
      <c r="AS346" s="653">
        <v>21</v>
      </c>
      <c r="AT346" s="909">
        <f t="shared" ca="1" si="216"/>
        <v>-4635.5938092511169</v>
      </c>
      <c r="AU346" s="909">
        <f t="shared" ca="1" si="217"/>
        <v>-51480.029838310686</v>
      </c>
      <c r="AV346" s="909">
        <f t="shared" ca="1" si="218"/>
        <v>-8557.9374503954205</v>
      </c>
      <c r="AW346" s="909">
        <f t="shared" ca="1" si="219"/>
        <v>23001.180186389411</v>
      </c>
      <c r="AX346" s="909">
        <f t="shared" ca="1" si="220"/>
        <v>0</v>
      </c>
      <c r="AY346" s="909">
        <f t="shared" si="221"/>
        <v>41678.831502878718</v>
      </c>
      <c r="AZ346" s="909">
        <f t="shared" ca="1" si="222"/>
        <v>-41672.380911567816</v>
      </c>
      <c r="BA346" s="653"/>
      <c r="BB346" s="653">
        <f t="shared" si="258"/>
        <v>21</v>
      </c>
      <c r="BC346" s="909">
        <f t="shared" ca="1" si="259"/>
        <v>-132932.53969162935</v>
      </c>
      <c r="BD346" s="909">
        <f t="shared" ca="1" si="260"/>
        <v>-1476266.3407113857</v>
      </c>
      <c r="BE346" s="909">
        <f t="shared" ca="1" si="261"/>
        <v>-245411.57112015283</v>
      </c>
      <c r="BF346" s="909">
        <f t="shared" ca="1" si="262"/>
        <v>659593.01524209394</v>
      </c>
      <c r="BG346" s="909">
        <f t="shared" ca="1" si="263"/>
        <v>0</v>
      </c>
      <c r="BH346" s="909">
        <f t="shared" si="264"/>
        <v>1195203.41657071</v>
      </c>
      <c r="BI346" s="909">
        <f t="shared" ca="1" si="265"/>
        <v>-1195017.4362810736</v>
      </c>
      <c r="BJ346" s="909"/>
      <c r="BK346" s="653">
        <v>21</v>
      </c>
      <c r="BL346" s="909">
        <f t="shared" ca="1" si="223"/>
        <v>-8623.5699999999961</v>
      </c>
      <c r="BM346" s="909">
        <f t="shared" ca="1" si="224"/>
        <v>-95768.020059652234</v>
      </c>
      <c r="BN346" s="909">
        <f t="shared" ca="1" si="225"/>
        <v>-15920.284584000001</v>
      </c>
      <c r="BO346" s="909">
        <f t="shared" ca="1" si="226"/>
        <v>42788.970643652225</v>
      </c>
      <c r="BP346" s="909">
        <f t="shared" ca="1" si="227"/>
        <v>0</v>
      </c>
      <c r="BQ346" s="909">
        <f t="shared" si="228"/>
        <v>77534.903999999995</v>
      </c>
      <c r="BR346" s="909">
        <f t="shared" ca="1" si="229"/>
        <v>-77522.90400000001</v>
      </c>
      <c r="BS346" s="653"/>
      <c r="BT346" s="653"/>
      <c r="BU346" s="653"/>
      <c r="BV346" s="654"/>
    </row>
    <row r="347" spans="2:74" x14ac:dyDescent="0.25">
      <c r="B347" s="651"/>
      <c r="C347" s="653"/>
      <c r="D347" s="653"/>
      <c r="E347" s="653"/>
      <c r="F347" s="653"/>
      <c r="G347" s="653"/>
      <c r="H347" s="653"/>
      <c r="I347" s="653"/>
      <c r="J347" s="653"/>
      <c r="K347" s="653"/>
      <c r="L347" s="653"/>
      <c r="M347" s="651">
        <v>22</v>
      </c>
      <c r="N347" s="909">
        <f t="shared" ca="1" si="230"/>
        <v>8623.5699999999961</v>
      </c>
      <c r="O347" s="909">
        <f t="shared" ca="1" si="231"/>
        <v>0</v>
      </c>
      <c r="P347" s="909">
        <f t="shared" ca="1" si="232"/>
        <v>12</v>
      </c>
      <c r="Q347" s="910">
        <f t="shared" ca="1" si="233"/>
        <v>1534995.4599999979</v>
      </c>
      <c r="R347" s="909">
        <f t="shared" ca="1" si="234"/>
        <v>95768.020059652234</v>
      </c>
      <c r="S347" s="909">
        <f t="shared" ca="1" si="235"/>
        <v>10679.374632121348</v>
      </c>
      <c r="T347" s="909">
        <f t="shared" ca="1" si="236"/>
        <v>85088.645427530893</v>
      </c>
      <c r="U347" s="909">
        <f t="shared" ca="1" si="237"/>
        <v>270890.50897651399</v>
      </c>
      <c r="V347" s="909">
        <f t="shared" ca="1" si="238"/>
        <v>8640</v>
      </c>
      <c r="W347" s="909">
        <f t="shared" ca="1" si="239"/>
        <v>7280.284584</v>
      </c>
      <c r="X347" s="909">
        <f t="shared" ca="1" si="240"/>
        <v>120323.87464365222</v>
      </c>
      <c r="Y347" s="909">
        <f t="shared" ca="1" si="241"/>
        <v>-42788.970643652225</v>
      </c>
      <c r="Z347" s="910">
        <f t="shared" ca="1" si="242"/>
        <v>-941357.35416034935</v>
      </c>
      <c r="AA347" s="909">
        <f t="shared" ca="1" si="243"/>
        <v>-42788.970643652225</v>
      </c>
      <c r="AB347" s="910">
        <f t="shared" ca="1" si="244"/>
        <v>-941357.35416034935</v>
      </c>
      <c r="AC347" s="911">
        <f t="shared" ca="1" si="245"/>
        <v>0</v>
      </c>
      <c r="AD347" s="911">
        <f t="shared" ca="1" si="246"/>
        <v>0</v>
      </c>
      <c r="AE347" s="909">
        <f t="shared" ca="1" si="247"/>
        <v>0</v>
      </c>
      <c r="AF347" s="912">
        <f t="shared" ca="1" si="214"/>
        <v>0</v>
      </c>
      <c r="AG347" s="909">
        <f t="shared" si="248"/>
        <v>77534.903999999995</v>
      </c>
      <c r="AH347" s="917">
        <f t="shared" ca="1" si="249"/>
        <v>77534.903999999995</v>
      </c>
      <c r="AI347" s="909">
        <f t="shared" ca="1" si="250"/>
        <v>-77534.903999999995</v>
      </c>
      <c r="AJ347" s="916">
        <f t="shared" ca="1" si="251"/>
        <v>0</v>
      </c>
      <c r="AK347" s="916">
        <f t="shared" ca="1" si="252"/>
        <v>-77534.903999999995</v>
      </c>
      <c r="AL347" s="909">
        <f t="shared" ca="1" si="253"/>
        <v>0</v>
      </c>
      <c r="AM347" s="918">
        <f t="shared" ca="1" si="254"/>
        <v>77534.903999999995</v>
      </c>
      <c r="AN347" s="915">
        <f t="shared" si="215"/>
        <v>22</v>
      </c>
      <c r="AO347" s="653">
        <f t="shared" si="255"/>
        <v>77534.903999999995</v>
      </c>
      <c r="AP347" s="916">
        <f t="shared" ca="1" si="256"/>
        <v>8635.5699999999961</v>
      </c>
      <c r="AQ347" s="916">
        <f t="shared" ca="1" si="257"/>
        <v>-42788.970643652225</v>
      </c>
      <c r="AR347" s="653"/>
      <c r="AS347" s="653">
        <v>22</v>
      </c>
      <c r="AT347" s="909">
        <f t="shared" ca="1" si="216"/>
        <v>-4500.5765138360357</v>
      </c>
      <c r="AU347" s="909">
        <f t="shared" ca="1" si="217"/>
        <v>-49980.611493505523</v>
      </c>
      <c r="AV347" s="909">
        <f t="shared" ca="1" si="218"/>
        <v>-8308.6771363062326</v>
      </c>
      <c r="AW347" s="909">
        <f t="shared" ca="1" si="219"/>
        <v>22331.242899407196</v>
      </c>
      <c r="AX347" s="909">
        <f t="shared" ca="1" si="220"/>
        <v>0</v>
      </c>
      <c r="AY347" s="909">
        <f t="shared" si="221"/>
        <v>40464.884954251182</v>
      </c>
      <c r="AZ347" s="909">
        <f t="shared" ca="1" si="222"/>
        <v>-40458.6222442406</v>
      </c>
      <c r="BA347" s="653"/>
      <c r="BB347" s="653">
        <f t="shared" si="258"/>
        <v>22</v>
      </c>
      <c r="BC347" s="909">
        <f t="shared" ca="1" si="259"/>
        <v>-137433.1162054654</v>
      </c>
      <c r="BD347" s="909">
        <f t="shared" ca="1" si="260"/>
        <v>-1526246.9522048912</v>
      </c>
      <c r="BE347" s="909">
        <f t="shared" ca="1" si="261"/>
        <v>-253720.24825645908</v>
      </c>
      <c r="BF347" s="909">
        <f t="shared" ca="1" si="262"/>
        <v>681924.25814150111</v>
      </c>
      <c r="BG347" s="909">
        <f t="shared" ca="1" si="263"/>
        <v>0</v>
      </c>
      <c r="BH347" s="909">
        <f t="shared" si="264"/>
        <v>1235668.3015249611</v>
      </c>
      <c r="BI347" s="909">
        <f t="shared" ca="1" si="265"/>
        <v>-1235476.0585253141</v>
      </c>
      <c r="BJ347" s="909"/>
      <c r="BK347" s="653">
        <v>22</v>
      </c>
      <c r="BL347" s="909">
        <f t="shared" ca="1" si="223"/>
        <v>-8623.5699999999961</v>
      </c>
      <c r="BM347" s="909">
        <f t="shared" ca="1" si="224"/>
        <v>-95768.020059652234</v>
      </c>
      <c r="BN347" s="909">
        <f t="shared" ca="1" si="225"/>
        <v>-15920.284584000001</v>
      </c>
      <c r="BO347" s="909">
        <f t="shared" ca="1" si="226"/>
        <v>42788.970643652225</v>
      </c>
      <c r="BP347" s="909">
        <f t="shared" ca="1" si="227"/>
        <v>0</v>
      </c>
      <c r="BQ347" s="909">
        <f t="shared" si="228"/>
        <v>77534.903999999995</v>
      </c>
      <c r="BR347" s="909">
        <f t="shared" ca="1" si="229"/>
        <v>-77522.90400000001</v>
      </c>
      <c r="BS347" s="653"/>
      <c r="BT347" s="653"/>
      <c r="BU347" s="653"/>
      <c r="BV347" s="654"/>
    </row>
    <row r="348" spans="2:74" x14ac:dyDescent="0.25">
      <c r="B348" s="651"/>
      <c r="C348" s="653"/>
      <c r="D348" s="653"/>
      <c r="E348" s="653"/>
      <c r="F348" s="653"/>
      <c r="G348" s="653"/>
      <c r="H348" s="653"/>
      <c r="I348" s="653"/>
      <c r="J348" s="653"/>
      <c r="K348" s="653"/>
      <c r="L348" s="653"/>
      <c r="M348" s="651">
        <v>23</v>
      </c>
      <c r="N348" s="909">
        <f t="shared" ca="1" si="230"/>
        <v>8623.5699999999961</v>
      </c>
      <c r="O348" s="909">
        <f t="shared" ca="1" si="231"/>
        <v>0</v>
      </c>
      <c r="P348" s="909">
        <f t="shared" ca="1" si="232"/>
        <v>12</v>
      </c>
      <c r="Q348" s="910">
        <f t="shared" ca="1" si="233"/>
        <v>1526371.8899999978</v>
      </c>
      <c r="R348" s="909">
        <f t="shared" ca="1" si="234"/>
        <v>95768.020059652234</v>
      </c>
      <c r="S348" s="909">
        <f t="shared" ca="1" si="235"/>
        <v>8126.7152692954196</v>
      </c>
      <c r="T348" s="909">
        <f t="shared" ca="1" si="236"/>
        <v>87641.304790356808</v>
      </c>
      <c r="U348" s="909">
        <f t="shared" ca="1" si="237"/>
        <v>183249.20418615718</v>
      </c>
      <c r="V348" s="909">
        <f t="shared" ca="1" si="238"/>
        <v>8640</v>
      </c>
      <c r="W348" s="909">
        <f t="shared" ca="1" si="239"/>
        <v>7280.284584</v>
      </c>
      <c r="X348" s="909">
        <f t="shared" ca="1" si="240"/>
        <v>120323.87464365222</v>
      </c>
      <c r="Y348" s="909">
        <f t="shared" ca="1" si="241"/>
        <v>-42788.970643652225</v>
      </c>
      <c r="Z348" s="910">
        <f t="shared" ca="1" si="242"/>
        <v>-984146.3248040016</v>
      </c>
      <c r="AA348" s="909">
        <f t="shared" ca="1" si="243"/>
        <v>-42788.970643652225</v>
      </c>
      <c r="AB348" s="910">
        <f t="shared" ca="1" si="244"/>
        <v>-984146.3248040016</v>
      </c>
      <c r="AC348" s="911">
        <f t="shared" ca="1" si="245"/>
        <v>0</v>
      </c>
      <c r="AD348" s="911">
        <f t="shared" ca="1" si="246"/>
        <v>0</v>
      </c>
      <c r="AE348" s="909">
        <f t="shared" ca="1" si="247"/>
        <v>0</v>
      </c>
      <c r="AF348" s="912">
        <f t="shared" ca="1" si="214"/>
        <v>0</v>
      </c>
      <c r="AG348" s="909">
        <f t="shared" si="248"/>
        <v>77534.903999999995</v>
      </c>
      <c r="AH348" s="917">
        <f t="shared" ca="1" si="249"/>
        <v>77534.903999999995</v>
      </c>
      <c r="AI348" s="909">
        <f t="shared" ca="1" si="250"/>
        <v>-77534.903999999995</v>
      </c>
      <c r="AJ348" s="916">
        <f t="shared" ca="1" si="251"/>
        <v>0</v>
      </c>
      <c r="AK348" s="916">
        <f t="shared" ca="1" si="252"/>
        <v>-77534.903999999995</v>
      </c>
      <c r="AL348" s="909">
        <f t="shared" ca="1" si="253"/>
        <v>0</v>
      </c>
      <c r="AM348" s="918">
        <f t="shared" ca="1" si="254"/>
        <v>77534.903999999995</v>
      </c>
      <c r="AN348" s="915">
        <f t="shared" si="215"/>
        <v>23</v>
      </c>
      <c r="AO348" s="653">
        <f t="shared" si="255"/>
        <v>77534.903999999995</v>
      </c>
      <c r="AP348" s="916">
        <f t="shared" ca="1" si="256"/>
        <v>8635.5699999999961</v>
      </c>
      <c r="AQ348" s="916">
        <f t="shared" ca="1" si="257"/>
        <v>-42788.970643652225</v>
      </c>
      <c r="AR348" s="653"/>
      <c r="AS348" s="653">
        <v>23</v>
      </c>
      <c r="AT348" s="909">
        <f t="shared" ca="1" si="216"/>
        <v>-4369.4917610058601</v>
      </c>
      <c r="AU348" s="909">
        <f t="shared" ca="1" si="217"/>
        <v>-48524.865527675262</v>
      </c>
      <c r="AV348" s="909">
        <f t="shared" ca="1" si="218"/>
        <v>-8066.6768313652747</v>
      </c>
      <c r="AW348" s="909">
        <f t="shared" ca="1" si="219"/>
        <v>21680.818348939025</v>
      </c>
      <c r="AX348" s="909">
        <f t="shared" ca="1" si="220"/>
        <v>0</v>
      </c>
      <c r="AY348" s="909">
        <f t="shared" si="221"/>
        <v>39286.296072088524</v>
      </c>
      <c r="AZ348" s="909">
        <f t="shared" ca="1" si="222"/>
        <v>-39280.215771107367</v>
      </c>
      <c r="BA348" s="653"/>
      <c r="BB348" s="653">
        <f t="shared" si="258"/>
        <v>23</v>
      </c>
      <c r="BC348" s="909">
        <f t="shared" ca="1" si="259"/>
        <v>-141802.60796647126</v>
      </c>
      <c r="BD348" s="909">
        <f t="shared" ca="1" si="260"/>
        <v>-1574771.8177325665</v>
      </c>
      <c r="BE348" s="909">
        <f t="shared" ca="1" si="261"/>
        <v>-261786.92508782435</v>
      </c>
      <c r="BF348" s="909">
        <f t="shared" ca="1" si="262"/>
        <v>703605.07649044017</v>
      </c>
      <c r="BG348" s="909">
        <f t="shared" ca="1" si="263"/>
        <v>0</v>
      </c>
      <c r="BH348" s="909">
        <f t="shared" si="264"/>
        <v>1274954.5975970495</v>
      </c>
      <c r="BI348" s="909">
        <f t="shared" ca="1" si="265"/>
        <v>-1274756.2742964216</v>
      </c>
      <c r="BJ348" s="909"/>
      <c r="BK348" s="653">
        <v>23</v>
      </c>
      <c r="BL348" s="909">
        <f t="shared" ca="1" si="223"/>
        <v>-8623.5699999999961</v>
      </c>
      <c r="BM348" s="909">
        <f t="shared" ca="1" si="224"/>
        <v>-95768.020059652234</v>
      </c>
      <c r="BN348" s="909">
        <f t="shared" ca="1" si="225"/>
        <v>-15920.284584000001</v>
      </c>
      <c r="BO348" s="909">
        <f t="shared" ca="1" si="226"/>
        <v>42788.970643652225</v>
      </c>
      <c r="BP348" s="909">
        <f t="shared" ca="1" si="227"/>
        <v>0</v>
      </c>
      <c r="BQ348" s="909">
        <f t="shared" si="228"/>
        <v>77534.903999999995</v>
      </c>
      <c r="BR348" s="909">
        <f t="shared" ca="1" si="229"/>
        <v>-77522.90400000001</v>
      </c>
      <c r="BS348" s="653"/>
      <c r="BT348" s="653"/>
      <c r="BU348" s="653"/>
      <c r="BV348" s="654"/>
    </row>
    <row r="349" spans="2:74" x14ac:dyDescent="0.25">
      <c r="B349" s="651"/>
      <c r="C349" s="653"/>
      <c r="D349" s="653"/>
      <c r="E349" s="653"/>
      <c r="F349" s="653"/>
      <c r="G349" s="653"/>
      <c r="H349" s="653"/>
      <c r="I349" s="653"/>
      <c r="J349" s="653"/>
      <c r="K349" s="653"/>
      <c r="L349" s="653"/>
      <c r="M349" s="651">
        <v>24</v>
      </c>
      <c r="N349" s="909">
        <f t="shared" ca="1" si="230"/>
        <v>8623.5699999999961</v>
      </c>
      <c r="O349" s="909">
        <f t="shared" ca="1" si="231"/>
        <v>0</v>
      </c>
      <c r="P349" s="909">
        <f t="shared" ca="1" si="232"/>
        <v>12</v>
      </c>
      <c r="Q349" s="910">
        <f t="shared" ca="1" si="233"/>
        <v>1517748.3199999977</v>
      </c>
      <c r="R349" s="909">
        <f t="shared" ca="1" si="234"/>
        <v>95768.020059652234</v>
      </c>
      <c r="S349" s="909">
        <f t="shared" ca="1" si="235"/>
        <v>5497.4761255847152</v>
      </c>
      <c r="T349" s="909">
        <f t="shared" ca="1" si="236"/>
        <v>90270.543934067522</v>
      </c>
      <c r="U349" s="909">
        <f t="shared" ca="1" si="237"/>
        <v>92978.660252089656</v>
      </c>
      <c r="V349" s="909">
        <f t="shared" ca="1" si="238"/>
        <v>8640</v>
      </c>
      <c r="W349" s="909">
        <f t="shared" ca="1" si="239"/>
        <v>7280.284584</v>
      </c>
      <c r="X349" s="909">
        <f t="shared" ca="1" si="240"/>
        <v>120323.87464365222</v>
      </c>
      <c r="Y349" s="909">
        <f t="shared" ca="1" si="241"/>
        <v>-42788.970643652225</v>
      </c>
      <c r="Z349" s="910">
        <f t="shared" ca="1" si="242"/>
        <v>-1026935.2954476539</v>
      </c>
      <c r="AA349" s="909">
        <f t="shared" ca="1" si="243"/>
        <v>-42788.970643652225</v>
      </c>
      <c r="AB349" s="910">
        <f t="shared" ca="1" si="244"/>
        <v>-1026935.2954476539</v>
      </c>
      <c r="AC349" s="911">
        <f t="shared" ca="1" si="245"/>
        <v>0</v>
      </c>
      <c r="AD349" s="911">
        <f t="shared" ca="1" si="246"/>
        <v>0</v>
      </c>
      <c r="AE349" s="909">
        <f t="shared" ca="1" si="247"/>
        <v>0</v>
      </c>
      <c r="AF349" s="912">
        <f t="shared" ca="1" si="214"/>
        <v>0</v>
      </c>
      <c r="AG349" s="909">
        <f t="shared" si="248"/>
        <v>77534.903999999995</v>
      </c>
      <c r="AH349" s="917">
        <f t="shared" ca="1" si="249"/>
        <v>77534.903999999995</v>
      </c>
      <c r="AI349" s="909">
        <f t="shared" ca="1" si="250"/>
        <v>-77534.903999999995</v>
      </c>
      <c r="AJ349" s="916">
        <f t="shared" ca="1" si="251"/>
        <v>0</v>
      </c>
      <c r="AK349" s="916">
        <f t="shared" ca="1" si="252"/>
        <v>-77534.903999999995</v>
      </c>
      <c r="AL349" s="909">
        <f t="shared" ca="1" si="253"/>
        <v>0</v>
      </c>
      <c r="AM349" s="918">
        <f t="shared" ca="1" si="254"/>
        <v>77534.903999999995</v>
      </c>
      <c r="AN349" s="915">
        <f t="shared" si="215"/>
        <v>24</v>
      </c>
      <c r="AO349" s="653">
        <f t="shared" si="255"/>
        <v>77534.903999999995</v>
      </c>
      <c r="AP349" s="916">
        <f t="shared" ca="1" si="256"/>
        <v>8635.5699999999961</v>
      </c>
      <c r="AQ349" s="916">
        <f t="shared" ca="1" si="257"/>
        <v>-42788.970643652225</v>
      </c>
      <c r="AR349" s="653"/>
      <c r="AS349" s="653">
        <v>24</v>
      </c>
      <c r="AT349" s="909">
        <f t="shared" ca="1" si="216"/>
        <v>-4242.2250106853016</v>
      </c>
      <c r="AU349" s="909">
        <f t="shared" ca="1" si="217"/>
        <v>-47111.519929781811</v>
      </c>
      <c r="AV349" s="909">
        <f t="shared" ca="1" si="218"/>
        <v>-7831.7250789954132</v>
      </c>
      <c r="AW349" s="909">
        <f t="shared" ca="1" si="219"/>
        <v>21049.338202853422</v>
      </c>
      <c r="AX349" s="909">
        <f t="shared" ca="1" si="220"/>
        <v>0</v>
      </c>
      <c r="AY349" s="909">
        <f t="shared" si="221"/>
        <v>38142.035021445176</v>
      </c>
      <c r="AZ349" s="909">
        <f t="shared" ca="1" si="222"/>
        <v>-38136.131816609108</v>
      </c>
      <c r="BA349" s="653"/>
      <c r="BB349" s="653">
        <f t="shared" si="258"/>
        <v>24</v>
      </c>
      <c r="BC349" s="909">
        <f t="shared" ca="1" si="259"/>
        <v>-146044.83297715656</v>
      </c>
      <c r="BD349" s="909">
        <f t="shared" ca="1" si="260"/>
        <v>-1621883.3376623483</v>
      </c>
      <c r="BE349" s="909">
        <f t="shared" ca="1" si="261"/>
        <v>-269618.65016681975</v>
      </c>
      <c r="BF349" s="909">
        <f t="shared" ca="1" si="262"/>
        <v>724654.41469329363</v>
      </c>
      <c r="BG349" s="909">
        <f t="shared" ca="1" si="263"/>
        <v>0</v>
      </c>
      <c r="BH349" s="909">
        <f t="shared" si="264"/>
        <v>1313096.6326184948</v>
      </c>
      <c r="BI349" s="909">
        <f t="shared" ca="1" si="265"/>
        <v>-1312892.4061130306</v>
      </c>
      <c r="BJ349" s="909"/>
      <c r="BK349" s="653">
        <v>24</v>
      </c>
      <c r="BL349" s="909">
        <f t="shared" ca="1" si="223"/>
        <v>-8623.5699999999961</v>
      </c>
      <c r="BM349" s="909">
        <f t="shared" ca="1" si="224"/>
        <v>-95768.020059652234</v>
      </c>
      <c r="BN349" s="909">
        <f t="shared" ca="1" si="225"/>
        <v>-15920.284584000001</v>
      </c>
      <c r="BO349" s="909">
        <f t="shared" ca="1" si="226"/>
        <v>42788.970643652225</v>
      </c>
      <c r="BP349" s="909">
        <f t="shared" ca="1" si="227"/>
        <v>0</v>
      </c>
      <c r="BQ349" s="909">
        <f t="shared" si="228"/>
        <v>77534.903999999995</v>
      </c>
      <c r="BR349" s="909">
        <f t="shared" ca="1" si="229"/>
        <v>-77522.90400000001</v>
      </c>
      <c r="BS349" s="653"/>
      <c r="BT349" s="653"/>
      <c r="BU349" s="653"/>
      <c r="BV349" s="654"/>
    </row>
    <row r="350" spans="2:74" x14ac:dyDescent="0.25">
      <c r="B350" s="651"/>
      <c r="C350" s="653"/>
      <c r="D350" s="653"/>
      <c r="E350" s="653"/>
      <c r="F350" s="653"/>
      <c r="G350" s="653"/>
      <c r="H350" s="653"/>
      <c r="I350" s="653"/>
      <c r="J350" s="653"/>
      <c r="K350" s="653"/>
      <c r="L350" s="653"/>
      <c r="M350" s="651">
        <v>25</v>
      </c>
      <c r="N350" s="909">
        <f t="shared" ca="1" si="230"/>
        <v>8623.5699999999961</v>
      </c>
      <c r="O350" s="909">
        <f t="shared" ca="1" si="231"/>
        <v>0</v>
      </c>
      <c r="P350" s="909">
        <f t="shared" ca="1" si="232"/>
        <v>12</v>
      </c>
      <c r="Q350" s="910">
        <f t="shared" ca="1" si="233"/>
        <v>1509124.7499999977</v>
      </c>
      <c r="R350" s="909">
        <f t="shared" ca="1" si="234"/>
        <v>95768.020059652234</v>
      </c>
      <c r="S350" s="909">
        <f t="shared" ca="1" si="235"/>
        <v>2789.3598075626896</v>
      </c>
      <c r="T350" s="909">
        <f t="shared" ca="1" si="236"/>
        <v>92978.660252089539</v>
      </c>
      <c r="U350" s="909">
        <f t="shared" ca="1" si="237"/>
        <v>1.1641532182693481E-10</v>
      </c>
      <c r="V350" s="909">
        <f t="shared" ca="1" si="238"/>
        <v>8640</v>
      </c>
      <c r="W350" s="909">
        <f t="shared" ca="1" si="239"/>
        <v>7280.284584</v>
      </c>
      <c r="X350" s="909">
        <f t="shared" ca="1" si="240"/>
        <v>120323.87464365222</v>
      </c>
      <c r="Y350" s="909">
        <f t="shared" ca="1" si="241"/>
        <v>-42788.970643652225</v>
      </c>
      <c r="Z350" s="910">
        <f t="shared" ca="1" si="242"/>
        <v>-1069724.266091306</v>
      </c>
      <c r="AA350" s="909">
        <f t="shared" ca="1" si="243"/>
        <v>-42788.970643652225</v>
      </c>
      <c r="AB350" s="910">
        <f t="shared" ca="1" si="244"/>
        <v>-1069724.266091306</v>
      </c>
      <c r="AC350" s="911">
        <f t="shared" ca="1" si="245"/>
        <v>0</v>
      </c>
      <c r="AD350" s="911">
        <f t="shared" ca="1" si="246"/>
        <v>0</v>
      </c>
      <c r="AE350" s="909">
        <f t="shared" ca="1" si="247"/>
        <v>0</v>
      </c>
      <c r="AF350" s="912">
        <f t="shared" ca="1" si="214"/>
        <v>0</v>
      </c>
      <c r="AG350" s="909">
        <f t="shared" si="248"/>
        <v>77534.903999999995</v>
      </c>
      <c r="AH350" s="917">
        <f t="shared" ca="1" si="249"/>
        <v>77534.903999999995</v>
      </c>
      <c r="AI350" s="909">
        <f t="shared" ca="1" si="250"/>
        <v>-77534.903999999995</v>
      </c>
      <c r="AJ350" s="916">
        <f t="shared" ca="1" si="251"/>
        <v>0</v>
      </c>
      <c r="AK350" s="916">
        <f t="shared" ca="1" si="252"/>
        <v>-77534.903999999995</v>
      </c>
      <c r="AL350" s="909">
        <f t="shared" ca="1" si="253"/>
        <v>0</v>
      </c>
      <c r="AM350" s="918">
        <f t="shared" ca="1" si="254"/>
        <v>77534.903999999995</v>
      </c>
      <c r="AN350" s="915">
        <f t="shared" si="215"/>
        <v>25</v>
      </c>
      <c r="AO350" s="653">
        <f t="shared" si="255"/>
        <v>77534.903999999995</v>
      </c>
      <c r="AP350" s="916">
        <f t="shared" ca="1" si="256"/>
        <v>8635.5699999999961</v>
      </c>
      <c r="AQ350" s="916">
        <f t="shared" ca="1" si="257"/>
        <v>-42788.970643652225</v>
      </c>
      <c r="AR350" s="653"/>
      <c r="AS350" s="653">
        <v>25</v>
      </c>
      <c r="AT350" s="909">
        <f t="shared" ca="1" si="216"/>
        <v>-4118.665058917768</v>
      </c>
      <c r="AU350" s="909">
        <f t="shared" ca="1" si="217"/>
        <v>-45739.339737652248</v>
      </c>
      <c r="AV350" s="909">
        <f t="shared" ca="1" si="218"/>
        <v>-7603.6165815489449</v>
      </c>
      <c r="AW350" s="909">
        <f t="shared" ca="1" si="219"/>
        <v>20436.250682381964</v>
      </c>
      <c r="AX350" s="909">
        <f t="shared" ca="1" si="220"/>
        <v>0</v>
      </c>
      <c r="AY350" s="909">
        <f t="shared" si="221"/>
        <v>37031.101962568129</v>
      </c>
      <c r="AZ350" s="909">
        <f t="shared" ca="1" si="222"/>
        <v>-37025.370695736994</v>
      </c>
      <c r="BA350" s="653"/>
      <c r="BB350" s="653">
        <f t="shared" si="258"/>
        <v>25</v>
      </c>
      <c r="BC350" s="909">
        <f t="shared" ca="1" si="259"/>
        <v>-150163.49803607434</v>
      </c>
      <c r="BD350" s="909">
        <f t="shared" ca="1" si="260"/>
        <v>-1667622.6774000006</v>
      </c>
      <c r="BE350" s="909">
        <f t="shared" ca="1" si="261"/>
        <v>-277222.26674836868</v>
      </c>
      <c r="BF350" s="909">
        <f t="shared" ca="1" si="262"/>
        <v>745090.66537567554</v>
      </c>
      <c r="BG350" s="909">
        <f t="shared" ca="1" si="263"/>
        <v>0</v>
      </c>
      <c r="BH350" s="909">
        <f t="shared" si="264"/>
        <v>1350127.734581063</v>
      </c>
      <c r="BI350" s="909">
        <f t="shared" ca="1" si="265"/>
        <v>-1349917.7768087676</v>
      </c>
      <c r="BJ350" s="909"/>
      <c r="BK350" s="653">
        <v>25</v>
      </c>
      <c r="BL350" s="909">
        <f t="shared" ca="1" si="223"/>
        <v>-8623.5699999999961</v>
      </c>
      <c r="BM350" s="909">
        <f t="shared" ca="1" si="224"/>
        <v>-95768.020059652234</v>
      </c>
      <c r="BN350" s="909">
        <f t="shared" ca="1" si="225"/>
        <v>-15920.284584000001</v>
      </c>
      <c r="BO350" s="909">
        <f t="shared" ca="1" si="226"/>
        <v>42788.970643652225</v>
      </c>
      <c r="BP350" s="909">
        <f t="shared" ca="1" si="227"/>
        <v>0</v>
      </c>
      <c r="BQ350" s="909">
        <f t="shared" si="228"/>
        <v>77534.903999999995</v>
      </c>
      <c r="BR350" s="909">
        <f t="shared" ca="1" si="229"/>
        <v>-77522.90400000001</v>
      </c>
      <c r="BS350" s="653"/>
      <c r="BT350" s="653"/>
      <c r="BU350" s="653"/>
      <c r="BV350" s="654"/>
    </row>
    <row r="351" spans="2:74" x14ac:dyDescent="0.25">
      <c r="B351" s="651"/>
      <c r="C351" s="653"/>
      <c r="D351" s="653"/>
      <c r="E351" s="653"/>
      <c r="F351" s="653"/>
      <c r="G351" s="653"/>
      <c r="H351" s="653"/>
      <c r="I351" s="653"/>
      <c r="J351" s="653"/>
      <c r="K351" s="653"/>
      <c r="L351" s="653"/>
      <c r="M351" s="651">
        <v>26</v>
      </c>
      <c r="N351" s="909">
        <f t="shared" ca="1" si="230"/>
        <v>60364.989999999983</v>
      </c>
      <c r="O351" s="909">
        <f t="shared" ca="1" si="231"/>
        <v>0</v>
      </c>
      <c r="P351" s="909">
        <f t="shared" ca="1" si="232"/>
        <v>12</v>
      </c>
      <c r="Q351" s="910">
        <f t="shared" ca="1" si="233"/>
        <v>1448759.7599999977</v>
      </c>
      <c r="R351" s="909">
        <f t="shared" si="234"/>
        <v>0</v>
      </c>
      <c r="S351" s="909">
        <f t="shared" ca="1" si="235"/>
        <v>3.4924596548080443E-12</v>
      </c>
      <c r="T351" s="909">
        <f t="shared" ca="1" si="236"/>
        <v>-3.4924596548080443E-12</v>
      </c>
      <c r="U351" s="909">
        <f t="shared" ca="1" si="237"/>
        <v>1.1990778148174286E-10</v>
      </c>
      <c r="V351" s="909">
        <f t="shared" ca="1" si="238"/>
        <v>8640</v>
      </c>
      <c r="W351" s="909">
        <f t="shared" ca="1" si="239"/>
        <v>7280.284584</v>
      </c>
      <c r="X351" s="909">
        <f t="shared" ca="1" si="240"/>
        <v>76297.274583999984</v>
      </c>
      <c r="Y351" s="909">
        <f t="shared" ca="1" si="241"/>
        <v>1237.6294160000107</v>
      </c>
      <c r="Z351" s="910">
        <f t="shared" ca="1" si="242"/>
        <v>-1068486.6366753059</v>
      </c>
      <c r="AA351" s="909">
        <f t="shared" ca="1" si="243"/>
        <v>1237.6294160000107</v>
      </c>
      <c r="AB351" s="910">
        <f t="shared" ca="1" si="244"/>
        <v>-1068486.6366753059</v>
      </c>
      <c r="AC351" s="911">
        <f t="shared" ca="1" si="245"/>
        <v>0</v>
      </c>
      <c r="AD351" s="911">
        <f t="shared" ca="1" si="246"/>
        <v>0</v>
      </c>
      <c r="AE351" s="909">
        <f t="shared" ca="1" si="247"/>
        <v>0</v>
      </c>
      <c r="AF351" s="912">
        <f t="shared" ca="1" si="214"/>
        <v>0</v>
      </c>
      <c r="AG351" s="909">
        <f t="shared" si="248"/>
        <v>77534.903999999995</v>
      </c>
      <c r="AH351" s="917">
        <f t="shared" ca="1" si="249"/>
        <v>77534.903999999995</v>
      </c>
      <c r="AI351" s="909">
        <f t="shared" ca="1" si="250"/>
        <v>-77534.903999999995</v>
      </c>
      <c r="AJ351" s="916">
        <f t="shared" ca="1" si="251"/>
        <v>0</v>
      </c>
      <c r="AK351" s="916">
        <f t="shared" ca="1" si="252"/>
        <v>-77534.903999999995</v>
      </c>
      <c r="AL351" s="909">
        <f t="shared" ca="1" si="253"/>
        <v>0</v>
      </c>
      <c r="AM351" s="918">
        <f t="shared" ca="1" si="254"/>
        <v>77534.903999999995</v>
      </c>
      <c r="AN351" s="915">
        <f t="shared" si="215"/>
        <v>26</v>
      </c>
      <c r="AO351" s="653">
        <f t="shared" si="255"/>
        <v>77534.903999999995</v>
      </c>
      <c r="AP351" s="916">
        <f t="shared" ca="1" si="256"/>
        <v>60376.989999999983</v>
      </c>
      <c r="AQ351" s="916">
        <f t="shared" ca="1" si="257"/>
        <v>1237.6294160000107</v>
      </c>
      <c r="AR351" s="653"/>
      <c r="AS351" s="653">
        <v>26</v>
      </c>
      <c r="AT351" s="909">
        <f t="shared" ca="1" si="216"/>
        <v>-27990.927584878042</v>
      </c>
      <c r="AU351" s="909">
        <f t="shared" si="217"/>
        <v>0</v>
      </c>
      <c r="AV351" s="909">
        <f t="shared" ca="1" si="218"/>
        <v>-7382.1520209213049</v>
      </c>
      <c r="AW351" s="909">
        <f t="shared" ca="1" si="219"/>
        <v>-573.88223472200048</v>
      </c>
      <c r="AX351" s="909">
        <f t="shared" ca="1" si="220"/>
        <v>0</v>
      </c>
      <c r="AY351" s="909">
        <f t="shared" si="221"/>
        <v>35952.526177250606</v>
      </c>
      <c r="AZ351" s="909">
        <f t="shared" ca="1" si="222"/>
        <v>-35946.96184052134</v>
      </c>
      <c r="BA351" s="653"/>
      <c r="BB351" s="653">
        <f t="shared" si="258"/>
        <v>26</v>
      </c>
      <c r="BC351" s="909">
        <f t="shared" ca="1" si="259"/>
        <v>-178154.42562095239</v>
      </c>
      <c r="BD351" s="909">
        <f t="shared" ca="1" si="260"/>
        <v>-1667622.6774000006</v>
      </c>
      <c r="BE351" s="909">
        <f t="shared" ca="1" si="261"/>
        <v>-284604.41876928997</v>
      </c>
      <c r="BF351" s="909">
        <f t="shared" ca="1" si="262"/>
        <v>744516.78314095351</v>
      </c>
      <c r="BG351" s="909">
        <f t="shared" ca="1" si="263"/>
        <v>0</v>
      </c>
      <c r="BH351" s="909">
        <f t="shared" si="264"/>
        <v>1386080.2607583136</v>
      </c>
      <c r="BI351" s="909">
        <f t="shared" ca="1" si="265"/>
        <v>-1385864.7386492889</v>
      </c>
      <c r="BJ351" s="909"/>
      <c r="BK351" s="653">
        <v>26</v>
      </c>
      <c r="BL351" s="909">
        <f t="shared" ca="1" si="223"/>
        <v>-60364.989999999983</v>
      </c>
      <c r="BM351" s="909">
        <f t="shared" si="224"/>
        <v>0</v>
      </c>
      <c r="BN351" s="909">
        <f t="shared" ca="1" si="225"/>
        <v>-15920.284584000001</v>
      </c>
      <c r="BO351" s="909">
        <f t="shared" ca="1" si="226"/>
        <v>-1237.6294160000107</v>
      </c>
      <c r="BP351" s="909">
        <f t="shared" ca="1" si="227"/>
        <v>0</v>
      </c>
      <c r="BQ351" s="909">
        <f t="shared" si="228"/>
        <v>77534.903999999995</v>
      </c>
      <c r="BR351" s="909">
        <f t="shared" ca="1" si="229"/>
        <v>-77522.903999999995</v>
      </c>
      <c r="BS351" s="653"/>
      <c r="BT351" s="653"/>
      <c r="BU351" s="653"/>
      <c r="BV351" s="654"/>
    </row>
    <row r="352" spans="2:74" x14ac:dyDescent="0.25">
      <c r="B352" s="651"/>
      <c r="C352" s="653"/>
      <c r="D352" s="653"/>
      <c r="E352" s="653"/>
      <c r="F352" s="653"/>
      <c r="G352" s="653"/>
      <c r="H352" s="653"/>
      <c r="I352" s="653"/>
      <c r="J352" s="653"/>
      <c r="K352" s="653"/>
      <c r="L352" s="653"/>
      <c r="M352" s="651">
        <v>27</v>
      </c>
      <c r="N352" s="909">
        <f t="shared" ca="1" si="230"/>
        <v>60364.989999999983</v>
      </c>
      <c r="O352" s="909">
        <f t="shared" ca="1" si="231"/>
        <v>0</v>
      </c>
      <c r="P352" s="909">
        <f t="shared" ca="1" si="232"/>
        <v>12</v>
      </c>
      <c r="Q352" s="910">
        <f t="shared" ca="1" si="233"/>
        <v>1388394.7699999977</v>
      </c>
      <c r="R352" s="909">
        <f t="shared" si="234"/>
        <v>0</v>
      </c>
      <c r="S352" s="909">
        <f t="shared" ca="1" si="235"/>
        <v>3.5972334444522858E-12</v>
      </c>
      <c r="T352" s="909">
        <f t="shared" ca="1" si="236"/>
        <v>-3.5972334444522858E-12</v>
      </c>
      <c r="U352" s="909">
        <f t="shared" ca="1" si="237"/>
        <v>1.2350501492619514E-10</v>
      </c>
      <c r="V352" s="909">
        <f t="shared" ca="1" si="238"/>
        <v>8640</v>
      </c>
      <c r="W352" s="909">
        <f t="shared" ca="1" si="239"/>
        <v>7280.284584</v>
      </c>
      <c r="X352" s="909">
        <f t="shared" ca="1" si="240"/>
        <v>76297.274583999984</v>
      </c>
      <c r="Y352" s="909">
        <f t="shared" ca="1" si="241"/>
        <v>1237.6294160000107</v>
      </c>
      <c r="Z352" s="910">
        <f t="shared" ca="1" si="242"/>
        <v>-1067249.0072593058</v>
      </c>
      <c r="AA352" s="909">
        <f t="shared" ca="1" si="243"/>
        <v>1237.6294160000107</v>
      </c>
      <c r="AB352" s="910">
        <f t="shared" ca="1" si="244"/>
        <v>-1067249.0072593058</v>
      </c>
      <c r="AC352" s="911">
        <f t="shared" ca="1" si="245"/>
        <v>0</v>
      </c>
      <c r="AD352" s="911">
        <f t="shared" ca="1" si="246"/>
        <v>0</v>
      </c>
      <c r="AE352" s="909">
        <f t="shared" ca="1" si="247"/>
        <v>0</v>
      </c>
      <c r="AF352" s="912">
        <f t="shared" ca="1" si="214"/>
        <v>0</v>
      </c>
      <c r="AG352" s="909">
        <f t="shared" si="248"/>
        <v>77534.903999999995</v>
      </c>
      <c r="AH352" s="917">
        <f t="shared" ca="1" si="249"/>
        <v>77534.903999999995</v>
      </c>
      <c r="AI352" s="909">
        <f t="shared" ca="1" si="250"/>
        <v>-77534.903999999995</v>
      </c>
      <c r="AJ352" s="916">
        <f t="shared" ca="1" si="251"/>
        <v>0</v>
      </c>
      <c r="AK352" s="916">
        <f t="shared" ca="1" si="252"/>
        <v>-77534.903999999995</v>
      </c>
      <c r="AL352" s="909">
        <f t="shared" ca="1" si="253"/>
        <v>0</v>
      </c>
      <c r="AM352" s="918">
        <f t="shared" ca="1" si="254"/>
        <v>77534.903999999995</v>
      </c>
      <c r="AN352" s="915">
        <f t="shared" si="215"/>
        <v>27</v>
      </c>
      <c r="AO352" s="653">
        <f t="shared" si="255"/>
        <v>77534.903999999995</v>
      </c>
      <c r="AP352" s="916">
        <f t="shared" ca="1" si="256"/>
        <v>60376.989999999983</v>
      </c>
      <c r="AQ352" s="916">
        <f t="shared" ca="1" si="257"/>
        <v>1237.6294160000107</v>
      </c>
      <c r="AR352" s="653"/>
      <c r="AS352" s="653">
        <v>27</v>
      </c>
      <c r="AT352" s="909">
        <f t="shared" ca="1" si="216"/>
        <v>-27175.657849396157</v>
      </c>
      <c r="AU352" s="909">
        <f t="shared" si="217"/>
        <v>0</v>
      </c>
      <c r="AV352" s="909">
        <f t="shared" ca="1" si="218"/>
        <v>-7167.1378843896173</v>
      </c>
      <c r="AW352" s="909">
        <f t="shared" ca="1" si="219"/>
        <v>-557.16721817669952</v>
      </c>
      <c r="AX352" s="909">
        <f t="shared" ca="1" si="220"/>
        <v>0</v>
      </c>
      <c r="AY352" s="909">
        <f t="shared" si="221"/>
        <v>34905.365220631662</v>
      </c>
      <c r="AZ352" s="909">
        <f t="shared" ca="1" si="222"/>
        <v>-34899.962951962472</v>
      </c>
      <c r="BA352" s="653"/>
      <c r="BB352" s="653">
        <f t="shared" si="258"/>
        <v>27</v>
      </c>
      <c r="BC352" s="909">
        <f t="shared" ca="1" si="259"/>
        <v>-205330.08347034856</v>
      </c>
      <c r="BD352" s="909">
        <f t="shared" ca="1" si="260"/>
        <v>-1667622.6774000006</v>
      </c>
      <c r="BE352" s="909">
        <f t="shared" ca="1" si="261"/>
        <v>-291771.55665367958</v>
      </c>
      <c r="BF352" s="909">
        <f t="shared" ca="1" si="262"/>
        <v>743959.61592277687</v>
      </c>
      <c r="BG352" s="909">
        <f t="shared" ca="1" si="263"/>
        <v>0</v>
      </c>
      <c r="BH352" s="909">
        <f t="shared" si="264"/>
        <v>1420985.6259789453</v>
      </c>
      <c r="BI352" s="909">
        <f t="shared" ca="1" si="265"/>
        <v>-1420764.7016012513</v>
      </c>
      <c r="BJ352" s="909"/>
      <c r="BK352" s="653">
        <v>27</v>
      </c>
      <c r="BL352" s="909">
        <f t="shared" ca="1" si="223"/>
        <v>-60364.989999999983</v>
      </c>
      <c r="BM352" s="909">
        <f t="shared" si="224"/>
        <v>0</v>
      </c>
      <c r="BN352" s="909">
        <f t="shared" ca="1" si="225"/>
        <v>-15920.284584000001</v>
      </c>
      <c r="BO352" s="909">
        <f t="shared" ca="1" si="226"/>
        <v>-1237.6294160000107</v>
      </c>
      <c r="BP352" s="909">
        <f t="shared" ca="1" si="227"/>
        <v>0</v>
      </c>
      <c r="BQ352" s="909">
        <f t="shared" si="228"/>
        <v>77534.903999999995</v>
      </c>
      <c r="BR352" s="909">
        <f t="shared" ca="1" si="229"/>
        <v>-77522.903999999995</v>
      </c>
      <c r="BS352" s="653"/>
      <c r="BT352" s="653"/>
      <c r="BU352" s="653"/>
      <c r="BV352" s="654"/>
    </row>
    <row r="353" spans="2:74" x14ac:dyDescent="0.25">
      <c r="B353" s="651"/>
      <c r="C353" s="653"/>
      <c r="D353" s="653"/>
      <c r="E353" s="653"/>
      <c r="F353" s="653"/>
      <c r="G353" s="653"/>
      <c r="H353" s="653"/>
      <c r="I353" s="653"/>
      <c r="J353" s="653"/>
      <c r="K353" s="653"/>
      <c r="L353" s="653"/>
      <c r="M353" s="651">
        <v>28</v>
      </c>
      <c r="N353" s="909">
        <f t="shared" ca="1" si="230"/>
        <v>60364.989999999983</v>
      </c>
      <c r="O353" s="909">
        <f t="shared" ca="1" si="231"/>
        <v>0</v>
      </c>
      <c r="P353" s="909">
        <f t="shared" ca="1" si="232"/>
        <v>12</v>
      </c>
      <c r="Q353" s="910">
        <f t="shared" ca="1" si="233"/>
        <v>1328029.7799999977</v>
      </c>
      <c r="R353" s="909">
        <f t="shared" si="234"/>
        <v>0</v>
      </c>
      <c r="S353" s="909">
        <f t="shared" ca="1" si="235"/>
        <v>3.7051504477858537E-12</v>
      </c>
      <c r="T353" s="909">
        <f t="shared" ca="1" si="236"/>
        <v>-3.7051504477858537E-12</v>
      </c>
      <c r="U353" s="909">
        <f t="shared" ca="1" si="237"/>
        <v>1.27210165373981E-10</v>
      </c>
      <c r="V353" s="909">
        <f t="shared" ca="1" si="238"/>
        <v>8640</v>
      </c>
      <c r="W353" s="909">
        <f t="shared" ca="1" si="239"/>
        <v>7280.284584</v>
      </c>
      <c r="X353" s="909">
        <f t="shared" ca="1" si="240"/>
        <v>76297.274583999984</v>
      </c>
      <c r="Y353" s="909">
        <f t="shared" ca="1" si="241"/>
        <v>1237.6294160000107</v>
      </c>
      <c r="Z353" s="910">
        <f t="shared" ca="1" si="242"/>
        <v>-1066011.3778433057</v>
      </c>
      <c r="AA353" s="909">
        <f t="shared" ca="1" si="243"/>
        <v>1237.6294160000107</v>
      </c>
      <c r="AB353" s="910">
        <f t="shared" ca="1" si="244"/>
        <v>-1066011.3778433057</v>
      </c>
      <c r="AC353" s="911">
        <f t="shared" ca="1" si="245"/>
        <v>0</v>
      </c>
      <c r="AD353" s="911">
        <f t="shared" ca="1" si="246"/>
        <v>0</v>
      </c>
      <c r="AE353" s="909">
        <f t="shared" ca="1" si="247"/>
        <v>0</v>
      </c>
      <c r="AF353" s="912">
        <f t="shared" ca="1" si="214"/>
        <v>0</v>
      </c>
      <c r="AG353" s="909">
        <f t="shared" si="248"/>
        <v>77534.903999999995</v>
      </c>
      <c r="AH353" s="917">
        <f t="shared" ca="1" si="249"/>
        <v>77534.903999999995</v>
      </c>
      <c r="AI353" s="909">
        <f t="shared" ca="1" si="250"/>
        <v>-77534.903999999995</v>
      </c>
      <c r="AJ353" s="916">
        <f t="shared" ca="1" si="251"/>
        <v>0</v>
      </c>
      <c r="AK353" s="916">
        <f t="shared" ca="1" si="252"/>
        <v>-77534.903999999995</v>
      </c>
      <c r="AL353" s="909">
        <f t="shared" ca="1" si="253"/>
        <v>0</v>
      </c>
      <c r="AM353" s="918">
        <f t="shared" ca="1" si="254"/>
        <v>77534.903999999995</v>
      </c>
      <c r="AN353" s="915">
        <f t="shared" si="215"/>
        <v>28</v>
      </c>
      <c r="AO353" s="653">
        <f t="shared" si="255"/>
        <v>77534.903999999995</v>
      </c>
      <c r="AP353" s="916">
        <f t="shared" ca="1" si="256"/>
        <v>60376.989999999983</v>
      </c>
      <c r="AQ353" s="916">
        <f t="shared" ca="1" si="257"/>
        <v>1237.6294160000107</v>
      </c>
      <c r="AR353" s="653"/>
      <c r="AS353" s="653">
        <v>28</v>
      </c>
      <c r="AT353" s="909">
        <f t="shared" ca="1" si="216"/>
        <v>-26384.133834365202</v>
      </c>
      <c r="AU353" s="909">
        <f t="shared" si="217"/>
        <v>0</v>
      </c>
      <c r="AV353" s="909">
        <f t="shared" ca="1" si="218"/>
        <v>-6958.3862955239001</v>
      </c>
      <c r="AW353" s="909">
        <f t="shared" ca="1" si="219"/>
        <v>-540.93904677349462</v>
      </c>
      <c r="AX353" s="909">
        <f t="shared" ca="1" si="220"/>
        <v>0</v>
      </c>
      <c r="AY353" s="909">
        <f t="shared" si="221"/>
        <v>33888.70409770064</v>
      </c>
      <c r="AZ353" s="909">
        <f t="shared" ca="1" si="222"/>
        <v>-33883.459176662596</v>
      </c>
      <c r="BA353" s="653"/>
      <c r="BB353" s="653">
        <f t="shared" si="258"/>
        <v>28</v>
      </c>
      <c r="BC353" s="909">
        <f t="shared" ca="1" si="259"/>
        <v>-231714.21730471376</v>
      </c>
      <c r="BD353" s="909">
        <f t="shared" ca="1" si="260"/>
        <v>-1667622.6774000006</v>
      </c>
      <c r="BE353" s="909">
        <f t="shared" ca="1" si="261"/>
        <v>-298729.94294920348</v>
      </c>
      <c r="BF353" s="909">
        <f t="shared" ca="1" si="262"/>
        <v>743418.67687600339</v>
      </c>
      <c r="BG353" s="909">
        <f t="shared" ca="1" si="263"/>
        <v>0</v>
      </c>
      <c r="BH353" s="909">
        <f t="shared" si="264"/>
        <v>1454874.3300766458</v>
      </c>
      <c r="BI353" s="909">
        <f t="shared" ca="1" si="265"/>
        <v>-1454648.1607779139</v>
      </c>
      <c r="BJ353" s="909"/>
      <c r="BK353" s="653">
        <v>28</v>
      </c>
      <c r="BL353" s="909">
        <f t="shared" ca="1" si="223"/>
        <v>-60364.989999999983</v>
      </c>
      <c r="BM353" s="909">
        <f t="shared" si="224"/>
        <v>0</v>
      </c>
      <c r="BN353" s="909">
        <f t="shared" ca="1" si="225"/>
        <v>-15920.284584000001</v>
      </c>
      <c r="BO353" s="909">
        <f t="shared" ca="1" si="226"/>
        <v>-1237.6294160000107</v>
      </c>
      <c r="BP353" s="909">
        <f t="shared" ca="1" si="227"/>
        <v>0</v>
      </c>
      <c r="BQ353" s="909">
        <f t="shared" si="228"/>
        <v>77534.903999999995</v>
      </c>
      <c r="BR353" s="909">
        <f t="shared" ca="1" si="229"/>
        <v>-77522.903999999995</v>
      </c>
      <c r="BS353" s="653"/>
      <c r="BT353" s="653"/>
      <c r="BU353" s="653"/>
      <c r="BV353" s="654"/>
    </row>
    <row r="354" spans="2:74" x14ac:dyDescent="0.25">
      <c r="B354" s="651"/>
      <c r="C354" s="653"/>
      <c r="D354" s="653"/>
      <c r="E354" s="653"/>
      <c r="F354" s="653"/>
      <c r="G354" s="653"/>
      <c r="H354" s="653"/>
      <c r="I354" s="653"/>
      <c r="J354" s="653"/>
      <c r="K354" s="653"/>
      <c r="L354" s="653"/>
      <c r="M354" s="651">
        <v>29</v>
      </c>
      <c r="N354" s="909">
        <f t="shared" ca="1" si="230"/>
        <v>60364.989999999983</v>
      </c>
      <c r="O354" s="909">
        <f t="shared" ca="1" si="231"/>
        <v>0</v>
      </c>
      <c r="P354" s="909">
        <f t="shared" ca="1" si="232"/>
        <v>12</v>
      </c>
      <c r="Q354" s="910">
        <f t="shared" ca="1" si="233"/>
        <v>1267664.7899999977</v>
      </c>
      <c r="R354" s="909">
        <f t="shared" si="234"/>
        <v>0</v>
      </c>
      <c r="S354" s="909">
        <f t="shared" ca="1" si="235"/>
        <v>3.8163049612194301E-12</v>
      </c>
      <c r="T354" s="909">
        <f t="shared" ca="1" si="236"/>
        <v>-3.8163049612194301E-12</v>
      </c>
      <c r="U354" s="909">
        <f t="shared" ca="1" si="237"/>
        <v>1.3102647033520042E-10</v>
      </c>
      <c r="V354" s="909">
        <f t="shared" ca="1" si="238"/>
        <v>8640</v>
      </c>
      <c r="W354" s="909">
        <f t="shared" ca="1" si="239"/>
        <v>7280.284584</v>
      </c>
      <c r="X354" s="909">
        <f t="shared" ca="1" si="240"/>
        <v>76297.274583999984</v>
      </c>
      <c r="Y354" s="909">
        <f t="shared" ca="1" si="241"/>
        <v>1237.6294160000107</v>
      </c>
      <c r="Z354" s="910">
        <f t="shared" ca="1" si="242"/>
        <v>-1064773.7484273056</v>
      </c>
      <c r="AA354" s="909">
        <f t="shared" ca="1" si="243"/>
        <v>1237.6294160000107</v>
      </c>
      <c r="AB354" s="910">
        <f t="shared" ca="1" si="244"/>
        <v>-1064773.7484273056</v>
      </c>
      <c r="AC354" s="911">
        <f t="shared" ca="1" si="245"/>
        <v>0</v>
      </c>
      <c r="AD354" s="911">
        <f t="shared" ca="1" si="246"/>
        <v>0</v>
      </c>
      <c r="AE354" s="909">
        <f t="shared" ca="1" si="247"/>
        <v>0</v>
      </c>
      <c r="AF354" s="912">
        <f t="shared" ca="1" si="214"/>
        <v>0</v>
      </c>
      <c r="AG354" s="909">
        <f t="shared" si="248"/>
        <v>77534.903999999995</v>
      </c>
      <c r="AH354" s="917">
        <f t="shared" ca="1" si="249"/>
        <v>77534.903999999995</v>
      </c>
      <c r="AI354" s="909">
        <f t="shared" ca="1" si="250"/>
        <v>-77534.903999999995</v>
      </c>
      <c r="AJ354" s="916">
        <f t="shared" ca="1" si="251"/>
        <v>0</v>
      </c>
      <c r="AK354" s="916">
        <f t="shared" ca="1" si="252"/>
        <v>-77534.903999999995</v>
      </c>
      <c r="AL354" s="909">
        <f t="shared" ca="1" si="253"/>
        <v>0</v>
      </c>
      <c r="AM354" s="918">
        <f t="shared" ca="1" si="254"/>
        <v>77534.903999999995</v>
      </c>
      <c r="AN354" s="915">
        <f t="shared" si="215"/>
        <v>29</v>
      </c>
      <c r="AO354" s="653">
        <f t="shared" si="255"/>
        <v>77534.903999999995</v>
      </c>
      <c r="AP354" s="916">
        <f t="shared" ca="1" si="256"/>
        <v>60376.989999999983</v>
      </c>
      <c r="AQ354" s="916">
        <f t="shared" ca="1" si="257"/>
        <v>1237.6294160000107</v>
      </c>
      <c r="AR354" s="653"/>
      <c r="AS354" s="653">
        <v>29</v>
      </c>
      <c r="AT354" s="909">
        <f t="shared" ca="1" si="216"/>
        <v>-25615.663916859423</v>
      </c>
      <c r="AU354" s="909">
        <f t="shared" si="217"/>
        <v>0</v>
      </c>
      <c r="AV354" s="909">
        <f t="shared" ca="1" si="218"/>
        <v>-6755.7148500232051</v>
      </c>
      <c r="AW354" s="909">
        <f t="shared" ca="1" si="219"/>
        <v>-525.18354055679094</v>
      </c>
      <c r="AX354" s="909">
        <f t="shared" ca="1" si="220"/>
        <v>0</v>
      </c>
      <c r="AY354" s="909">
        <f t="shared" si="221"/>
        <v>32901.654463787032</v>
      </c>
      <c r="AZ354" s="909">
        <f t="shared" ca="1" si="222"/>
        <v>-32896.562307439417</v>
      </c>
      <c r="BA354" s="653"/>
      <c r="BB354" s="653">
        <f t="shared" si="258"/>
        <v>29</v>
      </c>
      <c r="BC354" s="909">
        <f t="shared" ca="1" si="259"/>
        <v>-257329.88122157319</v>
      </c>
      <c r="BD354" s="909">
        <f t="shared" ca="1" si="260"/>
        <v>-1667622.6774000006</v>
      </c>
      <c r="BE354" s="909">
        <f t="shared" ca="1" si="261"/>
        <v>-305485.6577992267</v>
      </c>
      <c r="BF354" s="909">
        <f t="shared" ca="1" si="262"/>
        <v>742893.49333544658</v>
      </c>
      <c r="BG354" s="909">
        <f t="shared" ca="1" si="263"/>
        <v>0</v>
      </c>
      <c r="BH354" s="909">
        <f t="shared" si="264"/>
        <v>1487775.9845404329</v>
      </c>
      <c r="BI354" s="909">
        <f t="shared" ca="1" si="265"/>
        <v>-1487544.7230853534</v>
      </c>
      <c r="BJ354" s="909"/>
      <c r="BK354" s="653">
        <v>29</v>
      </c>
      <c r="BL354" s="909">
        <f t="shared" ca="1" si="223"/>
        <v>-60364.989999999983</v>
      </c>
      <c r="BM354" s="909">
        <f t="shared" si="224"/>
        <v>0</v>
      </c>
      <c r="BN354" s="909">
        <f t="shared" ca="1" si="225"/>
        <v>-15920.284584000001</v>
      </c>
      <c r="BO354" s="909">
        <f t="shared" ca="1" si="226"/>
        <v>-1237.6294160000107</v>
      </c>
      <c r="BP354" s="909">
        <f t="shared" ca="1" si="227"/>
        <v>0</v>
      </c>
      <c r="BQ354" s="909">
        <f t="shared" si="228"/>
        <v>77534.903999999995</v>
      </c>
      <c r="BR354" s="909">
        <f t="shared" ca="1" si="229"/>
        <v>-77522.903999999995</v>
      </c>
      <c r="BS354" s="653"/>
      <c r="BT354" s="653"/>
      <c r="BU354" s="653"/>
      <c r="BV354" s="654"/>
    </row>
    <row r="355" spans="2:74" x14ac:dyDescent="0.25">
      <c r="B355" s="651"/>
      <c r="C355" s="653"/>
      <c r="D355" s="653"/>
      <c r="E355" s="653"/>
      <c r="F355" s="653"/>
      <c r="G355" s="653"/>
      <c r="H355" s="653"/>
      <c r="I355" s="653"/>
      <c r="J355" s="653"/>
      <c r="K355" s="653"/>
      <c r="L355" s="653"/>
      <c r="M355" s="651">
        <v>30</v>
      </c>
      <c r="N355" s="909">
        <f t="shared" ca="1" si="230"/>
        <v>60364.989999999983</v>
      </c>
      <c r="O355" s="909">
        <f t="shared" ca="1" si="231"/>
        <v>0</v>
      </c>
      <c r="P355" s="909">
        <f t="shared" ca="1" si="232"/>
        <v>12</v>
      </c>
      <c r="Q355" s="910">
        <f t="shared" ca="1" si="233"/>
        <v>1207299.7999999977</v>
      </c>
      <c r="R355" s="909">
        <f t="shared" si="234"/>
        <v>0</v>
      </c>
      <c r="S355" s="909">
        <f t="shared" ca="1" si="235"/>
        <v>3.9307941100560121E-12</v>
      </c>
      <c r="T355" s="909">
        <f t="shared" ca="1" si="236"/>
        <v>-3.9307941100560121E-12</v>
      </c>
      <c r="U355" s="909">
        <f t="shared" ca="1" si="237"/>
        <v>1.3495726444525642E-10</v>
      </c>
      <c r="V355" s="909">
        <f t="shared" ca="1" si="238"/>
        <v>8640</v>
      </c>
      <c r="W355" s="909">
        <f t="shared" ca="1" si="239"/>
        <v>7280.284584</v>
      </c>
      <c r="X355" s="909">
        <f t="shared" ca="1" si="240"/>
        <v>76297.274583999984</v>
      </c>
      <c r="Y355" s="909">
        <f t="shared" ca="1" si="241"/>
        <v>1237.6294160000107</v>
      </c>
      <c r="Z355" s="910">
        <f t="shared" ca="1" si="242"/>
        <v>-1063536.1190113055</v>
      </c>
      <c r="AA355" s="909">
        <f t="shared" ca="1" si="243"/>
        <v>1237.6294160000107</v>
      </c>
      <c r="AB355" s="910">
        <f t="shared" ca="1" si="244"/>
        <v>-1063536.1190113055</v>
      </c>
      <c r="AC355" s="911">
        <f t="shared" ca="1" si="245"/>
        <v>0</v>
      </c>
      <c r="AD355" s="911">
        <f t="shared" ca="1" si="246"/>
        <v>0</v>
      </c>
      <c r="AE355" s="909">
        <f t="shared" ca="1" si="247"/>
        <v>0</v>
      </c>
      <c r="AF355" s="912">
        <f t="shared" ca="1" si="214"/>
        <v>0</v>
      </c>
      <c r="AG355" s="909">
        <f t="shared" si="248"/>
        <v>77534.903999999995</v>
      </c>
      <c r="AH355" s="917">
        <f t="shared" ca="1" si="249"/>
        <v>77534.903999999995</v>
      </c>
      <c r="AI355" s="909">
        <f t="shared" ca="1" si="250"/>
        <v>-77534.903999999995</v>
      </c>
      <c r="AJ355" s="916">
        <f t="shared" ca="1" si="251"/>
        <v>0</v>
      </c>
      <c r="AK355" s="916">
        <f t="shared" ca="1" si="252"/>
        <v>-77534.903999999995</v>
      </c>
      <c r="AL355" s="909">
        <f t="shared" ca="1" si="253"/>
        <v>0</v>
      </c>
      <c r="AM355" s="918">
        <f t="shared" ca="1" si="254"/>
        <v>77534.903999999995</v>
      </c>
      <c r="AN355" s="915">
        <f t="shared" si="215"/>
        <v>30</v>
      </c>
      <c r="AO355" s="653">
        <f t="shared" si="255"/>
        <v>77534.903999999995</v>
      </c>
      <c r="AP355" s="916">
        <f t="shared" ca="1" si="256"/>
        <v>60376.989999999983</v>
      </c>
      <c r="AQ355" s="916">
        <f t="shared" ca="1" si="257"/>
        <v>1237.6294160000107</v>
      </c>
      <c r="AR355" s="653"/>
      <c r="AS355" s="653">
        <v>30</v>
      </c>
      <c r="AT355" s="909">
        <f t="shared" ca="1" si="216"/>
        <v>-24869.576618310119</v>
      </c>
      <c r="AU355" s="909">
        <f t="shared" si="217"/>
        <v>0</v>
      </c>
      <c r="AV355" s="909">
        <f t="shared" ca="1" si="218"/>
        <v>-6558.9464563332085</v>
      </c>
      <c r="AW355" s="909">
        <f t="shared" ca="1" si="219"/>
        <v>-509.88693257940872</v>
      </c>
      <c r="AX355" s="909">
        <f t="shared" ca="1" si="220"/>
        <v>0</v>
      </c>
      <c r="AY355" s="909">
        <f t="shared" si="221"/>
        <v>31943.353848336927</v>
      </c>
      <c r="AZ355" s="909">
        <f t="shared" ca="1" si="222"/>
        <v>-31938.410007222734</v>
      </c>
      <c r="BA355" s="653"/>
      <c r="BB355" s="653">
        <f t="shared" si="258"/>
        <v>30</v>
      </c>
      <c r="BC355" s="909">
        <f t="shared" ca="1" si="259"/>
        <v>-282199.45783988328</v>
      </c>
      <c r="BD355" s="909">
        <f t="shared" ca="1" si="260"/>
        <v>-1667622.6774000006</v>
      </c>
      <c r="BE355" s="909">
        <f t="shared" ca="1" si="261"/>
        <v>-312044.60425555991</v>
      </c>
      <c r="BF355" s="909">
        <f t="shared" ca="1" si="262"/>
        <v>742383.60640286712</v>
      </c>
      <c r="BG355" s="909">
        <f t="shared" ca="1" si="263"/>
        <v>0</v>
      </c>
      <c r="BH355" s="909">
        <f t="shared" si="264"/>
        <v>1519719.3383887699</v>
      </c>
      <c r="BI355" s="909">
        <f t="shared" ca="1" si="265"/>
        <v>-1519483.1330925762</v>
      </c>
      <c r="BJ355" s="909"/>
      <c r="BK355" s="653">
        <v>30</v>
      </c>
      <c r="BL355" s="909">
        <f t="shared" ca="1" si="223"/>
        <v>-60364.989999999983</v>
      </c>
      <c r="BM355" s="909">
        <f t="shared" si="224"/>
        <v>0</v>
      </c>
      <c r="BN355" s="909">
        <f t="shared" ca="1" si="225"/>
        <v>-15920.284584000001</v>
      </c>
      <c r="BO355" s="909">
        <f t="shared" ca="1" si="226"/>
        <v>-1237.6294160000107</v>
      </c>
      <c r="BP355" s="909">
        <f t="shared" ca="1" si="227"/>
        <v>0</v>
      </c>
      <c r="BQ355" s="909">
        <f t="shared" si="228"/>
        <v>77534.903999999995</v>
      </c>
      <c r="BR355" s="909">
        <f t="shared" ca="1" si="229"/>
        <v>-77522.903999999995</v>
      </c>
      <c r="BS355" s="653"/>
      <c r="BT355" s="653"/>
      <c r="BU355" s="653"/>
      <c r="BV355" s="654"/>
    </row>
    <row r="356" spans="2:74" x14ac:dyDescent="0.25">
      <c r="B356" s="651"/>
      <c r="C356" s="653"/>
      <c r="D356" s="653"/>
      <c r="E356" s="653"/>
      <c r="F356" s="653"/>
      <c r="G356" s="653"/>
      <c r="H356" s="653"/>
      <c r="I356" s="653"/>
      <c r="J356" s="653"/>
      <c r="K356" s="653"/>
      <c r="L356" s="653"/>
      <c r="M356" s="651">
        <v>31</v>
      </c>
      <c r="N356" s="909">
        <f t="shared" ca="1" si="230"/>
        <v>60364.989999999983</v>
      </c>
      <c r="O356" s="909">
        <f t="shared" ca="1" si="231"/>
        <v>0</v>
      </c>
      <c r="P356" s="909">
        <f t="shared" ca="1" si="232"/>
        <v>12</v>
      </c>
      <c r="Q356" s="910">
        <f t="shared" ca="1" si="233"/>
        <v>1146934.8099999977</v>
      </c>
      <c r="R356" s="909">
        <f t="shared" si="234"/>
        <v>0</v>
      </c>
      <c r="S356" s="909">
        <f t="shared" ca="1" si="235"/>
        <v>4.0487179333576929E-12</v>
      </c>
      <c r="T356" s="909">
        <f t="shared" ca="1" si="236"/>
        <v>-4.0487179333576929E-12</v>
      </c>
      <c r="U356" s="909">
        <f t="shared" ca="1" si="237"/>
        <v>1.3900598237861412E-10</v>
      </c>
      <c r="V356" s="909">
        <f t="shared" ca="1" si="238"/>
        <v>8640</v>
      </c>
      <c r="W356" s="909">
        <f t="shared" ca="1" si="239"/>
        <v>7280.284584</v>
      </c>
      <c r="X356" s="909">
        <f t="shared" ca="1" si="240"/>
        <v>76297.274583999984</v>
      </c>
      <c r="Y356" s="909">
        <f t="shared" ca="1" si="241"/>
        <v>1237.6294160000107</v>
      </c>
      <c r="Z356" s="910">
        <f t="shared" ca="1" si="242"/>
        <v>-1062298.4895953054</v>
      </c>
      <c r="AA356" s="909">
        <f t="shared" ca="1" si="243"/>
        <v>1237.6294160000107</v>
      </c>
      <c r="AB356" s="910">
        <f t="shared" ca="1" si="244"/>
        <v>-1062298.4895953054</v>
      </c>
      <c r="AC356" s="911">
        <f t="shared" ca="1" si="245"/>
        <v>0</v>
      </c>
      <c r="AD356" s="911">
        <f t="shared" ca="1" si="246"/>
        <v>0</v>
      </c>
      <c r="AE356" s="909">
        <f t="shared" ca="1" si="247"/>
        <v>0</v>
      </c>
      <c r="AF356" s="912">
        <f t="shared" ca="1" si="214"/>
        <v>0</v>
      </c>
      <c r="AG356" s="909">
        <f t="shared" si="248"/>
        <v>77534.903999999995</v>
      </c>
      <c r="AH356" s="917">
        <f t="shared" ca="1" si="249"/>
        <v>77534.903999999995</v>
      </c>
      <c r="AI356" s="909">
        <f t="shared" ca="1" si="250"/>
        <v>-77534.903999999995</v>
      </c>
      <c r="AJ356" s="916">
        <f t="shared" ca="1" si="251"/>
        <v>0</v>
      </c>
      <c r="AK356" s="916">
        <f t="shared" ca="1" si="252"/>
        <v>-77534.903999999995</v>
      </c>
      <c r="AL356" s="909">
        <f t="shared" ca="1" si="253"/>
        <v>0</v>
      </c>
      <c r="AM356" s="918">
        <f t="shared" ca="1" si="254"/>
        <v>77534.903999999995</v>
      </c>
      <c r="AN356" s="915">
        <f t="shared" si="215"/>
        <v>31</v>
      </c>
      <c r="AO356" s="653">
        <f t="shared" si="255"/>
        <v>77534.903999999995</v>
      </c>
      <c r="AP356" s="916">
        <f t="shared" ca="1" si="256"/>
        <v>60376.989999999983</v>
      </c>
      <c r="AQ356" s="916">
        <f t="shared" ca="1" si="257"/>
        <v>1237.6294160000107</v>
      </c>
      <c r="AR356" s="653"/>
      <c r="AS356" s="653">
        <v>31</v>
      </c>
      <c r="AT356" s="909">
        <f t="shared" ca="1" si="216"/>
        <v>-24145.22001777681</v>
      </c>
      <c r="AU356" s="909">
        <f t="shared" si="217"/>
        <v>0</v>
      </c>
      <c r="AV356" s="909">
        <f t="shared" ca="1" si="218"/>
        <v>-6367.9091809060264</v>
      </c>
      <c r="AW356" s="909">
        <f t="shared" ca="1" si="219"/>
        <v>-495.03585687321225</v>
      </c>
      <c r="AX356" s="909">
        <f t="shared" ca="1" si="220"/>
        <v>0</v>
      </c>
      <c r="AY356" s="909">
        <f t="shared" si="221"/>
        <v>31012.964901297979</v>
      </c>
      <c r="AZ356" s="909">
        <f t="shared" ca="1" si="222"/>
        <v>-31008.165055556048</v>
      </c>
      <c r="BA356" s="653"/>
      <c r="BB356" s="653">
        <f t="shared" si="258"/>
        <v>31</v>
      </c>
      <c r="BC356" s="909">
        <f t="shared" ca="1" si="259"/>
        <v>-306344.67785766011</v>
      </c>
      <c r="BD356" s="909">
        <f t="shared" ca="1" si="260"/>
        <v>-1667622.6774000006</v>
      </c>
      <c r="BE356" s="909">
        <f t="shared" ca="1" si="261"/>
        <v>-318412.51343646593</v>
      </c>
      <c r="BF356" s="909">
        <f t="shared" ca="1" si="262"/>
        <v>741888.57054599386</v>
      </c>
      <c r="BG356" s="909">
        <f t="shared" ca="1" si="263"/>
        <v>0</v>
      </c>
      <c r="BH356" s="909">
        <f t="shared" si="264"/>
        <v>1550732.3032900679</v>
      </c>
      <c r="BI356" s="909">
        <f t="shared" ca="1" si="265"/>
        <v>-1550491.2981481322</v>
      </c>
      <c r="BJ356" s="909"/>
      <c r="BK356" s="653">
        <v>31</v>
      </c>
      <c r="BL356" s="909">
        <f t="shared" ca="1" si="223"/>
        <v>-60364.989999999983</v>
      </c>
      <c r="BM356" s="909">
        <f t="shared" si="224"/>
        <v>0</v>
      </c>
      <c r="BN356" s="909">
        <f t="shared" ca="1" si="225"/>
        <v>-15920.284584000001</v>
      </c>
      <c r="BO356" s="909">
        <f t="shared" ca="1" si="226"/>
        <v>-1237.6294160000107</v>
      </c>
      <c r="BP356" s="909">
        <f t="shared" ca="1" si="227"/>
        <v>0</v>
      </c>
      <c r="BQ356" s="909">
        <f t="shared" si="228"/>
        <v>77534.903999999995</v>
      </c>
      <c r="BR356" s="909">
        <f t="shared" ca="1" si="229"/>
        <v>-77522.903999999995</v>
      </c>
      <c r="BS356" s="653"/>
      <c r="BT356" s="653"/>
      <c r="BU356" s="653"/>
      <c r="BV356" s="654"/>
    </row>
    <row r="357" spans="2:74" x14ac:dyDescent="0.25">
      <c r="B357" s="651"/>
      <c r="C357" s="653"/>
      <c r="D357" s="653"/>
      <c r="E357" s="653"/>
      <c r="F357" s="653"/>
      <c r="G357" s="653"/>
      <c r="H357" s="653"/>
      <c r="I357" s="653"/>
      <c r="J357" s="653"/>
      <c r="K357" s="653"/>
      <c r="L357" s="653"/>
      <c r="M357" s="651">
        <v>32</v>
      </c>
      <c r="N357" s="909">
        <f t="shared" ca="1" si="230"/>
        <v>60364.989999999983</v>
      </c>
      <c r="O357" s="909">
        <f t="shared" ca="1" si="231"/>
        <v>0</v>
      </c>
      <c r="P357" s="909">
        <f t="shared" ca="1" si="232"/>
        <v>12</v>
      </c>
      <c r="Q357" s="910">
        <f t="shared" ca="1" si="233"/>
        <v>1086569.8199999977</v>
      </c>
      <c r="R357" s="909">
        <f t="shared" si="234"/>
        <v>0</v>
      </c>
      <c r="S357" s="909">
        <f t="shared" ca="1" si="235"/>
        <v>4.1701794713584234E-12</v>
      </c>
      <c r="T357" s="909">
        <f t="shared" ca="1" si="236"/>
        <v>-4.1701794713584234E-12</v>
      </c>
      <c r="U357" s="909">
        <f t="shared" ca="1" si="237"/>
        <v>1.4317616184997256E-10</v>
      </c>
      <c r="V357" s="909">
        <f t="shared" ca="1" si="238"/>
        <v>8640</v>
      </c>
      <c r="W357" s="909">
        <f t="shared" ca="1" si="239"/>
        <v>7280.284584</v>
      </c>
      <c r="X357" s="909">
        <f t="shared" ca="1" si="240"/>
        <v>76297.274583999984</v>
      </c>
      <c r="Y357" s="909">
        <f t="shared" ca="1" si="241"/>
        <v>1237.6294160000107</v>
      </c>
      <c r="Z357" s="910">
        <f t="shared" ca="1" si="242"/>
        <v>-1061060.8601793053</v>
      </c>
      <c r="AA357" s="909">
        <f t="shared" ca="1" si="243"/>
        <v>1237.6294160000107</v>
      </c>
      <c r="AB357" s="910">
        <f t="shared" ca="1" si="244"/>
        <v>-1061060.8601793053</v>
      </c>
      <c r="AC357" s="911">
        <f t="shared" ca="1" si="245"/>
        <v>0</v>
      </c>
      <c r="AD357" s="911">
        <f t="shared" ca="1" si="246"/>
        <v>0</v>
      </c>
      <c r="AE357" s="909">
        <f t="shared" ca="1" si="247"/>
        <v>0</v>
      </c>
      <c r="AF357" s="912">
        <f t="shared" ref="AF357:AF375" ca="1" si="266">AE357/(1+$Q$308)^M357</f>
        <v>0</v>
      </c>
      <c r="AG357" s="909">
        <f t="shared" si="248"/>
        <v>77534.903999999995</v>
      </c>
      <c r="AH357" s="917">
        <f t="shared" ca="1" si="249"/>
        <v>77534.903999999995</v>
      </c>
      <c r="AI357" s="909">
        <f t="shared" ca="1" si="250"/>
        <v>-77534.903999999995</v>
      </c>
      <c r="AJ357" s="916">
        <f t="shared" ca="1" si="251"/>
        <v>0</v>
      </c>
      <c r="AK357" s="916">
        <f t="shared" ca="1" si="252"/>
        <v>-77534.903999999995</v>
      </c>
      <c r="AL357" s="909">
        <f t="shared" ca="1" si="253"/>
        <v>0</v>
      </c>
      <c r="AM357" s="918">
        <f t="shared" ca="1" si="254"/>
        <v>77534.903999999995</v>
      </c>
      <c r="AN357" s="915">
        <f t="shared" ref="AN357:AN375" si="267">M357</f>
        <v>32</v>
      </c>
      <c r="AO357" s="653">
        <f t="shared" si="255"/>
        <v>77534.903999999995</v>
      </c>
      <c r="AP357" s="916">
        <f t="shared" ca="1" si="256"/>
        <v>60376.989999999983</v>
      </c>
      <c r="AQ357" s="916">
        <f t="shared" ca="1" si="257"/>
        <v>1237.6294160000107</v>
      </c>
      <c r="AR357" s="653"/>
      <c r="AS357" s="653">
        <v>32</v>
      </c>
      <c r="AT357" s="909">
        <f t="shared" ref="AT357:AT375" ca="1" si="268">-(N357+O357)*(1+$Q$306)^-M357</f>
        <v>-23441.961182307587</v>
      </c>
      <c r="AU357" s="909">
        <f t="shared" ref="AU357:AU375" si="269">-R357*(1+$Q$306)^-M357</f>
        <v>0</v>
      </c>
      <c r="AV357" s="909">
        <f t="shared" ref="AV357:AV375" ca="1" si="270">-(V357+W357)*(1+$Q$306)^-M357</f>
        <v>-6182.4360979670173</v>
      </c>
      <c r="AW357" s="909">
        <f t="shared" ref="AW357:AW375" ca="1" si="271">-Y357*(1+$Q$306)^-M357</f>
        <v>-480.61733677010903</v>
      </c>
      <c r="AX357" s="909">
        <f t="shared" ref="AX357:AX375" ca="1" si="272">AC357*(1+$Q$306)^-M357</f>
        <v>0</v>
      </c>
      <c r="AY357" s="909">
        <f t="shared" ref="AY357:AY375" si="273">AG357*(1+$Q$306)^-M357</f>
        <v>30109.674661454355</v>
      </c>
      <c r="AZ357" s="909">
        <f t="shared" ref="AZ357:AZ375" ca="1" si="274">SUM(AT357:AX357)</f>
        <v>-30105.014617044711</v>
      </c>
      <c r="BA357" s="653"/>
      <c r="BB357" s="653">
        <f t="shared" si="258"/>
        <v>32</v>
      </c>
      <c r="BC357" s="909">
        <f t="shared" ca="1" si="259"/>
        <v>-329786.63903996767</v>
      </c>
      <c r="BD357" s="909">
        <f t="shared" ca="1" si="260"/>
        <v>-1667622.6774000006</v>
      </c>
      <c r="BE357" s="909">
        <f t="shared" ca="1" si="261"/>
        <v>-324594.94953443296</v>
      </c>
      <c r="BF357" s="909">
        <f t="shared" ca="1" si="262"/>
        <v>741407.95320922381</v>
      </c>
      <c r="BG357" s="909">
        <f t="shared" ca="1" si="263"/>
        <v>0</v>
      </c>
      <c r="BH357" s="909">
        <f t="shared" si="264"/>
        <v>1580841.9779515222</v>
      </c>
      <c r="BI357" s="909">
        <f t="shared" ca="1" si="265"/>
        <v>-1580596.3127651769</v>
      </c>
      <c r="BJ357" s="909"/>
      <c r="BK357" s="653">
        <v>32</v>
      </c>
      <c r="BL357" s="909">
        <f t="shared" ref="BL357:BL375" ca="1" si="275">-(N357+O357)</f>
        <v>-60364.989999999983</v>
      </c>
      <c r="BM357" s="909">
        <f t="shared" ref="BM357:BM375" si="276">-R357</f>
        <v>0</v>
      </c>
      <c r="BN357" s="909">
        <f t="shared" ref="BN357:BN375" ca="1" si="277">-(V357+W357)</f>
        <v>-15920.284584000001</v>
      </c>
      <c r="BO357" s="909">
        <f t="shared" ref="BO357:BO375" ca="1" si="278">-Y357</f>
        <v>-1237.6294160000107</v>
      </c>
      <c r="BP357" s="909">
        <f t="shared" ref="BP357:BP375" ca="1" si="279">AC357</f>
        <v>0</v>
      </c>
      <c r="BQ357" s="909">
        <f t="shared" ref="BQ357:BQ375" si="280">AG357</f>
        <v>77534.903999999995</v>
      </c>
      <c r="BR357" s="909">
        <f t="shared" ref="BR357:BR375" ca="1" si="281">SUM(BL357:BP357)</f>
        <v>-77522.903999999995</v>
      </c>
      <c r="BS357" s="653"/>
      <c r="BT357" s="653"/>
      <c r="BU357" s="653"/>
      <c r="BV357" s="654"/>
    </row>
    <row r="358" spans="2:74" x14ac:dyDescent="0.25">
      <c r="B358" s="651"/>
      <c r="C358" s="653"/>
      <c r="D358" s="653"/>
      <c r="E358" s="653"/>
      <c r="F358" s="653"/>
      <c r="G358" s="653"/>
      <c r="H358" s="653"/>
      <c r="I358" s="653"/>
      <c r="J358" s="653"/>
      <c r="K358" s="653"/>
      <c r="L358" s="653"/>
      <c r="M358" s="651">
        <v>33</v>
      </c>
      <c r="N358" s="909">
        <f t="shared" ref="N358:N375" ca="1" si="282">MIN(IF(Q357&lt;=0,0,IF(M358&lt;=$Y$306,$AC$306,IF(M358&lt;=$Y$307,$AC$307,IF(M358&lt;=$Y$308,$AC$308,IF(M358&lt;=$Y$309,$AC$309,IF(M358&lt;=$Y$310,$AC$310)))))),Q357)</f>
        <v>60364.989999999983</v>
      </c>
      <c r="O358" s="909">
        <f t="shared" ref="O358:O375" ca="1" si="283">MAX(MIN(AG358-X358+AC358-Y358,Q357-N358),0)</f>
        <v>0</v>
      </c>
      <c r="P358" s="909">
        <f t="shared" ref="P358:P375" ca="1" si="284">IF(Q357=0,0,Q357*$U$307+$U$305)</f>
        <v>12</v>
      </c>
      <c r="Q358" s="910">
        <f t="shared" ref="Q358:Q375" ca="1" si="285">IF(Q357=0,0,Q357-N358-O358)</f>
        <v>1026204.8299999977</v>
      </c>
      <c r="R358" s="909">
        <f t="shared" ref="R358:R375" si="286">IF(M358&lt;=$V$313,-PMT($U$313,$V$313,$S$312),0)</f>
        <v>0</v>
      </c>
      <c r="S358" s="909">
        <f t="shared" ref="S358:S375" ca="1" si="287">U357*$U$313</f>
        <v>4.2952848554991769E-12</v>
      </c>
      <c r="T358" s="909">
        <f t="shared" ref="T358:T375" ca="1" si="288">R358-S358</f>
        <v>-4.2952848554991769E-12</v>
      </c>
      <c r="U358" s="909">
        <f t="shared" ref="U358:U375" ca="1" si="289">U357-T358</f>
        <v>1.4747144670547174E-10</v>
      </c>
      <c r="V358" s="909">
        <f t="shared" ref="V358:V375" ca="1" si="290">IF(M358&lt;=$V$314,($Q$307+$U$314)*$S$313,0)</f>
        <v>8640</v>
      </c>
      <c r="W358" s="909">
        <f t="shared" ref="W358:W375" ca="1" si="291">IF(M358&lt;=$V$315,($Q$307+$U$315)*$S$314,0)</f>
        <v>7280.284584</v>
      </c>
      <c r="X358" s="909">
        <f t="shared" ref="X358:X375" ca="1" si="292">N358+R358+V358+W358+P358</f>
        <v>76297.274583999984</v>
      </c>
      <c r="Y358" s="909">
        <f t="shared" ref="Y358:Y375" ca="1" si="293">IF($R$311&gt;0,IF(M358&gt;=$Q$309,Z357*-1,IF(M358&gt;$W$319,IF(X358&gt;=AG358,0,IF(Z357+AG358-X358&gt;=0,-Z357,AG358-X358)),IF(AG358-X358&gt;=0,0,AG358-X358))),0)</f>
        <v>1237.6294160000107</v>
      </c>
      <c r="Z358" s="910">
        <f t="shared" ref="Z358:Z375" ca="1" si="294">IF(Z357+Y358&gt;=0,0,Z357+Y358)</f>
        <v>-1059823.2307633052</v>
      </c>
      <c r="AA358" s="909">
        <f t="shared" ref="AA358:AA375" ca="1" si="295">IF($S$311&gt;0,IF(M358&gt;$W$319,IF(X358&gt;=AG358,0,IF(AB357+AG358&gt;=0,-AB357,AG358-X358)),IF(AG358-X358&gt;=0,0,AG358-X358)),0)</f>
        <v>1237.6294160000107</v>
      </c>
      <c r="AB358" s="910">
        <f t="shared" ref="AB358:AB375" ca="1" si="296">IF(AB357+AA358&gt;=0,0,AB357+AA358)</f>
        <v>-1059823.2307633052</v>
      </c>
      <c r="AC358" s="911">
        <f t="shared" ref="AC358:AC375" ca="1" si="297">IF(M358&gt;=$Q$309,AD357*-1*(1+$Q$307),MAX(X358+Y358-AG358,AD357*-1*(1+$Q$307)))</f>
        <v>0</v>
      </c>
      <c r="AD358" s="911">
        <f t="shared" ref="AD358:AD375" ca="1" si="298">AC358+AD357*(1+$Q$307)</f>
        <v>0</v>
      </c>
      <c r="AE358" s="909">
        <f t="shared" ref="AE358:AE375" ca="1" si="299">IF(AG358-Y358-X358+AC358&lt;0,0,AG358-Y358-X358+AC358-O358)</f>
        <v>0</v>
      </c>
      <c r="AF358" s="912">
        <f t="shared" ca="1" si="266"/>
        <v>0</v>
      </c>
      <c r="AG358" s="909">
        <f t="shared" ref="AG358:AG375" si="300">$Y$318*$I$317*12</f>
        <v>77534.903999999995</v>
      </c>
      <c r="AH358" s="917">
        <f t="shared" ref="AH358:AH375" ca="1" si="301">(X358+Y358)</f>
        <v>77534.903999999995</v>
      </c>
      <c r="AI358" s="909">
        <f t="shared" ref="AI358:AI375" ca="1" si="302">IF(M358&gt;$Q$309,"",(X358+Y358+O358)*-1)</f>
        <v>-77534.903999999995</v>
      </c>
      <c r="AJ358" s="916">
        <f t="shared" ref="AJ358:AJ375" ca="1" si="303">IF(M358&gt;$Q$309,"",AI358+AG358)</f>
        <v>0</v>
      </c>
      <c r="AK358" s="916">
        <f t="shared" ref="AK358:AK375" ca="1" si="304">IF(M358&gt;$Q$309,"",(N358+O358+P358+R358+V358+W358+Y358-AC358)*-1)</f>
        <v>-77534.903999999995</v>
      </c>
      <c r="AL358" s="909">
        <f t="shared" ref="AL358:AL375" ca="1" si="305">IF(M358&gt;$Q$309,"",AK358+AG358)</f>
        <v>0</v>
      </c>
      <c r="AM358" s="918">
        <f t="shared" ref="AM358:AM375" ca="1" si="306">X358+Y358+O358</f>
        <v>77534.903999999995</v>
      </c>
      <c r="AN358" s="915">
        <f t="shared" si="267"/>
        <v>33</v>
      </c>
      <c r="AO358" s="653">
        <f t="shared" ref="AO358:AO375" si="307">IF(M358&gt;$Q$309,"",AG358)</f>
        <v>77534.903999999995</v>
      </c>
      <c r="AP358" s="916">
        <f t="shared" ref="AP358:AP375" ca="1" si="308">IF(M358&gt;$Q$309,"",N358+O358+P358)</f>
        <v>60376.989999999983</v>
      </c>
      <c r="AQ358" s="916">
        <f t="shared" ref="AQ358:AQ375" ca="1" si="309">IF(M358&gt;$Q$309,"",Y358)</f>
        <v>1237.6294160000107</v>
      </c>
      <c r="AR358" s="653"/>
      <c r="AS358" s="653">
        <v>33</v>
      </c>
      <c r="AT358" s="909">
        <f t="shared" ca="1" si="268"/>
        <v>-22759.185613890859</v>
      </c>
      <c r="AU358" s="909">
        <f t="shared" si="269"/>
        <v>0</v>
      </c>
      <c r="AV358" s="909">
        <f t="shared" ca="1" si="270"/>
        <v>-6002.3651436572982</v>
      </c>
      <c r="AW358" s="909">
        <f t="shared" ca="1" si="271"/>
        <v>-466.61877356321264</v>
      </c>
      <c r="AX358" s="909">
        <f t="shared" ca="1" si="272"/>
        <v>0</v>
      </c>
      <c r="AY358" s="909">
        <f t="shared" si="273"/>
        <v>29232.69384607219</v>
      </c>
      <c r="AZ358" s="909">
        <f t="shared" ca="1" si="274"/>
        <v>-29228.169531111369</v>
      </c>
      <c r="BA358" s="653"/>
      <c r="BB358" s="653">
        <f t="shared" ref="BB358:BB375" si="310">AS358</f>
        <v>33</v>
      </c>
      <c r="BC358" s="909">
        <f t="shared" ref="BC358:BC375" ca="1" si="311">BC357+AT358</f>
        <v>-352545.82465385855</v>
      </c>
      <c r="BD358" s="909">
        <f t="shared" ref="BD358:BD375" ca="1" si="312">BD357+AU358</f>
        <v>-1667622.6774000006</v>
      </c>
      <c r="BE358" s="909">
        <f t="shared" ref="BE358:BE375" ca="1" si="313">BE357+AV358</f>
        <v>-330597.31467809028</v>
      </c>
      <c r="BF358" s="909">
        <f t="shared" ref="BF358:BF375" ca="1" si="314">BF357+AW358</f>
        <v>740941.33443566062</v>
      </c>
      <c r="BG358" s="909">
        <f t="shared" ref="BG358:BG375" ca="1" si="315">BG357+AX358</f>
        <v>0</v>
      </c>
      <c r="BH358" s="909">
        <f t="shared" ref="BH358:BH375" si="316">BH357+AY358</f>
        <v>1610074.6717975945</v>
      </c>
      <c r="BI358" s="909">
        <f t="shared" ref="BI358:BI375" ca="1" si="317">BI357+AZ358</f>
        <v>-1609824.4822962882</v>
      </c>
      <c r="BJ358" s="909"/>
      <c r="BK358" s="653">
        <v>33</v>
      </c>
      <c r="BL358" s="909">
        <f t="shared" ca="1" si="275"/>
        <v>-60364.989999999983</v>
      </c>
      <c r="BM358" s="909">
        <f t="shared" si="276"/>
        <v>0</v>
      </c>
      <c r="BN358" s="909">
        <f t="shared" ca="1" si="277"/>
        <v>-15920.284584000001</v>
      </c>
      <c r="BO358" s="909">
        <f t="shared" ca="1" si="278"/>
        <v>-1237.6294160000107</v>
      </c>
      <c r="BP358" s="909">
        <f t="shared" ca="1" si="279"/>
        <v>0</v>
      </c>
      <c r="BQ358" s="909">
        <f t="shared" si="280"/>
        <v>77534.903999999995</v>
      </c>
      <c r="BR358" s="909">
        <f t="shared" ca="1" si="281"/>
        <v>-77522.903999999995</v>
      </c>
      <c r="BS358" s="653"/>
      <c r="BT358" s="653"/>
      <c r="BU358" s="653"/>
      <c r="BV358" s="654"/>
    </row>
    <row r="359" spans="2:74" x14ac:dyDescent="0.25">
      <c r="B359" s="651"/>
      <c r="C359" s="653"/>
      <c r="D359" s="653"/>
      <c r="E359" s="653"/>
      <c r="F359" s="653"/>
      <c r="G359" s="653"/>
      <c r="H359" s="653"/>
      <c r="I359" s="653"/>
      <c r="J359" s="653"/>
      <c r="K359" s="653"/>
      <c r="L359" s="653"/>
      <c r="M359" s="651">
        <v>34</v>
      </c>
      <c r="N359" s="909">
        <f t="shared" ca="1" si="282"/>
        <v>60364.989999999983</v>
      </c>
      <c r="O359" s="909">
        <f t="shared" ca="1" si="283"/>
        <v>0</v>
      </c>
      <c r="P359" s="909">
        <f t="shared" ca="1" si="284"/>
        <v>12</v>
      </c>
      <c r="Q359" s="910">
        <f t="shared" ca="1" si="285"/>
        <v>965839.83999999776</v>
      </c>
      <c r="R359" s="909">
        <f t="shared" si="286"/>
        <v>0</v>
      </c>
      <c r="S359" s="909">
        <f t="shared" ca="1" si="287"/>
        <v>4.4241434011641518E-12</v>
      </c>
      <c r="T359" s="909">
        <f t="shared" ca="1" si="288"/>
        <v>-4.4241434011641518E-12</v>
      </c>
      <c r="U359" s="909">
        <f t="shared" ca="1" si="289"/>
        <v>1.518955901066359E-10</v>
      </c>
      <c r="V359" s="909">
        <f t="shared" ca="1" si="290"/>
        <v>8640</v>
      </c>
      <c r="W359" s="909">
        <f t="shared" ca="1" si="291"/>
        <v>7280.284584</v>
      </c>
      <c r="X359" s="909">
        <f t="shared" ca="1" si="292"/>
        <v>76297.274583999984</v>
      </c>
      <c r="Y359" s="909">
        <f t="shared" ca="1" si="293"/>
        <v>1237.6294160000107</v>
      </c>
      <c r="Z359" s="910">
        <f t="shared" ca="1" si="294"/>
        <v>-1058585.6013473051</v>
      </c>
      <c r="AA359" s="909">
        <f t="shared" ca="1" si="295"/>
        <v>1237.6294160000107</v>
      </c>
      <c r="AB359" s="910">
        <f t="shared" ca="1" si="296"/>
        <v>-1058585.6013473051</v>
      </c>
      <c r="AC359" s="911">
        <f t="shared" ca="1" si="297"/>
        <v>0</v>
      </c>
      <c r="AD359" s="911">
        <f t="shared" ca="1" si="298"/>
        <v>0</v>
      </c>
      <c r="AE359" s="909">
        <f t="shared" ca="1" si="299"/>
        <v>0</v>
      </c>
      <c r="AF359" s="912">
        <f t="shared" ca="1" si="266"/>
        <v>0</v>
      </c>
      <c r="AG359" s="909">
        <f t="shared" si="300"/>
        <v>77534.903999999995</v>
      </c>
      <c r="AH359" s="917">
        <f t="shared" ca="1" si="301"/>
        <v>77534.903999999995</v>
      </c>
      <c r="AI359" s="909">
        <f t="shared" ca="1" si="302"/>
        <v>-77534.903999999995</v>
      </c>
      <c r="AJ359" s="916">
        <f t="shared" ca="1" si="303"/>
        <v>0</v>
      </c>
      <c r="AK359" s="916">
        <f t="shared" ca="1" si="304"/>
        <v>-77534.903999999995</v>
      </c>
      <c r="AL359" s="909">
        <f t="shared" ca="1" si="305"/>
        <v>0</v>
      </c>
      <c r="AM359" s="918">
        <f t="shared" ca="1" si="306"/>
        <v>77534.903999999995</v>
      </c>
      <c r="AN359" s="915">
        <f t="shared" si="267"/>
        <v>34</v>
      </c>
      <c r="AO359" s="653">
        <f t="shared" si="307"/>
        <v>77534.903999999995</v>
      </c>
      <c r="AP359" s="916">
        <f t="shared" ca="1" si="308"/>
        <v>60376.989999999983</v>
      </c>
      <c r="AQ359" s="916">
        <f t="shared" ca="1" si="309"/>
        <v>1237.6294160000107</v>
      </c>
      <c r="AR359" s="653"/>
      <c r="AS359" s="653">
        <v>34</v>
      </c>
      <c r="AT359" s="909">
        <f t="shared" ca="1" si="268"/>
        <v>-22096.296712515403</v>
      </c>
      <c r="AU359" s="909">
        <f t="shared" si="269"/>
        <v>0</v>
      </c>
      <c r="AV359" s="909">
        <f t="shared" ca="1" si="270"/>
        <v>-5827.5389744245622</v>
      </c>
      <c r="AW359" s="909">
        <f t="shared" ca="1" si="271"/>
        <v>-453.02793549826481</v>
      </c>
      <c r="AX359" s="909">
        <f t="shared" ca="1" si="272"/>
        <v>0</v>
      </c>
      <c r="AY359" s="909">
        <f t="shared" si="273"/>
        <v>28381.256161235142</v>
      </c>
      <c r="AZ359" s="909">
        <f t="shared" ca="1" si="274"/>
        <v>-28376.863622438228</v>
      </c>
      <c r="BA359" s="653"/>
      <c r="BB359" s="653">
        <f t="shared" si="310"/>
        <v>34</v>
      </c>
      <c r="BC359" s="909">
        <f t="shared" ca="1" si="311"/>
        <v>-374642.12136637396</v>
      </c>
      <c r="BD359" s="909">
        <f t="shared" ca="1" si="312"/>
        <v>-1667622.6774000006</v>
      </c>
      <c r="BE359" s="909">
        <f t="shared" ca="1" si="313"/>
        <v>-336424.85365251487</v>
      </c>
      <c r="BF359" s="909">
        <f t="shared" ca="1" si="314"/>
        <v>740488.30650016235</v>
      </c>
      <c r="BG359" s="909">
        <f t="shared" ca="1" si="315"/>
        <v>0</v>
      </c>
      <c r="BH359" s="909">
        <f t="shared" si="316"/>
        <v>1638455.9279588296</v>
      </c>
      <c r="BI359" s="909">
        <f t="shared" ca="1" si="317"/>
        <v>-1638201.3459187264</v>
      </c>
      <c r="BJ359" s="909"/>
      <c r="BK359" s="653">
        <v>34</v>
      </c>
      <c r="BL359" s="909">
        <f t="shared" ca="1" si="275"/>
        <v>-60364.989999999983</v>
      </c>
      <c r="BM359" s="909">
        <f t="shared" si="276"/>
        <v>0</v>
      </c>
      <c r="BN359" s="909">
        <f t="shared" ca="1" si="277"/>
        <v>-15920.284584000001</v>
      </c>
      <c r="BO359" s="909">
        <f t="shared" ca="1" si="278"/>
        <v>-1237.6294160000107</v>
      </c>
      <c r="BP359" s="909">
        <f t="shared" ca="1" si="279"/>
        <v>0</v>
      </c>
      <c r="BQ359" s="909">
        <f t="shared" si="280"/>
        <v>77534.903999999995</v>
      </c>
      <c r="BR359" s="909">
        <f t="shared" ca="1" si="281"/>
        <v>-77522.903999999995</v>
      </c>
      <c r="BS359" s="653"/>
      <c r="BT359" s="653"/>
      <c r="BU359" s="653"/>
      <c r="BV359" s="654"/>
    </row>
    <row r="360" spans="2:74" x14ac:dyDescent="0.25">
      <c r="B360" s="651"/>
      <c r="C360" s="653"/>
      <c r="D360" s="653"/>
      <c r="E360" s="653"/>
      <c r="F360" s="653"/>
      <c r="G360" s="653"/>
      <c r="H360" s="653"/>
      <c r="I360" s="653"/>
      <c r="J360" s="653"/>
      <c r="K360" s="653"/>
      <c r="L360" s="653"/>
      <c r="M360" s="651">
        <v>35</v>
      </c>
      <c r="N360" s="909">
        <f t="shared" ca="1" si="282"/>
        <v>60364.989999999983</v>
      </c>
      <c r="O360" s="909">
        <f t="shared" ca="1" si="283"/>
        <v>0</v>
      </c>
      <c r="P360" s="909">
        <f t="shared" ca="1" si="284"/>
        <v>12</v>
      </c>
      <c r="Q360" s="910">
        <f t="shared" ca="1" si="285"/>
        <v>905474.84999999776</v>
      </c>
      <c r="R360" s="909">
        <f t="shared" si="286"/>
        <v>0</v>
      </c>
      <c r="S360" s="909">
        <f t="shared" ca="1" si="287"/>
        <v>4.556867703199077E-12</v>
      </c>
      <c r="T360" s="909">
        <f t="shared" ca="1" si="288"/>
        <v>-4.556867703199077E-12</v>
      </c>
      <c r="U360" s="909">
        <f t="shared" ca="1" si="289"/>
        <v>1.5645245780983497E-10</v>
      </c>
      <c r="V360" s="909">
        <f t="shared" ca="1" si="290"/>
        <v>8640</v>
      </c>
      <c r="W360" s="909">
        <f t="shared" ca="1" si="291"/>
        <v>7280.284584</v>
      </c>
      <c r="X360" s="909">
        <f t="shared" ca="1" si="292"/>
        <v>76297.274583999984</v>
      </c>
      <c r="Y360" s="909">
        <f t="shared" ca="1" si="293"/>
        <v>1058585.6013473051</v>
      </c>
      <c r="Z360" s="910">
        <f t="shared" ca="1" si="294"/>
        <v>0</v>
      </c>
      <c r="AA360" s="909">
        <f t="shared" ca="1" si="295"/>
        <v>1237.6294160000107</v>
      </c>
      <c r="AB360" s="910">
        <f t="shared" ca="1" si="296"/>
        <v>-1057347.971931305</v>
      </c>
      <c r="AC360" s="911">
        <f t="shared" ca="1" si="297"/>
        <v>0</v>
      </c>
      <c r="AD360" s="911">
        <f t="shared" ca="1" si="298"/>
        <v>0</v>
      </c>
      <c r="AE360" s="909">
        <f t="shared" ca="1" si="299"/>
        <v>0</v>
      </c>
      <c r="AF360" s="912">
        <f t="shared" ca="1" si="266"/>
        <v>0</v>
      </c>
      <c r="AG360" s="909">
        <f t="shared" si="300"/>
        <v>77534.903999999995</v>
      </c>
      <c r="AH360" s="917">
        <f t="shared" ca="1" si="301"/>
        <v>1134882.8759313051</v>
      </c>
      <c r="AI360" s="909">
        <f t="shared" ca="1" si="302"/>
        <v>-1134882.8759313051</v>
      </c>
      <c r="AJ360" s="916">
        <f t="shared" ca="1" si="303"/>
        <v>-1057347.971931305</v>
      </c>
      <c r="AK360" s="916">
        <f t="shared" ca="1" si="304"/>
        <v>-1134882.8759313051</v>
      </c>
      <c r="AL360" s="909">
        <f t="shared" ca="1" si="305"/>
        <v>-1057347.971931305</v>
      </c>
      <c r="AM360" s="918">
        <f t="shared" ca="1" si="306"/>
        <v>1134882.8759313051</v>
      </c>
      <c r="AN360" s="915">
        <f t="shared" si="267"/>
        <v>35</v>
      </c>
      <c r="AO360" s="653">
        <f t="shared" si="307"/>
        <v>77534.903999999995</v>
      </c>
      <c r="AP360" s="916">
        <f t="shared" ca="1" si="308"/>
        <v>60376.989999999983</v>
      </c>
      <c r="AQ360" s="916">
        <f t="shared" ca="1" si="309"/>
        <v>1058585.6013473051</v>
      </c>
      <c r="AR360" s="653"/>
      <c r="AS360" s="653">
        <v>35</v>
      </c>
      <c r="AT360" s="909">
        <f t="shared" ca="1" si="268"/>
        <v>-21452.715254869319</v>
      </c>
      <c r="AU360" s="909">
        <f t="shared" si="269"/>
        <v>0</v>
      </c>
      <c r="AV360" s="909">
        <f t="shared" ca="1" si="270"/>
        <v>-5657.8048295384087</v>
      </c>
      <c r="AW360" s="909">
        <f t="shared" ca="1" si="271"/>
        <v>-376203.7478778403</v>
      </c>
      <c r="AX360" s="909">
        <f t="shared" ca="1" si="272"/>
        <v>0</v>
      </c>
      <c r="AY360" s="909">
        <f t="shared" si="273"/>
        <v>27554.61763226712</v>
      </c>
      <c r="AZ360" s="909">
        <f t="shared" ca="1" si="274"/>
        <v>-403314.26796224801</v>
      </c>
      <c r="BA360" s="653"/>
      <c r="BB360" s="653">
        <f t="shared" si="310"/>
        <v>35</v>
      </c>
      <c r="BC360" s="909">
        <f t="shared" ca="1" si="311"/>
        <v>-396094.83662124327</v>
      </c>
      <c r="BD360" s="909">
        <f t="shared" ca="1" si="312"/>
        <v>-1667622.6774000006</v>
      </c>
      <c r="BE360" s="909">
        <f t="shared" ca="1" si="313"/>
        <v>-342082.65848205326</v>
      </c>
      <c r="BF360" s="909">
        <f t="shared" ca="1" si="314"/>
        <v>364284.55862232205</v>
      </c>
      <c r="BG360" s="909">
        <f t="shared" ca="1" si="315"/>
        <v>0</v>
      </c>
      <c r="BH360" s="909">
        <f t="shared" si="316"/>
        <v>1666010.5455910966</v>
      </c>
      <c r="BI360" s="909">
        <f t="shared" ca="1" si="317"/>
        <v>-2041515.6138809745</v>
      </c>
      <c r="BJ360" s="909"/>
      <c r="BK360" s="653">
        <v>35</v>
      </c>
      <c r="BL360" s="909">
        <f t="shared" ca="1" si="275"/>
        <v>-60364.989999999983</v>
      </c>
      <c r="BM360" s="909">
        <f t="shared" si="276"/>
        <v>0</v>
      </c>
      <c r="BN360" s="909">
        <f t="shared" ca="1" si="277"/>
        <v>-15920.284584000001</v>
      </c>
      <c r="BO360" s="909">
        <f t="shared" ca="1" si="278"/>
        <v>-1058585.6013473051</v>
      </c>
      <c r="BP360" s="909">
        <f t="shared" ca="1" si="279"/>
        <v>0</v>
      </c>
      <c r="BQ360" s="909">
        <f t="shared" si="280"/>
        <v>77534.903999999995</v>
      </c>
      <c r="BR360" s="909">
        <f t="shared" ca="1" si="281"/>
        <v>-1134870.8759313051</v>
      </c>
      <c r="BS360" s="653"/>
      <c r="BT360" s="653"/>
      <c r="BU360" s="653"/>
      <c r="BV360" s="654"/>
    </row>
    <row r="361" spans="2:74" x14ac:dyDescent="0.25">
      <c r="B361" s="651"/>
      <c r="C361" s="653"/>
      <c r="D361" s="653"/>
      <c r="E361" s="653"/>
      <c r="F361" s="653"/>
      <c r="G361" s="653"/>
      <c r="H361" s="653"/>
      <c r="I361" s="653"/>
      <c r="J361" s="653"/>
      <c r="K361" s="653"/>
      <c r="L361" s="653"/>
      <c r="M361" s="651">
        <v>36</v>
      </c>
      <c r="N361" s="909">
        <f t="shared" ca="1" si="282"/>
        <v>60364.989999999983</v>
      </c>
      <c r="O361" s="909">
        <f t="shared" ca="1" si="283"/>
        <v>8517.9140000000043</v>
      </c>
      <c r="P361" s="909">
        <f t="shared" ca="1" si="284"/>
        <v>12</v>
      </c>
      <c r="Q361" s="910">
        <f t="shared" ca="1" si="285"/>
        <v>836591.94599999778</v>
      </c>
      <c r="R361" s="909">
        <f t="shared" si="286"/>
        <v>0</v>
      </c>
      <c r="S361" s="909">
        <f t="shared" ca="1" si="287"/>
        <v>4.693573734295049E-12</v>
      </c>
      <c r="T361" s="909">
        <f t="shared" ca="1" si="288"/>
        <v>-4.693573734295049E-12</v>
      </c>
      <c r="U361" s="909">
        <f t="shared" ca="1" si="289"/>
        <v>1.6114603154413003E-10</v>
      </c>
      <c r="V361" s="909">
        <f t="shared" ca="1" si="290"/>
        <v>8640</v>
      </c>
      <c r="W361" s="909">
        <f t="shared" ca="1" si="291"/>
        <v>0</v>
      </c>
      <c r="X361" s="909">
        <f t="shared" ca="1" si="292"/>
        <v>69016.989999999991</v>
      </c>
      <c r="Y361" s="909">
        <f t="shared" ca="1" si="293"/>
        <v>0</v>
      </c>
      <c r="Z361" s="910">
        <f t="shared" ca="1" si="294"/>
        <v>0</v>
      </c>
      <c r="AA361" s="909">
        <f t="shared" ca="1" si="295"/>
        <v>8517.9140000000043</v>
      </c>
      <c r="AB361" s="910">
        <f t="shared" ca="1" si="296"/>
        <v>-1048830.0579313049</v>
      </c>
      <c r="AC361" s="911">
        <f t="shared" ca="1" si="297"/>
        <v>0</v>
      </c>
      <c r="AD361" s="911">
        <f t="shared" ca="1" si="298"/>
        <v>0</v>
      </c>
      <c r="AE361" s="909">
        <f t="shared" ca="1" si="299"/>
        <v>0</v>
      </c>
      <c r="AF361" s="912">
        <f t="shared" ca="1" si="266"/>
        <v>0</v>
      </c>
      <c r="AG361" s="909">
        <f t="shared" si="300"/>
        <v>77534.903999999995</v>
      </c>
      <c r="AH361" s="917">
        <f t="shared" ca="1" si="301"/>
        <v>69016.989999999991</v>
      </c>
      <c r="AI361" s="909" t="str">
        <f t="shared" si="302"/>
        <v/>
      </c>
      <c r="AJ361" s="916" t="str">
        <f t="shared" si="303"/>
        <v/>
      </c>
      <c r="AK361" s="916" t="str">
        <f t="shared" si="304"/>
        <v/>
      </c>
      <c r="AL361" s="909" t="str">
        <f t="shared" si="305"/>
        <v/>
      </c>
      <c r="AM361" s="918">
        <f t="shared" ca="1" si="306"/>
        <v>77534.903999999995</v>
      </c>
      <c r="AN361" s="915">
        <f t="shared" si="267"/>
        <v>36</v>
      </c>
      <c r="AO361" s="653" t="str">
        <f t="shared" si="307"/>
        <v/>
      </c>
      <c r="AP361" s="916" t="str">
        <f t="shared" si="308"/>
        <v/>
      </c>
      <c r="AQ361" s="916" t="str">
        <f t="shared" si="309"/>
        <v/>
      </c>
      <c r="AR361" s="653"/>
      <c r="AS361" s="653">
        <v>36</v>
      </c>
      <c r="AT361" s="909">
        <f t="shared" ca="1" si="268"/>
        <v>-23766.835412066939</v>
      </c>
      <c r="AU361" s="909">
        <f t="shared" si="269"/>
        <v>0</v>
      </c>
      <c r="AV361" s="909">
        <f t="shared" ca="1" si="270"/>
        <v>-2981.0801524897734</v>
      </c>
      <c r="AW361" s="909">
        <f t="shared" ca="1" si="271"/>
        <v>0</v>
      </c>
      <c r="AX361" s="909">
        <f t="shared" ca="1" si="272"/>
        <v>0</v>
      </c>
      <c r="AY361" s="909">
        <f t="shared" si="273"/>
        <v>26752.0559536574</v>
      </c>
      <c r="AZ361" s="909">
        <f t="shared" ca="1" si="274"/>
        <v>-26747.915564556712</v>
      </c>
      <c r="BA361" s="653"/>
      <c r="BB361" s="653">
        <f t="shared" si="310"/>
        <v>36</v>
      </c>
      <c r="BC361" s="909">
        <f t="shared" ca="1" si="311"/>
        <v>-419861.67203331023</v>
      </c>
      <c r="BD361" s="909">
        <f t="shared" ca="1" si="312"/>
        <v>-1667622.6774000006</v>
      </c>
      <c r="BE361" s="909">
        <f t="shared" ca="1" si="313"/>
        <v>-345063.73863454303</v>
      </c>
      <c r="BF361" s="909">
        <f t="shared" ca="1" si="314"/>
        <v>364284.55862232205</v>
      </c>
      <c r="BG361" s="909">
        <f t="shared" ca="1" si="315"/>
        <v>0</v>
      </c>
      <c r="BH361" s="909">
        <f t="shared" si="316"/>
        <v>1692762.6015447541</v>
      </c>
      <c r="BI361" s="909">
        <f t="shared" ca="1" si="317"/>
        <v>-2068263.5294455311</v>
      </c>
      <c r="BJ361" s="909"/>
      <c r="BK361" s="653">
        <v>36</v>
      </c>
      <c r="BL361" s="909">
        <f t="shared" ca="1" si="275"/>
        <v>-68882.90399999998</v>
      </c>
      <c r="BM361" s="909">
        <f t="shared" si="276"/>
        <v>0</v>
      </c>
      <c r="BN361" s="909">
        <f t="shared" ca="1" si="277"/>
        <v>-8640</v>
      </c>
      <c r="BO361" s="909">
        <f t="shared" ca="1" si="278"/>
        <v>0</v>
      </c>
      <c r="BP361" s="909">
        <f t="shared" ca="1" si="279"/>
        <v>0</v>
      </c>
      <c r="BQ361" s="909">
        <f t="shared" si="280"/>
        <v>77534.903999999995</v>
      </c>
      <c r="BR361" s="909">
        <f t="shared" ca="1" si="281"/>
        <v>-77522.90399999998</v>
      </c>
      <c r="BS361" s="653"/>
      <c r="BT361" s="653"/>
      <c r="BU361" s="653"/>
      <c r="BV361" s="654"/>
    </row>
    <row r="362" spans="2:74" x14ac:dyDescent="0.25">
      <c r="B362" s="651"/>
      <c r="C362" s="653"/>
      <c r="D362" s="653"/>
      <c r="E362" s="653"/>
      <c r="F362" s="653"/>
      <c r="G362" s="653"/>
      <c r="H362" s="653"/>
      <c r="I362" s="653"/>
      <c r="J362" s="653"/>
      <c r="K362" s="653"/>
      <c r="L362" s="653"/>
      <c r="M362" s="651">
        <v>37</v>
      </c>
      <c r="N362" s="909">
        <f t="shared" ca="1" si="282"/>
        <v>60364.989999999983</v>
      </c>
      <c r="O362" s="909">
        <f t="shared" ca="1" si="283"/>
        <v>8517.9140000000043</v>
      </c>
      <c r="P362" s="909">
        <f t="shared" ca="1" si="284"/>
        <v>12</v>
      </c>
      <c r="Q362" s="910">
        <f t="shared" ca="1" si="285"/>
        <v>767709.0419999978</v>
      </c>
      <c r="R362" s="909">
        <f t="shared" si="286"/>
        <v>0</v>
      </c>
      <c r="S362" s="909">
        <f t="shared" ca="1" si="287"/>
        <v>4.8343809463239003E-12</v>
      </c>
      <c r="T362" s="909">
        <f t="shared" ca="1" si="288"/>
        <v>-4.8343809463239003E-12</v>
      </c>
      <c r="U362" s="909">
        <f t="shared" ca="1" si="289"/>
        <v>1.6598041249045393E-10</v>
      </c>
      <c r="V362" s="909">
        <f t="shared" ca="1" si="290"/>
        <v>8640</v>
      </c>
      <c r="W362" s="909">
        <f t="shared" ca="1" si="291"/>
        <v>0</v>
      </c>
      <c r="X362" s="909">
        <f t="shared" ca="1" si="292"/>
        <v>69016.989999999991</v>
      </c>
      <c r="Y362" s="909">
        <f t="shared" ca="1" si="293"/>
        <v>0</v>
      </c>
      <c r="Z362" s="910">
        <f t="shared" ca="1" si="294"/>
        <v>0</v>
      </c>
      <c r="AA362" s="909">
        <f t="shared" ca="1" si="295"/>
        <v>8517.9140000000043</v>
      </c>
      <c r="AB362" s="910">
        <f t="shared" ca="1" si="296"/>
        <v>-1040312.1439313049</v>
      </c>
      <c r="AC362" s="911">
        <f t="shared" ca="1" si="297"/>
        <v>0</v>
      </c>
      <c r="AD362" s="911">
        <f t="shared" ca="1" si="298"/>
        <v>0</v>
      </c>
      <c r="AE362" s="909">
        <f t="shared" ca="1" si="299"/>
        <v>0</v>
      </c>
      <c r="AF362" s="912">
        <f t="shared" ca="1" si="266"/>
        <v>0</v>
      </c>
      <c r="AG362" s="909">
        <f t="shared" si="300"/>
        <v>77534.903999999995</v>
      </c>
      <c r="AH362" s="917">
        <f t="shared" ca="1" si="301"/>
        <v>69016.989999999991</v>
      </c>
      <c r="AI362" s="909" t="str">
        <f t="shared" si="302"/>
        <v/>
      </c>
      <c r="AJ362" s="916" t="str">
        <f t="shared" si="303"/>
        <v/>
      </c>
      <c r="AK362" s="916" t="str">
        <f t="shared" si="304"/>
        <v/>
      </c>
      <c r="AL362" s="909" t="str">
        <f t="shared" si="305"/>
        <v/>
      </c>
      <c r="AM362" s="918">
        <f t="shared" ca="1" si="306"/>
        <v>77534.903999999995</v>
      </c>
      <c r="AN362" s="915">
        <f t="shared" si="267"/>
        <v>37</v>
      </c>
      <c r="AO362" s="653" t="str">
        <f t="shared" si="307"/>
        <v/>
      </c>
      <c r="AP362" s="916" t="str">
        <f t="shared" si="308"/>
        <v/>
      </c>
      <c r="AQ362" s="916" t="str">
        <f t="shared" si="309"/>
        <v/>
      </c>
      <c r="AR362" s="653"/>
      <c r="AS362" s="653">
        <v>37</v>
      </c>
      <c r="AT362" s="909">
        <f t="shared" ca="1" si="268"/>
        <v>-23074.597487443636</v>
      </c>
      <c r="AU362" s="909">
        <f t="shared" si="269"/>
        <v>0</v>
      </c>
      <c r="AV362" s="909">
        <f t="shared" ca="1" si="270"/>
        <v>-2894.2525752327902</v>
      </c>
      <c r="AW362" s="909">
        <f t="shared" ca="1" si="271"/>
        <v>0</v>
      </c>
      <c r="AX362" s="909">
        <f t="shared" ca="1" si="272"/>
        <v>0</v>
      </c>
      <c r="AY362" s="909">
        <f t="shared" si="273"/>
        <v>25972.86985791981</v>
      </c>
      <c r="AZ362" s="909">
        <f t="shared" ca="1" si="274"/>
        <v>-25968.850062676425</v>
      </c>
      <c r="BA362" s="653"/>
      <c r="BB362" s="653">
        <f t="shared" si="310"/>
        <v>37</v>
      </c>
      <c r="BC362" s="909">
        <f t="shared" ca="1" si="311"/>
        <v>-442936.26952075388</v>
      </c>
      <c r="BD362" s="909">
        <f t="shared" ca="1" si="312"/>
        <v>-1667622.6774000006</v>
      </c>
      <c r="BE362" s="909">
        <f t="shared" ca="1" si="313"/>
        <v>-347957.99120977579</v>
      </c>
      <c r="BF362" s="909">
        <f t="shared" ca="1" si="314"/>
        <v>364284.55862232205</v>
      </c>
      <c r="BG362" s="909">
        <f t="shared" ca="1" si="315"/>
        <v>0</v>
      </c>
      <c r="BH362" s="909">
        <f t="shared" si="316"/>
        <v>1718735.471402674</v>
      </c>
      <c r="BI362" s="909">
        <f t="shared" ca="1" si="317"/>
        <v>-2094232.3795082076</v>
      </c>
      <c r="BJ362" s="909"/>
      <c r="BK362" s="653">
        <v>37</v>
      </c>
      <c r="BL362" s="909">
        <f t="shared" ca="1" si="275"/>
        <v>-68882.90399999998</v>
      </c>
      <c r="BM362" s="909">
        <f t="shared" si="276"/>
        <v>0</v>
      </c>
      <c r="BN362" s="909">
        <f t="shared" ca="1" si="277"/>
        <v>-8640</v>
      </c>
      <c r="BO362" s="909">
        <f t="shared" ca="1" si="278"/>
        <v>0</v>
      </c>
      <c r="BP362" s="909">
        <f t="shared" ca="1" si="279"/>
        <v>0</v>
      </c>
      <c r="BQ362" s="909">
        <f t="shared" si="280"/>
        <v>77534.903999999995</v>
      </c>
      <c r="BR362" s="909">
        <f t="shared" ca="1" si="281"/>
        <v>-77522.90399999998</v>
      </c>
      <c r="BS362" s="653"/>
      <c r="BT362" s="653"/>
      <c r="BU362" s="653"/>
      <c r="BV362" s="654"/>
    </row>
    <row r="363" spans="2:74" x14ac:dyDescent="0.25">
      <c r="B363" s="651"/>
      <c r="C363" s="653"/>
      <c r="D363" s="653"/>
      <c r="E363" s="653"/>
      <c r="F363" s="653"/>
      <c r="G363" s="653"/>
      <c r="H363" s="653"/>
      <c r="I363" s="653"/>
      <c r="J363" s="653"/>
      <c r="K363" s="653"/>
      <c r="L363" s="653"/>
      <c r="M363" s="651">
        <v>38</v>
      </c>
      <c r="N363" s="909">
        <f t="shared" ca="1" si="282"/>
        <v>60364.989999999983</v>
      </c>
      <c r="O363" s="909">
        <f t="shared" ca="1" si="283"/>
        <v>8517.9140000000043</v>
      </c>
      <c r="P363" s="909">
        <f t="shared" ca="1" si="284"/>
        <v>12</v>
      </c>
      <c r="Q363" s="910">
        <f t="shared" ca="1" si="285"/>
        <v>698826.13799999782</v>
      </c>
      <c r="R363" s="909">
        <f t="shared" si="286"/>
        <v>0</v>
      </c>
      <c r="S363" s="909">
        <f t="shared" ca="1" si="287"/>
        <v>4.979412374713618E-12</v>
      </c>
      <c r="T363" s="909">
        <f t="shared" ca="1" si="288"/>
        <v>-4.979412374713618E-12</v>
      </c>
      <c r="U363" s="909">
        <f t="shared" ca="1" si="289"/>
        <v>1.7095982486516754E-10</v>
      </c>
      <c r="V363" s="909">
        <f t="shared" ca="1" si="290"/>
        <v>8640</v>
      </c>
      <c r="W363" s="909">
        <f t="shared" ca="1" si="291"/>
        <v>0</v>
      </c>
      <c r="X363" s="909">
        <f t="shared" ca="1" si="292"/>
        <v>69016.989999999991</v>
      </c>
      <c r="Y363" s="909">
        <f t="shared" ca="1" si="293"/>
        <v>0</v>
      </c>
      <c r="Z363" s="910">
        <f t="shared" ca="1" si="294"/>
        <v>0</v>
      </c>
      <c r="AA363" s="909">
        <f t="shared" ca="1" si="295"/>
        <v>8517.9140000000043</v>
      </c>
      <c r="AB363" s="910">
        <f t="shared" ca="1" si="296"/>
        <v>-1031794.2299313049</v>
      </c>
      <c r="AC363" s="911">
        <f t="shared" ca="1" si="297"/>
        <v>0</v>
      </c>
      <c r="AD363" s="911">
        <f t="shared" ca="1" si="298"/>
        <v>0</v>
      </c>
      <c r="AE363" s="909">
        <f t="shared" ca="1" si="299"/>
        <v>0</v>
      </c>
      <c r="AF363" s="912">
        <f t="shared" ca="1" si="266"/>
        <v>0</v>
      </c>
      <c r="AG363" s="909">
        <f t="shared" si="300"/>
        <v>77534.903999999995</v>
      </c>
      <c r="AH363" s="917">
        <f t="shared" ca="1" si="301"/>
        <v>69016.989999999991</v>
      </c>
      <c r="AI363" s="909" t="str">
        <f t="shared" si="302"/>
        <v/>
      </c>
      <c r="AJ363" s="916" t="str">
        <f t="shared" si="303"/>
        <v/>
      </c>
      <c r="AK363" s="916" t="str">
        <f t="shared" si="304"/>
        <v/>
      </c>
      <c r="AL363" s="909" t="str">
        <f t="shared" si="305"/>
        <v/>
      </c>
      <c r="AM363" s="918">
        <f t="shared" ca="1" si="306"/>
        <v>77534.903999999995</v>
      </c>
      <c r="AN363" s="915">
        <f t="shared" si="267"/>
        <v>38</v>
      </c>
      <c r="AO363" s="653" t="str">
        <f t="shared" si="307"/>
        <v/>
      </c>
      <c r="AP363" s="916" t="str">
        <f t="shared" si="308"/>
        <v/>
      </c>
      <c r="AQ363" s="916" t="str">
        <f t="shared" si="309"/>
        <v/>
      </c>
      <c r="AR363" s="653"/>
      <c r="AS363" s="653">
        <v>38</v>
      </c>
      <c r="AT363" s="909">
        <f t="shared" ca="1" si="268"/>
        <v>-22402.521832469552</v>
      </c>
      <c r="AU363" s="909">
        <f t="shared" si="269"/>
        <v>0</v>
      </c>
      <c r="AV363" s="909">
        <f t="shared" ca="1" si="270"/>
        <v>-2809.9539565366899</v>
      </c>
      <c r="AW363" s="909">
        <f t="shared" ca="1" si="271"/>
        <v>0</v>
      </c>
      <c r="AX363" s="909">
        <f t="shared" ca="1" si="272"/>
        <v>0</v>
      </c>
      <c r="AY363" s="909">
        <f t="shared" si="273"/>
        <v>25216.37850283477</v>
      </c>
      <c r="AZ363" s="909">
        <f t="shared" ca="1" si="274"/>
        <v>-25212.475789006243</v>
      </c>
      <c r="BA363" s="653"/>
      <c r="BB363" s="653">
        <f t="shared" si="310"/>
        <v>38</v>
      </c>
      <c r="BC363" s="909">
        <f t="shared" ca="1" si="311"/>
        <v>-465338.79135322344</v>
      </c>
      <c r="BD363" s="909">
        <f t="shared" ca="1" si="312"/>
        <v>-1667622.6774000006</v>
      </c>
      <c r="BE363" s="909">
        <f t="shared" ca="1" si="313"/>
        <v>-350767.94516631251</v>
      </c>
      <c r="BF363" s="909">
        <f t="shared" ca="1" si="314"/>
        <v>364284.55862232205</v>
      </c>
      <c r="BG363" s="909">
        <f t="shared" ca="1" si="315"/>
        <v>0</v>
      </c>
      <c r="BH363" s="909">
        <f t="shared" si="316"/>
        <v>1743951.8499055088</v>
      </c>
      <c r="BI363" s="909">
        <f t="shared" ca="1" si="317"/>
        <v>-2119444.8552972139</v>
      </c>
      <c r="BJ363" s="909"/>
      <c r="BK363" s="653">
        <v>38</v>
      </c>
      <c r="BL363" s="909">
        <f t="shared" ca="1" si="275"/>
        <v>-68882.90399999998</v>
      </c>
      <c r="BM363" s="909">
        <f t="shared" si="276"/>
        <v>0</v>
      </c>
      <c r="BN363" s="909">
        <f t="shared" ca="1" si="277"/>
        <v>-8640</v>
      </c>
      <c r="BO363" s="909">
        <f t="shared" ca="1" si="278"/>
        <v>0</v>
      </c>
      <c r="BP363" s="909">
        <f t="shared" ca="1" si="279"/>
        <v>0</v>
      </c>
      <c r="BQ363" s="909">
        <f t="shared" si="280"/>
        <v>77534.903999999995</v>
      </c>
      <c r="BR363" s="909">
        <f t="shared" ca="1" si="281"/>
        <v>-77522.90399999998</v>
      </c>
      <c r="BS363" s="653"/>
      <c r="BT363" s="653"/>
      <c r="BU363" s="653"/>
      <c r="BV363" s="654"/>
    </row>
    <row r="364" spans="2:74" x14ac:dyDescent="0.25">
      <c r="B364" s="651"/>
      <c r="C364" s="653"/>
      <c r="D364" s="653"/>
      <c r="E364" s="653"/>
      <c r="F364" s="653"/>
      <c r="G364" s="653"/>
      <c r="H364" s="653"/>
      <c r="I364" s="653"/>
      <c r="J364" s="653"/>
      <c r="K364" s="653"/>
      <c r="L364" s="653"/>
      <c r="M364" s="651">
        <v>39</v>
      </c>
      <c r="N364" s="909">
        <f t="shared" ca="1" si="282"/>
        <v>60364.989999999983</v>
      </c>
      <c r="O364" s="909">
        <f t="shared" ca="1" si="283"/>
        <v>8517.9140000000043</v>
      </c>
      <c r="P364" s="909">
        <f t="shared" ca="1" si="284"/>
        <v>12</v>
      </c>
      <c r="Q364" s="910">
        <f t="shared" ca="1" si="285"/>
        <v>629943.23399999784</v>
      </c>
      <c r="R364" s="909">
        <f t="shared" si="286"/>
        <v>0</v>
      </c>
      <c r="S364" s="909">
        <f t="shared" ca="1" si="287"/>
        <v>5.1287947459550261E-12</v>
      </c>
      <c r="T364" s="909">
        <f t="shared" ca="1" si="288"/>
        <v>-5.1287947459550261E-12</v>
      </c>
      <c r="U364" s="909">
        <f t="shared" ca="1" si="289"/>
        <v>1.7608861961112256E-10</v>
      </c>
      <c r="V364" s="909">
        <f t="shared" ca="1" si="290"/>
        <v>8640</v>
      </c>
      <c r="W364" s="909">
        <f t="shared" ca="1" si="291"/>
        <v>0</v>
      </c>
      <c r="X364" s="909">
        <f t="shared" ca="1" si="292"/>
        <v>69016.989999999991</v>
      </c>
      <c r="Y364" s="909">
        <f t="shared" ca="1" si="293"/>
        <v>0</v>
      </c>
      <c r="Z364" s="910">
        <f t="shared" ca="1" si="294"/>
        <v>0</v>
      </c>
      <c r="AA364" s="909">
        <f t="shared" ca="1" si="295"/>
        <v>8517.9140000000043</v>
      </c>
      <c r="AB364" s="910">
        <f t="shared" ca="1" si="296"/>
        <v>-1023276.3159313049</v>
      </c>
      <c r="AC364" s="911">
        <f t="shared" ca="1" si="297"/>
        <v>0</v>
      </c>
      <c r="AD364" s="911">
        <f t="shared" ca="1" si="298"/>
        <v>0</v>
      </c>
      <c r="AE364" s="909">
        <f t="shared" ca="1" si="299"/>
        <v>0</v>
      </c>
      <c r="AF364" s="912">
        <f t="shared" ca="1" si="266"/>
        <v>0</v>
      </c>
      <c r="AG364" s="909">
        <f t="shared" si="300"/>
        <v>77534.903999999995</v>
      </c>
      <c r="AH364" s="917">
        <f t="shared" ca="1" si="301"/>
        <v>69016.989999999991</v>
      </c>
      <c r="AI364" s="909" t="str">
        <f t="shared" si="302"/>
        <v/>
      </c>
      <c r="AJ364" s="916" t="str">
        <f t="shared" si="303"/>
        <v/>
      </c>
      <c r="AK364" s="916" t="str">
        <f t="shared" si="304"/>
        <v/>
      </c>
      <c r="AL364" s="909" t="str">
        <f t="shared" si="305"/>
        <v/>
      </c>
      <c r="AM364" s="918">
        <f t="shared" ca="1" si="306"/>
        <v>77534.903999999995</v>
      </c>
      <c r="AN364" s="915">
        <f t="shared" si="267"/>
        <v>39</v>
      </c>
      <c r="AO364" s="653" t="str">
        <f t="shared" si="307"/>
        <v/>
      </c>
      <c r="AP364" s="916" t="str">
        <f t="shared" si="308"/>
        <v/>
      </c>
      <c r="AQ364" s="916" t="str">
        <f t="shared" si="309"/>
        <v/>
      </c>
      <c r="AR364" s="653"/>
      <c r="AS364" s="653">
        <v>39</v>
      </c>
      <c r="AT364" s="909">
        <f t="shared" ca="1" si="268"/>
        <v>-21750.021196572376</v>
      </c>
      <c r="AU364" s="909">
        <f t="shared" si="269"/>
        <v>0</v>
      </c>
      <c r="AV364" s="909">
        <f t="shared" ca="1" si="270"/>
        <v>-2728.1106374142614</v>
      </c>
      <c r="AW364" s="909">
        <f t="shared" ca="1" si="271"/>
        <v>0</v>
      </c>
      <c r="AX364" s="909">
        <f t="shared" ca="1" si="272"/>
        <v>0</v>
      </c>
      <c r="AY364" s="909">
        <f t="shared" si="273"/>
        <v>24481.920876538607</v>
      </c>
      <c r="AZ364" s="909">
        <f t="shared" ca="1" si="274"/>
        <v>-24478.131833986638</v>
      </c>
      <c r="BA364" s="653"/>
      <c r="BB364" s="653">
        <f t="shared" si="310"/>
        <v>39</v>
      </c>
      <c r="BC364" s="909">
        <f t="shared" ca="1" si="311"/>
        <v>-487088.81254979584</v>
      </c>
      <c r="BD364" s="909">
        <f t="shared" ca="1" si="312"/>
        <v>-1667622.6774000006</v>
      </c>
      <c r="BE364" s="909">
        <f t="shared" ca="1" si="313"/>
        <v>-353496.05580372678</v>
      </c>
      <c r="BF364" s="909">
        <f t="shared" ca="1" si="314"/>
        <v>364284.55862232205</v>
      </c>
      <c r="BG364" s="909">
        <f t="shared" ca="1" si="315"/>
        <v>0</v>
      </c>
      <c r="BH364" s="909">
        <f t="shared" si="316"/>
        <v>1768433.7707820474</v>
      </c>
      <c r="BI364" s="909">
        <f t="shared" ca="1" si="317"/>
        <v>-2143922.9871312007</v>
      </c>
      <c r="BJ364" s="909"/>
      <c r="BK364" s="653">
        <v>39</v>
      </c>
      <c r="BL364" s="909">
        <f t="shared" ca="1" si="275"/>
        <v>-68882.90399999998</v>
      </c>
      <c r="BM364" s="909">
        <f t="shared" si="276"/>
        <v>0</v>
      </c>
      <c r="BN364" s="909">
        <f t="shared" ca="1" si="277"/>
        <v>-8640</v>
      </c>
      <c r="BO364" s="909">
        <f t="shared" ca="1" si="278"/>
        <v>0</v>
      </c>
      <c r="BP364" s="909">
        <f t="shared" ca="1" si="279"/>
        <v>0</v>
      </c>
      <c r="BQ364" s="909">
        <f t="shared" si="280"/>
        <v>77534.903999999995</v>
      </c>
      <c r="BR364" s="909">
        <f t="shared" ca="1" si="281"/>
        <v>-77522.90399999998</v>
      </c>
      <c r="BS364" s="653"/>
      <c r="BT364" s="653"/>
      <c r="BU364" s="653"/>
      <c r="BV364" s="654"/>
    </row>
    <row r="365" spans="2:74" x14ac:dyDescent="0.25">
      <c r="B365" s="651"/>
      <c r="C365" s="653"/>
      <c r="D365" s="653"/>
      <c r="E365" s="653"/>
      <c r="F365" s="653"/>
      <c r="G365" s="653"/>
      <c r="H365" s="653"/>
      <c r="I365" s="653"/>
      <c r="J365" s="653"/>
      <c r="K365" s="653"/>
      <c r="L365" s="653"/>
      <c r="M365" s="651">
        <v>40</v>
      </c>
      <c r="N365" s="909">
        <f t="shared" ca="1" si="282"/>
        <v>60364.989999999983</v>
      </c>
      <c r="O365" s="909">
        <f t="shared" ca="1" si="283"/>
        <v>8517.9140000000043</v>
      </c>
      <c r="P365" s="909">
        <f t="shared" ca="1" si="284"/>
        <v>12</v>
      </c>
      <c r="Q365" s="910">
        <f t="shared" ca="1" si="285"/>
        <v>561060.32999999786</v>
      </c>
      <c r="R365" s="909">
        <f t="shared" si="286"/>
        <v>0</v>
      </c>
      <c r="S365" s="909">
        <f t="shared" ca="1" si="287"/>
        <v>5.2826585883336765E-12</v>
      </c>
      <c r="T365" s="909">
        <f t="shared" ca="1" si="288"/>
        <v>-5.2826585883336765E-12</v>
      </c>
      <c r="U365" s="909">
        <f t="shared" ca="1" si="289"/>
        <v>1.8137127819945624E-10</v>
      </c>
      <c r="V365" s="909">
        <f t="shared" ca="1" si="290"/>
        <v>8640</v>
      </c>
      <c r="W365" s="909">
        <f t="shared" ca="1" si="291"/>
        <v>0</v>
      </c>
      <c r="X365" s="909">
        <f t="shared" ca="1" si="292"/>
        <v>69016.989999999991</v>
      </c>
      <c r="Y365" s="909">
        <f t="shared" ca="1" si="293"/>
        <v>0</v>
      </c>
      <c r="Z365" s="910">
        <f t="shared" ca="1" si="294"/>
        <v>0</v>
      </c>
      <c r="AA365" s="909">
        <f t="shared" ca="1" si="295"/>
        <v>8517.9140000000043</v>
      </c>
      <c r="AB365" s="910">
        <f t="shared" ca="1" si="296"/>
        <v>-1014758.401931305</v>
      </c>
      <c r="AC365" s="911">
        <f t="shared" ca="1" si="297"/>
        <v>0</v>
      </c>
      <c r="AD365" s="911">
        <f t="shared" ca="1" si="298"/>
        <v>0</v>
      </c>
      <c r="AE365" s="909">
        <f t="shared" ca="1" si="299"/>
        <v>0</v>
      </c>
      <c r="AF365" s="912">
        <f t="shared" ca="1" si="266"/>
        <v>0</v>
      </c>
      <c r="AG365" s="909">
        <f t="shared" si="300"/>
        <v>77534.903999999995</v>
      </c>
      <c r="AH365" s="917">
        <f t="shared" ca="1" si="301"/>
        <v>69016.989999999991</v>
      </c>
      <c r="AI365" s="909" t="str">
        <f t="shared" si="302"/>
        <v/>
      </c>
      <c r="AJ365" s="916" t="str">
        <f t="shared" si="303"/>
        <v/>
      </c>
      <c r="AK365" s="916" t="str">
        <f t="shared" si="304"/>
        <v/>
      </c>
      <c r="AL365" s="909" t="str">
        <f t="shared" si="305"/>
        <v/>
      </c>
      <c r="AM365" s="918">
        <f t="shared" ca="1" si="306"/>
        <v>77534.903999999995</v>
      </c>
      <c r="AN365" s="915">
        <f t="shared" si="267"/>
        <v>40</v>
      </c>
      <c r="AO365" s="653" t="str">
        <f t="shared" si="307"/>
        <v/>
      </c>
      <c r="AP365" s="916" t="str">
        <f t="shared" si="308"/>
        <v/>
      </c>
      <c r="AQ365" s="916" t="str">
        <f t="shared" si="309"/>
        <v/>
      </c>
      <c r="AR365" s="653"/>
      <c r="AS365" s="653">
        <v>40</v>
      </c>
      <c r="AT365" s="909">
        <f t="shared" ca="1" si="268"/>
        <v>-21116.525433565417</v>
      </c>
      <c r="AU365" s="909">
        <f t="shared" si="269"/>
        <v>0</v>
      </c>
      <c r="AV365" s="909">
        <f t="shared" ca="1" si="270"/>
        <v>-2648.651104285691</v>
      </c>
      <c r="AW365" s="909">
        <f t="shared" ca="1" si="271"/>
        <v>0</v>
      </c>
      <c r="AX365" s="909">
        <f t="shared" ca="1" si="272"/>
        <v>0</v>
      </c>
      <c r="AY365" s="909">
        <f t="shared" si="273"/>
        <v>23768.855219940397</v>
      </c>
      <c r="AZ365" s="909">
        <f t="shared" ca="1" si="274"/>
        <v>-23765.176537851108</v>
      </c>
      <c r="BA365" s="653"/>
      <c r="BB365" s="653">
        <f t="shared" si="310"/>
        <v>40</v>
      </c>
      <c r="BC365" s="909">
        <f t="shared" ca="1" si="311"/>
        <v>-508205.33798336127</v>
      </c>
      <c r="BD365" s="909">
        <f t="shared" ca="1" si="312"/>
        <v>-1667622.6774000006</v>
      </c>
      <c r="BE365" s="909">
        <f t="shared" ca="1" si="313"/>
        <v>-356144.70690801245</v>
      </c>
      <c r="BF365" s="909">
        <f t="shared" ca="1" si="314"/>
        <v>364284.55862232205</v>
      </c>
      <c r="BG365" s="909">
        <f t="shared" ca="1" si="315"/>
        <v>0</v>
      </c>
      <c r="BH365" s="909">
        <f t="shared" si="316"/>
        <v>1792202.6260019878</v>
      </c>
      <c r="BI365" s="909">
        <f t="shared" ca="1" si="317"/>
        <v>-2167688.1636690521</v>
      </c>
      <c r="BJ365" s="909"/>
      <c r="BK365" s="653">
        <v>40</v>
      </c>
      <c r="BL365" s="909">
        <f t="shared" ca="1" si="275"/>
        <v>-68882.90399999998</v>
      </c>
      <c r="BM365" s="909">
        <f t="shared" si="276"/>
        <v>0</v>
      </c>
      <c r="BN365" s="909">
        <f t="shared" ca="1" si="277"/>
        <v>-8640</v>
      </c>
      <c r="BO365" s="909">
        <f t="shared" ca="1" si="278"/>
        <v>0</v>
      </c>
      <c r="BP365" s="909">
        <f t="shared" ca="1" si="279"/>
        <v>0</v>
      </c>
      <c r="BQ365" s="909">
        <f t="shared" si="280"/>
        <v>77534.903999999995</v>
      </c>
      <c r="BR365" s="909">
        <f t="shared" ca="1" si="281"/>
        <v>-77522.90399999998</v>
      </c>
      <c r="BS365" s="653"/>
      <c r="BT365" s="653"/>
      <c r="BU365" s="653"/>
      <c r="BV365" s="654"/>
    </row>
    <row r="366" spans="2:74" x14ac:dyDescent="0.25">
      <c r="B366" s="651"/>
      <c r="C366" s="653"/>
      <c r="D366" s="653"/>
      <c r="E366" s="653"/>
      <c r="F366" s="653"/>
      <c r="G366" s="653"/>
      <c r="H366" s="653"/>
      <c r="I366" s="653"/>
      <c r="J366" s="653"/>
      <c r="K366" s="653"/>
      <c r="L366" s="653"/>
      <c r="M366" s="651">
        <v>41</v>
      </c>
      <c r="N366" s="909">
        <f t="shared" ca="1" si="282"/>
        <v>60364.989999999983</v>
      </c>
      <c r="O366" s="909">
        <f t="shared" ca="1" si="283"/>
        <v>8517.9140000000043</v>
      </c>
      <c r="P366" s="909">
        <f t="shared" ca="1" si="284"/>
        <v>12</v>
      </c>
      <c r="Q366" s="910">
        <f t="shared" ca="1" si="285"/>
        <v>492177.42599999788</v>
      </c>
      <c r="R366" s="909">
        <f t="shared" si="286"/>
        <v>0</v>
      </c>
      <c r="S366" s="909">
        <f t="shared" ca="1" si="287"/>
        <v>5.4411383459836874E-12</v>
      </c>
      <c r="T366" s="909">
        <f t="shared" ca="1" si="288"/>
        <v>-5.4411383459836874E-12</v>
      </c>
      <c r="U366" s="909">
        <f t="shared" ca="1" si="289"/>
        <v>1.8681241654543992E-10</v>
      </c>
      <c r="V366" s="909">
        <f t="shared" ca="1" si="290"/>
        <v>8640</v>
      </c>
      <c r="W366" s="909">
        <f t="shared" ca="1" si="291"/>
        <v>0</v>
      </c>
      <c r="X366" s="909">
        <f t="shared" ca="1" si="292"/>
        <v>69016.989999999991</v>
      </c>
      <c r="Y366" s="909">
        <f t="shared" ca="1" si="293"/>
        <v>0</v>
      </c>
      <c r="Z366" s="910">
        <f t="shared" ca="1" si="294"/>
        <v>0</v>
      </c>
      <c r="AA366" s="909">
        <f t="shared" ca="1" si="295"/>
        <v>8517.9140000000043</v>
      </c>
      <c r="AB366" s="910">
        <f t="shared" ca="1" si="296"/>
        <v>-1006240.487931305</v>
      </c>
      <c r="AC366" s="911">
        <f t="shared" ca="1" si="297"/>
        <v>0</v>
      </c>
      <c r="AD366" s="911">
        <f t="shared" ca="1" si="298"/>
        <v>0</v>
      </c>
      <c r="AE366" s="909">
        <f t="shared" ca="1" si="299"/>
        <v>0</v>
      </c>
      <c r="AF366" s="912">
        <f t="shared" ca="1" si="266"/>
        <v>0</v>
      </c>
      <c r="AG366" s="909">
        <f t="shared" si="300"/>
        <v>77534.903999999995</v>
      </c>
      <c r="AH366" s="917">
        <f t="shared" ca="1" si="301"/>
        <v>69016.989999999991</v>
      </c>
      <c r="AI366" s="909" t="str">
        <f t="shared" si="302"/>
        <v/>
      </c>
      <c r="AJ366" s="916" t="str">
        <f t="shared" si="303"/>
        <v/>
      </c>
      <c r="AK366" s="916" t="str">
        <f t="shared" si="304"/>
        <v/>
      </c>
      <c r="AL366" s="909" t="str">
        <f t="shared" si="305"/>
        <v/>
      </c>
      <c r="AM366" s="918">
        <f t="shared" ca="1" si="306"/>
        <v>77534.903999999995</v>
      </c>
      <c r="AN366" s="915">
        <f t="shared" si="267"/>
        <v>41</v>
      </c>
      <c r="AO366" s="653" t="str">
        <f t="shared" si="307"/>
        <v/>
      </c>
      <c r="AP366" s="916" t="str">
        <f t="shared" si="308"/>
        <v/>
      </c>
      <c r="AQ366" s="916" t="str">
        <f t="shared" si="309"/>
        <v/>
      </c>
      <c r="AR366" s="653"/>
      <c r="AS366" s="653">
        <v>41</v>
      </c>
      <c r="AT366" s="909">
        <f t="shared" ca="1" si="268"/>
        <v>-20501.481003461569</v>
      </c>
      <c r="AU366" s="909">
        <f t="shared" si="269"/>
        <v>0</v>
      </c>
      <c r="AV366" s="909">
        <f t="shared" ca="1" si="270"/>
        <v>-2571.5059264909623</v>
      </c>
      <c r="AW366" s="909">
        <f t="shared" ca="1" si="271"/>
        <v>0</v>
      </c>
      <c r="AX366" s="909">
        <f t="shared" ca="1" si="272"/>
        <v>0</v>
      </c>
      <c r="AY366" s="909">
        <f t="shared" si="273"/>
        <v>23076.558465961552</v>
      </c>
      <c r="AZ366" s="909">
        <f t="shared" ca="1" si="274"/>
        <v>-23072.986929952531</v>
      </c>
      <c r="BA366" s="653"/>
      <c r="BB366" s="653">
        <f t="shared" si="310"/>
        <v>41</v>
      </c>
      <c r="BC366" s="909">
        <f t="shared" ca="1" si="311"/>
        <v>-528706.81898682285</v>
      </c>
      <c r="BD366" s="909">
        <f t="shared" ca="1" si="312"/>
        <v>-1667622.6774000006</v>
      </c>
      <c r="BE366" s="909">
        <f t="shared" ca="1" si="313"/>
        <v>-358716.21283450339</v>
      </c>
      <c r="BF366" s="909">
        <f t="shared" ca="1" si="314"/>
        <v>364284.55862232205</v>
      </c>
      <c r="BG366" s="909">
        <f t="shared" ca="1" si="315"/>
        <v>0</v>
      </c>
      <c r="BH366" s="909">
        <f t="shared" si="316"/>
        <v>1815279.1844679494</v>
      </c>
      <c r="BI366" s="909">
        <f t="shared" ca="1" si="317"/>
        <v>-2190761.1505990047</v>
      </c>
      <c r="BJ366" s="909"/>
      <c r="BK366" s="653">
        <v>41</v>
      </c>
      <c r="BL366" s="909">
        <f t="shared" ca="1" si="275"/>
        <v>-68882.90399999998</v>
      </c>
      <c r="BM366" s="909">
        <f t="shared" si="276"/>
        <v>0</v>
      </c>
      <c r="BN366" s="909">
        <f t="shared" ca="1" si="277"/>
        <v>-8640</v>
      </c>
      <c r="BO366" s="909">
        <f t="shared" ca="1" si="278"/>
        <v>0</v>
      </c>
      <c r="BP366" s="909">
        <f t="shared" ca="1" si="279"/>
        <v>0</v>
      </c>
      <c r="BQ366" s="909">
        <f t="shared" si="280"/>
        <v>77534.903999999995</v>
      </c>
      <c r="BR366" s="909">
        <f t="shared" ca="1" si="281"/>
        <v>-77522.90399999998</v>
      </c>
      <c r="BS366" s="653"/>
      <c r="BT366" s="653"/>
      <c r="BU366" s="653"/>
      <c r="BV366" s="654"/>
    </row>
    <row r="367" spans="2:74" x14ac:dyDescent="0.25">
      <c r="B367" s="651"/>
      <c r="C367" s="653"/>
      <c r="D367" s="653"/>
      <c r="E367" s="653"/>
      <c r="F367" s="653"/>
      <c r="G367" s="653"/>
      <c r="H367" s="653"/>
      <c r="I367" s="653"/>
      <c r="J367" s="653"/>
      <c r="K367" s="653"/>
      <c r="L367" s="653"/>
      <c r="M367" s="651">
        <v>42</v>
      </c>
      <c r="N367" s="909">
        <f t="shared" ca="1" si="282"/>
        <v>60364.989999999983</v>
      </c>
      <c r="O367" s="909">
        <f t="shared" ca="1" si="283"/>
        <v>8517.9140000000043</v>
      </c>
      <c r="P367" s="909">
        <f t="shared" ca="1" si="284"/>
        <v>12</v>
      </c>
      <c r="Q367" s="910">
        <f t="shared" ca="1" si="285"/>
        <v>423294.5219999979</v>
      </c>
      <c r="R367" s="909">
        <f t="shared" si="286"/>
        <v>0</v>
      </c>
      <c r="S367" s="909">
        <f t="shared" ca="1" si="287"/>
        <v>5.6043724963631971E-12</v>
      </c>
      <c r="T367" s="909">
        <f t="shared" ca="1" si="288"/>
        <v>-5.6043724963631971E-12</v>
      </c>
      <c r="U367" s="909">
        <f t="shared" ca="1" si="289"/>
        <v>1.9241678904180312E-10</v>
      </c>
      <c r="V367" s="909">
        <f t="shared" ca="1" si="290"/>
        <v>8640</v>
      </c>
      <c r="W367" s="909">
        <f t="shared" ca="1" si="291"/>
        <v>0</v>
      </c>
      <c r="X367" s="909">
        <f t="shared" ca="1" si="292"/>
        <v>69016.989999999991</v>
      </c>
      <c r="Y367" s="909">
        <f t="shared" ca="1" si="293"/>
        <v>0</v>
      </c>
      <c r="Z367" s="910">
        <f t="shared" ca="1" si="294"/>
        <v>0</v>
      </c>
      <c r="AA367" s="909">
        <f t="shared" ca="1" si="295"/>
        <v>8517.9140000000043</v>
      </c>
      <c r="AB367" s="910">
        <f t="shared" ca="1" si="296"/>
        <v>-997722.57393130497</v>
      </c>
      <c r="AC367" s="911">
        <f t="shared" ca="1" si="297"/>
        <v>0</v>
      </c>
      <c r="AD367" s="911">
        <f t="shared" ca="1" si="298"/>
        <v>0</v>
      </c>
      <c r="AE367" s="909">
        <f t="shared" ca="1" si="299"/>
        <v>0</v>
      </c>
      <c r="AF367" s="912">
        <f t="shared" ca="1" si="266"/>
        <v>0</v>
      </c>
      <c r="AG367" s="909">
        <f t="shared" si="300"/>
        <v>77534.903999999995</v>
      </c>
      <c r="AH367" s="917">
        <f t="shared" ca="1" si="301"/>
        <v>69016.989999999991</v>
      </c>
      <c r="AI367" s="909" t="str">
        <f t="shared" si="302"/>
        <v/>
      </c>
      <c r="AJ367" s="916" t="str">
        <f t="shared" si="303"/>
        <v/>
      </c>
      <c r="AK367" s="916" t="str">
        <f t="shared" si="304"/>
        <v/>
      </c>
      <c r="AL367" s="909" t="str">
        <f t="shared" si="305"/>
        <v/>
      </c>
      <c r="AM367" s="918">
        <f t="shared" ca="1" si="306"/>
        <v>77534.903999999995</v>
      </c>
      <c r="AN367" s="915">
        <f t="shared" si="267"/>
        <v>42</v>
      </c>
      <c r="AO367" s="653" t="str">
        <f t="shared" si="307"/>
        <v/>
      </c>
      <c r="AP367" s="916" t="str">
        <f t="shared" si="308"/>
        <v/>
      </c>
      <c r="AQ367" s="916" t="str">
        <f t="shared" si="309"/>
        <v/>
      </c>
      <c r="AR367" s="653"/>
      <c r="AS367" s="653">
        <v>42</v>
      </c>
      <c r="AT367" s="909">
        <f t="shared" ca="1" si="268"/>
        <v>-19904.350488797638</v>
      </c>
      <c r="AU367" s="909">
        <f t="shared" si="269"/>
        <v>0</v>
      </c>
      <c r="AV367" s="909">
        <f t="shared" ca="1" si="270"/>
        <v>-2496.6076956222932</v>
      </c>
      <c r="AW367" s="909">
        <f t="shared" ca="1" si="271"/>
        <v>0</v>
      </c>
      <c r="AX367" s="909">
        <f t="shared" ca="1" si="272"/>
        <v>0</v>
      </c>
      <c r="AY367" s="909">
        <f t="shared" si="273"/>
        <v>22404.425695108301</v>
      </c>
      <c r="AZ367" s="909">
        <f t="shared" ca="1" si="274"/>
        <v>-22400.958184419931</v>
      </c>
      <c r="BA367" s="653"/>
      <c r="BB367" s="653">
        <f t="shared" si="310"/>
        <v>42</v>
      </c>
      <c r="BC367" s="909">
        <f t="shared" ca="1" si="311"/>
        <v>-548611.1694756205</v>
      </c>
      <c r="BD367" s="909">
        <f t="shared" ca="1" si="312"/>
        <v>-1667622.6774000006</v>
      </c>
      <c r="BE367" s="909">
        <f t="shared" ca="1" si="313"/>
        <v>-361212.8205301257</v>
      </c>
      <c r="BF367" s="909">
        <f t="shared" ca="1" si="314"/>
        <v>364284.55862232205</v>
      </c>
      <c r="BG367" s="909">
        <f t="shared" ca="1" si="315"/>
        <v>0</v>
      </c>
      <c r="BH367" s="909">
        <f t="shared" si="316"/>
        <v>1837683.6101630577</v>
      </c>
      <c r="BI367" s="909">
        <f t="shared" ca="1" si="317"/>
        <v>-2213162.1087834248</v>
      </c>
      <c r="BJ367" s="909"/>
      <c r="BK367" s="653">
        <v>42</v>
      </c>
      <c r="BL367" s="909">
        <f t="shared" ca="1" si="275"/>
        <v>-68882.90399999998</v>
      </c>
      <c r="BM367" s="909">
        <f t="shared" si="276"/>
        <v>0</v>
      </c>
      <c r="BN367" s="909">
        <f t="shared" ca="1" si="277"/>
        <v>-8640</v>
      </c>
      <c r="BO367" s="909">
        <f t="shared" ca="1" si="278"/>
        <v>0</v>
      </c>
      <c r="BP367" s="909">
        <f t="shared" ca="1" si="279"/>
        <v>0</v>
      </c>
      <c r="BQ367" s="909">
        <f t="shared" si="280"/>
        <v>77534.903999999995</v>
      </c>
      <c r="BR367" s="909">
        <f t="shared" ca="1" si="281"/>
        <v>-77522.90399999998</v>
      </c>
      <c r="BS367" s="653"/>
      <c r="BT367" s="653"/>
      <c r="BU367" s="653"/>
      <c r="BV367" s="654"/>
    </row>
    <row r="368" spans="2:74" x14ac:dyDescent="0.25">
      <c r="B368" s="651"/>
      <c r="C368" s="653"/>
      <c r="D368" s="653"/>
      <c r="E368" s="653"/>
      <c r="F368" s="653"/>
      <c r="G368" s="653"/>
      <c r="H368" s="653"/>
      <c r="I368" s="653"/>
      <c r="J368" s="653"/>
      <c r="K368" s="653"/>
      <c r="L368" s="653"/>
      <c r="M368" s="651">
        <v>43</v>
      </c>
      <c r="N368" s="909">
        <f t="shared" ca="1" si="282"/>
        <v>60364.989999999983</v>
      </c>
      <c r="O368" s="909">
        <f t="shared" ca="1" si="283"/>
        <v>8517.9140000000043</v>
      </c>
      <c r="P368" s="909">
        <f t="shared" ca="1" si="284"/>
        <v>12</v>
      </c>
      <c r="Q368" s="910">
        <f t="shared" ca="1" si="285"/>
        <v>354411.61799999792</v>
      </c>
      <c r="R368" s="909">
        <f t="shared" si="286"/>
        <v>0</v>
      </c>
      <c r="S368" s="909">
        <f t="shared" ca="1" si="287"/>
        <v>5.7725036712540932E-12</v>
      </c>
      <c r="T368" s="909">
        <f t="shared" ca="1" si="288"/>
        <v>-5.7725036712540932E-12</v>
      </c>
      <c r="U368" s="909">
        <f t="shared" ca="1" si="289"/>
        <v>1.9818929271305721E-10</v>
      </c>
      <c r="V368" s="909">
        <f t="shared" ca="1" si="290"/>
        <v>8640</v>
      </c>
      <c r="W368" s="909">
        <f t="shared" ca="1" si="291"/>
        <v>0</v>
      </c>
      <c r="X368" s="909">
        <f t="shared" ca="1" si="292"/>
        <v>69016.989999999991</v>
      </c>
      <c r="Y368" s="909">
        <f t="shared" ca="1" si="293"/>
        <v>0</v>
      </c>
      <c r="Z368" s="910">
        <f t="shared" ca="1" si="294"/>
        <v>0</v>
      </c>
      <c r="AA368" s="909">
        <f t="shared" ca="1" si="295"/>
        <v>8517.9140000000043</v>
      </c>
      <c r="AB368" s="910">
        <f t="shared" ca="1" si="296"/>
        <v>-989204.65993130498</v>
      </c>
      <c r="AC368" s="911">
        <f t="shared" ca="1" si="297"/>
        <v>0</v>
      </c>
      <c r="AD368" s="911">
        <f t="shared" ca="1" si="298"/>
        <v>0</v>
      </c>
      <c r="AE368" s="909">
        <f t="shared" ca="1" si="299"/>
        <v>0</v>
      </c>
      <c r="AF368" s="912">
        <f t="shared" ca="1" si="266"/>
        <v>0</v>
      </c>
      <c r="AG368" s="909">
        <f t="shared" si="300"/>
        <v>77534.903999999995</v>
      </c>
      <c r="AH368" s="917">
        <f t="shared" ca="1" si="301"/>
        <v>69016.989999999991</v>
      </c>
      <c r="AI368" s="909" t="str">
        <f t="shared" si="302"/>
        <v/>
      </c>
      <c r="AJ368" s="916" t="str">
        <f t="shared" si="303"/>
        <v/>
      </c>
      <c r="AK368" s="916" t="str">
        <f t="shared" si="304"/>
        <v/>
      </c>
      <c r="AL368" s="909" t="str">
        <f t="shared" si="305"/>
        <v/>
      </c>
      <c r="AM368" s="918">
        <f t="shared" ca="1" si="306"/>
        <v>77534.903999999995</v>
      </c>
      <c r="AN368" s="915">
        <f t="shared" si="267"/>
        <v>43</v>
      </c>
      <c r="AO368" s="653" t="str">
        <f t="shared" si="307"/>
        <v/>
      </c>
      <c r="AP368" s="916" t="str">
        <f t="shared" si="308"/>
        <v/>
      </c>
      <c r="AQ368" s="916" t="str">
        <f t="shared" si="309"/>
        <v/>
      </c>
      <c r="AR368" s="653"/>
      <c r="AS368" s="653">
        <v>43</v>
      </c>
      <c r="AT368" s="909">
        <f t="shared" ca="1" si="268"/>
        <v>-19324.612125046253</v>
      </c>
      <c r="AU368" s="909">
        <f t="shared" si="269"/>
        <v>0</v>
      </c>
      <c r="AV368" s="909">
        <f t="shared" ca="1" si="270"/>
        <v>-2423.8909666235859</v>
      </c>
      <c r="AW368" s="909">
        <f t="shared" ca="1" si="271"/>
        <v>0</v>
      </c>
      <c r="AX368" s="909">
        <f t="shared" ca="1" si="272"/>
        <v>0</v>
      </c>
      <c r="AY368" s="909">
        <f t="shared" si="273"/>
        <v>21751.869606901262</v>
      </c>
      <c r="AZ368" s="909">
        <f t="shared" ca="1" si="274"/>
        <v>-21748.503091669838</v>
      </c>
      <c r="BA368" s="653"/>
      <c r="BB368" s="653">
        <f t="shared" si="310"/>
        <v>43</v>
      </c>
      <c r="BC368" s="909">
        <f t="shared" ca="1" si="311"/>
        <v>-567935.7816006667</v>
      </c>
      <c r="BD368" s="909">
        <f t="shared" ca="1" si="312"/>
        <v>-1667622.6774000006</v>
      </c>
      <c r="BE368" s="909">
        <f t="shared" ca="1" si="313"/>
        <v>-363636.71149674931</v>
      </c>
      <c r="BF368" s="909">
        <f t="shared" ca="1" si="314"/>
        <v>364284.55862232205</v>
      </c>
      <c r="BG368" s="909">
        <f t="shared" ca="1" si="315"/>
        <v>0</v>
      </c>
      <c r="BH368" s="909">
        <f t="shared" si="316"/>
        <v>1859435.4797699589</v>
      </c>
      <c r="BI368" s="909">
        <f t="shared" ca="1" si="317"/>
        <v>-2234910.6118750945</v>
      </c>
      <c r="BJ368" s="909"/>
      <c r="BK368" s="653">
        <v>43</v>
      </c>
      <c r="BL368" s="909">
        <f t="shared" ca="1" si="275"/>
        <v>-68882.90399999998</v>
      </c>
      <c r="BM368" s="909">
        <f t="shared" si="276"/>
        <v>0</v>
      </c>
      <c r="BN368" s="909">
        <f t="shared" ca="1" si="277"/>
        <v>-8640</v>
      </c>
      <c r="BO368" s="909">
        <f t="shared" ca="1" si="278"/>
        <v>0</v>
      </c>
      <c r="BP368" s="909">
        <f t="shared" ca="1" si="279"/>
        <v>0</v>
      </c>
      <c r="BQ368" s="909">
        <f t="shared" si="280"/>
        <v>77534.903999999995</v>
      </c>
      <c r="BR368" s="909">
        <f t="shared" ca="1" si="281"/>
        <v>-77522.90399999998</v>
      </c>
      <c r="BS368" s="653"/>
      <c r="BT368" s="653"/>
      <c r="BU368" s="653"/>
      <c r="BV368" s="654"/>
    </row>
    <row r="369" spans="2:74" x14ac:dyDescent="0.25">
      <c r="B369" s="651"/>
      <c r="C369" s="653"/>
      <c r="D369" s="653"/>
      <c r="E369" s="653"/>
      <c r="F369" s="653"/>
      <c r="G369" s="653"/>
      <c r="H369" s="653"/>
      <c r="I369" s="653"/>
      <c r="J369" s="653"/>
      <c r="K369" s="653"/>
      <c r="L369" s="653"/>
      <c r="M369" s="651">
        <v>44</v>
      </c>
      <c r="N369" s="909">
        <f t="shared" ca="1" si="282"/>
        <v>60364.989999999983</v>
      </c>
      <c r="O369" s="909">
        <f t="shared" ca="1" si="283"/>
        <v>8517.9140000000043</v>
      </c>
      <c r="P369" s="909">
        <f t="shared" ca="1" si="284"/>
        <v>12</v>
      </c>
      <c r="Q369" s="910">
        <f t="shared" ca="1" si="285"/>
        <v>285528.71399999794</v>
      </c>
      <c r="R369" s="909">
        <f t="shared" si="286"/>
        <v>0</v>
      </c>
      <c r="S369" s="909">
        <f t="shared" ca="1" si="287"/>
        <v>5.9456787813917161E-12</v>
      </c>
      <c r="T369" s="909">
        <f t="shared" ca="1" si="288"/>
        <v>-5.9456787813917161E-12</v>
      </c>
      <c r="U369" s="909">
        <f t="shared" ca="1" si="289"/>
        <v>2.0413497149444892E-10</v>
      </c>
      <c r="V369" s="909">
        <f t="shared" ca="1" si="290"/>
        <v>8640</v>
      </c>
      <c r="W369" s="909">
        <f t="shared" ca="1" si="291"/>
        <v>0</v>
      </c>
      <c r="X369" s="909">
        <f t="shared" ca="1" si="292"/>
        <v>69016.989999999991</v>
      </c>
      <c r="Y369" s="909">
        <f t="shared" ca="1" si="293"/>
        <v>0</v>
      </c>
      <c r="Z369" s="910">
        <f t="shared" ca="1" si="294"/>
        <v>0</v>
      </c>
      <c r="AA369" s="909">
        <f t="shared" ca="1" si="295"/>
        <v>8517.9140000000043</v>
      </c>
      <c r="AB369" s="910">
        <f t="shared" ca="1" si="296"/>
        <v>-980686.74593130499</v>
      </c>
      <c r="AC369" s="911">
        <f t="shared" ca="1" si="297"/>
        <v>0</v>
      </c>
      <c r="AD369" s="911">
        <f t="shared" ca="1" si="298"/>
        <v>0</v>
      </c>
      <c r="AE369" s="909">
        <f t="shared" ca="1" si="299"/>
        <v>0</v>
      </c>
      <c r="AF369" s="912">
        <f t="shared" ca="1" si="266"/>
        <v>0</v>
      </c>
      <c r="AG369" s="909">
        <f t="shared" si="300"/>
        <v>77534.903999999995</v>
      </c>
      <c r="AH369" s="917">
        <f t="shared" ca="1" si="301"/>
        <v>69016.989999999991</v>
      </c>
      <c r="AI369" s="909" t="str">
        <f t="shared" si="302"/>
        <v/>
      </c>
      <c r="AJ369" s="916" t="str">
        <f t="shared" si="303"/>
        <v/>
      </c>
      <c r="AK369" s="916" t="str">
        <f t="shared" si="304"/>
        <v/>
      </c>
      <c r="AL369" s="909" t="str">
        <f t="shared" si="305"/>
        <v/>
      </c>
      <c r="AM369" s="918">
        <f t="shared" ca="1" si="306"/>
        <v>77534.903999999995</v>
      </c>
      <c r="AN369" s="915">
        <f t="shared" si="267"/>
        <v>44</v>
      </c>
      <c r="AO369" s="653" t="str">
        <f t="shared" si="307"/>
        <v/>
      </c>
      <c r="AP369" s="916" t="str">
        <f t="shared" si="308"/>
        <v/>
      </c>
      <c r="AQ369" s="916" t="str">
        <f t="shared" si="309"/>
        <v/>
      </c>
      <c r="AR369" s="653"/>
      <c r="AS369" s="653">
        <v>44</v>
      </c>
      <c r="AT369" s="909">
        <f t="shared" ca="1" si="268"/>
        <v>-18761.7593447051</v>
      </c>
      <c r="AU369" s="909">
        <f t="shared" si="269"/>
        <v>0</v>
      </c>
      <c r="AV369" s="909">
        <f t="shared" ca="1" si="270"/>
        <v>-2353.2922006054232</v>
      </c>
      <c r="AW369" s="909">
        <f t="shared" ca="1" si="271"/>
        <v>0</v>
      </c>
      <c r="AX369" s="909">
        <f t="shared" ca="1" si="272"/>
        <v>0</v>
      </c>
      <c r="AY369" s="909">
        <f t="shared" si="273"/>
        <v>21118.320006700258</v>
      </c>
      <c r="AZ369" s="909">
        <f t="shared" ca="1" si="274"/>
        <v>-21115.051545310525</v>
      </c>
      <c r="BA369" s="653"/>
      <c r="BB369" s="653">
        <f t="shared" si="310"/>
        <v>44</v>
      </c>
      <c r="BC369" s="909">
        <f t="shared" ca="1" si="311"/>
        <v>-586697.54094537185</v>
      </c>
      <c r="BD369" s="909">
        <f t="shared" ca="1" si="312"/>
        <v>-1667622.6774000006</v>
      </c>
      <c r="BE369" s="909">
        <f t="shared" ca="1" si="313"/>
        <v>-365990.00369735475</v>
      </c>
      <c r="BF369" s="909">
        <f t="shared" ca="1" si="314"/>
        <v>364284.55862232205</v>
      </c>
      <c r="BG369" s="909">
        <f t="shared" ca="1" si="315"/>
        <v>0</v>
      </c>
      <c r="BH369" s="909">
        <f t="shared" si="316"/>
        <v>1880553.7997766591</v>
      </c>
      <c r="BI369" s="909">
        <f t="shared" ca="1" si="317"/>
        <v>-2256025.6634204048</v>
      </c>
      <c r="BJ369" s="909"/>
      <c r="BK369" s="653">
        <v>44</v>
      </c>
      <c r="BL369" s="909">
        <f t="shared" ca="1" si="275"/>
        <v>-68882.90399999998</v>
      </c>
      <c r="BM369" s="909">
        <f t="shared" si="276"/>
        <v>0</v>
      </c>
      <c r="BN369" s="909">
        <f t="shared" ca="1" si="277"/>
        <v>-8640</v>
      </c>
      <c r="BO369" s="909">
        <f t="shared" ca="1" si="278"/>
        <v>0</v>
      </c>
      <c r="BP369" s="909">
        <f t="shared" ca="1" si="279"/>
        <v>0</v>
      </c>
      <c r="BQ369" s="909">
        <f t="shared" si="280"/>
        <v>77534.903999999995</v>
      </c>
      <c r="BR369" s="909">
        <f t="shared" ca="1" si="281"/>
        <v>-77522.90399999998</v>
      </c>
      <c r="BS369" s="653"/>
      <c r="BT369" s="653"/>
      <c r="BU369" s="653"/>
      <c r="BV369" s="654"/>
    </row>
    <row r="370" spans="2:74" x14ac:dyDescent="0.25">
      <c r="B370" s="651"/>
      <c r="C370" s="653"/>
      <c r="D370" s="653"/>
      <c r="E370" s="653"/>
      <c r="F370" s="653"/>
      <c r="G370" s="653"/>
      <c r="H370" s="653"/>
      <c r="I370" s="653"/>
      <c r="J370" s="653"/>
      <c r="K370" s="653"/>
      <c r="L370" s="653"/>
      <c r="M370" s="651">
        <v>45</v>
      </c>
      <c r="N370" s="909">
        <f t="shared" ca="1" si="282"/>
        <v>60364.989999999983</v>
      </c>
      <c r="O370" s="909">
        <f t="shared" ca="1" si="283"/>
        <v>8517.9140000000043</v>
      </c>
      <c r="P370" s="909">
        <f t="shared" ca="1" si="284"/>
        <v>12</v>
      </c>
      <c r="Q370" s="910">
        <f t="shared" ca="1" si="285"/>
        <v>216645.80999999796</v>
      </c>
      <c r="R370" s="909">
        <f t="shared" si="286"/>
        <v>0</v>
      </c>
      <c r="S370" s="909">
        <f t="shared" ca="1" si="287"/>
        <v>6.1240491448334673E-12</v>
      </c>
      <c r="T370" s="909">
        <f t="shared" ca="1" si="288"/>
        <v>-6.1240491448334673E-12</v>
      </c>
      <c r="U370" s="909">
        <f t="shared" ca="1" si="289"/>
        <v>2.1025902063928238E-10</v>
      </c>
      <c r="V370" s="909">
        <f t="shared" ca="1" si="290"/>
        <v>8640</v>
      </c>
      <c r="W370" s="909">
        <f t="shared" ca="1" si="291"/>
        <v>0</v>
      </c>
      <c r="X370" s="909">
        <f t="shared" ca="1" si="292"/>
        <v>69016.989999999991</v>
      </c>
      <c r="Y370" s="909">
        <f t="shared" ca="1" si="293"/>
        <v>0</v>
      </c>
      <c r="Z370" s="910">
        <f t="shared" ca="1" si="294"/>
        <v>0</v>
      </c>
      <c r="AA370" s="909">
        <f t="shared" ca="1" si="295"/>
        <v>8517.9140000000043</v>
      </c>
      <c r="AB370" s="910">
        <f t="shared" ca="1" si="296"/>
        <v>-972168.831931305</v>
      </c>
      <c r="AC370" s="911">
        <f t="shared" ca="1" si="297"/>
        <v>0</v>
      </c>
      <c r="AD370" s="911">
        <f t="shared" ca="1" si="298"/>
        <v>0</v>
      </c>
      <c r="AE370" s="909">
        <f t="shared" ca="1" si="299"/>
        <v>0</v>
      </c>
      <c r="AF370" s="912">
        <f t="shared" ca="1" si="266"/>
        <v>0</v>
      </c>
      <c r="AG370" s="909">
        <f t="shared" si="300"/>
        <v>77534.903999999995</v>
      </c>
      <c r="AH370" s="917">
        <f t="shared" ca="1" si="301"/>
        <v>69016.989999999991</v>
      </c>
      <c r="AI370" s="909" t="str">
        <f t="shared" si="302"/>
        <v/>
      </c>
      <c r="AJ370" s="916" t="str">
        <f t="shared" si="303"/>
        <v/>
      </c>
      <c r="AK370" s="916" t="str">
        <f t="shared" si="304"/>
        <v/>
      </c>
      <c r="AL370" s="909" t="str">
        <f t="shared" si="305"/>
        <v/>
      </c>
      <c r="AM370" s="918">
        <f t="shared" ca="1" si="306"/>
        <v>77534.903999999995</v>
      </c>
      <c r="AN370" s="915">
        <f t="shared" si="267"/>
        <v>45</v>
      </c>
      <c r="AO370" s="653" t="str">
        <f t="shared" si="307"/>
        <v/>
      </c>
      <c r="AP370" s="916" t="str">
        <f t="shared" si="308"/>
        <v/>
      </c>
      <c r="AQ370" s="916" t="str">
        <f t="shared" si="309"/>
        <v/>
      </c>
      <c r="AR370" s="653"/>
      <c r="AS370" s="653">
        <v>45</v>
      </c>
      <c r="AT370" s="909">
        <f t="shared" ca="1" si="268"/>
        <v>-18215.300334665146</v>
      </c>
      <c r="AU370" s="909">
        <f t="shared" si="269"/>
        <v>0</v>
      </c>
      <c r="AV370" s="909">
        <f t="shared" ca="1" si="270"/>
        <v>-2284.7497093256538</v>
      </c>
      <c r="AW370" s="909">
        <f t="shared" ca="1" si="271"/>
        <v>0</v>
      </c>
      <c r="AX370" s="909">
        <f t="shared" ca="1" si="272"/>
        <v>0</v>
      </c>
      <c r="AY370" s="909">
        <f t="shared" si="273"/>
        <v>20503.223307475979</v>
      </c>
      <c r="AZ370" s="909">
        <f t="shared" ca="1" si="274"/>
        <v>-20500.050043990799</v>
      </c>
      <c r="BA370" s="653"/>
      <c r="BB370" s="653">
        <f t="shared" si="310"/>
        <v>45</v>
      </c>
      <c r="BC370" s="909">
        <f t="shared" ca="1" si="311"/>
        <v>-604912.84128003696</v>
      </c>
      <c r="BD370" s="909">
        <f t="shared" ca="1" si="312"/>
        <v>-1667622.6774000006</v>
      </c>
      <c r="BE370" s="909">
        <f t="shared" ca="1" si="313"/>
        <v>-368274.75340668042</v>
      </c>
      <c r="BF370" s="909">
        <f t="shared" ca="1" si="314"/>
        <v>364284.55862232205</v>
      </c>
      <c r="BG370" s="909">
        <f t="shared" ca="1" si="315"/>
        <v>0</v>
      </c>
      <c r="BH370" s="909">
        <f t="shared" si="316"/>
        <v>1901057.023084135</v>
      </c>
      <c r="BI370" s="909">
        <f t="shared" ca="1" si="317"/>
        <v>-2276525.7134643956</v>
      </c>
      <c r="BJ370" s="909"/>
      <c r="BK370" s="653">
        <v>45</v>
      </c>
      <c r="BL370" s="909">
        <f t="shared" ca="1" si="275"/>
        <v>-68882.90399999998</v>
      </c>
      <c r="BM370" s="909">
        <f t="shared" si="276"/>
        <v>0</v>
      </c>
      <c r="BN370" s="909">
        <f t="shared" ca="1" si="277"/>
        <v>-8640</v>
      </c>
      <c r="BO370" s="909">
        <f t="shared" ca="1" si="278"/>
        <v>0</v>
      </c>
      <c r="BP370" s="909">
        <f t="shared" ca="1" si="279"/>
        <v>0</v>
      </c>
      <c r="BQ370" s="909">
        <f t="shared" si="280"/>
        <v>77534.903999999995</v>
      </c>
      <c r="BR370" s="909">
        <f t="shared" ca="1" si="281"/>
        <v>-77522.90399999998</v>
      </c>
      <c r="BS370" s="653"/>
      <c r="BT370" s="653"/>
      <c r="BU370" s="653"/>
      <c r="BV370" s="654"/>
    </row>
    <row r="371" spans="2:74" x14ac:dyDescent="0.25">
      <c r="B371" s="651"/>
      <c r="C371" s="653"/>
      <c r="D371" s="653"/>
      <c r="E371" s="653"/>
      <c r="F371" s="653"/>
      <c r="G371" s="653"/>
      <c r="H371" s="653"/>
      <c r="I371" s="653"/>
      <c r="J371" s="653"/>
      <c r="K371" s="653"/>
      <c r="L371" s="653"/>
      <c r="M371" s="651">
        <v>46</v>
      </c>
      <c r="N371" s="909">
        <f t="shared" ca="1" si="282"/>
        <v>77612.129999999961</v>
      </c>
      <c r="O371" s="909">
        <f t="shared" ca="1" si="283"/>
        <v>0</v>
      </c>
      <c r="P371" s="909">
        <f t="shared" ca="1" si="284"/>
        <v>12</v>
      </c>
      <c r="Q371" s="910">
        <f t="shared" ca="1" si="285"/>
        <v>139033.67999999801</v>
      </c>
      <c r="R371" s="909">
        <f t="shared" si="286"/>
        <v>0</v>
      </c>
      <c r="S371" s="909">
        <f t="shared" ca="1" si="287"/>
        <v>6.3077706191784711E-12</v>
      </c>
      <c r="T371" s="909">
        <f t="shared" ca="1" si="288"/>
        <v>-6.3077706191784711E-12</v>
      </c>
      <c r="U371" s="909">
        <f t="shared" ca="1" si="289"/>
        <v>2.1656679125846085E-10</v>
      </c>
      <c r="V371" s="909">
        <f t="shared" ca="1" si="290"/>
        <v>8640</v>
      </c>
      <c r="W371" s="909">
        <f t="shared" ca="1" si="291"/>
        <v>0</v>
      </c>
      <c r="X371" s="909">
        <f t="shared" ca="1" si="292"/>
        <v>86264.129999999961</v>
      </c>
      <c r="Y371" s="909">
        <f t="shared" ca="1" si="293"/>
        <v>0</v>
      </c>
      <c r="Z371" s="910">
        <f t="shared" ca="1" si="294"/>
        <v>0</v>
      </c>
      <c r="AA371" s="909">
        <f t="shared" ca="1" si="295"/>
        <v>0</v>
      </c>
      <c r="AB371" s="910">
        <f t="shared" ca="1" si="296"/>
        <v>-972168.831931305</v>
      </c>
      <c r="AC371" s="911">
        <f t="shared" ca="1" si="297"/>
        <v>0</v>
      </c>
      <c r="AD371" s="911">
        <f t="shared" ca="1" si="298"/>
        <v>0</v>
      </c>
      <c r="AE371" s="909">
        <f t="shared" ca="1" si="299"/>
        <v>0</v>
      </c>
      <c r="AF371" s="912">
        <f t="shared" ca="1" si="266"/>
        <v>0</v>
      </c>
      <c r="AG371" s="909">
        <f t="shared" si="300"/>
        <v>77534.903999999995</v>
      </c>
      <c r="AH371" s="917">
        <f t="shared" ca="1" si="301"/>
        <v>86264.129999999961</v>
      </c>
      <c r="AI371" s="909" t="str">
        <f t="shared" si="302"/>
        <v/>
      </c>
      <c r="AJ371" s="916" t="str">
        <f t="shared" si="303"/>
        <v/>
      </c>
      <c r="AK371" s="916" t="str">
        <f t="shared" si="304"/>
        <v/>
      </c>
      <c r="AL371" s="909" t="str">
        <f t="shared" si="305"/>
        <v/>
      </c>
      <c r="AM371" s="918">
        <f t="shared" ca="1" si="306"/>
        <v>86264.129999999961</v>
      </c>
      <c r="AN371" s="915">
        <f t="shared" si="267"/>
        <v>46</v>
      </c>
      <c r="AO371" s="653" t="str">
        <f t="shared" si="307"/>
        <v/>
      </c>
      <c r="AP371" s="916" t="str">
        <f t="shared" si="308"/>
        <v/>
      </c>
      <c r="AQ371" s="916" t="str">
        <f t="shared" si="309"/>
        <v/>
      </c>
      <c r="AR371" s="653"/>
      <c r="AS371" s="653">
        <v>46</v>
      </c>
      <c r="AT371" s="909">
        <f t="shared" ca="1" si="268"/>
        <v>-19925.868781198842</v>
      </c>
      <c r="AU371" s="909">
        <f t="shared" si="269"/>
        <v>0</v>
      </c>
      <c r="AV371" s="909">
        <f t="shared" ca="1" si="270"/>
        <v>-2218.2036012870421</v>
      </c>
      <c r="AW371" s="909">
        <f t="shared" ca="1" si="271"/>
        <v>0</v>
      </c>
      <c r="AX371" s="909">
        <f t="shared" ca="1" si="272"/>
        <v>0</v>
      </c>
      <c r="AY371" s="909">
        <f t="shared" si="273"/>
        <v>19906.042046093182</v>
      </c>
      <c r="AZ371" s="909">
        <f t="shared" ca="1" si="274"/>
        <v>-22144.072382485883</v>
      </c>
      <c r="BA371" s="653"/>
      <c r="BB371" s="653">
        <f t="shared" si="310"/>
        <v>46</v>
      </c>
      <c r="BC371" s="909">
        <f t="shared" ca="1" si="311"/>
        <v>-624838.71006123582</v>
      </c>
      <c r="BD371" s="909">
        <f t="shared" ca="1" si="312"/>
        <v>-1667622.6774000006</v>
      </c>
      <c r="BE371" s="909">
        <f t="shared" ca="1" si="313"/>
        <v>-370492.95700796746</v>
      </c>
      <c r="BF371" s="909">
        <f t="shared" ca="1" si="314"/>
        <v>364284.55862232205</v>
      </c>
      <c r="BG371" s="909">
        <f t="shared" ca="1" si="315"/>
        <v>0</v>
      </c>
      <c r="BH371" s="909">
        <f t="shared" si="316"/>
        <v>1920963.0651302282</v>
      </c>
      <c r="BI371" s="909">
        <f t="shared" ca="1" si="317"/>
        <v>-2298669.7858468816</v>
      </c>
      <c r="BJ371" s="909"/>
      <c r="BK371" s="653">
        <v>46</v>
      </c>
      <c r="BL371" s="909">
        <f t="shared" ca="1" si="275"/>
        <v>-77612.129999999961</v>
      </c>
      <c r="BM371" s="909">
        <f t="shared" si="276"/>
        <v>0</v>
      </c>
      <c r="BN371" s="909">
        <f t="shared" ca="1" si="277"/>
        <v>-8640</v>
      </c>
      <c r="BO371" s="909">
        <f t="shared" ca="1" si="278"/>
        <v>0</v>
      </c>
      <c r="BP371" s="909">
        <f t="shared" ca="1" si="279"/>
        <v>0</v>
      </c>
      <c r="BQ371" s="909">
        <f t="shared" si="280"/>
        <v>77534.903999999995</v>
      </c>
      <c r="BR371" s="909">
        <f t="shared" ca="1" si="281"/>
        <v>-86252.129999999961</v>
      </c>
      <c r="BS371" s="653"/>
      <c r="BT371" s="653"/>
      <c r="BU371" s="653"/>
      <c r="BV371" s="654"/>
    </row>
    <row r="372" spans="2:74" x14ac:dyDescent="0.25">
      <c r="B372" s="651"/>
      <c r="C372" s="653"/>
      <c r="D372" s="653"/>
      <c r="E372" s="653"/>
      <c r="F372" s="653"/>
      <c r="G372" s="653"/>
      <c r="H372" s="653"/>
      <c r="I372" s="653"/>
      <c r="J372" s="653"/>
      <c r="K372" s="653"/>
      <c r="L372" s="653"/>
      <c r="M372" s="651">
        <v>47</v>
      </c>
      <c r="N372" s="909">
        <f t="shared" ca="1" si="282"/>
        <v>77612.129999999961</v>
      </c>
      <c r="O372" s="909">
        <f t="shared" ca="1" si="283"/>
        <v>0</v>
      </c>
      <c r="P372" s="909">
        <f t="shared" ca="1" si="284"/>
        <v>12</v>
      </c>
      <c r="Q372" s="910">
        <f t="shared" ca="1" si="285"/>
        <v>61421.549999998053</v>
      </c>
      <c r="R372" s="909">
        <f t="shared" si="286"/>
        <v>0</v>
      </c>
      <c r="S372" s="909">
        <f t="shared" ca="1" si="287"/>
        <v>6.4970037377538253E-12</v>
      </c>
      <c r="T372" s="909">
        <f t="shared" ca="1" si="288"/>
        <v>-6.4970037377538253E-12</v>
      </c>
      <c r="U372" s="909">
        <f t="shared" ca="1" si="289"/>
        <v>2.2306379499621467E-10</v>
      </c>
      <c r="V372" s="909">
        <f t="shared" ca="1" si="290"/>
        <v>8640</v>
      </c>
      <c r="W372" s="909">
        <f t="shared" ca="1" si="291"/>
        <v>0</v>
      </c>
      <c r="X372" s="909">
        <f t="shared" ca="1" si="292"/>
        <v>86264.129999999961</v>
      </c>
      <c r="Y372" s="909">
        <f t="shared" ca="1" si="293"/>
        <v>0</v>
      </c>
      <c r="Z372" s="910">
        <f t="shared" ca="1" si="294"/>
        <v>0</v>
      </c>
      <c r="AA372" s="909">
        <f t="shared" ca="1" si="295"/>
        <v>0</v>
      </c>
      <c r="AB372" s="910">
        <f t="shared" ca="1" si="296"/>
        <v>-972168.831931305</v>
      </c>
      <c r="AC372" s="911">
        <f t="shared" ca="1" si="297"/>
        <v>0</v>
      </c>
      <c r="AD372" s="911">
        <f t="shared" ca="1" si="298"/>
        <v>0</v>
      </c>
      <c r="AE372" s="909">
        <f t="shared" ca="1" si="299"/>
        <v>0</v>
      </c>
      <c r="AF372" s="912">
        <f t="shared" ca="1" si="266"/>
        <v>0</v>
      </c>
      <c r="AG372" s="909">
        <f t="shared" si="300"/>
        <v>77534.903999999995</v>
      </c>
      <c r="AH372" s="917">
        <f t="shared" ca="1" si="301"/>
        <v>86264.129999999961</v>
      </c>
      <c r="AI372" s="909" t="str">
        <f t="shared" si="302"/>
        <v/>
      </c>
      <c r="AJ372" s="916" t="str">
        <f t="shared" si="303"/>
        <v/>
      </c>
      <c r="AK372" s="916" t="str">
        <f t="shared" si="304"/>
        <v/>
      </c>
      <c r="AL372" s="909" t="str">
        <f t="shared" si="305"/>
        <v/>
      </c>
      <c r="AM372" s="918">
        <f t="shared" ca="1" si="306"/>
        <v>86264.129999999961</v>
      </c>
      <c r="AN372" s="915">
        <f t="shared" si="267"/>
        <v>47</v>
      </c>
      <c r="AO372" s="653" t="str">
        <f t="shared" si="307"/>
        <v/>
      </c>
      <c r="AP372" s="916" t="str">
        <f t="shared" si="308"/>
        <v/>
      </c>
      <c r="AQ372" s="916" t="str">
        <f t="shared" si="309"/>
        <v/>
      </c>
      <c r="AR372" s="653"/>
      <c r="AS372" s="653">
        <v>47</v>
      </c>
      <c r="AT372" s="909">
        <f t="shared" ca="1" si="268"/>
        <v>-19345.503671066839</v>
      </c>
      <c r="AU372" s="909">
        <f t="shared" si="269"/>
        <v>0</v>
      </c>
      <c r="AV372" s="909">
        <f t="shared" ca="1" si="270"/>
        <v>-2153.5957294048953</v>
      </c>
      <c r="AW372" s="909">
        <f t="shared" ca="1" si="271"/>
        <v>0</v>
      </c>
      <c r="AX372" s="909">
        <f t="shared" ca="1" si="272"/>
        <v>0</v>
      </c>
      <c r="AY372" s="909">
        <f t="shared" si="273"/>
        <v>19326.254413682702</v>
      </c>
      <c r="AZ372" s="909">
        <f t="shared" ca="1" si="274"/>
        <v>-21499.099400471736</v>
      </c>
      <c r="BA372" s="653"/>
      <c r="BB372" s="653">
        <f t="shared" si="310"/>
        <v>47</v>
      </c>
      <c r="BC372" s="909">
        <f t="shared" ca="1" si="311"/>
        <v>-644184.21373230265</v>
      </c>
      <c r="BD372" s="909">
        <f t="shared" ca="1" si="312"/>
        <v>-1667622.6774000006</v>
      </c>
      <c r="BE372" s="909">
        <f t="shared" ca="1" si="313"/>
        <v>-372646.55273737235</v>
      </c>
      <c r="BF372" s="909">
        <f t="shared" ca="1" si="314"/>
        <v>364284.55862232205</v>
      </c>
      <c r="BG372" s="909">
        <f t="shared" ca="1" si="315"/>
        <v>0</v>
      </c>
      <c r="BH372" s="909">
        <f t="shared" si="316"/>
        <v>1940289.3195439109</v>
      </c>
      <c r="BI372" s="909">
        <f t="shared" ca="1" si="317"/>
        <v>-2320168.8852473535</v>
      </c>
      <c r="BJ372" s="909"/>
      <c r="BK372" s="653">
        <v>47</v>
      </c>
      <c r="BL372" s="909">
        <f t="shared" ca="1" si="275"/>
        <v>-77612.129999999961</v>
      </c>
      <c r="BM372" s="909">
        <f t="shared" si="276"/>
        <v>0</v>
      </c>
      <c r="BN372" s="909">
        <f t="shared" ca="1" si="277"/>
        <v>-8640</v>
      </c>
      <c r="BO372" s="909">
        <f t="shared" ca="1" si="278"/>
        <v>0</v>
      </c>
      <c r="BP372" s="909">
        <f t="shared" ca="1" si="279"/>
        <v>0</v>
      </c>
      <c r="BQ372" s="909">
        <f t="shared" si="280"/>
        <v>77534.903999999995</v>
      </c>
      <c r="BR372" s="909">
        <f t="shared" ca="1" si="281"/>
        <v>-86252.129999999961</v>
      </c>
      <c r="BS372" s="653"/>
      <c r="BT372" s="653"/>
      <c r="BU372" s="653"/>
      <c r="BV372" s="654"/>
    </row>
    <row r="373" spans="2:74" x14ac:dyDescent="0.25">
      <c r="B373" s="651"/>
      <c r="C373" s="653"/>
      <c r="D373" s="653"/>
      <c r="E373" s="653"/>
      <c r="F373" s="653"/>
      <c r="G373" s="653"/>
      <c r="H373" s="653"/>
      <c r="I373" s="653"/>
      <c r="J373" s="653"/>
      <c r="K373" s="653"/>
      <c r="L373" s="653"/>
      <c r="M373" s="651">
        <v>48</v>
      </c>
      <c r="N373" s="909">
        <f t="shared" ca="1" si="282"/>
        <v>61421.549999998053</v>
      </c>
      <c r="O373" s="909">
        <f t="shared" ca="1" si="283"/>
        <v>0</v>
      </c>
      <c r="P373" s="909">
        <f t="shared" ca="1" si="284"/>
        <v>12</v>
      </c>
      <c r="Q373" s="910">
        <f t="shared" ca="1" si="285"/>
        <v>0</v>
      </c>
      <c r="R373" s="909">
        <f t="shared" si="286"/>
        <v>0</v>
      </c>
      <c r="S373" s="909">
        <f t="shared" ca="1" si="287"/>
        <v>6.6919138498864401E-12</v>
      </c>
      <c r="T373" s="909">
        <f t="shared" ca="1" si="288"/>
        <v>-6.6919138498864401E-12</v>
      </c>
      <c r="U373" s="909">
        <f t="shared" ca="1" si="289"/>
        <v>2.297557088461011E-10</v>
      </c>
      <c r="V373" s="909">
        <f t="shared" ca="1" si="290"/>
        <v>8640</v>
      </c>
      <c r="W373" s="909">
        <f t="shared" ca="1" si="291"/>
        <v>0</v>
      </c>
      <c r="X373" s="909">
        <f t="shared" ca="1" si="292"/>
        <v>70073.549999998053</v>
      </c>
      <c r="Y373" s="909">
        <f t="shared" ca="1" si="293"/>
        <v>0</v>
      </c>
      <c r="Z373" s="910">
        <f t="shared" ca="1" si="294"/>
        <v>0</v>
      </c>
      <c r="AA373" s="909">
        <f t="shared" ca="1" si="295"/>
        <v>7461.354000001942</v>
      </c>
      <c r="AB373" s="910">
        <f t="shared" ca="1" si="296"/>
        <v>-964707.47793130309</v>
      </c>
      <c r="AC373" s="911">
        <f t="shared" ca="1" si="297"/>
        <v>0</v>
      </c>
      <c r="AD373" s="911">
        <f t="shared" ca="1" si="298"/>
        <v>0</v>
      </c>
      <c r="AE373" s="909">
        <f t="shared" ca="1" si="299"/>
        <v>7461.354000001942</v>
      </c>
      <c r="AF373" s="912">
        <f t="shared" ca="1" si="266"/>
        <v>2884.0939318168362</v>
      </c>
      <c r="AG373" s="909">
        <f t="shared" si="300"/>
        <v>77534.903999999995</v>
      </c>
      <c r="AH373" s="917">
        <f t="shared" ca="1" si="301"/>
        <v>70073.549999998053</v>
      </c>
      <c r="AI373" s="909" t="str">
        <f t="shared" si="302"/>
        <v/>
      </c>
      <c r="AJ373" s="916" t="str">
        <f t="shared" si="303"/>
        <v/>
      </c>
      <c r="AK373" s="916" t="str">
        <f t="shared" si="304"/>
        <v/>
      </c>
      <c r="AL373" s="909" t="str">
        <f t="shared" si="305"/>
        <v/>
      </c>
      <c r="AM373" s="918">
        <f t="shared" ca="1" si="306"/>
        <v>70073.549999998053</v>
      </c>
      <c r="AN373" s="915">
        <f t="shared" si="267"/>
        <v>48</v>
      </c>
      <c r="AO373" s="653" t="str">
        <f t="shared" si="307"/>
        <v/>
      </c>
      <c r="AP373" s="916" t="str">
        <f t="shared" si="308"/>
        <v/>
      </c>
      <c r="AQ373" s="916" t="str">
        <f t="shared" si="309"/>
        <v/>
      </c>
      <c r="AR373" s="653"/>
      <c r="AS373" s="653">
        <v>48</v>
      </c>
      <c r="AT373" s="909">
        <f t="shared" ca="1" si="268"/>
        <v>-14863.941452425506</v>
      </c>
      <c r="AU373" s="909">
        <f t="shared" si="269"/>
        <v>0</v>
      </c>
      <c r="AV373" s="909">
        <f t="shared" ca="1" si="270"/>
        <v>-2090.8696401989278</v>
      </c>
      <c r="AW373" s="909">
        <f t="shared" ca="1" si="271"/>
        <v>0</v>
      </c>
      <c r="AX373" s="909">
        <f t="shared" ca="1" si="272"/>
        <v>0</v>
      </c>
      <c r="AY373" s="909">
        <f t="shared" si="273"/>
        <v>18763.353799691944</v>
      </c>
      <c r="AZ373" s="909">
        <f t="shared" ca="1" si="274"/>
        <v>-16954.811092624434</v>
      </c>
      <c r="BA373" s="653"/>
      <c r="BB373" s="653">
        <f t="shared" si="310"/>
        <v>48</v>
      </c>
      <c r="BC373" s="909">
        <f t="shared" ca="1" si="311"/>
        <v>-659048.15518472821</v>
      </c>
      <c r="BD373" s="909">
        <f t="shared" ca="1" si="312"/>
        <v>-1667622.6774000006</v>
      </c>
      <c r="BE373" s="909">
        <f t="shared" ca="1" si="313"/>
        <v>-374737.42237757129</v>
      </c>
      <c r="BF373" s="909">
        <f t="shared" ca="1" si="314"/>
        <v>364284.55862232205</v>
      </c>
      <c r="BG373" s="909">
        <f t="shared" ca="1" si="315"/>
        <v>0</v>
      </c>
      <c r="BH373" s="909">
        <f t="shared" si="316"/>
        <v>1959052.6733436028</v>
      </c>
      <c r="BI373" s="909">
        <f t="shared" ca="1" si="317"/>
        <v>-2337123.6963399779</v>
      </c>
      <c r="BJ373" s="909"/>
      <c r="BK373" s="653">
        <v>48</v>
      </c>
      <c r="BL373" s="909">
        <f t="shared" ca="1" si="275"/>
        <v>-61421.549999998053</v>
      </c>
      <c r="BM373" s="909">
        <f t="shared" si="276"/>
        <v>0</v>
      </c>
      <c r="BN373" s="909">
        <f t="shared" ca="1" si="277"/>
        <v>-8640</v>
      </c>
      <c r="BO373" s="909">
        <f t="shared" ca="1" si="278"/>
        <v>0</v>
      </c>
      <c r="BP373" s="909">
        <f t="shared" ca="1" si="279"/>
        <v>0</v>
      </c>
      <c r="BQ373" s="909">
        <f t="shared" si="280"/>
        <v>77534.903999999995</v>
      </c>
      <c r="BR373" s="909">
        <f t="shared" ca="1" si="281"/>
        <v>-70061.549999998053</v>
      </c>
      <c r="BS373" s="653"/>
      <c r="BT373" s="653"/>
      <c r="BU373" s="653"/>
      <c r="BV373" s="654"/>
    </row>
    <row r="374" spans="2:74" x14ac:dyDescent="0.25">
      <c r="B374" s="651"/>
      <c r="C374" s="653"/>
      <c r="D374" s="653"/>
      <c r="E374" s="653"/>
      <c r="F374" s="653"/>
      <c r="G374" s="653"/>
      <c r="H374" s="653"/>
      <c r="I374" s="653"/>
      <c r="J374" s="653"/>
      <c r="K374" s="653"/>
      <c r="L374" s="653"/>
      <c r="M374" s="651">
        <v>49</v>
      </c>
      <c r="N374" s="909">
        <f t="shared" ca="1" si="282"/>
        <v>0</v>
      </c>
      <c r="O374" s="909">
        <f t="shared" ca="1" si="283"/>
        <v>0</v>
      </c>
      <c r="P374" s="909">
        <f t="shared" ca="1" si="284"/>
        <v>0</v>
      </c>
      <c r="Q374" s="910">
        <f t="shared" ca="1" si="285"/>
        <v>0</v>
      </c>
      <c r="R374" s="909">
        <f t="shared" si="286"/>
        <v>0</v>
      </c>
      <c r="S374" s="909">
        <f t="shared" ca="1" si="287"/>
        <v>6.8926712653830325E-12</v>
      </c>
      <c r="T374" s="909">
        <f t="shared" ca="1" si="288"/>
        <v>-6.8926712653830325E-12</v>
      </c>
      <c r="U374" s="909">
        <f t="shared" ca="1" si="289"/>
        <v>2.3664838011148412E-10</v>
      </c>
      <c r="V374" s="909">
        <f t="shared" ca="1" si="290"/>
        <v>8640</v>
      </c>
      <c r="W374" s="909">
        <f t="shared" ca="1" si="291"/>
        <v>0</v>
      </c>
      <c r="X374" s="909">
        <f t="shared" ca="1" si="292"/>
        <v>8640</v>
      </c>
      <c r="Y374" s="909">
        <f t="shared" ca="1" si="293"/>
        <v>0</v>
      </c>
      <c r="Z374" s="910">
        <f t="shared" ca="1" si="294"/>
        <v>0</v>
      </c>
      <c r="AA374" s="909">
        <f t="shared" ca="1" si="295"/>
        <v>68894.903999999995</v>
      </c>
      <c r="AB374" s="910">
        <f t="shared" ca="1" si="296"/>
        <v>-895812.57393130311</v>
      </c>
      <c r="AC374" s="911">
        <f t="shared" ca="1" si="297"/>
        <v>0</v>
      </c>
      <c r="AD374" s="911">
        <f t="shared" ca="1" si="298"/>
        <v>0</v>
      </c>
      <c r="AE374" s="909">
        <f t="shared" ca="1" si="299"/>
        <v>68894.903999999995</v>
      </c>
      <c r="AF374" s="912">
        <f t="shared" ca="1" si="266"/>
        <v>26108.305327909562</v>
      </c>
      <c r="AG374" s="909">
        <f t="shared" si="300"/>
        <v>77534.903999999995</v>
      </c>
      <c r="AH374" s="917">
        <f t="shared" ca="1" si="301"/>
        <v>8640</v>
      </c>
      <c r="AI374" s="909" t="str">
        <f t="shared" si="302"/>
        <v/>
      </c>
      <c r="AJ374" s="916" t="str">
        <f t="shared" si="303"/>
        <v/>
      </c>
      <c r="AK374" s="916" t="str">
        <f t="shared" si="304"/>
        <v/>
      </c>
      <c r="AL374" s="909" t="str">
        <f t="shared" si="305"/>
        <v/>
      </c>
      <c r="AM374" s="918">
        <f t="shared" ca="1" si="306"/>
        <v>8640</v>
      </c>
      <c r="AN374" s="915">
        <f t="shared" si="267"/>
        <v>49</v>
      </c>
      <c r="AO374" s="653" t="str">
        <f t="shared" si="307"/>
        <v/>
      </c>
      <c r="AP374" s="916" t="str">
        <f t="shared" si="308"/>
        <v/>
      </c>
      <c r="AQ374" s="916" t="str">
        <f t="shared" si="309"/>
        <v/>
      </c>
      <c r="AR374" s="653"/>
      <c r="AS374" s="653">
        <v>49</v>
      </c>
      <c r="AT374" s="909">
        <f t="shared" ca="1" si="268"/>
        <v>0</v>
      </c>
      <c r="AU374" s="909">
        <f t="shared" si="269"/>
        <v>0</v>
      </c>
      <c r="AV374" s="909">
        <f t="shared" ca="1" si="270"/>
        <v>-2029.9705244649786</v>
      </c>
      <c r="AW374" s="909">
        <f t="shared" ca="1" si="271"/>
        <v>0</v>
      </c>
      <c r="AX374" s="909">
        <f t="shared" ca="1" si="272"/>
        <v>0</v>
      </c>
      <c r="AY374" s="909">
        <f t="shared" si="273"/>
        <v>18216.848349215481</v>
      </c>
      <c r="AZ374" s="909">
        <f t="shared" ca="1" si="274"/>
        <v>-2029.9705244649786</v>
      </c>
      <c r="BA374" s="653"/>
      <c r="BB374" s="653">
        <f t="shared" si="310"/>
        <v>49</v>
      </c>
      <c r="BC374" s="909">
        <f t="shared" ca="1" si="311"/>
        <v>-659048.15518472821</v>
      </c>
      <c r="BD374" s="909">
        <f t="shared" ca="1" si="312"/>
        <v>-1667622.6774000006</v>
      </c>
      <c r="BE374" s="909">
        <f t="shared" ca="1" si="313"/>
        <v>-376767.39290203626</v>
      </c>
      <c r="BF374" s="909">
        <f t="shared" ca="1" si="314"/>
        <v>364284.55862232205</v>
      </c>
      <c r="BG374" s="909">
        <f t="shared" ca="1" si="315"/>
        <v>0</v>
      </c>
      <c r="BH374" s="909">
        <f t="shared" si="316"/>
        <v>1977269.5216928183</v>
      </c>
      <c r="BI374" s="909">
        <f t="shared" ca="1" si="317"/>
        <v>-2339153.6668644431</v>
      </c>
      <c r="BJ374" s="909"/>
      <c r="BK374" s="653">
        <v>49</v>
      </c>
      <c r="BL374" s="909">
        <f t="shared" ca="1" si="275"/>
        <v>0</v>
      </c>
      <c r="BM374" s="909">
        <f t="shared" si="276"/>
        <v>0</v>
      </c>
      <c r="BN374" s="909">
        <f t="shared" ca="1" si="277"/>
        <v>-8640</v>
      </c>
      <c r="BO374" s="909">
        <f t="shared" ca="1" si="278"/>
        <v>0</v>
      </c>
      <c r="BP374" s="909">
        <f t="shared" ca="1" si="279"/>
        <v>0</v>
      </c>
      <c r="BQ374" s="909">
        <f t="shared" si="280"/>
        <v>77534.903999999995</v>
      </c>
      <c r="BR374" s="909">
        <f t="shared" ca="1" si="281"/>
        <v>-8640</v>
      </c>
      <c r="BS374" s="653"/>
      <c r="BT374" s="653"/>
      <c r="BU374" s="653"/>
      <c r="BV374" s="654"/>
    </row>
    <row r="375" spans="2:74" x14ac:dyDescent="0.25">
      <c r="B375" s="651"/>
      <c r="C375" s="653"/>
      <c r="D375" s="653"/>
      <c r="E375" s="653"/>
      <c r="F375" s="653"/>
      <c r="G375" s="653"/>
      <c r="H375" s="653"/>
      <c r="I375" s="653"/>
      <c r="J375" s="653"/>
      <c r="K375" s="653"/>
      <c r="L375" s="653"/>
      <c r="M375" s="651">
        <v>50</v>
      </c>
      <c r="N375" s="909">
        <f t="shared" ca="1" si="282"/>
        <v>0</v>
      </c>
      <c r="O375" s="909">
        <f t="shared" ca="1" si="283"/>
        <v>0</v>
      </c>
      <c r="P375" s="909">
        <f t="shared" ca="1" si="284"/>
        <v>0</v>
      </c>
      <c r="Q375" s="910">
        <f t="shared" ca="1" si="285"/>
        <v>0</v>
      </c>
      <c r="R375" s="909">
        <f t="shared" si="286"/>
        <v>0</v>
      </c>
      <c r="S375" s="909">
        <f t="shared" ca="1" si="287"/>
        <v>7.0994514033445231E-12</v>
      </c>
      <c r="T375" s="909">
        <f t="shared" ca="1" si="288"/>
        <v>-7.0994514033445231E-12</v>
      </c>
      <c r="U375" s="909">
        <f t="shared" ca="1" si="289"/>
        <v>2.4374783151482864E-10</v>
      </c>
      <c r="V375" s="909">
        <f t="shared" ca="1" si="290"/>
        <v>8640</v>
      </c>
      <c r="W375" s="909">
        <f t="shared" ca="1" si="291"/>
        <v>0</v>
      </c>
      <c r="X375" s="909">
        <f t="shared" ca="1" si="292"/>
        <v>8640</v>
      </c>
      <c r="Y375" s="909">
        <f t="shared" ca="1" si="293"/>
        <v>0</v>
      </c>
      <c r="Z375" s="910">
        <f t="shared" ca="1" si="294"/>
        <v>0</v>
      </c>
      <c r="AA375" s="909">
        <f t="shared" ca="1" si="295"/>
        <v>68894.903999999995</v>
      </c>
      <c r="AB375" s="910">
        <f t="shared" ca="1" si="296"/>
        <v>-826917.66993130313</v>
      </c>
      <c r="AC375" s="911">
        <f t="shared" ca="1" si="297"/>
        <v>0</v>
      </c>
      <c r="AD375" s="911">
        <f t="shared" ca="1" si="298"/>
        <v>0</v>
      </c>
      <c r="AE375" s="909">
        <f t="shared" ca="1" si="299"/>
        <v>68894.903999999995</v>
      </c>
      <c r="AF375" s="912">
        <f t="shared" ca="1" si="266"/>
        <v>25596.377772460357</v>
      </c>
      <c r="AG375" s="909">
        <f t="shared" si="300"/>
        <v>77534.903999999995</v>
      </c>
      <c r="AH375" s="917">
        <f t="shared" ca="1" si="301"/>
        <v>8640</v>
      </c>
      <c r="AI375" s="909" t="str">
        <f t="shared" si="302"/>
        <v/>
      </c>
      <c r="AJ375" s="916" t="str">
        <f t="shared" si="303"/>
        <v/>
      </c>
      <c r="AK375" s="916" t="str">
        <f t="shared" si="304"/>
        <v/>
      </c>
      <c r="AL375" s="909" t="str">
        <f t="shared" si="305"/>
        <v/>
      </c>
      <c r="AM375" s="918">
        <f t="shared" ca="1" si="306"/>
        <v>8640</v>
      </c>
      <c r="AN375" s="915">
        <f t="shared" si="267"/>
        <v>50</v>
      </c>
      <c r="AO375" s="653" t="str">
        <f t="shared" si="307"/>
        <v/>
      </c>
      <c r="AP375" s="916" t="str">
        <f t="shared" si="308"/>
        <v/>
      </c>
      <c r="AQ375" s="916" t="str">
        <f t="shared" si="309"/>
        <v/>
      </c>
      <c r="AR375" s="653"/>
      <c r="AS375" s="653">
        <v>50</v>
      </c>
      <c r="AT375" s="909">
        <f t="shared" ca="1" si="268"/>
        <v>0</v>
      </c>
      <c r="AU375" s="909">
        <f t="shared" si="269"/>
        <v>0</v>
      </c>
      <c r="AV375" s="909">
        <f t="shared" ca="1" si="270"/>
        <v>-1970.8451693834743</v>
      </c>
      <c r="AW375" s="909">
        <f t="shared" ca="1" si="271"/>
        <v>0</v>
      </c>
      <c r="AX375" s="909">
        <f t="shared" ca="1" si="272"/>
        <v>0</v>
      </c>
      <c r="AY375" s="909">
        <f t="shared" si="273"/>
        <v>17686.260533218912</v>
      </c>
      <c r="AZ375" s="909">
        <f t="shared" ca="1" si="274"/>
        <v>-1970.8451693834743</v>
      </c>
      <c r="BA375" s="653"/>
      <c r="BB375" s="653">
        <f t="shared" si="310"/>
        <v>50</v>
      </c>
      <c r="BC375" s="909">
        <f t="shared" ca="1" si="311"/>
        <v>-659048.15518472821</v>
      </c>
      <c r="BD375" s="909">
        <f t="shared" ca="1" si="312"/>
        <v>-1667622.6774000006</v>
      </c>
      <c r="BE375" s="909">
        <f t="shared" ca="1" si="313"/>
        <v>-378738.23807141971</v>
      </c>
      <c r="BF375" s="909">
        <f t="shared" ca="1" si="314"/>
        <v>364284.55862232205</v>
      </c>
      <c r="BG375" s="909">
        <f t="shared" ca="1" si="315"/>
        <v>0</v>
      </c>
      <c r="BH375" s="909">
        <f t="shared" si="316"/>
        <v>1994955.7822260372</v>
      </c>
      <c r="BI375" s="909">
        <f t="shared" ca="1" si="317"/>
        <v>-2341124.5120338267</v>
      </c>
      <c r="BJ375" s="909"/>
      <c r="BK375" s="653">
        <v>50</v>
      </c>
      <c r="BL375" s="909">
        <f t="shared" ca="1" si="275"/>
        <v>0</v>
      </c>
      <c r="BM375" s="909">
        <f t="shared" si="276"/>
        <v>0</v>
      </c>
      <c r="BN375" s="909">
        <f t="shared" ca="1" si="277"/>
        <v>-8640</v>
      </c>
      <c r="BO375" s="909">
        <f t="shared" ca="1" si="278"/>
        <v>0</v>
      </c>
      <c r="BP375" s="909">
        <f t="shared" ca="1" si="279"/>
        <v>0</v>
      </c>
      <c r="BQ375" s="909">
        <f t="shared" si="280"/>
        <v>77534.903999999995</v>
      </c>
      <c r="BR375" s="909">
        <f t="shared" ca="1" si="281"/>
        <v>-8640</v>
      </c>
      <c r="BS375" s="653"/>
      <c r="BT375" s="653"/>
      <c r="BU375" s="653"/>
      <c r="BV375" s="654"/>
    </row>
    <row r="376" spans="2:74" x14ac:dyDescent="0.25">
      <c r="B376" s="651"/>
      <c r="C376" s="653"/>
      <c r="D376" s="653"/>
      <c r="E376" s="653"/>
      <c r="F376" s="653"/>
      <c r="G376" s="653"/>
      <c r="H376" s="653"/>
      <c r="I376" s="653"/>
      <c r="J376" s="653"/>
      <c r="K376" s="653"/>
      <c r="L376" s="653"/>
      <c r="M376" s="651"/>
      <c r="N376" s="909"/>
      <c r="O376" s="909"/>
      <c r="P376" s="909"/>
      <c r="Q376" s="910"/>
      <c r="R376" s="909"/>
      <c r="S376" s="909"/>
      <c r="T376" s="909"/>
      <c r="U376" s="909"/>
      <c r="V376" s="909"/>
      <c r="W376" s="909"/>
      <c r="X376" s="909"/>
      <c r="Y376" s="909"/>
      <c r="Z376" s="910"/>
      <c r="AA376" s="909"/>
      <c r="AB376" s="910"/>
      <c r="AC376" s="911"/>
      <c r="AD376" s="911"/>
      <c r="AE376" s="909"/>
      <c r="AF376" s="909"/>
      <c r="AG376" s="909"/>
      <c r="AH376" s="917"/>
      <c r="AI376" s="909"/>
      <c r="AJ376" s="916"/>
      <c r="AK376" s="916"/>
      <c r="AL376" s="653"/>
      <c r="AM376" s="918"/>
      <c r="AN376" s="915"/>
      <c r="AO376" s="653"/>
      <c r="AP376" s="653"/>
      <c r="AQ376" s="653"/>
      <c r="AR376" s="653"/>
      <c r="AS376" s="653"/>
      <c r="AT376" s="909"/>
      <c r="AU376" s="909"/>
      <c r="AV376" s="909"/>
      <c r="AW376" s="909"/>
      <c r="AX376" s="909"/>
      <c r="AY376" s="909"/>
      <c r="AZ376" s="909"/>
      <c r="BA376" s="653"/>
      <c r="BB376" s="653"/>
      <c r="BC376" s="909"/>
      <c r="BD376" s="909"/>
      <c r="BE376" s="909"/>
      <c r="BF376" s="909"/>
      <c r="BG376" s="909"/>
      <c r="BH376" s="909"/>
      <c r="BI376" s="909"/>
      <c r="BJ376" s="653"/>
      <c r="BK376" s="653"/>
      <c r="BL376" s="653"/>
      <c r="BM376" s="653"/>
      <c r="BN376" s="653"/>
      <c r="BO376" s="653"/>
      <c r="BP376" s="653"/>
      <c r="BQ376" s="653"/>
      <c r="BR376" s="653"/>
      <c r="BS376" s="653"/>
      <c r="BT376" s="653"/>
      <c r="BU376" s="653"/>
      <c r="BV376" s="654"/>
    </row>
    <row r="377" spans="2:74" x14ac:dyDescent="0.25">
      <c r="B377" s="651"/>
      <c r="C377" s="653"/>
      <c r="D377" s="653"/>
      <c r="E377" s="653"/>
      <c r="F377" s="653"/>
      <c r="G377" s="653"/>
      <c r="H377" s="653"/>
      <c r="I377" s="653"/>
      <c r="J377" s="653"/>
      <c r="K377" s="653"/>
      <c r="L377" s="653"/>
      <c r="M377" s="651"/>
      <c r="N377" s="909"/>
      <c r="O377" s="909"/>
      <c r="P377" s="909"/>
      <c r="Q377" s="910"/>
      <c r="R377" s="909"/>
      <c r="S377" s="909"/>
      <c r="T377" s="909"/>
      <c r="U377" s="909"/>
      <c r="V377" s="909"/>
      <c r="W377" s="909"/>
      <c r="X377" s="909"/>
      <c r="Y377" s="909"/>
      <c r="Z377" s="910"/>
      <c r="AA377" s="909"/>
      <c r="AB377" s="910"/>
      <c r="AC377" s="911"/>
      <c r="AD377" s="911"/>
      <c r="AE377" s="909"/>
      <c r="AF377" s="909"/>
      <c r="AG377" s="909"/>
      <c r="AH377" s="917"/>
      <c r="AI377" s="909"/>
      <c r="AJ377" s="916"/>
      <c r="AK377" s="916"/>
      <c r="AL377" s="653"/>
      <c r="AM377" s="918"/>
      <c r="AN377" s="915"/>
      <c r="AO377" s="909"/>
      <c r="AP377" s="653"/>
      <c r="AQ377" s="653"/>
      <c r="AR377" s="653"/>
      <c r="AS377" s="653"/>
      <c r="AT377" s="909"/>
      <c r="AU377" s="909"/>
      <c r="AV377" s="909"/>
      <c r="AW377" s="909"/>
      <c r="AX377" s="909"/>
      <c r="AY377" s="909"/>
      <c r="AZ377" s="909"/>
      <c r="BA377" s="653"/>
      <c r="BB377" s="653"/>
      <c r="BC377" s="909"/>
      <c r="BD377" s="909"/>
      <c r="BE377" s="909"/>
      <c r="BF377" s="909"/>
      <c r="BG377" s="909"/>
      <c r="BH377" s="909"/>
      <c r="BI377" s="909"/>
      <c r="BJ377" s="653"/>
      <c r="BK377" s="653"/>
      <c r="BL377" s="653"/>
      <c r="BM377" s="653"/>
      <c r="BN377" s="653"/>
      <c r="BO377" s="653"/>
      <c r="BP377" s="653"/>
      <c r="BQ377" s="653"/>
      <c r="BR377" s="653"/>
      <c r="BS377" s="653"/>
      <c r="BT377" s="653"/>
      <c r="BU377" s="653"/>
      <c r="BV377" s="654"/>
    </row>
    <row r="378" spans="2:74" x14ac:dyDescent="0.25">
      <c r="B378" s="651"/>
      <c r="C378" s="653"/>
      <c r="D378" s="653"/>
      <c r="E378" s="653"/>
      <c r="F378" s="653"/>
      <c r="G378" s="653"/>
      <c r="H378" s="653"/>
      <c r="I378" s="653"/>
      <c r="J378" s="653"/>
      <c r="K378" s="653"/>
      <c r="L378" s="653"/>
      <c r="M378" s="651"/>
      <c r="N378" s="909"/>
      <c r="O378" s="909"/>
      <c r="P378" s="909"/>
      <c r="Q378" s="910"/>
      <c r="R378" s="909"/>
      <c r="S378" s="909"/>
      <c r="T378" s="909"/>
      <c r="U378" s="909"/>
      <c r="V378" s="909"/>
      <c r="W378" s="909"/>
      <c r="X378" s="909"/>
      <c r="Y378" s="909"/>
      <c r="Z378" s="910"/>
      <c r="AA378" s="909"/>
      <c r="AB378" s="910"/>
      <c r="AC378" s="911"/>
      <c r="AD378" s="911"/>
      <c r="AE378" s="909"/>
      <c r="AF378" s="909"/>
      <c r="AG378" s="909"/>
      <c r="AH378" s="917"/>
      <c r="AI378" s="909"/>
      <c r="AJ378" s="916"/>
      <c r="AK378" s="916"/>
      <c r="AL378" s="653"/>
      <c r="AM378" s="918"/>
      <c r="AN378" s="915"/>
      <c r="AO378" s="653"/>
      <c r="AP378" s="653"/>
      <c r="AQ378" s="653"/>
      <c r="AR378" s="653"/>
      <c r="AS378" s="653"/>
      <c r="AT378" s="653"/>
      <c r="AU378" s="653"/>
      <c r="AV378" s="653"/>
      <c r="AW378" s="653"/>
      <c r="AX378" s="653"/>
      <c r="AY378" s="653"/>
      <c r="AZ378" s="653"/>
      <c r="BA378" s="653"/>
      <c r="BB378" s="653"/>
      <c r="BC378" s="909"/>
      <c r="BD378" s="909"/>
      <c r="BE378" s="909"/>
      <c r="BF378" s="909"/>
      <c r="BG378" s="909"/>
      <c r="BH378" s="909"/>
      <c r="BI378" s="909"/>
      <c r="BJ378" s="653"/>
      <c r="BK378" s="653"/>
      <c r="BL378" s="653"/>
      <c r="BM378" s="653"/>
      <c r="BN378" s="653"/>
      <c r="BO378" s="653"/>
      <c r="BP378" s="653"/>
      <c r="BQ378" s="653"/>
      <c r="BR378" s="653"/>
      <c r="BS378" s="653"/>
      <c r="BT378" s="653"/>
      <c r="BU378" s="653"/>
      <c r="BV378" s="654"/>
    </row>
    <row r="379" spans="2:74" x14ac:dyDescent="0.25">
      <c r="B379" s="651"/>
      <c r="C379" s="653"/>
      <c r="D379" s="653"/>
      <c r="E379" s="653"/>
      <c r="F379" s="653"/>
      <c r="G379" s="653"/>
      <c r="H379" s="653"/>
      <c r="I379" s="653"/>
      <c r="J379" s="653"/>
      <c r="K379" s="653"/>
      <c r="L379" s="653"/>
      <c r="M379" s="651"/>
      <c r="N379" s="909"/>
      <c r="O379" s="909"/>
      <c r="P379" s="909"/>
      <c r="Q379" s="910"/>
      <c r="R379" s="909"/>
      <c r="S379" s="909"/>
      <c r="T379" s="909"/>
      <c r="U379" s="909"/>
      <c r="V379" s="909"/>
      <c r="W379" s="909"/>
      <c r="X379" s="909"/>
      <c r="Y379" s="909"/>
      <c r="Z379" s="910"/>
      <c r="AA379" s="909"/>
      <c r="AB379" s="910"/>
      <c r="AC379" s="911"/>
      <c r="AD379" s="911"/>
      <c r="AE379" s="909"/>
      <c r="AF379" s="909"/>
      <c r="AG379" s="909"/>
      <c r="AH379" s="917"/>
      <c r="AI379" s="909"/>
      <c r="AJ379" s="916"/>
      <c r="AK379" s="916"/>
      <c r="AL379" s="653"/>
      <c r="AM379" s="918"/>
      <c r="AN379" s="915"/>
      <c r="AO379" s="653"/>
      <c r="AP379" s="653"/>
      <c r="AQ379" s="653"/>
      <c r="AR379" s="653"/>
      <c r="AS379" s="653"/>
      <c r="AT379" s="653"/>
      <c r="AU379" s="653"/>
      <c r="AV379" s="653"/>
      <c r="AW379" s="653"/>
      <c r="AX379" s="653"/>
      <c r="AY379" s="653"/>
      <c r="AZ379" s="653"/>
      <c r="BA379" s="653"/>
      <c r="BB379" s="653"/>
      <c r="BC379" s="653"/>
      <c r="BD379" s="653"/>
      <c r="BE379" s="653"/>
      <c r="BF379" s="653"/>
      <c r="BG379" s="653"/>
      <c r="BH379" s="653"/>
      <c r="BI379" s="653"/>
      <c r="BJ379" s="653"/>
      <c r="BK379" s="653"/>
      <c r="BL379" s="653"/>
      <c r="BM379" s="653"/>
      <c r="BN379" s="653"/>
      <c r="BO379" s="653"/>
      <c r="BP379" s="653"/>
      <c r="BQ379" s="653"/>
      <c r="BR379" s="653"/>
      <c r="BS379" s="653"/>
      <c r="BT379" s="653"/>
      <c r="BU379" s="653"/>
      <c r="BV379" s="654"/>
    </row>
    <row r="380" spans="2:74" x14ac:dyDescent="0.25">
      <c r="B380" s="651"/>
      <c r="C380" s="653"/>
      <c r="D380" s="653"/>
      <c r="E380" s="653"/>
      <c r="F380" s="653"/>
      <c r="G380" s="653"/>
      <c r="H380" s="653"/>
      <c r="I380" s="653"/>
      <c r="J380" s="653"/>
      <c r="K380" s="653"/>
      <c r="L380" s="653"/>
      <c r="M380" s="651"/>
      <c r="N380" s="909"/>
      <c r="O380" s="909"/>
      <c r="P380" s="909"/>
      <c r="Q380" s="910"/>
      <c r="R380" s="909"/>
      <c r="S380" s="909"/>
      <c r="T380" s="909"/>
      <c r="U380" s="909"/>
      <c r="V380" s="909"/>
      <c r="W380" s="909"/>
      <c r="X380" s="909"/>
      <c r="Y380" s="909"/>
      <c r="Z380" s="910"/>
      <c r="AA380" s="909"/>
      <c r="AB380" s="910"/>
      <c r="AC380" s="911"/>
      <c r="AD380" s="911"/>
      <c r="AE380" s="909"/>
      <c r="AF380" s="909"/>
      <c r="AG380" s="909"/>
      <c r="AH380" s="917"/>
      <c r="AI380" s="909"/>
      <c r="AJ380" s="916"/>
      <c r="AK380" s="916"/>
      <c r="AL380" s="653"/>
      <c r="AM380" s="918"/>
      <c r="AN380" s="915"/>
      <c r="AO380" s="909"/>
      <c r="AP380" s="909"/>
      <c r="AQ380" s="653"/>
      <c r="AR380" s="653"/>
      <c r="AS380" s="653"/>
      <c r="AT380" s="653"/>
      <c r="AU380" s="653"/>
      <c r="AV380" s="653"/>
      <c r="AW380" s="653"/>
      <c r="AX380" s="653"/>
      <c r="AY380" s="653"/>
      <c r="AZ380" s="653"/>
      <c r="BA380" s="653"/>
      <c r="BB380" s="653"/>
      <c r="BC380" s="653"/>
      <c r="BD380" s="653"/>
      <c r="BE380" s="653"/>
      <c r="BF380" s="653"/>
      <c r="BG380" s="653"/>
      <c r="BH380" s="653"/>
      <c r="BI380" s="653"/>
      <c r="BJ380" s="653"/>
      <c r="BK380" s="653"/>
      <c r="BL380" s="653"/>
      <c r="BM380" s="653"/>
      <c r="BN380" s="653"/>
      <c r="BO380" s="653"/>
      <c r="BP380" s="653"/>
      <c r="BQ380" s="653"/>
      <c r="BR380" s="653"/>
      <c r="BS380" s="653"/>
      <c r="BT380" s="653"/>
      <c r="BU380" s="653"/>
      <c r="BV380" s="654"/>
    </row>
    <row r="381" spans="2:74" x14ac:dyDescent="0.25">
      <c r="B381" s="651"/>
      <c r="C381" s="653"/>
      <c r="D381" s="653"/>
      <c r="E381" s="653"/>
      <c r="F381" s="653"/>
      <c r="G381" s="653"/>
      <c r="H381" s="653"/>
      <c r="I381" s="653"/>
      <c r="J381" s="653"/>
      <c r="K381" s="653"/>
      <c r="L381" s="653"/>
      <c r="M381" s="651"/>
      <c r="N381" s="909"/>
      <c r="O381" s="909"/>
      <c r="P381" s="909"/>
      <c r="Q381" s="910"/>
      <c r="R381" s="909"/>
      <c r="S381" s="909"/>
      <c r="T381" s="909"/>
      <c r="U381" s="909"/>
      <c r="V381" s="909"/>
      <c r="W381" s="909"/>
      <c r="X381" s="909"/>
      <c r="Y381" s="909"/>
      <c r="Z381" s="910"/>
      <c r="AA381" s="909"/>
      <c r="AB381" s="910"/>
      <c r="AC381" s="911"/>
      <c r="AD381" s="911"/>
      <c r="AE381" s="909"/>
      <c r="AF381" s="909"/>
      <c r="AG381" s="909"/>
      <c r="AH381" s="917"/>
      <c r="AI381" s="909"/>
      <c r="AJ381" s="916"/>
      <c r="AK381" s="916"/>
      <c r="AL381" s="653"/>
      <c r="AM381" s="918"/>
      <c r="AN381" s="915"/>
      <c r="AO381" s="909"/>
      <c r="AP381" s="909"/>
      <c r="AQ381" s="653"/>
      <c r="AR381" s="653"/>
      <c r="AS381" s="653"/>
      <c r="AT381" s="653"/>
      <c r="AU381" s="653"/>
      <c r="AV381" s="653"/>
      <c r="AW381" s="653"/>
      <c r="AX381" s="653"/>
      <c r="AY381" s="653"/>
      <c r="AZ381" s="653"/>
      <c r="BA381" s="653"/>
      <c r="BB381" s="653"/>
      <c r="BC381" s="653"/>
      <c r="BD381" s="653"/>
      <c r="BE381" s="653"/>
      <c r="BF381" s="653"/>
      <c r="BG381" s="653"/>
      <c r="BH381" s="653"/>
      <c r="BI381" s="653"/>
      <c r="BJ381" s="653"/>
      <c r="BK381" s="653"/>
      <c r="BL381" s="653"/>
      <c r="BM381" s="653"/>
      <c r="BN381" s="653"/>
      <c r="BO381" s="653"/>
      <c r="BP381" s="653"/>
      <c r="BQ381" s="653"/>
      <c r="BR381" s="653"/>
      <c r="BS381" s="653"/>
      <c r="BT381" s="653"/>
      <c r="BU381" s="653"/>
      <c r="BV381" s="654"/>
    </row>
    <row r="382" spans="2:74" x14ac:dyDescent="0.25">
      <c r="B382" s="651"/>
      <c r="C382" s="653"/>
      <c r="D382" s="653"/>
      <c r="E382" s="653"/>
      <c r="F382" s="653"/>
      <c r="G382" s="653"/>
      <c r="H382" s="653"/>
      <c r="I382" s="653"/>
      <c r="J382" s="653"/>
      <c r="K382" s="653"/>
      <c r="L382" s="653"/>
      <c r="M382" s="651"/>
      <c r="N382" s="909"/>
      <c r="O382" s="909"/>
      <c r="P382" s="909"/>
      <c r="Q382" s="910"/>
      <c r="R382" s="909"/>
      <c r="S382" s="909"/>
      <c r="T382" s="909"/>
      <c r="U382" s="909"/>
      <c r="V382" s="909"/>
      <c r="W382" s="909"/>
      <c r="X382" s="909"/>
      <c r="Y382" s="909"/>
      <c r="Z382" s="910"/>
      <c r="AA382" s="909"/>
      <c r="AB382" s="910"/>
      <c r="AC382" s="911"/>
      <c r="AD382" s="911"/>
      <c r="AE382" s="909"/>
      <c r="AF382" s="909"/>
      <c r="AG382" s="909"/>
      <c r="AH382" s="917"/>
      <c r="AI382" s="909"/>
      <c r="AJ382" s="916"/>
      <c r="AK382" s="916"/>
      <c r="AL382" s="653"/>
      <c r="AM382" s="918"/>
      <c r="AN382" s="915"/>
      <c r="AO382" s="653"/>
      <c r="AP382" s="653"/>
      <c r="AQ382" s="653"/>
      <c r="AR382" s="653"/>
      <c r="AS382" s="653"/>
      <c r="AT382" s="653"/>
      <c r="AU382" s="653"/>
      <c r="AV382" s="653"/>
      <c r="AW382" s="653"/>
      <c r="AX382" s="653"/>
      <c r="AY382" s="653"/>
      <c r="AZ382" s="653"/>
      <c r="BA382" s="653"/>
      <c r="BB382" s="653"/>
      <c r="BC382" s="653"/>
      <c r="BD382" s="653"/>
      <c r="BE382" s="653"/>
      <c r="BF382" s="653"/>
      <c r="BG382" s="653"/>
      <c r="BH382" s="653"/>
      <c r="BI382" s="653"/>
      <c r="BJ382" s="653"/>
      <c r="BK382" s="653"/>
      <c r="BL382" s="653"/>
      <c r="BM382" s="653"/>
      <c r="BN382" s="653"/>
      <c r="BO382" s="653"/>
      <c r="BP382" s="653"/>
      <c r="BQ382" s="653"/>
      <c r="BR382" s="653"/>
      <c r="BS382" s="653"/>
      <c r="BT382" s="653"/>
      <c r="BU382" s="653"/>
      <c r="BV382" s="654"/>
    </row>
    <row r="383" spans="2:74" x14ac:dyDescent="0.25">
      <c r="B383" s="651"/>
      <c r="C383" s="653"/>
      <c r="D383" s="653"/>
      <c r="E383" s="653"/>
      <c r="F383" s="653"/>
      <c r="G383" s="653"/>
      <c r="H383" s="653"/>
      <c r="I383" s="653"/>
      <c r="J383" s="653"/>
      <c r="K383" s="653"/>
      <c r="L383" s="653"/>
      <c r="M383" s="651"/>
      <c r="N383" s="909"/>
      <c r="O383" s="909"/>
      <c r="P383" s="909"/>
      <c r="Q383" s="910"/>
      <c r="R383" s="909"/>
      <c r="S383" s="909"/>
      <c r="T383" s="909"/>
      <c r="U383" s="909"/>
      <c r="V383" s="909"/>
      <c r="W383" s="909"/>
      <c r="X383" s="909"/>
      <c r="Y383" s="909"/>
      <c r="Z383" s="910"/>
      <c r="AA383" s="909"/>
      <c r="AB383" s="910"/>
      <c r="AC383" s="911"/>
      <c r="AD383" s="911"/>
      <c r="AE383" s="909"/>
      <c r="AF383" s="909"/>
      <c r="AG383" s="909"/>
      <c r="AH383" s="917"/>
      <c r="AI383" s="909"/>
      <c r="AJ383" s="916"/>
      <c r="AK383" s="916"/>
      <c r="AL383" s="653"/>
      <c r="AM383" s="918"/>
      <c r="AN383" s="915"/>
      <c r="AO383" s="653"/>
      <c r="AP383" s="909"/>
      <c r="AQ383" s="653"/>
      <c r="AR383" s="653"/>
      <c r="AS383" s="653"/>
      <c r="AT383" s="653"/>
      <c r="AU383" s="653"/>
      <c r="AV383" s="653"/>
      <c r="AW383" s="653"/>
      <c r="AX383" s="653"/>
      <c r="AY383" s="653"/>
      <c r="AZ383" s="653"/>
      <c r="BA383" s="653"/>
      <c r="BB383" s="653"/>
      <c r="BC383" s="653"/>
      <c r="BD383" s="653"/>
      <c r="BE383" s="653"/>
      <c r="BF383" s="653"/>
      <c r="BG383" s="653"/>
      <c r="BH383" s="653"/>
      <c r="BI383" s="653"/>
      <c r="BJ383" s="653"/>
      <c r="BK383" s="653"/>
      <c r="BL383" s="653"/>
      <c r="BM383" s="653"/>
      <c r="BN383" s="653"/>
      <c r="BO383" s="653"/>
      <c r="BP383" s="653"/>
      <c r="BQ383" s="653"/>
      <c r="BR383" s="653"/>
      <c r="BS383" s="653"/>
      <c r="BT383" s="653"/>
      <c r="BU383" s="653"/>
      <c r="BV383" s="654"/>
    </row>
    <row r="384" spans="2:74" x14ac:dyDescent="0.25">
      <c r="B384" s="651"/>
      <c r="C384" s="653"/>
      <c r="D384" s="653"/>
      <c r="E384" s="653"/>
      <c r="F384" s="653"/>
      <c r="G384" s="653"/>
      <c r="H384" s="653"/>
      <c r="I384" s="653"/>
      <c r="J384" s="653"/>
      <c r="K384" s="653"/>
      <c r="L384" s="653"/>
      <c r="M384" s="651"/>
      <c r="N384" s="909"/>
      <c r="O384" s="909"/>
      <c r="P384" s="909"/>
      <c r="Q384" s="910"/>
      <c r="R384" s="909"/>
      <c r="S384" s="909"/>
      <c r="T384" s="909"/>
      <c r="U384" s="909"/>
      <c r="V384" s="909"/>
      <c r="W384" s="909"/>
      <c r="X384" s="909"/>
      <c r="Y384" s="909"/>
      <c r="Z384" s="910"/>
      <c r="AA384" s="909"/>
      <c r="AB384" s="910"/>
      <c r="AC384" s="911"/>
      <c r="AD384" s="911"/>
      <c r="AE384" s="909"/>
      <c r="AF384" s="909"/>
      <c r="AG384" s="909"/>
      <c r="AH384" s="917"/>
      <c r="AI384" s="909"/>
      <c r="AJ384" s="916"/>
      <c r="AK384" s="916"/>
      <c r="AL384" s="653"/>
      <c r="AM384" s="918"/>
      <c r="AN384" s="915"/>
      <c r="AO384" s="653"/>
      <c r="AP384" s="653"/>
      <c r="AQ384" s="653"/>
      <c r="AR384" s="653"/>
      <c r="AS384" s="653"/>
      <c r="AT384" s="653"/>
      <c r="AU384" s="653"/>
      <c r="AV384" s="653"/>
      <c r="AW384" s="653"/>
      <c r="AX384" s="653"/>
      <c r="AY384" s="653"/>
      <c r="AZ384" s="653"/>
      <c r="BA384" s="653"/>
      <c r="BB384" s="653"/>
      <c r="BC384" s="653"/>
      <c r="BD384" s="653"/>
      <c r="BE384" s="653"/>
      <c r="BF384" s="653"/>
      <c r="BG384" s="653"/>
      <c r="BH384" s="653"/>
      <c r="BI384" s="653"/>
      <c r="BJ384" s="653"/>
      <c r="BK384" s="653"/>
      <c r="BL384" s="653"/>
      <c r="BM384" s="653"/>
      <c r="BN384" s="653"/>
      <c r="BO384" s="653"/>
      <c r="BP384" s="653"/>
      <c r="BQ384" s="653"/>
      <c r="BR384" s="653"/>
      <c r="BS384" s="653"/>
      <c r="BT384" s="653"/>
      <c r="BU384" s="653"/>
      <c r="BV384" s="654"/>
    </row>
    <row r="385" spans="2:74" x14ac:dyDescent="0.25">
      <c r="B385" s="651"/>
      <c r="C385" s="653"/>
      <c r="D385" s="653"/>
      <c r="E385" s="653"/>
      <c r="F385" s="653"/>
      <c r="G385" s="653"/>
      <c r="H385" s="653"/>
      <c r="I385" s="653"/>
      <c r="J385" s="653"/>
      <c r="K385" s="653"/>
      <c r="L385" s="653"/>
      <c r="M385" s="651"/>
      <c r="N385" s="909"/>
      <c r="O385" s="909"/>
      <c r="P385" s="909"/>
      <c r="Q385" s="910"/>
      <c r="R385" s="909"/>
      <c r="S385" s="909"/>
      <c r="T385" s="909"/>
      <c r="U385" s="909"/>
      <c r="V385" s="909"/>
      <c r="W385" s="909"/>
      <c r="X385" s="909"/>
      <c r="Y385" s="909"/>
      <c r="Z385" s="910"/>
      <c r="AA385" s="909"/>
      <c r="AB385" s="910"/>
      <c r="AC385" s="911"/>
      <c r="AD385" s="911"/>
      <c r="AE385" s="909"/>
      <c r="AF385" s="909"/>
      <c r="AG385" s="909"/>
      <c r="AH385" s="917"/>
      <c r="AI385" s="909"/>
      <c r="AJ385" s="916"/>
      <c r="AK385" s="916"/>
      <c r="AL385" s="653"/>
      <c r="AM385" s="918"/>
      <c r="AN385" s="915"/>
      <c r="AO385" s="653"/>
      <c r="AP385" s="653"/>
      <c r="AQ385" s="653"/>
      <c r="AR385" s="653"/>
      <c r="AS385" s="653"/>
      <c r="AT385" s="653"/>
      <c r="AU385" s="653"/>
      <c r="AV385" s="653"/>
      <c r="AW385" s="653"/>
      <c r="AX385" s="653"/>
      <c r="AY385" s="653"/>
      <c r="AZ385" s="653"/>
      <c r="BA385" s="653"/>
      <c r="BB385" s="653"/>
      <c r="BC385" s="653"/>
      <c r="BD385" s="653"/>
      <c r="BE385" s="653"/>
      <c r="BF385" s="653"/>
      <c r="BG385" s="653"/>
      <c r="BH385" s="653"/>
      <c r="BI385" s="653"/>
      <c r="BJ385" s="653"/>
      <c r="BK385" s="653"/>
      <c r="BL385" s="653"/>
      <c r="BM385" s="653"/>
      <c r="BN385" s="653"/>
      <c r="BO385" s="653"/>
      <c r="BP385" s="653"/>
      <c r="BQ385" s="653"/>
      <c r="BR385" s="653"/>
      <c r="BS385" s="653"/>
      <c r="BT385" s="653"/>
      <c r="BU385" s="653"/>
      <c r="BV385" s="654"/>
    </row>
    <row r="386" spans="2:74" x14ac:dyDescent="0.25">
      <c r="B386" s="651"/>
      <c r="C386" s="653"/>
      <c r="D386" s="653"/>
      <c r="E386" s="653"/>
      <c r="F386" s="653"/>
      <c r="G386" s="653"/>
      <c r="H386" s="653"/>
      <c r="I386" s="653"/>
      <c r="J386" s="653"/>
      <c r="K386" s="653"/>
      <c r="L386" s="653"/>
      <c r="M386" s="651"/>
      <c r="N386" s="909"/>
      <c r="O386" s="909"/>
      <c r="P386" s="909"/>
      <c r="Q386" s="910"/>
      <c r="R386" s="909"/>
      <c r="S386" s="909"/>
      <c r="T386" s="909"/>
      <c r="U386" s="909"/>
      <c r="V386" s="909"/>
      <c r="W386" s="909"/>
      <c r="X386" s="909"/>
      <c r="Y386" s="909"/>
      <c r="Z386" s="910"/>
      <c r="AA386" s="909"/>
      <c r="AB386" s="910"/>
      <c r="AC386" s="911"/>
      <c r="AD386" s="911"/>
      <c r="AE386" s="909"/>
      <c r="AF386" s="909"/>
      <c r="AG386" s="909"/>
      <c r="AH386" s="917"/>
      <c r="AI386" s="909"/>
      <c r="AJ386" s="916"/>
      <c r="AK386" s="916"/>
      <c r="AL386" s="653"/>
      <c r="AM386" s="918"/>
      <c r="AN386" s="915"/>
      <c r="AO386" s="653"/>
      <c r="AP386" s="653"/>
      <c r="AQ386" s="653"/>
      <c r="AR386" s="653"/>
      <c r="AS386" s="653"/>
      <c r="AT386" s="653"/>
      <c r="AU386" s="653"/>
      <c r="AV386" s="653"/>
      <c r="AW386" s="653"/>
      <c r="AX386" s="653"/>
      <c r="AY386" s="653"/>
      <c r="AZ386" s="653"/>
      <c r="BA386" s="653"/>
      <c r="BB386" s="653"/>
      <c r="BC386" s="653"/>
      <c r="BD386" s="653"/>
      <c r="BE386" s="653"/>
      <c r="BF386" s="653"/>
      <c r="BG386" s="653"/>
      <c r="BH386" s="653"/>
      <c r="BI386" s="653"/>
      <c r="BJ386" s="653"/>
      <c r="BK386" s="653"/>
      <c r="BL386" s="653"/>
      <c r="BM386" s="653"/>
      <c r="BN386" s="653"/>
      <c r="BO386" s="653"/>
      <c r="BP386" s="653"/>
      <c r="BQ386" s="653"/>
      <c r="BR386" s="653"/>
      <c r="BS386" s="653"/>
      <c r="BT386" s="653"/>
      <c r="BU386" s="653"/>
      <c r="BV386" s="654"/>
    </row>
    <row r="387" spans="2:74" x14ac:dyDescent="0.25">
      <c r="B387" s="651"/>
      <c r="C387" s="653"/>
      <c r="D387" s="653"/>
      <c r="E387" s="653"/>
      <c r="F387" s="653"/>
      <c r="G387" s="653"/>
      <c r="H387" s="653"/>
      <c r="I387" s="653"/>
      <c r="J387" s="653"/>
      <c r="K387" s="653"/>
      <c r="L387" s="653"/>
      <c r="M387" s="651"/>
      <c r="N387" s="909"/>
      <c r="O387" s="909"/>
      <c r="P387" s="909"/>
      <c r="Q387" s="910"/>
      <c r="R387" s="909"/>
      <c r="S387" s="909"/>
      <c r="T387" s="909"/>
      <c r="U387" s="909"/>
      <c r="V387" s="909"/>
      <c r="W387" s="909"/>
      <c r="X387" s="909"/>
      <c r="Y387" s="909"/>
      <c r="Z387" s="910"/>
      <c r="AA387" s="909"/>
      <c r="AB387" s="910"/>
      <c r="AC387" s="911"/>
      <c r="AD387" s="911"/>
      <c r="AE387" s="909"/>
      <c r="AF387" s="909"/>
      <c r="AG387" s="909"/>
      <c r="AH387" s="917"/>
      <c r="AI387" s="909"/>
      <c r="AJ387" s="916"/>
      <c r="AK387" s="916"/>
      <c r="AL387" s="653"/>
      <c r="AM387" s="918"/>
      <c r="AN387" s="915"/>
      <c r="AO387" s="653"/>
      <c r="AP387" s="653"/>
      <c r="AQ387" s="653"/>
      <c r="AR387" s="653"/>
      <c r="AS387" s="653"/>
      <c r="AT387" s="653"/>
      <c r="AU387" s="653"/>
      <c r="AV387" s="653"/>
      <c r="AW387" s="653"/>
      <c r="AX387" s="653"/>
      <c r="AY387" s="653"/>
      <c r="AZ387" s="653"/>
      <c r="BA387" s="653"/>
      <c r="BB387" s="653"/>
      <c r="BC387" s="653"/>
      <c r="BD387" s="653"/>
      <c r="BE387" s="653"/>
      <c r="BF387" s="653"/>
      <c r="BG387" s="653"/>
      <c r="BH387" s="653"/>
      <c r="BI387" s="653"/>
      <c r="BJ387" s="653"/>
      <c r="BK387" s="653"/>
      <c r="BL387" s="653"/>
      <c r="BM387" s="653"/>
      <c r="BN387" s="653"/>
      <c r="BO387" s="653"/>
      <c r="BP387" s="653"/>
      <c r="BQ387" s="653"/>
      <c r="BR387" s="653"/>
      <c r="BS387" s="653"/>
      <c r="BT387" s="653"/>
      <c r="BU387" s="653"/>
      <c r="BV387" s="654"/>
    </row>
    <row r="388" spans="2:74" x14ac:dyDescent="0.25">
      <c r="B388" s="651"/>
      <c r="C388" s="653"/>
      <c r="D388" s="653"/>
      <c r="E388" s="653"/>
      <c r="F388" s="653"/>
      <c r="G388" s="653"/>
      <c r="H388" s="653"/>
      <c r="I388" s="653"/>
      <c r="J388" s="653"/>
      <c r="K388" s="653"/>
      <c r="L388" s="653"/>
      <c r="M388" s="651"/>
      <c r="N388" s="909"/>
      <c r="O388" s="909"/>
      <c r="P388" s="909"/>
      <c r="Q388" s="910"/>
      <c r="R388" s="909"/>
      <c r="S388" s="909"/>
      <c r="T388" s="909"/>
      <c r="U388" s="909"/>
      <c r="V388" s="909"/>
      <c r="W388" s="909"/>
      <c r="X388" s="909"/>
      <c r="Y388" s="909"/>
      <c r="Z388" s="910"/>
      <c r="AA388" s="909"/>
      <c r="AB388" s="910"/>
      <c r="AC388" s="911"/>
      <c r="AD388" s="911"/>
      <c r="AE388" s="909"/>
      <c r="AF388" s="909"/>
      <c r="AG388" s="909"/>
      <c r="AH388" s="917"/>
      <c r="AI388" s="909"/>
      <c r="AJ388" s="916"/>
      <c r="AK388" s="916"/>
      <c r="AL388" s="653"/>
      <c r="AM388" s="918"/>
      <c r="AN388" s="915"/>
      <c r="AO388" s="653"/>
      <c r="AP388" s="653"/>
      <c r="AQ388" s="653"/>
      <c r="AR388" s="653"/>
      <c r="AS388" s="653"/>
      <c r="AT388" s="653"/>
      <c r="AU388" s="653"/>
      <c r="AV388" s="653"/>
      <c r="AW388" s="653"/>
      <c r="AX388" s="653"/>
      <c r="AY388" s="653"/>
      <c r="AZ388" s="653"/>
      <c r="BA388" s="653"/>
      <c r="BB388" s="653"/>
      <c r="BC388" s="653"/>
      <c r="BD388" s="653"/>
      <c r="BE388" s="653"/>
      <c r="BF388" s="653"/>
      <c r="BG388" s="653"/>
      <c r="BH388" s="653"/>
      <c r="BI388" s="653"/>
      <c r="BJ388" s="653"/>
      <c r="BK388" s="653"/>
      <c r="BL388" s="653"/>
      <c r="BM388" s="653"/>
      <c r="BN388" s="653"/>
      <c r="BO388" s="653"/>
      <c r="BP388" s="653"/>
      <c r="BQ388" s="653"/>
      <c r="BR388" s="653"/>
      <c r="BS388" s="653"/>
      <c r="BT388" s="653"/>
      <c r="BU388" s="653"/>
      <c r="BV388" s="654"/>
    </row>
    <row r="389" spans="2:74" x14ac:dyDescent="0.25">
      <c r="B389" s="651"/>
      <c r="C389" s="653"/>
      <c r="D389" s="653"/>
      <c r="E389" s="653"/>
      <c r="F389" s="653"/>
      <c r="G389" s="653"/>
      <c r="H389" s="653"/>
      <c r="I389" s="653"/>
      <c r="J389" s="653"/>
      <c r="K389" s="653"/>
      <c r="L389" s="653"/>
      <c r="M389" s="651"/>
      <c r="N389" s="909"/>
      <c r="O389" s="909"/>
      <c r="P389" s="909"/>
      <c r="Q389" s="910"/>
      <c r="R389" s="909"/>
      <c r="S389" s="909"/>
      <c r="T389" s="909"/>
      <c r="U389" s="909"/>
      <c r="V389" s="909"/>
      <c r="W389" s="909"/>
      <c r="X389" s="909"/>
      <c r="Y389" s="909"/>
      <c r="Z389" s="910"/>
      <c r="AA389" s="909"/>
      <c r="AB389" s="910"/>
      <c r="AC389" s="911"/>
      <c r="AD389" s="911"/>
      <c r="AE389" s="909"/>
      <c r="AF389" s="909"/>
      <c r="AG389" s="909"/>
      <c r="AH389" s="917"/>
      <c r="AI389" s="909"/>
      <c r="AJ389" s="916"/>
      <c r="AK389" s="916"/>
      <c r="AL389" s="653"/>
      <c r="AM389" s="918"/>
      <c r="AN389" s="915"/>
      <c r="AO389" s="653"/>
      <c r="AP389" s="653"/>
      <c r="AQ389" s="653"/>
      <c r="AR389" s="653"/>
      <c r="AS389" s="653"/>
      <c r="AT389" s="653"/>
      <c r="AU389" s="653"/>
      <c r="AV389" s="653"/>
      <c r="AW389" s="653"/>
      <c r="AX389" s="653"/>
      <c r="AY389" s="653"/>
      <c r="AZ389" s="653"/>
      <c r="BA389" s="653"/>
      <c r="BB389" s="653"/>
      <c r="BC389" s="653"/>
      <c r="BD389" s="653"/>
      <c r="BE389" s="653"/>
      <c r="BF389" s="653"/>
      <c r="BG389" s="653"/>
      <c r="BH389" s="653"/>
      <c r="BI389" s="653"/>
      <c r="BJ389" s="653"/>
      <c r="BK389" s="653"/>
      <c r="BL389" s="653"/>
      <c r="BM389" s="653"/>
      <c r="BN389" s="653"/>
      <c r="BO389" s="653"/>
      <c r="BP389" s="653"/>
      <c r="BQ389" s="653"/>
      <c r="BR389" s="653"/>
      <c r="BS389" s="653"/>
      <c r="BT389" s="653"/>
      <c r="BU389" s="653"/>
      <c r="BV389" s="654"/>
    </row>
    <row r="390" spans="2:74" x14ac:dyDescent="0.25">
      <c r="B390" s="651"/>
      <c r="C390" s="653"/>
      <c r="D390" s="653"/>
      <c r="E390" s="653"/>
      <c r="F390" s="653"/>
      <c r="G390" s="653"/>
      <c r="H390" s="653"/>
      <c r="I390" s="653"/>
      <c r="J390" s="653"/>
      <c r="K390" s="653"/>
      <c r="L390" s="653"/>
      <c r="M390" s="651"/>
      <c r="N390" s="909"/>
      <c r="O390" s="909"/>
      <c r="P390" s="909"/>
      <c r="Q390" s="910"/>
      <c r="R390" s="909"/>
      <c r="S390" s="909"/>
      <c r="T390" s="909"/>
      <c r="U390" s="909"/>
      <c r="V390" s="909"/>
      <c r="W390" s="909"/>
      <c r="X390" s="909"/>
      <c r="Y390" s="909"/>
      <c r="Z390" s="910"/>
      <c r="AA390" s="909"/>
      <c r="AB390" s="910"/>
      <c r="AC390" s="911"/>
      <c r="AD390" s="911"/>
      <c r="AE390" s="909"/>
      <c r="AF390" s="909"/>
      <c r="AG390" s="909"/>
      <c r="AH390" s="917"/>
      <c r="AI390" s="909"/>
      <c r="AJ390" s="916"/>
      <c r="AK390" s="916"/>
      <c r="AL390" s="653"/>
      <c r="AM390" s="918"/>
      <c r="AN390" s="915"/>
      <c r="AO390" s="653"/>
      <c r="AP390" s="653"/>
      <c r="AQ390" s="653"/>
      <c r="AR390" s="653"/>
      <c r="AS390" s="653"/>
      <c r="AT390" s="653"/>
      <c r="AU390" s="653"/>
      <c r="AV390" s="653"/>
      <c r="AW390" s="653"/>
      <c r="AX390" s="653"/>
      <c r="AY390" s="653"/>
      <c r="AZ390" s="653"/>
      <c r="BA390" s="653"/>
      <c r="BB390" s="653"/>
      <c r="BC390" s="653"/>
      <c r="BD390" s="653"/>
      <c r="BE390" s="653"/>
      <c r="BF390" s="653"/>
      <c r="BG390" s="653"/>
      <c r="BH390" s="653"/>
      <c r="BI390" s="653"/>
      <c r="BJ390" s="653"/>
      <c r="BK390" s="653"/>
      <c r="BL390" s="653"/>
      <c r="BM390" s="653"/>
      <c r="BN390" s="653"/>
      <c r="BO390" s="653"/>
      <c r="BP390" s="653"/>
      <c r="BQ390" s="653"/>
      <c r="BR390" s="653"/>
      <c r="BS390" s="653"/>
      <c r="BT390" s="653"/>
      <c r="BU390" s="653"/>
      <c r="BV390" s="654"/>
    </row>
    <row r="391" spans="2:74" x14ac:dyDescent="0.25">
      <c r="B391" s="651"/>
      <c r="C391" s="653"/>
      <c r="D391" s="653"/>
      <c r="E391" s="653"/>
      <c r="F391" s="653"/>
      <c r="G391" s="653"/>
      <c r="H391" s="653"/>
      <c r="I391" s="653"/>
      <c r="J391" s="653"/>
      <c r="K391" s="653"/>
      <c r="L391" s="653"/>
      <c r="M391" s="651"/>
      <c r="N391" s="909"/>
      <c r="O391" s="909"/>
      <c r="P391" s="909"/>
      <c r="Q391" s="910"/>
      <c r="R391" s="909"/>
      <c r="S391" s="909"/>
      <c r="T391" s="909"/>
      <c r="U391" s="909"/>
      <c r="V391" s="909"/>
      <c r="W391" s="909"/>
      <c r="X391" s="909"/>
      <c r="Y391" s="909"/>
      <c r="Z391" s="910"/>
      <c r="AA391" s="909"/>
      <c r="AB391" s="910"/>
      <c r="AC391" s="911"/>
      <c r="AD391" s="911"/>
      <c r="AE391" s="909"/>
      <c r="AF391" s="909"/>
      <c r="AG391" s="909"/>
      <c r="AH391" s="917"/>
      <c r="AI391" s="909"/>
      <c r="AJ391" s="916"/>
      <c r="AK391" s="916"/>
      <c r="AL391" s="653"/>
      <c r="AM391" s="918"/>
      <c r="AN391" s="915"/>
      <c r="AO391" s="653"/>
      <c r="AP391" s="653"/>
      <c r="AQ391" s="653"/>
      <c r="AR391" s="653"/>
      <c r="AS391" s="653"/>
      <c r="AT391" s="653"/>
      <c r="AU391" s="653"/>
      <c r="AV391" s="653"/>
      <c r="AW391" s="653"/>
      <c r="AX391" s="653"/>
      <c r="AY391" s="653"/>
      <c r="AZ391" s="653"/>
      <c r="BA391" s="653"/>
      <c r="BB391" s="653"/>
      <c r="BC391" s="653"/>
      <c r="BD391" s="653"/>
      <c r="BE391" s="653"/>
      <c r="BF391" s="653"/>
      <c r="BG391" s="653"/>
      <c r="BH391" s="653"/>
      <c r="BI391" s="653"/>
      <c r="BJ391" s="653"/>
      <c r="BK391" s="653"/>
      <c r="BL391" s="653"/>
      <c r="BM391" s="653"/>
      <c r="BN391" s="653"/>
      <c r="BO391" s="653"/>
      <c r="BP391" s="653"/>
      <c r="BQ391" s="653"/>
      <c r="BR391" s="653"/>
      <c r="BS391" s="653"/>
      <c r="BT391" s="653"/>
      <c r="BU391" s="653"/>
      <c r="BV391" s="654"/>
    </row>
    <row r="392" spans="2:74" x14ac:dyDescent="0.25">
      <c r="B392" s="651"/>
      <c r="C392" s="653"/>
      <c r="D392" s="653"/>
      <c r="E392" s="653"/>
      <c r="F392" s="653"/>
      <c r="G392" s="653"/>
      <c r="H392" s="653"/>
      <c r="I392" s="653"/>
      <c r="J392" s="653"/>
      <c r="K392" s="653"/>
      <c r="L392" s="653"/>
      <c r="M392" s="651"/>
      <c r="N392" s="909"/>
      <c r="O392" s="909"/>
      <c r="P392" s="909"/>
      <c r="Q392" s="910"/>
      <c r="R392" s="909"/>
      <c r="S392" s="909"/>
      <c r="T392" s="909"/>
      <c r="U392" s="909"/>
      <c r="V392" s="909"/>
      <c r="W392" s="909"/>
      <c r="X392" s="909"/>
      <c r="Y392" s="909"/>
      <c r="Z392" s="910"/>
      <c r="AA392" s="909"/>
      <c r="AB392" s="910"/>
      <c r="AC392" s="911"/>
      <c r="AD392" s="911"/>
      <c r="AE392" s="909"/>
      <c r="AF392" s="909"/>
      <c r="AG392" s="909"/>
      <c r="AH392" s="917"/>
      <c r="AI392" s="909"/>
      <c r="AJ392" s="916"/>
      <c r="AK392" s="916"/>
      <c r="AL392" s="653"/>
      <c r="AM392" s="918"/>
      <c r="AN392" s="915"/>
      <c r="AO392" s="653"/>
      <c r="AP392" s="653"/>
      <c r="AQ392" s="653"/>
      <c r="AR392" s="653"/>
      <c r="AS392" s="653"/>
      <c r="AT392" s="653"/>
      <c r="AU392" s="653"/>
      <c r="AV392" s="653"/>
      <c r="AW392" s="653"/>
      <c r="AX392" s="653"/>
      <c r="AY392" s="653"/>
      <c r="AZ392" s="653"/>
      <c r="BA392" s="653"/>
      <c r="BB392" s="653"/>
      <c r="BC392" s="653"/>
      <c r="BD392" s="653"/>
      <c r="BE392" s="653"/>
      <c r="BF392" s="653"/>
      <c r="BG392" s="653"/>
      <c r="BH392" s="653"/>
      <c r="BI392" s="653"/>
      <c r="BJ392" s="653"/>
      <c r="BK392" s="653"/>
      <c r="BL392" s="653"/>
      <c r="BM392" s="653"/>
      <c r="BN392" s="653"/>
      <c r="BO392" s="653"/>
      <c r="BP392" s="653"/>
      <c r="BQ392" s="653"/>
      <c r="BR392" s="653"/>
      <c r="BS392" s="653"/>
      <c r="BT392" s="653"/>
      <c r="BU392" s="653"/>
      <c r="BV392" s="654"/>
    </row>
    <row r="393" spans="2:74" x14ac:dyDescent="0.25">
      <c r="B393" s="651"/>
      <c r="C393" s="653"/>
      <c r="D393" s="653"/>
      <c r="E393" s="653"/>
      <c r="F393" s="653"/>
      <c r="G393" s="653"/>
      <c r="H393" s="653"/>
      <c r="I393" s="653"/>
      <c r="J393" s="653"/>
      <c r="K393" s="653"/>
      <c r="L393" s="653"/>
      <c r="M393" s="651"/>
      <c r="N393" s="909"/>
      <c r="O393" s="909"/>
      <c r="P393" s="909"/>
      <c r="Q393" s="910"/>
      <c r="R393" s="909"/>
      <c r="S393" s="909"/>
      <c r="T393" s="909"/>
      <c r="U393" s="909"/>
      <c r="V393" s="909"/>
      <c r="W393" s="909"/>
      <c r="X393" s="909"/>
      <c r="Y393" s="909"/>
      <c r="Z393" s="910"/>
      <c r="AA393" s="909"/>
      <c r="AB393" s="910"/>
      <c r="AC393" s="911"/>
      <c r="AD393" s="911"/>
      <c r="AE393" s="909"/>
      <c r="AF393" s="909"/>
      <c r="AG393" s="909"/>
      <c r="AH393" s="917"/>
      <c r="AI393" s="909"/>
      <c r="AJ393" s="916"/>
      <c r="AK393" s="916"/>
      <c r="AL393" s="653"/>
      <c r="AM393" s="918"/>
      <c r="AN393" s="915"/>
      <c r="AO393" s="653"/>
      <c r="AP393" s="653"/>
      <c r="AQ393" s="653"/>
      <c r="AR393" s="653"/>
      <c r="AS393" s="653"/>
      <c r="AT393" s="653"/>
      <c r="AU393" s="653"/>
      <c r="AV393" s="653"/>
      <c r="AW393" s="653"/>
      <c r="AX393" s="653"/>
      <c r="AY393" s="653"/>
      <c r="AZ393" s="653"/>
      <c r="BA393" s="653"/>
      <c r="BB393" s="653"/>
      <c r="BC393" s="653"/>
      <c r="BD393" s="653"/>
      <c r="BE393" s="653"/>
      <c r="BF393" s="653"/>
      <c r="BG393" s="653"/>
      <c r="BH393" s="653"/>
      <c r="BI393" s="653"/>
      <c r="BJ393" s="653"/>
      <c r="BK393" s="653"/>
      <c r="BL393" s="653"/>
      <c r="BM393" s="653"/>
      <c r="BN393" s="653"/>
      <c r="BO393" s="653"/>
      <c r="BP393" s="653"/>
      <c r="BQ393" s="653"/>
      <c r="BR393" s="653"/>
      <c r="BS393" s="653"/>
      <c r="BT393" s="653"/>
      <c r="BU393" s="653"/>
      <c r="BV393" s="654"/>
    </row>
    <row r="394" spans="2:74" x14ac:dyDescent="0.25">
      <c r="B394" s="651"/>
      <c r="C394" s="653"/>
      <c r="D394" s="653"/>
      <c r="E394" s="653"/>
      <c r="F394" s="653"/>
      <c r="G394" s="653"/>
      <c r="H394" s="653"/>
      <c r="I394" s="653"/>
      <c r="J394" s="653"/>
      <c r="K394" s="653"/>
      <c r="L394" s="653"/>
      <c r="M394" s="651"/>
      <c r="N394" s="909"/>
      <c r="O394" s="909"/>
      <c r="P394" s="909"/>
      <c r="Q394" s="910"/>
      <c r="R394" s="909"/>
      <c r="S394" s="909"/>
      <c r="T394" s="909"/>
      <c r="U394" s="909"/>
      <c r="V394" s="909"/>
      <c r="W394" s="909"/>
      <c r="X394" s="909"/>
      <c r="Y394" s="909"/>
      <c r="Z394" s="910"/>
      <c r="AA394" s="909"/>
      <c r="AB394" s="910"/>
      <c r="AC394" s="911"/>
      <c r="AD394" s="911"/>
      <c r="AE394" s="909"/>
      <c r="AF394" s="909"/>
      <c r="AG394" s="909"/>
      <c r="AH394" s="917"/>
      <c r="AI394" s="909"/>
      <c r="AJ394" s="916"/>
      <c r="AK394" s="916"/>
      <c r="AL394" s="653"/>
      <c r="AM394" s="918"/>
      <c r="AN394" s="915"/>
      <c r="AO394" s="653"/>
      <c r="AP394" s="653"/>
      <c r="AQ394" s="653"/>
      <c r="AR394" s="653"/>
      <c r="AS394" s="653"/>
      <c r="AT394" s="653"/>
      <c r="AU394" s="653"/>
      <c r="AV394" s="653"/>
      <c r="AW394" s="653"/>
      <c r="AX394" s="653"/>
      <c r="AY394" s="653"/>
      <c r="AZ394" s="653"/>
      <c r="BA394" s="653"/>
      <c r="BB394" s="653"/>
      <c r="BC394" s="653"/>
      <c r="BD394" s="653"/>
      <c r="BE394" s="653"/>
      <c r="BF394" s="653"/>
      <c r="BG394" s="653"/>
      <c r="BH394" s="653"/>
      <c r="BI394" s="653"/>
      <c r="BJ394" s="653"/>
      <c r="BK394" s="653"/>
      <c r="BL394" s="653"/>
      <c r="BM394" s="653"/>
      <c r="BN394" s="653"/>
      <c r="BO394" s="653"/>
      <c r="BP394" s="653"/>
      <c r="BQ394" s="653"/>
      <c r="BR394" s="653"/>
      <c r="BS394" s="653"/>
      <c r="BT394" s="653"/>
      <c r="BU394" s="653"/>
      <c r="BV394" s="654"/>
    </row>
    <row r="395" spans="2:74" x14ac:dyDescent="0.25">
      <c r="B395" s="651"/>
      <c r="C395" s="653"/>
      <c r="D395" s="653"/>
      <c r="E395" s="653"/>
      <c r="F395" s="653"/>
      <c r="G395" s="653"/>
      <c r="H395" s="653"/>
      <c r="I395" s="653"/>
      <c r="J395" s="653"/>
      <c r="K395" s="653"/>
      <c r="L395" s="653"/>
      <c r="M395" s="651"/>
      <c r="N395" s="909"/>
      <c r="O395" s="909"/>
      <c r="P395" s="909"/>
      <c r="Q395" s="910"/>
      <c r="R395" s="909"/>
      <c r="S395" s="909"/>
      <c r="T395" s="909"/>
      <c r="U395" s="909"/>
      <c r="V395" s="909"/>
      <c r="W395" s="909"/>
      <c r="X395" s="909"/>
      <c r="Y395" s="909"/>
      <c r="Z395" s="910"/>
      <c r="AA395" s="909"/>
      <c r="AB395" s="910"/>
      <c r="AC395" s="911"/>
      <c r="AD395" s="911"/>
      <c r="AE395" s="909"/>
      <c r="AF395" s="909"/>
      <c r="AG395" s="909"/>
      <c r="AH395" s="917"/>
      <c r="AI395" s="909"/>
      <c r="AJ395" s="916"/>
      <c r="AK395" s="916"/>
      <c r="AL395" s="653"/>
      <c r="AM395" s="918"/>
      <c r="AN395" s="915"/>
      <c r="AO395" s="653"/>
      <c r="AP395" s="653"/>
      <c r="AQ395" s="653"/>
      <c r="AR395" s="653"/>
      <c r="AS395" s="653"/>
      <c r="AT395" s="653"/>
      <c r="AU395" s="653"/>
      <c r="AV395" s="653"/>
      <c r="AW395" s="653"/>
      <c r="AX395" s="653"/>
      <c r="AY395" s="653"/>
      <c r="AZ395" s="653"/>
      <c r="BA395" s="653"/>
      <c r="BB395" s="653"/>
      <c r="BC395" s="653"/>
      <c r="BD395" s="653"/>
      <c r="BE395" s="653"/>
      <c r="BF395" s="653"/>
      <c r="BG395" s="653"/>
      <c r="BH395" s="653"/>
      <c r="BI395" s="653"/>
      <c r="BJ395" s="653"/>
      <c r="BK395" s="653"/>
      <c r="BL395" s="653"/>
      <c r="BM395" s="653"/>
      <c r="BN395" s="653"/>
      <c r="BO395" s="653"/>
      <c r="BP395" s="653"/>
      <c r="BQ395" s="653"/>
      <c r="BR395" s="653"/>
      <c r="BS395" s="653"/>
      <c r="BT395" s="653"/>
      <c r="BU395" s="653"/>
      <c r="BV395" s="654"/>
    </row>
    <row r="396" spans="2:74" x14ac:dyDescent="0.25">
      <c r="B396" s="651"/>
      <c r="C396" s="653"/>
      <c r="D396" s="653"/>
      <c r="E396" s="653"/>
      <c r="F396" s="653"/>
      <c r="G396" s="653"/>
      <c r="H396" s="653"/>
      <c r="I396" s="653"/>
      <c r="J396" s="653"/>
      <c r="K396" s="653"/>
      <c r="L396" s="653"/>
      <c r="M396" s="651"/>
      <c r="N396" s="909"/>
      <c r="O396" s="909"/>
      <c r="P396" s="909"/>
      <c r="Q396" s="910"/>
      <c r="R396" s="909"/>
      <c r="S396" s="909"/>
      <c r="T396" s="909"/>
      <c r="U396" s="909"/>
      <c r="V396" s="909"/>
      <c r="W396" s="909"/>
      <c r="X396" s="909"/>
      <c r="Y396" s="909"/>
      <c r="Z396" s="910"/>
      <c r="AA396" s="909"/>
      <c r="AB396" s="910"/>
      <c r="AC396" s="911"/>
      <c r="AD396" s="911"/>
      <c r="AE396" s="909"/>
      <c r="AF396" s="909"/>
      <c r="AG396" s="909"/>
      <c r="AH396" s="917"/>
      <c r="AI396" s="909"/>
      <c r="AJ396" s="916"/>
      <c r="AK396" s="916"/>
      <c r="AL396" s="653"/>
      <c r="AM396" s="918"/>
      <c r="AN396" s="915"/>
      <c r="AO396" s="653"/>
      <c r="AP396" s="653"/>
      <c r="AQ396" s="653"/>
      <c r="AR396" s="653"/>
      <c r="AS396" s="653"/>
      <c r="AT396" s="653"/>
      <c r="AU396" s="653"/>
      <c r="AV396" s="653"/>
      <c r="AW396" s="653"/>
      <c r="AX396" s="653"/>
      <c r="AY396" s="653"/>
      <c r="AZ396" s="653"/>
      <c r="BA396" s="653"/>
      <c r="BB396" s="653"/>
      <c r="BC396" s="653"/>
      <c r="BD396" s="653"/>
      <c r="BE396" s="653"/>
      <c r="BF396" s="653"/>
      <c r="BG396" s="653"/>
      <c r="BH396" s="653"/>
      <c r="BI396" s="653"/>
      <c r="BJ396" s="653"/>
      <c r="BK396" s="653"/>
      <c r="BL396" s="653"/>
      <c r="BM396" s="653"/>
      <c r="BN396" s="653"/>
      <c r="BO396" s="653"/>
      <c r="BP396" s="653"/>
      <c r="BQ396" s="653"/>
      <c r="BR396" s="653"/>
      <c r="BS396" s="653"/>
      <c r="BT396" s="653"/>
      <c r="BU396" s="653"/>
      <c r="BV396" s="654"/>
    </row>
    <row r="397" spans="2:74" x14ac:dyDescent="0.25">
      <c r="B397" s="651"/>
      <c r="C397" s="653"/>
      <c r="D397" s="653"/>
      <c r="E397" s="653"/>
      <c r="F397" s="653"/>
      <c r="G397" s="653"/>
      <c r="H397" s="653"/>
      <c r="I397" s="653"/>
      <c r="J397" s="653"/>
      <c r="K397" s="653"/>
      <c r="L397" s="653"/>
      <c r="M397" s="651"/>
      <c r="N397" s="909"/>
      <c r="O397" s="909"/>
      <c r="P397" s="909"/>
      <c r="Q397" s="910"/>
      <c r="R397" s="909"/>
      <c r="S397" s="909"/>
      <c r="T397" s="909"/>
      <c r="U397" s="909"/>
      <c r="V397" s="909"/>
      <c r="W397" s="909"/>
      <c r="X397" s="909"/>
      <c r="Y397" s="909"/>
      <c r="Z397" s="910"/>
      <c r="AA397" s="909"/>
      <c r="AB397" s="910"/>
      <c r="AC397" s="911"/>
      <c r="AD397" s="911"/>
      <c r="AE397" s="909"/>
      <c r="AF397" s="909"/>
      <c r="AG397" s="909"/>
      <c r="AH397" s="917"/>
      <c r="AI397" s="909"/>
      <c r="AJ397" s="916"/>
      <c r="AK397" s="916"/>
      <c r="AL397" s="653"/>
      <c r="AM397" s="918"/>
      <c r="AN397" s="915"/>
      <c r="AO397" s="653"/>
      <c r="AP397" s="653"/>
      <c r="AQ397" s="653"/>
      <c r="AR397" s="653"/>
      <c r="AS397" s="653"/>
      <c r="AT397" s="653"/>
      <c r="AU397" s="653"/>
      <c r="AV397" s="653"/>
      <c r="AW397" s="653"/>
      <c r="AX397" s="653"/>
      <c r="AY397" s="653"/>
      <c r="AZ397" s="653"/>
      <c r="BA397" s="653"/>
      <c r="BB397" s="653"/>
      <c r="BC397" s="653"/>
      <c r="BD397" s="653"/>
      <c r="BE397" s="653"/>
      <c r="BF397" s="653"/>
      <c r="BG397" s="653"/>
      <c r="BH397" s="653"/>
      <c r="BI397" s="653"/>
      <c r="BJ397" s="653"/>
      <c r="BK397" s="653"/>
      <c r="BL397" s="653"/>
      <c r="BM397" s="653"/>
      <c r="BN397" s="653"/>
      <c r="BO397" s="653"/>
      <c r="BP397" s="653"/>
      <c r="BQ397" s="653"/>
      <c r="BR397" s="653"/>
      <c r="BS397" s="653"/>
      <c r="BT397" s="653"/>
      <c r="BU397" s="653"/>
      <c r="BV397" s="654"/>
    </row>
    <row r="398" spans="2:74" x14ac:dyDescent="0.25">
      <c r="B398" s="651"/>
      <c r="C398" s="653"/>
      <c r="D398" s="653"/>
      <c r="E398" s="653"/>
      <c r="F398" s="653"/>
      <c r="G398" s="653"/>
      <c r="H398" s="653"/>
      <c r="I398" s="653"/>
      <c r="J398" s="653"/>
      <c r="K398" s="653"/>
      <c r="L398" s="653"/>
      <c r="M398" s="651"/>
      <c r="N398" s="909"/>
      <c r="O398" s="909"/>
      <c r="P398" s="909"/>
      <c r="Q398" s="910"/>
      <c r="R398" s="909"/>
      <c r="S398" s="909"/>
      <c r="T398" s="909"/>
      <c r="U398" s="909"/>
      <c r="V398" s="909"/>
      <c r="W398" s="909"/>
      <c r="X398" s="909"/>
      <c r="Y398" s="909"/>
      <c r="Z398" s="910"/>
      <c r="AA398" s="909"/>
      <c r="AB398" s="910"/>
      <c r="AC398" s="911"/>
      <c r="AD398" s="911"/>
      <c r="AE398" s="909"/>
      <c r="AF398" s="909"/>
      <c r="AG398" s="909"/>
      <c r="AH398" s="917"/>
      <c r="AI398" s="909"/>
      <c r="AJ398" s="916"/>
      <c r="AK398" s="916"/>
      <c r="AL398" s="653"/>
      <c r="AM398" s="918"/>
      <c r="AN398" s="915"/>
      <c r="AO398" s="653"/>
      <c r="AP398" s="653"/>
      <c r="AQ398" s="653"/>
      <c r="AR398" s="653"/>
      <c r="AS398" s="653"/>
      <c r="AT398" s="653"/>
      <c r="AU398" s="653"/>
      <c r="AV398" s="653"/>
      <c r="AW398" s="653"/>
      <c r="AX398" s="653"/>
      <c r="AY398" s="653"/>
      <c r="AZ398" s="653"/>
      <c r="BA398" s="653"/>
      <c r="BB398" s="653"/>
      <c r="BC398" s="653"/>
      <c r="BD398" s="653"/>
      <c r="BE398" s="653"/>
      <c r="BF398" s="653"/>
      <c r="BG398" s="653"/>
      <c r="BH398" s="653"/>
      <c r="BI398" s="653"/>
      <c r="BJ398" s="653"/>
      <c r="BK398" s="653"/>
      <c r="BL398" s="653"/>
      <c r="BM398" s="653"/>
      <c r="BN398" s="653"/>
      <c r="BO398" s="653"/>
      <c r="BP398" s="653"/>
      <c r="BQ398" s="653"/>
      <c r="BR398" s="653"/>
      <c r="BS398" s="653"/>
      <c r="BT398" s="653"/>
      <c r="BU398" s="653"/>
      <c r="BV398" s="654"/>
    </row>
    <row r="399" spans="2:74" x14ac:dyDescent="0.25">
      <c r="B399" s="651"/>
      <c r="C399" s="653"/>
      <c r="D399" s="653"/>
      <c r="E399" s="653"/>
      <c r="F399" s="653"/>
      <c r="G399" s="653"/>
      <c r="H399" s="653"/>
      <c r="I399" s="653"/>
      <c r="J399" s="653"/>
      <c r="K399" s="653"/>
      <c r="L399" s="653"/>
      <c r="M399" s="651"/>
      <c r="N399" s="909"/>
      <c r="O399" s="909"/>
      <c r="P399" s="909"/>
      <c r="Q399" s="910"/>
      <c r="R399" s="909"/>
      <c r="S399" s="909"/>
      <c r="T399" s="909"/>
      <c r="U399" s="909"/>
      <c r="V399" s="909"/>
      <c r="W399" s="909"/>
      <c r="X399" s="909"/>
      <c r="Y399" s="909"/>
      <c r="Z399" s="910"/>
      <c r="AA399" s="909"/>
      <c r="AB399" s="910"/>
      <c r="AC399" s="911"/>
      <c r="AD399" s="911"/>
      <c r="AE399" s="909"/>
      <c r="AF399" s="909"/>
      <c r="AG399" s="909"/>
      <c r="AH399" s="917"/>
      <c r="AI399" s="909"/>
      <c r="AJ399" s="916"/>
      <c r="AK399" s="916"/>
      <c r="AL399" s="653"/>
      <c r="AM399" s="918"/>
      <c r="AN399" s="915"/>
      <c r="AO399" s="653"/>
      <c r="AP399" s="653"/>
      <c r="AQ399" s="653"/>
      <c r="AR399" s="653"/>
      <c r="AS399" s="653"/>
      <c r="AT399" s="653"/>
      <c r="AU399" s="653"/>
      <c r="AV399" s="653"/>
      <c r="AW399" s="653"/>
      <c r="AX399" s="653"/>
      <c r="AY399" s="653"/>
      <c r="AZ399" s="653"/>
      <c r="BA399" s="653"/>
      <c r="BB399" s="653"/>
      <c r="BC399" s="653"/>
      <c r="BD399" s="653"/>
      <c r="BE399" s="653"/>
      <c r="BF399" s="653"/>
      <c r="BG399" s="653"/>
      <c r="BH399" s="653"/>
      <c r="BI399" s="653"/>
      <c r="BJ399" s="653"/>
      <c r="BK399" s="653"/>
      <c r="BL399" s="653"/>
      <c r="BM399" s="653"/>
      <c r="BN399" s="653"/>
      <c r="BO399" s="653"/>
      <c r="BP399" s="653"/>
      <c r="BQ399" s="653"/>
      <c r="BR399" s="653"/>
      <c r="BS399" s="653"/>
      <c r="BT399" s="653"/>
      <c r="BU399" s="653"/>
      <c r="BV399" s="654"/>
    </row>
    <row r="400" spans="2:74" x14ac:dyDescent="0.25">
      <c r="B400" s="651"/>
      <c r="C400" s="653"/>
      <c r="D400" s="653"/>
      <c r="E400" s="653"/>
      <c r="F400" s="653"/>
      <c r="G400" s="653"/>
      <c r="H400" s="653"/>
      <c r="I400" s="653"/>
      <c r="J400" s="653"/>
      <c r="K400" s="653"/>
      <c r="L400" s="653"/>
      <c r="M400" s="651"/>
      <c r="N400" s="909"/>
      <c r="O400" s="909"/>
      <c r="P400" s="909"/>
      <c r="Q400" s="910"/>
      <c r="R400" s="909"/>
      <c r="S400" s="909"/>
      <c r="T400" s="909"/>
      <c r="U400" s="909"/>
      <c r="V400" s="909"/>
      <c r="W400" s="909"/>
      <c r="X400" s="909"/>
      <c r="Y400" s="909"/>
      <c r="Z400" s="910"/>
      <c r="AA400" s="909"/>
      <c r="AB400" s="910"/>
      <c r="AC400" s="911"/>
      <c r="AD400" s="911"/>
      <c r="AE400" s="909"/>
      <c r="AF400" s="909"/>
      <c r="AG400" s="909"/>
      <c r="AH400" s="917"/>
      <c r="AI400" s="909"/>
      <c r="AJ400" s="916"/>
      <c r="AK400" s="916"/>
      <c r="AL400" s="653"/>
      <c r="AM400" s="918"/>
      <c r="AN400" s="915"/>
      <c r="AO400" s="653"/>
      <c r="AP400" s="653"/>
      <c r="AQ400" s="653"/>
      <c r="AR400" s="653"/>
      <c r="AS400" s="653"/>
      <c r="AT400" s="653"/>
      <c r="AU400" s="653"/>
      <c r="AV400" s="653"/>
      <c r="AW400" s="653"/>
      <c r="AX400" s="653"/>
      <c r="AY400" s="653"/>
      <c r="AZ400" s="653"/>
      <c r="BA400" s="653"/>
      <c r="BB400" s="653"/>
      <c r="BC400" s="653"/>
      <c r="BD400" s="653"/>
      <c r="BE400" s="653"/>
      <c r="BF400" s="653"/>
      <c r="BG400" s="653"/>
      <c r="BH400" s="653"/>
      <c r="BI400" s="653"/>
      <c r="BJ400" s="653"/>
      <c r="BK400" s="653"/>
      <c r="BL400" s="653"/>
      <c r="BM400" s="653"/>
      <c r="BN400" s="653"/>
      <c r="BO400" s="653"/>
      <c r="BP400" s="653"/>
      <c r="BQ400" s="653"/>
      <c r="BR400" s="653"/>
      <c r="BS400" s="653"/>
      <c r="BT400" s="653"/>
      <c r="BU400" s="653"/>
      <c r="BV400" s="654"/>
    </row>
    <row r="401" spans="2:74" x14ac:dyDescent="0.25">
      <c r="B401" s="651"/>
      <c r="C401" s="653"/>
      <c r="D401" s="653"/>
      <c r="E401" s="653"/>
      <c r="F401" s="653"/>
      <c r="G401" s="653"/>
      <c r="H401" s="653"/>
      <c r="I401" s="653"/>
      <c r="J401" s="653"/>
      <c r="K401" s="653"/>
      <c r="L401" s="653"/>
      <c r="M401" s="651"/>
      <c r="N401" s="909"/>
      <c r="O401" s="909"/>
      <c r="P401" s="909"/>
      <c r="Q401" s="910"/>
      <c r="R401" s="909"/>
      <c r="S401" s="909"/>
      <c r="T401" s="909"/>
      <c r="U401" s="909"/>
      <c r="V401" s="909"/>
      <c r="W401" s="909"/>
      <c r="X401" s="909"/>
      <c r="Y401" s="909"/>
      <c r="Z401" s="910"/>
      <c r="AA401" s="909"/>
      <c r="AB401" s="910"/>
      <c r="AC401" s="911"/>
      <c r="AD401" s="911"/>
      <c r="AE401" s="909"/>
      <c r="AF401" s="909"/>
      <c r="AG401" s="909"/>
      <c r="AH401" s="917"/>
      <c r="AI401" s="909"/>
      <c r="AJ401" s="916"/>
      <c r="AK401" s="916"/>
      <c r="AL401" s="653"/>
      <c r="AM401" s="918"/>
      <c r="AN401" s="915"/>
      <c r="AO401" s="653"/>
      <c r="AP401" s="653"/>
      <c r="AQ401" s="653"/>
      <c r="AR401" s="653"/>
      <c r="AS401" s="653"/>
      <c r="AT401" s="653"/>
      <c r="AU401" s="653"/>
      <c r="AV401" s="653"/>
      <c r="AW401" s="653"/>
      <c r="AX401" s="653"/>
      <c r="AY401" s="653"/>
      <c r="AZ401" s="653"/>
      <c r="BA401" s="653"/>
      <c r="BB401" s="653"/>
      <c r="BC401" s="653"/>
      <c r="BD401" s="653"/>
      <c r="BE401" s="653"/>
      <c r="BF401" s="653"/>
      <c r="BG401" s="653"/>
      <c r="BH401" s="653"/>
      <c r="BI401" s="653"/>
      <c r="BJ401" s="653"/>
      <c r="BK401" s="653"/>
      <c r="BL401" s="653"/>
      <c r="BM401" s="653"/>
      <c r="BN401" s="653"/>
      <c r="BO401" s="653"/>
      <c r="BP401" s="653"/>
      <c r="BQ401" s="653"/>
      <c r="BR401" s="653"/>
      <c r="BS401" s="653"/>
      <c r="BT401" s="653"/>
      <c r="BU401" s="653"/>
      <c r="BV401" s="654"/>
    </row>
    <row r="402" spans="2:74" x14ac:dyDescent="0.25">
      <c r="B402" s="651"/>
      <c r="C402" s="653"/>
      <c r="D402" s="653"/>
      <c r="E402" s="653"/>
      <c r="F402" s="653"/>
      <c r="G402" s="653"/>
      <c r="H402" s="653"/>
      <c r="I402" s="653"/>
      <c r="J402" s="653"/>
      <c r="K402" s="653"/>
      <c r="L402" s="653"/>
      <c r="M402" s="651"/>
      <c r="N402" s="909"/>
      <c r="O402" s="909"/>
      <c r="P402" s="909"/>
      <c r="Q402" s="910"/>
      <c r="R402" s="909"/>
      <c r="S402" s="909"/>
      <c r="T402" s="909"/>
      <c r="U402" s="909"/>
      <c r="V402" s="909"/>
      <c r="W402" s="909"/>
      <c r="X402" s="909"/>
      <c r="Y402" s="909"/>
      <c r="Z402" s="910"/>
      <c r="AA402" s="909"/>
      <c r="AB402" s="910"/>
      <c r="AC402" s="911"/>
      <c r="AD402" s="911"/>
      <c r="AE402" s="909"/>
      <c r="AF402" s="909"/>
      <c r="AG402" s="909"/>
      <c r="AH402" s="917"/>
      <c r="AI402" s="909"/>
      <c r="AJ402" s="916"/>
      <c r="AK402" s="916"/>
      <c r="AL402" s="653"/>
      <c r="AM402" s="918"/>
      <c r="AN402" s="915"/>
      <c r="AO402" s="653"/>
      <c r="AP402" s="653"/>
      <c r="AQ402" s="653"/>
      <c r="AR402" s="653"/>
      <c r="AS402" s="653"/>
      <c r="AT402" s="653"/>
      <c r="AU402" s="653"/>
      <c r="AV402" s="653"/>
      <c r="AW402" s="653"/>
      <c r="AX402" s="653"/>
      <c r="AY402" s="653"/>
      <c r="AZ402" s="653"/>
      <c r="BA402" s="653"/>
      <c r="BB402" s="653"/>
      <c r="BC402" s="653"/>
      <c r="BD402" s="653"/>
      <c r="BE402" s="653"/>
      <c r="BF402" s="653"/>
      <c r="BG402" s="653"/>
      <c r="BH402" s="653"/>
      <c r="BI402" s="653"/>
      <c r="BJ402" s="653"/>
      <c r="BK402" s="653"/>
      <c r="BL402" s="653"/>
      <c r="BM402" s="653"/>
      <c r="BN402" s="653"/>
      <c r="BO402" s="653"/>
      <c r="BP402" s="653"/>
      <c r="BQ402" s="653"/>
      <c r="BR402" s="653"/>
      <c r="BS402" s="653"/>
      <c r="BT402" s="653"/>
      <c r="BU402" s="653"/>
      <c r="BV402" s="654"/>
    </row>
    <row r="403" spans="2:74" x14ac:dyDescent="0.25">
      <c r="B403" s="651"/>
      <c r="C403" s="653"/>
      <c r="D403" s="653"/>
      <c r="E403" s="653"/>
      <c r="F403" s="653"/>
      <c r="G403" s="653"/>
      <c r="H403" s="653"/>
      <c r="I403" s="653"/>
      <c r="J403" s="653"/>
      <c r="K403" s="653"/>
      <c r="L403" s="653"/>
      <c r="M403" s="651"/>
      <c r="N403" s="909"/>
      <c r="O403" s="909"/>
      <c r="P403" s="909"/>
      <c r="Q403" s="910"/>
      <c r="R403" s="909"/>
      <c r="S403" s="909"/>
      <c r="T403" s="909"/>
      <c r="U403" s="909"/>
      <c r="V403" s="909"/>
      <c r="W403" s="909"/>
      <c r="X403" s="909"/>
      <c r="Y403" s="909"/>
      <c r="Z403" s="910"/>
      <c r="AA403" s="909"/>
      <c r="AB403" s="910"/>
      <c r="AC403" s="911"/>
      <c r="AD403" s="911"/>
      <c r="AE403" s="909"/>
      <c r="AF403" s="909"/>
      <c r="AG403" s="909"/>
      <c r="AH403" s="917"/>
      <c r="AI403" s="909"/>
      <c r="AJ403" s="916"/>
      <c r="AK403" s="916"/>
      <c r="AL403" s="653"/>
      <c r="AM403" s="918"/>
      <c r="AN403" s="915"/>
      <c r="AO403" s="653"/>
      <c r="AP403" s="653"/>
      <c r="AQ403" s="653"/>
      <c r="AR403" s="653"/>
      <c r="AS403" s="653"/>
      <c r="AT403" s="653"/>
      <c r="AU403" s="653"/>
      <c r="AV403" s="653"/>
      <c r="AW403" s="653"/>
      <c r="AX403" s="653"/>
      <c r="AY403" s="653"/>
      <c r="AZ403" s="653"/>
      <c r="BA403" s="653"/>
      <c r="BB403" s="653"/>
      <c r="BC403" s="653"/>
      <c r="BD403" s="653"/>
      <c r="BE403" s="653"/>
      <c r="BF403" s="653"/>
      <c r="BG403" s="653"/>
      <c r="BH403" s="653"/>
      <c r="BI403" s="653"/>
      <c r="BJ403" s="653"/>
      <c r="BK403" s="653"/>
      <c r="BL403" s="653"/>
      <c r="BM403" s="653"/>
      <c r="BN403" s="653"/>
      <c r="BO403" s="653"/>
      <c r="BP403" s="653"/>
      <c r="BQ403" s="653"/>
      <c r="BR403" s="653"/>
      <c r="BS403" s="653"/>
      <c r="BT403" s="653"/>
      <c r="BU403" s="653"/>
      <c r="BV403" s="654"/>
    </row>
    <row r="404" spans="2:74" x14ac:dyDescent="0.25">
      <c r="B404" s="651"/>
      <c r="C404" s="653"/>
      <c r="D404" s="653"/>
      <c r="E404" s="653"/>
      <c r="F404" s="653"/>
      <c r="G404" s="653"/>
      <c r="H404" s="653"/>
      <c r="I404" s="653"/>
      <c r="J404" s="653"/>
      <c r="K404" s="653"/>
      <c r="L404" s="653"/>
      <c r="M404" s="651"/>
      <c r="N404" s="909"/>
      <c r="O404" s="909"/>
      <c r="P404" s="909"/>
      <c r="Q404" s="910"/>
      <c r="R404" s="909"/>
      <c r="S404" s="909"/>
      <c r="T404" s="909"/>
      <c r="U404" s="909"/>
      <c r="V404" s="909"/>
      <c r="W404" s="909"/>
      <c r="X404" s="909"/>
      <c r="Y404" s="909"/>
      <c r="Z404" s="910"/>
      <c r="AA404" s="909"/>
      <c r="AB404" s="910"/>
      <c r="AC404" s="911"/>
      <c r="AD404" s="911"/>
      <c r="AE404" s="909"/>
      <c r="AF404" s="909"/>
      <c r="AG404" s="909"/>
      <c r="AH404" s="917"/>
      <c r="AI404" s="909"/>
      <c r="AJ404" s="916"/>
      <c r="AK404" s="916"/>
      <c r="AL404" s="653"/>
      <c r="AM404" s="918"/>
      <c r="AN404" s="915"/>
      <c r="AO404" s="653"/>
      <c r="AP404" s="653"/>
      <c r="AQ404" s="653"/>
      <c r="AR404" s="653"/>
      <c r="AS404" s="653"/>
      <c r="AT404" s="653"/>
      <c r="AU404" s="653"/>
      <c r="AV404" s="653"/>
      <c r="AW404" s="653"/>
      <c r="AX404" s="653"/>
      <c r="AY404" s="653"/>
      <c r="AZ404" s="653"/>
      <c r="BA404" s="653"/>
      <c r="BB404" s="653"/>
      <c r="BC404" s="653"/>
      <c r="BD404" s="653"/>
      <c r="BE404" s="653"/>
      <c r="BF404" s="653"/>
      <c r="BG404" s="653"/>
      <c r="BH404" s="653"/>
      <c r="BI404" s="653"/>
      <c r="BJ404" s="653"/>
      <c r="BK404" s="653"/>
      <c r="BL404" s="653"/>
      <c r="BM404" s="653"/>
      <c r="BN404" s="653"/>
      <c r="BO404" s="653"/>
      <c r="BP404" s="653"/>
      <c r="BQ404" s="653"/>
      <c r="BR404" s="653"/>
      <c r="BS404" s="653"/>
      <c r="BT404" s="653"/>
      <c r="BU404" s="653"/>
      <c r="BV404" s="654"/>
    </row>
    <row r="405" spans="2:74" x14ac:dyDescent="0.25">
      <c r="B405" s="651"/>
      <c r="C405" s="653"/>
      <c r="D405" s="653"/>
      <c r="E405" s="653"/>
      <c r="F405" s="653"/>
      <c r="G405" s="653"/>
      <c r="H405" s="653"/>
      <c r="I405" s="653"/>
      <c r="J405" s="653"/>
      <c r="K405" s="653"/>
      <c r="L405" s="653"/>
      <c r="M405" s="651"/>
      <c r="N405" s="909"/>
      <c r="O405" s="909"/>
      <c r="P405" s="909"/>
      <c r="Q405" s="910"/>
      <c r="R405" s="909"/>
      <c r="S405" s="909"/>
      <c r="T405" s="909"/>
      <c r="U405" s="909"/>
      <c r="V405" s="909"/>
      <c r="W405" s="909"/>
      <c r="X405" s="909"/>
      <c r="Y405" s="909"/>
      <c r="Z405" s="910"/>
      <c r="AA405" s="909"/>
      <c r="AB405" s="910"/>
      <c r="AC405" s="911"/>
      <c r="AD405" s="911"/>
      <c r="AE405" s="909"/>
      <c r="AF405" s="909"/>
      <c r="AG405" s="909"/>
      <c r="AH405" s="917"/>
      <c r="AI405" s="909"/>
      <c r="AJ405" s="916"/>
      <c r="AK405" s="916"/>
      <c r="AL405" s="653"/>
      <c r="AM405" s="918"/>
      <c r="AN405" s="915"/>
      <c r="AO405" s="653"/>
      <c r="AP405" s="653"/>
      <c r="AQ405" s="653"/>
      <c r="AR405" s="653"/>
      <c r="AS405" s="653"/>
      <c r="AT405" s="653"/>
      <c r="AU405" s="653"/>
      <c r="AV405" s="653"/>
      <c r="AW405" s="653"/>
      <c r="AX405" s="653"/>
      <c r="AY405" s="653"/>
      <c r="AZ405" s="653"/>
      <c r="BA405" s="653"/>
      <c r="BB405" s="653"/>
      <c r="BC405" s="653"/>
      <c r="BD405" s="653"/>
      <c r="BE405" s="653"/>
      <c r="BF405" s="653"/>
      <c r="BG405" s="653"/>
      <c r="BH405" s="653"/>
      <c r="BI405" s="653"/>
      <c r="BJ405" s="653"/>
      <c r="BK405" s="653"/>
      <c r="BL405" s="653"/>
      <c r="BM405" s="653"/>
      <c r="BN405" s="653"/>
      <c r="BO405" s="653"/>
      <c r="BP405" s="653"/>
      <c r="BQ405" s="653"/>
      <c r="BR405" s="653"/>
      <c r="BS405" s="653"/>
      <c r="BT405" s="653"/>
      <c r="BU405" s="653"/>
      <c r="BV405" s="654"/>
    </row>
    <row r="406" spans="2:74" x14ac:dyDescent="0.25">
      <c r="B406" s="651"/>
      <c r="C406" s="653"/>
      <c r="D406" s="653"/>
      <c r="E406" s="653"/>
      <c r="F406" s="653"/>
      <c r="G406" s="653"/>
      <c r="H406" s="653"/>
      <c r="I406" s="653"/>
      <c r="J406" s="653"/>
      <c r="K406" s="653"/>
      <c r="L406" s="653"/>
      <c r="M406" s="651"/>
      <c r="N406" s="909"/>
      <c r="O406" s="909"/>
      <c r="P406" s="909"/>
      <c r="Q406" s="910"/>
      <c r="R406" s="909"/>
      <c r="S406" s="909"/>
      <c r="T406" s="909"/>
      <c r="U406" s="909"/>
      <c r="V406" s="909"/>
      <c r="W406" s="909"/>
      <c r="X406" s="909"/>
      <c r="Y406" s="909"/>
      <c r="Z406" s="910"/>
      <c r="AA406" s="909"/>
      <c r="AB406" s="910"/>
      <c r="AC406" s="911"/>
      <c r="AD406" s="911"/>
      <c r="AE406" s="909"/>
      <c r="AF406" s="909"/>
      <c r="AG406" s="909"/>
      <c r="AH406" s="917"/>
      <c r="AI406" s="909"/>
      <c r="AJ406" s="916"/>
      <c r="AK406" s="916"/>
      <c r="AL406" s="653"/>
      <c r="AM406" s="918"/>
      <c r="AN406" s="915"/>
      <c r="AO406" s="653"/>
      <c r="AP406" s="653"/>
      <c r="AQ406" s="653"/>
      <c r="AR406" s="653"/>
      <c r="AS406" s="653"/>
      <c r="AT406" s="653"/>
      <c r="AU406" s="653"/>
      <c r="AV406" s="653"/>
      <c r="AW406" s="653"/>
      <c r="AX406" s="653"/>
      <c r="AY406" s="653"/>
      <c r="AZ406" s="653"/>
      <c r="BA406" s="653"/>
      <c r="BB406" s="653"/>
      <c r="BC406" s="653"/>
      <c r="BD406" s="653"/>
      <c r="BE406" s="653"/>
      <c r="BF406" s="653"/>
      <c r="BG406" s="653"/>
      <c r="BH406" s="653"/>
      <c r="BI406" s="653"/>
      <c r="BJ406" s="653"/>
      <c r="BK406" s="653"/>
      <c r="BL406" s="653"/>
      <c r="BM406" s="653"/>
      <c r="BN406" s="653"/>
      <c r="BO406" s="653"/>
      <c r="BP406" s="653"/>
      <c r="BQ406" s="653"/>
      <c r="BR406" s="653"/>
      <c r="BS406" s="653"/>
      <c r="BT406" s="653"/>
      <c r="BU406" s="653"/>
      <c r="BV406" s="654"/>
    </row>
    <row r="407" spans="2:74" x14ac:dyDescent="0.25">
      <c r="B407" s="651"/>
      <c r="C407" s="653"/>
      <c r="D407" s="653"/>
      <c r="E407" s="653"/>
      <c r="F407" s="653"/>
      <c r="G407" s="653"/>
      <c r="H407" s="653"/>
      <c r="I407" s="653"/>
      <c r="J407" s="653"/>
      <c r="K407" s="653"/>
      <c r="L407" s="653"/>
      <c r="M407" s="651"/>
      <c r="N407" s="909"/>
      <c r="O407" s="909"/>
      <c r="P407" s="909"/>
      <c r="Q407" s="910"/>
      <c r="R407" s="909"/>
      <c r="S407" s="909"/>
      <c r="T407" s="909"/>
      <c r="U407" s="909"/>
      <c r="V407" s="909"/>
      <c r="W407" s="909"/>
      <c r="X407" s="909"/>
      <c r="Y407" s="909"/>
      <c r="Z407" s="910"/>
      <c r="AA407" s="909"/>
      <c r="AB407" s="910"/>
      <c r="AC407" s="911"/>
      <c r="AD407" s="911"/>
      <c r="AE407" s="909"/>
      <c r="AF407" s="909"/>
      <c r="AG407" s="909"/>
      <c r="AH407" s="917"/>
      <c r="AI407" s="909"/>
      <c r="AJ407" s="916"/>
      <c r="AK407" s="916"/>
      <c r="AL407" s="653"/>
      <c r="AM407" s="918"/>
      <c r="AN407" s="915"/>
      <c r="AO407" s="653"/>
      <c r="AP407" s="653"/>
      <c r="AQ407" s="653"/>
      <c r="AR407" s="653"/>
      <c r="AS407" s="653"/>
      <c r="AT407" s="653"/>
      <c r="AU407" s="653"/>
      <c r="AV407" s="653"/>
      <c r="AW407" s="653"/>
      <c r="AX407" s="653"/>
      <c r="AY407" s="653"/>
      <c r="AZ407" s="653"/>
      <c r="BA407" s="653"/>
      <c r="BB407" s="653"/>
      <c r="BC407" s="653"/>
      <c r="BD407" s="653"/>
      <c r="BE407" s="653"/>
      <c r="BF407" s="653"/>
      <c r="BG407" s="653"/>
      <c r="BH407" s="653"/>
      <c r="BI407" s="653"/>
      <c r="BJ407" s="653"/>
      <c r="BK407" s="653"/>
      <c r="BL407" s="653"/>
      <c r="BM407" s="653"/>
      <c r="BN407" s="653"/>
      <c r="BO407" s="653"/>
      <c r="BP407" s="653"/>
      <c r="BQ407" s="653"/>
      <c r="BR407" s="653"/>
      <c r="BS407" s="653"/>
      <c r="BT407" s="653"/>
      <c r="BU407" s="653"/>
      <c r="BV407" s="654"/>
    </row>
    <row r="408" spans="2:74" x14ac:dyDescent="0.25">
      <c r="B408" s="651"/>
      <c r="C408" s="653"/>
      <c r="D408" s="653"/>
      <c r="E408" s="653"/>
      <c r="F408" s="653"/>
      <c r="G408" s="653"/>
      <c r="H408" s="653"/>
      <c r="I408" s="653"/>
      <c r="J408" s="653"/>
      <c r="K408" s="653"/>
      <c r="L408" s="653"/>
      <c r="M408" s="651"/>
      <c r="N408" s="909"/>
      <c r="O408" s="909"/>
      <c r="P408" s="909"/>
      <c r="Q408" s="910"/>
      <c r="R408" s="909"/>
      <c r="S408" s="909"/>
      <c r="T408" s="909"/>
      <c r="U408" s="909"/>
      <c r="V408" s="909"/>
      <c r="W408" s="909"/>
      <c r="X408" s="909"/>
      <c r="Y408" s="909"/>
      <c r="Z408" s="910"/>
      <c r="AA408" s="909"/>
      <c r="AB408" s="910"/>
      <c r="AC408" s="911"/>
      <c r="AD408" s="911"/>
      <c r="AE408" s="909"/>
      <c r="AF408" s="909"/>
      <c r="AG408" s="909"/>
      <c r="AH408" s="917"/>
      <c r="AI408" s="909"/>
      <c r="AJ408" s="916"/>
      <c r="AK408" s="916"/>
      <c r="AL408" s="653"/>
      <c r="AM408" s="918"/>
      <c r="AN408" s="915"/>
      <c r="AO408" s="653"/>
      <c r="AP408" s="653"/>
      <c r="AQ408" s="653"/>
      <c r="AR408" s="653"/>
      <c r="AS408" s="653"/>
      <c r="AT408" s="653"/>
      <c r="AU408" s="653"/>
      <c r="AV408" s="653"/>
      <c r="AW408" s="653"/>
      <c r="AX408" s="653"/>
      <c r="AY408" s="653"/>
      <c r="AZ408" s="653"/>
      <c r="BA408" s="653"/>
      <c r="BB408" s="653"/>
      <c r="BC408" s="653"/>
      <c r="BD408" s="653"/>
      <c r="BE408" s="653"/>
      <c r="BF408" s="653"/>
      <c r="BG408" s="653"/>
      <c r="BH408" s="653"/>
      <c r="BI408" s="653"/>
      <c r="BJ408" s="653"/>
      <c r="BK408" s="653"/>
      <c r="BL408" s="653"/>
      <c r="BM408" s="653"/>
      <c r="BN408" s="653"/>
      <c r="BO408" s="653"/>
      <c r="BP408" s="653"/>
      <c r="BQ408" s="653"/>
      <c r="BR408" s="653"/>
      <c r="BS408" s="653"/>
      <c r="BT408" s="653"/>
      <c r="BU408" s="653"/>
      <c r="BV408" s="654"/>
    </row>
    <row r="409" spans="2:74" x14ac:dyDescent="0.25">
      <c r="B409" s="651"/>
      <c r="C409" s="653"/>
      <c r="D409" s="653"/>
      <c r="E409" s="653"/>
      <c r="F409" s="653"/>
      <c r="G409" s="653"/>
      <c r="H409" s="653"/>
      <c r="I409" s="653"/>
      <c r="J409" s="653"/>
      <c r="K409" s="653"/>
      <c r="L409" s="653"/>
      <c r="M409" s="651"/>
      <c r="N409" s="909"/>
      <c r="O409" s="909"/>
      <c r="P409" s="909"/>
      <c r="Q409" s="910"/>
      <c r="R409" s="909"/>
      <c r="S409" s="909"/>
      <c r="T409" s="909"/>
      <c r="U409" s="909"/>
      <c r="V409" s="909"/>
      <c r="W409" s="909"/>
      <c r="X409" s="909"/>
      <c r="Y409" s="909"/>
      <c r="Z409" s="910"/>
      <c r="AA409" s="909"/>
      <c r="AB409" s="910"/>
      <c r="AC409" s="911"/>
      <c r="AD409" s="911"/>
      <c r="AE409" s="909"/>
      <c r="AF409" s="909"/>
      <c r="AG409" s="909"/>
      <c r="AH409" s="917"/>
      <c r="AI409" s="909"/>
      <c r="AJ409" s="916"/>
      <c r="AK409" s="916"/>
      <c r="AL409" s="653"/>
      <c r="AM409" s="918"/>
      <c r="AN409" s="915"/>
      <c r="AO409" s="653"/>
      <c r="AP409" s="653"/>
      <c r="AQ409" s="653"/>
      <c r="AR409" s="653"/>
      <c r="AS409" s="653"/>
      <c r="AT409" s="653"/>
      <c r="AU409" s="653"/>
      <c r="AV409" s="653"/>
      <c r="AW409" s="653"/>
      <c r="AX409" s="653"/>
      <c r="AY409" s="653"/>
      <c r="AZ409" s="653"/>
      <c r="BA409" s="653"/>
      <c r="BB409" s="653"/>
      <c r="BC409" s="653"/>
      <c r="BD409" s="653"/>
      <c r="BE409" s="653"/>
      <c r="BF409" s="653"/>
      <c r="BG409" s="653"/>
      <c r="BH409" s="653"/>
      <c r="BI409" s="653"/>
      <c r="BJ409" s="653"/>
      <c r="BK409" s="653"/>
      <c r="BL409" s="653"/>
      <c r="BM409" s="653"/>
      <c r="BN409" s="653"/>
      <c r="BO409" s="653"/>
      <c r="BP409" s="653"/>
      <c r="BQ409" s="653"/>
      <c r="BR409" s="653"/>
      <c r="BS409" s="653"/>
      <c r="BT409" s="653"/>
      <c r="BU409" s="653"/>
      <c r="BV409" s="654"/>
    </row>
    <row r="410" spans="2:74" x14ac:dyDescent="0.25">
      <c r="B410" s="651"/>
      <c r="C410" s="653"/>
      <c r="D410" s="653"/>
      <c r="E410" s="653"/>
      <c r="F410" s="653"/>
      <c r="G410" s="653"/>
      <c r="H410" s="653"/>
      <c r="I410" s="653"/>
      <c r="J410" s="653"/>
      <c r="K410" s="653"/>
      <c r="L410" s="653"/>
      <c r="M410" s="651"/>
      <c r="N410" s="909"/>
      <c r="O410" s="909"/>
      <c r="P410" s="909"/>
      <c r="Q410" s="910"/>
      <c r="R410" s="909"/>
      <c r="S410" s="909"/>
      <c r="T410" s="909"/>
      <c r="U410" s="909"/>
      <c r="V410" s="909"/>
      <c r="W410" s="909"/>
      <c r="X410" s="909"/>
      <c r="Y410" s="909"/>
      <c r="Z410" s="910"/>
      <c r="AA410" s="909"/>
      <c r="AB410" s="910"/>
      <c r="AC410" s="911"/>
      <c r="AD410" s="911"/>
      <c r="AE410" s="909"/>
      <c r="AF410" s="909"/>
      <c r="AG410" s="909"/>
      <c r="AH410" s="917"/>
      <c r="AI410" s="909"/>
      <c r="AJ410" s="916"/>
      <c r="AK410" s="916"/>
      <c r="AL410" s="653"/>
      <c r="AM410" s="918"/>
      <c r="AN410" s="915"/>
      <c r="AO410" s="653"/>
      <c r="AP410" s="653"/>
      <c r="AQ410" s="653"/>
      <c r="AR410" s="653"/>
      <c r="AS410" s="653"/>
      <c r="AT410" s="653"/>
      <c r="AU410" s="653"/>
      <c r="AV410" s="653"/>
      <c r="AW410" s="653"/>
      <c r="AX410" s="653"/>
      <c r="AY410" s="653"/>
      <c r="AZ410" s="653"/>
      <c r="BA410" s="653"/>
      <c r="BB410" s="653"/>
      <c r="BC410" s="653"/>
      <c r="BD410" s="653"/>
      <c r="BE410" s="653"/>
      <c r="BF410" s="653"/>
      <c r="BG410" s="653"/>
      <c r="BH410" s="653"/>
      <c r="BI410" s="653"/>
      <c r="BJ410" s="653"/>
      <c r="BK410" s="653"/>
      <c r="BL410" s="653"/>
      <c r="BM410" s="653"/>
      <c r="BN410" s="653"/>
      <c r="BO410" s="653"/>
      <c r="BP410" s="653"/>
      <c r="BQ410" s="653"/>
      <c r="BR410" s="653"/>
      <c r="BS410" s="653"/>
      <c r="BT410" s="653"/>
      <c r="BU410" s="653"/>
      <c r="BV410" s="654"/>
    </row>
    <row r="411" spans="2:74" x14ac:dyDescent="0.25">
      <c r="B411" s="651"/>
      <c r="C411" s="653"/>
      <c r="D411" s="653"/>
      <c r="E411" s="653"/>
      <c r="F411" s="653"/>
      <c r="G411" s="653"/>
      <c r="H411" s="653"/>
      <c r="I411" s="653"/>
      <c r="J411" s="653"/>
      <c r="K411" s="653"/>
      <c r="L411" s="653"/>
      <c r="M411" s="651"/>
      <c r="N411" s="909"/>
      <c r="O411" s="909"/>
      <c r="P411" s="909"/>
      <c r="Q411" s="910"/>
      <c r="R411" s="909"/>
      <c r="S411" s="909"/>
      <c r="T411" s="909"/>
      <c r="U411" s="909"/>
      <c r="V411" s="909"/>
      <c r="W411" s="909"/>
      <c r="X411" s="909"/>
      <c r="Y411" s="909"/>
      <c r="Z411" s="910"/>
      <c r="AA411" s="909"/>
      <c r="AB411" s="910"/>
      <c r="AC411" s="911"/>
      <c r="AD411" s="911"/>
      <c r="AE411" s="909"/>
      <c r="AF411" s="909"/>
      <c r="AG411" s="909"/>
      <c r="AH411" s="917"/>
      <c r="AI411" s="909"/>
      <c r="AJ411" s="916"/>
      <c r="AK411" s="916"/>
      <c r="AL411" s="653"/>
      <c r="AM411" s="918"/>
      <c r="AN411" s="915"/>
      <c r="AO411" s="653"/>
      <c r="AP411" s="653"/>
      <c r="AQ411" s="653"/>
      <c r="AR411" s="653"/>
      <c r="AS411" s="653"/>
      <c r="AT411" s="653"/>
      <c r="AU411" s="653"/>
      <c r="AV411" s="653"/>
      <c r="AW411" s="653"/>
      <c r="AX411" s="653"/>
      <c r="AY411" s="653"/>
      <c r="AZ411" s="653"/>
      <c r="BA411" s="653"/>
      <c r="BB411" s="653"/>
      <c r="BC411" s="653"/>
      <c r="BD411" s="653"/>
      <c r="BE411" s="653"/>
      <c r="BF411" s="653"/>
      <c r="BG411" s="653"/>
      <c r="BH411" s="653"/>
      <c r="BI411" s="653"/>
      <c r="BJ411" s="653"/>
      <c r="BK411" s="653"/>
      <c r="BL411" s="653"/>
      <c r="BM411" s="653"/>
      <c r="BN411" s="653"/>
      <c r="BO411" s="653"/>
      <c r="BP411" s="653"/>
      <c r="BQ411" s="653"/>
      <c r="BR411" s="653"/>
      <c r="BS411" s="653"/>
      <c r="BT411" s="653"/>
      <c r="BU411" s="653"/>
      <c r="BV411" s="654"/>
    </row>
    <row r="412" spans="2:74" x14ac:dyDescent="0.25">
      <c r="B412" s="651"/>
      <c r="C412" s="653"/>
      <c r="D412" s="653"/>
      <c r="E412" s="653"/>
      <c r="F412" s="653"/>
      <c r="G412" s="653"/>
      <c r="H412" s="653"/>
      <c r="I412" s="653"/>
      <c r="J412" s="653"/>
      <c r="K412" s="653"/>
      <c r="L412" s="653"/>
      <c r="M412" s="651"/>
      <c r="N412" s="909"/>
      <c r="O412" s="909"/>
      <c r="P412" s="909"/>
      <c r="Q412" s="910"/>
      <c r="R412" s="909"/>
      <c r="S412" s="909"/>
      <c r="T412" s="909"/>
      <c r="U412" s="909"/>
      <c r="V412" s="909"/>
      <c r="W412" s="909"/>
      <c r="X412" s="909"/>
      <c r="Y412" s="909"/>
      <c r="Z412" s="910"/>
      <c r="AA412" s="909"/>
      <c r="AB412" s="910"/>
      <c r="AC412" s="911"/>
      <c r="AD412" s="911"/>
      <c r="AE412" s="909"/>
      <c r="AF412" s="909"/>
      <c r="AG412" s="909"/>
      <c r="AH412" s="917"/>
      <c r="AI412" s="909"/>
      <c r="AJ412" s="916"/>
      <c r="AK412" s="916"/>
      <c r="AL412" s="653"/>
      <c r="AM412" s="918"/>
      <c r="AN412" s="915"/>
      <c r="AO412" s="653"/>
      <c r="AP412" s="653"/>
      <c r="AQ412" s="653"/>
      <c r="AR412" s="653"/>
      <c r="AS412" s="653"/>
      <c r="AT412" s="653"/>
      <c r="AU412" s="653"/>
      <c r="AV412" s="653"/>
      <c r="AW412" s="653"/>
      <c r="AX412" s="653"/>
      <c r="AY412" s="653"/>
      <c r="AZ412" s="653"/>
      <c r="BA412" s="653"/>
      <c r="BB412" s="653"/>
      <c r="BC412" s="653"/>
      <c r="BD412" s="653"/>
      <c r="BE412" s="653"/>
      <c r="BF412" s="653"/>
      <c r="BG412" s="653"/>
      <c r="BH412" s="653"/>
      <c r="BI412" s="653"/>
      <c r="BJ412" s="653"/>
      <c r="BK412" s="653"/>
      <c r="BL412" s="653"/>
      <c r="BM412" s="653"/>
      <c r="BN412" s="653"/>
      <c r="BO412" s="653"/>
      <c r="BP412" s="653"/>
      <c r="BQ412" s="653"/>
      <c r="BR412" s="653"/>
      <c r="BS412" s="653"/>
      <c r="BT412" s="653"/>
      <c r="BU412" s="653"/>
      <c r="BV412" s="654"/>
    </row>
    <row r="413" spans="2:74" x14ac:dyDescent="0.25">
      <c r="B413" s="651"/>
      <c r="C413" s="653"/>
      <c r="D413" s="653"/>
      <c r="E413" s="653"/>
      <c r="F413" s="653"/>
      <c r="G413" s="653"/>
      <c r="H413" s="653"/>
      <c r="I413" s="653"/>
      <c r="J413" s="653"/>
      <c r="K413" s="653"/>
      <c r="L413" s="653"/>
      <c r="M413" s="651"/>
      <c r="N413" s="909"/>
      <c r="O413" s="909"/>
      <c r="P413" s="909"/>
      <c r="Q413" s="910"/>
      <c r="R413" s="909"/>
      <c r="S413" s="909"/>
      <c r="T413" s="909"/>
      <c r="U413" s="909"/>
      <c r="V413" s="909"/>
      <c r="W413" s="909"/>
      <c r="X413" s="909"/>
      <c r="Y413" s="909"/>
      <c r="Z413" s="910"/>
      <c r="AA413" s="909"/>
      <c r="AB413" s="910"/>
      <c r="AC413" s="911"/>
      <c r="AD413" s="911"/>
      <c r="AE413" s="909"/>
      <c r="AF413" s="909"/>
      <c r="AG413" s="909"/>
      <c r="AH413" s="917"/>
      <c r="AI413" s="909"/>
      <c r="AJ413" s="916"/>
      <c r="AK413" s="916"/>
      <c r="AL413" s="653"/>
      <c r="AM413" s="918"/>
      <c r="AN413" s="915"/>
      <c r="AO413" s="653"/>
      <c r="AP413" s="653"/>
      <c r="AQ413" s="653"/>
      <c r="AR413" s="653"/>
      <c r="AS413" s="653"/>
      <c r="AT413" s="653"/>
      <c r="AU413" s="653"/>
      <c r="AV413" s="653"/>
      <c r="AW413" s="653"/>
      <c r="AX413" s="653"/>
      <c r="AY413" s="653"/>
      <c r="AZ413" s="653"/>
      <c r="BA413" s="653"/>
      <c r="BB413" s="653"/>
      <c r="BC413" s="653"/>
      <c r="BD413" s="653"/>
      <c r="BE413" s="653"/>
      <c r="BF413" s="653"/>
      <c r="BG413" s="653"/>
      <c r="BH413" s="653"/>
      <c r="BI413" s="653"/>
      <c r="BJ413" s="653"/>
      <c r="BK413" s="653"/>
      <c r="BL413" s="653"/>
      <c r="BM413" s="653"/>
      <c r="BN413" s="653"/>
      <c r="BO413" s="653"/>
      <c r="BP413" s="653"/>
      <c r="BQ413" s="653"/>
      <c r="BR413" s="653"/>
      <c r="BS413" s="653"/>
      <c r="BT413" s="653"/>
      <c r="BU413" s="653"/>
      <c r="BV413" s="654"/>
    </row>
    <row r="414" spans="2:74" x14ac:dyDescent="0.25">
      <c r="B414" s="651"/>
      <c r="C414" s="653"/>
      <c r="D414" s="653"/>
      <c r="E414" s="653"/>
      <c r="F414" s="653"/>
      <c r="G414" s="653"/>
      <c r="H414" s="653"/>
      <c r="I414" s="653"/>
      <c r="J414" s="653"/>
      <c r="K414" s="653"/>
      <c r="L414" s="653"/>
      <c r="M414" s="651"/>
      <c r="N414" s="909"/>
      <c r="O414" s="909"/>
      <c r="P414" s="909"/>
      <c r="Q414" s="910"/>
      <c r="R414" s="909"/>
      <c r="S414" s="909"/>
      <c r="T414" s="909"/>
      <c r="U414" s="909"/>
      <c r="V414" s="909"/>
      <c r="W414" s="909"/>
      <c r="X414" s="909"/>
      <c r="Y414" s="909"/>
      <c r="Z414" s="910"/>
      <c r="AA414" s="909"/>
      <c r="AB414" s="910"/>
      <c r="AC414" s="911"/>
      <c r="AD414" s="911"/>
      <c r="AE414" s="909"/>
      <c r="AF414" s="909"/>
      <c r="AG414" s="909"/>
      <c r="AH414" s="917"/>
      <c r="AI414" s="909"/>
      <c r="AJ414" s="916"/>
      <c r="AK414" s="916"/>
      <c r="AL414" s="653"/>
      <c r="AM414" s="918"/>
      <c r="AN414" s="915"/>
      <c r="AO414" s="653"/>
      <c r="AP414" s="653"/>
      <c r="AQ414" s="653"/>
      <c r="AR414" s="653"/>
      <c r="AS414" s="653"/>
      <c r="AT414" s="653"/>
      <c r="AU414" s="653"/>
      <c r="AV414" s="653"/>
      <c r="AW414" s="653"/>
      <c r="AX414" s="653"/>
      <c r="AY414" s="653"/>
      <c r="AZ414" s="653"/>
      <c r="BA414" s="653"/>
      <c r="BB414" s="653"/>
      <c r="BC414" s="653"/>
      <c r="BD414" s="653"/>
      <c r="BE414" s="653"/>
      <c r="BF414" s="653"/>
      <c r="BG414" s="653"/>
      <c r="BH414" s="653"/>
      <c r="BI414" s="653"/>
      <c r="BJ414" s="653"/>
      <c r="BK414" s="653"/>
      <c r="BL414" s="653"/>
      <c r="BM414" s="653"/>
      <c r="BN414" s="653"/>
      <c r="BO414" s="653"/>
      <c r="BP414" s="653"/>
      <c r="BQ414" s="653"/>
      <c r="BR414" s="653"/>
      <c r="BS414" s="653"/>
      <c r="BT414" s="653"/>
      <c r="BU414" s="653"/>
      <c r="BV414" s="654"/>
    </row>
    <row r="415" spans="2:74" x14ac:dyDescent="0.25">
      <c r="B415" s="651"/>
      <c r="C415" s="653"/>
      <c r="D415" s="653"/>
      <c r="E415" s="653"/>
      <c r="F415" s="653"/>
      <c r="G415" s="653"/>
      <c r="H415" s="653"/>
      <c r="I415" s="653"/>
      <c r="J415" s="653"/>
      <c r="K415" s="653"/>
      <c r="L415" s="653"/>
      <c r="M415" s="651"/>
      <c r="N415" s="909"/>
      <c r="O415" s="909"/>
      <c r="P415" s="909"/>
      <c r="Q415" s="910"/>
      <c r="R415" s="909"/>
      <c r="S415" s="909"/>
      <c r="T415" s="909"/>
      <c r="U415" s="909"/>
      <c r="V415" s="909"/>
      <c r="W415" s="909"/>
      <c r="X415" s="909"/>
      <c r="Y415" s="909"/>
      <c r="Z415" s="910"/>
      <c r="AA415" s="909"/>
      <c r="AB415" s="910"/>
      <c r="AC415" s="911"/>
      <c r="AD415" s="911"/>
      <c r="AE415" s="909"/>
      <c r="AF415" s="909"/>
      <c r="AG415" s="909"/>
      <c r="AH415" s="917"/>
      <c r="AI415" s="909"/>
      <c r="AJ415" s="916"/>
      <c r="AK415" s="916"/>
      <c r="AL415" s="653"/>
      <c r="AM415" s="918"/>
      <c r="AN415" s="915"/>
      <c r="AO415" s="653"/>
      <c r="AP415" s="653"/>
      <c r="AQ415" s="653"/>
      <c r="AR415" s="653"/>
      <c r="AS415" s="653"/>
      <c r="AT415" s="653"/>
      <c r="AU415" s="653"/>
      <c r="AV415" s="653"/>
      <c r="AW415" s="653"/>
      <c r="AX415" s="653"/>
      <c r="AY415" s="653"/>
      <c r="AZ415" s="653"/>
      <c r="BA415" s="653"/>
      <c r="BB415" s="653"/>
      <c r="BC415" s="653"/>
      <c r="BD415" s="653"/>
      <c r="BE415" s="653"/>
      <c r="BF415" s="653"/>
      <c r="BG415" s="653"/>
      <c r="BH415" s="653"/>
      <c r="BI415" s="653"/>
      <c r="BJ415" s="653"/>
      <c r="BK415" s="653"/>
      <c r="BL415" s="653"/>
      <c r="BM415" s="653"/>
      <c r="BN415" s="653"/>
      <c r="BO415" s="653"/>
      <c r="BP415" s="653"/>
      <c r="BQ415" s="653"/>
      <c r="BR415" s="653"/>
      <c r="BS415" s="653"/>
      <c r="BT415" s="653"/>
      <c r="BU415" s="653"/>
      <c r="BV415" s="654"/>
    </row>
    <row r="416" spans="2:74" x14ac:dyDescent="0.25">
      <c r="B416" s="651"/>
      <c r="C416" s="653"/>
      <c r="D416" s="653"/>
      <c r="E416" s="653"/>
      <c r="F416" s="653"/>
      <c r="G416" s="653"/>
      <c r="H416" s="653"/>
      <c r="I416" s="653"/>
      <c r="J416" s="653"/>
      <c r="K416" s="653"/>
      <c r="L416" s="653"/>
      <c r="M416" s="651"/>
      <c r="N416" s="909"/>
      <c r="O416" s="909"/>
      <c r="P416" s="909"/>
      <c r="Q416" s="910"/>
      <c r="R416" s="909"/>
      <c r="S416" s="909"/>
      <c r="T416" s="909"/>
      <c r="U416" s="909"/>
      <c r="V416" s="909"/>
      <c r="W416" s="909"/>
      <c r="X416" s="909"/>
      <c r="Y416" s="909"/>
      <c r="Z416" s="910"/>
      <c r="AA416" s="909"/>
      <c r="AB416" s="910"/>
      <c r="AC416" s="911"/>
      <c r="AD416" s="911"/>
      <c r="AE416" s="909"/>
      <c r="AF416" s="909"/>
      <c r="AG416" s="909"/>
      <c r="AH416" s="917"/>
      <c r="AI416" s="909"/>
      <c r="AJ416" s="916"/>
      <c r="AK416" s="916"/>
      <c r="AL416" s="653"/>
      <c r="AM416" s="918"/>
      <c r="AN416" s="915"/>
      <c r="AO416" s="653"/>
      <c r="AP416" s="653"/>
      <c r="AQ416" s="653"/>
      <c r="AR416" s="653"/>
      <c r="AS416" s="653"/>
      <c r="AT416" s="653"/>
      <c r="AU416" s="653"/>
      <c r="AV416" s="653"/>
      <c r="AW416" s="653"/>
      <c r="AX416" s="653"/>
      <c r="AY416" s="653"/>
      <c r="AZ416" s="653"/>
      <c r="BA416" s="653"/>
      <c r="BB416" s="653"/>
      <c r="BC416" s="653"/>
      <c r="BD416" s="653"/>
      <c r="BE416" s="653"/>
      <c r="BF416" s="653"/>
      <c r="BG416" s="653"/>
      <c r="BH416" s="653"/>
      <c r="BI416" s="653"/>
      <c r="BJ416" s="653"/>
      <c r="BK416" s="653"/>
      <c r="BL416" s="653"/>
      <c r="BM416" s="653"/>
      <c r="BN416" s="653"/>
      <c r="BO416" s="653"/>
      <c r="BP416" s="653"/>
      <c r="BQ416" s="653"/>
      <c r="BR416" s="653"/>
      <c r="BS416" s="653"/>
      <c r="BT416" s="653"/>
      <c r="BU416" s="653"/>
      <c r="BV416" s="654"/>
    </row>
    <row r="417" spans="2:74" x14ac:dyDescent="0.25">
      <c r="B417" s="651"/>
      <c r="C417" s="653"/>
      <c r="D417" s="653"/>
      <c r="E417" s="653"/>
      <c r="F417" s="653"/>
      <c r="G417" s="653"/>
      <c r="H417" s="653"/>
      <c r="I417" s="653"/>
      <c r="J417" s="653"/>
      <c r="K417" s="653"/>
      <c r="L417" s="653"/>
      <c r="M417" s="651"/>
      <c r="N417" s="909"/>
      <c r="O417" s="909"/>
      <c r="P417" s="909"/>
      <c r="Q417" s="910"/>
      <c r="R417" s="909"/>
      <c r="S417" s="909"/>
      <c r="T417" s="909"/>
      <c r="U417" s="909"/>
      <c r="V417" s="909"/>
      <c r="W417" s="909"/>
      <c r="X417" s="909"/>
      <c r="Y417" s="909"/>
      <c r="Z417" s="910"/>
      <c r="AA417" s="909"/>
      <c r="AB417" s="910"/>
      <c r="AC417" s="911"/>
      <c r="AD417" s="911"/>
      <c r="AE417" s="909"/>
      <c r="AF417" s="909"/>
      <c r="AG417" s="909"/>
      <c r="AH417" s="917"/>
      <c r="AI417" s="909"/>
      <c r="AJ417" s="916"/>
      <c r="AK417" s="916"/>
      <c r="AL417" s="653"/>
      <c r="AM417" s="918"/>
      <c r="AN417" s="915"/>
      <c r="AO417" s="653"/>
      <c r="AP417" s="653"/>
      <c r="AQ417" s="653"/>
      <c r="AR417" s="653"/>
      <c r="AS417" s="653"/>
      <c r="AT417" s="653"/>
      <c r="AU417" s="653"/>
      <c r="AV417" s="653"/>
      <c r="AW417" s="653"/>
      <c r="AX417" s="653"/>
      <c r="AY417" s="653"/>
      <c r="AZ417" s="653"/>
      <c r="BA417" s="653"/>
      <c r="BB417" s="653"/>
      <c r="BC417" s="653"/>
      <c r="BD417" s="653"/>
      <c r="BE417" s="653"/>
      <c r="BF417" s="653"/>
      <c r="BG417" s="653"/>
      <c r="BH417" s="653"/>
      <c r="BI417" s="653"/>
      <c r="BJ417" s="653"/>
      <c r="BK417" s="653"/>
      <c r="BL417" s="653"/>
      <c r="BM417" s="653"/>
      <c r="BN417" s="653"/>
      <c r="BO417" s="653"/>
      <c r="BP417" s="653"/>
      <c r="BQ417" s="653"/>
      <c r="BR417" s="653"/>
      <c r="BS417" s="653"/>
      <c r="BT417" s="653"/>
      <c r="BU417" s="653"/>
      <c r="BV417" s="654"/>
    </row>
    <row r="418" spans="2:74" x14ac:dyDescent="0.25">
      <c r="B418" s="651"/>
      <c r="C418" s="653"/>
      <c r="D418" s="653"/>
      <c r="E418" s="653"/>
      <c r="F418" s="653"/>
      <c r="G418" s="653"/>
      <c r="H418" s="653"/>
      <c r="I418" s="653"/>
      <c r="J418" s="653"/>
      <c r="K418" s="653"/>
      <c r="L418" s="653"/>
      <c r="M418" s="651"/>
      <c r="N418" s="909"/>
      <c r="O418" s="909"/>
      <c r="P418" s="909"/>
      <c r="Q418" s="910"/>
      <c r="R418" s="909"/>
      <c r="S418" s="909"/>
      <c r="T418" s="909"/>
      <c r="U418" s="909"/>
      <c r="V418" s="909"/>
      <c r="W418" s="909"/>
      <c r="X418" s="909"/>
      <c r="Y418" s="909"/>
      <c r="Z418" s="910"/>
      <c r="AA418" s="909"/>
      <c r="AB418" s="910"/>
      <c r="AC418" s="911"/>
      <c r="AD418" s="911"/>
      <c r="AE418" s="909"/>
      <c r="AF418" s="909"/>
      <c r="AG418" s="909"/>
      <c r="AH418" s="917"/>
      <c r="AI418" s="909"/>
      <c r="AJ418" s="916"/>
      <c r="AK418" s="916"/>
      <c r="AL418" s="653"/>
      <c r="AM418" s="918"/>
      <c r="AN418" s="915"/>
      <c r="AO418" s="653"/>
      <c r="AP418" s="653"/>
      <c r="AQ418" s="653"/>
      <c r="AR418" s="653"/>
      <c r="AS418" s="653"/>
      <c r="AT418" s="653"/>
      <c r="AU418" s="653"/>
      <c r="AV418" s="653"/>
      <c r="AW418" s="653"/>
      <c r="AX418" s="653"/>
      <c r="AY418" s="653"/>
      <c r="AZ418" s="653"/>
      <c r="BA418" s="653"/>
      <c r="BB418" s="653"/>
      <c r="BC418" s="653"/>
      <c r="BD418" s="653"/>
      <c r="BE418" s="653"/>
      <c r="BF418" s="653"/>
      <c r="BG418" s="653"/>
      <c r="BH418" s="653"/>
      <c r="BI418" s="653"/>
      <c r="BJ418" s="653"/>
      <c r="BK418" s="653"/>
      <c r="BL418" s="653"/>
      <c r="BM418" s="653"/>
      <c r="BN418" s="653"/>
      <c r="BO418" s="653"/>
      <c r="BP418" s="653"/>
      <c r="BQ418" s="653"/>
      <c r="BR418" s="653"/>
      <c r="BS418" s="653"/>
      <c r="BT418" s="653"/>
      <c r="BU418" s="653"/>
      <c r="BV418" s="654"/>
    </row>
    <row r="419" spans="2:74" x14ac:dyDescent="0.25">
      <c r="B419" s="651"/>
      <c r="C419" s="653"/>
      <c r="D419" s="653"/>
      <c r="E419" s="653"/>
      <c r="F419" s="653"/>
      <c r="G419" s="653"/>
      <c r="H419" s="653"/>
      <c r="I419" s="653"/>
      <c r="J419" s="653"/>
      <c r="K419" s="653"/>
      <c r="L419" s="653"/>
      <c r="M419" s="651"/>
      <c r="N419" s="909"/>
      <c r="O419" s="909"/>
      <c r="P419" s="909"/>
      <c r="Q419" s="910"/>
      <c r="R419" s="909"/>
      <c r="S419" s="909"/>
      <c r="T419" s="909"/>
      <c r="U419" s="909"/>
      <c r="V419" s="909"/>
      <c r="W419" s="909"/>
      <c r="X419" s="909"/>
      <c r="Y419" s="909"/>
      <c r="Z419" s="910"/>
      <c r="AA419" s="909"/>
      <c r="AB419" s="910"/>
      <c r="AC419" s="911"/>
      <c r="AD419" s="911"/>
      <c r="AE419" s="909"/>
      <c r="AF419" s="909"/>
      <c r="AG419" s="909"/>
      <c r="AH419" s="917"/>
      <c r="AI419" s="909"/>
      <c r="AJ419" s="916"/>
      <c r="AK419" s="916"/>
      <c r="AL419" s="653"/>
      <c r="AM419" s="918"/>
      <c r="AN419" s="915"/>
      <c r="AO419" s="653"/>
      <c r="AP419" s="653"/>
      <c r="AQ419" s="653"/>
      <c r="AR419" s="653"/>
      <c r="AS419" s="653"/>
      <c r="AT419" s="653"/>
      <c r="AU419" s="653"/>
      <c r="AV419" s="653"/>
      <c r="AW419" s="653"/>
      <c r="AX419" s="653"/>
      <c r="AY419" s="653"/>
      <c r="AZ419" s="653"/>
      <c r="BA419" s="653"/>
      <c r="BB419" s="653"/>
      <c r="BC419" s="653"/>
      <c r="BD419" s="653"/>
      <c r="BE419" s="653"/>
      <c r="BF419" s="653"/>
      <c r="BG419" s="653"/>
      <c r="BH419" s="653"/>
      <c r="BI419" s="653"/>
      <c r="BJ419" s="653"/>
      <c r="BK419" s="653"/>
      <c r="BL419" s="653"/>
      <c r="BM419" s="653"/>
      <c r="BN419" s="653"/>
      <c r="BO419" s="653"/>
      <c r="BP419" s="653"/>
      <c r="BQ419" s="653"/>
      <c r="BR419" s="653"/>
      <c r="BS419" s="653"/>
      <c r="BT419" s="653"/>
      <c r="BU419" s="653"/>
      <c r="BV419" s="654"/>
    </row>
    <row r="420" spans="2:74" x14ac:dyDescent="0.25">
      <c r="B420" s="651"/>
      <c r="C420" s="653"/>
      <c r="D420" s="653"/>
      <c r="E420" s="653"/>
      <c r="F420" s="653"/>
      <c r="G420" s="653"/>
      <c r="H420" s="653"/>
      <c r="I420" s="653"/>
      <c r="J420" s="653"/>
      <c r="K420" s="653"/>
      <c r="L420" s="653"/>
      <c r="M420" s="651"/>
      <c r="N420" s="909"/>
      <c r="O420" s="909"/>
      <c r="P420" s="909"/>
      <c r="Q420" s="910"/>
      <c r="R420" s="909"/>
      <c r="S420" s="909"/>
      <c r="T420" s="909"/>
      <c r="U420" s="909"/>
      <c r="V420" s="909"/>
      <c r="W420" s="909"/>
      <c r="X420" s="909"/>
      <c r="Y420" s="909"/>
      <c r="Z420" s="910"/>
      <c r="AA420" s="909"/>
      <c r="AB420" s="910"/>
      <c r="AC420" s="911"/>
      <c r="AD420" s="911"/>
      <c r="AE420" s="909"/>
      <c r="AF420" s="909"/>
      <c r="AG420" s="909"/>
      <c r="AH420" s="917"/>
      <c r="AI420" s="909"/>
      <c r="AJ420" s="916"/>
      <c r="AK420" s="916"/>
      <c r="AL420" s="653"/>
      <c r="AM420" s="918"/>
      <c r="AN420" s="915"/>
      <c r="AO420" s="653"/>
      <c r="AP420" s="653"/>
      <c r="AQ420" s="653"/>
      <c r="AR420" s="653"/>
      <c r="AS420" s="653"/>
      <c r="AT420" s="653"/>
      <c r="AU420" s="653"/>
      <c r="AV420" s="653"/>
      <c r="AW420" s="653"/>
      <c r="AX420" s="653"/>
      <c r="AY420" s="653"/>
      <c r="AZ420" s="653"/>
      <c r="BA420" s="653"/>
      <c r="BB420" s="653"/>
      <c r="BC420" s="653"/>
      <c r="BD420" s="653"/>
      <c r="BE420" s="653"/>
      <c r="BF420" s="653"/>
      <c r="BG420" s="653"/>
      <c r="BH420" s="653"/>
      <c r="BI420" s="653"/>
      <c r="BJ420" s="653"/>
      <c r="BK420" s="653"/>
      <c r="BL420" s="653"/>
      <c r="BM420" s="653"/>
      <c r="BN420" s="653"/>
      <c r="BO420" s="653"/>
      <c r="BP420" s="653"/>
      <c r="BQ420" s="653"/>
      <c r="BR420" s="653"/>
      <c r="BS420" s="653"/>
      <c r="BT420" s="653"/>
      <c r="BU420" s="653"/>
      <c r="BV420" s="654"/>
    </row>
    <row r="421" spans="2:74" x14ac:dyDescent="0.25">
      <c r="B421" s="651"/>
      <c r="C421" s="653"/>
      <c r="D421" s="653"/>
      <c r="E421" s="653"/>
      <c r="F421" s="653"/>
      <c r="G421" s="653"/>
      <c r="H421" s="653"/>
      <c r="I421" s="653"/>
      <c r="J421" s="653"/>
      <c r="K421" s="653"/>
      <c r="L421" s="653"/>
      <c r="M421" s="651"/>
      <c r="N421" s="909"/>
      <c r="O421" s="909"/>
      <c r="P421" s="909"/>
      <c r="Q421" s="910"/>
      <c r="R421" s="909"/>
      <c r="S421" s="909"/>
      <c r="T421" s="909"/>
      <c r="U421" s="909"/>
      <c r="V421" s="909"/>
      <c r="W421" s="909"/>
      <c r="X421" s="909"/>
      <c r="Y421" s="909"/>
      <c r="Z421" s="910"/>
      <c r="AA421" s="909"/>
      <c r="AB421" s="910"/>
      <c r="AC421" s="911"/>
      <c r="AD421" s="911"/>
      <c r="AE421" s="909"/>
      <c r="AF421" s="909"/>
      <c r="AG421" s="909"/>
      <c r="AH421" s="917"/>
      <c r="AI421" s="909"/>
      <c r="AJ421" s="916"/>
      <c r="AK421" s="916"/>
      <c r="AL421" s="653"/>
      <c r="AM421" s="918"/>
      <c r="AN421" s="915"/>
      <c r="AO421" s="653"/>
      <c r="AP421" s="653"/>
      <c r="AQ421" s="653"/>
      <c r="AR421" s="653"/>
      <c r="AS421" s="653"/>
      <c r="AT421" s="653"/>
      <c r="AU421" s="653"/>
      <c r="AV421" s="653"/>
      <c r="AW421" s="653"/>
      <c r="AX421" s="653"/>
      <c r="AY421" s="653"/>
      <c r="AZ421" s="653"/>
      <c r="BA421" s="653"/>
      <c r="BB421" s="653"/>
      <c r="BC421" s="653"/>
      <c r="BD421" s="653"/>
      <c r="BE421" s="653"/>
      <c r="BF421" s="653"/>
      <c r="BG421" s="653"/>
      <c r="BH421" s="653"/>
      <c r="BI421" s="653"/>
      <c r="BJ421" s="653"/>
      <c r="BK421" s="653"/>
      <c r="BL421" s="653"/>
      <c r="BM421" s="653"/>
      <c r="BN421" s="653"/>
      <c r="BO421" s="653"/>
      <c r="BP421" s="653"/>
      <c r="BQ421" s="653"/>
      <c r="BR421" s="653"/>
      <c r="BS421" s="653"/>
      <c r="BT421" s="653"/>
      <c r="BU421" s="653"/>
      <c r="BV421" s="654"/>
    </row>
    <row r="422" spans="2:74" x14ac:dyDescent="0.25">
      <c r="B422" s="651"/>
      <c r="C422" s="653"/>
      <c r="D422" s="653"/>
      <c r="E422" s="653"/>
      <c r="F422" s="653"/>
      <c r="G422" s="653"/>
      <c r="H422" s="653"/>
      <c r="I422" s="653"/>
      <c r="J422" s="653"/>
      <c r="K422" s="653"/>
      <c r="L422" s="653"/>
      <c r="M422" s="651"/>
      <c r="N422" s="909"/>
      <c r="O422" s="909"/>
      <c r="P422" s="909"/>
      <c r="Q422" s="910"/>
      <c r="R422" s="909"/>
      <c r="S422" s="909"/>
      <c r="T422" s="909"/>
      <c r="U422" s="909"/>
      <c r="V422" s="909"/>
      <c r="W422" s="909"/>
      <c r="X422" s="909"/>
      <c r="Y422" s="909"/>
      <c r="Z422" s="910"/>
      <c r="AA422" s="909"/>
      <c r="AB422" s="910"/>
      <c r="AC422" s="911"/>
      <c r="AD422" s="911"/>
      <c r="AE422" s="909"/>
      <c r="AF422" s="909"/>
      <c r="AG422" s="909"/>
      <c r="AH422" s="917"/>
      <c r="AI422" s="909"/>
      <c r="AJ422" s="916"/>
      <c r="AK422" s="916"/>
      <c r="AL422" s="653"/>
      <c r="AM422" s="918"/>
      <c r="AN422" s="915"/>
      <c r="AO422" s="653"/>
      <c r="AP422" s="653"/>
      <c r="AQ422" s="653"/>
      <c r="AR422" s="653"/>
      <c r="AS422" s="653"/>
      <c r="AT422" s="653"/>
      <c r="AU422" s="653"/>
      <c r="AV422" s="653"/>
      <c r="AW422" s="653"/>
      <c r="AX422" s="653"/>
      <c r="AY422" s="653"/>
      <c r="AZ422" s="653"/>
      <c r="BA422" s="653"/>
      <c r="BB422" s="653"/>
      <c r="BC422" s="653"/>
      <c r="BD422" s="653"/>
      <c r="BE422" s="653"/>
      <c r="BF422" s="653"/>
      <c r="BG422" s="653"/>
      <c r="BH422" s="653"/>
      <c r="BI422" s="653"/>
      <c r="BJ422" s="653"/>
      <c r="BK422" s="653"/>
      <c r="BL422" s="653"/>
      <c r="BM422" s="653"/>
      <c r="BN422" s="653"/>
      <c r="BO422" s="653"/>
      <c r="BP422" s="653"/>
      <c r="BQ422" s="653"/>
      <c r="BR422" s="653"/>
      <c r="BS422" s="653"/>
      <c r="BT422" s="653"/>
      <c r="BU422" s="653"/>
      <c r="BV422" s="654"/>
    </row>
    <row r="423" spans="2:74" x14ac:dyDescent="0.25">
      <c r="B423" s="651"/>
      <c r="C423" s="653"/>
      <c r="D423" s="653"/>
      <c r="E423" s="653"/>
      <c r="F423" s="653"/>
      <c r="G423" s="653"/>
      <c r="H423" s="653"/>
      <c r="I423" s="653"/>
      <c r="J423" s="653"/>
      <c r="K423" s="653"/>
      <c r="L423" s="653"/>
      <c r="M423" s="651"/>
      <c r="N423" s="909"/>
      <c r="O423" s="909"/>
      <c r="P423" s="909"/>
      <c r="Q423" s="910"/>
      <c r="R423" s="909"/>
      <c r="S423" s="909"/>
      <c r="T423" s="909"/>
      <c r="U423" s="909"/>
      <c r="V423" s="909"/>
      <c r="W423" s="909"/>
      <c r="X423" s="909"/>
      <c r="Y423" s="909"/>
      <c r="Z423" s="910"/>
      <c r="AA423" s="909"/>
      <c r="AB423" s="910"/>
      <c r="AC423" s="911"/>
      <c r="AD423" s="911"/>
      <c r="AE423" s="909"/>
      <c r="AF423" s="909"/>
      <c r="AG423" s="909"/>
      <c r="AH423" s="917"/>
      <c r="AI423" s="909"/>
      <c r="AJ423" s="916"/>
      <c r="AK423" s="916"/>
      <c r="AL423" s="653"/>
      <c r="AM423" s="918"/>
      <c r="AN423" s="915"/>
      <c r="AO423" s="653"/>
      <c r="AP423" s="653"/>
      <c r="AQ423" s="653"/>
      <c r="AR423" s="653"/>
      <c r="AS423" s="653"/>
      <c r="AT423" s="653"/>
      <c r="AU423" s="653"/>
      <c r="AV423" s="653"/>
      <c r="AW423" s="653"/>
      <c r="AX423" s="653"/>
      <c r="AY423" s="653"/>
      <c r="AZ423" s="653"/>
      <c r="BA423" s="653"/>
      <c r="BB423" s="653"/>
      <c r="BC423" s="653"/>
      <c r="BD423" s="653"/>
      <c r="BE423" s="653"/>
      <c r="BF423" s="653"/>
      <c r="BG423" s="653"/>
      <c r="BH423" s="653"/>
      <c r="BI423" s="653"/>
      <c r="BJ423" s="653"/>
      <c r="BK423" s="653"/>
      <c r="BL423" s="653"/>
      <c r="BM423" s="653"/>
      <c r="BN423" s="653"/>
      <c r="BO423" s="653"/>
      <c r="BP423" s="653"/>
      <c r="BQ423" s="653"/>
      <c r="BR423" s="653"/>
      <c r="BS423" s="653"/>
      <c r="BT423" s="653"/>
      <c r="BU423" s="653"/>
      <c r="BV423" s="654"/>
    </row>
    <row r="424" spans="2:74" x14ac:dyDescent="0.25">
      <c r="B424" s="651"/>
      <c r="C424" s="653"/>
      <c r="D424" s="653"/>
      <c r="E424" s="653"/>
      <c r="F424" s="653"/>
      <c r="G424" s="653"/>
      <c r="H424" s="653"/>
      <c r="I424" s="653"/>
      <c r="J424" s="653"/>
      <c r="K424" s="653"/>
      <c r="L424" s="653"/>
      <c r="M424" s="651"/>
      <c r="N424" s="909"/>
      <c r="O424" s="909"/>
      <c r="P424" s="909"/>
      <c r="Q424" s="910"/>
      <c r="R424" s="909"/>
      <c r="S424" s="909"/>
      <c r="T424" s="909"/>
      <c r="U424" s="909"/>
      <c r="V424" s="909"/>
      <c r="W424" s="909"/>
      <c r="X424" s="909"/>
      <c r="Y424" s="909"/>
      <c r="Z424" s="910"/>
      <c r="AA424" s="909"/>
      <c r="AB424" s="910"/>
      <c r="AC424" s="911"/>
      <c r="AD424" s="911"/>
      <c r="AE424" s="909"/>
      <c r="AF424" s="909"/>
      <c r="AG424" s="909"/>
      <c r="AH424" s="917"/>
      <c r="AI424" s="909"/>
      <c r="AJ424" s="916"/>
      <c r="AK424" s="916"/>
      <c r="AL424" s="653"/>
      <c r="AM424" s="918"/>
      <c r="AN424" s="915"/>
      <c r="AO424" s="653"/>
      <c r="AP424" s="653"/>
      <c r="AQ424" s="653"/>
      <c r="AR424" s="653"/>
      <c r="AS424" s="653"/>
      <c r="AT424" s="653"/>
      <c r="AU424" s="653"/>
      <c r="AV424" s="653"/>
      <c r="AW424" s="653"/>
      <c r="AX424" s="653"/>
      <c r="AY424" s="653"/>
      <c r="AZ424" s="653"/>
      <c r="BA424" s="653"/>
      <c r="BB424" s="653"/>
      <c r="BC424" s="653"/>
      <c r="BD424" s="653"/>
      <c r="BE424" s="653"/>
      <c r="BF424" s="653"/>
      <c r="BG424" s="653"/>
      <c r="BH424" s="653"/>
      <c r="BI424" s="653"/>
      <c r="BJ424" s="653"/>
      <c r="BK424" s="653"/>
      <c r="BL424" s="653"/>
      <c r="BM424" s="653"/>
      <c r="BN424" s="653"/>
      <c r="BO424" s="653"/>
      <c r="BP424" s="653"/>
      <c r="BQ424" s="653"/>
      <c r="BR424" s="653"/>
      <c r="BS424" s="653"/>
      <c r="BT424" s="653"/>
      <c r="BU424" s="653"/>
      <c r="BV424" s="654"/>
    </row>
    <row r="425" spans="2:74" ht="15.75" thickBot="1" x14ac:dyDescent="0.3">
      <c r="B425" s="651"/>
      <c r="C425" s="653"/>
      <c r="D425" s="653"/>
      <c r="E425" s="653"/>
      <c r="F425" s="653"/>
      <c r="G425" s="653"/>
      <c r="H425" s="653"/>
      <c r="I425" s="653"/>
      <c r="J425" s="653"/>
      <c r="K425" s="653"/>
      <c r="L425" s="653"/>
      <c r="M425" s="680"/>
      <c r="N425" s="909"/>
      <c r="O425" s="919"/>
      <c r="P425" s="909"/>
      <c r="Q425" s="920"/>
      <c r="R425" s="919"/>
      <c r="S425" s="909"/>
      <c r="T425" s="909"/>
      <c r="U425" s="909"/>
      <c r="V425" s="909"/>
      <c r="W425" s="909"/>
      <c r="X425" s="919"/>
      <c r="Y425" s="909"/>
      <c r="Z425" s="920"/>
      <c r="AA425" s="909"/>
      <c r="AB425" s="920"/>
      <c r="AC425" s="921"/>
      <c r="AD425" s="921"/>
      <c r="AE425" s="919"/>
      <c r="AF425" s="919"/>
      <c r="AG425" s="919"/>
      <c r="AH425" s="922"/>
      <c r="AI425" s="909"/>
      <c r="AJ425" s="916"/>
      <c r="AK425" s="916"/>
      <c r="AL425" s="653"/>
      <c r="AM425" s="918"/>
      <c r="AN425" s="923"/>
      <c r="AO425" s="653"/>
      <c r="AP425" s="653"/>
      <c r="AQ425" s="653"/>
      <c r="AR425" s="653"/>
      <c r="AS425" s="653"/>
      <c r="AT425" s="653"/>
      <c r="AU425" s="653"/>
      <c r="AV425" s="653"/>
      <c r="AW425" s="653"/>
      <c r="AX425" s="653"/>
      <c r="AY425" s="653"/>
      <c r="AZ425" s="653"/>
      <c r="BA425" s="653"/>
      <c r="BB425" s="653"/>
      <c r="BC425" s="653"/>
      <c r="BD425" s="653"/>
      <c r="BE425" s="653"/>
      <c r="BF425" s="653"/>
      <c r="BG425" s="653"/>
      <c r="BH425" s="653"/>
      <c r="BI425" s="653"/>
      <c r="BJ425" s="653"/>
      <c r="BK425" s="653"/>
      <c r="BL425" s="653"/>
      <c r="BM425" s="653"/>
      <c r="BN425" s="653"/>
      <c r="BO425" s="653"/>
      <c r="BP425" s="653"/>
      <c r="BQ425" s="653"/>
      <c r="BR425" s="653"/>
      <c r="BS425" s="653"/>
      <c r="BT425" s="653"/>
      <c r="BU425" s="653"/>
      <c r="BV425" s="654"/>
    </row>
    <row r="426" spans="2:74" x14ac:dyDescent="0.25">
      <c r="B426" s="651"/>
      <c r="C426" s="653"/>
      <c r="D426" s="653"/>
      <c r="E426" s="653"/>
      <c r="F426" s="653"/>
      <c r="G426" s="653"/>
      <c r="H426" s="653"/>
      <c r="I426" s="653"/>
      <c r="J426" s="653"/>
      <c r="K426" s="653"/>
      <c r="L426" s="653"/>
      <c r="M426" s="653"/>
      <c r="N426" s="653"/>
      <c r="O426" s="653"/>
      <c r="P426" s="653"/>
      <c r="Q426" s="653"/>
      <c r="R426" s="653"/>
      <c r="S426" s="653"/>
      <c r="T426" s="653"/>
      <c r="U426" s="653"/>
      <c r="V426" s="653"/>
      <c r="W426" s="653"/>
      <c r="X426" s="653"/>
      <c r="Y426" s="653"/>
      <c r="Z426" s="653"/>
      <c r="AA426" s="653"/>
      <c r="AB426" s="653"/>
      <c r="AC426" s="653"/>
      <c r="AD426" s="653"/>
      <c r="AE426" s="653"/>
      <c r="AF426" s="1063"/>
      <c r="AG426" s="653"/>
      <c r="AH426" s="653"/>
      <c r="AI426" s="653"/>
      <c r="AJ426" s="653"/>
      <c r="AK426" s="653"/>
      <c r="AL426" s="653"/>
      <c r="AM426" s="653"/>
      <c r="AN426" s="653"/>
      <c r="AO426" s="653"/>
      <c r="AP426" s="653"/>
      <c r="AQ426" s="653"/>
      <c r="AR426" s="653"/>
      <c r="AS426" s="653"/>
      <c r="AT426" s="653"/>
      <c r="AU426" s="653"/>
      <c r="AV426" s="653"/>
      <c r="AW426" s="653"/>
      <c r="AX426" s="653"/>
      <c r="AY426" s="653"/>
      <c r="AZ426" s="653"/>
      <c r="BA426" s="653"/>
      <c r="BB426" s="653"/>
      <c r="BC426" s="653"/>
      <c r="BD426" s="653"/>
      <c r="BE426" s="653"/>
      <c r="BF426" s="653"/>
      <c r="BG426" s="653"/>
      <c r="BH426" s="653"/>
      <c r="BI426" s="653"/>
      <c r="BJ426" s="653"/>
      <c r="BK426" s="653"/>
      <c r="BL426" s="653"/>
      <c r="BM426" s="653"/>
      <c r="BN426" s="653"/>
      <c r="BO426" s="653"/>
      <c r="BP426" s="653"/>
      <c r="BQ426" s="653"/>
      <c r="BR426" s="653"/>
      <c r="BS426" s="653"/>
      <c r="BT426" s="653"/>
      <c r="BU426" s="653"/>
      <c r="BV426" s="654"/>
    </row>
    <row r="427" spans="2:74" x14ac:dyDescent="0.25">
      <c r="B427" s="651"/>
      <c r="C427" s="653"/>
      <c r="D427" s="653"/>
      <c r="E427" s="653"/>
      <c r="F427" s="653"/>
      <c r="G427" s="653"/>
      <c r="H427" s="653"/>
      <c r="I427" s="653"/>
      <c r="J427" s="653"/>
      <c r="K427" s="653"/>
      <c r="L427" s="653"/>
      <c r="M427" s="653"/>
      <c r="N427" s="653"/>
      <c r="O427" s="653"/>
      <c r="P427" s="653"/>
      <c r="Q427" s="653"/>
      <c r="R427" s="653"/>
      <c r="S427" s="653"/>
      <c r="T427" s="653"/>
      <c r="U427" s="653"/>
      <c r="V427" s="653"/>
      <c r="W427" s="653"/>
      <c r="X427" s="653"/>
      <c r="Y427" s="653"/>
      <c r="Z427" s="653"/>
      <c r="AA427" s="653"/>
      <c r="AB427" s="653"/>
      <c r="AC427" s="653"/>
      <c r="AD427" s="653"/>
      <c r="AE427" s="653"/>
      <c r="AF427" s="1063"/>
      <c r="AG427" s="653"/>
      <c r="AH427" s="653"/>
      <c r="AI427" s="653"/>
      <c r="AJ427" s="653"/>
      <c r="AK427" s="653"/>
      <c r="AL427" s="653"/>
      <c r="AM427" s="653"/>
      <c r="AN427" s="653"/>
      <c r="AO427" s="653"/>
      <c r="AP427" s="653"/>
      <c r="AQ427" s="653"/>
      <c r="AR427" s="653"/>
      <c r="AS427" s="653"/>
      <c r="AT427" s="653"/>
      <c r="AU427" s="653"/>
      <c r="AV427" s="653"/>
      <c r="AW427" s="653"/>
      <c r="AX427" s="653"/>
      <c r="AY427" s="653"/>
      <c r="AZ427" s="653"/>
      <c r="BA427" s="653"/>
      <c r="BB427" s="653"/>
      <c r="BC427" s="653"/>
      <c r="BD427" s="653"/>
      <c r="BE427" s="653"/>
      <c r="BF427" s="653"/>
      <c r="BG427" s="653"/>
      <c r="BH427" s="653"/>
      <c r="BI427" s="653"/>
      <c r="BJ427" s="653"/>
      <c r="BK427" s="653"/>
      <c r="BL427" s="653"/>
      <c r="BM427" s="653"/>
      <c r="BN427" s="653"/>
      <c r="BO427" s="653"/>
      <c r="BP427" s="653"/>
      <c r="BQ427" s="653"/>
      <c r="BR427" s="653"/>
      <c r="BS427" s="653"/>
      <c r="BT427" s="653"/>
      <c r="BU427" s="653"/>
      <c r="BV427" s="654"/>
    </row>
    <row r="428" spans="2:74" x14ac:dyDescent="0.25">
      <c r="B428" s="651"/>
      <c r="C428" s="653"/>
      <c r="D428" s="653"/>
      <c r="E428" s="653"/>
      <c r="F428" s="653"/>
      <c r="G428" s="653"/>
      <c r="H428" s="653"/>
      <c r="I428" s="653"/>
      <c r="J428" s="653"/>
      <c r="K428" s="653"/>
      <c r="L428" s="653"/>
      <c r="M428" s="653"/>
      <c r="N428" s="653"/>
      <c r="O428" s="653"/>
      <c r="P428" s="653"/>
      <c r="Q428" s="653"/>
      <c r="R428" s="653"/>
      <c r="S428" s="653"/>
      <c r="T428" s="653"/>
      <c r="U428" s="653"/>
      <c r="V428" s="653"/>
      <c r="W428" s="653"/>
      <c r="X428" s="653"/>
      <c r="Y428" s="653"/>
      <c r="Z428" s="653"/>
      <c r="AA428" s="653"/>
      <c r="AB428" s="653"/>
      <c r="AC428" s="653"/>
      <c r="AD428" s="653"/>
      <c r="AE428" s="653"/>
      <c r="AF428" s="1063"/>
      <c r="AG428" s="653"/>
      <c r="AH428" s="653"/>
      <c r="AI428" s="653"/>
      <c r="AJ428" s="653"/>
      <c r="AK428" s="653"/>
      <c r="AL428" s="653"/>
      <c r="AM428" s="653"/>
      <c r="AN428" s="653"/>
      <c r="AO428" s="653"/>
      <c r="AP428" s="653"/>
      <c r="AQ428" s="653"/>
      <c r="AR428" s="653"/>
      <c r="AS428" s="653"/>
      <c r="AT428" s="653"/>
      <c r="AU428" s="653"/>
      <c r="AV428" s="653"/>
      <c r="AW428" s="653"/>
      <c r="AX428" s="653"/>
      <c r="AY428" s="653"/>
      <c r="AZ428" s="653"/>
      <c r="BA428" s="653"/>
      <c r="BB428" s="653"/>
      <c r="BC428" s="653"/>
      <c r="BD428" s="653"/>
      <c r="BE428" s="653"/>
      <c r="BF428" s="653"/>
      <c r="BG428" s="653"/>
      <c r="BH428" s="653"/>
      <c r="BI428" s="653"/>
      <c r="BJ428" s="653"/>
      <c r="BK428" s="653"/>
      <c r="BL428" s="653"/>
      <c r="BM428" s="653"/>
      <c r="BN428" s="653"/>
      <c r="BO428" s="653"/>
      <c r="BP428" s="653"/>
      <c r="BQ428" s="653"/>
      <c r="BR428" s="653"/>
      <c r="BS428" s="653"/>
      <c r="BT428" s="653"/>
      <c r="BU428" s="653"/>
      <c r="BV428" s="654"/>
    </row>
    <row r="429" spans="2:74" x14ac:dyDescent="0.25">
      <c r="B429" s="651"/>
      <c r="C429" s="653"/>
      <c r="D429" s="653"/>
      <c r="E429" s="653"/>
      <c r="F429" s="653"/>
      <c r="G429" s="653"/>
      <c r="H429" s="653"/>
      <c r="I429" s="653"/>
      <c r="J429" s="653"/>
      <c r="K429" s="653"/>
      <c r="L429" s="653"/>
      <c r="M429" s="653"/>
      <c r="N429" s="653"/>
      <c r="O429" s="653"/>
      <c r="P429" s="653"/>
      <c r="Q429" s="653"/>
      <c r="R429" s="653"/>
      <c r="S429" s="653"/>
      <c r="T429" s="653"/>
      <c r="U429" s="653"/>
      <c r="V429" s="653"/>
      <c r="W429" s="653"/>
      <c r="X429" s="653"/>
      <c r="Y429" s="653"/>
      <c r="Z429" s="653"/>
      <c r="AA429" s="653"/>
      <c r="AB429" s="653"/>
      <c r="AC429" s="653"/>
      <c r="AD429" s="653"/>
      <c r="AE429" s="653"/>
      <c r="AF429" s="1063"/>
      <c r="AG429" s="653"/>
      <c r="AH429" s="653"/>
      <c r="AI429" s="653"/>
      <c r="AJ429" s="653"/>
      <c r="AK429" s="653"/>
      <c r="AL429" s="653"/>
      <c r="AM429" s="653"/>
      <c r="AN429" s="653"/>
      <c r="AO429" s="653"/>
      <c r="AP429" s="653"/>
      <c r="AQ429" s="653"/>
      <c r="AR429" s="653"/>
      <c r="AS429" s="653"/>
      <c r="AT429" s="653"/>
      <c r="AU429" s="653"/>
      <c r="AV429" s="653"/>
      <c r="AW429" s="653"/>
      <c r="AX429" s="653"/>
      <c r="AY429" s="653"/>
      <c r="AZ429" s="653"/>
      <c r="BA429" s="653"/>
      <c r="BB429" s="653"/>
      <c r="BC429" s="653"/>
      <c r="BD429" s="653"/>
      <c r="BE429" s="653"/>
      <c r="BF429" s="653"/>
      <c r="BG429" s="653"/>
      <c r="BH429" s="653"/>
      <c r="BI429" s="653"/>
      <c r="BJ429" s="653"/>
      <c r="BK429" s="653"/>
      <c r="BL429" s="653"/>
      <c r="BM429" s="653"/>
      <c r="BN429" s="653"/>
      <c r="BO429" s="653"/>
      <c r="BP429" s="653"/>
      <c r="BQ429" s="653"/>
      <c r="BR429" s="653"/>
      <c r="BS429" s="653"/>
      <c r="BT429" s="653"/>
      <c r="BU429" s="653"/>
      <c r="BV429" s="654"/>
    </row>
    <row r="430" spans="2:74" x14ac:dyDescent="0.25">
      <c r="B430" s="651"/>
      <c r="C430" s="653"/>
      <c r="D430" s="653"/>
      <c r="E430" s="653"/>
      <c r="F430" s="653"/>
      <c r="G430" s="653"/>
      <c r="H430" s="653"/>
      <c r="I430" s="653"/>
      <c r="J430" s="653"/>
      <c r="K430" s="653"/>
      <c r="L430" s="653"/>
      <c r="M430" s="653"/>
      <c r="N430" s="653"/>
      <c r="O430" s="653"/>
      <c r="P430" s="653"/>
      <c r="Q430" s="653"/>
      <c r="R430" s="653"/>
      <c r="S430" s="653"/>
      <c r="T430" s="653"/>
      <c r="U430" s="653"/>
      <c r="V430" s="653"/>
      <c r="W430" s="653"/>
      <c r="X430" s="653"/>
      <c r="Y430" s="653"/>
      <c r="Z430" s="653"/>
      <c r="AA430" s="653"/>
      <c r="AB430" s="653"/>
      <c r="AC430" s="653"/>
      <c r="AD430" s="653"/>
      <c r="AE430" s="653"/>
      <c r="AF430" s="1063"/>
      <c r="AG430" s="653"/>
      <c r="AH430" s="653"/>
      <c r="AI430" s="653"/>
      <c r="AJ430" s="653"/>
      <c r="AK430" s="653"/>
      <c r="AL430" s="653"/>
      <c r="AM430" s="653"/>
      <c r="AN430" s="653"/>
      <c r="AO430" s="653"/>
      <c r="AP430" s="653"/>
      <c r="AQ430" s="653"/>
      <c r="AR430" s="653"/>
      <c r="AS430" s="653"/>
      <c r="AT430" s="653"/>
      <c r="AU430" s="653"/>
      <c r="AV430" s="653"/>
      <c r="AW430" s="653"/>
      <c r="AX430" s="653"/>
      <c r="AY430" s="653"/>
      <c r="AZ430" s="653"/>
      <c r="BA430" s="653"/>
      <c r="BB430" s="653"/>
      <c r="BC430" s="653"/>
      <c r="BD430" s="653"/>
      <c r="BE430" s="653"/>
      <c r="BF430" s="653"/>
      <c r="BG430" s="653"/>
      <c r="BH430" s="653"/>
      <c r="BI430" s="653"/>
      <c r="BJ430" s="653"/>
      <c r="BK430" s="653"/>
      <c r="BL430" s="653"/>
      <c r="BM430" s="653"/>
      <c r="BN430" s="653"/>
      <c r="BO430" s="653"/>
      <c r="BP430" s="653"/>
      <c r="BQ430" s="653"/>
      <c r="BR430" s="653"/>
      <c r="BS430" s="653"/>
      <c r="BT430" s="653"/>
      <c r="BU430" s="653"/>
      <c r="BV430" s="654"/>
    </row>
    <row r="431" spans="2:74" x14ac:dyDescent="0.25">
      <c r="B431" s="651"/>
      <c r="C431" s="653"/>
      <c r="D431" s="653"/>
      <c r="E431" s="653"/>
      <c r="F431" s="653"/>
      <c r="G431" s="653"/>
      <c r="H431" s="653"/>
      <c r="I431" s="653"/>
      <c r="J431" s="653"/>
      <c r="K431" s="653"/>
      <c r="L431" s="653"/>
      <c r="M431" s="653"/>
      <c r="N431" s="653"/>
      <c r="O431" s="653"/>
      <c r="P431" s="653"/>
      <c r="Q431" s="653"/>
      <c r="R431" s="653"/>
      <c r="S431" s="653"/>
      <c r="T431" s="653"/>
      <c r="U431" s="653"/>
      <c r="V431" s="653"/>
      <c r="W431" s="653"/>
      <c r="X431" s="653"/>
      <c r="Y431" s="653"/>
      <c r="Z431" s="653"/>
      <c r="AA431" s="653"/>
      <c r="AB431" s="653"/>
      <c r="AC431" s="653"/>
      <c r="AD431" s="653"/>
      <c r="AE431" s="653"/>
      <c r="AF431" s="1063"/>
      <c r="AG431" s="653"/>
      <c r="AH431" s="653"/>
      <c r="AI431" s="653"/>
      <c r="AJ431" s="653"/>
      <c r="AK431" s="653"/>
      <c r="AL431" s="653"/>
      <c r="AM431" s="653"/>
      <c r="AN431" s="653"/>
      <c r="AO431" s="653"/>
      <c r="AP431" s="653"/>
      <c r="AQ431" s="653"/>
      <c r="AR431" s="653"/>
      <c r="AS431" s="653"/>
      <c r="AT431" s="653"/>
      <c r="AU431" s="653"/>
      <c r="AV431" s="653"/>
      <c r="AW431" s="653"/>
      <c r="AX431" s="653"/>
      <c r="AY431" s="653"/>
      <c r="AZ431" s="653"/>
      <c r="BA431" s="653"/>
      <c r="BB431" s="653"/>
      <c r="BC431" s="653"/>
      <c r="BD431" s="653"/>
      <c r="BE431" s="653"/>
      <c r="BF431" s="653"/>
      <c r="BG431" s="653"/>
      <c r="BH431" s="653"/>
      <c r="BI431" s="653"/>
      <c r="BJ431" s="653"/>
      <c r="BK431" s="653"/>
      <c r="BL431" s="653"/>
      <c r="BM431" s="653"/>
      <c r="BN431" s="653"/>
      <c r="BO431" s="653"/>
      <c r="BP431" s="653"/>
      <c r="BQ431" s="653"/>
      <c r="BR431" s="653"/>
      <c r="BS431" s="653"/>
      <c r="BT431" s="653"/>
      <c r="BU431" s="653"/>
      <c r="BV431" s="654"/>
    </row>
    <row r="432" spans="2:74" ht="15.75" thickBot="1" x14ac:dyDescent="0.3">
      <c r="B432" s="680"/>
      <c r="C432" s="681"/>
      <c r="D432" s="681"/>
      <c r="E432" s="681"/>
      <c r="F432" s="681"/>
      <c r="G432" s="681"/>
      <c r="H432" s="681"/>
      <c r="I432" s="681"/>
      <c r="J432" s="681"/>
      <c r="K432" s="681"/>
      <c r="L432" s="681"/>
      <c r="M432" s="681"/>
      <c r="N432" s="681"/>
      <c r="O432" s="681"/>
      <c r="P432" s="681"/>
      <c r="Q432" s="681"/>
      <c r="R432" s="681"/>
      <c r="S432" s="681"/>
      <c r="T432" s="681"/>
      <c r="U432" s="681"/>
      <c r="V432" s="681"/>
      <c r="W432" s="681"/>
      <c r="X432" s="681"/>
      <c r="Y432" s="681"/>
      <c r="Z432" s="681"/>
      <c r="AA432" s="681"/>
      <c r="AB432" s="681"/>
      <c r="AC432" s="681"/>
      <c r="AD432" s="681"/>
      <c r="AE432" s="681"/>
      <c r="AF432" s="980"/>
      <c r="AG432" s="681"/>
      <c r="AH432" s="681"/>
      <c r="AI432" s="681"/>
      <c r="AJ432" s="681"/>
      <c r="AK432" s="681"/>
      <c r="AL432" s="681"/>
      <c r="AM432" s="681"/>
      <c r="AN432" s="681"/>
      <c r="AO432" s="681"/>
      <c r="AP432" s="681"/>
      <c r="AQ432" s="681"/>
      <c r="AR432" s="681"/>
      <c r="AS432" s="681"/>
      <c r="AT432" s="681"/>
      <c r="AU432" s="681"/>
      <c r="AV432" s="681"/>
      <c r="AW432" s="681"/>
      <c r="AX432" s="681"/>
      <c r="AY432" s="681"/>
      <c r="AZ432" s="681"/>
      <c r="BA432" s="681"/>
      <c r="BB432" s="681"/>
      <c r="BC432" s="681"/>
      <c r="BD432" s="681"/>
      <c r="BE432" s="681"/>
      <c r="BF432" s="681"/>
      <c r="BG432" s="681"/>
      <c r="BH432" s="681"/>
      <c r="BI432" s="681"/>
      <c r="BJ432" s="681"/>
      <c r="BK432" s="681"/>
      <c r="BL432" s="681"/>
      <c r="BM432" s="681"/>
      <c r="BN432" s="681"/>
      <c r="BO432" s="681"/>
      <c r="BP432" s="681"/>
      <c r="BQ432" s="681"/>
      <c r="BR432" s="681"/>
      <c r="BS432" s="681"/>
      <c r="BT432" s="681"/>
      <c r="BU432" s="681"/>
      <c r="BV432" s="666"/>
    </row>
    <row r="436" spans="2:74" ht="15.75" thickBot="1" x14ac:dyDescent="0.3"/>
    <row r="437" spans="2:74" ht="47.25" thickBot="1" x14ac:dyDescent="0.75">
      <c r="B437" s="982" t="str">
        <f>"Variante: "&amp;'1. Projektangaben'!C26&amp;" "</f>
        <v xml:space="preserve">Variante: PH-WDVS-WP-WRG-mittl.Sol-ohne PV </v>
      </c>
      <c r="C437" s="981"/>
      <c r="D437" s="981"/>
      <c r="E437" s="649"/>
      <c r="F437" s="649"/>
      <c r="G437" s="649"/>
      <c r="H437" s="649"/>
      <c r="I437" s="649"/>
      <c r="J437" s="649"/>
      <c r="K437" s="649"/>
      <c r="L437" s="649"/>
      <c r="M437" s="649"/>
      <c r="N437" s="649"/>
      <c r="O437" s="649"/>
      <c r="P437" s="649"/>
      <c r="Q437" s="649"/>
      <c r="R437" s="649"/>
      <c r="S437" s="649"/>
      <c r="T437" s="649"/>
      <c r="U437" s="649"/>
      <c r="V437" s="649"/>
      <c r="W437" s="649"/>
      <c r="X437" s="649"/>
      <c r="Y437" s="649"/>
      <c r="Z437" s="649"/>
      <c r="AA437" s="649"/>
      <c r="AB437" s="649"/>
      <c r="AC437" s="649"/>
      <c r="AD437" s="649"/>
      <c r="AE437" s="649"/>
      <c r="AF437" s="959"/>
      <c r="AG437" s="649"/>
      <c r="AH437" s="649"/>
      <c r="AI437" s="649"/>
      <c r="AJ437" s="649"/>
      <c r="AK437" s="649"/>
      <c r="AL437" s="649"/>
      <c r="AM437" s="649"/>
      <c r="AN437" s="649"/>
      <c r="AO437" s="649"/>
      <c r="AP437" s="649"/>
      <c r="AQ437" s="649"/>
      <c r="AR437" s="649"/>
      <c r="AS437" s="649"/>
      <c r="AT437" s="649"/>
      <c r="AU437" s="649"/>
      <c r="AV437" s="649"/>
      <c r="AW437" s="649"/>
      <c r="AX437" s="649"/>
      <c r="AY437" s="649"/>
      <c r="AZ437" s="649"/>
      <c r="BA437" s="649"/>
      <c r="BB437" s="649"/>
      <c r="BC437" s="649"/>
      <c r="BD437" s="649"/>
      <c r="BE437" s="649"/>
      <c r="BF437" s="649"/>
      <c r="BG437" s="649"/>
      <c r="BH437" s="649"/>
      <c r="BI437" s="649"/>
      <c r="BJ437" s="649"/>
      <c r="BK437" s="649"/>
      <c r="BL437" s="649"/>
      <c r="BM437" s="649"/>
      <c r="BN437" s="649"/>
      <c r="BO437" s="649"/>
      <c r="BP437" s="649"/>
      <c r="BQ437" s="649"/>
      <c r="BR437" s="649"/>
      <c r="BS437" s="649"/>
      <c r="BT437" s="649"/>
      <c r="BU437" s="649"/>
      <c r="BV437" s="650"/>
    </row>
    <row r="438" spans="2:74" ht="15.75" thickBot="1" x14ac:dyDescent="0.3">
      <c r="B438" s="651"/>
      <c r="C438" s="653"/>
      <c r="D438" s="653"/>
      <c r="E438" s="653"/>
      <c r="F438" s="653"/>
      <c r="G438" s="653"/>
      <c r="H438" s="653"/>
      <c r="I438" s="653"/>
      <c r="J438" s="653"/>
      <c r="K438" s="653"/>
      <c r="L438" s="653"/>
      <c r="M438" s="653"/>
      <c r="N438" s="653"/>
      <c r="O438" s="653"/>
      <c r="P438" s="653"/>
      <c r="Q438" s="653"/>
      <c r="R438" s="653"/>
      <c r="S438" s="653"/>
      <c r="T438" s="1004" t="s">
        <v>695</v>
      </c>
      <c r="U438" s="649" t="s">
        <v>596</v>
      </c>
      <c r="V438" s="999"/>
      <c r="W438" s="1000" t="str">
        <f>Annuitätenzuschuss!B17</f>
        <v>Kreditlaufzeit in Jahren</v>
      </c>
      <c r="X438" s="990"/>
      <c r="Y438" s="990"/>
      <c r="Z438" s="990"/>
      <c r="AA438" s="990" t="str">
        <f>Annuitätenzuschuss!F17</f>
        <v>Kreditlaufzeit</v>
      </c>
      <c r="AB438" s="991" t="str">
        <f>Annuitätenzuschuss!G17</f>
        <v>Tilgung</v>
      </c>
      <c r="AC438" s="653"/>
      <c r="AD438" s="653"/>
      <c r="AE438" s="653"/>
      <c r="AF438" s="1063"/>
      <c r="AG438" s="653"/>
      <c r="AH438" s="653"/>
      <c r="AI438" s="653"/>
      <c r="AJ438" s="653"/>
      <c r="AK438" s="653"/>
      <c r="AL438" s="653"/>
      <c r="AM438" s="653"/>
      <c r="AN438" s="653"/>
      <c r="AO438" s="653"/>
      <c r="AP438" s="653"/>
      <c r="AQ438" s="653"/>
      <c r="AR438" s="653"/>
      <c r="AS438" s="653"/>
      <c r="AT438" s="653"/>
      <c r="AU438" s="653"/>
      <c r="AV438" s="653"/>
      <c r="AW438" s="653"/>
      <c r="AX438" s="653"/>
      <c r="AY438" s="653"/>
      <c r="AZ438" s="653"/>
      <c r="BA438" s="653"/>
      <c r="BB438" s="653"/>
      <c r="BC438" s="653"/>
      <c r="BD438" s="653"/>
      <c r="BE438" s="653"/>
      <c r="BF438" s="653"/>
      <c r="BG438" s="653"/>
      <c r="BH438" s="653"/>
      <c r="BI438" s="653"/>
      <c r="BJ438" s="653"/>
      <c r="BK438" s="653"/>
      <c r="BL438" s="653"/>
      <c r="BM438" s="653"/>
      <c r="BN438" s="653"/>
      <c r="BO438" s="653"/>
      <c r="BP438" s="653"/>
      <c r="BQ438" s="653"/>
      <c r="BR438" s="653"/>
      <c r="BS438" s="653"/>
      <c r="BT438" s="653"/>
      <c r="BU438" s="653"/>
      <c r="BV438" s="654"/>
    </row>
    <row r="439" spans="2:74" x14ac:dyDescent="0.25">
      <c r="B439" s="651"/>
      <c r="C439" s="653"/>
      <c r="D439" s="653"/>
      <c r="E439" s="653"/>
      <c r="F439" s="653"/>
      <c r="G439" s="653"/>
      <c r="H439" s="653"/>
      <c r="I439" s="653"/>
      <c r="J439" s="653"/>
      <c r="K439" s="653"/>
      <c r="L439" s="653"/>
      <c r="M439" s="653"/>
      <c r="N439" s="653"/>
      <c r="O439" s="653"/>
      <c r="P439" s="653"/>
      <c r="Q439" s="653"/>
      <c r="R439" s="653"/>
      <c r="S439" s="653"/>
      <c r="T439" s="653"/>
      <c r="U439" s="1001">
        <f>Annuitätenzuschuss!$C$25</f>
        <v>12</v>
      </c>
      <c r="V439" s="879" t="s">
        <v>371</v>
      </c>
      <c r="W439" s="934" t="str">
        <f>Annuitätenzuschuss!B18</f>
        <v>von</v>
      </c>
      <c r="X439" s="899"/>
      <c r="Y439" s="899" t="str">
        <f>Annuitätenzuschuss!D18</f>
        <v>bis</v>
      </c>
      <c r="Z439" s="899"/>
      <c r="AA439" s="893" t="str">
        <f>Annuitätenzuschuss!F18</f>
        <v>(a)</v>
      </c>
      <c r="AB439" s="992" t="str">
        <f>Annuitätenzuschuss!G18</f>
        <v>(%)</v>
      </c>
      <c r="AC439" s="653"/>
      <c r="AD439" s="653"/>
      <c r="AE439" s="653"/>
      <c r="AF439" s="1063"/>
      <c r="AG439" s="653"/>
      <c r="AH439" s="653"/>
      <c r="AI439" s="653"/>
      <c r="AJ439" s="653"/>
      <c r="AK439" s="653"/>
      <c r="AL439" s="653"/>
      <c r="AM439" s="653"/>
      <c r="AN439" s="653"/>
      <c r="AO439" s="653"/>
      <c r="AP439" s="653"/>
      <c r="AQ439" s="653"/>
      <c r="AR439" s="653"/>
      <c r="AS439" s="653"/>
      <c r="AT439" s="653"/>
      <c r="AU439" s="653"/>
      <c r="AV439" s="653"/>
      <c r="AW439" s="653"/>
      <c r="AX439" s="653"/>
      <c r="AY439" s="653"/>
      <c r="AZ439" s="653"/>
      <c r="BA439" s="653"/>
      <c r="BB439" s="653"/>
      <c r="BC439" s="653"/>
      <c r="BD439" s="653"/>
      <c r="BE439" s="653"/>
      <c r="BF439" s="653"/>
      <c r="BG439" s="653"/>
      <c r="BH439" s="653"/>
      <c r="BI439" s="653"/>
      <c r="BJ439" s="653"/>
      <c r="BK439" s="653"/>
      <c r="BL439" s="653"/>
      <c r="BM439" s="653"/>
      <c r="BN439" s="653"/>
      <c r="BO439" s="653"/>
      <c r="BP439" s="653"/>
      <c r="BQ439" s="653"/>
      <c r="BR439" s="653"/>
      <c r="BS439" s="653"/>
      <c r="BT439" s="653"/>
      <c r="BU439" s="653"/>
      <c r="BV439" s="654"/>
    </row>
    <row r="440" spans="2:74" ht="15.75" thickBot="1" x14ac:dyDescent="0.3">
      <c r="B440" s="651"/>
      <c r="C440" s="653"/>
      <c r="D440" s="653"/>
      <c r="E440" s="653"/>
      <c r="F440" s="653"/>
      <c r="G440" s="653"/>
      <c r="H440" s="653"/>
      <c r="I440" s="653"/>
      <c r="J440" s="653"/>
      <c r="K440" s="653"/>
      <c r="L440" s="653"/>
      <c r="M440" s="653"/>
      <c r="N440" s="653"/>
      <c r="O440" s="653"/>
      <c r="P440" s="653" t="str">
        <f>Annuitätenzuschuss!B7</f>
        <v>Nominalzins Land Vorarlberg AUSGABEN</v>
      </c>
      <c r="Q440" s="960">
        <f>Annuitätenzuschuss!C7</f>
        <v>0.03</v>
      </c>
      <c r="R440" s="653"/>
      <c r="S440" s="653"/>
      <c r="T440" s="653"/>
      <c r="U440" s="651" t="s">
        <v>674</v>
      </c>
      <c r="V440" s="653"/>
      <c r="W440" s="996">
        <f>Annuitätenzuschuss!B19</f>
        <v>1</v>
      </c>
      <c r="X440" s="893" t="str">
        <f>Annuitätenzuschuss!C19</f>
        <v>-</v>
      </c>
      <c r="Y440" s="899">
        <f>Annuitätenzuschuss!D19</f>
        <v>25</v>
      </c>
      <c r="Z440" s="899" t="str">
        <f>Annuitätenzuschuss!E19</f>
        <v/>
      </c>
      <c r="AA440" s="899">
        <f>Annuitätenzuschuss!F19</f>
        <v>25</v>
      </c>
      <c r="AB440" s="993">
        <f>Annuitätenzuschuss!G19</f>
        <v>5.0000000000000001E-3</v>
      </c>
      <c r="AC440" s="1063">
        <f ca="1">IF(OR($S$445="",$S$445=0,Y440=""),"",$S$445*AB440)</f>
        <v>9331.4749999999985</v>
      </c>
      <c r="AD440" s="653"/>
      <c r="AE440" s="653"/>
      <c r="AF440" s="653"/>
      <c r="AG440" s="653"/>
      <c r="AH440" s="653"/>
      <c r="AI440" s="653"/>
      <c r="AJ440" s="653"/>
      <c r="AK440" s="653"/>
      <c r="AL440" s="653"/>
      <c r="AM440" s="653"/>
      <c r="AN440" s="653"/>
      <c r="AO440" s="653"/>
      <c r="AP440" s="653"/>
      <c r="AQ440" s="653"/>
      <c r="AR440" s="653"/>
      <c r="AS440" s="653"/>
      <c r="AT440" s="653"/>
      <c r="AU440" s="653"/>
      <c r="AV440" s="653"/>
      <c r="AW440" s="653"/>
      <c r="AX440" s="653"/>
      <c r="AY440" s="653"/>
      <c r="AZ440" s="653"/>
      <c r="BA440" s="653"/>
      <c r="BB440" s="653"/>
      <c r="BC440" s="653"/>
      <c r="BD440" s="653"/>
      <c r="BE440" s="653"/>
      <c r="BF440" s="653"/>
      <c r="BG440" s="653"/>
      <c r="BH440" s="653"/>
      <c r="BI440" s="653"/>
      <c r="BJ440" s="653"/>
      <c r="BK440" s="653"/>
      <c r="BL440" s="653"/>
      <c r="BM440" s="653"/>
      <c r="BN440" s="653"/>
      <c r="BO440" s="653"/>
      <c r="BP440" s="653"/>
      <c r="BQ440" s="653"/>
      <c r="BR440" s="653"/>
      <c r="BS440" s="653"/>
      <c r="BT440" s="653"/>
      <c r="BU440" s="653"/>
      <c r="BV440" s="654"/>
    </row>
    <row r="441" spans="2:74" x14ac:dyDescent="0.25">
      <c r="B441" s="648"/>
      <c r="C441" s="649"/>
      <c r="D441" s="649"/>
      <c r="E441" s="649"/>
      <c r="F441" s="650"/>
      <c r="G441" s="653"/>
      <c r="H441" s="653"/>
      <c r="I441" s="653"/>
      <c r="J441" s="653"/>
      <c r="K441" s="653"/>
      <c r="L441" s="653"/>
      <c r="M441" s="653"/>
      <c r="N441" s="653"/>
      <c r="O441" s="653"/>
      <c r="P441" s="653" t="s">
        <v>587</v>
      </c>
      <c r="Q441" s="961">
        <f>Annuitätenzuschuss!$C$5</f>
        <v>0.02</v>
      </c>
      <c r="R441" s="653"/>
      <c r="S441" s="653"/>
      <c r="T441" s="653"/>
      <c r="U441" s="968">
        <f>Annuitätenzuschuss!$C$16</f>
        <v>0</v>
      </c>
      <c r="V441" s="653"/>
      <c r="W441" s="996">
        <f>Annuitätenzuschuss!B20</f>
        <v>26</v>
      </c>
      <c r="X441" s="893" t="str">
        <f>Annuitätenzuschuss!C20</f>
        <v>-</v>
      </c>
      <c r="Y441" s="899">
        <f>Annuitätenzuschuss!D20</f>
        <v>45</v>
      </c>
      <c r="Z441" s="899" t="str">
        <f>Annuitätenzuschuss!E20</f>
        <v/>
      </c>
      <c r="AA441" s="899">
        <f>Annuitätenzuschuss!F20</f>
        <v>20</v>
      </c>
      <c r="AB441" s="993">
        <f>Annuitätenzuschuss!G20</f>
        <v>3.5000000000000003E-2</v>
      </c>
      <c r="AC441" s="1063">
        <f ca="1">IF(OR($S$445="",$S$445=0,Y441=""),"",$S$445*AB441)</f>
        <v>65320.324999999997</v>
      </c>
      <c r="AD441" s="653"/>
      <c r="AE441" s="653"/>
      <c r="AF441" s="653"/>
      <c r="AG441" s="653"/>
      <c r="AH441" s="653"/>
      <c r="AI441" s="653"/>
      <c r="AJ441" s="653"/>
      <c r="AK441" s="653"/>
      <c r="AL441" s="653"/>
      <c r="AM441" s="653"/>
      <c r="AN441" s="653"/>
      <c r="AO441" s="653"/>
      <c r="AP441" s="653"/>
      <c r="AQ441" s="653"/>
      <c r="AR441" s="653"/>
      <c r="AS441" s="653"/>
      <c r="AT441" s="653"/>
      <c r="AU441" s="653"/>
      <c r="AV441" s="653"/>
      <c r="AW441" s="653"/>
      <c r="AX441" s="653"/>
      <c r="AY441" s="653"/>
      <c r="AZ441" s="653"/>
      <c r="BA441" s="653"/>
      <c r="BB441" s="653"/>
      <c r="BC441" s="653"/>
      <c r="BD441" s="653"/>
      <c r="BE441" s="653"/>
      <c r="BF441" s="653"/>
      <c r="BG441" s="653"/>
      <c r="BH441" s="653"/>
      <c r="BI441" s="653"/>
      <c r="BJ441" s="653"/>
      <c r="BK441" s="653"/>
      <c r="BL441" s="653"/>
      <c r="BM441" s="653"/>
      <c r="BN441" s="653"/>
      <c r="BO441" s="653"/>
      <c r="BP441" s="653"/>
      <c r="BQ441" s="653"/>
      <c r="BR441" s="653"/>
      <c r="BS441" s="653"/>
      <c r="BT441" s="653"/>
      <c r="BU441" s="653"/>
      <c r="BV441" s="654"/>
    </row>
    <row r="442" spans="2:74" x14ac:dyDescent="0.25">
      <c r="B442" s="651"/>
      <c r="C442" s="653"/>
      <c r="D442" s="653"/>
      <c r="E442" s="653"/>
      <c r="F442" s="654"/>
      <c r="G442" s="653"/>
      <c r="H442" s="653"/>
      <c r="I442" s="653"/>
      <c r="J442" s="653"/>
      <c r="K442" s="653"/>
      <c r="L442" s="653"/>
      <c r="M442" s="653"/>
      <c r="N442" s="653"/>
      <c r="O442" s="653"/>
      <c r="P442" s="653" t="s">
        <v>588</v>
      </c>
      <c r="Q442" s="961">
        <f>Annuitätenzuschuss!$C$6</f>
        <v>0.02</v>
      </c>
      <c r="R442" s="962"/>
      <c r="S442" s="653" t="str">
        <f ca="1">IF(SUM(R445:R448,R450:R451)&gt;R452,"WARNUNG","OK")</f>
        <v>OK</v>
      </c>
      <c r="T442" s="653"/>
      <c r="U442" s="651"/>
      <c r="V442" s="653"/>
      <c r="W442" s="996">
        <f>Annuitätenzuschuss!B21</f>
        <v>46</v>
      </c>
      <c r="X442" s="893" t="str">
        <f>Annuitätenzuschuss!C21</f>
        <v>-</v>
      </c>
      <c r="Y442" s="899">
        <f>Annuitätenzuschuss!D21</f>
        <v>50</v>
      </c>
      <c r="Z442" s="899" t="str">
        <f>Annuitätenzuschuss!E21</f>
        <v/>
      </c>
      <c r="AA442" s="899">
        <f>Annuitätenzuschuss!F21</f>
        <v>5</v>
      </c>
      <c r="AB442" s="993">
        <f>Annuitätenzuschuss!G21</f>
        <v>4.4999999999999998E-2</v>
      </c>
      <c r="AC442" s="1063">
        <f ca="1">IF(OR($S$445="",$S$445=0,Y442=""),"",$S$445*AB442)</f>
        <v>83983.27499999998</v>
      </c>
      <c r="AD442" s="653"/>
      <c r="AE442" s="653"/>
      <c r="AF442" s="653"/>
      <c r="AG442" s="653"/>
      <c r="AH442" s="653"/>
      <c r="AI442" s="653"/>
      <c r="AJ442" s="653"/>
      <c r="AK442" s="653"/>
      <c r="AL442" s="653"/>
      <c r="AM442" s="653"/>
      <c r="AN442" s="653"/>
      <c r="AO442" s="653"/>
      <c r="AP442" s="653"/>
      <c r="AQ442" s="653"/>
      <c r="AR442" s="653"/>
      <c r="AS442" s="653"/>
      <c r="AT442" s="653"/>
      <c r="AU442" s="653"/>
      <c r="AV442" s="653"/>
      <c r="AW442" s="653"/>
      <c r="AX442" s="653"/>
      <c r="AY442" s="653"/>
      <c r="AZ442" s="653"/>
      <c r="BA442" s="653"/>
      <c r="BB442" s="653"/>
      <c r="BC442" s="653"/>
      <c r="BD442" s="653"/>
      <c r="BE442" s="653"/>
      <c r="BF442" s="653"/>
      <c r="BG442" s="653"/>
      <c r="BH442" s="653"/>
      <c r="BI442" s="653"/>
      <c r="BJ442" s="653"/>
      <c r="BK442" s="653"/>
      <c r="BL442" s="653"/>
      <c r="BM442" s="653"/>
      <c r="BN442" s="653"/>
      <c r="BO442" s="653"/>
      <c r="BP442" s="653"/>
      <c r="BQ442" s="653"/>
      <c r="BR442" s="653"/>
      <c r="BS442" s="653"/>
      <c r="BT442" s="653"/>
      <c r="BU442" s="653"/>
      <c r="BV442" s="654"/>
    </row>
    <row r="443" spans="2:74" x14ac:dyDescent="0.25">
      <c r="B443" s="651"/>
      <c r="C443" s="875" t="s">
        <v>589</v>
      </c>
      <c r="D443" s="876"/>
      <c r="E443" s="876"/>
      <c r="F443" s="654"/>
      <c r="G443" s="653"/>
      <c r="H443" s="653"/>
      <c r="I443" s="691"/>
      <c r="J443" s="691"/>
      <c r="K443" s="653"/>
      <c r="L443" s="653"/>
      <c r="M443" s="653"/>
      <c r="N443" s="653"/>
      <c r="O443" s="653"/>
      <c r="P443" s="898" t="s">
        <v>200</v>
      </c>
      <c r="Q443" s="963">
        <f>Annuitätenzuschuss!$C$8</f>
        <v>35</v>
      </c>
      <c r="R443" s="653" t="s">
        <v>161</v>
      </c>
      <c r="S443" s="653"/>
      <c r="T443" s="653"/>
      <c r="U443" s="651"/>
      <c r="V443" s="653"/>
      <c r="W443" s="996" t="str">
        <f>Annuitätenzuschuss!B22</f>
        <v/>
      </c>
      <c r="X443" s="893" t="str">
        <f>Annuitätenzuschuss!C22</f>
        <v>-</v>
      </c>
      <c r="Y443" s="899">
        <f>Annuitätenzuschuss!D22</f>
        <v>0</v>
      </c>
      <c r="Z443" s="899" t="str">
        <f>Annuitätenzuschuss!E22</f>
        <v/>
      </c>
      <c r="AA443" s="899">
        <f>Annuitätenzuschuss!F22</f>
        <v>0</v>
      </c>
      <c r="AB443" s="993">
        <f>Annuitätenzuschuss!G22</f>
        <v>0</v>
      </c>
      <c r="AC443" s="1063">
        <f ca="1">IF(OR($S$445="",$S$445=0,Y443=""),"",$S$445*AB443)</f>
        <v>0</v>
      </c>
      <c r="AD443" s="653"/>
      <c r="AE443" s="653"/>
      <c r="AF443" s="653"/>
      <c r="AG443" s="653"/>
      <c r="AH443" s="653"/>
      <c r="AI443" s="653"/>
      <c r="AJ443" s="653"/>
      <c r="AK443" s="653"/>
      <c r="AL443" s="653"/>
      <c r="AM443" s="653"/>
      <c r="AN443" s="653"/>
      <c r="AO443" s="653"/>
      <c r="AP443" s="653"/>
      <c r="AQ443" s="653"/>
      <c r="AR443" s="653"/>
      <c r="AS443" s="653"/>
      <c r="AT443" s="653"/>
      <c r="AU443" s="653"/>
      <c r="AV443" s="653"/>
      <c r="AW443" s="653"/>
      <c r="AX443" s="653"/>
      <c r="AY443" s="653"/>
      <c r="AZ443" s="653"/>
      <c r="BA443" s="653"/>
      <c r="BB443" s="653"/>
      <c r="BC443" s="653"/>
      <c r="BD443" s="653"/>
      <c r="BE443" s="653"/>
      <c r="BF443" s="653"/>
      <c r="BG443" s="653"/>
      <c r="BH443" s="653"/>
      <c r="BI443" s="653"/>
      <c r="BJ443" s="653"/>
      <c r="BK443" s="653"/>
      <c r="BL443" s="653"/>
      <c r="BM443" s="653"/>
      <c r="BN443" s="653"/>
      <c r="BO443" s="653"/>
      <c r="BP443" s="653"/>
      <c r="BQ443" s="653"/>
      <c r="BR443" s="653"/>
      <c r="BS443" s="653"/>
      <c r="BT443" s="653"/>
      <c r="BU443" s="653"/>
      <c r="BV443" s="654"/>
    </row>
    <row r="444" spans="2:74" ht="15.75" thickBot="1" x14ac:dyDescent="0.3">
      <c r="B444" s="651"/>
      <c r="C444" s="877" t="e">
        <f ca="1">-(-AJ509/(1+$Q$442)^M509-AC509/(1+$Q$442)^M509)</f>
        <v>#VALUE!</v>
      </c>
      <c r="D444" s="876"/>
      <c r="E444" s="876"/>
      <c r="F444" s="654"/>
      <c r="G444" s="653"/>
      <c r="H444" s="653"/>
      <c r="I444" s="691"/>
      <c r="J444" s="691"/>
      <c r="K444" s="653"/>
      <c r="L444" s="653"/>
      <c r="M444" s="653"/>
      <c r="N444" s="653" t="s">
        <v>590</v>
      </c>
      <c r="O444" s="653"/>
      <c r="P444" s="653"/>
      <c r="Q444" s="653"/>
      <c r="R444" s="653"/>
      <c r="S444" s="653" t="s">
        <v>591</v>
      </c>
      <c r="T444" s="653"/>
      <c r="U444" s="680"/>
      <c r="V444" s="681"/>
      <c r="W444" s="1002" t="str">
        <f>Annuitätenzuschuss!B23</f>
        <v/>
      </c>
      <c r="X444" s="1003" t="str">
        <f>Annuitätenzuschuss!C23</f>
        <v>-</v>
      </c>
      <c r="Y444" s="994">
        <f>Annuitätenzuschuss!D23</f>
        <v>0</v>
      </c>
      <c r="Z444" s="994" t="str">
        <f>Annuitätenzuschuss!E23</f>
        <v/>
      </c>
      <c r="AA444" s="994">
        <f>Annuitätenzuschuss!F23</f>
        <v>0</v>
      </c>
      <c r="AB444" s="995">
        <f>Annuitätenzuschuss!G23</f>
        <v>0</v>
      </c>
      <c r="AC444" s="1063">
        <f ca="1">IF(OR($S$445="",$S$445=0,Y444=""),"",$S$445*AB444)</f>
        <v>0</v>
      </c>
      <c r="AD444" s="653"/>
      <c r="AE444" s="653"/>
      <c r="AF444" s="653"/>
      <c r="AG444" s="653"/>
      <c r="AH444" s="653"/>
      <c r="AI444" s="653"/>
      <c r="AJ444" s="653"/>
      <c r="AK444" s="653"/>
      <c r="AL444" s="653"/>
      <c r="AM444" s="653"/>
      <c r="AN444" s="653"/>
      <c r="AO444" s="653"/>
      <c r="AP444" s="653"/>
      <c r="AQ444" s="653"/>
      <c r="AR444" s="653"/>
      <c r="AS444" s="653"/>
      <c r="AT444" s="653"/>
      <c r="AU444" s="653"/>
      <c r="AV444" s="653"/>
      <c r="AW444" s="653"/>
      <c r="AX444" s="653"/>
      <c r="AY444" s="653"/>
      <c r="AZ444" s="653"/>
      <c r="BA444" s="653"/>
      <c r="BB444" s="653"/>
      <c r="BC444" s="653"/>
      <c r="BD444" s="653"/>
      <c r="BE444" s="653"/>
      <c r="BF444" s="653"/>
      <c r="BG444" s="653"/>
      <c r="BH444" s="653"/>
      <c r="BI444" s="653"/>
      <c r="BJ444" s="653"/>
      <c r="BK444" s="653"/>
      <c r="BL444" s="653"/>
      <c r="BM444" s="653"/>
      <c r="BN444" s="653"/>
      <c r="BO444" s="653"/>
      <c r="BP444" s="653"/>
      <c r="BQ444" s="653"/>
      <c r="BR444" s="653"/>
      <c r="BS444" s="653"/>
      <c r="BT444" s="653"/>
      <c r="BU444" s="653"/>
      <c r="BV444" s="654"/>
    </row>
    <row r="445" spans="2:74" x14ac:dyDescent="0.25">
      <c r="B445" s="651"/>
      <c r="C445" s="876"/>
      <c r="D445" s="876"/>
      <c r="E445" s="876"/>
      <c r="F445" s="654"/>
      <c r="G445" s="653"/>
      <c r="H445" s="653" t="s">
        <v>592</v>
      </c>
      <c r="I445" s="653"/>
      <c r="J445" s="653"/>
      <c r="K445" s="653"/>
      <c r="L445" s="653"/>
      <c r="M445" s="653"/>
      <c r="N445" s="653" t="s">
        <v>593</v>
      </c>
      <c r="O445" s="653"/>
      <c r="P445" s="964">
        <f>Annuitätenzuschuss!D457</f>
        <v>1450</v>
      </c>
      <c r="Q445" s="653" t="s">
        <v>68</v>
      </c>
      <c r="R445" s="965">
        <f>P445*I451</f>
        <v>1866294.9999999998</v>
      </c>
      <c r="S445" s="965">
        <f ca="1">IF(R449&lt;0,R445+R449,R445)</f>
        <v>1866294.9999999998</v>
      </c>
      <c r="T445" s="966"/>
      <c r="U445" s="653" t="s">
        <v>594</v>
      </c>
      <c r="V445" s="653" t="s">
        <v>595</v>
      </c>
      <c r="W445" s="653"/>
      <c r="X445" s="691"/>
      <c r="Y445" s="653"/>
      <c r="AB445" s="653"/>
      <c r="AC445" s="653"/>
      <c r="AD445" s="653"/>
      <c r="AE445" s="653"/>
      <c r="AF445" s="653"/>
      <c r="AG445" s="653"/>
      <c r="AH445" s="653"/>
      <c r="AI445" s="653"/>
      <c r="AJ445" s="653"/>
      <c r="AK445" s="653"/>
      <c r="AL445" s="653"/>
      <c r="AM445" s="653"/>
      <c r="AN445" s="653"/>
      <c r="AO445" s="653"/>
      <c r="AP445" s="653"/>
      <c r="AQ445" s="653"/>
      <c r="AR445" s="653"/>
      <c r="AS445" s="653"/>
      <c r="AT445" s="653"/>
      <c r="AU445" s="653"/>
      <c r="AV445" s="653"/>
      <c r="AW445" s="653"/>
      <c r="AX445" s="653"/>
      <c r="AY445" s="653"/>
      <c r="AZ445" s="653"/>
      <c r="BA445" s="653"/>
      <c r="BB445" s="653"/>
      <c r="BC445" s="653"/>
      <c r="BD445" s="653"/>
      <c r="BE445" s="653"/>
      <c r="BF445" s="653"/>
      <c r="BG445" s="653"/>
      <c r="BH445" s="653"/>
      <c r="BI445" s="653"/>
      <c r="BJ445" s="653"/>
      <c r="BK445" s="653"/>
      <c r="BL445" s="653"/>
      <c r="BM445" s="653"/>
      <c r="BN445" s="653"/>
      <c r="BO445" s="653"/>
      <c r="BP445" s="653"/>
      <c r="BQ445" s="653"/>
      <c r="BR445" s="653"/>
      <c r="BS445" s="653"/>
      <c r="BT445" s="653"/>
      <c r="BU445" s="653"/>
      <c r="BV445" s="654"/>
    </row>
    <row r="446" spans="2:74" x14ac:dyDescent="0.25">
      <c r="B446" s="651"/>
      <c r="C446" s="875" t="s">
        <v>597</v>
      </c>
      <c r="D446" s="876"/>
      <c r="E446" s="876"/>
      <c r="F446" s="654"/>
      <c r="G446" s="653"/>
      <c r="H446" s="653" t="s">
        <v>598</v>
      </c>
      <c r="I446" s="962">
        <f ca="1">K446/$I$451</f>
        <v>335.63825654572298</v>
      </c>
      <c r="J446" s="653" t="s">
        <v>68</v>
      </c>
      <c r="K446" s="964">
        <f ca="1">D455</f>
        <v>432000</v>
      </c>
      <c r="L446" s="653" t="s">
        <v>363</v>
      </c>
      <c r="M446" s="653"/>
      <c r="N446" s="653" t="s">
        <v>599</v>
      </c>
      <c r="O446" s="653"/>
      <c r="P446" s="653"/>
      <c r="Q446" s="653"/>
      <c r="R446" s="965">
        <f ca="1">IF(K448-R445-R447-R448-R450-R451&lt;=0,0,K448-R445-R447-R448-R450-R451)</f>
        <v>1597852.9312</v>
      </c>
      <c r="S446" s="965">
        <f ca="1">R446</f>
        <v>1597852.9312</v>
      </c>
      <c r="T446" s="966"/>
      <c r="U446" s="967"/>
      <c r="W446" s="998"/>
      <c r="X446" s="691"/>
      <c r="Y446" s="653"/>
      <c r="AB446" s="653"/>
      <c r="AC446" s="653"/>
      <c r="AD446" s="969"/>
      <c r="AE446" s="969"/>
      <c r="AF446" s="969"/>
      <c r="AG446" s="969"/>
      <c r="AH446" s="653"/>
      <c r="AI446" s="653"/>
      <c r="AJ446" s="653"/>
      <c r="AK446" s="653"/>
      <c r="AL446" s="653"/>
      <c r="AM446" s="653"/>
      <c r="AN446" s="653"/>
      <c r="AO446" s="653"/>
      <c r="AP446" s="653"/>
      <c r="AQ446" s="653"/>
      <c r="AR446" s="653"/>
      <c r="AS446" s="653"/>
      <c r="AT446" s="653"/>
      <c r="AU446" s="653"/>
      <c r="AV446" s="653"/>
      <c r="AW446" s="653"/>
      <c r="AX446" s="653"/>
      <c r="AY446" s="653"/>
      <c r="AZ446" s="653"/>
      <c r="BA446" s="653"/>
      <c r="BB446" s="653"/>
      <c r="BC446" s="653"/>
      <c r="BD446" s="653"/>
      <c r="BE446" s="653"/>
      <c r="BF446" s="653"/>
      <c r="BG446" s="653"/>
      <c r="BH446" s="653"/>
      <c r="BI446" s="653"/>
      <c r="BJ446" s="653"/>
      <c r="BK446" s="653"/>
      <c r="BL446" s="653"/>
      <c r="BM446" s="653"/>
      <c r="BN446" s="653"/>
      <c r="BO446" s="653"/>
      <c r="BP446" s="653"/>
      <c r="BQ446" s="653"/>
      <c r="BR446" s="653"/>
      <c r="BS446" s="653"/>
      <c r="BT446" s="653"/>
      <c r="BU446" s="653"/>
      <c r="BV446" s="654"/>
    </row>
    <row r="447" spans="2:74" x14ac:dyDescent="0.25">
      <c r="B447" s="651"/>
      <c r="C447" s="877">
        <f ca="1">SUM(AF459:AF509)</f>
        <v>36910.899739064429</v>
      </c>
      <c r="D447" s="876"/>
      <c r="E447" s="876"/>
      <c r="F447" s="654"/>
      <c r="G447" s="653"/>
      <c r="H447" s="880" t="s">
        <v>600</v>
      </c>
      <c r="I447" s="881">
        <f ca="1">K447/$I$451</f>
        <v>2905.3044021443557</v>
      </c>
      <c r="J447" s="880" t="s">
        <v>68</v>
      </c>
      <c r="K447" s="882">
        <f ca="1">K448-K446</f>
        <v>3739417.2959999996</v>
      </c>
      <c r="L447" s="880" t="s">
        <v>363</v>
      </c>
      <c r="M447" s="653"/>
      <c r="N447" s="653" t="s">
        <v>601</v>
      </c>
      <c r="O447" s="653"/>
      <c r="P447" s="970">
        <f>Annuitätenzuschuss!$C$9</f>
        <v>1</v>
      </c>
      <c r="Q447" s="653" t="s">
        <v>602</v>
      </c>
      <c r="R447" s="965">
        <f ca="1">K446*P447</f>
        <v>432000</v>
      </c>
      <c r="S447" s="965">
        <f ca="1">R447</f>
        <v>432000</v>
      </c>
      <c r="T447" s="653"/>
      <c r="U447" s="968">
        <f>Annuitätenzuschuss!$C$13</f>
        <v>0.03</v>
      </c>
      <c r="V447" s="899">
        <f>Annuitätenzuschuss!$C$14</f>
        <v>25</v>
      </c>
      <c r="W447" s="653" t="s">
        <v>161</v>
      </c>
      <c r="X447" s="691"/>
      <c r="Y447" s="653"/>
      <c r="Z447" s="653"/>
      <c r="AA447" s="1063"/>
      <c r="AB447" s="653"/>
      <c r="AC447" s="653"/>
      <c r="AD447" s="653"/>
      <c r="AE447" s="653"/>
      <c r="AF447" s="653"/>
      <c r="AG447" s="653"/>
      <c r="AH447" s="653"/>
      <c r="AI447" s="653"/>
      <c r="AJ447" s="653"/>
      <c r="AK447" s="653"/>
      <c r="AL447" s="653"/>
      <c r="AM447" s="653"/>
      <c r="AN447" s="653"/>
      <c r="AO447" s="653"/>
      <c r="AP447" s="653"/>
      <c r="AQ447" s="653"/>
      <c r="AR447" s="653"/>
      <c r="AS447" s="653"/>
      <c r="AT447" s="653"/>
      <c r="AU447" s="653"/>
      <c r="AV447" s="653"/>
      <c r="AW447" s="653"/>
      <c r="AX447" s="653"/>
      <c r="AY447" s="653"/>
      <c r="AZ447" s="653"/>
      <c r="BA447" s="653"/>
      <c r="BB447" s="653"/>
      <c r="BC447" s="653"/>
      <c r="BD447" s="653"/>
      <c r="BE447" s="653"/>
      <c r="BF447" s="653"/>
      <c r="BG447" s="653"/>
      <c r="BH447" s="653"/>
      <c r="BI447" s="653"/>
      <c r="BJ447" s="653"/>
      <c r="BK447" s="653"/>
      <c r="BL447" s="653"/>
      <c r="BM447" s="653"/>
      <c r="BN447" s="653"/>
      <c r="BO447" s="653"/>
      <c r="BP447" s="653"/>
      <c r="BQ447" s="653"/>
      <c r="BR447" s="653"/>
      <c r="BS447" s="653"/>
      <c r="BT447" s="653"/>
      <c r="BU447" s="653"/>
      <c r="BV447" s="654"/>
    </row>
    <row r="448" spans="2:74" ht="23.25" x14ac:dyDescent="0.35">
      <c r="B448" s="651"/>
      <c r="C448" s="884" t="s">
        <v>603</v>
      </c>
      <c r="D448" s="885"/>
      <c r="E448" s="885"/>
      <c r="F448" s="654"/>
      <c r="G448" s="653"/>
      <c r="H448" s="653" t="s">
        <v>604</v>
      </c>
      <c r="I448" s="962">
        <f ca="1">K448/$I$451</f>
        <v>3240.9426586900786</v>
      </c>
      <c r="J448" s="653" t="s">
        <v>68</v>
      </c>
      <c r="K448" s="964">
        <f ca="1">Annuitätenzuschuss!D454</f>
        <v>4171417.2959999996</v>
      </c>
      <c r="L448" s="653" t="s">
        <v>363</v>
      </c>
      <c r="M448" s="653"/>
      <c r="N448" s="653" t="s">
        <v>605</v>
      </c>
      <c r="O448" s="653"/>
      <c r="P448" s="970">
        <f>Annuitätenzuschuss!$C$11</f>
        <v>0.05</v>
      </c>
      <c r="Q448" s="653" t="str">
        <f>IF($F$11="Prozent","%Baukosten","AbsoluterWert")</f>
        <v>%Baukosten</v>
      </c>
      <c r="R448" s="965">
        <f ca="1">IF($F$11="Prozent",K447*P448,P448)</f>
        <v>186970.86479999998</v>
      </c>
      <c r="S448" s="965">
        <f ca="1">R448</f>
        <v>186970.86479999998</v>
      </c>
      <c r="T448" s="898" t="s">
        <v>205</v>
      </c>
      <c r="U448" s="968">
        <f>Annuitätenzuschuss!$C$10</f>
        <v>0</v>
      </c>
      <c r="V448" s="971">
        <v>2000</v>
      </c>
      <c r="W448" s="653" t="s">
        <v>606</v>
      </c>
      <c r="X448" s="691"/>
      <c r="Y448" s="653" t="s">
        <v>607</v>
      </c>
      <c r="Z448" s="653"/>
      <c r="AA448" s="1063"/>
      <c r="AB448" s="653"/>
      <c r="AC448" s="653"/>
      <c r="AD448" s="653"/>
      <c r="AE448" s="653"/>
      <c r="AF448" s="653"/>
      <c r="AG448" s="653"/>
      <c r="AH448" s="653"/>
      <c r="AI448" s="653"/>
      <c r="AJ448" s="653"/>
      <c r="AK448" s="653"/>
      <c r="AL448" s="653"/>
      <c r="AM448" s="653"/>
      <c r="AN448" s="653"/>
      <c r="AO448" s="653"/>
      <c r="AP448" s="653"/>
      <c r="AQ448" s="653"/>
      <c r="AR448" s="653"/>
      <c r="AS448" s="653"/>
      <c r="AT448" s="653"/>
      <c r="AU448" s="653"/>
      <c r="AV448" s="653"/>
      <c r="AW448" s="653"/>
      <c r="AX448" s="653"/>
      <c r="AY448" s="653"/>
      <c r="AZ448" s="653"/>
      <c r="BA448" s="653"/>
      <c r="BB448" s="653"/>
      <c r="BC448" s="653"/>
      <c r="BD448" s="653"/>
      <c r="BE448" s="653"/>
      <c r="BF448" s="653"/>
      <c r="BG448" s="653"/>
      <c r="BH448" s="653"/>
      <c r="BI448" s="653"/>
      <c r="BJ448" s="653"/>
      <c r="BK448" s="653"/>
      <c r="BL448" s="653"/>
      <c r="BM448" s="653"/>
      <c r="BN448" s="653"/>
      <c r="BO448" s="653"/>
      <c r="BP448" s="653"/>
      <c r="BQ448" s="653"/>
      <c r="BR448" s="653"/>
      <c r="BS448" s="653"/>
      <c r="BT448" s="653"/>
      <c r="BU448" s="653"/>
      <c r="BV448" s="654"/>
    </row>
    <row r="449" spans="2:74" ht="23.25" x14ac:dyDescent="0.35">
      <c r="B449" s="651"/>
      <c r="C449" s="886">
        <f ca="1">AL456</f>
        <v>-517578.25642380217</v>
      </c>
      <c r="D449" s="885"/>
      <c r="E449" s="885"/>
      <c r="F449" s="654"/>
      <c r="G449" s="653"/>
      <c r="H449" s="653"/>
      <c r="I449" s="653"/>
      <c r="J449" s="653"/>
      <c r="K449" s="653"/>
      <c r="L449" s="653"/>
      <c r="M449" s="653"/>
      <c r="N449" s="653" t="s">
        <v>608</v>
      </c>
      <c r="O449" s="653"/>
      <c r="P449" s="653"/>
      <c r="Q449" s="653"/>
      <c r="R449" s="962">
        <f ca="1">IF(SUM(R445:R448,R450:R451)-K448&gt;0,-SUM(R445:R448,R450:R451)+K448,0)</f>
        <v>0</v>
      </c>
      <c r="S449" s="653"/>
      <c r="T449" s="898" t="s">
        <v>205</v>
      </c>
      <c r="U449" s="968">
        <f>Annuitätenzuschuss!$C$12</f>
        <v>0.02</v>
      </c>
      <c r="V449" s="971">
        <f ca="1">IF(S448=0,0,NPER(U449,-(U449+$Q$441)*S448,S448))</f>
        <v>35.002788781146499</v>
      </c>
      <c r="W449" s="653" t="s">
        <v>606</v>
      </c>
      <c r="X449" s="653"/>
      <c r="Y449" s="653" t="s">
        <v>609</v>
      </c>
      <c r="Z449" s="653"/>
      <c r="AA449" s="1063"/>
      <c r="AB449" s="653"/>
      <c r="AC449" s="653"/>
      <c r="AD449" s="653"/>
      <c r="AE449" s="653"/>
      <c r="AF449" s="653"/>
      <c r="AG449" s="653"/>
      <c r="AH449" s="653"/>
      <c r="AI449" s="653"/>
      <c r="AJ449" s="653"/>
      <c r="AK449" s="653"/>
      <c r="AL449" s="653"/>
      <c r="AM449" s="653"/>
      <c r="AN449" s="653"/>
      <c r="AO449" s="653"/>
      <c r="AP449" s="653"/>
      <c r="AQ449" s="653"/>
      <c r="AR449" s="653"/>
      <c r="AS449" s="653"/>
      <c r="AT449" s="653"/>
      <c r="AU449" s="653"/>
      <c r="AV449" s="653"/>
      <c r="AW449" s="653"/>
      <c r="AX449" s="653"/>
      <c r="AY449" s="653"/>
      <c r="AZ449" s="653"/>
      <c r="BA449" s="653"/>
      <c r="BB449" s="653"/>
      <c r="BC449" s="653"/>
      <c r="BD449" s="653"/>
      <c r="BE449" s="653"/>
      <c r="BF449" s="653"/>
      <c r="BG449" s="653"/>
      <c r="BH449" s="653"/>
      <c r="BI449" s="653"/>
      <c r="BJ449" s="653"/>
      <c r="BK449" s="653"/>
      <c r="BL449" s="653"/>
      <c r="BM449" s="653"/>
      <c r="BN449" s="653"/>
      <c r="BO449" s="653"/>
      <c r="BP449" s="653"/>
      <c r="BQ449" s="653"/>
      <c r="BR449" s="653"/>
      <c r="BS449" s="653"/>
      <c r="BT449" s="653"/>
      <c r="BU449" s="653"/>
      <c r="BV449" s="654"/>
    </row>
    <row r="450" spans="2:74" x14ac:dyDescent="0.25">
      <c r="B450" s="651"/>
      <c r="C450" s="653"/>
      <c r="D450" s="653"/>
      <c r="E450" s="653"/>
      <c r="F450" s="654"/>
      <c r="G450" s="653"/>
      <c r="H450" s="653" t="s">
        <v>610</v>
      </c>
      <c r="I450" s="653"/>
      <c r="J450" s="653"/>
      <c r="K450" s="653"/>
      <c r="L450" s="653"/>
      <c r="M450" s="653"/>
      <c r="N450" s="653" t="s">
        <v>611</v>
      </c>
      <c r="O450" s="653"/>
      <c r="P450" s="653"/>
      <c r="Q450" s="653"/>
      <c r="R450" s="964">
        <f>D458</f>
        <v>43250</v>
      </c>
      <c r="S450" s="965">
        <f>R450</f>
        <v>43250</v>
      </c>
      <c r="T450" s="653"/>
      <c r="U450" s="653"/>
      <c r="V450" s="653"/>
      <c r="W450" s="653"/>
      <c r="X450" s="653"/>
      <c r="Y450" s="653"/>
      <c r="Z450" s="653"/>
      <c r="AA450" s="1063"/>
      <c r="AB450" s="653"/>
      <c r="AC450" s="653"/>
      <c r="AD450" s="653"/>
      <c r="AE450" s="653"/>
      <c r="AF450" s="653"/>
      <c r="AG450" s="653"/>
      <c r="AH450" s="653"/>
      <c r="AI450" s="653"/>
      <c r="AJ450" s="653"/>
      <c r="AK450" s="653"/>
      <c r="AL450" s="653"/>
      <c r="AM450" s="653"/>
      <c r="AN450" s="653"/>
      <c r="AO450" s="653"/>
      <c r="AP450" s="653"/>
      <c r="AQ450" s="653"/>
      <c r="AR450" s="653"/>
      <c r="AS450" s="653"/>
      <c r="AT450" s="653"/>
      <c r="AU450" s="653"/>
      <c r="AV450" s="653"/>
      <c r="AW450" s="653"/>
      <c r="AX450" s="653"/>
      <c r="AY450" s="653"/>
      <c r="AZ450" s="653"/>
      <c r="BA450" s="653"/>
      <c r="BB450" s="653"/>
      <c r="BC450" s="653"/>
      <c r="BD450" s="653"/>
      <c r="BE450" s="653"/>
      <c r="BF450" s="653"/>
      <c r="BG450" s="653"/>
      <c r="BH450" s="653"/>
      <c r="BI450" s="653"/>
      <c r="BJ450" s="653"/>
      <c r="BK450" s="653"/>
      <c r="BL450" s="653"/>
      <c r="BM450" s="653"/>
      <c r="BN450" s="653"/>
      <c r="BO450" s="653"/>
      <c r="BP450" s="653"/>
      <c r="BQ450" s="653"/>
      <c r="BR450" s="653"/>
      <c r="BS450" s="653"/>
      <c r="BT450" s="653"/>
      <c r="BU450" s="653"/>
      <c r="BV450" s="654"/>
    </row>
    <row r="451" spans="2:74" ht="15.75" thickBot="1" x14ac:dyDescent="0.3">
      <c r="B451" s="680"/>
      <c r="C451" s="681"/>
      <c r="D451" s="681"/>
      <c r="E451" s="681"/>
      <c r="F451" s="666"/>
      <c r="G451" s="653"/>
      <c r="H451" s="653" t="s">
        <v>361</v>
      </c>
      <c r="I451" s="983">
        <f>D456</f>
        <v>1287.0999999999999</v>
      </c>
      <c r="J451" s="653" t="s">
        <v>67</v>
      </c>
      <c r="K451" s="653"/>
      <c r="L451" s="653"/>
      <c r="M451" s="653"/>
      <c r="N451" s="880" t="s">
        <v>612</v>
      </c>
      <c r="O451" s="880"/>
      <c r="P451" s="887">
        <f>Annuitätenzuschuss!$C$15</f>
        <v>35</v>
      </c>
      <c r="Q451" s="880" t="s">
        <v>68</v>
      </c>
      <c r="R451" s="888">
        <f>P451*I451</f>
        <v>45048.5</v>
      </c>
      <c r="S451" s="965">
        <f>R451</f>
        <v>45048.5</v>
      </c>
      <c r="T451" s="653"/>
      <c r="U451" s="878" t="s">
        <v>613</v>
      </c>
      <c r="V451" s="889"/>
      <c r="W451" s="889"/>
      <c r="X451" s="889"/>
      <c r="Y451" s="890"/>
      <c r="Z451" s="889"/>
      <c r="AA451" s="889"/>
      <c r="AB451" s="889"/>
      <c r="AC451" s="889"/>
      <c r="AD451" s="891"/>
      <c r="AE451" s="653"/>
      <c r="AF451" s="653"/>
      <c r="AG451" s="653"/>
      <c r="AH451" s="653"/>
      <c r="AI451" s="653"/>
      <c r="AJ451" s="653"/>
      <c r="AK451" s="653"/>
      <c r="AL451" s="653"/>
      <c r="AM451" s="653"/>
      <c r="AN451" s="653"/>
      <c r="AO451" s="653"/>
      <c r="AP451" s="653"/>
      <c r="AQ451" s="653"/>
      <c r="AR451" s="653"/>
      <c r="AS451" s="653"/>
      <c r="AT451" s="653"/>
      <c r="AU451" s="653"/>
      <c r="AV451" s="653"/>
      <c r="AW451" s="653"/>
      <c r="AX451" s="653"/>
      <c r="AY451" s="653"/>
      <c r="AZ451" s="653"/>
      <c r="BA451" s="653"/>
      <c r="BB451" s="653"/>
      <c r="BC451" s="653"/>
      <c r="BD451" s="653"/>
      <c r="BE451" s="653"/>
      <c r="BF451" s="653"/>
      <c r="BG451" s="653"/>
      <c r="BH451" s="653"/>
      <c r="BI451" s="653"/>
      <c r="BJ451" s="653"/>
      <c r="BK451" s="653"/>
      <c r="BL451" s="653"/>
      <c r="BM451" s="653"/>
      <c r="BN451" s="653"/>
      <c r="BO451" s="653"/>
      <c r="BP451" s="653"/>
      <c r="BQ451" s="653"/>
      <c r="BR451" s="653"/>
      <c r="BS451" s="653"/>
      <c r="BT451" s="653"/>
      <c r="BU451" s="653"/>
      <c r="BV451" s="654"/>
    </row>
    <row r="452" spans="2:74" ht="19.5" thickBot="1" x14ac:dyDescent="0.3">
      <c r="B452" s="651"/>
      <c r="C452" s="653"/>
      <c r="D452" s="653"/>
      <c r="E452" s="653"/>
      <c r="F452" s="653"/>
      <c r="G452" s="653"/>
      <c r="H452" s="653"/>
      <c r="I452" s="653"/>
      <c r="J452" s="653"/>
      <c r="K452" s="653"/>
      <c r="L452" s="653"/>
      <c r="M452" s="653"/>
      <c r="N452" s="653"/>
      <c r="O452" s="653"/>
      <c r="P452" s="653"/>
      <c r="Q452" s="653"/>
      <c r="R452" s="962">
        <f ca="1">SUM(R445:R451)</f>
        <v>4171417.2959999996</v>
      </c>
      <c r="S452" s="965">
        <f ca="1">SUM(S445:S451)</f>
        <v>4171417.2959999996</v>
      </c>
      <c r="T452" s="965"/>
      <c r="U452" s="892"/>
      <c r="V452" s="653" t="s">
        <v>614</v>
      </c>
      <c r="W452" s="653"/>
      <c r="X452" s="653"/>
      <c r="Y452" s="893">
        <f>Annuitätenzuschuss!$C$27</f>
        <v>5.0199999999999996</v>
      </c>
      <c r="Z452" s="653" t="s">
        <v>615</v>
      </c>
      <c r="AA452" s="876"/>
      <c r="AB452" s="876"/>
      <c r="AC452" s="894" t="s">
        <v>616</v>
      </c>
      <c r="AD452" s="895">
        <f ca="1">VLOOKUP($V$460,AM460:AN559,2,FALSE)-1</f>
        <v>49</v>
      </c>
      <c r="AE452" s="896"/>
      <c r="AF452" s="896"/>
      <c r="AG452" s="896"/>
      <c r="AH452" s="653"/>
      <c r="AI452" s="1705" t="s">
        <v>700</v>
      </c>
      <c r="AJ452" s="1705"/>
      <c r="AK452" s="1705"/>
      <c r="AL452" s="1705"/>
      <c r="AM452" s="653"/>
      <c r="AN452" s="653"/>
      <c r="AO452" s="1706" t="s">
        <v>700</v>
      </c>
      <c r="AP452" s="1706"/>
      <c r="AQ452" s="1706"/>
      <c r="AR452" s="653"/>
      <c r="AS452" s="653"/>
      <c r="AT452" s="653"/>
      <c r="AU452" s="653"/>
      <c r="AV452" s="653"/>
      <c r="AW452" s="653"/>
      <c r="AX452" s="653"/>
      <c r="AY452" s="653"/>
      <c r="AZ452" s="653"/>
      <c r="BA452" s="653"/>
      <c r="BB452" s="653"/>
      <c r="BC452" s="653"/>
      <c r="BD452" s="653"/>
      <c r="BE452" s="653"/>
      <c r="BF452" s="653"/>
      <c r="BG452" s="653"/>
      <c r="BH452" s="653"/>
      <c r="BI452" s="653"/>
      <c r="BJ452" s="653"/>
      <c r="BK452" s="653"/>
      <c r="BL452" s="653"/>
      <c r="BM452" s="653"/>
      <c r="BN452" s="653"/>
      <c r="BO452" s="653"/>
      <c r="BP452" s="653"/>
      <c r="BQ452" s="653"/>
      <c r="BR452" s="653"/>
      <c r="BS452" s="653"/>
      <c r="BT452" s="653"/>
      <c r="BU452" s="653"/>
      <c r="BV452" s="654"/>
    </row>
    <row r="453" spans="2:74" ht="27" thickBot="1" x14ac:dyDescent="0.45">
      <c r="B453" s="651"/>
      <c r="C453" s="1707" t="s">
        <v>693</v>
      </c>
      <c r="D453" s="1708"/>
      <c r="E453" s="1709"/>
      <c r="F453" s="653"/>
      <c r="G453" s="653"/>
      <c r="H453" s="653"/>
      <c r="I453" s="653"/>
      <c r="J453" s="653"/>
      <c r="K453" s="653"/>
      <c r="L453" s="653"/>
      <c r="M453" s="653"/>
      <c r="N453" s="653"/>
      <c r="O453" s="653"/>
      <c r="P453" s="653"/>
      <c r="Q453" s="653"/>
      <c r="R453" s="653"/>
      <c r="S453" s="965"/>
      <c r="T453" s="691"/>
      <c r="U453" s="897"/>
      <c r="V453" s="898" t="s">
        <v>617</v>
      </c>
      <c r="W453" s="899">
        <f>Annuitätenzuschuss!$C$26</f>
        <v>25</v>
      </c>
      <c r="X453" s="653" t="s">
        <v>481</v>
      </c>
      <c r="Y453" s="1063"/>
      <c r="Z453" s="653"/>
      <c r="AA453" s="876"/>
      <c r="AB453" s="876"/>
      <c r="AC453" s="894" t="s">
        <v>618</v>
      </c>
      <c r="AD453" s="895">
        <f ca="1">SUMIF(Y460:Y509,"&lt;0")*-1</f>
        <v>992217.441611149</v>
      </c>
      <c r="AE453" s="896"/>
      <c r="AF453" s="896"/>
      <c r="AG453" s="896"/>
      <c r="AH453" s="653"/>
      <c r="AI453" s="653"/>
      <c r="AJ453" s="653"/>
      <c r="AK453" s="653"/>
      <c r="AL453" s="653"/>
      <c r="AM453" s="653"/>
      <c r="AN453" s="653"/>
      <c r="AO453" s="653"/>
      <c r="AP453" s="653"/>
      <c r="AQ453" s="653"/>
      <c r="AR453" s="653"/>
      <c r="AS453" s="653"/>
      <c r="AT453" s="653"/>
      <c r="AU453" s="653"/>
      <c r="AV453" s="653"/>
      <c r="AW453" s="653"/>
      <c r="AX453" s="653"/>
      <c r="AY453" s="653"/>
      <c r="AZ453" s="653"/>
      <c r="BA453" s="653"/>
      <c r="BB453" s="653"/>
      <c r="BC453" s="653"/>
      <c r="BD453" s="653"/>
      <c r="BE453" s="653"/>
      <c r="BF453" s="653"/>
      <c r="BG453" s="653"/>
      <c r="BH453" s="653"/>
      <c r="BI453" s="653"/>
      <c r="BJ453" s="653"/>
      <c r="BK453" s="653"/>
      <c r="BL453" s="653"/>
      <c r="BM453" s="653"/>
      <c r="BN453" s="653"/>
      <c r="BO453" s="653"/>
      <c r="BP453" s="653"/>
      <c r="BQ453" s="653"/>
      <c r="BR453" s="653"/>
      <c r="BS453" s="653"/>
      <c r="BT453" s="653"/>
      <c r="BU453" s="653"/>
      <c r="BV453" s="654"/>
    </row>
    <row r="454" spans="2:74" ht="15.75" thickBot="1" x14ac:dyDescent="0.3">
      <c r="B454" s="651"/>
      <c r="C454" s="924" t="s">
        <v>652</v>
      </c>
      <c r="D454" s="1012">
        <f ca="1">'3.4 Fi&amp;Fo'!$G$13</f>
        <v>4171417.2959999996</v>
      </c>
      <c r="E454" s="925" t="s">
        <v>363</v>
      </c>
      <c r="F454" s="653"/>
      <c r="G454" s="899" t="s">
        <v>619</v>
      </c>
      <c r="H454" s="899"/>
      <c r="I454" s="691"/>
      <c r="J454" s="691"/>
      <c r="K454" s="691"/>
      <c r="L454" s="653"/>
      <c r="M454" s="653"/>
      <c r="N454" s="653"/>
      <c r="O454" s="1711" t="s">
        <v>620</v>
      </c>
      <c r="P454" s="1712"/>
      <c r="Q454" s="1712"/>
      <c r="R454" s="1712"/>
      <c r="S454" s="1712"/>
      <c r="T454" s="1712"/>
      <c r="U454" s="1712"/>
      <c r="V454" s="1712"/>
      <c r="W454" s="1712"/>
      <c r="X454" s="1712"/>
      <c r="Y454" s="1712"/>
      <c r="Z454" s="1712"/>
      <c r="AA454" s="1712"/>
      <c r="AB454" s="1712"/>
      <c r="AC454" s="1712"/>
      <c r="AD454" s="1712"/>
      <c r="AE454" s="1712"/>
      <c r="AF454" s="1712"/>
      <c r="AG454" s="1712"/>
      <c r="AH454" s="1713"/>
      <c r="AI454" s="1714" t="s">
        <v>621</v>
      </c>
      <c r="AJ454" s="1715"/>
      <c r="AK454" s="1715"/>
      <c r="AL454" s="1716"/>
      <c r="AM454" s="691"/>
      <c r="AN454" s="691"/>
      <c r="AO454" s="653" t="s">
        <v>666</v>
      </c>
      <c r="AP454" s="653" t="s">
        <v>625</v>
      </c>
      <c r="AQ454" s="653" t="s">
        <v>626</v>
      </c>
      <c r="AR454" s="653"/>
      <c r="AS454" s="653"/>
      <c r="AT454" s="653"/>
      <c r="AU454" s="653"/>
      <c r="AV454" s="653"/>
      <c r="AW454" s="653"/>
      <c r="AX454" s="653"/>
      <c r="AY454" s="653"/>
      <c r="AZ454" s="653"/>
      <c r="BA454" s="653"/>
      <c r="BB454" s="653"/>
      <c r="BC454" s="653"/>
      <c r="BD454" s="653"/>
      <c r="BE454" s="653"/>
      <c r="BF454" s="653"/>
      <c r="BG454" s="653"/>
      <c r="BH454" s="653"/>
      <c r="BI454" s="653"/>
      <c r="BJ454" s="653"/>
      <c r="BK454" s="653"/>
      <c r="BL454" s="653"/>
      <c r="BM454" s="653"/>
      <c r="BN454" s="653"/>
      <c r="BO454" s="653"/>
      <c r="BP454" s="653"/>
      <c r="BQ454" s="653"/>
      <c r="BR454" s="653"/>
      <c r="BS454" s="653"/>
      <c r="BT454" s="653"/>
      <c r="BU454" s="653"/>
      <c r="BV454" s="654"/>
    </row>
    <row r="455" spans="2:74" ht="15.75" thickBot="1" x14ac:dyDescent="0.3">
      <c r="B455" s="651"/>
      <c r="C455" s="924" t="s">
        <v>598</v>
      </c>
      <c r="D455" s="1012">
        <f ca="1">'3.4 I&amp;W'!$S$27</f>
        <v>432000</v>
      </c>
      <c r="E455" s="925"/>
      <c r="F455" s="653"/>
      <c r="G455" s="876" t="s">
        <v>622</v>
      </c>
      <c r="H455" s="876"/>
      <c r="I455" s="691"/>
      <c r="J455" s="691"/>
      <c r="K455" s="691"/>
      <c r="L455" s="653"/>
      <c r="M455" s="653"/>
      <c r="N455" s="972"/>
      <c r="O455" s="691"/>
      <c r="P455" s="909"/>
      <c r="Q455" s="798"/>
      <c r="R455" s="798"/>
      <c r="S455" s="798"/>
      <c r="T455" s="798"/>
      <c r="U455" s="798"/>
      <c r="V455" s="653"/>
      <c r="W455" s="691"/>
      <c r="X455" s="691"/>
      <c r="Y455" s="691"/>
      <c r="Z455" s="691"/>
      <c r="AA455" s="691"/>
      <c r="AB455" s="691"/>
      <c r="AC455" s="691"/>
      <c r="AD455" s="691"/>
      <c r="AE455" s="691"/>
      <c r="AF455" s="691"/>
      <c r="AG455" s="973"/>
      <c r="AH455" s="691"/>
      <c r="AI455" s="1717" t="s">
        <v>623</v>
      </c>
      <c r="AJ455" s="1718"/>
      <c r="AK455" s="1719" t="s">
        <v>624</v>
      </c>
      <c r="AL455" s="1720"/>
      <c r="AM455" s="691"/>
      <c r="AN455" s="691"/>
      <c r="AO455" s="1014">
        <f>NPV($Q$442,AO459:AO508)</f>
        <v>1900260.3431783211</v>
      </c>
      <c r="AP455" s="1014">
        <f ca="1">NPV($Q$440,AP460:AP509)</f>
        <v>428867.93104446057</v>
      </c>
      <c r="AQ455" s="1014">
        <f ca="1">NPV($Q$440,AQ460:AQ509)</f>
        <v>-338487.54834096314</v>
      </c>
      <c r="AR455" s="653"/>
      <c r="AS455" s="653"/>
      <c r="AT455" s="653"/>
      <c r="AU455" s="653"/>
      <c r="AV455" s="653"/>
      <c r="AW455" s="653"/>
      <c r="AX455" s="653"/>
      <c r="AY455" s="653"/>
      <c r="AZ455" s="653"/>
      <c r="BA455" s="653"/>
      <c r="BB455" s="653"/>
      <c r="BC455" s="653"/>
      <c r="BD455" s="653"/>
      <c r="BE455" s="653"/>
      <c r="BF455" s="653"/>
      <c r="BG455" s="653"/>
      <c r="BH455" s="653"/>
      <c r="BI455" s="653"/>
      <c r="BJ455" s="653"/>
      <c r="BK455" s="653"/>
      <c r="BL455" s="653"/>
      <c r="BM455" s="653"/>
      <c r="BN455" s="653"/>
      <c r="BO455" s="653"/>
      <c r="BP455" s="653"/>
      <c r="BQ455" s="653"/>
      <c r="BR455" s="653"/>
      <c r="BS455" s="653"/>
      <c r="BT455" s="653"/>
      <c r="BU455" s="653"/>
      <c r="BV455" s="654"/>
    </row>
    <row r="456" spans="2:74" x14ac:dyDescent="0.25">
      <c r="B456" s="651"/>
      <c r="C456" s="924" t="s">
        <v>361</v>
      </c>
      <c r="D456" s="1012">
        <f>'1. Projektangaben'!$F$91</f>
        <v>1287.0999999999999</v>
      </c>
      <c r="E456" s="925"/>
      <c r="F456" s="653"/>
      <c r="G456" s="974" t="s">
        <v>627</v>
      </c>
      <c r="H456" s="974"/>
      <c r="I456" s="653"/>
      <c r="J456" s="653"/>
      <c r="K456" s="653"/>
      <c r="L456" s="653"/>
      <c r="M456" s="653"/>
      <c r="N456" s="975">
        <f ca="1">NPV($Q$442,N460:N509)*-1</f>
        <v>-947349.01675164548</v>
      </c>
      <c r="O456" s="975">
        <f ca="1">NPV($Q$442,O460:O509)*-1</f>
        <v>-16001.468014246198</v>
      </c>
      <c r="P456" s="975"/>
      <c r="Q456" s="975">
        <f ca="1">NPV($Q$442,R460:R509)*-1</f>
        <v>-1791497.5917364142</v>
      </c>
      <c r="R456" s="916"/>
      <c r="S456" s="916"/>
      <c r="T456" s="916"/>
      <c r="U456" s="916"/>
      <c r="V456" s="916"/>
      <c r="W456" s="916"/>
      <c r="X456" s="916"/>
      <c r="Y456" s="916"/>
      <c r="Z456" s="916"/>
      <c r="AA456" s="916"/>
      <c r="AB456" s="916"/>
      <c r="AC456" s="975">
        <f ca="1">NPV($Q$442,AC460:AC509)</f>
        <v>3.5666458893056008E-12</v>
      </c>
      <c r="AD456" s="975"/>
      <c r="AE456" s="975"/>
      <c r="AF456" s="975"/>
      <c r="AG456" s="975">
        <f>NPV($Q$442,AG460:AG509)</f>
        <v>2436426.2662981339</v>
      </c>
      <c r="AH456" s="975"/>
      <c r="AI456" s="1014">
        <f ca="1">NPV($Q$442,AI460:AI509)</f>
        <v>-2455843.80646569</v>
      </c>
      <c r="AJ456" s="1014">
        <f ca="1">NPV($Q$442,AJ460:AJ509)</f>
        <v>-517578.25642380229</v>
      </c>
      <c r="AK456" s="1014">
        <f ca="1">NPV($Q$442,AK460:AK509)</f>
        <v>-2455843.80646569</v>
      </c>
      <c r="AL456" s="1014">
        <f ca="1">NPV($Q$442,AL460:AL509)</f>
        <v>-517578.25642380217</v>
      </c>
      <c r="AM456" s="975"/>
      <c r="AN456" s="975"/>
      <c r="AO456" s="975"/>
      <c r="AR456" s="653"/>
      <c r="AS456" s="653"/>
      <c r="AT456" s="653"/>
      <c r="AU456" s="653"/>
      <c r="AV456" s="653"/>
      <c r="AW456" s="653"/>
      <c r="AX456" s="653"/>
      <c r="AY456" s="653"/>
      <c r="AZ456" s="653"/>
      <c r="BA456" s="653"/>
      <c r="BB456" s="653"/>
      <c r="BC456" s="653"/>
      <c r="BD456" s="653"/>
      <c r="BE456" s="653"/>
      <c r="BF456" s="653"/>
      <c r="BG456" s="653"/>
      <c r="BH456" s="653"/>
      <c r="BI456" s="653"/>
      <c r="BJ456" s="653"/>
      <c r="BK456" s="653"/>
      <c r="BL456" s="653"/>
      <c r="BM456" s="653"/>
      <c r="BN456" s="653"/>
      <c r="BO456" s="653"/>
      <c r="BP456" s="653"/>
      <c r="BQ456" s="653"/>
      <c r="BR456" s="653"/>
      <c r="BS456" s="653"/>
      <c r="BT456" s="653"/>
      <c r="BU456" s="653"/>
      <c r="BV456" s="654"/>
    </row>
    <row r="457" spans="2:74" ht="15.75" thickBot="1" x14ac:dyDescent="0.3">
      <c r="B457" s="651"/>
      <c r="C457" s="924" t="s">
        <v>653</v>
      </c>
      <c r="D457" s="1012">
        <f>'1. Projektangaben'!$H$91</f>
        <v>1450</v>
      </c>
      <c r="E457" s="925" t="s">
        <v>68</v>
      </c>
      <c r="F457" s="653"/>
      <c r="G457" s="976" t="s">
        <v>628</v>
      </c>
      <c r="H457" s="976"/>
      <c r="I457" s="653"/>
      <c r="J457" s="653"/>
      <c r="K457" s="653"/>
      <c r="L457" s="653"/>
      <c r="M457" s="653"/>
      <c r="N457" s="691"/>
      <c r="O457" s="691"/>
      <c r="P457" s="691"/>
      <c r="Q457" s="653"/>
      <c r="R457" s="653"/>
      <c r="S457" s="653"/>
      <c r="T457" s="653"/>
      <c r="U457" s="909"/>
      <c r="V457" s="909"/>
      <c r="W457" s="653"/>
      <c r="X457" s="691"/>
      <c r="Y457" s="691"/>
      <c r="Z457" s="691"/>
      <c r="AA457" s="1721" t="s">
        <v>629</v>
      </c>
      <c r="AB457" s="1721"/>
      <c r="AC457" s="691"/>
      <c r="AD457" s="691"/>
      <c r="AE457" s="691"/>
      <c r="AF457" s="691"/>
      <c r="AG457" s="691"/>
      <c r="AH457" s="691"/>
      <c r="AI457" s="691"/>
      <c r="AJ457" s="691"/>
      <c r="AK457" s="691"/>
      <c r="AL457" s="691"/>
      <c r="AM457" s="977" t="s">
        <v>630</v>
      </c>
      <c r="AN457" s="978"/>
      <c r="AO457" s="691"/>
      <c r="AP457" s="691"/>
      <c r="AQ457" s="691"/>
      <c r="AR457" s="691"/>
      <c r="AS457" s="653"/>
      <c r="AT457" s="653"/>
      <c r="AU457" s="653"/>
      <c r="AV457" s="653"/>
      <c r="AW457" s="653"/>
      <c r="AX457" s="653"/>
      <c r="AY457" s="653"/>
      <c r="AZ457" s="653"/>
      <c r="BA457" s="653"/>
      <c r="BB457" s="653"/>
      <c r="BC457" s="1710" t="s">
        <v>677</v>
      </c>
      <c r="BD457" s="1710"/>
      <c r="BE457" s="1710"/>
      <c r="BF457" s="1710"/>
      <c r="BG457" s="1710"/>
      <c r="BH457" s="1710"/>
      <c r="BI457" s="1710"/>
      <c r="BJ457" s="653"/>
      <c r="BK457" s="653"/>
      <c r="BL457" s="653"/>
      <c r="BM457" s="653"/>
      <c r="BN457" s="653"/>
      <c r="BO457" s="653"/>
      <c r="BP457" s="653"/>
      <c r="BQ457" s="653"/>
      <c r="BR457" s="653"/>
      <c r="BS457" s="653"/>
      <c r="BT457" s="653"/>
      <c r="BU457" s="653"/>
      <c r="BV457" s="654"/>
    </row>
    <row r="458" spans="2:74" ht="270.75" thickBot="1" x14ac:dyDescent="0.3">
      <c r="B458" s="651"/>
      <c r="C458" s="928" t="s">
        <v>655</v>
      </c>
      <c r="D458" s="1013">
        <f>'1. Projektangaben'!$J$91</f>
        <v>43250</v>
      </c>
      <c r="E458" s="929" t="s">
        <v>363</v>
      </c>
      <c r="F458" s="653"/>
      <c r="G458" s="653"/>
      <c r="H458" s="653"/>
      <c r="I458" s="653"/>
      <c r="J458" s="653"/>
      <c r="K458" s="653"/>
      <c r="L458" s="653"/>
      <c r="M458" s="648" t="s">
        <v>481</v>
      </c>
      <c r="N458" s="900" t="s">
        <v>696</v>
      </c>
      <c r="O458" s="900" t="s">
        <v>632</v>
      </c>
      <c r="P458" s="900" t="s">
        <v>697</v>
      </c>
      <c r="Q458" s="901" t="s">
        <v>633</v>
      </c>
      <c r="R458" s="902" t="s">
        <v>245</v>
      </c>
      <c r="S458" s="902" t="s">
        <v>246</v>
      </c>
      <c r="T458" s="902" t="s">
        <v>205</v>
      </c>
      <c r="U458" s="902" t="s">
        <v>247</v>
      </c>
      <c r="V458" s="902" t="s">
        <v>601</v>
      </c>
      <c r="W458" s="902" t="s">
        <v>605</v>
      </c>
      <c r="X458" s="902" t="s">
        <v>635</v>
      </c>
      <c r="Y458" s="902" t="s">
        <v>636</v>
      </c>
      <c r="Z458" s="901" t="s">
        <v>637</v>
      </c>
      <c r="AA458" s="903" t="s">
        <v>638</v>
      </c>
      <c r="AB458" s="903" t="s">
        <v>639</v>
      </c>
      <c r="AC458" s="904" t="s">
        <v>640</v>
      </c>
      <c r="AD458" s="904" t="s">
        <v>641</v>
      </c>
      <c r="AE458" s="902" t="s">
        <v>642</v>
      </c>
      <c r="AF458" s="902" t="s">
        <v>643</v>
      </c>
      <c r="AG458" s="902" t="s">
        <v>644</v>
      </c>
      <c r="AH458" s="905" t="s">
        <v>645</v>
      </c>
      <c r="AI458" s="906" t="s">
        <v>646</v>
      </c>
      <c r="AJ458" s="906" t="s">
        <v>647</v>
      </c>
      <c r="AK458" s="906" t="s">
        <v>648</v>
      </c>
      <c r="AL458" s="653"/>
      <c r="AM458" s="907" t="s">
        <v>649</v>
      </c>
      <c r="AN458" s="908" t="s">
        <v>481</v>
      </c>
      <c r="AO458" s="906" t="s">
        <v>699</v>
      </c>
      <c r="AP458" s="979" t="s">
        <v>650</v>
      </c>
      <c r="AQ458" s="979" t="s">
        <v>651</v>
      </c>
      <c r="AR458" s="653"/>
      <c r="AS458" s="653" t="s">
        <v>481</v>
      </c>
      <c r="AT458" s="653" t="s">
        <v>631</v>
      </c>
      <c r="AU458" s="653" t="s">
        <v>634</v>
      </c>
      <c r="AV458" s="653" t="s">
        <v>678</v>
      </c>
      <c r="AW458" s="653" t="s">
        <v>613</v>
      </c>
      <c r="AX458" s="653" t="s">
        <v>679</v>
      </c>
      <c r="AY458" s="653" t="s">
        <v>680</v>
      </c>
      <c r="AZ458" s="653" t="s">
        <v>681</v>
      </c>
      <c r="BA458" s="653"/>
      <c r="BB458" s="653" t="str">
        <f t="shared" ref="BB458:BI458" si="318">AS458</f>
        <v>Jahre</v>
      </c>
      <c r="BC458" s="653" t="str">
        <f t="shared" si="318"/>
        <v>WBF Darlehen</v>
      </c>
      <c r="BD458" s="653" t="str">
        <f t="shared" si="318"/>
        <v>Bankdarlehen</v>
      </c>
      <c r="BE458" s="653" t="str">
        <f t="shared" si="318"/>
        <v>Eigenkapital</v>
      </c>
      <c r="BF458" s="653" t="str">
        <f t="shared" si="318"/>
        <v>Annuitätenzuschuss</v>
      </c>
      <c r="BG458" s="653" t="str">
        <f t="shared" si="318"/>
        <v>Entgeltstundung</v>
      </c>
      <c r="BH458" s="653" t="str">
        <f t="shared" si="318"/>
        <v>(Mieteinnahmen)</v>
      </c>
      <c r="BI458" s="653" t="str">
        <f t="shared" si="318"/>
        <v>Barwert Gesamt</v>
      </c>
      <c r="BJ458" s="653"/>
      <c r="BK458" s="653" t="s">
        <v>481</v>
      </c>
      <c r="BL458" s="653" t="str">
        <f t="shared" ref="BL458:BQ458" si="319">BC458</f>
        <v>WBF Darlehen</v>
      </c>
      <c r="BM458" s="653" t="str">
        <f t="shared" si="319"/>
        <v>Bankdarlehen</v>
      </c>
      <c r="BN458" s="653" t="str">
        <f t="shared" si="319"/>
        <v>Eigenkapital</v>
      </c>
      <c r="BO458" s="653" t="str">
        <f t="shared" si="319"/>
        <v>Annuitätenzuschuss</v>
      </c>
      <c r="BP458" s="653" t="str">
        <f t="shared" si="319"/>
        <v>Entgeltstundung</v>
      </c>
      <c r="BQ458" s="653" t="str">
        <f t="shared" si="319"/>
        <v>(Mieteinnahmen)</v>
      </c>
      <c r="BR458" s="653" t="s">
        <v>682</v>
      </c>
      <c r="BS458" s="653"/>
      <c r="BT458" s="653"/>
      <c r="BU458" s="653"/>
      <c r="BV458" s="654"/>
    </row>
    <row r="459" spans="2:74" x14ac:dyDescent="0.25">
      <c r="B459" s="651"/>
      <c r="C459" s="653"/>
      <c r="D459" s="653"/>
      <c r="E459" s="653"/>
      <c r="F459" s="653"/>
      <c r="G459" s="653"/>
      <c r="H459" s="653"/>
      <c r="I459" s="653"/>
      <c r="J459" s="653"/>
      <c r="K459" s="653"/>
      <c r="L459" s="653"/>
      <c r="M459" s="651">
        <v>0</v>
      </c>
      <c r="N459" s="909">
        <v>0</v>
      </c>
      <c r="O459" s="909">
        <v>0</v>
      </c>
      <c r="P459" s="909">
        <v>0</v>
      </c>
      <c r="Q459" s="910">
        <f ca="1">S445</f>
        <v>1866294.9999999998</v>
      </c>
      <c r="R459" s="909">
        <v>0</v>
      </c>
      <c r="S459" s="909"/>
      <c r="T459" s="909"/>
      <c r="U459" s="909">
        <f ca="1">S446</f>
        <v>1597852.9312</v>
      </c>
      <c r="V459" s="909">
        <v>0</v>
      </c>
      <c r="W459" s="909">
        <v>0</v>
      </c>
      <c r="X459" s="909">
        <f>N459+R459+V459+W459</f>
        <v>0</v>
      </c>
      <c r="Y459" s="909">
        <v>0</v>
      </c>
      <c r="Z459" s="910">
        <v>0</v>
      </c>
      <c r="AA459" s="909">
        <v>0</v>
      </c>
      <c r="AB459" s="910">
        <v>0</v>
      </c>
      <c r="AC459" s="911">
        <v>0</v>
      </c>
      <c r="AD459" s="911">
        <v>0</v>
      </c>
      <c r="AE459" s="909">
        <v>0</v>
      </c>
      <c r="AF459" s="912">
        <f t="shared" ref="AF459:AF490" si="320">AE459/(1+$Q$442)^M459</f>
        <v>0</v>
      </c>
      <c r="AG459" s="909">
        <v>0</v>
      </c>
      <c r="AH459" s="913">
        <v>0</v>
      </c>
      <c r="AI459" s="909"/>
      <c r="AJ459" s="909"/>
      <c r="AK459" s="909"/>
      <c r="AL459" s="653"/>
      <c r="AM459" s="914"/>
      <c r="AN459" s="915">
        <f t="shared" ref="AN459:AN490" si="321">M459</f>
        <v>0</v>
      </c>
      <c r="AO459" s="653">
        <v>0</v>
      </c>
      <c r="AP459" s="916">
        <v>0</v>
      </c>
      <c r="AQ459" s="916">
        <f>Y459</f>
        <v>0</v>
      </c>
      <c r="AR459" s="653"/>
      <c r="AS459" s="653">
        <v>1</v>
      </c>
      <c r="AT459" s="909">
        <f t="shared" ref="AT459:AT490" si="322">-(N459+O459)*(1+$Q$440)^-M459</f>
        <v>0</v>
      </c>
      <c r="AU459" s="909">
        <f t="shared" ref="AU459:AU490" si="323">-R459*(1+$Q$440)^-M459</f>
        <v>0</v>
      </c>
      <c r="AV459" s="909">
        <f t="shared" ref="AV459:AV490" si="324">-(V459+W459)*(1+$Q$440)^-M459</f>
        <v>0</v>
      </c>
      <c r="AW459" s="909">
        <f t="shared" ref="AW459:AW490" si="325">-Y459*(1+$Q$440)^-M459</f>
        <v>0</v>
      </c>
      <c r="AX459" s="909">
        <f t="shared" ref="AX459:AX490" si="326">AC459*(1+$Q$440)^-M459</f>
        <v>0</v>
      </c>
      <c r="AY459" s="909">
        <f t="shared" ref="AY459:AY490" si="327">AG459*(1+$Q$440)^-M459</f>
        <v>0</v>
      </c>
      <c r="AZ459" s="909">
        <f t="shared" ref="AZ459:AZ490" si="328">SUM(AT459:AX459)</f>
        <v>0</v>
      </c>
      <c r="BA459" s="653"/>
      <c r="BB459" s="653">
        <v>1</v>
      </c>
      <c r="BC459" s="653">
        <f>0</f>
        <v>0</v>
      </c>
      <c r="BD459" s="653">
        <v>0</v>
      </c>
      <c r="BE459" s="653">
        <v>0</v>
      </c>
      <c r="BF459" s="653">
        <v>0</v>
      </c>
      <c r="BG459" s="653">
        <v>0</v>
      </c>
      <c r="BH459" s="653">
        <v>1</v>
      </c>
      <c r="BI459" s="653">
        <v>0</v>
      </c>
      <c r="BJ459" s="653"/>
      <c r="BK459" s="653">
        <v>1</v>
      </c>
      <c r="BL459" s="909">
        <f t="shared" ref="BL459:BL490" si="329">-(N459+O459)</f>
        <v>0</v>
      </c>
      <c r="BM459" s="909">
        <f t="shared" ref="BM459:BM490" si="330">-R459</f>
        <v>0</v>
      </c>
      <c r="BN459" s="909">
        <f t="shared" ref="BN459:BN490" si="331">-(V459+W459)</f>
        <v>0</v>
      </c>
      <c r="BO459" s="909">
        <f t="shared" ref="BO459:BO490" si="332">-Y459</f>
        <v>0</v>
      </c>
      <c r="BP459" s="909">
        <f t="shared" ref="BP459:BP490" si="333">AC459</f>
        <v>0</v>
      </c>
      <c r="BQ459" s="909">
        <f t="shared" ref="BQ459:BQ490" si="334">AG459</f>
        <v>0</v>
      </c>
      <c r="BR459" s="909">
        <f t="shared" ref="BR459:BR490" si="335">SUM(BL459:BP459)</f>
        <v>0</v>
      </c>
      <c r="BS459" s="653"/>
      <c r="BT459" s="653"/>
      <c r="BU459" s="653"/>
      <c r="BV459" s="654"/>
    </row>
    <row r="460" spans="2:74" x14ac:dyDescent="0.25">
      <c r="B460" s="651"/>
      <c r="C460" s="653"/>
      <c r="D460" s="653"/>
      <c r="E460" s="653"/>
      <c r="F460" s="653"/>
      <c r="G460" s="653"/>
      <c r="H460" s="653"/>
      <c r="I460" s="653"/>
      <c r="J460" s="653"/>
      <c r="K460" s="653"/>
      <c r="L460" s="653"/>
      <c r="M460" s="651">
        <v>1</v>
      </c>
      <c r="N460" s="909">
        <f t="shared" ref="N460:N491" ca="1" si="336">MIN(IF(Q459&lt;=0,0,IF(M460&lt;=$Y$440,$AC$440,IF(M460&lt;=$Y$441,$AC$441,IF(M460&lt;=$Y$442,$AC$442,IF(M460&lt;=$Y$443,$AC$443,IF(M460&lt;=$Y$444,$AC$444)))))),Q459)</f>
        <v>9331.4749999999985</v>
      </c>
      <c r="O460" s="909">
        <f t="shared" ref="O460:O491" ca="1" si="337">MAX(MIN(AG460-X460+AC460-Y460,Q459-N460),0)</f>
        <v>0</v>
      </c>
      <c r="P460" s="909">
        <f t="shared" ref="P460:P491" ca="1" si="338">IF(Q459=0,0,Q459*$U$441+$U$439)</f>
        <v>12</v>
      </c>
      <c r="Q460" s="910">
        <f t="shared" ref="Q460:Q491" ca="1" si="339">IF(Q459=0,0,Q459-N460-O460)</f>
        <v>1856963.5249999997</v>
      </c>
      <c r="R460" s="909">
        <f t="shared" ref="R460:R491" ca="1" si="340">IF(M460&lt;=$V$447,-PMT($U$447,$V$447,$S$446),0)</f>
        <v>91761.29207244594</v>
      </c>
      <c r="S460" s="909">
        <f t="shared" ref="S460:S491" ca="1" si="341">U459*$U$447</f>
        <v>47935.587935999996</v>
      </c>
      <c r="T460" s="909">
        <f t="shared" ref="T460:T491" ca="1" si="342">R460-S460</f>
        <v>43825.704136445944</v>
      </c>
      <c r="U460" s="909">
        <f t="shared" ref="U460:U491" ca="1" si="343">U459-T460</f>
        <v>1554027.2270635541</v>
      </c>
      <c r="V460" s="909">
        <f t="shared" ref="V460:V491" ca="1" si="344">IF(M460&lt;=$V$448,($Q$441+$U$448)*$S$447,0)</f>
        <v>8640</v>
      </c>
      <c r="W460" s="909">
        <f t="shared" ref="W460:W491" ca="1" si="345">IF(M460&lt;=$V$449,($Q$441+$U$449)*$S$448,0)</f>
        <v>7478.8345919999992</v>
      </c>
      <c r="X460" s="909">
        <f t="shared" ref="X460:X491" ca="1" si="346">N460+R460+V460+W460+P460</f>
        <v>117223.60166444595</v>
      </c>
      <c r="Y460" s="909">
        <f t="shared" ref="Y460:Y491" ca="1" si="347">IF($R$445&gt;0,IF(M460&gt;=$Q$443,Z459*-1,IF(M460&gt;$W$453,IF(X460&gt;=AG460,0,IF(Z459+AG460-X460&gt;=0,-Z459,AG460-X460)),IF(AG460-X460&gt;=0,0,AG460-X460))),0)</f>
        <v>-39688.69766444595</v>
      </c>
      <c r="Z460" s="910">
        <f t="shared" ref="Z460:Z491" ca="1" si="348">IF(Z459+Y460&gt;=0,0,Z459+Y460)</f>
        <v>-39688.69766444595</v>
      </c>
      <c r="AA460" s="909">
        <f t="shared" ref="AA460:AA491" ca="1" si="349">IF($S$445&gt;0,IF(M460&gt;$W$453,IF(X460&gt;=AG460,0,IF(AB459+AG460&gt;=0,-AB459,AG460-X460)),IF(AG460-X460&gt;=0,0,AG460-X460)),0)</f>
        <v>-39688.69766444595</v>
      </c>
      <c r="AB460" s="910">
        <f t="shared" ref="AB460:AB491" ca="1" si="350">IF(AB459+AA460&gt;=0,0,AB459+AA460)</f>
        <v>-39688.69766444595</v>
      </c>
      <c r="AC460" s="911">
        <f t="shared" ref="AC460:AC491" ca="1" si="351">IF(M460&gt;=$Q$443,AD459*-1*(1+$Q$441),MAX(X460+Y460-AG460,AD459*-1*(1+$Q$441)))</f>
        <v>0</v>
      </c>
      <c r="AD460" s="911">
        <f t="shared" ref="AD460:AD491" ca="1" si="352">AC460+AD459*(1+$Q$441)</f>
        <v>0</v>
      </c>
      <c r="AE460" s="909">
        <f t="shared" ref="AE460:AE491" ca="1" si="353">IF(AG460-Y460-X460+AC460&lt;0,0,AG460-Y460-X460+AC460-O460)</f>
        <v>0</v>
      </c>
      <c r="AF460" s="912">
        <f t="shared" ca="1" si="320"/>
        <v>0</v>
      </c>
      <c r="AG460" s="909">
        <f t="shared" ref="AG460:AG491" si="354">$Y$452*$I$451*12</f>
        <v>77534.903999999995</v>
      </c>
      <c r="AH460" s="917">
        <f t="shared" ref="AH460:AH491" ca="1" si="355">(X460+Y460)</f>
        <v>77534.903999999995</v>
      </c>
      <c r="AI460" s="909">
        <f t="shared" ref="AI460:AI491" ca="1" si="356">IF(M460&gt;$Q$443,"",(X460+Y460+O460)*-1)</f>
        <v>-77534.903999999995</v>
      </c>
      <c r="AJ460" s="916">
        <f t="shared" ref="AJ460:AJ491" ca="1" si="357">IF(M460&gt;$Q$443,"",AI460+AG460)</f>
        <v>0</v>
      </c>
      <c r="AK460" s="916">
        <f t="shared" ref="AK460:AK491" ca="1" si="358">IF(M460&gt;$Q$443,"",(N460+O460+P460+R460+V460+W460+Y460-AC460)*-1)</f>
        <v>-77534.903999999995</v>
      </c>
      <c r="AL460" s="909">
        <f t="shared" ref="AL460:AL491" ca="1" si="359">IF(M460&gt;$Q$443,"",AK460+AG460)</f>
        <v>0</v>
      </c>
      <c r="AM460" s="918">
        <f t="shared" ref="AM460:AM491" ca="1" si="360">X460+Y460+O460</f>
        <v>77534.903999999995</v>
      </c>
      <c r="AN460" s="915">
        <f t="shared" si="321"/>
        <v>1</v>
      </c>
      <c r="AO460" s="653">
        <f t="shared" ref="AO460:AO491" si="361">IF(M460&gt;$Q$443,"",AG460)</f>
        <v>77534.903999999995</v>
      </c>
      <c r="AP460" s="916">
        <f t="shared" ref="AP460:AP491" ca="1" si="362">IF(M460&gt;$Q$443,"",N460+O460+P460)</f>
        <v>9343.4749999999985</v>
      </c>
      <c r="AQ460" s="916">
        <f t="shared" ref="AQ460:AQ491" ca="1" si="363">IF(M460&gt;$Q$443,"",Y460)</f>
        <v>-39688.69766444595</v>
      </c>
      <c r="AR460" s="653"/>
      <c r="AS460" s="653">
        <v>1</v>
      </c>
      <c r="AT460" s="909">
        <f t="shared" ca="1" si="322"/>
        <v>-9059.6844660194165</v>
      </c>
      <c r="AU460" s="909">
        <f t="shared" ca="1" si="323"/>
        <v>-89088.633080044601</v>
      </c>
      <c r="AV460" s="909">
        <f t="shared" ca="1" si="324"/>
        <v>-15649.353972815534</v>
      </c>
      <c r="AW460" s="909">
        <f t="shared" ca="1" si="325"/>
        <v>38532.716179073737</v>
      </c>
      <c r="AX460" s="909">
        <f t="shared" ca="1" si="326"/>
        <v>0</v>
      </c>
      <c r="AY460" s="909">
        <f t="shared" si="327"/>
        <v>75276.605825242717</v>
      </c>
      <c r="AZ460" s="909">
        <f t="shared" ca="1" si="328"/>
        <v>-75264.955339805805</v>
      </c>
      <c r="BA460" s="653"/>
      <c r="BB460" s="653">
        <f t="shared" ref="BB460:BB491" si="364">AS460</f>
        <v>1</v>
      </c>
      <c r="BC460" s="909">
        <f t="shared" ref="BC460:BC491" ca="1" si="365">BC459+AT460</f>
        <v>-9059.6844660194165</v>
      </c>
      <c r="BD460" s="909">
        <f t="shared" ref="BD460:BD491" ca="1" si="366">BD459+AU460</f>
        <v>-89088.633080044601</v>
      </c>
      <c r="BE460" s="909">
        <f t="shared" ref="BE460:BE491" ca="1" si="367">BE459+AV460</f>
        <v>-15649.353972815534</v>
      </c>
      <c r="BF460" s="909">
        <f t="shared" ref="BF460:BF491" ca="1" si="368">BF459+AW460</f>
        <v>38532.716179073737</v>
      </c>
      <c r="BG460" s="909">
        <f t="shared" ref="BG460:BG491" ca="1" si="369">BG459+AX460</f>
        <v>0</v>
      </c>
      <c r="BH460" s="909">
        <f t="shared" ref="BH460:BH491" si="370">BH459+AY460</f>
        <v>75277.605825242717</v>
      </c>
      <c r="BI460" s="909">
        <f t="shared" ref="BI460:BI491" ca="1" si="371">BI459+AZ460</f>
        <v>-75264.955339805805</v>
      </c>
      <c r="BJ460" s="909"/>
      <c r="BK460" s="653">
        <v>1</v>
      </c>
      <c r="BL460" s="909">
        <f t="shared" ca="1" si="329"/>
        <v>-9331.4749999999985</v>
      </c>
      <c r="BM460" s="909">
        <f t="shared" ca="1" si="330"/>
        <v>-91761.29207244594</v>
      </c>
      <c r="BN460" s="909">
        <f t="shared" ca="1" si="331"/>
        <v>-16118.834591999999</v>
      </c>
      <c r="BO460" s="909">
        <f t="shared" ca="1" si="332"/>
        <v>39688.69766444595</v>
      </c>
      <c r="BP460" s="909">
        <f t="shared" ca="1" si="333"/>
        <v>0</v>
      </c>
      <c r="BQ460" s="909">
        <f t="shared" si="334"/>
        <v>77534.903999999995</v>
      </c>
      <c r="BR460" s="909">
        <f t="shared" ca="1" si="335"/>
        <v>-77522.903999999995</v>
      </c>
      <c r="BS460" s="653"/>
      <c r="BT460" s="653"/>
      <c r="BU460" s="653"/>
      <c r="BV460" s="654"/>
    </row>
    <row r="461" spans="2:74" x14ac:dyDescent="0.25">
      <c r="B461" s="651"/>
      <c r="C461" s="653"/>
      <c r="D461" s="653"/>
      <c r="E461" s="653"/>
      <c r="F461" s="653"/>
      <c r="G461" s="653"/>
      <c r="H461" s="653"/>
      <c r="I461" s="653"/>
      <c r="J461" s="653"/>
      <c r="K461" s="653"/>
      <c r="L461" s="653"/>
      <c r="M461" s="651">
        <v>2</v>
      </c>
      <c r="N461" s="909">
        <f t="shared" ca="1" si="336"/>
        <v>9331.4749999999985</v>
      </c>
      <c r="O461" s="909">
        <f t="shared" ca="1" si="337"/>
        <v>0</v>
      </c>
      <c r="P461" s="909">
        <f t="shared" ca="1" si="338"/>
        <v>12</v>
      </c>
      <c r="Q461" s="910">
        <f t="shared" ca="1" si="339"/>
        <v>1847632.0499999996</v>
      </c>
      <c r="R461" s="909">
        <f t="shared" ca="1" si="340"/>
        <v>91761.29207244594</v>
      </c>
      <c r="S461" s="909">
        <f t="shared" ca="1" si="341"/>
        <v>46620.816811906625</v>
      </c>
      <c r="T461" s="909">
        <f t="shared" ca="1" si="342"/>
        <v>45140.475260539315</v>
      </c>
      <c r="U461" s="909">
        <f t="shared" ca="1" si="343"/>
        <v>1508886.7518030149</v>
      </c>
      <c r="V461" s="909">
        <f t="shared" ca="1" si="344"/>
        <v>8640</v>
      </c>
      <c r="W461" s="909">
        <f t="shared" ca="1" si="345"/>
        <v>7478.8345919999992</v>
      </c>
      <c r="X461" s="909">
        <f t="shared" ca="1" si="346"/>
        <v>117223.60166444595</v>
      </c>
      <c r="Y461" s="909">
        <f t="shared" ca="1" si="347"/>
        <v>-39688.69766444595</v>
      </c>
      <c r="Z461" s="910">
        <f t="shared" ca="1" si="348"/>
        <v>-79377.3953288919</v>
      </c>
      <c r="AA461" s="909">
        <f t="shared" ca="1" si="349"/>
        <v>-39688.69766444595</v>
      </c>
      <c r="AB461" s="910">
        <f t="shared" ca="1" si="350"/>
        <v>-79377.3953288919</v>
      </c>
      <c r="AC461" s="911">
        <f t="shared" ca="1" si="351"/>
        <v>0</v>
      </c>
      <c r="AD461" s="911">
        <f t="shared" ca="1" si="352"/>
        <v>0</v>
      </c>
      <c r="AE461" s="909">
        <f t="shared" ca="1" si="353"/>
        <v>0</v>
      </c>
      <c r="AF461" s="912">
        <f t="shared" ca="1" si="320"/>
        <v>0</v>
      </c>
      <c r="AG461" s="909">
        <f t="shared" si="354"/>
        <v>77534.903999999995</v>
      </c>
      <c r="AH461" s="917">
        <f t="shared" ca="1" si="355"/>
        <v>77534.903999999995</v>
      </c>
      <c r="AI461" s="909">
        <f t="shared" ca="1" si="356"/>
        <v>-77534.903999999995</v>
      </c>
      <c r="AJ461" s="916">
        <f t="shared" ca="1" si="357"/>
        <v>0</v>
      </c>
      <c r="AK461" s="916">
        <f t="shared" ca="1" si="358"/>
        <v>-77534.903999999995</v>
      </c>
      <c r="AL461" s="909">
        <f t="shared" ca="1" si="359"/>
        <v>0</v>
      </c>
      <c r="AM461" s="918">
        <f t="shared" ca="1" si="360"/>
        <v>77534.903999999995</v>
      </c>
      <c r="AN461" s="915">
        <f t="shared" si="321"/>
        <v>2</v>
      </c>
      <c r="AO461" s="653">
        <f t="shared" si="361"/>
        <v>77534.903999999995</v>
      </c>
      <c r="AP461" s="916">
        <f t="shared" ca="1" si="362"/>
        <v>9343.4749999999985</v>
      </c>
      <c r="AQ461" s="916">
        <f t="shared" ca="1" si="363"/>
        <v>-39688.69766444595</v>
      </c>
      <c r="AR461" s="653"/>
      <c r="AS461" s="653">
        <v>2</v>
      </c>
      <c r="AT461" s="909">
        <f t="shared" ca="1" si="322"/>
        <v>-8795.8101611838993</v>
      </c>
      <c r="AU461" s="909">
        <f t="shared" ca="1" si="323"/>
        <v>-86493.818524315153</v>
      </c>
      <c r="AV461" s="909">
        <f t="shared" ca="1" si="324"/>
        <v>-15193.547546422848</v>
      </c>
      <c r="AW461" s="909">
        <f t="shared" ca="1" si="325"/>
        <v>37410.404057353146</v>
      </c>
      <c r="AX461" s="909">
        <f t="shared" ca="1" si="326"/>
        <v>0</v>
      </c>
      <c r="AY461" s="909">
        <f t="shared" si="327"/>
        <v>73084.083325478365</v>
      </c>
      <c r="AZ461" s="909">
        <f t="shared" ca="1" si="328"/>
        <v>-73072.77217456876</v>
      </c>
      <c r="BA461" s="653"/>
      <c r="BB461" s="653">
        <f t="shared" si="364"/>
        <v>2</v>
      </c>
      <c r="BC461" s="909">
        <f t="shared" ca="1" si="365"/>
        <v>-17855.494627203316</v>
      </c>
      <c r="BD461" s="909">
        <f t="shared" ca="1" si="366"/>
        <v>-175582.45160435975</v>
      </c>
      <c r="BE461" s="909">
        <f t="shared" ca="1" si="367"/>
        <v>-30842.901519238381</v>
      </c>
      <c r="BF461" s="909">
        <f t="shared" ca="1" si="368"/>
        <v>75943.120236426883</v>
      </c>
      <c r="BG461" s="909">
        <f t="shared" ca="1" si="369"/>
        <v>0</v>
      </c>
      <c r="BH461" s="909">
        <f t="shared" si="370"/>
        <v>148361.68915072107</v>
      </c>
      <c r="BI461" s="909">
        <f t="shared" ca="1" si="371"/>
        <v>-148337.72751437456</v>
      </c>
      <c r="BJ461" s="909"/>
      <c r="BK461" s="653">
        <v>2</v>
      </c>
      <c r="BL461" s="909">
        <f t="shared" ca="1" si="329"/>
        <v>-9331.4749999999985</v>
      </c>
      <c r="BM461" s="909">
        <f t="shared" ca="1" si="330"/>
        <v>-91761.29207244594</v>
      </c>
      <c r="BN461" s="909">
        <f t="shared" ca="1" si="331"/>
        <v>-16118.834591999999</v>
      </c>
      <c r="BO461" s="909">
        <f t="shared" ca="1" si="332"/>
        <v>39688.69766444595</v>
      </c>
      <c r="BP461" s="909">
        <f t="shared" ca="1" si="333"/>
        <v>0</v>
      </c>
      <c r="BQ461" s="909">
        <f t="shared" si="334"/>
        <v>77534.903999999995</v>
      </c>
      <c r="BR461" s="909">
        <f t="shared" ca="1" si="335"/>
        <v>-77522.903999999995</v>
      </c>
      <c r="BS461" s="653"/>
      <c r="BT461" s="653"/>
      <c r="BU461" s="653"/>
      <c r="BV461" s="654"/>
    </row>
    <row r="462" spans="2:74" x14ac:dyDescent="0.25">
      <c r="B462" s="651"/>
      <c r="C462" s="653"/>
      <c r="D462" s="653"/>
      <c r="E462" s="653"/>
      <c r="F462" s="653"/>
      <c r="G462" s="653"/>
      <c r="H462" s="653"/>
      <c r="I462" s="653"/>
      <c r="J462" s="653"/>
      <c r="K462" s="653"/>
      <c r="L462" s="653"/>
      <c r="M462" s="651">
        <v>3</v>
      </c>
      <c r="N462" s="909">
        <f t="shared" ca="1" si="336"/>
        <v>9331.4749999999985</v>
      </c>
      <c r="O462" s="909">
        <f t="shared" ca="1" si="337"/>
        <v>0</v>
      </c>
      <c r="P462" s="909">
        <f t="shared" ca="1" si="338"/>
        <v>12</v>
      </c>
      <c r="Q462" s="910">
        <f t="shared" ca="1" si="339"/>
        <v>1838300.5749999995</v>
      </c>
      <c r="R462" s="909">
        <f t="shared" ca="1" si="340"/>
        <v>91761.29207244594</v>
      </c>
      <c r="S462" s="909">
        <f t="shared" ca="1" si="341"/>
        <v>45266.602554090445</v>
      </c>
      <c r="T462" s="909">
        <f t="shared" ca="1" si="342"/>
        <v>46494.689518355495</v>
      </c>
      <c r="U462" s="909">
        <f t="shared" ca="1" si="343"/>
        <v>1462392.0622846594</v>
      </c>
      <c r="V462" s="909">
        <f t="shared" ca="1" si="344"/>
        <v>8640</v>
      </c>
      <c r="W462" s="909">
        <f t="shared" ca="1" si="345"/>
        <v>7478.8345919999992</v>
      </c>
      <c r="X462" s="909">
        <f t="shared" ca="1" si="346"/>
        <v>117223.60166444595</v>
      </c>
      <c r="Y462" s="909">
        <f t="shared" ca="1" si="347"/>
        <v>-39688.69766444595</v>
      </c>
      <c r="Z462" s="910">
        <f t="shared" ca="1" si="348"/>
        <v>-119066.09299333785</v>
      </c>
      <c r="AA462" s="909">
        <f t="shared" ca="1" si="349"/>
        <v>-39688.69766444595</v>
      </c>
      <c r="AB462" s="910">
        <f t="shared" ca="1" si="350"/>
        <v>-119066.09299333785</v>
      </c>
      <c r="AC462" s="911">
        <f t="shared" ca="1" si="351"/>
        <v>0</v>
      </c>
      <c r="AD462" s="911">
        <f t="shared" ca="1" si="352"/>
        <v>0</v>
      </c>
      <c r="AE462" s="909">
        <f t="shared" ca="1" si="353"/>
        <v>0</v>
      </c>
      <c r="AF462" s="912">
        <f t="shared" ca="1" si="320"/>
        <v>0</v>
      </c>
      <c r="AG462" s="909">
        <f t="shared" si="354"/>
        <v>77534.903999999995</v>
      </c>
      <c r="AH462" s="917">
        <f t="shared" ca="1" si="355"/>
        <v>77534.903999999995</v>
      </c>
      <c r="AI462" s="909">
        <f t="shared" ca="1" si="356"/>
        <v>-77534.903999999995</v>
      </c>
      <c r="AJ462" s="916">
        <f t="shared" ca="1" si="357"/>
        <v>0</v>
      </c>
      <c r="AK462" s="916">
        <f t="shared" ca="1" si="358"/>
        <v>-77534.903999999995</v>
      </c>
      <c r="AL462" s="909">
        <f t="shared" ca="1" si="359"/>
        <v>0</v>
      </c>
      <c r="AM462" s="918">
        <f t="shared" ca="1" si="360"/>
        <v>77534.903999999995</v>
      </c>
      <c r="AN462" s="915">
        <f t="shared" si="321"/>
        <v>3</v>
      </c>
      <c r="AO462" s="653">
        <f t="shared" si="361"/>
        <v>77534.903999999995</v>
      </c>
      <c r="AP462" s="916">
        <f t="shared" ca="1" si="362"/>
        <v>9343.4749999999985</v>
      </c>
      <c r="AQ462" s="916">
        <f t="shared" ca="1" si="363"/>
        <v>-39688.69766444595</v>
      </c>
      <c r="AR462" s="653"/>
      <c r="AS462" s="653">
        <v>3</v>
      </c>
      <c r="AT462" s="909">
        <f t="shared" ca="1" si="322"/>
        <v>-8539.6215157125243</v>
      </c>
      <c r="AU462" s="909">
        <f t="shared" ca="1" si="323"/>
        <v>-83974.581091568107</v>
      </c>
      <c r="AV462" s="909">
        <f t="shared" ca="1" si="324"/>
        <v>-14751.017035361989</v>
      </c>
      <c r="AW462" s="909">
        <f t="shared" ca="1" si="325"/>
        <v>36320.780638206939</v>
      </c>
      <c r="AX462" s="909">
        <f t="shared" ca="1" si="326"/>
        <v>0</v>
      </c>
      <c r="AY462" s="909">
        <f t="shared" si="327"/>
        <v>70955.420704347925</v>
      </c>
      <c r="AZ462" s="909">
        <f t="shared" ca="1" si="328"/>
        <v>-70944.439004435684</v>
      </c>
      <c r="BA462" s="653"/>
      <c r="BB462" s="653">
        <f t="shared" si="364"/>
        <v>3</v>
      </c>
      <c r="BC462" s="909">
        <f t="shared" ca="1" si="365"/>
        <v>-26395.116142915838</v>
      </c>
      <c r="BD462" s="909">
        <f t="shared" ca="1" si="366"/>
        <v>-259557.03269592786</v>
      </c>
      <c r="BE462" s="909">
        <f t="shared" ca="1" si="367"/>
        <v>-45593.918554600372</v>
      </c>
      <c r="BF462" s="909">
        <f t="shared" ca="1" si="368"/>
        <v>112263.90087463382</v>
      </c>
      <c r="BG462" s="909">
        <f t="shared" ca="1" si="369"/>
        <v>0</v>
      </c>
      <c r="BH462" s="909">
        <f t="shared" si="370"/>
        <v>219317.10985506899</v>
      </c>
      <c r="BI462" s="909">
        <f t="shared" ca="1" si="371"/>
        <v>-219282.16651881026</v>
      </c>
      <c r="BJ462" s="909"/>
      <c r="BK462" s="653">
        <v>3</v>
      </c>
      <c r="BL462" s="909">
        <f t="shared" ca="1" si="329"/>
        <v>-9331.4749999999985</v>
      </c>
      <c r="BM462" s="909">
        <f t="shared" ca="1" si="330"/>
        <v>-91761.29207244594</v>
      </c>
      <c r="BN462" s="909">
        <f t="shared" ca="1" si="331"/>
        <v>-16118.834591999999</v>
      </c>
      <c r="BO462" s="909">
        <f t="shared" ca="1" si="332"/>
        <v>39688.69766444595</v>
      </c>
      <c r="BP462" s="909">
        <f t="shared" ca="1" si="333"/>
        <v>0</v>
      </c>
      <c r="BQ462" s="909">
        <f t="shared" si="334"/>
        <v>77534.903999999995</v>
      </c>
      <c r="BR462" s="909">
        <f t="shared" ca="1" si="335"/>
        <v>-77522.903999999995</v>
      </c>
      <c r="BS462" s="653"/>
      <c r="BT462" s="653"/>
      <c r="BU462" s="653"/>
      <c r="BV462" s="654"/>
    </row>
    <row r="463" spans="2:74" x14ac:dyDescent="0.25">
      <c r="B463" s="651"/>
      <c r="C463" s="653"/>
      <c r="D463" s="653"/>
      <c r="E463" s="653"/>
      <c r="F463" s="653"/>
      <c r="G463" s="653"/>
      <c r="H463" s="653"/>
      <c r="I463" s="653"/>
      <c r="J463" s="653"/>
      <c r="K463" s="653"/>
      <c r="L463" s="653"/>
      <c r="M463" s="651">
        <v>4</v>
      </c>
      <c r="N463" s="909">
        <f t="shared" ca="1" si="336"/>
        <v>9331.4749999999985</v>
      </c>
      <c r="O463" s="909">
        <f t="shared" ca="1" si="337"/>
        <v>0</v>
      </c>
      <c r="P463" s="909">
        <f t="shared" ca="1" si="338"/>
        <v>12</v>
      </c>
      <c r="Q463" s="910">
        <f t="shared" ca="1" si="339"/>
        <v>1828969.0999999994</v>
      </c>
      <c r="R463" s="909">
        <f t="shared" ca="1" si="340"/>
        <v>91761.29207244594</v>
      </c>
      <c r="S463" s="909">
        <f t="shared" ca="1" si="341"/>
        <v>43871.761868539776</v>
      </c>
      <c r="T463" s="909">
        <f t="shared" ca="1" si="342"/>
        <v>47889.530203906164</v>
      </c>
      <c r="U463" s="909">
        <f t="shared" ca="1" si="343"/>
        <v>1414502.5320807532</v>
      </c>
      <c r="V463" s="909">
        <f t="shared" ca="1" si="344"/>
        <v>8640</v>
      </c>
      <c r="W463" s="909">
        <f t="shared" ca="1" si="345"/>
        <v>7478.8345919999992</v>
      </c>
      <c r="X463" s="909">
        <f t="shared" ca="1" si="346"/>
        <v>117223.60166444595</v>
      </c>
      <c r="Y463" s="909">
        <f t="shared" ca="1" si="347"/>
        <v>-39688.69766444595</v>
      </c>
      <c r="Z463" s="910">
        <f t="shared" ca="1" si="348"/>
        <v>-158754.7906577838</v>
      </c>
      <c r="AA463" s="909">
        <f t="shared" ca="1" si="349"/>
        <v>-39688.69766444595</v>
      </c>
      <c r="AB463" s="910">
        <f t="shared" ca="1" si="350"/>
        <v>-158754.7906577838</v>
      </c>
      <c r="AC463" s="911">
        <f t="shared" ca="1" si="351"/>
        <v>0</v>
      </c>
      <c r="AD463" s="911">
        <f t="shared" ca="1" si="352"/>
        <v>0</v>
      </c>
      <c r="AE463" s="909">
        <f t="shared" ca="1" si="353"/>
        <v>0</v>
      </c>
      <c r="AF463" s="912">
        <f t="shared" ca="1" si="320"/>
        <v>0</v>
      </c>
      <c r="AG463" s="909">
        <f t="shared" si="354"/>
        <v>77534.903999999995</v>
      </c>
      <c r="AH463" s="917">
        <f t="shared" ca="1" si="355"/>
        <v>77534.903999999995</v>
      </c>
      <c r="AI463" s="909">
        <f t="shared" ca="1" si="356"/>
        <v>-77534.903999999995</v>
      </c>
      <c r="AJ463" s="916">
        <f t="shared" ca="1" si="357"/>
        <v>0</v>
      </c>
      <c r="AK463" s="916">
        <f t="shared" ca="1" si="358"/>
        <v>-77534.903999999995</v>
      </c>
      <c r="AL463" s="909">
        <f t="shared" ca="1" si="359"/>
        <v>0</v>
      </c>
      <c r="AM463" s="918">
        <f t="shared" ca="1" si="360"/>
        <v>77534.903999999995</v>
      </c>
      <c r="AN463" s="915">
        <f t="shared" si="321"/>
        <v>4</v>
      </c>
      <c r="AO463" s="653">
        <f t="shared" si="361"/>
        <v>77534.903999999995</v>
      </c>
      <c r="AP463" s="916">
        <f t="shared" ca="1" si="362"/>
        <v>9343.4749999999985</v>
      </c>
      <c r="AQ463" s="916">
        <f t="shared" ca="1" si="363"/>
        <v>-39688.69766444595</v>
      </c>
      <c r="AR463" s="653"/>
      <c r="AS463" s="653">
        <v>4</v>
      </c>
      <c r="AT463" s="909">
        <f t="shared" ca="1" si="322"/>
        <v>-8290.8946754490535</v>
      </c>
      <c r="AU463" s="909">
        <f t="shared" ca="1" si="323"/>
        <v>-81528.719506376816</v>
      </c>
      <c r="AV463" s="909">
        <f t="shared" ca="1" si="324"/>
        <v>-14321.375762487369</v>
      </c>
      <c r="AW463" s="909">
        <f t="shared" ca="1" si="325"/>
        <v>35262.89382350188</v>
      </c>
      <c r="AX463" s="909">
        <f t="shared" ca="1" si="326"/>
        <v>0</v>
      </c>
      <c r="AY463" s="909">
        <f t="shared" si="327"/>
        <v>68888.757965386336</v>
      </c>
      <c r="AZ463" s="909">
        <f t="shared" ca="1" si="328"/>
        <v>-68878.096120811359</v>
      </c>
      <c r="BA463" s="653"/>
      <c r="BB463" s="653">
        <f t="shared" si="364"/>
        <v>4</v>
      </c>
      <c r="BC463" s="909">
        <f t="shared" ca="1" si="365"/>
        <v>-34686.010818364892</v>
      </c>
      <c r="BD463" s="909">
        <f t="shared" ca="1" si="366"/>
        <v>-341085.75220230466</v>
      </c>
      <c r="BE463" s="909">
        <f t="shared" ca="1" si="367"/>
        <v>-59915.294317087741</v>
      </c>
      <c r="BF463" s="909">
        <f t="shared" ca="1" si="368"/>
        <v>147526.79469813569</v>
      </c>
      <c r="BG463" s="909">
        <f t="shared" ca="1" si="369"/>
        <v>0</v>
      </c>
      <c r="BH463" s="909">
        <f t="shared" si="370"/>
        <v>288205.86782045534</v>
      </c>
      <c r="BI463" s="909">
        <f t="shared" ca="1" si="371"/>
        <v>-288160.26263962162</v>
      </c>
      <c r="BJ463" s="909"/>
      <c r="BK463" s="653">
        <v>4</v>
      </c>
      <c r="BL463" s="909">
        <f t="shared" ca="1" si="329"/>
        <v>-9331.4749999999985</v>
      </c>
      <c r="BM463" s="909">
        <f t="shared" ca="1" si="330"/>
        <v>-91761.29207244594</v>
      </c>
      <c r="BN463" s="909">
        <f t="shared" ca="1" si="331"/>
        <v>-16118.834591999999</v>
      </c>
      <c r="BO463" s="909">
        <f t="shared" ca="1" si="332"/>
        <v>39688.69766444595</v>
      </c>
      <c r="BP463" s="909">
        <f t="shared" ca="1" si="333"/>
        <v>0</v>
      </c>
      <c r="BQ463" s="909">
        <f t="shared" si="334"/>
        <v>77534.903999999995</v>
      </c>
      <c r="BR463" s="909">
        <f t="shared" ca="1" si="335"/>
        <v>-77522.903999999995</v>
      </c>
      <c r="BS463" s="653"/>
      <c r="BT463" s="653"/>
      <c r="BU463" s="653"/>
      <c r="BV463" s="654"/>
    </row>
    <row r="464" spans="2:74" x14ac:dyDescent="0.25">
      <c r="B464" s="651"/>
      <c r="C464" s="653"/>
      <c r="D464" s="653"/>
      <c r="E464" s="653"/>
      <c r="F464" s="653"/>
      <c r="G464" s="653"/>
      <c r="H464" s="653"/>
      <c r="I464" s="653"/>
      <c r="J464" s="653"/>
      <c r="K464" s="653"/>
      <c r="L464" s="653"/>
      <c r="M464" s="651">
        <v>5</v>
      </c>
      <c r="N464" s="909">
        <f t="shared" ca="1" si="336"/>
        <v>9331.4749999999985</v>
      </c>
      <c r="O464" s="909">
        <f t="shared" ca="1" si="337"/>
        <v>0</v>
      </c>
      <c r="P464" s="909">
        <f t="shared" ca="1" si="338"/>
        <v>12</v>
      </c>
      <c r="Q464" s="910">
        <f t="shared" ca="1" si="339"/>
        <v>1819637.6249999993</v>
      </c>
      <c r="R464" s="909">
        <f t="shared" ca="1" si="340"/>
        <v>91761.29207244594</v>
      </c>
      <c r="S464" s="909">
        <f t="shared" ca="1" si="341"/>
        <v>42435.075962422598</v>
      </c>
      <c r="T464" s="909">
        <f t="shared" ca="1" si="342"/>
        <v>49326.216110023342</v>
      </c>
      <c r="U464" s="909">
        <f t="shared" ca="1" si="343"/>
        <v>1365176.3159707298</v>
      </c>
      <c r="V464" s="909">
        <f t="shared" ca="1" si="344"/>
        <v>8640</v>
      </c>
      <c r="W464" s="909">
        <f t="shared" ca="1" si="345"/>
        <v>7478.8345919999992</v>
      </c>
      <c r="X464" s="909">
        <f t="shared" ca="1" si="346"/>
        <v>117223.60166444595</v>
      </c>
      <c r="Y464" s="909">
        <f t="shared" ca="1" si="347"/>
        <v>-39688.69766444595</v>
      </c>
      <c r="Z464" s="910">
        <f t="shared" ca="1" si="348"/>
        <v>-198443.48832222976</v>
      </c>
      <c r="AA464" s="909">
        <f t="shared" ca="1" si="349"/>
        <v>-39688.69766444595</v>
      </c>
      <c r="AB464" s="910">
        <f t="shared" ca="1" si="350"/>
        <v>-198443.48832222976</v>
      </c>
      <c r="AC464" s="911">
        <f t="shared" ca="1" si="351"/>
        <v>0</v>
      </c>
      <c r="AD464" s="911">
        <f t="shared" ca="1" si="352"/>
        <v>0</v>
      </c>
      <c r="AE464" s="909">
        <f t="shared" ca="1" si="353"/>
        <v>0</v>
      </c>
      <c r="AF464" s="912">
        <f t="shared" ca="1" si="320"/>
        <v>0</v>
      </c>
      <c r="AG464" s="909">
        <f t="shared" si="354"/>
        <v>77534.903999999995</v>
      </c>
      <c r="AH464" s="917">
        <f t="shared" ca="1" si="355"/>
        <v>77534.903999999995</v>
      </c>
      <c r="AI464" s="909">
        <f t="shared" ca="1" si="356"/>
        <v>-77534.903999999995</v>
      </c>
      <c r="AJ464" s="916">
        <f t="shared" ca="1" si="357"/>
        <v>0</v>
      </c>
      <c r="AK464" s="916">
        <f t="shared" ca="1" si="358"/>
        <v>-77534.903999999995</v>
      </c>
      <c r="AL464" s="909">
        <f t="shared" ca="1" si="359"/>
        <v>0</v>
      </c>
      <c r="AM464" s="918">
        <f t="shared" ca="1" si="360"/>
        <v>77534.903999999995</v>
      </c>
      <c r="AN464" s="915">
        <f t="shared" si="321"/>
        <v>5</v>
      </c>
      <c r="AO464" s="653">
        <f t="shared" si="361"/>
        <v>77534.903999999995</v>
      </c>
      <c r="AP464" s="916">
        <f t="shared" ca="1" si="362"/>
        <v>9343.4749999999985</v>
      </c>
      <c r="AQ464" s="916">
        <f t="shared" ca="1" si="363"/>
        <v>-39688.69766444595</v>
      </c>
      <c r="AR464" s="653"/>
      <c r="AS464" s="653">
        <v>5</v>
      </c>
      <c r="AT464" s="909">
        <f t="shared" ca="1" si="322"/>
        <v>-8049.4123062612161</v>
      </c>
      <c r="AU464" s="909">
        <f t="shared" ca="1" si="323"/>
        <v>-79154.096608132822</v>
      </c>
      <c r="AV464" s="909">
        <f t="shared" ca="1" si="324"/>
        <v>-13904.248313094533</v>
      </c>
      <c r="AW464" s="909">
        <f t="shared" ca="1" si="325"/>
        <v>34235.819246118335</v>
      </c>
      <c r="AX464" s="909">
        <f t="shared" ca="1" si="326"/>
        <v>0</v>
      </c>
      <c r="AY464" s="909">
        <f t="shared" si="327"/>
        <v>66882.289286782863</v>
      </c>
      <c r="AZ464" s="909">
        <f t="shared" ca="1" si="328"/>
        <v>-66871.93798137024</v>
      </c>
      <c r="BA464" s="653"/>
      <c r="BB464" s="653">
        <f t="shared" si="364"/>
        <v>5</v>
      </c>
      <c r="BC464" s="909">
        <f t="shared" ca="1" si="365"/>
        <v>-42735.423124626104</v>
      </c>
      <c r="BD464" s="909">
        <f t="shared" ca="1" si="366"/>
        <v>-420239.84881043748</v>
      </c>
      <c r="BE464" s="909">
        <f t="shared" ca="1" si="367"/>
        <v>-73819.542630182274</v>
      </c>
      <c r="BF464" s="909">
        <f t="shared" ca="1" si="368"/>
        <v>181762.61394425403</v>
      </c>
      <c r="BG464" s="909">
        <f t="shared" ca="1" si="369"/>
        <v>0</v>
      </c>
      <c r="BH464" s="909">
        <f t="shared" si="370"/>
        <v>355088.15710723819</v>
      </c>
      <c r="BI464" s="909">
        <f t="shared" ca="1" si="371"/>
        <v>-355032.20062099188</v>
      </c>
      <c r="BJ464" s="909"/>
      <c r="BK464" s="653">
        <v>5</v>
      </c>
      <c r="BL464" s="909">
        <f t="shared" ca="1" si="329"/>
        <v>-9331.4749999999985</v>
      </c>
      <c r="BM464" s="909">
        <f t="shared" ca="1" si="330"/>
        <v>-91761.29207244594</v>
      </c>
      <c r="BN464" s="909">
        <f t="shared" ca="1" si="331"/>
        <v>-16118.834591999999</v>
      </c>
      <c r="BO464" s="909">
        <f t="shared" ca="1" si="332"/>
        <v>39688.69766444595</v>
      </c>
      <c r="BP464" s="909">
        <f t="shared" ca="1" si="333"/>
        <v>0</v>
      </c>
      <c r="BQ464" s="909">
        <f t="shared" si="334"/>
        <v>77534.903999999995</v>
      </c>
      <c r="BR464" s="909">
        <f t="shared" ca="1" si="335"/>
        <v>-77522.903999999995</v>
      </c>
      <c r="BS464" s="653"/>
      <c r="BT464" s="653"/>
      <c r="BU464" s="653"/>
      <c r="BV464" s="654"/>
    </row>
    <row r="465" spans="2:74" x14ac:dyDescent="0.25">
      <c r="B465" s="651"/>
      <c r="C465" s="653"/>
      <c r="D465" s="653"/>
      <c r="E465" s="653"/>
      <c r="F465" s="653"/>
      <c r="G465" s="653"/>
      <c r="H465" s="653"/>
      <c r="I465" s="653"/>
      <c r="J465" s="653"/>
      <c r="K465" s="653"/>
      <c r="L465" s="653"/>
      <c r="M465" s="651">
        <v>6</v>
      </c>
      <c r="N465" s="909">
        <f t="shared" ca="1" si="336"/>
        <v>9331.4749999999985</v>
      </c>
      <c r="O465" s="909">
        <f t="shared" ca="1" si="337"/>
        <v>0</v>
      </c>
      <c r="P465" s="909">
        <f t="shared" ca="1" si="338"/>
        <v>12</v>
      </c>
      <c r="Q465" s="910">
        <f t="shared" ca="1" si="339"/>
        <v>1810306.1499999992</v>
      </c>
      <c r="R465" s="909">
        <f t="shared" ca="1" si="340"/>
        <v>91761.29207244594</v>
      </c>
      <c r="S465" s="909">
        <f t="shared" ca="1" si="341"/>
        <v>40955.289479121893</v>
      </c>
      <c r="T465" s="909">
        <f t="shared" ca="1" si="342"/>
        <v>50806.002593324047</v>
      </c>
      <c r="U465" s="909">
        <f t="shared" ca="1" si="343"/>
        <v>1314370.3133774057</v>
      </c>
      <c r="V465" s="909">
        <f t="shared" ca="1" si="344"/>
        <v>8640</v>
      </c>
      <c r="W465" s="909">
        <f t="shared" ca="1" si="345"/>
        <v>7478.8345919999992</v>
      </c>
      <c r="X465" s="909">
        <f t="shared" ca="1" si="346"/>
        <v>117223.60166444595</v>
      </c>
      <c r="Y465" s="909">
        <f t="shared" ca="1" si="347"/>
        <v>-39688.69766444595</v>
      </c>
      <c r="Z465" s="910">
        <f t="shared" ca="1" si="348"/>
        <v>-238132.18598667573</v>
      </c>
      <c r="AA465" s="909">
        <f t="shared" ca="1" si="349"/>
        <v>-39688.69766444595</v>
      </c>
      <c r="AB465" s="910">
        <f t="shared" ca="1" si="350"/>
        <v>-238132.18598667573</v>
      </c>
      <c r="AC465" s="911">
        <f t="shared" ca="1" si="351"/>
        <v>0</v>
      </c>
      <c r="AD465" s="911">
        <f t="shared" ca="1" si="352"/>
        <v>0</v>
      </c>
      <c r="AE465" s="909">
        <f t="shared" ca="1" si="353"/>
        <v>0</v>
      </c>
      <c r="AF465" s="912">
        <f t="shared" ca="1" si="320"/>
        <v>0</v>
      </c>
      <c r="AG465" s="909">
        <f t="shared" si="354"/>
        <v>77534.903999999995</v>
      </c>
      <c r="AH465" s="917">
        <f t="shared" ca="1" si="355"/>
        <v>77534.903999999995</v>
      </c>
      <c r="AI465" s="909">
        <f t="shared" ca="1" si="356"/>
        <v>-77534.903999999995</v>
      </c>
      <c r="AJ465" s="916">
        <f t="shared" ca="1" si="357"/>
        <v>0</v>
      </c>
      <c r="AK465" s="916">
        <f t="shared" ca="1" si="358"/>
        <v>-77534.903999999995</v>
      </c>
      <c r="AL465" s="909">
        <f t="shared" ca="1" si="359"/>
        <v>0</v>
      </c>
      <c r="AM465" s="918">
        <f t="shared" ca="1" si="360"/>
        <v>77534.903999999995</v>
      </c>
      <c r="AN465" s="915">
        <f t="shared" si="321"/>
        <v>6</v>
      </c>
      <c r="AO465" s="653">
        <f t="shared" si="361"/>
        <v>77534.903999999995</v>
      </c>
      <c r="AP465" s="916">
        <f t="shared" ca="1" si="362"/>
        <v>9343.4749999999985</v>
      </c>
      <c r="AQ465" s="916">
        <f t="shared" ca="1" si="363"/>
        <v>-39688.69766444595</v>
      </c>
      <c r="AR465" s="653"/>
      <c r="AS465" s="653">
        <v>6</v>
      </c>
      <c r="AT465" s="909">
        <f t="shared" ca="1" si="322"/>
        <v>-7814.9634041371028</v>
      </c>
      <c r="AU465" s="909">
        <f t="shared" ca="1" si="323"/>
        <v>-76848.637483624101</v>
      </c>
      <c r="AV465" s="909">
        <f t="shared" ca="1" si="324"/>
        <v>-13499.270206887895</v>
      </c>
      <c r="AW465" s="909">
        <f t="shared" ca="1" si="325"/>
        <v>33238.659462250806</v>
      </c>
      <c r="AX465" s="909">
        <f t="shared" ca="1" si="326"/>
        <v>0</v>
      </c>
      <c r="AY465" s="909">
        <f t="shared" si="327"/>
        <v>64934.261443478499</v>
      </c>
      <c r="AZ465" s="909">
        <f t="shared" ca="1" si="328"/>
        <v>-64924.211632398299</v>
      </c>
      <c r="BA465" s="653"/>
      <c r="BB465" s="653">
        <f t="shared" si="364"/>
        <v>6</v>
      </c>
      <c r="BC465" s="909">
        <f t="shared" ca="1" si="365"/>
        <v>-50550.386528763207</v>
      </c>
      <c r="BD465" s="909">
        <f t="shared" ca="1" si="366"/>
        <v>-497088.48629406159</v>
      </c>
      <c r="BE465" s="909">
        <f t="shared" ca="1" si="367"/>
        <v>-87318.812837070174</v>
      </c>
      <c r="BF465" s="909">
        <f t="shared" ca="1" si="368"/>
        <v>215001.27340650483</v>
      </c>
      <c r="BG465" s="909">
        <f t="shared" ca="1" si="369"/>
        <v>0</v>
      </c>
      <c r="BH465" s="909">
        <f t="shared" si="370"/>
        <v>420022.41855071671</v>
      </c>
      <c r="BI465" s="909">
        <f t="shared" ca="1" si="371"/>
        <v>-419956.41225339018</v>
      </c>
      <c r="BJ465" s="909"/>
      <c r="BK465" s="653">
        <v>6</v>
      </c>
      <c r="BL465" s="909">
        <f t="shared" ca="1" si="329"/>
        <v>-9331.4749999999985</v>
      </c>
      <c r="BM465" s="909">
        <f t="shared" ca="1" si="330"/>
        <v>-91761.29207244594</v>
      </c>
      <c r="BN465" s="909">
        <f t="shared" ca="1" si="331"/>
        <v>-16118.834591999999</v>
      </c>
      <c r="BO465" s="909">
        <f t="shared" ca="1" si="332"/>
        <v>39688.69766444595</v>
      </c>
      <c r="BP465" s="909">
        <f t="shared" ca="1" si="333"/>
        <v>0</v>
      </c>
      <c r="BQ465" s="909">
        <f t="shared" si="334"/>
        <v>77534.903999999995</v>
      </c>
      <c r="BR465" s="909">
        <f t="shared" ca="1" si="335"/>
        <v>-77522.903999999995</v>
      </c>
      <c r="BS465" s="653"/>
      <c r="BT465" s="653"/>
      <c r="BU465" s="653"/>
      <c r="BV465" s="654"/>
    </row>
    <row r="466" spans="2:74" x14ac:dyDescent="0.25">
      <c r="B466" s="651"/>
      <c r="C466" s="653"/>
      <c r="D466" s="653"/>
      <c r="E466" s="653"/>
      <c r="F466" s="653"/>
      <c r="G466" s="653"/>
      <c r="H466" s="653"/>
      <c r="I466" s="653"/>
      <c r="J466" s="653"/>
      <c r="K466" s="653"/>
      <c r="L466" s="653"/>
      <c r="M466" s="651">
        <v>7</v>
      </c>
      <c r="N466" s="909">
        <f t="shared" ca="1" si="336"/>
        <v>9331.4749999999985</v>
      </c>
      <c r="O466" s="909">
        <f t="shared" ca="1" si="337"/>
        <v>0</v>
      </c>
      <c r="P466" s="909">
        <f t="shared" ca="1" si="338"/>
        <v>12</v>
      </c>
      <c r="Q466" s="910">
        <f t="shared" ca="1" si="339"/>
        <v>1800974.6749999991</v>
      </c>
      <c r="R466" s="909">
        <f t="shared" ca="1" si="340"/>
        <v>91761.29207244594</v>
      </c>
      <c r="S466" s="909">
        <f t="shared" ca="1" si="341"/>
        <v>39431.109401322174</v>
      </c>
      <c r="T466" s="909">
        <f t="shared" ca="1" si="342"/>
        <v>52330.182671123766</v>
      </c>
      <c r="U466" s="909">
        <f t="shared" ca="1" si="343"/>
        <v>1262040.1307062819</v>
      </c>
      <c r="V466" s="909">
        <f t="shared" ca="1" si="344"/>
        <v>8640</v>
      </c>
      <c r="W466" s="909">
        <f t="shared" ca="1" si="345"/>
        <v>7478.8345919999992</v>
      </c>
      <c r="X466" s="909">
        <f t="shared" ca="1" si="346"/>
        <v>117223.60166444595</v>
      </c>
      <c r="Y466" s="909">
        <f t="shared" ca="1" si="347"/>
        <v>-39688.69766444595</v>
      </c>
      <c r="Z466" s="910">
        <f t="shared" ca="1" si="348"/>
        <v>-277820.88365112169</v>
      </c>
      <c r="AA466" s="909">
        <f t="shared" ca="1" si="349"/>
        <v>-39688.69766444595</v>
      </c>
      <c r="AB466" s="910">
        <f t="shared" ca="1" si="350"/>
        <v>-277820.88365112169</v>
      </c>
      <c r="AC466" s="911">
        <f t="shared" ca="1" si="351"/>
        <v>0</v>
      </c>
      <c r="AD466" s="911">
        <f t="shared" ca="1" si="352"/>
        <v>0</v>
      </c>
      <c r="AE466" s="909">
        <f t="shared" ca="1" si="353"/>
        <v>0</v>
      </c>
      <c r="AF466" s="912">
        <f t="shared" ca="1" si="320"/>
        <v>0</v>
      </c>
      <c r="AG466" s="909">
        <f t="shared" si="354"/>
        <v>77534.903999999995</v>
      </c>
      <c r="AH466" s="917">
        <f t="shared" ca="1" si="355"/>
        <v>77534.903999999995</v>
      </c>
      <c r="AI466" s="909">
        <f t="shared" ca="1" si="356"/>
        <v>-77534.903999999995</v>
      </c>
      <c r="AJ466" s="916">
        <f t="shared" ca="1" si="357"/>
        <v>0</v>
      </c>
      <c r="AK466" s="916">
        <f t="shared" ca="1" si="358"/>
        <v>-77534.903999999995</v>
      </c>
      <c r="AL466" s="909">
        <f t="shared" ca="1" si="359"/>
        <v>0</v>
      </c>
      <c r="AM466" s="918">
        <f t="shared" ca="1" si="360"/>
        <v>77534.903999999995</v>
      </c>
      <c r="AN466" s="915">
        <f t="shared" si="321"/>
        <v>7</v>
      </c>
      <c r="AO466" s="653">
        <f t="shared" si="361"/>
        <v>77534.903999999995</v>
      </c>
      <c r="AP466" s="916">
        <f t="shared" ca="1" si="362"/>
        <v>9343.4749999999985</v>
      </c>
      <c r="AQ466" s="916">
        <f t="shared" ca="1" si="363"/>
        <v>-39688.69766444595</v>
      </c>
      <c r="AR466" s="653"/>
      <c r="AS466" s="653">
        <v>7</v>
      </c>
      <c r="AT466" s="909">
        <f t="shared" ca="1" si="322"/>
        <v>-7587.3431108127206</v>
      </c>
      <c r="AU466" s="909">
        <f t="shared" ca="1" si="323"/>
        <v>-74610.327654003981</v>
      </c>
      <c r="AV466" s="909">
        <f t="shared" ca="1" si="324"/>
        <v>-13106.087579502811</v>
      </c>
      <c r="AW466" s="909">
        <f t="shared" ca="1" si="325"/>
        <v>32270.543167233795</v>
      </c>
      <c r="AX466" s="909">
        <f t="shared" ca="1" si="326"/>
        <v>0</v>
      </c>
      <c r="AY466" s="909">
        <f t="shared" si="327"/>
        <v>63042.972275221844</v>
      </c>
      <c r="AZ466" s="909">
        <f t="shared" ca="1" si="328"/>
        <v>-63033.215177085724</v>
      </c>
      <c r="BA466" s="653"/>
      <c r="BB466" s="653">
        <f t="shared" si="364"/>
        <v>7</v>
      </c>
      <c r="BC466" s="909">
        <f t="shared" ca="1" si="365"/>
        <v>-58137.729639575926</v>
      </c>
      <c r="BD466" s="909">
        <f t="shared" ca="1" si="366"/>
        <v>-571698.81394806551</v>
      </c>
      <c r="BE466" s="909">
        <f t="shared" ca="1" si="367"/>
        <v>-100424.90041657299</v>
      </c>
      <c r="BF466" s="909">
        <f t="shared" ca="1" si="368"/>
        <v>247271.81657373862</v>
      </c>
      <c r="BG466" s="909">
        <f t="shared" ca="1" si="369"/>
        <v>0</v>
      </c>
      <c r="BH466" s="909">
        <f t="shared" si="370"/>
        <v>483065.39082593855</v>
      </c>
      <c r="BI466" s="909">
        <f t="shared" ca="1" si="371"/>
        <v>-482989.6274304759</v>
      </c>
      <c r="BJ466" s="909"/>
      <c r="BK466" s="653">
        <v>7</v>
      </c>
      <c r="BL466" s="909">
        <f t="shared" ca="1" si="329"/>
        <v>-9331.4749999999985</v>
      </c>
      <c r="BM466" s="909">
        <f t="shared" ca="1" si="330"/>
        <v>-91761.29207244594</v>
      </c>
      <c r="BN466" s="909">
        <f t="shared" ca="1" si="331"/>
        <v>-16118.834591999999</v>
      </c>
      <c r="BO466" s="909">
        <f t="shared" ca="1" si="332"/>
        <v>39688.69766444595</v>
      </c>
      <c r="BP466" s="909">
        <f t="shared" ca="1" si="333"/>
        <v>0</v>
      </c>
      <c r="BQ466" s="909">
        <f t="shared" si="334"/>
        <v>77534.903999999995</v>
      </c>
      <c r="BR466" s="909">
        <f t="shared" ca="1" si="335"/>
        <v>-77522.903999999995</v>
      </c>
      <c r="BS466" s="653"/>
      <c r="BT466" s="653"/>
      <c r="BU466" s="653"/>
      <c r="BV466" s="654"/>
    </row>
    <row r="467" spans="2:74" x14ac:dyDescent="0.25">
      <c r="B467" s="651"/>
      <c r="C467" s="653"/>
      <c r="D467" s="653"/>
      <c r="E467" s="653"/>
      <c r="F467" s="653"/>
      <c r="G467" s="653"/>
      <c r="H467" s="653"/>
      <c r="I467" s="653"/>
      <c r="J467" s="653"/>
      <c r="K467" s="653"/>
      <c r="L467" s="653"/>
      <c r="M467" s="651">
        <v>8</v>
      </c>
      <c r="N467" s="909">
        <f t="shared" ca="1" si="336"/>
        <v>9331.4749999999985</v>
      </c>
      <c r="O467" s="909">
        <f t="shared" ca="1" si="337"/>
        <v>0</v>
      </c>
      <c r="P467" s="909">
        <f t="shared" ca="1" si="338"/>
        <v>12</v>
      </c>
      <c r="Q467" s="910">
        <f t="shared" ca="1" si="339"/>
        <v>1791643.199999999</v>
      </c>
      <c r="R467" s="909">
        <f t="shared" ca="1" si="340"/>
        <v>91761.29207244594</v>
      </c>
      <c r="S467" s="909">
        <f t="shared" ca="1" si="341"/>
        <v>37861.203921188455</v>
      </c>
      <c r="T467" s="909">
        <f t="shared" ca="1" si="342"/>
        <v>53900.088151257485</v>
      </c>
      <c r="U467" s="909">
        <f t="shared" ca="1" si="343"/>
        <v>1208140.0425550244</v>
      </c>
      <c r="V467" s="909">
        <f t="shared" ca="1" si="344"/>
        <v>8640</v>
      </c>
      <c r="W467" s="909">
        <f t="shared" ca="1" si="345"/>
        <v>7478.8345919999992</v>
      </c>
      <c r="X467" s="909">
        <f t="shared" ca="1" si="346"/>
        <v>117223.60166444595</v>
      </c>
      <c r="Y467" s="909">
        <f t="shared" ca="1" si="347"/>
        <v>-39688.69766444595</v>
      </c>
      <c r="Z467" s="910">
        <f t="shared" ca="1" si="348"/>
        <v>-317509.58131556766</v>
      </c>
      <c r="AA467" s="909">
        <f t="shared" ca="1" si="349"/>
        <v>-39688.69766444595</v>
      </c>
      <c r="AB467" s="910">
        <f t="shared" ca="1" si="350"/>
        <v>-317509.58131556766</v>
      </c>
      <c r="AC467" s="911">
        <f t="shared" ca="1" si="351"/>
        <v>0</v>
      </c>
      <c r="AD467" s="911">
        <f t="shared" ca="1" si="352"/>
        <v>0</v>
      </c>
      <c r="AE467" s="909">
        <f t="shared" ca="1" si="353"/>
        <v>0</v>
      </c>
      <c r="AF467" s="912">
        <f t="shared" ca="1" si="320"/>
        <v>0</v>
      </c>
      <c r="AG467" s="909">
        <f t="shared" si="354"/>
        <v>77534.903999999995</v>
      </c>
      <c r="AH467" s="917">
        <f t="shared" ca="1" si="355"/>
        <v>77534.903999999995</v>
      </c>
      <c r="AI467" s="909">
        <f t="shared" ca="1" si="356"/>
        <v>-77534.903999999995</v>
      </c>
      <c r="AJ467" s="916">
        <f t="shared" ca="1" si="357"/>
        <v>0</v>
      </c>
      <c r="AK467" s="916">
        <f t="shared" ca="1" si="358"/>
        <v>-77534.903999999995</v>
      </c>
      <c r="AL467" s="909">
        <f t="shared" ca="1" si="359"/>
        <v>0</v>
      </c>
      <c r="AM467" s="918">
        <f t="shared" ca="1" si="360"/>
        <v>77534.903999999995</v>
      </c>
      <c r="AN467" s="915">
        <f t="shared" si="321"/>
        <v>8</v>
      </c>
      <c r="AO467" s="653">
        <f t="shared" si="361"/>
        <v>77534.903999999995</v>
      </c>
      <c r="AP467" s="916">
        <f t="shared" ca="1" si="362"/>
        <v>9343.4749999999985</v>
      </c>
      <c r="AQ467" s="916">
        <f t="shared" ca="1" si="363"/>
        <v>-39688.69766444595</v>
      </c>
      <c r="AR467" s="653"/>
      <c r="AS467" s="653">
        <v>8</v>
      </c>
      <c r="AT467" s="909">
        <f t="shared" ca="1" si="322"/>
        <v>-7366.3525347696323</v>
      </c>
      <c r="AU467" s="909">
        <f t="shared" ca="1" si="323"/>
        <v>-72437.211314566972</v>
      </c>
      <c r="AV467" s="909">
        <f t="shared" ca="1" si="324"/>
        <v>-12724.356873303699</v>
      </c>
      <c r="AW467" s="909">
        <f t="shared" ca="1" si="325"/>
        <v>31330.624434207566</v>
      </c>
      <c r="AX467" s="909">
        <f t="shared" ca="1" si="326"/>
        <v>0</v>
      </c>
      <c r="AY467" s="909">
        <f t="shared" si="327"/>
        <v>61206.769199244511</v>
      </c>
      <c r="AZ467" s="909">
        <f t="shared" ca="1" si="328"/>
        <v>-61197.296288432728</v>
      </c>
      <c r="BA467" s="653"/>
      <c r="BB467" s="653">
        <f t="shared" si="364"/>
        <v>8</v>
      </c>
      <c r="BC467" s="909">
        <f t="shared" ca="1" si="365"/>
        <v>-65504.08217434556</v>
      </c>
      <c r="BD467" s="909">
        <f t="shared" ca="1" si="366"/>
        <v>-644136.02526263252</v>
      </c>
      <c r="BE467" s="909">
        <f t="shared" ca="1" si="367"/>
        <v>-113149.25728987668</v>
      </c>
      <c r="BF467" s="909">
        <f t="shared" ca="1" si="368"/>
        <v>278602.44100794615</v>
      </c>
      <c r="BG467" s="909">
        <f t="shared" ca="1" si="369"/>
        <v>0</v>
      </c>
      <c r="BH467" s="909">
        <f t="shared" si="370"/>
        <v>544272.16002518311</v>
      </c>
      <c r="BI467" s="909">
        <f t="shared" ca="1" si="371"/>
        <v>-544186.92371890857</v>
      </c>
      <c r="BJ467" s="909"/>
      <c r="BK467" s="653">
        <v>8</v>
      </c>
      <c r="BL467" s="909">
        <f t="shared" ca="1" si="329"/>
        <v>-9331.4749999999985</v>
      </c>
      <c r="BM467" s="909">
        <f t="shared" ca="1" si="330"/>
        <v>-91761.29207244594</v>
      </c>
      <c r="BN467" s="909">
        <f t="shared" ca="1" si="331"/>
        <v>-16118.834591999999</v>
      </c>
      <c r="BO467" s="909">
        <f t="shared" ca="1" si="332"/>
        <v>39688.69766444595</v>
      </c>
      <c r="BP467" s="909">
        <f t="shared" ca="1" si="333"/>
        <v>0</v>
      </c>
      <c r="BQ467" s="909">
        <f t="shared" si="334"/>
        <v>77534.903999999995</v>
      </c>
      <c r="BR467" s="909">
        <f t="shared" ca="1" si="335"/>
        <v>-77522.903999999995</v>
      </c>
      <c r="BS467" s="653"/>
      <c r="BT467" s="653"/>
      <c r="BU467" s="653"/>
      <c r="BV467" s="654"/>
    </row>
    <row r="468" spans="2:74" x14ac:dyDescent="0.25">
      <c r="B468" s="651"/>
      <c r="C468" s="653"/>
      <c r="D468" s="653"/>
      <c r="E468" s="653"/>
      <c r="F468" s="653"/>
      <c r="G468" s="653"/>
      <c r="H468" s="653"/>
      <c r="I468" s="653"/>
      <c r="J468" s="653"/>
      <c r="K468" s="653"/>
      <c r="L468" s="653"/>
      <c r="M468" s="651">
        <v>9</v>
      </c>
      <c r="N468" s="909">
        <f t="shared" ca="1" si="336"/>
        <v>9331.4749999999985</v>
      </c>
      <c r="O468" s="909">
        <f t="shared" ca="1" si="337"/>
        <v>0</v>
      </c>
      <c r="P468" s="909">
        <f t="shared" ca="1" si="338"/>
        <v>12</v>
      </c>
      <c r="Q468" s="910">
        <f t="shared" ca="1" si="339"/>
        <v>1782311.7249999989</v>
      </c>
      <c r="R468" s="909">
        <f t="shared" ca="1" si="340"/>
        <v>91761.29207244594</v>
      </c>
      <c r="S468" s="909">
        <f t="shared" ca="1" si="341"/>
        <v>36244.201276650732</v>
      </c>
      <c r="T468" s="909">
        <f t="shared" ca="1" si="342"/>
        <v>55517.090795795208</v>
      </c>
      <c r="U468" s="909">
        <f t="shared" ca="1" si="343"/>
        <v>1152622.9517592292</v>
      </c>
      <c r="V468" s="909">
        <f t="shared" ca="1" si="344"/>
        <v>8640</v>
      </c>
      <c r="W468" s="909">
        <f t="shared" ca="1" si="345"/>
        <v>7478.8345919999992</v>
      </c>
      <c r="X468" s="909">
        <f t="shared" ca="1" si="346"/>
        <v>117223.60166444595</v>
      </c>
      <c r="Y468" s="909">
        <f t="shared" ca="1" si="347"/>
        <v>-39688.69766444595</v>
      </c>
      <c r="Z468" s="910">
        <f t="shared" ca="1" si="348"/>
        <v>-357198.27898001362</v>
      </c>
      <c r="AA468" s="909">
        <f t="shared" ca="1" si="349"/>
        <v>-39688.69766444595</v>
      </c>
      <c r="AB468" s="910">
        <f t="shared" ca="1" si="350"/>
        <v>-357198.27898001362</v>
      </c>
      <c r="AC468" s="911">
        <f t="shared" ca="1" si="351"/>
        <v>0</v>
      </c>
      <c r="AD468" s="911">
        <f t="shared" ca="1" si="352"/>
        <v>0</v>
      </c>
      <c r="AE468" s="909">
        <f t="shared" ca="1" si="353"/>
        <v>0</v>
      </c>
      <c r="AF468" s="912">
        <f t="shared" ca="1" si="320"/>
        <v>0</v>
      </c>
      <c r="AG468" s="909">
        <f t="shared" si="354"/>
        <v>77534.903999999995</v>
      </c>
      <c r="AH468" s="917">
        <f t="shared" ca="1" si="355"/>
        <v>77534.903999999995</v>
      </c>
      <c r="AI468" s="909">
        <f t="shared" ca="1" si="356"/>
        <v>-77534.903999999995</v>
      </c>
      <c r="AJ468" s="916">
        <f t="shared" ca="1" si="357"/>
        <v>0</v>
      </c>
      <c r="AK468" s="916">
        <f t="shared" ca="1" si="358"/>
        <v>-77534.903999999995</v>
      </c>
      <c r="AL468" s="909">
        <f t="shared" ca="1" si="359"/>
        <v>0</v>
      </c>
      <c r="AM468" s="918">
        <f t="shared" ca="1" si="360"/>
        <v>77534.903999999995</v>
      </c>
      <c r="AN468" s="915">
        <f t="shared" si="321"/>
        <v>9</v>
      </c>
      <c r="AO468" s="653">
        <f t="shared" si="361"/>
        <v>77534.903999999995</v>
      </c>
      <c r="AP468" s="916">
        <f t="shared" ca="1" si="362"/>
        <v>9343.4749999999985</v>
      </c>
      <c r="AQ468" s="916">
        <f t="shared" ca="1" si="363"/>
        <v>-39688.69766444595</v>
      </c>
      <c r="AR468" s="909"/>
      <c r="AS468" s="653">
        <v>9</v>
      </c>
      <c r="AT468" s="909">
        <f t="shared" ca="1" si="322"/>
        <v>-7151.798577446245</v>
      </c>
      <c r="AU468" s="909">
        <f t="shared" ca="1" si="323"/>
        <v>-70327.389625793177</v>
      </c>
      <c r="AV468" s="909">
        <f t="shared" ca="1" si="324"/>
        <v>-12353.744537188059</v>
      </c>
      <c r="AW468" s="909">
        <f t="shared" ca="1" si="325"/>
        <v>30418.081974958804</v>
      </c>
      <c r="AX468" s="909">
        <f t="shared" ca="1" si="326"/>
        <v>0</v>
      </c>
      <c r="AY468" s="909">
        <f t="shared" si="327"/>
        <v>59424.047766256808</v>
      </c>
      <c r="AZ468" s="909">
        <f t="shared" ca="1" si="328"/>
        <v>-59414.850765468676</v>
      </c>
      <c r="BA468" s="653"/>
      <c r="BB468" s="653">
        <f t="shared" si="364"/>
        <v>9</v>
      </c>
      <c r="BC468" s="909">
        <f t="shared" ca="1" si="365"/>
        <v>-72655.880751791803</v>
      </c>
      <c r="BD468" s="909">
        <f t="shared" ca="1" si="366"/>
        <v>-714463.41488842573</v>
      </c>
      <c r="BE468" s="909">
        <f t="shared" ca="1" si="367"/>
        <v>-125503.00182706474</v>
      </c>
      <c r="BF468" s="909">
        <f t="shared" ca="1" si="368"/>
        <v>309020.52298290498</v>
      </c>
      <c r="BG468" s="909">
        <f t="shared" ca="1" si="369"/>
        <v>0</v>
      </c>
      <c r="BH468" s="909">
        <f t="shared" si="370"/>
        <v>603696.20779143996</v>
      </c>
      <c r="BI468" s="909">
        <f t="shared" ca="1" si="371"/>
        <v>-603601.77448437724</v>
      </c>
      <c r="BJ468" s="909"/>
      <c r="BK468" s="653">
        <v>9</v>
      </c>
      <c r="BL468" s="909">
        <f t="shared" ca="1" si="329"/>
        <v>-9331.4749999999985</v>
      </c>
      <c r="BM468" s="909">
        <f t="shared" ca="1" si="330"/>
        <v>-91761.29207244594</v>
      </c>
      <c r="BN468" s="909">
        <f t="shared" ca="1" si="331"/>
        <v>-16118.834591999999</v>
      </c>
      <c r="BO468" s="909">
        <f t="shared" ca="1" si="332"/>
        <v>39688.69766444595</v>
      </c>
      <c r="BP468" s="909">
        <f t="shared" ca="1" si="333"/>
        <v>0</v>
      </c>
      <c r="BQ468" s="909">
        <f t="shared" si="334"/>
        <v>77534.903999999995</v>
      </c>
      <c r="BR468" s="909">
        <f t="shared" ca="1" si="335"/>
        <v>-77522.903999999995</v>
      </c>
      <c r="BS468" s="653"/>
      <c r="BT468" s="653"/>
      <c r="BU468" s="653"/>
      <c r="BV468" s="654"/>
    </row>
    <row r="469" spans="2:74" x14ac:dyDescent="0.25">
      <c r="B469" s="651"/>
      <c r="C469" s="653"/>
      <c r="D469" s="653"/>
      <c r="E469" s="653"/>
      <c r="F469" s="653"/>
      <c r="G469" s="653"/>
      <c r="H469" s="653"/>
      <c r="I469" s="653"/>
      <c r="J469" s="653"/>
      <c r="K469" s="653"/>
      <c r="L469" s="653"/>
      <c r="M469" s="651">
        <v>10</v>
      </c>
      <c r="N469" s="909">
        <f t="shared" ca="1" si="336"/>
        <v>9331.4749999999985</v>
      </c>
      <c r="O469" s="909">
        <f t="shared" ca="1" si="337"/>
        <v>0</v>
      </c>
      <c r="P469" s="909">
        <f t="shared" ca="1" si="338"/>
        <v>12</v>
      </c>
      <c r="Q469" s="910">
        <f t="shared" ca="1" si="339"/>
        <v>1772980.2499999988</v>
      </c>
      <c r="R469" s="909">
        <f t="shared" ca="1" si="340"/>
        <v>91761.29207244594</v>
      </c>
      <c r="S469" s="909">
        <f t="shared" ca="1" si="341"/>
        <v>34578.688552776875</v>
      </c>
      <c r="T469" s="909">
        <f t="shared" ca="1" si="342"/>
        <v>57182.603519669065</v>
      </c>
      <c r="U469" s="909">
        <f t="shared" ca="1" si="343"/>
        <v>1095440.3482395601</v>
      </c>
      <c r="V469" s="909">
        <f t="shared" ca="1" si="344"/>
        <v>8640</v>
      </c>
      <c r="W469" s="909">
        <f t="shared" ca="1" si="345"/>
        <v>7478.8345919999992</v>
      </c>
      <c r="X469" s="909">
        <f t="shared" ca="1" si="346"/>
        <v>117223.60166444595</v>
      </c>
      <c r="Y469" s="909">
        <f t="shared" ca="1" si="347"/>
        <v>-39688.69766444595</v>
      </c>
      <c r="Z469" s="910">
        <f t="shared" ca="1" si="348"/>
        <v>-396886.97664445959</v>
      </c>
      <c r="AA469" s="909">
        <f t="shared" ca="1" si="349"/>
        <v>-39688.69766444595</v>
      </c>
      <c r="AB469" s="910">
        <f t="shared" ca="1" si="350"/>
        <v>-396886.97664445959</v>
      </c>
      <c r="AC469" s="911">
        <f t="shared" ca="1" si="351"/>
        <v>0</v>
      </c>
      <c r="AD469" s="911">
        <f t="shared" ca="1" si="352"/>
        <v>0</v>
      </c>
      <c r="AE469" s="909">
        <f t="shared" ca="1" si="353"/>
        <v>0</v>
      </c>
      <c r="AF469" s="912">
        <f t="shared" ca="1" si="320"/>
        <v>0</v>
      </c>
      <c r="AG469" s="909">
        <f t="shared" si="354"/>
        <v>77534.903999999995</v>
      </c>
      <c r="AH469" s="917">
        <f t="shared" ca="1" si="355"/>
        <v>77534.903999999995</v>
      </c>
      <c r="AI469" s="909">
        <f t="shared" ca="1" si="356"/>
        <v>-77534.903999999995</v>
      </c>
      <c r="AJ469" s="916">
        <f t="shared" ca="1" si="357"/>
        <v>0</v>
      </c>
      <c r="AK469" s="916">
        <f t="shared" ca="1" si="358"/>
        <v>-77534.903999999995</v>
      </c>
      <c r="AL469" s="909">
        <f t="shared" ca="1" si="359"/>
        <v>0</v>
      </c>
      <c r="AM469" s="918">
        <f t="shared" ca="1" si="360"/>
        <v>77534.903999999995</v>
      </c>
      <c r="AN469" s="915">
        <f t="shared" si="321"/>
        <v>10</v>
      </c>
      <c r="AO469" s="653">
        <f t="shared" si="361"/>
        <v>77534.903999999995</v>
      </c>
      <c r="AP469" s="916">
        <f t="shared" ca="1" si="362"/>
        <v>9343.4749999999985</v>
      </c>
      <c r="AQ469" s="916">
        <f t="shared" ca="1" si="363"/>
        <v>-39688.69766444595</v>
      </c>
      <c r="AR469" s="653"/>
      <c r="AS469" s="653">
        <v>10</v>
      </c>
      <c r="AT469" s="909">
        <f t="shared" ca="1" si="322"/>
        <v>-6943.4937645109176</v>
      </c>
      <c r="AU469" s="909">
        <f t="shared" ca="1" si="323"/>
        <v>-68279.019054168137</v>
      </c>
      <c r="AV469" s="909">
        <f t="shared" ca="1" si="324"/>
        <v>-11993.926735134037</v>
      </c>
      <c r="AW469" s="909">
        <f t="shared" ca="1" si="325"/>
        <v>29532.118422290099</v>
      </c>
      <c r="AX469" s="909">
        <f t="shared" ca="1" si="326"/>
        <v>0</v>
      </c>
      <c r="AY469" s="909">
        <f t="shared" si="327"/>
        <v>57693.25025850175</v>
      </c>
      <c r="AZ469" s="909">
        <f t="shared" ca="1" si="328"/>
        <v>-57684.321131522993</v>
      </c>
      <c r="BA469" s="653"/>
      <c r="BB469" s="653">
        <f t="shared" si="364"/>
        <v>10</v>
      </c>
      <c r="BC469" s="909">
        <f t="shared" ca="1" si="365"/>
        <v>-79599.37451630272</v>
      </c>
      <c r="BD469" s="909">
        <f t="shared" ca="1" si="366"/>
        <v>-782742.43394259387</v>
      </c>
      <c r="BE469" s="909">
        <f t="shared" ca="1" si="367"/>
        <v>-137496.92856219877</v>
      </c>
      <c r="BF469" s="909">
        <f t="shared" ca="1" si="368"/>
        <v>338552.64140519506</v>
      </c>
      <c r="BG469" s="909">
        <f t="shared" ca="1" si="369"/>
        <v>0</v>
      </c>
      <c r="BH469" s="909">
        <f t="shared" si="370"/>
        <v>661389.45804994169</v>
      </c>
      <c r="BI469" s="909">
        <f t="shared" ca="1" si="371"/>
        <v>-661286.09561590024</v>
      </c>
      <c r="BJ469" s="909"/>
      <c r="BK469" s="653">
        <v>10</v>
      </c>
      <c r="BL469" s="909">
        <f t="shared" ca="1" si="329"/>
        <v>-9331.4749999999985</v>
      </c>
      <c r="BM469" s="909">
        <f t="shared" ca="1" si="330"/>
        <v>-91761.29207244594</v>
      </c>
      <c r="BN469" s="909">
        <f t="shared" ca="1" si="331"/>
        <v>-16118.834591999999</v>
      </c>
      <c r="BO469" s="909">
        <f t="shared" ca="1" si="332"/>
        <v>39688.69766444595</v>
      </c>
      <c r="BP469" s="909">
        <f t="shared" ca="1" si="333"/>
        <v>0</v>
      </c>
      <c r="BQ469" s="909">
        <f t="shared" si="334"/>
        <v>77534.903999999995</v>
      </c>
      <c r="BR469" s="909">
        <f t="shared" ca="1" si="335"/>
        <v>-77522.903999999995</v>
      </c>
      <c r="BS469" s="653"/>
      <c r="BT469" s="653"/>
      <c r="BU469" s="653"/>
      <c r="BV469" s="654"/>
    </row>
    <row r="470" spans="2:74" x14ac:dyDescent="0.25">
      <c r="B470" s="651"/>
      <c r="C470" s="653"/>
      <c r="D470" s="653"/>
      <c r="E470" s="653"/>
      <c r="F470" s="653"/>
      <c r="G470" s="653"/>
      <c r="H470" s="653"/>
      <c r="I470" s="653"/>
      <c r="J470" s="653"/>
      <c r="K470" s="653"/>
      <c r="L470" s="653"/>
      <c r="M470" s="651">
        <v>11</v>
      </c>
      <c r="N470" s="909">
        <f t="shared" ca="1" si="336"/>
        <v>9331.4749999999985</v>
      </c>
      <c r="O470" s="909">
        <f t="shared" ca="1" si="337"/>
        <v>0</v>
      </c>
      <c r="P470" s="909">
        <f t="shared" ca="1" si="338"/>
        <v>12</v>
      </c>
      <c r="Q470" s="910">
        <f t="shared" ca="1" si="339"/>
        <v>1763648.7749999987</v>
      </c>
      <c r="R470" s="909">
        <f t="shared" ca="1" si="340"/>
        <v>91761.29207244594</v>
      </c>
      <c r="S470" s="909">
        <f t="shared" ca="1" si="341"/>
        <v>32863.210447186801</v>
      </c>
      <c r="T470" s="909">
        <f t="shared" ca="1" si="342"/>
        <v>58898.081625259139</v>
      </c>
      <c r="U470" s="909">
        <f t="shared" ca="1" si="343"/>
        <v>1036542.266614301</v>
      </c>
      <c r="V470" s="909">
        <f t="shared" ca="1" si="344"/>
        <v>8640</v>
      </c>
      <c r="W470" s="909">
        <f t="shared" ca="1" si="345"/>
        <v>7478.8345919999992</v>
      </c>
      <c r="X470" s="909">
        <f t="shared" ca="1" si="346"/>
        <v>117223.60166444595</v>
      </c>
      <c r="Y470" s="909">
        <f t="shared" ca="1" si="347"/>
        <v>-39688.69766444595</v>
      </c>
      <c r="Z470" s="910">
        <f t="shared" ca="1" si="348"/>
        <v>-436575.67430890555</v>
      </c>
      <c r="AA470" s="909">
        <f t="shared" ca="1" si="349"/>
        <v>-39688.69766444595</v>
      </c>
      <c r="AB470" s="910">
        <f t="shared" ca="1" si="350"/>
        <v>-436575.67430890555</v>
      </c>
      <c r="AC470" s="911">
        <f t="shared" ca="1" si="351"/>
        <v>0</v>
      </c>
      <c r="AD470" s="911">
        <f t="shared" ca="1" si="352"/>
        <v>0</v>
      </c>
      <c r="AE470" s="909">
        <f t="shared" ca="1" si="353"/>
        <v>0</v>
      </c>
      <c r="AF470" s="912">
        <f t="shared" ca="1" si="320"/>
        <v>0</v>
      </c>
      <c r="AG470" s="909">
        <f t="shared" si="354"/>
        <v>77534.903999999995</v>
      </c>
      <c r="AH470" s="917">
        <f t="shared" ca="1" si="355"/>
        <v>77534.903999999995</v>
      </c>
      <c r="AI470" s="909">
        <f t="shared" ca="1" si="356"/>
        <v>-77534.903999999995</v>
      </c>
      <c r="AJ470" s="916">
        <f t="shared" ca="1" si="357"/>
        <v>0</v>
      </c>
      <c r="AK470" s="916">
        <f t="shared" ca="1" si="358"/>
        <v>-77534.903999999995</v>
      </c>
      <c r="AL470" s="909">
        <f t="shared" ca="1" si="359"/>
        <v>0</v>
      </c>
      <c r="AM470" s="918">
        <f t="shared" ca="1" si="360"/>
        <v>77534.903999999995</v>
      </c>
      <c r="AN470" s="915">
        <f t="shared" si="321"/>
        <v>11</v>
      </c>
      <c r="AO470" s="653">
        <f t="shared" si="361"/>
        <v>77534.903999999995</v>
      </c>
      <c r="AP470" s="916">
        <f t="shared" ca="1" si="362"/>
        <v>9343.4749999999985</v>
      </c>
      <c r="AQ470" s="916">
        <f t="shared" ca="1" si="363"/>
        <v>-39688.69766444595</v>
      </c>
      <c r="AR470" s="653"/>
      <c r="AS470" s="653">
        <v>11</v>
      </c>
      <c r="AT470" s="909">
        <f t="shared" ca="1" si="322"/>
        <v>-6741.2560820494346</v>
      </c>
      <c r="AU470" s="909">
        <f t="shared" ca="1" si="323"/>
        <v>-66290.309761328288</v>
      </c>
      <c r="AV470" s="909">
        <f t="shared" ca="1" si="324"/>
        <v>-11644.58906323693</v>
      </c>
      <c r="AW470" s="909">
        <f t="shared" ca="1" si="325"/>
        <v>28671.959633291361</v>
      </c>
      <c r="AX470" s="909">
        <f t="shared" ca="1" si="326"/>
        <v>0</v>
      </c>
      <c r="AY470" s="909">
        <f t="shared" si="327"/>
        <v>56012.864328642478</v>
      </c>
      <c r="AZ470" s="909">
        <f t="shared" ca="1" si="328"/>
        <v>-56004.19527332329</v>
      </c>
      <c r="BA470" s="653"/>
      <c r="BB470" s="653">
        <f t="shared" si="364"/>
        <v>11</v>
      </c>
      <c r="BC470" s="909">
        <f t="shared" ca="1" si="365"/>
        <v>-86340.63059835216</v>
      </c>
      <c r="BD470" s="909">
        <f t="shared" ca="1" si="366"/>
        <v>-849032.74370392214</v>
      </c>
      <c r="BE470" s="909">
        <f t="shared" ca="1" si="367"/>
        <v>-149141.51762543569</v>
      </c>
      <c r="BF470" s="909">
        <f t="shared" ca="1" si="368"/>
        <v>367224.60103848641</v>
      </c>
      <c r="BG470" s="909">
        <f t="shared" ca="1" si="369"/>
        <v>0</v>
      </c>
      <c r="BH470" s="909">
        <f t="shared" si="370"/>
        <v>717402.32237858418</v>
      </c>
      <c r="BI470" s="909">
        <f t="shared" ca="1" si="371"/>
        <v>-717290.29088922357</v>
      </c>
      <c r="BJ470" s="909"/>
      <c r="BK470" s="653">
        <v>11</v>
      </c>
      <c r="BL470" s="909">
        <f t="shared" ca="1" si="329"/>
        <v>-9331.4749999999985</v>
      </c>
      <c r="BM470" s="909">
        <f t="shared" ca="1" si="330"/>
        <v>-91761.29207244594</v>
      </c>
      <c r="BN470" s="909">
        <f t="shared" ca="1" si="331"/>
        <v>-16118.834591999999</v>
      </c>
      <c r="BO470" s="909">
        <f t="shared" ca="1" si="332"/>
        <v>39688.69766444595</v>
      </c>
      <c r="BP470" s="909">
        <f t="shared" ca="1" si="333"/>
        <v>0</v>
      </c>
      <c r="BQ470" s="909">
        <f t="shared" si="334"/>
        <v>77534.903999999995</v>
      </c>
      <c r="BR470" s="909">
        <f t="shared" ca="1" si="335"/>
        <v>-77522.903999999995</v>
      </c>
      <c r="BS470" s="653"/>
      <c r="BT470" s="653"/>
      <c r="BU470" s="653"/>
      <c r="BV470" s="654"/>
    </row>
    <row r="471" spans="2:74" x14ac:dyDescent="0.25">
      <c r="B471" s="651"/>
      <c r="C471" s="653"/>
      <c r="D471" s="653"/>
      <c r="E471" s="653"/>
      <c r="F471" s="653"/>
      <c r="G471" s="653"/>
      <c r="H471" s="653"/>
      <c r="I471" s="653"/>
      <c r="J471" s="653"/>
      <c r="K471" s="653"/>
      <c r="L471" s="653"/>
      <c r="M471" s="651">
        <v>12</v>
      </c>
      <c r="N471" s="909">
        <f t="shared" ca="1" si="336"/>
        <v>9331.4749999999985</v>
      </c>
      <c r="O471" s="909">
        <f t="shared" ca="1" si="337"/>
        <v>0</v>
      </c>
      <c r="P471" s="909">
        <f t="shared" ca="1" si="338"/>
        <v>12</v>
      </c>
      <c r="Q471" s="910">
        <f t="shared" ca="1" si="339"/>
        <v>1754317.2999999986</v>
      </c>
      <c r="R471" s="909">
        <f t="shared" ca="1" si="340"/>
        <v>91761.29207244594</v>
      </c>
      <c r="S471" s="909">
        <f t="shared" ca="1" si="341"/>
        <v>31096.26799842903</v>
      </c>
      <c r="T471" s="909">
        <f t="shared" ca="1" si="342"/>
        <v>60665.02407401691</v>
      </c>
      <c r="U471" s="909">
        <f t="shared" ca="1" si="343"/>
        <v>975877.24254028406</v>
      </c>
      <c r="V471" s="909">
        <f t="shared" ca="1" si="344"/>
        <v>8640</v>
      </c>
      <c r="W471" s="909">
        <f t="shared" ca="1" si="345"/>
        <v>7478.8345919999992</v>
      </c>
      <c r="X471" s="909">
        <f t="shared" ca="1" si="346"/>
        <v>117223.60166444595</v>
      </c>
      <c r="Y471" s="909">
        <f t="shared" ca="1" si="347"/>
        <v>-39688.69766444595</v>
      </c>
      <c r="Z471" s="910">
        <f t="shared" ca="1" si="348"/>
        <v>-476264.37197335152</v>
      </c>
      <c r="AA471" s="909">
        <f t="shared" ca="1" si="349"/>
        <v>-39688.69766444595</v>
      </c>
      <c r="AB471" s="910">
        <f t="shared" ca="1" si="350"/>
        <v>-476264.37197335152</v>
      </c>
      <c r="AC471" s="911">
        <f t="shared" ca="1" si="351"/>
        <v>0</v>
      </c>
      <c r="AD471" s="911">
        <f t="shared" ca="1" si="352"/>
        <v>0</v>
      </c>
      <c r="AE471" s="909">
        <f t="shared" ca="1" si="353"/>
        <v>0</v>
      </c>
      <c r="AF471" s="912">
        <f t="shared" ca="1" si="320"/>
        <v>0</v>
      </c>
      <c r="AG471" s="909">
        <f t="shared" si="354"/>
        <v>77534.903999999995</v>
      </c>
      <c r="AH471" s="917">
        <f t="shared" ca="1" si="355"/>
        <v>77534.903999999995</v>
      </c>
      <c r="AI471" s="909">
        <f t="shared" ca="1" si="356"/>
        <v>-77534.903999999995</v>
      </c>
      <c r="AJ471" s="916">
        <f t="shared" ca="1" si="357"/>
        <v>0</v>
      </c>
      <c r="AK471" s="916">
        <f t="shared" ca="1" si="358"/>
        <v>-77534.903999999995</v>
      </c>
      <c r="AL471" s="909">
        <f t="shared" ca="1" si="359"/>
        <v>0</v>
      </c>
      <c r="AM471" s="918">
        <f t="shared" ca="1" si="360"/>
        <v>77534.903999999995</v>
      </c>
      <c r="AN471" s="915">
        <f t="shared" si="321"/>
        <v>12</v>
      </c>
      <c r="AO471" s="653">
        <f t="shared" si="361"/>
        <v>77534.903999999995</v>
      </c>
      <c r="AP471" s="916">
        <f t="shared" ca="1" si="362"/>
        <v>9343.4749999999985</v>
      </c>
      <c r="AQ471" s="916">
        <f t="shared" ca="1" si="363"/>
        <v>-39688.69766444595</v>
      </c>
      <c r="AR471" s="653"/>
      <c r="AS471" s="653">
        <v>12</v>
      </c>
      <c r="AT471" s="909">
        <f t="shared" ca="1" si="322"/>
        <v>-6544.9088175237239</v>
      </c>
      <c r="AU471" s="909">
        <f t="shared" ca="1" si="323"/>
        <v>-64359.524040124561</v>
      </c>
      <c r="AV471" s="909">
        <f t="shared" ca="1" si="324"/>
        <v>-11305.426274987312</v>
      </c>
      <c r="AW471" s="909">
        <f t="shared" ca="1" si="325"/>
        <v>27836.854012904238</v>
      </c>
      <c r="AX471" s="909">
        <f t="shared" ca="1" si="326"/>
        <v>0</v>
      </c>
      <c r="AY471" s="909">
        <f t="shared" si="327"/>
        <v>54381.421678293678</v>
      </c>
      <c r="AZ471" s="909">
        <f t="shared" ca="1" si="328"/>
        <v>-54373.005119731359</v>
      </c>
      <c r="BA471" s="653"/>
      <c r="BB471" s="653">
        <f t="shared" si="364"/>
        <v>12</v>
      </c>
      <c r="BC471" s="909">
        <f t="shared" ca="1" si="365"/>
        <v>-92885.539415875886</v>
      </c>
      <c r="BD471" s="909">
        <f t="shared" ca="1" si="366"/>
        <v>-913392.26774404675</v>
      </c>
      <c r="BE471" s="909">
        <f t="shared" ca="1" si="367"/>
        <v>-160446.94390042301</v>
      </c>
      <c r="BF471" s="909">
        <f t="shared" ca="1" si="368"/>
        <v>395061.45505139063</v>
      </c>
      <c r="BG471" s="909">
        <f t="shared" ca="1" si="369"/>
        <v>0</v>
      </c>
      <c r="BH471" s="909">
        <f t="shared" si="370"/>
        <v>771783.74405687791</v>
      </c>
      <c r="BI471" s="909">
        <f t="shared" ca="1" si="371"/>
        <v>-771663.29600895499</v>
      </c>
      <c r="BJ471" s="909"/>
      <c r="BK471" s="653">
        <v>12</v>
      </c>
      <c r="BL471" s="909">
        <f t="shared" ca="1" si="329"/>
        <v>-9331.4749999999985</v>
      </c>
      <c r="BM471" s="909">
        <f t="shared" ca="1" si="330"/>
        <v>-91761.29207244594</v>
      </c>
      <c r="BN471" s="909">
        <f t="shared" ca="1" si="331"/>
        <v>-16118.834591999999</v>
      </c>
      <c r="BO471" s="909">
        <f t="shared" ca="1" si="332"/>
        <v>39688.69766444595</v>
      </c>
      <c r="BP471" s="909">
        <f t="shared" ca="1" si="333"/>
        <v>0</v>
      </c>
      <c r="BQ471" s="909">
        <f t="shared" si="334"/>
        <v>77534.903999999995</v>
      </c>
      <c r="BR471" s="909">
        <f t="shared" ca="1" si="335"/>
        <v>-77522.903999999995</v>
      </c>
      <c r="BS471" s="653"/>
      <c r="BT471" s="653"/>
      <c r="BU471" s="653"/>
      <c r="BV471" s="654"/>
    </row>
    <row r="472" spans="2:74" x14ac:dyDescent="0.25">
      <c r="B472" s="651"/>
      <c r="C472" s="653"/>
      <c r="D472" s="653"/>
      <c r="E472" s="653"/>
      <c r="F472" s="653"/>
      <c r="G472" s="653"/>
      <c r="H472" s="653"/>
      <c r="I472" s="653"/>
      <c r="J472" s="653"/>
      <c r="K472" s="653"/>
      <c r="L472" s="653"/>
      <c r="M472" s="651">
        <v>13</v>
      </c>
      <c r="N472" s="909">
        <f t="shared" ca="1" si="336"/>
        <v>9331.4749999999985</v>
      </c>
      <c r="O472" s="909">
        <f t="shared" ca="1" si="337"/>
        <v>0</v>
      </c>
      <c r="P472" s="909">
        <f t="shared" ca="1" si="338"/>
        <v>12</v>
      </c>
      <c r="Q472" s="910">
        <f t="shared" ca="1" si="339"/>
        <v>1744985.8249999986</v>
      </c>
      <c r="R472" s="909">
        <f t="shared" ca="1" si="340"/>
        <v>91761.29207244594</v>
      </c>
      <c r="S472" s="909">
        <f t="shared" ca="1" si="341"/>
        <v>29276.31727620852</v>
      </c>
      <c r="T472" s="909">
        <f t="shared" ca="1" si="342"/>
        <v>62484.974796237424</v>
      </c>
      <c r="U472" s="909">
        <f t="shared" ca="1" si="343"/>
        <v>913392.26774404664</v>
      </c>
      <c r="V472" s="909">
        <f t="shared" ca="1" si="344"/>
        <v>8640</v>
      </c>
      <c r="W472" s="909">
        <f t="shared" ca="1" si="345"/>
        <v>7478.8345919999992</v>
      </c>
      <c r="X472" s="909">
        <f t="shared" ca="1" si="346"/>
        <v>117223.60166444595</v>
      </c>
      <c r="Y472" s="909">
        <f t="shared" ca="1" si="347"/>
        <v>-39688.69766444595</v>
      </c>
      <c r="Z472" s="910">
        <f t="shared" ca="1" si="348"/>
        <v>-515953.06963779748</v>
      </c>
      <c r="AA472" s="909">
        <f t="shared" ca="1" si="349"/>
        <v>-39688.69766444595</v>
      </c>
      <c r="AB472" s="910">
        <f t="shared" ca="1" si="350"/>
        <v>-515953.06963779748</v>
      </c>
      <c r="AC472" s="911">
        <f t="shared" ca="1" si="351"/>
        <v>0</v>
      </c>
      <c r="AD472" s="911">
        <f t="shared" ca="1" si="352"/>
        <v>0</v>
      </c>
      <c r="AE472" s="909">
        <f t="shared" ca="1" si="353"/>
        <v>0</v>
      </c>
      <c r="AF472" s="912">
        <f t="shared" ca="1" si="320"/>
        <v>0</v>
      </c>
      <c r="AG472" s="909">
        <f t="shared" si="354"/>
        <v>77534.903999999995</v>
      </c>
      <c r="AH472" s="917">
        <f t="shared" ca="1" si="355"/>
        <v>77534.903999999995</v>
      </c>
      <c r="AI472" s="909">
        <f t="shared" ca="1" si="356"/>
        <v>-77534.903999999995</v>
      </c>
      <c r="AJ472" s="916">
        <f t="shared" ca="1" si="357"/>
        <v>0</v>
      </c>
      <c r="AK472" s="916">
        <f t="shared" ca="1" si="358"/>
        <v>-77534.903999999995</v>
      </c>
      <c r="AL472" s="909">
        <f t="shared" ca="1" si="359"/>
        <v>0</v>
      </c>
      <c r="AM472" s="918">
        <f t="shared" ca="1" si="360"/>
        <v>77534.903999999995</v>
      </c>
      <c r="AN472" s="915">
        <f t="shared" si="321"/>
        <v>13</v>
      </c>
      <c r="AO472" s="653">
        <f t="shared" si="361"/>
        <v>77534.903999999995</v>
      </c>
      <c r="AP472" s="916">
        <f t="shared" ca="1" si="362"/>
        <v>9343.4749999999985</v>
      </c>
      <c r="AQ472" s="916">
        <f t="shared" ca="1" si="363"/>
        <v>-39688.69766444595</v>
      </c>
      <c r="AR472" s="653"/>
      <c r="AS472" s="653">
        <v>13</v>
      </c>
      <c r="AT472" s="909">
        <f t="shared" ca="1" si="322"/>
        <v>-6354.2804053628388</v>
      </c>
      <c r="AU472" s="909">
        <f t="shared" ca="1" si="323"/>
        <v>-62484.974796237439</v>
      </c>
      <c r="AV472" s="909">
        <f t="shared" ca="1" si="324"/>
        <v>-10976.142014550789</v>
      </c>
      <c r="AW472" s="909">
        <f t="shared" ca="1" si="325"/>
        <v>27026.071857188581</v>
      </c>
      <c r="AX472" s="909">
        <f t="shared" ca="1" si="326"/>
        <v>0</v>
      </c>
      <c r="AY472" s="909">
        <f t="shared" si="327"/>
        <v>52797.496775042404</v>
      </c>
      <c r="AZ472" s="909">
        <f t="shared" ca="1" si="328"/>
        <v>-52789.32535896248</v>
      </c>
      <c r="BA472" s="653"/>
      <c r="BB472" s="653">
        <f t="shared" si="364"/>
        <v>13</v>
      </c>
      <c r="BC472" s="909">
        <f t="shared" ca="1" si="365"/>
        <v>-99239.819821238721</v>
      </c>
      <c r="BD472" s="909">
        <f t="shared" ca="1" si="366"/>
        <v>-975877.24254028418</v>
      </c>
      <c r="BE472" s="909">
        <f t="shared" ca="1" si="367"/>
        <v>-171423.08591497381</v>
      </c>
      <c r="BF472" s="909">
        <f t="shared" ca="1" si="368"/>
        <v>422087.52690857922</v>
      </c>
      <c r="BG472" s="909">
        <f t="shared" ca="1" si="369"/>
        <v>0</v>
      </c>
      <c r="BH472" s="909">
        <f t="shared" si="370"/>
        <v>824581.2408319203</v>
      </c>
      <c r="BI472" s="909">
        <f t="shared" ca="1" si="371"/>
        <v>-824452.62136791751</v>
      </c>
      <c r="BJ472" s="909"/>
      <c r="BK472" s="653">
        <v>13</v>
      </c>
      <c r="BL472" s="909">
        <f t="shared" ca="1" si="329"/>
        <v>-9331.4749999999985</v>
      </c>
      <c r="BM472" s="909">
        <f t="shared" ca="1" si="330"/>
        <v>-91761.29207244594</v>
      </c>
      <c r="BN472" s="909">
        <f t="shared" ca="1" si="331"/>
        <v>-16118.834591999999</v>
      </c>
      <c r="BO472" s="909">
        <f t="shared" ca="1" si="332"/>
        <v>39688.69766444595</v>
      </c>
      <c r="BP472" s="909">
        <f t="shared" ca="1" si="333"/>
        <v>0</v>
      </c>
      <c r="BQ472" s="909">
        <f t="shared" si="334"/>
        <v>77534.903999999995</v>
      </c>
      <c r="BR472" s="909">
        <f t="shared" ca="1" si="335"/>
        <v>-77522.903999999995</v>
      </c>
      <c r="BS472" s="653"/>
      <c r="BT472" s="653"/>
      <c r="BU472" s="653"/>
      <c r="BV472" s="654"/>
    </row>
    <row r="473" spans="2:74" x14ac:dyDescent="0.25">
      <c r="B473" s="651"/>
      <c r="C473" s="653"/>
      <c r="D473" s="653"/>
      <c r="E473" s="653"/>
      <c r="F473" s="653"/>
      <c r="G473" s="653"/>
      <c r="H473" s="653"/>
      <c r="I473" s="653"/>
      <c r="J473" s="653"/>
      <c r="K473" s="653"/>
      <c r="L473" s="653"/>
      <c r="M473" s="651">
        <v>14</v>
      </c>
      <c r="N473" s="909">
        <f t="shared" ca="1" si="336"/>
        <v>9331.4749999999985</v>
      </c>
      <c r="O473" s="909">
        <f t="shared" ca="1" si="337"/>
        <v>0</v>
      </c>
      <c r="P473" s="909">
        <f t="shared" ca="1" si="338"/>
        <v>12</v>
      </c>
      <c r="Q473" s="910">
        <f t="shared" ca="1" si="339"/>
        <v>1735654.3499999985</v>
      </c>
      <c r="R473" s="909">
        <f t="shared" ca="1" si="340"/>
        <v>91761.29207244594</v>
      </c>
      <c r="S473" s="909">
        <f t="shared" ca="1" si="341"/>
        <v>27401.768032321397</v>
      </c>
      <c r="T473" s="909">
        <f t="shared" ca="1" si="342"/>
        <v>64359.524040124539</v>
      </c>
      <c r="U473" s="909">
        <f t="shared" ca="1" si="343"/>
        <v>849032.74370392214</v>
      </c>
      <c r="V473" s="909">
        <f t="shared" ca="1" si="344"/>
        <v>8640</v>
      </c>
      <c r="W473" s="909">
        <f t="shared" ca="1" si="345"/>
        <v>7478.8345919999992</v>
      </c>
      <c r="X473" s="909">
        <f t="shared" ca="1" si="346"/>
        <v>117223.60166444595</v>
      </c>
      <c r="Y473" s="909">
        <f t="shared" ca="1" si="347"/>
        <v>-39688.69766444595</v>
      </c>
      <c r="Z473" s="910">
        <f t="shared" ca="1" si="348"/>
        <v>-555641.76730224339</v>
      </c>
      <c r="AA473" s="909">
        <f t="shared" ca="1" si="349"/>
        <v>-39688.69766444595</v>
      </c>
      <c r="AB473" s="910">
        <f t="shared" ca="1" si="350"/>
        <v>-555641.76730224339</v>
      </c>
      <c r="AC473" s="911">
        <f t="shared" ca="1" si="351"/>
        <v>0</v>
      </c>
      <c r="AD473" s="911">
        <f t="shared" ca="1" si="352"/>
        <v>0</v>
      </c>
      <c r="AE473" s="909">
        <f t="shared" ca="1" si="353"/>
        <v>0</v>
      </c>
      <c r="AF473" s="912">
        <f t="shared" ca="1" si="320"/>
        <v>0</v>
      </c>
      <c r="AG473" s="909">
        <f t="shared" si="354"/>
        <v>77534.903999999995</v>
      </c>
      <c r="AH473" s="917">
        <f t="shared" ca="1" si="355"/>
        <v>77534.903999999995</v>
      </c>
      <c r="AI473" s="909">
        <f t="shared" ca="1" si="356"/>
        <v>-77534.903999999995</v>
      </c>
      <c r="AJ473" s="916">
        <f t="shared" ca="1" si="357"/>
        <v>0</v>
      </c>
      <c r="AK473" s="916">
        <f t="shared" ca="1" si="358"/>
        <v>-77534.903999999995</v>
      </c>
      <c r="AL473" s="909">
        <f t="shared" ca="1" si="359"/>
        <v>0</v>
      </c>
      <c r="AM473" s="918">
        <f t="shared" ca="1" si="360"/>
        <v>77534.903999999995</v>
      </c>
      <c r="AN473" s="915">
        <f t="shared" si="321"/>
        <v>14</v>
      </c>
      <c r="AO473" s="653">
        <f t="shared" si="361"/>
        <v>77534.903999999995</v>
      </c>
      <c r="AP473" s="916">
        <f t="shared" ca="1" si="362"/>
        <v>9343.4749999999985</v>
      </c>
      <c r="AQ473" s="916">
        <f t="shared" ca="1" si="363"/>
        <v>-39688.69766444595</v>
      </c>
      <c r="AR473" s="653"/>
      <c r="AS473" s="653">
        <v>14</v>
      </c>
      <c r="AT473" s="909">
        <f t="shared" ca="1" si="322"/>
        <v>-6169.204277051299</v>
      </c>
      <c r="AU473" s="909">
        <f t="shared" ca="1" si="323"/>
        <v>-60665.024074016917</v>
      </c>
      <c r="AV473" s="909">
        <f t="shared" ca="1" si="324"/>
        <v>-10656.448557816298</v>
      </c>
      <c r="AW473" s="909">
        <f t="shared" ca="1" si="325"/>
        <v>26238.904715717064</v>
      </c>
      <c r="AX473" s="909">
        <f t="shared" ca="1" si="326"/>
        <v>0</v>
      </c>
      <c r="AY473" s="909">
        <f t="shared" si="327"/>
        <v>51259.705606837277</v>
      </c>
      <c r="AZ473" s="909">
        <f t="shared" ca="1" si="328"/>
        <v>-51251.772193167453</v>
      </c>
      <c r="BA473" s="653"/>
      <c r="BB473" s="653">
        <f t="shared" si="364"/>
        <v>14</v>
      </c>
      <c r="BC473" s="909">
        <f t="shared" ca="1" si="365"/>
        <v>-105409.02409829001</v>
      </c>
      <c r="BD473" s="909">
        <f t="shared" ca="1" si="366"/>
        <v>-1036542.2666143011</v>
      </c>
      <c r="BE473" s="909">
        <f t="shared" ca="1" si="367"/>
        <v>-182079.53447279011</v>
      </c>
      <c r="BF473" s="909">
        <f t="shared" ca="1" si="368"/>
        <v>448326.4316242963</v>
      </c>
      <c r="BG473" s="909">
        <f t="shared" ca="1" si="369"/>
        <v>0</v>
      </c>
      <c r="BH473" s="909">
        <f t="shared" si="370"/>
        <v>875840.94643875759</v>
      </c>
      <c r="BI473" s="909">
        <f t="shared" ca="1" si="371"/>
        <v>-875704.39356108499</v>
      </c>
      <c r="BJ473" s="909"/>
      <c r="BK473" s="653">
        <v>14</v>
      </c>
      <c r="BL473" s="909">
        <f t="shared" ca="1" si="329"/>
        <v>-9331.4749999999985</v>
      </c>
      <c r="BM473" s="909">
        <f t="shared" ca="1" si="330"/>
        <v>-91761.29207244594</v>
      </c>
      <c r="BN473" s="909">
        <f t="shared" ca="1" si="331"/>
        <v>-16118.834591999999</v>
      </c>
      <c r="BO473" s="909">
        <f t="shared" ca="1" si="332"/>
        <v>39688.69766444595</v>
      </c>
      <c r="BP473" s="909">
        <f t="shared" ca="1" si="333"/>
        <v>0</v>
      </c>
      <c r="BQ473" s="909">
        <f t="shared" si="334"/>
        <v>77534.903999999995</v>
      </c>
      <c r="BR473" s="909">
        <f t="shared" ca="1" si="335"/>
        <v>-77522.903999999995</v>
      </c>
      <c r="BS473" s="653"/>
      <c r="BT473" s="653"/>
      <c r="BU473" s="653"/>
      <c r="BV473" s="654"/>
    </row>
    <row r="474" spans="2:74" x14ac:dyDescent="0.25">
      <c r="B474" s="651"/>
      <c r="C474" s="653"/>
      <c r="D474" s="653"/>
      <c r="E474" s="653"/>
      <c r="F474" s="653"/>
      <c r="G474" s="653"/>
      <c r="H474" s="653"/>
      <c r="I474" s="653"/>
      <c r="J474" s="653"/>
      <c r="K474" s="653"/>
      <c r="L474" s="653"/>
      <c r="M474" s="651">
        <v>15</v>
      </c>
      <c r="N474" s="909">
        <f t="shared" ca="1" si="336"/>
        <v>9331.4749999999985</v>
      </c>
      <c r="O474" s="909">
        <f t="shared" ca="1" si="337"/>
        <v>0</v>
      </c>
      <c r="P474" s="909">
        <f t="shared" ca="1" si="338"/>
        <v>12</v>
      </c>
      <c r="Q474" s="910">
        <f t="shared" ca="1" si="339"/>
        <v>1726322.8749999984</v>
      </c>
      <c r="R474" s="909">
        <f t="shared" ca="1" si="340"/>
        <v>91761.29207244594</v>
      </c>
      <c r="S474" s="909">
        <f t="shared" ca="1" si="341"/>
        <v>25470.982311117663</v>
      </c>
      <c r="T474" s="909">
        <f t="shared" ca="1" si="342"/>
        <v>66290.309761328273</v>
      </c>
      <c r="U474" s="909">
        <f t="shared" ca="1" si="343"/>
        <v>782742.43394259387</v>
      </c>
      <c r="V474" s="909">
        <f t="shared" ca="1" si="344"/>
        <v>8640</v>
      </c>
      <c r="W474" s="909">
        <f t="shared" ca="1" si="345"/>
        <v>7478.8345919999992</v>
      </c>
      <c r="X474" s="909">
        <f t="shared" ca="1" si="346"/>
        <v>117223.60166444595</v>
      </c>
      <c r="Y474" s="909">
        <f t="shared" ca="1" si="347"/>
        <v>-39688.69766444595</v>
      </c>
      <c r="Z474" s="910">
        <f t="shared" ca="1" si="348"/>
        <v>-595330.46496668935</v>
      </c>
      <c r="AA474" s="909">
        <f t="shared" ca="1" si="349"/>
        <v>-39688.69766444595</v>
      </c>
      <c r="AB474" s="910">
        <f t="shared" ca="1" si="350"/>
        <v>-595330.46496668935</v>
      </c>
      <c r="AC474" s="911">
        <f t="shared" ca="1" si="351"/>
        <v>0</v>
      </c>
      <c r="AD474" s="911">
        <f t="shared" ca="1" si="352"/>
        <v>0</v>
      </c>
      <c r="AE474" s="909">
        <f t="shared" ca="1" si="353"/>
        <v>0</v>
      </c>
      <c r="AF474" s="912">
        <f t="shared" ca="1" si="320"/>
        <v>0</v>
      </c>
      <c r="AG474" s="909">
        <f t="shared" si="354"/>
        <v>77534.903999999995</v>
      </c>
      <c r="AH474" s="917">
        <f t="shared" ca="1" si="355"/>
        <v>77534.903999999995</v>
      </c>
      <c r="AI474" s="909">
        <f t="shared" ca="1" si="356"/>
        <v>-77534.903999999995</v>
      </c>
      <c r="AJ474" s="916">
        <f t="shared" ca="1" si="357"/>
        <v>0</v>
      </c>
      <c r="AK474" s="916">
        <f t="shared" ca="1" si="358"/>
        <v>-77534.903999999995</v>
      </c>
      <c r="AL474" s="909">
        <f t="shared" ca="1" si="359"/>
        <v>0</v>
      </c>
      <c r="AM474" s="918">
        <f t="shared" ca="1" si="360"/>
        <v>77534.903999999995</v>
      </c>
      <c r="AN474" s="915">
        <f t="shared" si="321"/>
        <v>15</v>
      </c>
      <c r="AO474" s="653">
        <f t="shared" si="361"/>
        <v>77534.903999999995</v>
      </c>
      <c r="AP474" s="916">
        <f t="shared" ca="1" si="362"/>
        <v>9343.4749999999985</v>
      </c>
      <c r="AQ474" s="916">
        <f t="shared" ca="1" si="363"/>
        <v>-39688.69766444595</v>
      </c>
      <c r="AR474" s="653"/>
      <c r="AS474" s="653">
        <v>15</v>
      </c>
      <c r="AT474" s="909">
        <f t="shared" ca="1" si="322"/>
        <v>-5989.5187155837848</v>
      </c>
      <c r="AU474" s="909">
        <f t="shared" ca="1" si="323"/>
        <v>-58898.081625259139</v>
      </c>
      <c r="AV474" s="909">
        <f t="shared" ca="1" si="324"/>
        <v>-10346.066560986696</v>
      </c>
      <c r="AW474" s="909">
        <f t="shared" ca="1" si="325"/>
        <v>25474.664772540837</v>
      </c>
      <c r="AX474" s="909">
        <f t="shared" ca="1" si="326"/>
        <v>0</v>
      </c>
      <c r="AY474" s="909">
        <f t="shared" si="327"/>
        <v>49766.704472657548</v>
      </c>
      <c r="AZ474" s="909">
        <f t="shared" ca="1" si="328"/>
        <v>-49759.002129288783</v>
      </c>
      <c r="BA474" s="653"/>
      <c r="BB474" s="653">
        <f t="shared" si="364"/>
        <v>15</v>
      </c>
      <c r="BC474" s="909">
        <f t="shared" ca="1" si="365"/>
        <v>-111398.54281387379</v>
      </c>
      <c r="BD474" s="909">
        <f t="shared" ca="1" si="366"/>
        <v>-1095440.3482395604</v>
      </c>
      <c r="BE474" s="909">
        <f t="shared" ca="1" si="367"/>
        <v>-192425.60103377679</v>
      </c>
      <c r="BF474" s="909">
        <f t="shared" ca="1" si="368"/>
        <v>473801.09639683715</v>
      </c>
      <c r="BG474" s="909">
        <f t="shared" ca="1" si="369"/>
        <v>0</v>
      </c>
      <c r="BH474" s="909">
        <f t="shared" si="370"/>
        <v>925607.65091141511</v>
      </c>
      <c r="BI474" s="909">
        <f t="shared" ca="1" si="371"/>
        <v>-925463.39569037373</v>
      </c>
      <c r="BJ474" s="909"/>
      <c r="BK474" s="653">
        <v>15</v>
      </c>
      <c r="BL474" s="909">
        <f t="shared" ca="1" si="329"/>
        <v>-9331.4749999999985</v>
      </c>
      <c r="BM474" s="909">
        <f t="shared" ca="1" si="330"/>
        <v>-91761.29207244594</v>
      </c>
      <c r="BN474" s="909">
        <f t="shared" ca="1" si="331"/>
        <v>-16118.834591999999</v>
      </c>
      <c r="BO474" s="909">
        <f t="shared" ca="1" si="332"/>
        <v>39688.69766444595</v>
      </c>
      <c r="BP474" s="909">
        <f t="shared" ca="1" si="333"/>
        <v>0</v>
      </c>
      <c r="BQ474" s="909">
        <f t="shared" si="334"/>
        <v>77534.903999999995</v>
      </c>
      <c r="BR474" s="909">
        <f t="shared" ca="1" si="335"/>
        <v>-77522.903999999995</v>
      </c>
      <c r="BS474" s="653"/>
      <c r="BT474" s="653"/>
      <c r="BU474" s="653"/>
      <c r="BV474" s="654"/>
    </row>
    <row r="475" spans="2:74" x14ac:dyDescent="0.25">
      <c r="B475" s="651"/>
      <c r="C475" s="653"/>
      <c r="D475" s="653"/>
      <c r="E475" s="653"/>
      <c r="F475" s="653"/>
      <c r="G475" s="653"/>
      <c r="H475" s="653"/>
      <c r="I475" s="653"/>
      <c r="J475" s="653"/>
      <c r="K475" s="653"/>
      <c r="L475" s="653"/>
      <c r="M475" s="651">
        <v>16</v>
      </c>
      <c r="N475" s="909">
        <f t="shared" ca="1" si="336"/>
        <v>9331.4749999999985</v>
      </c>
      <c r="O475" s="909">
        <f t="shared" ca="1" si="337"/>
        <v>0</v>
      </c>
      <c r="P475" s="909">
        <f t="shared" ca="1" si="338"/>
        <v>12</v>
      </c>
      <c r="Q475" s="910">
        <f t="shared" ca="1" si="339"/>
        <v>1716991.3999999983</v>
      </c>
      <c r="R475" s="909">
        <f t="shared" ca="1" si="340"/>
        <v>91761.29207244594</v>
      </c>
      <c r="S475" s="909">
        <f t="shared" ca="1" si="341"/>
        <v>23482.273018277814</v>
      </c>
      <c r="T475" s="909">
        <f t="shared" ca="1" si="342"/>
        <v>68279.019054168122</v>
      </c>
      <c r="U475" s="909">
        <f t="shared" ca="1" si="343"/>
        <v>714463.41488842573</v>
      </c>
      <c r="V475" s="909">
        <f t="shared" ca="1" si="344"/>
        <v>8640</v>
      </c>
      <c r="W475" s="909">
        <f t="shared" ca="1" si="345"/>
        <v>7478.8345919999992</v>
      </c>
      <c r="X475" s="909">
        <f t="shared" ca="1" si="346"/>
        <v>117223.60166444595</v>
      </c>
      <c r="Y475" s="909">
        <f t="shared" ca="1" si="347"/>
        <v>-39688.69766444595</v>
      </c>
      <c r="Z475" s="910">
        <f t="shared" ca="1" si="348"/>
        <v>-635019.16263113532</v>
      </c>
      <c r="AA475" s="909">
        <f t="shared" ca="1" si="349"/>
        <v>-39688.69766444595</v>
      </c>
      <c r="AB475" s="910">
        <f t="shared" ca="1" si="350"/>
        <v>-635019.16263113532</v>
      </c>
      <c r="AC475" s="911">
        <f t="shared" ca="1" si="351"/>
        <v>0</v>
      </c>
      <c r="AD475" s="911">
        <f t="shared" ca="1" si="352"/>
        <v>0</v>
      </c>
      <c r="AE475" s="909">
        <f t="shared" ca="1" si="353"/>
        <v>0</v>
      </c>
      <c r="AF475" s="912">
        <f t="shared" ca="1" si="320"/>
        <v>0</v>
      </c>
      <c r="AG475" s="909">
        <f t="shared" si="354"/>
        <v>77534.903999999995</v>
      </c>
      <c r="AH475" s="917">
        <f t="shared" ca="1" si="355"/>
        <v>77534.903999999995</v>
      </c>
      <c r="AI475" s="909">
        <f t="shared" ca="1" si="356"/>
        <v>-77534.903999999995</v>
      </c>
      <c r="AJ475" s="916">
        <f t="shared" ca="1" si="357"/>
        <v>0</v>
      </c>
      <c r="AK475" s="916">
        <f t="shared" ca="1" si="358"/>
        <v>-77534.903999999995</v>
      </c>
      <c r="AL475" s="909">
        <f t="shared" ca="1" si="359"/>
        <v>0</v>
      </c>
      <c r="AM475" s="918">
        <f t="shared" ca="1" si="360"/>
        <v>77534.903999999995</v>
      </c>
      <c r="AN475" s="915">
        <f t="shared" si="321"/>
        <v>16</v>
      </c>
      <c r="AO475" s="653">
        <f t="shared" si="361"/>
        <v>77534.903999999995</v>
      </c>
      <c r="AP475" s="916">
        <f t="shared" ca="1" si="362"/>
        <v>9343.4749999999985</v>
      </c>
      <c r="AQ475" s="916">
        <f t="shared" ca="1" si="363"/>
        <v>-39688.69766444595</v>
      </c>
      <c r="AR475" s="653"/>
      <c r="AS475" s="653">
        <v>16</v>
      </c>
      <c r="AT475" s="909">
        <f t="shared" ca="1" si="322"/>
        <v>-5815.0667141590156</v>
      </c>
      <c r="AU475" s="909">
        <f t="shared" ca="1" si="323"/>
        <v>-57182.603519669079</v>
      </c>
      <c r="AV475" s="909">
        <f t="shared" ca="1" si="324"/>
        <v>-10044.72481649194</v>
      </c>
      <c r="AW475" s="909">
        <f t="shared" ca="1" si="325"/>
        <v>24732.684245185283</v>
      </c>
      <c r="AX475" s="909">
        <f t="shared" ca="1" si="326"/>
        <v>0</v>
      </c>
      <c r="AY475" s="909">
        <f t="shared" si="327"/>
        <v>48317.188808405401</v>
      </c>
      <c r="AZ475" s="909">
        <f t="shared" ca="1" si="328"/>
        <v>-48309.710805134746</v>
      </c>
      <c r="BA475" s="653"/>
      <c r="BB475" s="653">
        <f t="shared" si="364"/>
        <v>16</v>
      </c>
      <c r="BC475" s="909">
        <f t="shared" ca="1" si="365"/>
        <v>-117213.6095280328</v>
      </c>
      <c r="BD475" s="909">
        <f t="shared" ca="1" si="366"/>
        <v>-1152622.9517592294</v>
      </c>
      <c r="BE475" s="909">
        <f t="shared" ca="1" si="367"/>
        <v>-202470.32585026874</v>
      </c>
      <c r="BF475" s="909">
        <f t="shared" ca="1" si="368"/>
        <v>498533.78064202244</v>
      </c>
      <c r="BG475" s="909">
        <f t="shared" ca="1" si="369"/>
        <v>0</v>
      </c>
      <c r="BH475" s="909">
        <f t="shared" si="370"/>
        <v>973924.83971982053</v>
      </c>
      <c r="BI475" s="909">
        <f t="shared" ca="1" si="371"/>
        <v>-973773.10649550846</v>
      </c>
      <c r="BJ475" s="909"/>
      <c r="BK475" s="653">
        <v>16</v>
      </c>
      <c r="BL475" s="909">
        <f t="shared" ca="1" si="329"/>
        <v>-9331.4749999999985</v>
      </c>
      <c r="BM475" s="909">
        <f t="shared" ca="1" si="330"/>
        <v>-91761.29207244594</v>
      </c>
      <c r="BN475" s="909">
        <f t="shared" ca="1" si="331"/>
        <v>-16118.834591999999</v>
      </c>
      <c r="BO475" s="909">
        <f t="shared" ca="1" si="332"/>
        <v>39688.69766444595</v>
      </c>
      <c r="BP475" s="909">
        <f t="shared" ca="1" si="333"/>
        <v>0</v>
      </c>
      <c r="BQ475" s="909">
        <f t="shared" si="334"/>
        <v>77534.903999999995</v>
      </c>
      <c r="BR475" s="909">
        <f t="shared" ca="1" si="335"/>
        <v>-77522.903999999995</v>
      </c>
      <c r="BS475" s="653"/>
      <c r="BT475" s="653"/>
      <c r="BU475" s="653"/>
      <c r="BV475" s="654"/>
    </row>
    <row r="476" spans="2:74" x14ac:dyDescent="0.25">
      <c r="B476" s="651"/>
      <c r="C476" s="653"/>
      <c r="D476" s="653"/>
      <c r="E476" s="653"/>
      <c r="F476" s="653"/>
      <c r="G476" s="653"/>
      <c r="H476" s="653"/>
      <c r="I476" s="653"/>
      <c r="J476" s="653"/>
      <c r="K476" s="653"/>
      <c r="L476" s="653"/>
      <c r="M476" s="651">
        <v>17</v>
      </c>
      <c r="N476" s="909">
        <f t="shared" ca="1" si="336"/>
        <v>9331.4749999999985</v>
      </c>
      <c r="O476" s="909">
        <f t="shared" ca="1" si="337"/>
        <v>0</v>
      </c>
      <c r="P476" s="909">
        <f t="shared" ca="1" si="338"/>
        <v>12</v>
      </c>
      <c r="Q476" s="910">
        <f t="shared" ca="1" si="339"/>
        <v>1707659.9249999982</v>
      </c>
      <c r="R476" s="909">
        <f t="shared" ca="1" si="340"/>
        <v>91761.29207244594</v>
      </c>
      <c r="S476" s="909">
        <f t="shared" ca="1" si="341"/>
        <v>21433.90244665277</v>
      </c>
      <c r="T476" s="909">
        <f t="shared" ca="1" si="342"/>
        <v>70327.389625793177</v>
      </c>
      <c r="U476" s="909">
        <f t="shared" ca="1" si="343"/>
        <v>644136.02526263252</v>
      </c>
      <c r="V476" s="909">
        <f t="shared" ca="1" si="344"/>
        <v>8640</v>
      </c>
      <c r="W476" s="909">
        <f t="shared" ca="1" si="345"/>
        <v>7478.8345919999992</v>
      </c>
      <c r="X476" s="909">
        <f t="shared" ca="1" si="346"/>
        <v>117223.60166444595</v>
      </c>
      <c r="Y476" s="909">
        <f t="shared" ca="1" si="347"/>
        <v>-39688.69766444595</v>
      </c>
      <c r="Z476" s="910">
        <f t="shared" ca="1" si="348"/>
        <v>-674707.86029558128</v>
      </c>
      <c r="AA476" s="909">
        <f t="shared" ca="1" si="349"/>
        <v>-39688.69766444595</v>
      </c>
      <c r="AB476" s="910">
        <f t="shared" ca="1" si="350"/>
        <v>-674707.86029558128</v>
      </c>
      <c r="AC476" s="911">
        <f t="shared" ca="1" si="351"/>
        <v>0</v>
      </c>
      <c r="AD476" s="911">
        <f t="shared" ca="1" si="352"/>
        <v>0</v>
      </c>
      <c r="AE476" s="909">
        <f t="shared" ca="1" si="353"/>
        <v>0</v>
      </c>
      <c r="AF476" s="912">
        <f t="shared" ca="1" si="320"/>
        <v>0</v>
      </c>
      <c r="AG476" s="909">
        <f t="shared" si="354"/>
        <v>77534.903999999995</v>
      </c>
      <c r="AH476" s="917">
        <f t="shared" ca="1" si="355"/>
        <v>77534.903999999995</v>
      </c>
      <c r="AI476" s="909">
        <f t="shared" ca="1" si="356"/>
        <v>-77534.903999999995</v>
      </c>
      <c r="AJ476" s="916">
        <f t="shared" ca="1" si="357"/>
        <v>0</v>
      </c>
      <c r="AK476" s="916">
        <f t="shared" ca="1" si="358"/>
        <v>-77534.903999999995</v>
      </c>
      <c r="AL476" s="909">
        <f t="shared" ca="1" si="359"/>
        <v>0</v>
      </c>
      <c r="AM476" s="918">
        <f t="shared" ca="1" si="360"/>
        <v>77534.903999999995</v>
      </c>
      <c r="AN476" s="915">
        <f t="shared" si="321"/>
        <v>17</v>
      </c>
      <c r="AO476" s="653">
        <f t="shared" si="361"/>
        <v>77534.903999999995</v>
      </c>
      <c r="AP476" s="916">
        <f t="shared" ca="1" si="362"/>
        <v>9343.4749999999985</v>
      </c>
      <c r="AQ476" s="916">
        <f t="shared" ca="1" si="363"/>
        <v>-39688.69766444595</v>
      </c>
      <c r="AR476" s="653"/>
      <c r="AS476" s="653">
        <v>17</v>
      </c>
      <c r="AT476" s="909">
        <f t="shared" ca="1" si="322"/>
        <v>-5645.6958389893352</v>
      </c>
      <c r="AU476" s="909">
        <f t="shared" ca="1" si="323"/>
        <v>-55517.090795795222</v>
      </c>
      <c r="AV476" s="909">
        <f t="shared" ca="1" si="324"/>
        <v>-9752.1600160115922</v>
      </c>
      <c r="AW476" s="909">
        <f t="shared" ca="1" si="325"/>
        <v>24012.314801150762</v>
      </c>
      <c r="AX476" s="909">
        <f t="shared" ca="1" si="326"/>
        <v>0</v>
      </c>
      <c r="AY476" s="909">
        <f t="shared" si="327"/>
        <v>46909.892046995534</v>
      </c>
      <c r="AZ476" s="909">
        <f t="shared" ca="1" si="328"/>
        <v>-46902.63184964539</v>
      </c>
      <c r="BA476" s="653"/>
      <c r="BB476" s="653">
        <f t="shared" si="364"/>
        <v>17</v>
      </c>
      <c r="BC476" s="909">
        <f t="shared" ca="1" si="365"/>
        <v>-122859.30536702214</v>
      </c>
      <c r="BD476" s="909">
        <f t="shared" ca="1" si="366"/>
        <v>-1208140.0425550246</v>
      </c>
      <c r="BE476" s="909">
        <f t="shared" ca="1" si="367"/>
        <v>-212222.48586628033</v>
      </c>
      <c r="BF476" s="909">
        <f t="shared" ca="1" si="368"/>
        <v>522546.0954431732</v>
      </c>
      <c r="BG476" s="909">
        <f t="shared" ca="1" si="369"/>
        <v>0</v>
      </c>
      <c r="BH476" s="909">
        <f t="shared" si="370"/>
        <v>1020834.7317668161</v>
      </c>
      <c r="BI476" s="909">
        <f t="shared" ca="1" si="371"/>
        <v>-1020675.7383451539</v>
      </c>
      <c r="BJ476" s="909"/>
      <c r="BK476" s="653">
        <v>17</v>
      </c>
      <c r="BL476" s="909">
        <f t="shared" ca="1" si="329"/>
        <v>-9331.4749999999985</v>
      </c>
      <c r="BM476" s="909">
        <f t="shared" ca="1" si="330"/>
        <v>-91761.29207244594</v>
      </c>
      <c r="BN476" s="909">
        <f t="shared" ca="1" si="331"/>
        <v>-16118.834591999999</v>
      </c>
      <c r="BO476" s="909">
        <f t="shared" ca="1" si="332"/>
        <v>39688.69766444595</v>
      </c>
      <c r="BP476" s="909">
        <f t="shared" ca="1" si="333"/>
        <v>0</v>
      </c>
      <c r="BQ476" s="909">
        <f t="shared" si="334"/>
        <v>77534.903999999995</v>
      </c>
      <c r="BR476" s="909">
        <f t="shared" ca="1" si="335"/>
        <v>-77522.903999999995</v>
      </c>
      <c r="BS476" s="653"/>
      <c r="BT476" s="653"/>
      <c r="BU476" s="653"/>
      <c r="BV476" s="654"/>
    </row>
    <row r="477" spans="2:74" x14ac:dyDescent="0.25">
      <c r="B477" s="651"/>
      <c r="C477" s="653"/>
      <c r="D477" s="653"/>
      <c r="E477" s="653"/>
      <c r="F477" s="653"/>
      <c r="G477" s="653"/>
      <c r="H477" s="653"/>
      <c r="I477" s="653"/>
      <c r="J477" s="653"/>
      <c r="K477" s="653"/>
      <c r="L477" s="653"/>
      <c r="M477" s="651">
        <v>18</v>
      </c>
      <c r="N477" s="909">
        <f t="shared" ca="1" si="336"/>
        <v>9331.4749999999985</v>
      </c>
      <c r="O477" s="909">
        <f t="shared" ca="1" si="337"/>
        <v>0</v>
      </c>
      <c r="P477" s="909">
        <f t="shared" ca="1" si="338"/>
        <v>12</v>
      </c>
      <c r="Q477" s="910">
        <f t="shared" ca="1" si="339"/>
        <v>1698328.4499999981</v>
      </c>
      <c r="R477" s="909">
        <f t="shared" ca="1" si="340"/>
        <v>91761.29207244594</v>
      </c>
      <c r="S477" s="909">
        <f t="shared" ca="1" si="341"/>
        <v>19324.080757878975</v>
      </c>
      <c r="T477" s="909">
        <f t="shared" ca="1" si="342"/>
        <v>72437.211314566957</v>
      </c>
      <c r="U477" s="909">
        <f t="shared" ca="1" si="343"/>
        <v>571698.81394806551</v>
      </c>
      <c r="V477" s="909">
        <f t="shared" ca="1" si="344"/>
        <v>8640</v>
      </c>
      <c r="W477" s="909">
        <f t="shared" ca="1" si="345"/>
        <v>7478.8345919999992</v>
      </c>
      <c r="X477" s="909">
        <f t="shared" ca="1" si="346"/>
        <v>117223.60166444595</v>
      </c>
      <c r="Y477" s="909">
        <f t="shared" ca="1" si="347"/>
        <v>-39688.69766444595</v>
      </c>
      <c r="Z477" s="910">
        <f t="shared" ca="1" si="348"/>
        <v>-714396.55796002725</v>
      </c>
      <c r="AA477" s="909">
        <f t="shared" ca="1" si="349"/>
        <v>-39688.69766444595</v>
      </c>
      <c r="AB477" s="910">
        <f t="shared" ca="1" si="350"/>
        <v>-714396.55796002725</v>
      </c>
      <c r="AC477" s="911">
        <f t="shared" ca="1" si="351"/>
        <v>0</v>
      </c>
      <c r="AD477" s="911">
        <f t="shared" ca="1" si="352"/>
        <v>0</v>
      </c>
      <c r="AE477" s="909">
        <f t="shared" ca="1" si="353"/>
        <v>0</v>
      </c>
      <c r="AF477" s="912">
        <f t="shared" ca="1" si="320"/>
        <v>0</v>
      </c>
      <c r="AG477" s="909">
        <f t="shared" si="354"/>
        <v>77534.903999999995</v>
      </c>
      <c r="AH477" s="917">
        <f t="shared" ca="1" si="355"/>
        <v>77534.903999999995</v>
      </c>
      <c r="AI477" s="909">
        <f t="shared" ca="1" si="356"/>
        <v>-77534.903999999995</v>
      </c>
      <c r="AJ477" s="916">
        <f t="shared" ca="1" si="357"/>
        <v>0</v>
      </c>
      <c r="AK477" s="916">
        <f t="shared" ca="1" si="358"/>
        <v>-77534.903999999995</v>
      </c>
      <c r="AL477" s="909">
        <f t="shared" ca="1" si="359"/>
        <v>0</v>
      </c>
      <c r="AM477" s="918">
        <f t="shared" ca="1" si="360"/>
        <v>77534.903999999995</v>
      </c>
      <c r="AN477" s="915">
        <f t="shared" si="321"/>
        <v>18</v>
      </c>
      <c r="AO477" s="653">
        <f t="shared" si="361"/>
        <v>77534.903999999995</v>
      </c>
      <c r="AP477" s="916">
        <f t="shared" ca="1" si="362"/>
        <v>9343.4749999999985</v>
      </c>
      <c r="AQ477" s="916">
        <f t="shared" ca="1" si="363"/>
        <v>-39688.69766444595</v>
      </c>
      <c r="AR477" s="653"/>
      <c r="AS477" s="653">
        <v>18</v>
      </c>
      <c r="AT477" s="909">
        <f t="shared" ca="1" si="322"/>
        <v>-5481.2580961061512</v>
      </c>
      <c r="AU477" s="909">
        <f t="shared" ca="1" si="323"/>
        <v>-53900.088151257492</v>
      </c>
      <c r="AV477" s="909">
        <f t="shared" ca="1" si="324"/>
        <v>-9468.1165203996043</v>
      </c>
      <c r="AW477" s="909">
        <f t="shared" ca="1" si="325"/>
        <v>23312.926991408505</v>
      </c>
      <c r="AX477" s="909">
        <f t="shared" ca="1" si="326"/>
        <v>0</v>
      </c>
      <c r="AY477" s="909">
        <f t="shared" si="327"/>
        <v>45543.584511646142</v>
      </c>
      <c r="AZ477" s="909">
        <f t="shared" ca="1" si="328"/>
        <v>-45536.535776354751</v>
      </c>
      <c r="BA477" s="653"/>
      <c r="BB477" s="653">
        <f t="shared" si="364"/>
        <v>18</v>
      </c>
      <c r="BC477" s="909">
        <f t="shared" ca="1" si="365"/>
        <v>-128340.56346312829</v>
      </c>
      <c r="BD477" s="909">
        <f t="shared" ca="1" si="366"/>
        <v>-1262040.1307062821</v>
      </c>
      <c r="BE477" s="909">
        <f t="shared" ca="1" si="367"/>
        <v>-221690.60238667994</v>
      </c>
      <c r="BF477" s="909">
        <f t="shared" ca="1" si="368"/>
        <v>545859.02243458165</v>
      </c>
      <c r="BG477" s="909">
        <f t="shared" ca="1" si="369"/>
        <v>0</v>
      </c>
      <c r="BH477" s="909">
        <f t="shared" si="370"/>
        <v>1066378.3162784623</v>
      </c>
      <c r="BI477" s="909">
        <f t="shared" ca="1" si="371"/>
        <v>-1066212.2741215087</v>
      </c>
      <c r="BJ477" s="909"/>
      <c r="BK477" s="653">
        <v>18</v>
      </c>
      <c r="BL477" s="909">
        <f t="shared" ca="1" si="329"/>
        <v>-9331.4749999999985</v>
      </c>
      <c r="BM477" s="909">
        <f t="shared" ca="1" si="330"/>
        <v>-91761.29207244594</v>
      </c>
      <c r="BN477" s="909">
        <f t="shared" ca="1" si="331"/>
        <v>-16118.834591999999</v>
      </c>
      <c r="BO477" s="909">
        <f t="shared" ca="1" si="332"/>
        <v>39688.69766444595</v>
      </c>
      <c r="BP477" s="909">
        <f t="shared" ca="1" si="333"/>
        <v>0</v>
      </c>
      <c r="BQ477" s="909">
        <f t="shared" si="334"/>
        <v>77534.903999999995</v>
      </c>
      <c r="BR477" s="909">
        <f t="shared" ca="1" si="335"/>
        <v>-77522.903999999995</v>
      </c>
      <c r="BS477" s="653"/>
      <c r="BT477" s="653"/>
      <c r="BU477" s="653"/>
      <c r="BV477" s="654"/>
    </row>
    <row r="478" spans="2:74" x14ac:dyDescent="0.25">
      <c r="B478" s="651"/>
      <c r="C478" s="653"/>
      <c r="D478" s="653"/>
      <c r="E478" s="653"/>
      <c r="F478" s="653"/>
      <c r="G478" s="653"/>
      <c r="H478" s="653"/>
      <c r="I478" s="653"/>
      <c r="J478" s="653"/>
      <c r="K478" s="653"/>
      <c r="L478" s="653"/>
      <c r="M478" s="651">
        <v>19</v>
      </c>
      <c r="N478" s="909">
        <f t="shared" ca="1" si="336"/>
        <v>9331.4749999999985</v>
      </c>
      <c r="O478" s="909">
        <f t="shared" ca="1" si="337"/>
        <v>0</v>
      </c>
      <c r="P478" s="909">
        <f t="shared" ca="1" si="338"/>
        <v>12</v>
      </c>
      <c r="Q478" s="910">
        <f t="shared" ca="1" si="339"/>
        <v>1688996.974999998</v>
      </c>
      <c r="R478" s="909">
        <f t="shared" ca="1" si="340"/>
        <v>91761.29207244594</v>
      </c>
      <c r="S478" s="909">
        <f t="shared" ca="1" si="341"/>
        <v>17150.964418441963</v>
      </c>
      <c r="T478" s="909">
        <f t="shared" ca="1" si="342"/>
        <v>74610.327654003981</v>
      </c>
      <c r="U478" s="909">
        <f t="shared" ca="1" si="343"/>
        <v>497088.48629406153</v>
      </c>
      <c r="V478" s="909">
        <f t="shared" ca="1" si="344"/>
        <v>8640</v>
      </c>
      <c r="W478" s="909">
        <f t="shared" ca="1" si="345"/>
        <v>7478.8345919999992</v>
      </c>
      <c r="X478" s="909">
        <f t="shared" ca="1" si="346"/>
        <v>117223.60166444595</v>
      </c>
      <c r="Y478" s="909">
        <f t="shared" ca="1" si="347"/>
        <v>-39688.69766444595</v>
      </c>
      <c r="Z478" s="910">
        <f t="shared" ca="1" si="348"/>
        <v>-754085.25562447321</v>
      </c>
      <c r="AA478" s="909">
        <f t="shared" ca="1" si="349"/>
        <v>-39688.69766444595</v>
      </c>
      <c r="AB478" s="910">
        <f t="shared" ca="1" si="350"/>
        <v>-754085.25562447321</v>
      </c>
      <c r="AC478" s="911">
        <f t="shared" ca="1" si="351"/>
        <v>0</v>
      </c>
      <c r="AD478" s="911">
        <f t="shared" ca="1" si="352"/>
        <v>0</v>
      </c>
      <c r="AE478" s="909">
        <f t="shared" ca="1" si="353"/>
        <v>0</v>
      </c>
      <c r="AF478" s="912">
        <f t="shared" ca="1" si="320"/>
        <v>0</v>
      </c>
      <c r="AG478" s="909">
        <f t="shared" si="354"/>
        <v>77534.903999999995</v>
      </c>
      <c r="AH478" s="917">
        <f t="shared" ca="1" si="355"/>
        <v>77534.903999999995</v>
      </c>
      <c r="AI478" s="909">
        <f t="shared" ca="1" si="356"/>
        <v>-77534.903999999995</v>
      </c>
      <c r="AJ478" s="916">
        <f t="shared" ca="1" si="357"/>
        <v>0</v>
      </c>
      <c r="AK478" s="916">
        <f t="shared" ca="1" si="358"/>
        <v>-77534.903999999995</v>
      </c>
      <c r="AL478" s="909">
        <f t="shared" ca="1" si="359"/>
        <v>0</v>
      </c>
      <c r="AM478" s="918">
        <f t="shared" ca="1" si="360"/>
        <v>77534.903999999995</v>
      </c>
      <c r="AN478" s="915">
        <f t="shared" si="321"/>
        <v>19</v>
      </c>
      <c r="AO478" s="653">
        <f t="shared" si="361"/>
        <v>77534.903999999995</v>
      </c>
      <c r="AP478" s="916">
        <f t="shared" ca="1" si="362"/>
        <v>9343.4749999999985</v>
      </c>
      <c r="AQ478" s="916">
        <f t="shared" ca="1" si="363"/>
        <v>-39688.69766444595</v>
      </c>
      <c r="AR478" s="653"/>
      <c r="AS478" s="653">
        <v>19</v>
      </c>
      <c r="AT478" s="909">
        <f t="shared" ca="1" si="322"/>
        <v>-5321.6098020448071</v>
      </c>
      <c r="AU478" s="909">
        <f t="shared" ca="1" si="323"/>
        <v>-52330.182671123781</v>
      </c>
      <c r="AV478" s="909">
        <f t="shared" ca="1" si="324"/>
        <v>-9192.3461363102961</v>
      </c>
      <c r="AW478" s="909">
        <f t="shared" ca="1" si="325"/>
        <v>22633.909700396605</v>
      </c>
      <c r="AX478" s="909">
        <f t="shared" ca="1" si="326"/>
        <v>0</v>
      </c>
      <c r="AY478" s="909">
        <f t="shared" si="327"/>
        <v>44217.072341404026</v>
      </c>
      <c r="AZ478" s="909">
        <f t="shared" ca="1" si="328"/>
        <v>-44210.228909082274</v>
      </c>
      <c r="BA478" s="653"/>
      <c r="BB478" s="653">
        <f t="shared" si="364"/>
        <v>19</v>
      </c>
      <c r="BC478" s="909">
        <f t="shared" ca="1" si="365"/>
        <v>-133662.1732651731</v>
      </c>
      <c r="BD478" s="909">
        <f t="shared" ca="1" si="366"/>
        <v>-1314370.313377406</v>
      </c>
      <c r="BE478" s="909">
        <f t="shared" ca="1" si="367"/>
        <v>-230882.94852299022</v>
      </c>
      <c r="BF478" s="909">
        <f t="shared" ca="1" si="368"/>
        <v>568492.93213497824</v>
      </c>
      <c r="BG478" s="909">
        <f t="shared" ca="1" si="369"/>
        <v>0</v>
      </c>
      <c r="BH478" s="909">
        <f t="shared" si="370"/>
        <v>1110595.3886198662</v>
      </c>
      <c r="BI478" s="909">
        <f t="shared" ca="1" si="371"/>
        <v>-1110422.5030305909</v>
      </c>
      <c r="BJ478" s="909"/>
      <c r="BK478" s="653">
        <v>19</v>
      </c>
      <c r="BL478" s="909">
        <f t="shared" ca="1" si="329"/>
        <v>-9331.4749999999985</v>
      </c>
      <c r="BM478" s="909">
        <f t="shared" ca="1" si="330"/>
        <v>-91761.29207244594</v>
      </c>
      <c r="BN478" s="909">
        <f t="shared" ca="1" si="331"/>
        <v>-16118.834591999999</v>
      </c>
      <c r="BO478" s="909">
        <f t="shared" ca="1" si="332"/>
        <v>39688.69766444595</v>
      </c>
      <c r="BP478" s="909">
        <f t="shared" ca="1" si="333"/>
        <v>0</v>
      </c>
      <c r="BQ478" s="909">
        <f t="shared" si="334"/>
        <v>77534.903999999995</v>
      </c>
      <c r="BR478" s="909">
        <f t="shared" ca="1" si="335"/>
        <v>-77522.903999999995</v>
      </c>
      <c r="BS478" s="653"/>
      <c r="BT478" s="653"/>
      <c r="BU478" s="653"/>
      <c r="BV478" s="654"/>
    </row>
    <row r="479" spans="2:74" x14ac:dyDescent="0.25">
      <c r="B479" s="651"/>
      <c r="C479" s="653"/>
      <c r="D479" s="653"/>
      <c r="E479" s="653"/>
      <c r="F479" s="653"/>
      <c r="G479" s="653"/>
      <c r="H479" s="653"/>
      <c r="I479" s="653"/>
      <c r="J479" s="653"/>
      <c r="K479" s="653"/>
      <c r="L479" s="653"/>
      <c r="M479" s="651">
        <v>20</v>
      </c>
      <c r="N479" s="909">
        <f t="shared" ca="1" si="336"/>
        <v>9331.4749999999985</v>
      </c>
      <c r="O479" s="909">
        <f t="shared" ca="1" si="337"/>
        <v>0</v>
      </c>
      <c r="P479" s="909">
        <f t="shared" ca="1" si="338"/>
        <v>12</v>
      </c>
      <c r="Q479" s="910">
        <f t="shared" ca="1" si="339"/>
        <v>1679665.4999999979</v>
      </c>
      <c r="R479" s="909">
        <f t="shared" ca="1" si="340"/>
        <v>91761.29207244594</v>
      </c>
      <c r="S479" s="909">
        <f t="shared" ca="1" si="341"/>
        <v>14912.654588821846</v>
      </c>
      <c r="T479" s="909">
        <f t="shared" ca="1" si="342"/>
        <v>76848.637483624101</v>
      </c>
      <c r="U479" s="909">
        <f t="shared" ca="1" si="343"/>
        <v>420239.84881043743</v>
      </c>
      <c r="V479" s="909">
        <f t="shared" ca="1" si="344"/>
        <v>8640</v>
      </c>
      <c r="W479" s="909">
        <f t="shared" ca="1" si="345"/>
        <v>7478.8345919999992</v>
      </c>
      <c r="X479" s="909">
        <f t="shared" ca="1" si="346"/>
        <v>117223.60166444595</v>
      </c>
      <c r="Y479" s="909">
        <f t="shared" ca="1" si="347"/>
        <v>-39688.69766444595</v>
      </c>
      <c r="Z479" s="910">
        <f t="shared" ca="1" si="348"/>
        <v>-793773.95328891918</v>
      </c>
      <c r="AA479" s="909">
        <f t="shared" ca="1" si="349"/>
        <v>-39688.69766444595</v>
      </c>
      <c r="AB479" s="910">
        <f t="shared" ca="1" si="350"/>
        <v>-793773.95328891918</v>
      </c>
      <c r="AC479" s="911">
        <f t="shared" ca="1" si="351"/>
        <v>0</v>
      </c>
      <c r="AD479" s="911">
        <f t="shared" ca="1" si="352"/>
        <v>0</v>
      </c>
      <c r="AE479" s="909">
        <f t="shared" ca="1" si="353"/>
        <v>0</v>
      </c>
      <c r="AF479" s="912">
        <f t="shared" ca="1" si="320"/>
        <v>0</v>
      </c>
      <c r="AG479" s="909">
        <f t="shared" si="354"/>
        <v>77534.903999999995</v>
      </c>
      <c r="AH479" s="917">
        <f t="shared" ca="1" si="355"/>
        <v>77534.903999999995</v>
      </c>
      <c r="AI479" s="909">
        <f t="shared" ca="1" si="356"/>
        <v>-77534.903999999995</v>
      </c>
      <c r="AJ479" s="916">
        <f t="shared" ca="1" si="357"/>
        <v>0</v>
      </c>
      <c r="AK479" s="916">
        <f t="shared" ca="1" si="358"/>
        <v>-77534.903999999995</v>
      </c>
      <c r="AL479" s="909">
        <f t="shared" ca="1" si="359"/>
        <v>0</v>
      </c>
      <c r="AM479" s="918">
        <f t="shared" ca="1" si="360"/>
        <v>77534.903999999995</v>
      </c>
      <c r="AN479" s="915">
        <f t="shared" si="321"/>
        <v>20</v>
      </c>
      <c r="AO479" s="653">
        <f t="shared" si="361"/>
        <v>77534.903999999995</v>
      </c>
      <c r="AP479" s="916">
        <f t="shared" ca="1" si="362"/>
        <v>9343.4749999999985</v>
      </c>
      <c r="AQ479" s="916">
        <f t="shared" ca="1" si="363"/>
        <v>-39688.69766444595</v>
      </c>
      <c r="AR479" s="653"/>
      <c r="AS479" s="653">
        <v>20</v>
      </c>
      <c r="AT479" s="909">
        <f t="shared" ca="1" si="322"/>
        <v>-5166.611458295929</v>
      </c>
      <c r="AU479" s="909">
        <f t="shared" ca="1" si="323"/>
        <v>-50806.002593324069</v>
      </c>
      <c r="AV479" s="909">
        <f t="shared" ca="1" si="324"/>
        <v>-8924.6078993303836</v>
      </c>
      <c r="AW479" s="909">
        <f t="shared" ca="1" si="325"/>
        <v>21974.669612035541</v>
      </c>
      <c r="AX479" s="909">
        <f t="shared" ca="1" si="326"/>
        <v>0</v>
      </c>
      <c r="AY479" s="909">
        <f t="shared" si="327"/>
        <v>42929.196447965078</v>
      </c>
      <c r="AZ479" s="909">
        <f t="shared" ca="1" si="328"/>
        <v>-42922.552338914837</v>
      </c>
      <c r="BA479" s="653"/>
      <c r="BB479" s="653">
        <f t="shared" si="364"/>
        <v>20</v>
      </c>
      <c r="BC479" s="909">
        <f t="shared" ca="1" si="365"/>
        <v>-138828.78472346903</v>
      </c>
      <c r="BD479" s="909">
        <f t="shared" ca="1" si="366"/>
        <v>-1365176.31597073</v>
      </c>
      <c r="BE479" s="909">
        <f t="shared" ca="1" si="367"/>
        <v>-239807.5564223206</v>
      </c>
      <c r="BF479" s="909">
        <f t="shared" ca="1" si="368"/>
        <v>590467.60174701374</v>
      </c>
      <c r="BG479" s="909">
        <f t="shared" ca="1" si="369"/>
        <v>0</v>
      </c>
      <c r="BH479" s="909">
        <f t="shared" si="370"/>
        <v>1153524.5850678312</v>
      </c>
      <c r="BI479" s="909">
        <f t="shared" ca="1" si="371"/>
        <v>-1153345.0553695059</v>
      </c>
      <c r="BJ479" s="909"/>
      <c r="BK479" s="653">
        <v>20</v>
      </c>
      <c r="BL479" s="909">
        <f t="shared" ca="1" si="329"/>
        <v>-9331.4749999999985</v>
      </c>
      <c r="BM479" s="909">
        <f t="shared" ca="1" si="330"/>
        <v>-91761.29207244594</v>
      </c>
      <c r="BN479" s="909">
        <f t="shared" ca="1" si="331"/>
        <v>-16118.834591999999</v>
      </c>
      <c r="BO479" s="909">
        <f t="shared" ca="1" si="332"/>
        <v>39688.69766444595</v>
      </c>
      <c r="BP479" s="909">
        <f t="shared" ca="1" si="333"/>
        <v>0</v>
      </c>
      <c r="BQ479" s="909">
        <f t="shared" si="334"/>
        <v>77534.903999999995</v>
      </c>
      <c r="BR479" s="909">
        <f t="shared" ca="1" si="335"/>
        <v>-77522.903999999995</v>
      </c>
      <c r="BS479" s="653"/>
      <c r="BT479" s="653"/>
      <c r="BU479" s="653"/>
      <c r="BV479" s="654"/>
    </row>
    <row r="480" spans="2:74" x14ac:dyDescent="0.25">
      <c r="B480" s="651"/>
      <c r="C480" s="653"/>
      <c r="D480" s="653"/>
      <c r="E480" s="653"/>
      <c r="F480" s="653"/>
      <c r="G480" s="653"/>
      <c r="H480" s="653"/>
      <c r="I480" s="653"/>
      <c r="J480" s="653"/>
      <c r="K480" s="653"/>
      <c r="L480" s="653"/>
      <c r="M480" s="651">
        <v>21</v>
      </c>
      <c r="N480" s="909">
        <f t="shared" ca="1" si="336"/>
        <v>9331.4749999999985</v>
      </c>
      <c r="O480" s="909">
        <f t="shared" ca="1" si="337"/>
        <v>0</v>
      </c>
      <c r="P480" s="909">
        <f t="shared" ca="1" si="338"/>
        <v>12</v>
      </c>
      <c r="Q480" s="910">
        <f t="shared" ca="1" si="339"/>
        <v>1670334.0249999978</v>
      </c>
      <c r="R480" s="909">
        <f t="shared" ca="1" si="340"/>
        <v>91761.29207244594</v>
      </c>
      <c r="S480" s="909">
        <f t="shared" ca="1" si="341"/>
        <v>12607.195464313123</v>
      </c>
      <c r="T480" s="909">
        <f t="shared" ca="1" si="342"/>
        <v>79154.096608132822</v>
      </c>
      <c r="U480" s="909">
        <f t="shared" ca="1" si="343"/>
        <v>341085.7522023046</v>
      </c>
      <c r="V480" s="909">
        <f t="shared" ca="1" si="344"/>
        <v>8640</v>
      </c>
      <c r="W480" s="909">
        <f t="shared" ca="1" si="345"/>
        <v>7478.8345919999992</v>
      </c>
      <c r="X480" s="909">
        <f t="shared" ca="1" si="346"/>
        <v>117223.60166444595</v>
      </c>
      <c r="Y480" s="909">
        <f t="shared" ca="1" si="347"/>
        <v>-39688.69766444595</v>
      </c>
      <c r="Z480" s="910">
        <f t="shared" ca="1" si="348"/>
        <v>-833462.65095336514</v>
      </c>
      <c r="AA480" s="909">
        <f t="shared" ca="1" si="349"/>
        <v>-39688.69766444595</v>
      </c>
      <c r="AB480" s="910">
        <f t="shared" ca="1" si="350"/>
        <v>-833462.65095336514</v>
      </c>
      <c r="AC480" s="911">
        <f t="shared" ca="1" si="351"/>
        <v>0</v>
      </c>
      <c r="AD480" s="911">
        <f t="shared" ca="1" si="352"/>
        <v>0</v>
      </c>
      <c r="AE480" s="909">
        <f t="shared" ca="1" si="353"/>
        <v>0</v>
      </c>
      <c r="AF480" s="912">
        <f t="shared" ca="1" si="320"/>
        <v>0</v>
      </c>
      <c r="AG480" s="909">
        <f t="shared" si="354"/>
        <v>77534.903999999995</v>
      </c>
      <c r="AH480" s="917">
        <f t="shared" ca="1" si="355"/>
        <v>77534.903999999995</v>
      </c>
      <c r="AI480" s="909">
        <f t="shared" ca="1" si="356"/>
        <v>-77534.903999999995</v>
      </c>
      <c r="AJ480" s="916">
        <f t="shared" ca="1" si="357"/>
        <v>0</v>
      </c>
      <c r="AK480" s="916">
        <f t="shared" ca="1" si="358"/>
        <v>-77534.903999999995</v>
      </c>
      <c r="AL480" s="909">
        <f t="shared" ca="1" si="359"/>
        <v>0</v>
      </c>
      <c r="AM480" s="918">
        <f t="shared" ca="1" si="360"/>
        <v>77534.903999999995</v>
      </c>
      <c r="AN480" s="915">
        <f t="shared" si="321"/>
        <v>21</v>
      </c>
      <c r="AO480" s="653">
        <f t="shared" si="361"/>
        <v>77534.903999999995</v>
      </c>
      <c r="AP480" s="916">
        <f t="shared" ca="1" si="362"/>
        <v>9343.4749999999985</v>
      </c>
      <c r="AQ480" s="916">
        <f t="shared" ca="1" si="363"/>
        <v>-39688.69766444595</v>
      </c>
      <c r="AR480" s="653"/>
      <c r="AS480" s="653">
        <v>21</v>
      </c>
      <c r="AT480" s="909">
        <f t="shared" ca="1" si="322"/>
        <v>-5016.1276294135241</v>
      </c>
      <c r="AU480" s="909">
        <f t="shared" ca="1" si="323"/>
        <v>-49326.216110023364</v>
      </c>
      <c r="AV480" s="909">
        <f t="shared" ca="1" si="324"/>
        <v>-8664.6678634275577</v>
      </c>
      <c r="AW480" s="909">
        <f t="shared" ca="1" si="325"/>
        <v>21334.630691296643</v>
      </c>
      <c r="AX480" s="909">
        <f t="shared" ca="1" si="326"/>
        <v>0</v>
      </c>
      <c r="AY480" s="909">
        <f t="shared" si="327"/>
        <v>41678.831502878718</v>
      </c>
      <c r="AZ480" s="909">
        <f t="shared" ca="1" si="328"/>
        <v>-41672.380911567801</v>
      </c>
      <c r="BA480" s="653"/>
      <c r="BB480" s="653">
        <f t="shared" si="364"/>
        <v>21</v>
      </c>
      <c r="BC480" s="909">
        <f t="shared" ca="1" si="365"/>
        <v>-143844.91235288256</v>
      </c>
      <c r="BD480" s="909">
        <f t="shared" ca="1" si="366"/>
        <v>-1414502.5320807535</v>
      </c>
      <c r="BE480" s="909">
        <f t="shared" ca="1" si="367"/>
        <v>-248472.22428574815</v>
      </c>
      <c r="BF480" s="909">
        <f t="shared" ca="1" si="368"/>
        <v>611802.2324383104</v>
      </c>
      <c r="BG480" s="909">
        <f t="shared" ca="1" si="369"/>
        <v>0</v>
      </c>
      <c r="BH480" s="909">
        <f t="shared" si="370"/>
        <v>1195203.41657071</v>
      </c>
      <c r="BI480" s="909">
        <f t="shared" ca="1" si="371"/>
        <v>-1195017.4362810736</v>
      </c>
      <c r="BJ480" s="909"/>
      <c r="BK480" s="653">
        <v>21</v>
      </c>
      <c r="BL480" s="909">
        <f t="shared" ca="1" si="329"/>
        <v>-9331.4749999999985</v>
      </c>
      <c r="BM480" s="909">
        <f t="shared" ca="1" si="330"/>
        <v>-91761.29207244594</v>
      </c>
      <c r="BN480" s="909">
        <f t="shared" ca="1" si="331"/>
        <v>-16118.834591999999</v>
      </c>
      <c r="BO480" s="909">
        <f t="shared" ca="1" si="332"/>
        <v>39688.69766444595</v>
      </c>
      <c r="BP480" s="909">
        <f t="shared" ca="1" si="333"/>
        <v>0</v>
      </c>
      <c r="BQ480" s="909">
        <f t="shared" si="334"/>
        <v>77534.903999999995</v>
      </c>
      <c r="BR480" s="909">
        <f t="shared" ca="1" si="335"/>
        <v>-77522.903999999995</v>
      </c>
      <c r="BS480" s="653"/>
      <c r="BT480" s="653"/>
      <c r="BU480" s="653"/>
      <c r="BV480" s="654"/>
    </row>
    <row r="481" spans="2:74" x14ac:dyDescent="0.25">
      <c r="B481" s="651"/>
      <c r="C481" s="653"/>
      <c r="D481" s="653"/>
      <c r="E481" s="653"/>
      <c r="F481" s="653"/>
      <c r="G481" s="653"/>
      <c r="H481" s="653"/>
      <c r="I481" s="653"/>
      <c r="J481" s="653"/>
      <c r="K481" s="653"/>
      <c r="L481" s="653"/>
      <c r="M481" s="651">
        <v>22</v>
      </c>
      <c r="N481" s="909">
        <f t="shared" ca="1" si="336"/>
        <v>9331.4749999999985</v>
      </c>
      <c r="O481" s="909">
        <f t="shared" ca="1" si="337"/>
        <v>0</v>
      </c>
      <c r="P481" s="909">
        <f t="shared" ca="1" si="338"/>
        <v>12</v>
      </c>
      <c r="Q481" s="910">
        <f t="shared" ca="1" si="339"/>
        <v>1661002.5499999977</v>
      </c>
      <c r="R481" s="909">
        <f t="shared" ca="1" si="340"/>
        <v>91761.29207244594</v>
      </c>
      <c r="S481" s="909">
        <f t="shared" ca="1" si="341"/>
        <v>10232.572566069137</v>
      </c>
      <c r="T481" s="909">
        <f t="shared" ca="1" si="342"/>
        <v>81528.719506376801</v>
      </c>
      <c r="U481" s="909">
        <f t="shared" ca="1" si="343"/>
        <v>259557.0326959278</v>
      </c>
      <c r="V481" s="909">
        <f t="shared" ca="1" si="344"/>
        <v>8640</v>
      </c>
      <c r="W481" s="909">
        <f t="shared" ca="1" si="345"/>
        <v>7478.8345919999992</v>
      </c>
      <c r="X481" s="909">
        <f t="shared" ca="1" si="346"/>
        <v>117223.60166444595</v>
      </c>
      <c r="Y481" s="909">
        <f t="shared" ca="1" si="347"/>
        <v>-39688.69766444595</v>
      </c>
      <c r="Z481" s="910">
        <f t="shared" ca="1" si="348"/>
        <v>-873151.34861781111</v>
      </c>
      <c r="AA481" s="909">
        <f t="shared" ca="1" si="349"/>
        <v>-39688.69766444595</v>
      </c>
      <c r="AB481" s="910">
        <f t="shared" ca="1" si="350"/>
        <v>-873151.34861781111</v>
      </c>
      <c r="AC481" s="911">
        <f t="shared" ca="1" si="351"/>
        <v>0</v>
      </c>
      <c r="AD481" s="911">
        <f t="shared" ca="1" si="352"/>
        <v>0</v>
      </c>
      <c r="AE481" s="909">
        <f t="shared" ca="1" si="353"/>
        <v>0</v>
      </c>
      <c r="AF481" s="912">
        <f t="shared" ca="1" si="320"/>
        <v>0</v>
      </c>
      <c r="AG481" s="909">
        <f t="shared" si="354"/>
        <v>77534.903999999995</v>
      </c>
      <c r="AH481" s="917">
        <f t="shared" ca="1" si="355"/>
        <v>77534.903999999995</v>
      </c>
      <c r="AI481" s="909">
        <f t="shared" ca="1" si="356"/>
        <v>-77534.903999999995</v>
      </c>
      <c r="AJ481" s="916">
        <f t="shared" ca="1" si="357"/>
        <v>0</v>
      </c>
      <c r="AK481" s="916">
        <f t="shared" ca="1" si="358"/>
        <v>-77534.903999999995</v>
      </c>
      <c r="AL481" s="909">
        <f t="shared" ca="1" si="359"/>
        <v>0</v>
      </c>
      <c r="AM481" s="918">
        <f t="shared" ca="1" si="360"/>
        <v>77534.903999999995</v>
      </c>
      <c r="AN481" s="915">
        <f t="shared" si="321"/>
        <v>22</v>
      </c>
      <c r="AO481" s="653">
        <f t="shared" si="361"/>
        <v>77534.903999999995</v>
      </c>
      <c r="AP481" s="916">
        <f t="shared" ca="1" si="362"/>
        <v>9343.4749999999985</v>
      </c>
      <c r="AQ481" s="916">
        <f t="shared" ca="1" si="363"/>
        <v>-39688.69766444595</v>
      </c>
      <c r="AR481" s="653"/>
      <c r="AS481" s="653">
        <v>22</v>
      </c>
      <c r="AT481" s="909">
        <f t="shared" ca="1" si="322"/>
        <v>-4870.026824673324</v>
      </c>
      <c r="AU481" s="909">
        <f t="shared" ca="1" si="323"/>
        <v>-47889.530203906179</v>
      </c>
      <c r="AV481" s="909">
        <f t="shared" ca="1" si="324"/>
        <v>-8412.2988965316108</v>
      </c>
      <c r="AW481" s="909">
        <f t="shared" ca="1" si="325"/>
        <v>20713.233680870529</v>
      </c>
      <c r="AX481" s="909">
        <f t="shared" ca="1" si="326"/>
        <v>0</v>
      </c>
      <c r="AY481" s="909">
        <f t="shared" si="327"/>
        <v>40464.884954251182</v>
      </c>
      <c r="AZ481" s="909">
        <f t="shared" ca="1" si="328"/>
        <v>-40458.622244240585</v>
      </c>
      <c r="BA481" s="653"/>
      <c r="BB481" s="653">
        <f t="shared" si="364"/>
        <v>22</v>
      </c>
      <c r="BC481" s="909">
        <f t="shared" ca="1" si="365"/>
        <v>-148714.93917755588</v>
      </c>
      <c r="BD481" s="909">
        <f t="shared" ca="1" si="366"/>
        <v>-1462392.0622846596</v>
      </c>
      <c r="BE481" s="909">
        <f t="shared" ca="1" si="367"/>
        <v>-256884.52318227975</v>
      </c>
      <c r="BF481" s="909">
        <f t="shared" ca="1" si="368"/>
        <v>632515.4661191809</v>
      </c>
      <c r="BG481" s="909">
        <f t="shared" ca="1" si="369"/>
        <v>0</v>
      </c>
      <c r="BH481" s="909">
        <f t="shared" si="370"/>
        <v>1235668.3015249611</v>
      </c>
      <c r="BI481" s="909">
        <f t="shared" ca="1" si="371"/>
        <v>-1235476.0585253141</v>
      </c>
      <c r="BJ481" s="909"/>
      <c r="BK481" s="653">
        <v>22</v>
      </c>
      <c r="BL481" s="909">
        <f t="shared" ca="1" si="329"/>
        <v>-9331.4749999999985</v>
      </c>
      <c r="BM481" s="909">
        <f t="shared" ca="1" si="330"/>
        <v>-91761.29207244594</v>
      </c>
      <c r="BN481" s="909">
        <f t="shared" ca="1" si="331"/>
        <v>-16118.834591999999</v>
      </c>
      <c r="BO481" s="909">
        <f t="shared" ca="1" si="332"/>
        <v>39688.69766444595</v>
      </c>
      <c r="BP481" s="909">
        <f t="shared" ca="1" si="333"/>
        <v>0</v>
      </c>
      <c r="BQ481" s="909">
        <f t="shared" si="334"/>
        <v>77534.903999999995</v>
      </c>
      <c r="BR481" s="909">
        <f t="shared" ca="1" si="335"/>
        <v>-77522.903999999995</v>
      </c>
      <c r="BS481" s="653"/>
      <c r="BT481" s="653"/>
      <c r="BU481" s="653"/>
      <c r="BV481" s="654"/>
    </row>
    <row r="482" spans="2:74" x14ac:dyDescent="0.25">
      <c r="B482" s="651"/>
      <c r="C482" s="653"/>
      <c r="D482" s="653"/>
      <c r="E482" s="653"/>
      <c r="F482" s="653"/>
      <c r="G482" s="653"/>
      <c r="H482" s="653"/>
      <c r="I482" s="653"/>
      <c r="J482" s="653"/>
      <c r="K482" s="653"/>
      <c r="L482" s="653"/>
      <c r="M482" s="651">
        <v>23</v>
      </c>
      <c r="N482" s="909">
        <f t="shared" ca="1" si="336"/>
        <v>9331.4749999999985</v>
      </c>
      <c r="O482" s="909">
        <f t="shared" ca="1" si="337"/>
        <v>0</v>
      </c>
      <c r="P482" s="909">
        <f t="shared" ca="1" si="338"/>
        <v>12</v>
      </c>
      <c r="Q482" s="910">
        <f t="shared" ca="1" si="339"/>
        <v>1651671.0749999976</v>
      </c>
      <c r="R482" s="909">
        <f t="shared" ca="1" si="340"/>
        <v>91761.29207244594</v>
      </c>
      <c r="S482" s="909">
        <f t="shared" ca="1" si="341"/>
        <v>7786.7109808778341</v>
      </c>
      <c r="T482" s="909">
        <f t="shared" ca="1" si="342"/>
        <v>83974.581091568107</v>
      </c>
      <c r="U482" s="909">
        <f t="shared" ca="1" si="343"/>
        <v>175582.4516043597</v>
      </c>
      <c r="V482" s="909">
        <f t="shared" ca="1" si="344"/>
        <v>8640</v>
      </c>
      <c r="W482" s="909">
        <f t="shared" ca="1" si="345"/>
        <v>7478.8345919999992</v>
      </c>
      <c r="X482" s="909">
        <f t="shared" ca="1" si="346"/>
        <v>117223.60166444595</v>
      </c>
      <c r="Y482" s="909">
        <f t="shared" ca="1" si="347"/>
        <v>-39688.69766444595</v>
      </c>
      <c r="Z482" s="910">
        <f t="shared" ca="1" si="348"/>
        <v>-912840.04628225707</v>
      </c>
      <c r="AA482" s="909">
        <f t="shared" ca="1" si="349"/>
        <v>-39688.69766444595</v>
      </c>
      <c r="AB482" s="910">
        <f t="shared" ca="1" si="350"/>
        <v>-912840.04628225707</v>
      </c>
      <c r="AC482" s="911">
        <f t="shared" ca="1" si="351"/>
        <v>0</v>
      </c>
      <c r="AD482" s="911">
        <f t="shared" ca="1" si="352"/>
        <v>0</v>
      </c>
      <c r="AE482" s="909">
        <f t="shared" ca="1" si="353"/>
        <v>0</v>
      </c>
      <c r="AF482" s="912">
        <f t="shared" ca="1" si="320"/>
        <v>0</v>
      </c>
      <c r="AG482" s="909">
        <f t="shared" si="354"/>
        <v>77534.903999999995</v>
      </c>
      <c r="AH482" s="917">
        <f t="shared" ca="1" si="355"/>
        <v>77534.903999999995</v>
      </c>
      <c r="AI482" s="909">
        <f t="shared" ca="1" si="356"/>
        <v>-77534.903999999995</v>
      </c>
      <c r="AJ482" s="916">
        <f t="shared" ca="1" si="357"/>
        <v>0</v>
      </c>
      <c r="AK482" s="916">
        <f t="shared" ca="1" si="358"/>
        <v>-77534.903999999995</v>
      </c>
      <c r="AL482" s="909">
        <f t="shared" ca="1" si="359"/>
        <v>0</v>
      </c>
      <c r="AM482" s="918">
        <f t="shared" ca="1" si="360"/>
        <v>77534.903999999995</v>
      </c>
      <c r="AN482" s="915">
        <f t="shared" si="321"/>
        <v>23</v>
      </c>
      <c r="AO482" s="653">
        <f t="shared" si="361"/>
        <v>77534.903999999995</v>
      </c>
      <c r="AP482" s="916">
        <f t="shared" ca="1" si="362"/>
        <v>9343.4749999999985</v>
      </c>
      <c r="AQ482" s="916">
        <f t="shared" ca="1" si="363"/>
        <v>-39688.69766444595</v>
      </c>
      <c r="AR482" s="653"/>
      <c r="AS482" s="653">
        <v>23</v>
      </c>
      <c r="AT482" s="909">
        <f t="shared" ca="1" si="322"/>
        <v>-4728.1813831779846</v>
      </c>
      <c r="AU482" s="909">
        <f t="shared" ca="1" si="323"/>
        <v>-46494.689518355517</v>
      </c>
      <c r="AV482" s="909">
        <f t="shared" ca="1" si="324"/>
        <v>-8167.2804820695237</v>
      </c>
      <c r="AW482" s="909">
        <f t="shared" ca="1" si="325"/>
        <v>20109.935612495658</v>
      </c>
      <c r="AX482" s="909">
        <f t="shared" ca="1" si="326"/>
        <v>0</v>
      </c>
      <c r="AY482" s="909">
        <f t="shared" si="327"/>
        <v>39286.296072088524</v>
      </c>
      <c r="AZ482" s="909">
        <f t="shared" ca="1" si="328"/>
        <v>-39280.215771107367</v>
      </c>
      <c r="BA482" s="653"/>
      <c r="BB482" s="653">
        <f t="shared" si="364"/>
        <v>23</v>
      </c>
      <c r="BC482" s="909">
        <f t="shared" ca="1" si="365"/>
        <v>-153443.12056073386</v>
      </c>
      <c r="BD482" s="909">
        <f t="shared" ca="1" si="366"/>
        <v>-1508886.7518030151</v>
      </c>
      <c r="BE482" s="909">
        <f t="shared" ca="1" si="367"/>
        <v>-265051.80366434925</v>
      </c>
      <c r="BF482" s="909">
        <f t="shared" ca="1" si="368"/>
        <v>652625.40173167654</v>
      </c>
      <c r="BG482" s="909">
        <f t="shared" ca="1" si="369"/>
        <v>0</v>
      </c>
      <c r="BH482" s="909">
        <f t="shared" si="370"/>
        <v>1274954.5975970495</v>
      </c>
      <c r="BI482" s="909">
        <f t="shared" ca="1" si="371"/>
        <v>-1274756.2742964216</v>
      </c>
      <c r="BJ482" s="909"/>
      <c r="BK482" s="653">
        <v>23</v>
      </c>
      <c r="BL482" s="909">
        <f t="shared" ca="1" si="329"/>
        <v>-9331.4749999999985</v>
      </c>
      <c r="BM482" s="909">
        <f t="shared" ca="1" si="330"/>
        <v>-91761.29207244594</v>
      </c>
      <c r="BN482" s="909">
        <f t="shared" ca="1" si="331"/>
        <v>-16118.834591999999</v>
      </c>
      <c r="BO482" s="909">
        <f t="shared" ca="1" si="332"/>
        <v>39688.69766444595</v>
      </c>
      <c r="BP482" s="909">
        <f t="shared" ca="1" si="333"/>
        <v>0</v>
      </c>
      <c r="BQ482" s="909">
        <f t="shared" si="334"/>
        <v>77534.903999999995</v>
      </c>
      <c r="BR482" s="909">
        <f t="shared" ca="1" si="335"/>
        <v>-77522.903999999995</v>
      </c>
      <c r="BS482" s="653"/>
      <c r="BT482" s="653"/>
      <c r="BU482" s="653"/>
      <c r="BV482" s="654"/>
    </row>
    <row r="483" spans="2:74" x14ac:dyDescent="0.25">
      <c r="B483" s="651"/>
      <c r="C483" s="653"/>
      <c r="D483" s="653"/>
      <c r="E483" s="653"/>
      <c r="F483" s="653"/>
      <c r="G483" s="653"/>
      <c r="H483" s="653"/>
      <c r="I483" s="653"/>
      <c r="J483" s="653"/>
      <c r="K483" s="653"/>
      <c r="L483" s="653"/>
      <c r="M483" s="651">
        <v>24</v>
      </c>
      <c r="N483" s="909">
        <f t="shared" ca="1" si="336"/>
        <v>9331.4749999999985</v>
      </c>
      <c r="O483" s="909">
        <f t="shared" ca="1" si="337"/>
        <v>0</v>
      </c>
      <c r="P483" s="909">
        <f t="shared" ca="1" si="338"/>
        <v>12</v>
      </c>
      <c r="Q483" s="910">
        <f t="shared" ca="1" si="339"/>
        <v>1642339.5999999975</v>
      </c>
      <c r="R483" s="909">
        <f t="shared" ca="1" si="340"/>
        <v>91761.29207244594</v>
      </c>
      <c r="S483" s="909">
        <f t="shared" ca="1" si="341"/>
        <v>5267.4735481307907</v>
      </c>
      <c r="T483" s="909">
        <f t="shared" ca="1" si="342"/>
        <v>86493.818524315153</v>
      </c>
      <c r="U483" s="909">
        <f t="shared" ca="1" si="343"/>
        <v>89088.633080044543</v>
      </c>
      <c r="V483" s="909">
        <f t="shared" ca="1" si="344"/>
        <v>8640</v>
      </c>
      <c r="W483" s="909">
        <f t="shared" ca="1" si="345"/>
        <v>7478.8345919999992</v>
      </c>
      <c r="X483" s="909">
        <f t="shared" ca="1" si="346"/>
        <v>117223.60166444595</v>
      </c>
      <c r="Y483" s="909">
        <f t="shared" ca="1" si="347"/>
        <v>-39688.69766444595</v>
      </c>
      <c r="Z483" s="910">
        <f t="shared" ca="1" si="348"/>
        <v>-952528.74394670303</v>
      </c>
      <c r="AA483" s="909">
        <f t="shared" ca="1" si="349"/>
        <v>-39688.69766444595</v>
      </c>
      <c r="AB483" s="910">
        <f t="shared" ca="1" si="350"/>
        <v>-952528.74394670303</v>
      </c>
      <c r="AC483" s="911">
        <f t="shared" ca="1" si="351"/>
        <v>0</v>
      </c>
      <c r="AD483" s="911">
        <f t="shared" ca="1" si="352"/>
        <v>0</v>
      </c>
      <c r="AE483" s="909">
        <f t="shared" ca="1" si="353"/>
        <v>0</v>
      </c>
      <c r="AF483" s="912">
        <f t="shared" ca="1" si="320"/>
        <v>0</v>
      </c>
      <c r="AG483" s="909">
        <f t="shared" si="354"/>
        <v>77534.903999999995</v>
      </c>
      <c r="AH483" s="917">
        <f t="shared" ca="1" si="355"/>
        <v>77534.903999999995</v>
      </c>
      <c r="AI483" s="909">
        <f t="shared" ca="1" si="356"/>
        <v>-77534.903999999995</v>
      </c>
      <c r="AJ483" s="916">
        <f t="shared" ca="1" si="357"/>
        <v>0</v>
      </c>
      <c r="AK483" s="916">
        <f t="shared" ca="1" si="358"/>
        <v>-77534.903999999995</v>
      </c>
      <c r="AL483" s="909">
        <f t="shared" ca="1" si="359"/>
        <v>0</v>
      </c>
      <c r="AM483" s="918">
        <f t="shared" ca="1" si="360"/>
        <v>77534.903999999995</v>
      </c>
      <c r="AN483" s="915">
        <f t="shared" si="321"/>
        <v>24</v>
      </c>
      <c r="AO483" s="653">
        <f t="shared" si="361"/>
        <v>77534.903999999995</v>
      </c>
      <c r="AP483" s="916">
        <f t="shared" ca="1" si="362"/>
        <v>9343.4749999999985</v>
      </c>
      <c r="AQ483" s="916">
        <f t="shared" ca="1" si="363"/>
        <v>-39688.69766444595</v>
      </c>
      <c r="AR483" s="653"/>
      <c r="AS483" s="653">
        <v>24</v>
      </c>
      <c r="AT483" s="909">
        <f t="shared" ca="1" si="322"/>
        <v>-4590.4673623087228</v>
      </c>
      <c r="AU483" s="909">
        <f t="shared" ca="1" si="323"/>
        <v>-45140.475260539337</v>
      </c>
      <c r="AV483" s="909">
        <f t="shared" ca="1" si="324"/>
        <v>-7929.398526281092</v>
      </c>
      <c r="AW483" s="909">
        <f t="shared" ca="1" si="325"/>
        <v>19524.209332520059</v>
      </c>
      <c r="AX483" s="909">
        <f t="shared" ca="1" si="326"/>
        <v>0</v>
      </c>
      <c r="AY483" s="909">
        <f t="shared" si="327"/>
        <v>38142.035021445176</v>
      </c>
      <c r="AZ483" s="909">
        <f t="shared" ca="1" si="328"/>
        <v>-38136.131816609093</v>
      </c>
      <c r="BA483" s="653"/>
      <c r="BB483" s="653">
        <f t="shared" si="364"/>
        <v>24</v>
      </c>
      <c r="BC483" s="909">
        <f t="shared" ca="1" si="365"/>
        <v>-158033.58792304259</v>
      </c>
      <c r="BD483" s="909">
        <f t="shared" ca="1" si="366"/>
        <v>-1554027.2270635546</v>
      </c>
      <c r="BE483" s="909">
        <f t="shared" ca="1" si="367"/>
        <v>-272981.20219063037</v>
      </c>
      <c r="BF483" s="909">
        <f t="shared" ca="1" si="368"/>
        <v>672149.61106419656</v>
      </c>
      <c r="BG483" s="909">
        <f t="shared" ca="1" si="369"/>
        <v>0</v>
      </c>
      <c r="BH483" s="909">
        <f t="shared" si="370"/>
        <v>1313096.6326184948</v>
      </c>
      <c r="BI483" s="909">
        <f t="shared" ca="1" si="371"/>
        <v>-1312892.4061130306</v>
      </c>
      <c r="BJ483" s="909"/>
      <c r="BK483" s="653">
        <v>24</v>
      </c>
      <c r="BL483" s="909">
        <f t="shared" ca="1" si="329"/>
        <v>-9331.4749999999985</v>
      </c>
      <c r="BM483" s="909">
        <f t="shared" ca="1" si="330"/>
        <v>-91761.29207244594</v>
      </c>
      <c r="BN483" s="909">
        <f t="shared" ca="1" si="331"/>
        <v>-16118.834591999999</v>
      </c>
      <c r="BO483" s="909">
        <f t="shared" ca="1" si="332"/>
        <v>39688.69766444595</v>
      </c>
      <c r="BP483" s="909">
        <f t="shared" ca="1" si="333"/>
        <v>0</v>
      </c>
      <c r="BQ483" s="909">
        <f t="shared" si="334"/>
        <v>77534.903999999995</v>
      </c>
      <c r="BR483" s="909">
        <f t="shared" ca="1" si="335"/>
        <v>-77522.903999999995</v>
      </c>
      <c r="BS483" s="653"/>
      <c r="BT483" s="653"/>
      <c r="BU483" s="653"/>
      <c r="BV483" s="654"/>
    </row>
    <row r="484" spans="2:74" x14ac:dyDescent="0.25">
      <c r="B484" s="651"/>
      <c r="C484" s="653"/>
      <c r="D484" s="653"/>
      <c r="E484" s="653"/>
      <c r="F484" s="653"/>
      <c r="G484" s="653"/>
      <c r="H484" s="653"/>
      <c r="I484" s="653"/>
      <c r="J484" s="653"/>
      <c r="K484" s="653"/>
      <c r="L484" s="653"/>
      <c r="M484" s="651">
        <v>25</v>
      </c>
      <c r="N484" s="909">
        <f t="shared" ca="1" si="336"/>
        <v>9331.4749999999985</v>
      </c>
      <c r="O484" s="909">
        <f t="shared" ca="1" si="337"/>
        <v>0</v>
      </c>
      <c r="P484" s="909">
        <f t="shared" ca="1" si="338"/>
        <v>12</v>
      </c>
      <c r="Q484" s="910">
        <f t="shared" ca="1" si="339"/>
        <v>1633008.1249999974</v>
      </c>
      <c r="R484" s="909">
        <f t="shared" ca="1" si="340"/>
        <v>91761.29207244594</v>
      </c>
      <c r="S484" s="909">
        <f t="shared" ca="1" si="341"/>
        <v>2672.658992401336</v>
      </c>
      <c r="T484" s="909">
        <f t="shared" ca="1" si="342"/>
        <v>89088.633080044601</v>
      </c>
      <c r="U484" s="909">
        <f t="shared" ca="1" si="343"/>
        <v>0</v>
      </c>
      <c r="V484" s="909">
        <f t="shared" ca="1" si="344"/>
        <v>8640</v>
      </c>
      <c r="W484" s="909">
        <f t="shared" ca="1" si="345"/>
        <v>7478.8345919999992</v>
      </c>
      <c r="X484" s="909">
        <f t="shared" ca="1" si="346"/>
        <v>117223.60166444595</v>
      </c>
      <c r="Y484" s="909">
        <f t="shared" ca="1" si="347"/>
        <v>-39688.69766444595</v>
      </c>
      <c r="Z484" s="910">
        <f t="shared" ca="1" si="348"/>
        <v>-992217.441611149</v>
      </c>
      <c r="AA484" s="909">
        <f t="shared" ca="1" si="349"/>
        <v>-39688.69766444595</v>
      </c>
      <c r="AB484" s="910">
        <f t="shared" ca="1" si="350"/>
        <v>-992217.441611149</v>
      </c>
      <c r="AC484" s="911">
        <f t="shared" ca="1" si="351"/>
        <v>0</v>
      </c>
      <c r="AD484" s="911">
        <f t="shared" ca="1" si="352"/>
        <v>0</v>
      </c>
      <c r="AE484" s="909">
        <f t="shared" ca="1" si="353"/>
        <v>0</v>
      </c>
      <c r="AF484" s="912">
        <f t="shared" ca="1" si="320"/>
        <v>0</v>
      </c>
      <c r="AG484" s="909">
        <f t="shared" si="354"/>
        <v>77534.903999999995</v>
      </c>
      <c r="AH484" s="917">
        <f t="shared" ca="1" si="355"/>
        <v>77534.903999999995</v>
      </c>
      <c r="AI484" s="909">
        <f t="shared" ca="1" si="356"/>
        <v>-77534.903999999995</v>
      </c>
      <c r="AJ484" s="916">
        <f t="shared" ca="1" si="357"/>
        <v>0</v>
      </c>
      <c r="AK484" s="916">
        <f t="shared" ca="1" si="358"/>
        <v>-77534.903999999995</v>
      </c>
      <c r="AL484" s="909">
        <f t="shared" ca="1" si="359"/>
        <v>0</v>
      </c>
      <c r="AM484" s="918">
        <f t="shared" ca="1" si="360"/>
        <v>77534.903999999995</v>
      </c>
      <c r="AN484" s="915">
        <f t="shared" si="321"/>
        <v>25</v>
      </c>
      <c r="AO484" s="653">
        <f t="shared" si="361"/>
        <v>77534.903999999995</v>
      </c>
      <c r="AP484" s="916">
        <f t="shared" ca="1" si="362"/>
        <v>9343.4749999999985</v>
      </c>
      <c r="AQ484" s="916">
        <f t="shared" ca="1" si="363"/>
        <v>-39688.69766444595</v>
      </c>
      <c r="AR484" s="653"/>
      <c r="AS484" s="653">
        <v>25</v>
      </c>
      <c r="AT484" s="909">
        <f t="shared" ca="1" si="322"/>
        <v>-4456.7644294259444</v>
      </c>
      <c r="AU484" s="909">
        <f t="shared" ca="1" si="323"/>
        <v>-43825.704136445958</v>
      </c>
      <c r="AV484" s="909">
        <f t="shared" ca="1" si="324"/>
        <v>-7698.4451711466909</v>
      </c>
      <c r="AW484" s="909">
        <f t="shared" ca="1" si="325"/>
        <v>18955.543041281609</v>
      </c>
      <c r="AX484" s="909">
        <f t="shared" ca="1" si="326"/>
        <v>0</v>
      </c>
      <c r="AY484" s="909">
        <f t="shared" si="327"/>
        <v>37031.101962568129</v>
      </c>
      <c r="AZ484" s="909">
        <f t="shared" ca="1" si="328"/>
        <v>-37025.370695736987</v>
      </c>
      <c r="BA484" s="653"/>
      <c r="BB484" s="653">
        <f t="shared" si="364"/>
        <v>25</v>
      </c>
      <c r="BC484" s="909">
        <f t="shared" ca="1" si="365"/>
        <v>-162490.35235246853</v>
      </c>
      <c r="BD484" s="909">
        <f t="shared" ca="1" si="366"/>
        <v>-1597852.9312000005</v>
      </c>
      <c r="BE484" s="909">
        <f t="shared" ca="1" si="367"/>
        <v>-280679.64736177708</v>
      </c>
      <c r="BF484" s="909">
        <f t="shared" ca="1" si="368"/>
        <v>691105.1541054782</v>
      </c>
      <c r="BG484" s="909">
        <f t="shared" ca="1" si="369"/>
        <v>0</v>
      </c>
      <c r="BH484" s="909">
        <f t="shared" si="370"/>
        <v>1350127.734581063</v>
      </c>
      <c r="BI484" s="909">
        <f t="shared" ca="1" si="371"/>
        <v>-1349917.7768087676</v>
      </c>
      <c r="BJ484" s="909"/>
      <c r="BK484" s="653">
        <v>25</v>
      </c>
      <c r="BL484" s="909">
        <f t="shared" ca="1" si="329"/>
        <v>-9331.4749999999985</v>
      </c>
      <c r="BM484" s="909">
        <f t="shared" ca="1" si="330"/>
        <v>-91761.29207244594</v>
      </c>
      <c r="BN484" s="909">
        <f t="shared" ca="1" si="331"/>
        <v>-16118.834591999999</v>
      </c>
      <c r="BO484" s="909">
        <f t="shared" ca="1" si="332"/>
        <v>39688.69766444595</v>
      </c>
      <c r="BP484" s="909">
        <f t="shared" ca="1" si="333"/>
        <v>0</v>
      </c>
      <c r="BQ484" s="909">
        <f t="shared" si="334"/>
        <v>77534.903999999995</v>
      </c>
      <c r="BR484" s="909">
        <f t="shared" ca="1" si="335"/>
        <v>-77522.903999999995</v>
      </c>
      <c r="BS484" s="653"/>
      <c r="BT484" s="653"/>
      <c r="BU484" s="653"/>
      <c r="BV484" s="654"/>
    </row>
    <row r="485" spans="2:74" x14ac:dyDescent="0.25">
      <c r="B485" s="651"/>
      <c r="C485" s="653"/>
      <c r="D485" s="653"/>
      <c r="E485" s="653"/>
      <c r="F485" s="653"/>
      <c r="G485" s="653"/>
      <c r="H485" s="653"/>
      <c r="I485" s="653"/>
      <c r="J485" s="653"/>
      <c r="K485" s="653"/>
      <c r="L485" s="653"/>
      <c r="M485" s="651">
        <v>26</v>
      </c>
      <c r="N485" s="909">
        <f t="shared" ca="1" si="336"/>
        <v>65320.324999999997</v>
      </c>
      <c r="O485" s="909">
        <f t="shared" ca="1" si="337"/>
        <v>0</v>
      </c>
      <c r="P485" s="909">
        <f t="shared" ca="1" si="338"/>
        <v>12</v>
      </c>
      <c r="Q485" s="910">
        <f t="shared" ca="1" si="339"/>
        <v>1567687.7999999975</v>
      </c>
      <c r="R485" s="909">
        <f t="shared" si="340"/>
        <v>0</v>
      </c>
      <c r="S485" s="909">
        <f t="shared" ca="1" si="341"/>
        <v>0</v>
      </c>
      <c r="T485" s="909">
        <f t="shared" ca="1" si="342"/>
        <v>0</v>
      </c>
      <c r="U485" s="909">
        <f t="shared" ca="1" si="343"/>
        <v>0</v>
      </c>
      <c r="V485" s="909">
        <f t="shared" ca="1" si="344"/>
        <v>8640</v>
      </c>
      <c r="W485" s="909">
        <f t="shared" ca="1" si="345"/>
        <v>7478.8345919999992</v>
      </c>
      <c r="X485" s="909">
        <f t="shared" ca="1" si="346"/>
        <v>81451.159591999996</v>
      </c>
      <c r="Y485" s="909">
        <f t="shared" ca="1" si="347"/>
        <v>0</v>
      </c>
      <c r="Z485" s="910">
        <f t="shared" ca="1" si="348"/>
        <v>-992217.441611149</v>
      </c>
      <c r="AA485" s="909">
        <f t="shared" ca="1" si="349"/>
        <v>0</v>
      </c>
      <c r="AB485" s="910">
        <f t="shared" ca="1" si="350"/>
        <v>-992217.441611149</v>
      </c>
      <c r="AC485" s="911">
        <f t="shared" ca="1" si="351"/>
        <v>3916.2555920000013</v>
      </c>
      <c r="AD485" s="911">
        <f t="shared" ca="1" si="352"/>
        <v>3916.2555920000013</v>
      </c>
      <c r="AE485" s="909">
        <f t="shared" ca="1" si="353"/>
        <v>0</v>
      </c>
      <c r="AF485" s="912">
        <f t="shared" ca="1" si="320"/>
        <v>0</v>
      </c>
      <c r="AG485" s="909">
        <f t="shared" si="354"/>
        <v>77534.903999999995</v>
      </c>
      <c r="AH485" s="917">
        <f t="shared" ca="1" si="355"/>
        <v>81451.159591999996</v>
      </c>
      <c r="AI485" s="909">
        <f t="shared" ca="1" si="356"/>
        <v>-81451.159591999996</v>
      </c>
      <c r="AJ485" s="916">
        <f t="shared" ca="1" si="357"/>
        <v>-3916.2555920000013</v>
      </c>
      <c r="AK485" s="916">
        <f t="shared" ca="1" si="358"/>
        <v>-77534.903999999995</v>
      </c>
      <c r="AL485" s="909">
        <f t="shared" ca="1" si="359"/>
        <v>0</v>
      </c>
      <c r="AM485" s="918">
        <f t="shared" ca="1" si="360"/>
        <v>81451.159591999996</v>
      </c>
      <c r="AN485" s="915">
        <f t="shared" si="321"/>
        <v>26</v>
      </c>
      <c r="AO485" s="653">
        <f t="shared" si="361"/>
        <v>77534.903999999995</v>
      </c>
      <c r="AP485" s="916">
        <f t="shared" ca="1" si="362"/>
        <v>65332.324999999997</v>
      </c>
      <c r="AQ485" s="916">
        <f t="shared" ca="1" si="363"/>
        <v>0</v>
      </c>
      <c r="AR485" s="653"/>
      <c r="AS485" s="653">
        <v>26</v>
      </c>
      <c r="AT485" s="909">
        <f t="shared" ca="1" si="322"/>
        <v>-30288.69029706953</v>
      </c>
      <c r="AU485" s="909">
        <f t="shared" si="323"/>
        <v>0</v>
      </c>
      <c r="AV485" s="909">
        <f t="shared" ca="1" si="324"/>
        <v>-7474.2186127637769</v>
      </c>
      <c r="AW485" s="909">
        <f t="shared" ca="1" si="325"/>
        <v>0</v>
      </c>
      <c r="AX485" s="909">
        <f t="shared" ca="1" si="326"/>
        <v>1815.9470693119597</v>
      </c>
      <c r="AY485" s="909">
        <f t="shared" si="327"/>
        <v>35952.526177250606</v>
      </c>
      <c r="AZ485" s="909">
        <f t="shared" ca="1" si="328"/>
        <v>-35946.961840521348</v>
      </c>
      <c r="BA485" s="653"/>
      <c r="BB485" s="653">
        <f t="shared" si="364"/>
        <v>26</v>
      </c>
      <c r="BC485" s="909">
        <f t="shared" ca="1" si="365"/>
        <v>-192779.04264953805</v>
      </c>
      <c r="BD485" s="909">
        <f t="shared" ca="1" si="366"/>
        <v>-1597852.9312000005</v>
      </c>
      <c r="BE485" s="909">
        <f t="shared" ca="1" si="367"/>
        <v>-288153.86597454088</v>
      </c>
      <c r="BF485" s="909">
        <f t="shared" ca="1" si="368"/>
        <v>691105.1541054782</v>
      </c>
      <c r="BG485" s="909">
        <f t="shared" ca="1" si="369"/>
        <v>1815.9470693119597</v>
      </c>
      <c r="BH485" s="909">
        <f t="shared" si="370"/>
        <v>1386080.2607583136</v>
      </c>
      <c r="BI485" s="909">
        <f t="shared" ca="1" si="371"/>
        <v>-1385864.7386492889</v>
      </c>
      <c r="BJ485" s="909"/>
      <c r="BK485" s="653">
        <v>26</v>
      </c>
      <c r="BL485" s="909">
        <f t="shared" ca="1" si="329"/>
        <v>-65320.324999999997</v>
      </c>
      <c r="BM485" s="909">
        <f t="shared" si="330"/>
        <v>0</v>
      </c>
      <c r="BN485" s="909">
        <f t="shared" ca="1" si="331"/>
        <v>-16118.834591999999</v>
      </c>
      <c r="BO485" s="909">
        <f t="shared" ca="1" si="332"/>
        <v>0</v>
      </c>
      <c r="BP485" s="909">
        <f t="shared" ca="1" si="333"/>
        <v>3916.2555920000013</v>
      </c>
      <c r="BQ485" s="909">
        <f t="shared" si="334"/>
        <v>77534.903999999995</v>
      </c>
      <c r="BR485" s="909">
        <f t="shared" ca="1" si="335"/>
        <v>-77522.903999999995</v>
      </c>
      <c r="BS485" s="653"/>
      <c r="BT485" s="653"/>
      <c r="BU485" s="653"/>
      <c r="BV485" s="654"/>
    </row>
    <row r="486" spans="2:74" x14ac:dyDescent="0.25">
      <c r="B486" s="651"/>
      <c r="C486" s="653"/>
      <c r="D486" s="653"/>
      <c r="E486" s="653"/>
      <c r="F486" s="653"/>
      <c r="G486" s="653"/>
      <c r="H486" s="653"/>
      <c r="I486" s="653"/>
      <c r="J486" s="653"/>
      <c r="K486" s="653"/>
      <c r="L486" s="653"/>
      <c r="M486" s="651">
        <v>27</v>
      </c>
      <c r="N486" s="909">
        <f t="shared" ca="1" si="336"/>
        <v>65320.324999999997</v>
      </c>
      <c r="O486" s="909">
        <f t="shared" ca="1" si="337"/>
        <v>0</v>
      </c>
      <c r="P486" s="909">
        <f t="shared" ca="1" si="338"/>
        <v>12</v>
      </c>
      <c r="Q486" s="910">
        <f t="shared" ca="1" si="339"/>
        <v>1502367.4749999975</v>
      </c>
      <c r="R486" s="909">
        <f t="shared" si="340"/>
        <v>0</v>
      </c>
      <c r="S486" s="909">
        <f t="shared" ca="1" si="341"/>
        <v>0</v>
      </c>
      <c r="T486" s="909">
        <f t="shared" ca="1" si="342"/>
        <v>0</v>
      </c>
      <c r="U486" s="909">
        <f t="shared" ca="1" si="343"/>
        <v>0</v>
      </c>
      <c r="V486" s="909">
        <f t="shared" ca="1" si="344"/>
        <v>8640</v>
      </c>
      <c r="W486" s="909">
        <f t="shared" ca="1" si="345"/>
        <v>7478.8345919999992</v>
      </c>
      <c r="X486" s="909">
        <f t="shared" ca="1" si="346"/>
        <v>81451.159591999996</v>
      </c>
      <c r="Y486" s="909">
        <f t="shared" ca="1" si="347"/>
        <v>0</v>
      </c>
      <c r="Z486" s="910">
        <f t="shared" ca="1" si="348"/>
        <v>-992217.441611149</v>
      </c>
      <c r="AA486" s="909">
        <f t="shared" ca="1" si="349"/>
        <v>0</v>
      </c>
      <c r="AB486" s="910">
        <f t="shared" ca="1" si="350"/>
        <v>-992217.441611149</v>
      </c>
      <c r="AC486" s="911">
        <f t="shared" ca="1" si="351"/>
        <v>3916.2555920000013</v>
      </c>
      <c r="AD486" s="911">
        <f t="shared" ca="1" si="352"/>
        <v>7910.836295840003</v>
      </c>
      <c r="AE486" s="909">
        <f t="shared" ca="1" si="353"/>
        <v>0</v>
      </c>
      <c r="AF486" s="912">
        <f t="shared" ca="1" si="320"/>
        <v>0</v>
      </c>
      <c r="AG486" s="909">
        <f t="shared" si="354"/>
        <v>77534.903999999995</v>
      </c>
      <c r="AH486" s="917">
        <f t="shared" ca="1" si="355"/>
        <v>81451.159591999996</v>
      </c>
      <c r="AI486" s="909">
        <f t="shared" ca="1" si="356"/>
        <v>-81451.159591999996</v>
      </c>
      <c r="AJ486" s="916">
        <f t="shared" ca="1" si="357"/>
        <v>-3916.2555920000013</v>
      </c>
      <c r="AK486" s="916">
        <f t="shared" ca="1" si="358"/>
        <v>-77534.903999999995</v>
      </c>
      <c r="AL486" s="909">
        <f t="shared" ca="1" si="359"/>
        <v>0</v>
      </c>
      <c r="AM486" s="918">
        <f t="shared" ca="1" si="360"/>
        <v>81451.159591999996</v>
      </c>
      <c r="AN486" s="915">
        <f t="shared" si="321"/>
        <v>27</v>
      </c>
      <c r="AO486" s="653">
        <f t="shared" si="361"/>
        <v>77534.903999999995</v>
      </c>
      <c r="AP486" s="916">
        <f t="shared" ca="1" si="362"/>
        <v>65332.324999999997</v>
      </c>
      <c r="AQ486" s="916">
        <f t="shared" ca="1" si="363"/>
        <v>0</v>
      </c>
      <c r="AR486" s="653"/>
      <c r="AS486" s="653">
        <v>27</v>
      </c>
      <c r="AT486" s="909">
        <f t="shared" ca="1" si="322"/>
        <v>-29406.495434048087</v>
      </c>
      <c r="AU486" s="909">
        <f t="shared" si="323"/>
        <v>0</v>
      </c>
      <c r="AV486" s="909">
        <f t="shared" ca="1" si="324"/>
        <v>-7256.5229250133762</v>
      </c>
      <c r="AW486" s="909">
        <f t="shared" ca="1" si="325"/>
        <v>0</v>
      </c>
      <c r="AX486" s="909">
        <f t="shared" ca="1" si="326"/>
        <v>1763.0554070989901</v>
      </c>
      <c r="AY486" s="909">
        <f t="shared" si="327"/>
        <v>34905.365220631662</v>
      </c>
      <c r="AZ486" s="909">
        <f t="shared" ca="1" si="328"/>
        <v>-34899.962951962472</v>
      </c>
      <c r="BA486" s="653"/>
      <c r="BB486" s="653">
        <f t="shared" si="364"/>
        <v>27</v>
      </c>
      <c r="BC486" s="909">
        <f t="shared" ca="1" si="365"/>
        <v>-222185.53808358614</v>
      </c>
      <c r="BD486" s="909">
        <f t="shared" ca="1" si="366"/>
        <v>-1597852.9312000005</v>
      </c>
      <c r="BE486" s="909">
        <f t="shared" ca="1" si="367"/>
        <v>-295410.38889955427</v>
      </c>
      <c r="BF486" s="909">
        <f t="shared" ca="1" si="368"/>
        <v>691105.1541054782</v>
      </c>
      <c r="BG486" s="909">
        <f t="shared" ca="1" si="369"/>
        <v>3579.0024764109498</v>
      </c>
      <c r="BH486" s="909">
        <f t="shared" si="370"/>
        <v>1420985.6259789453</v>
      </c>
      <c r="BI486" s="909">
        <f t="shared" ca="1" si="371"/>
        <v>-1420764.7016012513</v>
      </c>
      <c r="BJ486" s="909"/>
      <c r="BK486" s="653">
        <v>27</v>
      </c>
      <c r="BL486" s="909">
        <f t="shared" ca="1" si="329"/>
        <v>-65320.324999999997</v>
      </c>
      <c r="BM486" s="909">
        <f t="shared" si="330"/>
        <v>0</v>
      </c>
      <c r="BN486" s="909">
        <f t="shared" ca="1" si="331"/>
        <v>-16118.834591999999</v>
      </c>
      <c r="BO486" s="909">
        <f t="shared" ca="1" si="332"/>
        <v>0</v>
      </c>
      <c r="BP486" s="909">
        <f t="shared" ca="1" si="333"/>
        <v>3916.2555920000013</v>
      </c>
      <c r="BQ486" s="909">
        <f t="shared" si="334"/>
        <v>77534.903999999995</v>
      </c>
      <c r="BR486" s="909">
        <f t="shared" ca="1" si="335"/>
        <v>-77522.903999999995</v>
      </c>
      <c r="BS486" s="653"/>
      <c r="BT486" s="653"/>
      <c r="BU486" s="653"/>
      <c r="BV486" s="654"/>
    </row>
    <row r="487" spans="2:74" x14ac:dyDescent="0.25">
      <c r="B487" s="651"/>
      <c r="C487" s="653"/>
      <c r="D487" s="653"/>
      <c r="E487" s="653"/>
      <c r="F487" s="653"/>
      <c r="G487" s="653"/>
      <c r="H487" s="653"/>
      <c r="I487" s="653"/>
      <c r="J487" s="653"/>
      <c r="K487" s="653"/>
      <c r="L487" s="653"/>
      <c r="M487" s="651">
        <v>28</v>
      </c>
      <c r="N487" s="909">
        <f t="shared" ca="1" si="336"/>
        <v>65320.324999999997</v>
      </c>
      <c r="O487" s="909">
        <f t="shared" ca="1" si="337"/>
        <v>0</v>
      </c>
      <c r="P487" s="909">
        <f t="shared" ca="1" si="338"/>
        <v>12</v>
      </c>
      <c r="Q487" s="910">
        <f t="shared" ca="1" si="339"/>
        <v>1437047.1499999976</v>
      </c>
      <c r="R487" s="909">
        <f t="shared" si="340"/>
        <v>0</v>
      </c>
      <c r="S487" s="909">
        <f t="shared" ca="1" si="341"/>
        <v>0</v>
      </c>
      <c r="T487" s="909">
        <f t="shared" ca="1" si="342"/>
        <v>0</v>
      </c>
      <c r="U487" s="909">
        <f t="shared" ca="1" si="343"/>
        <v>0</v>
      </c>
      <c r="V487" s="909">
        <f t="shared" ca="1" si="344"/>
        <v>8640</v>
      </c>
      <c r="W487" s="909">
        <f t="shared" ca="1" si="345"/>
        <v>7478.8345919999992</v>
      </c>
      <c r="X487" s="909">
        <f t="shared" ca="1" si="346"/>
        <v>81451.159591999996</v>
      </c>
      <c r="Y487" s="909">
        <f t="shared" ca="1" si="347"/>
        <v>0</v>
      </c>
      <c r="Z487" s="910">
        <f t="shared" ca="1" si="348"/>
        <v>-992217.441611149</v>
      </c>
      <c r="AA487" s="909">
        <f t="shared" ca="1" si="349"/>
        <v>0</v>
      </c>
      <c r="AB487" s="910">
        <f t="shared" ca="1" si="350"/>
        <v>-992217.441611149</v>
      </c>
      <c r="AC487" s="911">
        <f t="shared" ca="1" si="351"/>
        <v>3916.2555920000013</v>
      </c>
      <c r="AD487" s="911">
        <f t="shared" ca="1" si="352"/>
        <v>11985.308613756804</v>
      </c>
      <c r="AE487" s="909">
        <f t="shared" ca="1" si="353"/>
        <v>0</v>
      </c>
      <c r="AF487" s="912">
        <f t="shared" ca="1" si="320"/>
        <v>0</v>
      </c>
      <c r="AG487" s="909">
        <f t="shared" si="354"/>
        <v>77534.903999999995</v>
      </c>
      <c r="AH487" s="917">
        <f t="shared" ca="1" si="355"/>
        <v>81451.159591999996</v>
      </c>
      <c r="AI487" s="909">
        <f t="shared" ca="1" si="356"/>
        <v>-81451.159591999996</v>
      </c>
      <c r="AJ487" s="916">
        <f t="shared" ca="1" si="357"/>
        <v>-3916.2555920000013</v>
      </c>
      <c r="AK487" s="916">
        <f t="shared" ca="1" si="358"/>
        <v>-77534.903999999995</v>
      </c>
      <c r="AL487" s="909">
        <f t="shared" ca="1" si="359"/>
        <v>0</v>
      </c>
      <c r="AM487" s="918">
        <f t="shared" ca="1" si="360"/>
        <v>81451.159591999996</v>
      </c>
      <c r="AN487" s="915">
        <f t="shared" si="321"/>
        <v>28</v>
      </c>
      <c r="AO487" s="653">
        <f t="shared" si="361"/>
        <v>77534.903999999995</v>
      </c>
      <c r="AP487" s="916">
        <f t="shared" ca="1" si="362"/>
        <v>65332.324999999997</v>
      </c>
      <c r="AQ487" s="916">
        <f t="shared" ca="1" si="363"/>
        <v>0</v>
      </c>
      <c r="AR487" s="653"/>
      <c r="AS487" s="653">
        <v>28</v>
      </c>
      <c r="AT487" s="909">
        <f t="shared" ca="1" si="322"/>
        <v>-28549.995567036978</v>
      </c>
      <c r="AU487" s="909">
        <f t="shared" si="323"/>
        <v>0</v>
      </c>
      <c r="AV487" s="909">
        <f t="shared" ca="1" si="324"/>
        <v>-7045.1678883625018</v>
      </c>
      <c r="AW487" s="909">
        <f t="shared" ca="1" si="325"/>
        <v>0</v>
      </c>
      <c r="AX487" s="909">
        <f t="shared" ca="1" si="326"/>
        <v>1711.7042787368837</v>
      </c>
      <c r="AY487" s="909">
        <f t="shared" si="327"/>
        <v>33888.70409770064</v>
      </c>
      <c r="AZ487" s="909">
        <f t="shared" ca="1" si="328"/>
        <v>-33883.459176662596</v>
      </c>
      <c r="BA487" s="653"/>
      <c r="BB487" s="653">
        <f t="shared" si="364"/>
        <v>28</v>
      </c>
      <c r="BC487" s="909">
        <f t="shared" ca="1" si="365"/>
        <v>-250735.53365062311</v>
      </c>
      <c r="BD487" s="909">
        <f t="shared" ca="1" si="366"/>
        <v>-1597852.9312000005</v>
      </c>
      <c r="BE487" s="909">
        <f t="shared" ca="1" si="367"/>
        <v>-302455.55678791675</v>
      </c>
      <c r="BF487" s="909">
        <f t="shared" ca="1" si="368"/>
        <v>691105.1541054782</v>
      </c>
      <c r="BG487" s="909">
        <f t="shared" ca="1" si="369"/>
        <v>5290.706755147834</v>
      </c>
      <c r="BH487" s="909">
        <f t="shared" si="370"/>
        <v>1454874.3300766458</v>
      </c>
      <c r="BI487" s="909">
        <f t="shared" ca="1" si="371"/>
        <v>-1454648.1607779139</v>
      </c>
      <c r="BJ487" s="909"/>
      <c r="BK487" s="653">
        <v>28</v>
      </c>
      <c r="BL487" s="909">
        <f t="shared" ca="1" si="329"/>
        <v>-65320.324999999997</v>
      </c>
      <c r="BM487" s="909">
        <f t="shared" si="330"/>
        <v>0</v>
      </c>
      <c r="BN487" s="909">
        <f t="shared" ca="1" si="331"/>
        <v>-16118.834591999999</v>
      </c>
      <c r="BO487" s="909">
        <f t="shared" ca="1" si="332"/>
        <v>0</v>
      </c>
      <c r="BP487" s="909">
        <f t="shared" ca="1" si="333"/>
        <v>3916.2555920000013</v>
      </c>
      <c r="BQ487" s="909">
        <f t="shared" si="334"/>
        <v>77534.903999999995</v>
      </c>
      <c r="BR487" s="909">
        <f t="shared" ca="1" si="335"/>
        <v>-77522.903999999995</v>
      </c>
      <c r="BS487" s="653"/>
      <c r="BT487" s="653"/>
      <c r="BU487" s="653"/>
      <c r="BV487" s="654"/>
    </row>
    <row r="488" spans="2:74" x14ac:dyDescent="0.25">
      <c r="B488" s="651"/>
      <c r="C488" s="653"/>
      <c r="D488" s="653"/>
      <c r="E488" s="653"/>
      <c r="F488" s="653"/>
      <c r="G488" s="653"/>
      <c r="H488" s="653"/>
      <c r="I488" s="653"/>
      <c r="J488" s="653"/>
      <c r="K488" s="653"/>
      <c r="L488" s="653"/>
      <c r="M488" s="651">
        <v>29</v>
      </c>
      <c r="N488" s="909">
        <f t="shared" ca="1" si="336"/>
        <v>65320.324999999997</v>
      </c>
      <c r="O488" s="909">
        <f t="shared" ca="1" si="337"/>
        <v>0</v>
      </c>
      <c r="P488" s="909">
        <f t="shared" ca="1" si="338"/>
        <v>12</v>
      </c>
      <c r="Q488" s="910">
        <f t="shared" ca="1" si="339"/>
        <v>1371726.8249999976</v>
      </c>
      <c r="R488" s="909">
        <f t="shared" si="340"/>
        <v>0</v>
      </c>
      <c r="S488" s="909">
        <f t="shared" ca="1" si="341"/>
        <v>0</v>
      </c>
      <c r="T488" s="909">
        <f t="shared" ca="1" si="342"/>
        <v>0</v>
      </c>
      <c r="U488" s="909">
        <f t="shared" ca="1" si="343"/>
        <v>0</v>
      </c>
      <c r="V488" s="909">
        <f t="shared" ca="1" si="344"/>
        <v>8640</v>
      </c>
      <c r="W488" s="909">
        <f t="shared" ca="1" si="345"/>
        <v>7478.8345919999992</v>
      </c>
      <c r="X488" s="909">
        <f t="shared" ca="1" si="346"/>
        <v>81451.159591999996</v>
      </c>
      <c r="Y488" s="909">
        <f t="shared" ca="1" si="347"/>
        <v>0</v>
      </c>
      <c r="Z488" s="910">
        <f t="shared" ca="1" si="348"/>
        <v>-992217.441611149</v>
      </c>
      <c r="AA488" s="909">
        <f t="shared" ca="1" si="349"/>
        <v>0</v>
      </c>
      <c r="AB488" s="910">
        <f t="shared" ca="1" si="350"/>
        <v>-992217.441611149</v>
      </c>
      <c r="AC488" s="911">
        <f t="shared" ca="1" si="351"/>
        <v>3916.2555920000013</v>
      </c>
      <c r="AD488" s="911">
        <f t="shared" ca="1" si="352"/>
        <v>16141.270378031943</v>
      </c>
      <c r="AE488" s="909">
        <f t="shared" ca="1" si="353"/>
        <v>0</v>
      </c>
      <c r="AF488" s="912">
        <f t="shared" ca="1" si="320"/>
        <v>0</v>
      </c>
      <c r="AG488" s="909">
        <f t="shared" si="354"/>
        <v>77534.903999999995</v>
      </c>
      <c r="AH488" s="917">
        <f t="shared" ca="1" si="355"/>
        <v>81451.159591999996</v>
      </c>
      <c r="AI488" s="909">
        <f t="shared" ca="1" si="356"/>
        <v>-81451.159591999996</v>
      </c>
      <c r="AJ488" s="916">
        <f t="shared" ca="1" si="357"/>
        <v>-3916.2555920000013</v>
      </c>
      <c r="AK488" s="916">
        <f t="shared" ca="1" si="358"/>
        <v>-77534.903999999995</v>
      </c>
      <c r="AL488" s="909">
        <f t="shared" ca="1" si="359"/>
        <v>0</v>
      </c>
      <c r="AM488" s="918">
        <f t="shared" ca="1" si="360"/>
        <v>81451.159591999996</v>
      </c>
      <c r="AN488" s="915">
        <f t="shared" si="321"/>
        <v>29</v>
      </c>
      <c r="AO488" s="653">
        <f t="shared" si="361"/>
        <v>77534.903999999995</v>
      </c>
      <c r="AP488" s="916">
        <f t="shared" ca="1" si="362"/>
        <v>65332.324999999997</v>
      </c>
      <c r="AQ488" s="916">
        <f t="shared" ca="1" si="363"/>
        <v>0</v>
      </c>
      <c r="AR488" s="653"/>
      <c r="AS488" s="653">
        <v>29</v>
      </c>
      <c r="AT488" s="909">
        <f t="shared" ca="1" si="322"/>
        <v>-27718.442298094156</v>
      </c>
      <c r="AU488" s="909">
        <f t="shared" si="323"/>
        <v>0</v>
      </c>
      <c r="AV488" s="909">
        <f t="shared" ca="1" si="324"/>
        <v>-6839.9688236529146</v>
      </c>
      <c r="AW488" s="909">
        <f t="shared" ca="1" si="325"/>
        <v>0</v>
      </c>
      <c r="AX488" s="909">
        <f t="shared" ca="1" si="326"/>
        <v>1661.848814307654</v>
      </c>
      <c r="AY488" s="909">
        <f t="shared" si="327"/>
        <v>32901.654463787032</v>
      </c>
      <c r="AZ488" s="909">
        <f t="shared" ca="1" si="328"/>
        <v>-32896.562307439417</v>
      </c>
      <c r="BA488" s="653"/>
      <c r="BB488" s="653">
        <f t="shared" si="364"/>
        <v>29</v>
      </c>
      <c r="BC488" s="909">
        <f t="shared" ca="1" si="365"/>
        <v>-278453.97594871727</v>
      </c>
      <c r="BD488" s="909">
        <f t="shared" ca="1" si="366"/>
        <v>-1597852.9312000005</v>
      </c>
      <c r="BE488" s="909">
        <f t="shared" ca="1" si="367"/>
        <v>-309295.52561156964</v>
      </c>
      <c r="BF488" s="909">
        <f t="shared" ca="1" si="368"/>
        <v>691105.1541054782</v>
      </c>
      <c r="BG488" s="909">
        <f t="shared" ca="1" si="369"/>
        <v>6952.5555694554878</v>
      </c>
      <c r="BH488" s="909">
        <f t="shared" si="370"/>
        <v>1487775.9845404329</v>
      </c>
      <c r="BI488" s="909">
        <f t="shared" ca="1" si="371"/>
        <v>-1487544.7230853534</v>
      </c>
      <c r="BJ488" s="909"/>
      <c r="BK488" s="653">
        <v>29</v>
      </c>
      <c r="BL488" s="909">
        <f t="shared" ca="1" si="329"/>
        <v>-65320.324999999997</v>
      </c>
      <c r="BM488" s="909">
        <f t="shared" si="330"/>
        <v>0</v>
      </c>
      <c r="BN488" s="909">
        <f t="shared" ca="1" si="331"/>
        <v>-16118.834591999999</v>
      </c>
      <c r="BO488" s="909">
        <f t="shared" ca="1" si="332"/>
        <v>0</v>
      </c>
      <c r="BP488" s="909">
        <f t="shared" ca="1" si="333"/>
        <v>3916.2555920000013</v>
      </c>
      <c r="BQ488" s="909">
        <f t="shared" si="334"/>
        <v>77534.903999999995</v>
      </c>
      <c r="BR488" s="909">
        <f t="shared" ca="1" si="335"/>
        <v>-77522.903999999995</v>
      </c>
      <c r="BS488" s="653"/>
      <c r="BT488" s="653"/>
      <c r="BU488" s="653"/>
      <c r="BV488" s="654"/>
    </row>
    <row r="489" spans="2:74" x14ac:dyDescent="0.25">
      <c r="B489" s="651"/>
      <c r="C489" s="653"/>
      <c r="D489" s="653"/>
      <c r="E489" s="653"/>
      <c r="F489" s="653"/>
      <c r="G489" s="653"/>
      <c r="H489" s="653"/>
      <c r="I489" s="653"/>
      <c r="J489" s="653"/>
      <c r="K489" s="653"/>
      <c r="L489" s="653"/>
      <c r="M489" s="651">
        <v>30</v>
      </c>
      <c r="N489" s="909">
        <f t="shared" ca="1" si="336"/>
        <v>65320.324999999997</v>
      </c>
      <c r="O489" s="909">
        <f t="shared" ca="1" si="337"/>
        <v>0</v>
      </c>
      <c r="P489" s="909">
        <f t="shared" ca="1" si="338"/>
        <v>12</v>
      </c>
      <c r="Q489" s="910">
        <f t="shared" ca="1" si="339"/>
        <v>1306406.4999999977</v>
      </c>
      <c r="R489" s="909">
        <f t="shared" si="340"/>
        <v>0</v>
      </c>
      <c r="S489" s="909">
        <f t="shared" ca="1" si="341"/>
        <v>0</v>
      </c>
      <c r="T489" s="909">
        <f t="shared" ca="1" si="342"/>
        <v>0</v>
      </c>
      <c r="U489" s="909">
        <f t="shared" ca="1" si="343"/>
        <v>0</v>
      </c>
      <c r="V489" s="909">
        <f t="shared" ca="1" si="344"/>
        <v>8640</v>
      </c>
      <c r="W489" s="909">
        <f t="shared" ca="1" si="345"/>
        <v>7478.8345919999992</v>
      </c>
      <c r="X489" s="909">
        <f t="shared" ca="1" si="346"/>
        <v>81451.159591999996</v>
      </c>
      <c r="Y489" s="909">
        <f t="shared" ca="1" si="347"/>
        <v>0</v>
      </c>
      <c r="Z489" s="910">
        <f t="shared" ca="1" si="348"/>
        <v>-992217.441611149</v>
      </c>
      <c r="AA489" s="909">
        <f t="shared" ca="1" si="349"/>
        <v>0</v>
      </c>
      <c r="AB489" s="910">
        <f t="shared" ca="1" si="350"/>
        <v>-992217.441611149</v>
      </c>
      <c r="AC489" s="911">
        <f t="shared" ca="1" si="351"/>
        <v>3916.2555920000013</v>
      </c>
      <c r="AD489" s="911">
        <f t="shared" ca="1" si="352"/>
        <v>20380.351377592582</v>
      </c>
      <c r="AE489" s="909">
        <f t="shared" ca="1" si="353"/>
        <v>0</v>
      </c>
      <c r="AF489" s="912">
        <f t="shared" ca="1" si="320"/>
        <v>0</v>
      </c>
      <c r="AG489" s="909">
        <f t="shared" si="354"/>
        <v>77534.903999999995</v>
      </c>
      <c r="AH489" s="917">
        <f t="shared" ca="1" si="355"/>
        <v>81451.159591999996</v>
      </c>
      <c r="AI489" s="909">
        <f t="shared" ca="1" si="356"/>
        <v>-81451.159591999996</v>
      </c>
      <c r="AJ489" s="916">
        <f t="shared" ca="1" si="357"/>
        <v>-3916.2555920000013</v>
      </c>
      <c r="AK489" s="916">
        <f t="shared" ca="1" si="358"/>
        <v>-77534.903999999995</v>
      </c>
      <c r="AL489" s="909">
        <f t="shared" ca="1" si="359"/>
        <v>0</v>
      </c>
      <c r="AM489" s="918">
        <f t="shared" ca="1" si="360"/>
        <v>81451.159591999996</v>
      </c>
      <c r="AN489" s="915">
        <f t="shared" si="321"/>
        <v>30</v>
      </c>
      <c r="AO489" s="653">
        <f t="shared" si="361"/>
        <v>77534.903999999995</v>
      </c>
      <c r="AP489" s="916">
        <f t="shared" ca="1" si="362"/>
        <v>65332.324999999997</v>
      </c>
      <c r="AQ489" s="916">
        <f t="shared" ca="1" si="363"/>
        <v>0</v>
      </c>
      <c r="AR489" s="653"/>
      <c r="AS489" s="653">
        <v>30</v>
      </c>
      <c r="AT489" s="909">
        <f t="shared" ca="1" si="322"/>
        <v>-26911.109027275881</v>
      </c>
      <c r="AU489" s="909">
        <f t="shared" si="323"/>
        <v>0</v>
      </c>
      <c r="AV489" s="909">
        <f t="shared" ca="1" si="324"/>
        <v>-6640.7464307309856</v>
      </c>
      <c r="AW489" s="909">
        <f t="shared" ca="1" si="325"/>
        <v>0</v>
      </c>
      <c r="AX489" s="909">
        <f t="shared" ca="1" si="326"/>
        <v>1613.4454507841301</v>
      </c>
      <c r="AY489" s="909">
        <f t="shared" si="327"/>
        <v>31943.353848336927</v>
      </c>
      <c r="AZ489" s="909">
        <f t="shared" ca="1" si="328"/>
        <v>-31938.410007222737</v>
      </c>
      <c r="BA489" s="653"/>
      <c r="BB489" s="653">
        <f t="shared" si="364"/>
        <v>30</v>
      </c>
      <c r="BC489" s="909">
        <f t="shared" ca="1" si="365"/>
        <v>-305365.08497599314</v>
      </c>
      <c r="BD489" s="909">
        <f t="shared" ca="1" si="366"/>
        <v>-1597852.9312000005</v>
      </c>
      <c r="BE489" s="909">
        <f t="shared" ca="1" si="367"/>
        <v>-315936.27204230061</v>
      </c>
      <c r="BF489" s="909">
        <f t="shared" ca="1" si="368"/>
        <v>691105.1541054782</v>
      </c>
      <c r="BG489" s="909">
        <f t="shared" ca="1" si="369"/>
        <v>8566.0010202396188</v>
      </c>
      <c r="BH489" s="909">
        <f t="shared" si="370"/>
        <v>1519719.3383887699</v>
      </c>
      <c r="BI489" s="909">
        <f t="shared" ca="1" si="371"/>
        <v>-1519483.1330925762</v>
      </c>
      <c r="BJ489" s="909"/>
      <c r="BK489" s="653">
        <v>30</v>
      </c>
      <c r="BL489" s="909">
        <f t="shared" ca="1" si="329"/>
        <v>-65320.324999999997</v>
      </c>
      <c r="BM489" s="909">
        <f t="shared" si="330"/>
        <v>0</v>
      </c>
      <c r="BN489" s="909">
        <f t="shared" ca="1" si="331"/>
        <v>-16118.834591999999</v>
      </c>
      <c r="BO489" s="909">
        <f t="shared" ca="1" si="332"/>
        <v>0</v>
      </c>
      <c r="BP489" s="909">
        <f t="shared" ca="1" si="333"/>
        <v>3916.2555920000013</v>
      </c>
      <c r="BQ489" s="909">
        <f t="shared" si="334"/>
        <v>77534.903999999995</v>
      </c>
      <c r="BR489" s="909">
        <f t="shared" ca="1" si="335"/>
        <v>-77522.903999999995</v>
      </c>
      <c r="BS489" s="653"/>
      <c r="BT489" s="653"/>
      <c r="BU489" s="653"/>
      <c r="BV489" s="654"/>
    </row>
    <row r="490" spans="2:74" x14ac:dyDescent="0.25">
      <c r="B490" s="651"/>
      <c r="C490" s="653"/>
      <c r="D490" s="653"/>
      <c r="E490" s="653"/>
      <c r="F490" s="653"/>
      <c r="G490" s="653"/>
      <c r="H490" s="653"/>
      <c r="I490" s="653"/>
      <c r="J490" s="653"/>
      <c r="K490" s="653"/>
      <c r="L490" s="653"/>
      <c r="M490" s="651">
        <v>31</v>
      </c>
      <c r="N490" s="909">
        <f t="shared" ca="1" si="336"/>
        <v>65320.324999999997</v>
      </c>
      <c r="O490" s="909">
        <f t="shared" ca="1" si="337"/>
        <v>0</v>
      </c>
      <c r="P490" s="909">
        <f t="shared" ca="1" si="338"/>
        <v>12</v>
      </c>
      <c r="Q490" s="910">
        <f t="shared" ca="1" si="339"/>
        <v>1241086.1749999977</v>
      </c>
      <c r="R490" s="909">
        <f t="shared" si="340"/>
        <v>0</v>
      </c>
      <c r="S490" s="909">
        <f t="shared" ca="1" si="341"/>
        <v>0</v>
      </c>
      <c r="T490" s="909">
        <f t="shared" ca="1" si="342"/>
        <v>0</v>
      </c>
      <c r="U490" s="909">
        <f t="shared" ca="1" si="343"/>
        <v>0</v>
      </c>
      <c r="V490" s="909">
        <f t="shared" ca="1" si="344"/>
        <v>8640</v>
      </c>
      <c r="W490" s="909">
        <f t="shared" ca="1" si="345"/>
        <v>7478.8345919999992</v>
      </c>
      <c r="X490" s="909">
        <f t="shared" ca="1" si="346"/>
        <v>81451.159591999996</v>
      </c>
      <c r="Y490" s="909">
        <f t="shared" ca="1" si="347"/>
        <v>0</v>
      </c>
      <c r="Z490" s="910">
        <f t="shared" ca="1" si="348"/>
        <v>-992217.441611149</v>
      </c>
      <c r="AA490" s="909">
        <f t="shared" ca="1" si="349"/>
        <v>0</v>
      </c>
      <c r="AB490" s="910">
        <f t="shared" ca="1" si="350"/>
        <v>-992217.441611149</v>
      </c>
      <c r="AC490" s="911">
        <f t="shared" ca="1" si="351"/>
        <v>3916.2555920000013</v>
      </c>
      <c r="AD490" s="911">
        <f t="shared" ca="1" si="352"/>
        <v>24704.213997144434</v>
      </c>
      <c r="AE490" s="909">
        <f t="shared" ca="1" si="353"/>
        <v>0</v>
      </c>
      <c r="AF490" s="912">
        <f t="shared" ca="1" si="320"/>
        <v>0</v>
      </c>
      <c r="AG490" s="909">
        <f t="shared" si="354"/>
        <v>77534.903999999995</v>
      </c>
      <c r="AH490" s="917">
        <f t="shared" ca="1" si="355"/>
        <v>81451.159591999996</v>
      </c>
      <c r="AI490" s="909">
        <f t="shared" ca="1" si="356"/>
        <v>-81451.159591999996</v>
      </c>
      <c r="AJ490" s="916">
        <f t="shared" ca="1" si="357"/>
        <v>-3916.2555920000013</v>
      </c>
      <c r="AK490" s="916">
        <f t="shared" ca="1" si="358"/>
        <v>-77534.903999999995</v>
      </c>
      <c r="AL490" s="909">
        <f t="shared" ca="1" si="359"/>
        <v>0</v>
      </c>
      <c r="AM490" s="918">
        <f t="shared" ca="1" si="360"/>
        <v>81451.159591999996</v>
      </c>
      <c r="AN490" s="915">
        <f t="shared" si="321"/>
        <v>31</v>
      </c>
      <c r="AO490" s="653">
        <f t="shared" si="361"/>
        <v>77534.903999999995</v>
      </c>
      <c r="AP490" s="916">
        <f t="shared" ca="1" si="362"/>
        <v>65332.324999999997</v>
      </c>
      <c r="AQ490" s="916">
        <f t="shared" ca="1" si="363"/>
        <v>0</v>
      </c>
      <c r="AR490" s="653"/>
      <c r="AS490" s="653">
        <v>31</v>
      </c>
      <c r="AT490" s="909">
        <f t="shared" ca="1" si="322"/>
        <v>-26127.290317743569</v>
      </c>
      <c r="AU490" s="909">
        <f t="shared" si="323"/>
        <v>0</v>
      </c>
      <c r="AV490" s="909">
        <f t="shared" ca="1" si="324"/>
        <v>-6447.3266317776543</v>
      </c>
      <c r="AW490" s="909">
        <f t="shared" ca="1" si="325"/>
        <v>0</v>
      </c>
      <c r="AX490" s="909">
        <f t="shared" ca="1" si="326"/>
        <v>1566.4518939651746</v>
      </c>
      <c r="AY490" s="909">
        <f t="shared" si="327"/>
        <v>31012.964901297979</v>
      </c>
      <c r="AZ490" s="909">
        <f t="shared" ca="1" si="328"/>
        <v>-31008.165055556048</v>
      </c>
      <c r="BA490" s="653"/>
      <c r="BB490" s="653">
        <f t="shared" si="364"/>
        <v>31</v>
      </c>
      <c r="BC490" s="909">
        <f t="shared" ca="1" si="365"/>
        <v>-331492.3752937367</v>
      </c>
      <c r="BD490" s="909">
        <f t="shared" ca="1" si="366"/>
        <v>-1597852.9312000005</v>
      </c>
      <c r="BE490" s="909">
        <f t="shared" ca="1" si="367"/>
        <v>-322383.59867407824</v>
      </c>
      <c r="BF490" s="909">
        <f t="shared" ca="1" si="368"/>
        <v>691105.1541054782</v>
      </c>
      <c r="BG490" s="909">
        <f t="shared" ca="1" si="369"/>
        <v>10132.452914204794</v>
      </c>
      <c r="BH490" s="909">
        <f t="shared" si="370"/>
        <v>1550732.3032900679</v>
      </c>
      <c r="BI490" s="909">
        <f t="shared" ca="1" si="371"/>
        <v>-1550491.2981481322</v>
      </c>
      <c r="BJ490" s="909"/>
      <c r="BK490" s="653">
        <v>31</v>
      </c>
      <c r="BL490" s="909">
        <f t="shared" ca="1" si="329"/>
        <v>-65320.324999999997</v>
      </c>
      <c r="BM490" s="909">
        <f t="shared" si="330"/>
        <v>0</v>
      </c>
      <c r="BN490" s="909">
        <f t="shared" ca="1" si="331"/>
        <v>-16118.834591999999</v>
      </c>
      <c r="BO490" s="909">
        <f t="shared" ca="1" si="332"/>
        <v>0</v>
      </c>
      <c r="BP490" s="909">
        <f t="shared" ca="1" si="333"/>
        <v>3916.2555920000013</v>
      </c>
      <c r="BQ490" s="909">
        <f t="shared" si="334"/>
        <v>77534.903999999995</v>
      </c>
      <c r="BR490" s="909">
        <f t="shared" ca="1" si="335"/>
        <v>-77522.903999999995</v>
      </c>
      <c r="BS490" s="653"/>
      <c r="BT490" s="653"/>
      <c r="BU490" s="653"/>
      <c r="BV490" s="654"/>
    </row>
    <row r="491" spans="2:74" x14ac:dyDescent="0.25">
      <c r="B491" s="651"/>
      <c r="C491" s="653"/>
      <c r="D491" s="653"/>
      <c r="E491" s="653"/>
      <c r="F491" s="653"/>
      <c r="G491" s="653"/>
      <c r="H491" s="653"/>
      <c r="I491" s="653"/>
      <c r="J491" s="653"/>
      <c r="K491" s="653"/>
      <c r="L491" s="653"/>
      <c r="M491" s="651">
        <v>32</v>
      </c>
      <c r="N491" s="909">
        <f t="shared" ca="1" si="336"/>
        <v>65320.324999999997</v>
      </c>
      <c r="O491" s="909">
        <f t="shared" ca="1" si="337"/>
        <v>0</v>
      </c>
      <c r="P491" s="909">
        <f t="shared" ca="1" si="338"/>
        <v>12</v>
      </c>
      <c r="Q491" s="910">
        <f t="shared" ca="1" si="339"/>
        <v>1175765.8499999978</v>
      </c>
      <c r="R491" s="909">
        <f t="shared" si="340"/>
        <v>0</v>
      </c>
      <c r="S491" s="909">
        <f t="shared" ca="1" si="341"/>
        <v>0</v>
      </c>
      <c r="T491" s="909">
        <f t="shared" ca="1" si="342"/>
        <v>0</v>
      </c>
      <c r="U491" s="909">
        <f t="shared" ca="1" si="343"/>
        <v>0</v>
      </c>
      <c r="V491" s="909">
        <f t="shared" ca="1" si="344"/>
        <v>8640</v>
      </c>
      <c r="W491" s="909">
        <f t="shared" ca="1" si="345"/>
        <v>7478.8345919999992</v>
      </c>
      <c r="X491" s="909">
        <f t="shared" ca="1" si="346"/>
        <v>81451.159591999996</v>
      </c>
      <c r="Y491" s="909">
        <f t="shared" ca="1" si="347"/>
        <v>0</v>
      </c>
      <c r="Z491" s="910">
        <f t="shared" ca="1" si="348"/>
        <v>-992217.441611149</v>
      </c>
      <c r="AA491" s="909">
        <f t="shared" ca="1" si="349"/>
        <v>0</v>
      </c>
      <c r="AB491" s="910">
        <f t="shared" ca="1" si="350"/>
        <v>-992217.441611149</v>
      </c>
      <c r="AC491" s="911">
        <f t="shared" ca="1" si="351"/>
        <v>3916.2555920000013</v>
      </c>
      <c r="AD491" s="911">
        <f t="shared" ca="1" si="352"/>
        <v>29114.553869087325</v>
      </c>
      <c r="AE491" s="909">
        <f t="shared" ca="1" si="353"/>
        <v>0</v>
      </c>
      <c r="AF491" s="912">
        <f t="shared" ref="AF491:AF509" ca="1" si="372">AE491/(1+$Q$442)^M491</f>
        <v>0</v>
      </c>
      <c r="AG491" s="909">
        <f t="shared" si="354"/>
        <v>77534.903999999995</v>
      </c>
      <c r="AH491" s="917">
        <f t="shared" ca="1" si="355"/>
        <v>81451.159591999996</v>
      </c>
      <c r="AI491" s="909">
        <f t="shared" ca="1" si="356"/>
        <v>-81451.159591999996</v>
      </c>
      <c r="AJ491" s="916">
        <f t="shared" ca="1" si="357"/>
        <v>-3916.2555920000013</v>
      </c>
      <c r="AK491" s="916">
        <f t="shared" ca="1" si="358"/>
        <v>-77534.903999999995</v>
      </c>
      <c r="AL491" s="909">
        <f t="shared" ca="1" si="359"/>
        <v>0</v>
      </c>
      <c r="AM491" s="918">
        <f t="shared" ca="1" si="360"/>
        <v>81451.159591999996</v>
      </c>
      <c r="AN491" s="915">
        <f t="shared" ref="AN491:AN509" si="373">M491</f>
        <v>32</v>
      </c>
      <c r="AO491" s="653">
        <f t="shared" si="361"/>
        <v>77534.903999999995</v>
      </c>
      <c r="AP491" s="916">
        <f t="shared" ca="1" si="362"/>
        <v>65332.324999999997</v>
      </c>
      <c r="AQ491" s="916">
        <f t="shared" ca="1" si="363"/>
        <v>0</v>
      </c>
      <c r="AR491" s="653"/>
      <c r="AS491" s="653">
        <v>32</v>
      </c>
      <c r="AT491" s="909">
        <f t="shared" ref="AT491:AT509" ca="1" si="374">-(N491+O491)*(1+$Q$440)^-M491</f>
        <v>-25366.301279362691</v>
      </c>
      <c r="AU491" s="909">
        <f t="shared" ref="AU491:AU509" si="375">-R491*(1+$Q$440)^-M491</f>
        <v>0</v>
      </c>
      <c r="AV491" s="909">
        <f t="shared" ref="AV491:AV509" ca="1" si="376">-(V491+W491)*(1+$Q$440)^-M491</f>
        <v>-6259.5404192016067</v>
      </c>
      <c r="AW491" s="909">
        <f t="shared" ref="AW491:AW509" ca="1" si="377">-Y491*(1+$Q$440)^-M491</f>
        <v>0</v>
      </c>
      <c r="AX491" s="909">
        <f t="shared" ref="AX491:AX509" ca="1" si="378">AC491*(1+$Q$440)^-M491</f>
        <v>1520.8270815195872</v>
      </c>
      <c r="AY491" s="909">
        <f t="shared" ref="AY491:AY509" si="379">AG491*(1+$Q$440)^-M491</f>
        <v>30109.674661454355</v>
      </c>
      <c r="AZ491" s="909">
        <f t="shared" ref="AZ491:AZ509" ca="1" si="380">SUM(AT491:AX491)</f>
        <v>-30105.014617044711</v>
      </c>
      <c r="BA491" s="653"/>
      <c r="BB491" s="653">
        <f t="shared" si="364"/>
        <v>32</v>
      </c>
      <c r="BC491" s="909">
        <f t="shared" ca="1" si="365"/>
        <v>-356858.67657309939</v>
      </c>
      <c r="BD491" s="909">
        <f t="shared" ca="1" si="366"/>
        <v>-1597852.9312000005</v>
      </c>
      <c r="BE491" s="909">
        <f t="shared" ca="1" si="367"/>
        <v>-328643.13909327984</v>
      </c>
      <c r="BF491" s="909">
        <f t="shared" ca="1" si="368"/>
        <v>691105.1541054782</v>
      </c>
      <c r="BG491" s="909">
        <f t="shared" ca="1" si="369"/>
        <v>11653.279995724381</v>
      </c>
      <c r="BH491" s="909">
        <f t="shared" si="370"/>
        <v>1580841.9779515222</v>
      </c>
      <c r="BI491" s="909">
        <f t="shared" ca="1" si="371"/>
        <v>-1580596.3127651769</v>
      </c>
      <c r="BJ491" s="909"/>
      <c r="BK491" s="653">
        <v>32</v>
      </c>
      <c r="BL491" s="909">
        <f t="shared" ref="BL491:BL509" ca="1" si="381">-(N491+O491)</f>
        <v>-65320.324999999997</v>
      </c>
      <c r="BM491" s="909">
        <f t="shared" ref="BM491:BM509" si="382">-R491</f>
        <v>0</v>
      </c>
      <c r="BN491" s="909">
        <f t="shared" ref="BN491:BN509" ca="1" si="383">-(V491+W491)</f>
        <v>-16118.834591999999</v>
      </c>
      <c r="BO491" s="909">
        <f t="shared" ref="BO491:BO509" ca="1" si="384">-Y491</f>
        <v>0</v>
      </c>
      <c r="BP491" s="909">
        <f t="shared" ref="BP491:BP509" ca="1" si="385">AC491</f>
        <v>3916.2555920000013</v>
      </c>
      <c r="BQ491" s="909">
        <f t="shared" ref="BQ491:BQ509" si="386">AG491</f>
        <v>77534.903999999995</v>
      </c>
      <c r="BR491" s="909">
        <f t="shared" ref="BR491:BR509" ca="1" si="387">SUM(BL491:BP491)</f>
        <v>-77522.903999999995</v>
      </c>
      <c r="BS491" s="653"/>
      <c r="BT491" s="653"/>
      <c r="BU491" s="653"/>
      <c r="BV491" s="654"/>
    </row>
    <row r="492" spans="2:74" x14ac:dyDescent="0.25">
      <c r="B492" s="651"/>
      <c r="C492" s="653"/>
      <c r="D492" s="653"/>
      <c r="E492" s="653"/>
      <c r="F492" s="653"/>
      <c r="G492" s="653"/>
      <c r="H492" s="653"/>
      <c r="I492" s="653"/>
      <c r="J492" s="653"/>
      <c r="K492" s="653"/>
      <c r="L492" s="653"/>
      <c r="M492" s="651">
        <v>33</v>
      </c>
      <c r="N492" s="909">
        <f t="shared" ref="N492:N509" ca="1" si="388">MIN(IF(Q491&lt;=0,0,IF(M492&lt;=$Y$440,$AC$440,IF(M492&lt;=$Y$441,$AC$441,IF(M492&lt;=$Y$442,$AC$442,IF(M492&lt;=$Y$443,$AC$443,IF(M492&lt;=$Y$444,$AC$444)))))),Q491)</f>
        <v>65320.324999999997</v>
      </c>
      <c r="O492" s="909">
        <f t="shared" ref="O492:O509" ca="1" si="389">MAX(MIN(AG492-X492+AC492-Y492,Q491-N492),0)</f>
        <v>0</v>
      </c>
      <c r="P492" s="909">
        <f t="shared" ref="P492:P509" ca="1" si="390">IF(Q491=0,0,Q491*$U$441+$U$439)</f>
        <v>12</v>
      </c>
      <c r="Q492" s="910">
        <f t="shared" ref="Q492:Q509" ca="1" si="391">IF(Q491=0,0,Q491-N492-O492)</f>
        <v>1110445.5249999978</v>
      </c>
      <c r="R492" s="909">
        <f t="shared" ref="R492:R509" si="392">IF(M492&lt;=$V$447,-PMT($U$447,$V$447,$S$446),0)</f>
        <v>0</v>
      </c>
      <c r="S492" s="909">
        <f t="shared" ref="S492:S509" ca="1" si="393">U491*$U$447</f>
        <v>0</v>
      </c>
      <c r="T492" s="909">
        <f t="shared" ref="T492:T509" ca="1" si="394">R492-S492</f>
        <v>0</v>
      </c>
      <c r="U492" s="909">
        <f t="shared" ref="U492:U509" ca="1" si="395">U491-T492</f>
        <v>0</v>
      </c>
      <c r="V492" s="909">
        <f t="shared" ref="V492:V509" ca="1" si="396">IF(M492&lt;=$V$448,($Q$441+$U$448)*$S$447,0)</f>
        <v>8640</v>
      </c>
      <c r="W492" s="909">
        <f t="shared" ref="W492:W509" ca="1" si="397">IF(M492&lt;=$V$449,($Q$441+$U$449)*$S$448,0)</f>
        <v>7478.8345919999992</v>
      </c>
      <c r="X492" s="909">
        <f t="shared" ref="X492:X509" ca="1" si="398">N492+R492+V492+W492+P492</f>
        <v>81451.159591999996</v>
      </c>
      <c r="Y492" s="909">
        <f t="shared" ref="Y492:Y509" ca="1" si="399">IF($R$445&gt;0,IF(M492&gt;=$Q$443,Z491*-1,IF(M492&gt;$W$453,IF(X492&gt;=AG492,0,IF(Z491+AG492-X492&gt;=0,-Z491,AG492-X492)),IF(AG492-X492&gt;=0,0,AG492-X492))),0)</f>
        <v>0</v>
      </c>
      <c r="Z492" s="910">
        <f t="shared" ref="Z492:Z509" ca="1" si="400">IF(Z491+Y492&gt;=0,0,Z491+Y492)</f>
        <v>-992217.441611149</v>
      </c>
      <c r="AA492" s="909">
        <f t="shared" ref="AA492:AA509" ca="1" si="401">IF($S$445&gt;0,IF(M492&gt;$W$453,IF(X492&gt;=AG492,0,IF(AB491+AG492&gt;=0,-AB491,AG492-X492)),IF(AG492-X492&gt;=0,0,AG492-X492)),0)</f>
        <v>0</v>
      </c>
      <c r="AB492" s="910">
        <f t="shared" ref="AB492:AB509" ca="1" si="402">IF(AB491+AA492&gt;=0,0,AB491+AA492)</f>
        <v>-992217.441611149</v>
      </c>
      <c r="AC492" s="911">
        <f t="shared" ref="AC492:AC509" ca="1" si="403">IF(M492&gt;=$Q$443,AD491*-1*(1+$Q$441),MAX(X492+Y492-AG492,AD491*-1*(1+$Q$441)))</f>
        <v>3916.2555920000013</v>
      </c>
      <c r="AD492" s="911">
        <f t="shared" ref="AD492:AD509" ca="1" si="404">AC492+AD491*(1+$Q$441)</f>
        <v>33613.100538469072</v>
      </c>
      <c r="AE492" s="909">
        <f t="shared" ref="AE492:AE509" ca="1" si="405">IF(AG492-Y492-X492+AC492&lt;0,0,AG492-Y492-X492+AC492-O492)</f>
        <v>0</v>
      </c>
      <c r="AF492" s="912">
        <f t="shared" ca="1" si="372"/>
        <v>0</v>
      </c>
      <c r="AG492" s="909">
        <f t="shared" ref="AG492:AG509" si="406">$Y$452*$I$451*12</f>
        <v>77534.903999999995</v>
      </c>
      <c r="AH492" s="917">
        <f t="shared" ref="AH492:AH509" ca="1" si="407">(X492+Y492)</f>
        <v>81451.159591999996</v>
      </c>
      <c r="AI492" s="909">
        <f t="shared" ref="AI492:AI509" ca="1" si="408">IF(M492&gt;$Q$443,"",(X492+Y492+O492)*-1)</f>
        <v>-81451.159591999996</v>
      </c>
      <c r="AJ492" s="916">
        <f t="shared" ref="AJ492:AJ509" ca="1" si="409">IF(M492&gt;$Q$443,"",AI492+AG492)</f>
        <v>-3916.2555920000013</v>
      </c>
      <c r="AK492" s="916">
        <f t="shared" ref="AK492:AK509" ca="1" si="410">IF(M492&gt;$Q$443,"",(N492+O492+P492+R492+V492+W492+Y492-AC492)*-1)</f>
        <v>-77534.903999999995</v>
      </c>
      <c r="AL492" s="909">
        <f t="shared" ref="AL492:AL509" ca="1" si="411">IF(M492&gt;$Q$443,"",AK492+AG492)</f>
        <v>0</v>
      </c>
      <c r="AM492" s="918">
        <f t="shared" ref="AM492:AM509" ca="1" si="412">X492+Y492+O492</f>
        <v>81451.159591999996</v>
      </c>
      <c r="AN492" s="915">
        <f t="shared" si="373"/>
        <v>33</v>
      </c>
      <c r="AO492" s="653">
        <f t="shared" ref="AO492:AO509" si="413">IF(M492&gt;$Q$443,"",AG492)</f>
        <v>77534.903999999995</v>
      </c>
      <c r="AP492" s="916">
        <f t="shared" ref="AP492:AP509" ca="1" si="414">IF(M492&gt;$Q$443,"",N492+O492+P492)</f>
        <v>65332.324999999997</v>
      </c>
      <c r="AQ492" s="916">
        <f t="shared" ref="AQ492:AQ509" ca="1" si="415">IF(M492&gt;$Q$443,"",Y492)</f>
        <v>0</v>
      </c>
      <c r="AR492" s="653"/>
      <c r="AS492" s="653">
        <v>33</v>
      </c>
      <c r="AT492" s="909">
        <f t="shared" ca="1" si="374"/>
        <v>-24627.47697025504</v>
      </c>
      <c r="AU492" s="909">
        <f t="shared" si="375"/>
        <v>0</v>
      </c>
      <c r="AV492" s="909">
        <f t="shared" ca="1" si="376"/>
        <v>-6077.2237079627248</v>
      </c>
      <c r="AW492" s="909">
        <f t="shared" ca="1" si="377"/>
        <v>0</v>
      </c>
      <c r="AX492" s="909">
        <f t="shared" ca="1" si="378"/>
        <v>1476.5311471063953</v>
      </c>
      <c r="AY492" s="909">
        <f t="shared" si="379"/>
        <v>29232.69384607219</v>
      </c>
      <c r="AZ492" s="909">
        <f t="shared" ca="1" si="380"/>
        <v>-29228.169531111369</v>
      </c>
      <c r="BA492" s="653"/>
      <c r="BB492" s="653">
        <f t="shared" ref="BB492:BB509" si="416">AS492</f>
        <v>33</v>
      </c>
      <c r="BC492" s="909">
        <f t="shared" ref="BC492:BC509" ca="1" si="417">BC491+AT492</f>
        <v>-381486.15354335442</v>
      </c>
      <c r="BD492" s="909">
        <f t="shared" ref="BD492:BD509" ca="1" si="418">BD491+AU492</f>
        <v>-1597852.9312000005</v>
      </c>
      <c r="BE492" s="909">
        <f t="shared" ref="BE492:BE509" ca="1" si="419">BE491+AV492</f>
        <v>-334720.36280124256</v>
      </c>
      <c r="BF492" s="909">
        <f t="shared" ref="BF492:BF509" ca="1" si="420">BF491+AW492</f>
        <v>691105.1541054782</v>
      </c>
      <c r="BG492" s="909">
        <f t="shared" ref="BG492:BG509" ca="1" si="421">BG491+AX492</f>
        <v>13129.811142830777</v>
      </c>
      <c r="BH492" s="909">
        <f t="shared" ref="BH492:BH509" si="422">BH491+AY492</f>
        <v>1610074.6717975945</v>
      </c>
      <c r="BI492" s="909">
        <f t="shared" ref="BI492:BI509" ca="1" si="423">BI491+AZ492</f>
        <v>-1609824.4822962882</v>
      </c>
      <c r="BJ492" s="909"/>
      <c r="BK492" s="653">
        <v>33</v>
      </c>
      <c r="BL492" s="909">
        <f t="shared" ca="1" si="381"/>
        <v>-65320.324999999997</v>
      </c>
      <c r="BM492" s="909">
        <f t="shared" si="382"/>
        <v>0</v>
      </c>
      <c r="BN492" s="909">
        <f t="shared" ca="1" si="383"/>
        <v>-16118.834591999999</v>
      </c>
      <c r="BO492" s="909">
        <f t="shared" ca="1" si="384"/>
        <v>0</v>
      </c>
      <c r="BP492" s="909">
        <f t="shared" ca="1" si="385"/>
        <v>3916.2555920000013</v>
      </c>
      <c r="BQ492" s="909">
        <f t="shared" si="386"/>
        <v>77534.903999999995</v>
      </c>
      <c r="BR492" s="909">
        <f t="shared" ca="1" si="387"/>
        <v>-77522.903999999995</v>
      </c>
      <c r="BS492" s="653"/>
      <c r="BT492" s="653"/>
      <c r="BU492" s="653"/>
      <c r="BV492" s="654"/>
    </row>
    <row r="493" spans="2:74" x14ac:dyDescent="0.25">
      <c r="B493" s="651"/>
      <c r="C493" s="653"/>
      <c r="D493" s="653"/>
      <c r="E493" s="653"/>
      <c r="F493" s="653"/>
      <c r="G493" s="653"/>
      <c r="H493" s="653"/>
      <c r="I493" s="653"/>
      <c r="J493" s="653"/>
      <c r="K493" s="653"/>
      <c r="L493" s="653"/>
      <c r="M493" s="651">
        <v>34</v>
      </c>
      <c r="N493" s="909">
        <f t="shared" ca="1" si="388"/>
        <v>65320.324999999997</v>
      </c>
      <c r="O493" s="909">
        <f t="shared" ca="1" si="389"/>
        <v>0</v>
      </c>
      <c r="P493" s="909">
        <f t="shared" ca="1" si="390"/>
        <v>12</v>
      </c>
      <c r="Q493" s="910">
        <f t="shared" ca="1" si="391"/>
        <v>1045125.1999999979</v>
      </c>
      <c r="R493" s="909">
        <f t="shared" si="392"/>
        <v>0</v>
      </c>
      <c r="S493" s="909">
        <f t="shared" ca="1" si="393"/>
        <v>0</v>
      </c>
      <c r="T493" s="909">
        <f t="shared" ca="1" si="394"/>
        <v>0</v>
      </c>
      <c r="U493" s="909">
        <f t="shared" ca="1" si="395"/>
        <v>0</v>
      </c>
      <c r="V493" s="909">
        <f t="shared" ca="1" si="396"/>
        <v>8640</v>
      </c>
      <c r="W493" s="909">
        <f t="shared" ca="1" si="397"/>
        <v>7478.8345919999992</v>
      </c>
      <c r="X493" s="909">
        <f t="shared" ca="1" si="398"/>
        <v>81451.159591999996</v>
      </c>
      <c r="Y493" s="909">
        <f t="shared" ca="1" si="399"/>
        <v>0</v>
      </c>
      <c r="Z493" s="910">
        <f t="shared" ca="1" si="400"/>
        <v>-992217.441611149</v>
      </c>
      <c r="AA493" s="909">
        <f t="shared" ca="1" si="401"/>
        <v>0</v>
      </c>
      <c r="AB493" s="910">
        <f t="shared" ca="1" si="402"/>
        <v>-992217.441611149</v>
      </c>
      <c r="AC493" s="911">
        <f t="shared" ca="1" si="403"/>
        <v>3916.2555920000013</v>
      </c>
      <c r="AD493" s="911">
        <f t="shared" ca="1" si="404"/>
        <v>38201.618141238454</v>
      </c>
      <c r="AE493" s="909">
        <f t="shared" ca="1" si="405"/>
        <v>0</v>
      </c>
      <c r="AF493" s="912">
        <f t="shared" ca="1" si="372"/>
        <v>0</v>
      </c>
      <c r="AG493" s="909">
        <f t="shared" si="406"/>
        <v>77534.903999999995</v>
      </c>
      <c r="AH493" s="917">
        <f t="shared" ca="1" si="407"/>
        <v>81451.159591999996</v>
      </c>
      <c r="AI493" s="909">
        <f t="shared" ca="1" si="408"/>
        <v>-81451.159591999996</v>
      </c>
      <c r="AJ493" s="916">
        <f t="shared" ca="1" si="409"/>
        <v>-3916.2555920000013</v>
      </c>
      <c r="AK493" s="916">
        <f t="shared" ca="1" si="410"/>
        <v>-77534.903999999995</v>
      </c>
      <c r="AL493" s="909">
        <f t="shared" ca="1" si="411"/>
        <v>0</v>
      </c>
      <c r="AM493" s="918">
        <f t="shared" ca="1" si="412"/>
        <v>81451.159591999996</v>
      </c>
      <c r="AN493" s="915">
        <f t="shared" si="373"/>
        <v>34</v>
      </c>
      <c r="AO493" s="653">
        <f t="shared" si="413"/>
        <v>77534.903999999995</v>
      </c>
      <c r="AP493" s="916">
        <f t="shared" ca="1" si="414"/>
        <v>65332.324999999997</v>
      </c>
      <c r="AQ493" s="916">
        <f t="shared" ca="1" si="415"/>
        <v>0</v>
      </c>
      <c r="AR493" s="653"/>
      <c r="AS493" s="653">
        <v>34</v>
      </c>
      <c r="AT493" s="909">
        <f t="shared" ca="1" si="374"/>
        <v>-23910.171815781596</v>
      </c>
      <c r="AU493" s="909">
        <f t="shared" si="375"/>
        <v>0</v>
      </c>
      <c r="AV493" s="909">
        <f t="shared" ca="1" si="376"/>
        <v>-5900.217192196822</v>
      </c>
      <c r="AW493" s="909">
        <f t="shared" ca="1" si="377"/>
        <v>0</v>
      </c>
      <c r="AX493" s="909">
        <f t="shared" ca="1" si="378"/>
        <v>1433.52538554019</v>
      </c>
      <c r="AY493" s="909">
        <f t="shared" si="379"/>
        <v>28381.256161235142</v>
      </c>
      <c r="AZ493" s="909">
        <f t="shared" ca="1" si="380"/>
        <v>-28376.863622438228</v>
      </c>
      <c r="BA493" s="653"/>
      <c r="BB493" s="653">
        <f t="shared" si="416"/>
        <v>34</v>
      </c>
      <c r="BC493" s="909">
        <f t="shared" ca="1" si="417"/>
        <v>-405396.32535913604</v>
      </c>
      <c r="BD493" s="909">
        <f t="shared" ca="1" si="418"/>
        <v>-1597852.9312000005</v>
      </c>
      <c r="BE493" s="909">
        <f t="shared" ca="1" si="419"/>
        <v>-340620.57999343937</v>
      </c>
      <c r="BF493" s="909">
        <f t="shared" ca="1" si="420"/>
        <v>691105.1541054782</v>
      </c>
      <c r="BG493" s="909">
        <f t="shared" ca="1" si="421"/>
        <v>14563.336528370966</v>
      </c>
      <c r="BH493" s="909">
        <f t="shared" si="422"/>
        <v>1638455.9279588296</v>
      </c>
      <c r="BI493" s="909">
        <f t="shared" ca="1" si="423"/>
        <v>-1638201.3459187264</v>
      </c>
      <c r="BJ493" s="909"/>
      <c r="BK493" s="653">
        <v>34</v>
      </c>
      <c r="BL493" s="909">
        <f t="shared" ca="1" si="381"/>
        <v>-65320.324999999997</v>
      </c>
      <c r="BM493" s="909">
        <f t="shared" si="382"/>
        <v>0</v>
      </c>
      <c r="BN493" s="909">
        <f t="shared" ca="1" si="383"/>
        <v>-16118.834591999999</v>
      </c>
      <c r="BO493" s="909">
        <f t="shared" ca="1" si="384"/>
        <v>0</v>
      </c>
      <c r="BP493" s="909">
        <f t="shared" ca="1" si="385"/>
        <v>3916.2555920000013</v>
      </c>
      <c r="BQ493" s="909">
        <f t="shared" si="386"/>
        <v>77534.903999999995</v>
      </c>
      <c r="BR493" s="909">
        <f t="shared" ca="1" si="387"/>
        <v>-77522.903999999995</v>
      </c>
      <c r="BS493" s="653"/>
      <c r="BT493" s="653"/>
      <c r="BU493" s="653"/>
      <c r="BV493" s="654"/>
    </row>
    <row r="494" spans="2:74" x14ac:dyDescent="0.25">
      <c r="B494" s="651"/>
      <c r="C494" s="653"/>
      <c r="D494" s="653"/>
      <c r="E494" s="653"/>
      <c r="F494" s="653"/>
      <c r="G494" s="653"/>
      <c r="H494" s="653"/>
      <c r="I494" s="653"/>
      <c r="J494" s="653"/>
      <c r="K494" s="653"/>
      <c r="L494" s="653"/>
      <c r="M494" s="651">
        <v>35</v>
      </c>
      <c r="N494" s="909">
        <f t="shared" ca="1" si="388"/>
        <v>65320.324999999997</v>
      </c>
      <c r="O494" s="909">
        <f t="shared" ca="1" si="389"/>
        <v>0</v>
      </c>
      <c r="P494" s="909">
        <f t="shared" ca="1" si="390"/>
        <v>12</v>
      </c>
      <c r="Q494" s="910">
        <f t="shared" ca="1" si="391"/>
        <v>979804.8749999979</v>
      </c>
      <c r="R494" s="909">
        <f t="shared" si="392"/>
        <v>0</v>
      </c>
      <c r="S494" s="909">
        <f t="shared" ca="1" si="393"/>
        <v>0</v>
      </c>
      <c r="T494" s="909">
        <f t="shared" ca="1" si="394"/>
        <v>0</v>
      </c>
      <c r="U494" s="909">
        <f t="shared" ca="1" si="395"/>
        <v>0</v>
      </c>
      <c r="V494" s="909">
        <f t="shared" ca="1" si="396"/>
        <v>8640</v>
      </c>
      <c r="W494" s="909">
        <f t="shared" ca="1" si="397"/>
        <v>7478.8345919999992</v>
      </c>
      <c r="X494" s="909">
        <f t="shared" ca="1" si="398"/>
        <v>81451.159591999996</v>
      </c>
      <c r="Y494" s="909">
        <f t="shared" ca="1" si="399"/>
        <v>992217.441611149</v>
      </c>
      <c r="Z494" s="910">
        <f t="shared" ca="1" si="400"/>
        <v>0</v>
      </c>
      <c r="AA494" s="909">
        <f t="shared" ca="1" si="401"/>
        <v>0</v>
      </c>
      <c r="AB494" s="910">
        <f t="shared" ca="1" si="402"/>
        <v>-992217.441611149</v>
      </c>
      <c r="AC494" s="911">
        <f t="shared" ca="1" si="403"/>
        <v>-38965.650504063226</v>
      </c>
      <c r="AD494" s="911">
        <f t="shared" ca="1" si="404"/>
        <v>0</v>
      </c>
      <c r="AE494" s="909">
        <f t="shared" ca="1" si="405"/>
        <v>0</v>
      </c>
      <c r="AF494" s="912">
        <f t="shared" ca="1" si="372"/>
        <v>0</v>
      </c>
      <c r="AG494" s="909">
        <f t="shared" si="406"/>
        <v>77534.903999999995</v>
      </c>
      <c r="AH494" s="917">
        <f t="shared" ca="1" si="407"/>
        <v>1073668.601203149</v>
      </c>
      <c r="AI494" s="909">
        <f t="shared" ca="1" si="408"/>
        <v>-1073668.601203149</v>
      </c>
      <c r="AJ494" s="916">
        <f t="shared" ca="1" si="409"/>
        <v>-996133.69720314897</v>
      </c>
      <c r="AK494" s="916">
        <f t="shared" ca="1" si="410"/>
        <v>-1112634.2517072121</v>
      </c>
      <c r="AL494" s="909">
        <f t="shared" ca="1" si="411"/>
        <v>-1035099.3477072121</v>
      </c>
      <c r="AM494" s="918">
        <f t="shared" ca="1" si="412"/>
        <v>1073668.601203149</v>
      </c>
      <c r="AN494" s="915">
        <f t="shared" si="373"/>
        <v>35</v>
      </c>
      <c r="AO494" s="653">
        <f t="shared" si="413"/>
        <v>77534.903999999995</v>
      </c>
      <c r="AP494" s="916">
        <f t="shared" ca="1" si="414"/>
        <v>65332.324999999997</v>
      </c>
      <c r="AQ494" s="916">
        <f t="shared" ca="1" si="415"/>
        <v>992217.441611149</v>
      </c>
      <c r="AR494" s="653"/>
      <c r="AS494" s="653">
        <v>35</v>
      </c>
      <c r="AT494" s="909">
        <f t="shared" ca="1" si="374"/>
        <v>-23213.759044448147</v>
      </c>
      <c r="AU494" s="909">
        <f t="shared" si="375"/>
        <v>0</v>
      </c>
      <c r="AV494" s="909">
        <f t="shared" ca="1" si="376"/>
        <v>-5728.3662060163306</v>
      </c>
      <c r="AW494" s="909">
        <f t="shared" ca="1" si="377"/>
        <v>-352617.60576451529</v>
      </c>
      <c r="AX494" s="909">
        <f t="shared" ca="1" si="378"/>
        <v>-13847.74527394809</v>
      </c>
      <c r="AY494" s="909">
        <f t="shared" si="379"/>
        <v>27554.61763226712</v>
      </c>
      <c r="AZ494" s="909">
        <f t="shared" ca="1" si="380"/>
        <v>-395407.47628892784</v>
      </c>
      <c r="BA494" s="653"/>
      <c r="BB494" s="653">
        <f t="shared" si="416"/>
        <v>35</v>
      </c>
      <c r="BC494" s="909">
        <f t="shared" ca="1" si="417"/>
        <v>-428610.08440358419</v>
      </c>
      <c r="BD494" s="909">
        <f t="shared" ca="1" si="418"/>
        <v>-1597852.9312000005</v>
      </c>
      <c r="BE494" s="909">
        <f t="shared" ca="1" si="419"/>
        <v>-346348.94619945571</v>
      </c>
      <c r="BF494" s="909">
        <f t="shared" ca="1" si="420"/>
        <v>338487.54834096291</v>
      </c>
      <c r="BG494" s="909">
        <f t="shared" ca="1" si="421"/>
        <v>715.59125442287586</v>
      </c>
      <c r="BH494" s="909">
        <f t="shared" si="422"/>
        <v>1666010.5455910966</v>
      </c>
      <c r="BI494" s="909">
        <f t="shared" ca="1" si="423"/>
        <v>-2033608.8222076544</v>
      </c>
      <c r="BJ494" s="909"/>
      <c r="BK494" s="653">
        <v>35</v>
      </c>
      <c r="BL494" s="909">
        <f t="shared" ca="1" si="381"/>
        <v>-65320.324999999997</v>
      </c>
      <c r="BM494" s="909">
        <f t="shared" si="382"/>
        <v>0</v>
      </c>
      <c r="BN494" s="909">
        <f t="shared" ca="1" si="383"/>
        <v>-16118.834591999999</v>
      </c>
      <c r="BO494" s="909">
        <f t="shared" ca="1" si="384"/>
        <v>-992217.441611149</v>
      </c>
      <c r="BP494" s="909">
        <f t="shared" ca="1" si="385"/>
        <v>-38965.650504063226</v>
      </c>
      <c r="BQ494" s="909">
        <f t="shared" si="386"/>
        <v>77534.903999999995</v>
      </c>
      <c r="BR494" s="909">
        <f t="shared" ca="1" si="387"/>
        <v>-1112622.2517072121</v>
      </c>
      <c r="BS494" s="653"/>
      <c r="BT494" s="653"/>
      <c r="BU494" s="653"/>
      <c r="BV494" s="654"/>
    </row>
    <row r="495" spans="2:74" x14ac:dyDescent="0.25">
      <c r="B495" s="651"/>
      <c r="C495" s="653"/>
      <c r="D495" s="653"/>
      <c r="E495" s="653"/>
      <c r="F495" s="653"/>
      <c r="G495" s="653"/>
      <c r="H495" s="653"/>
      <c r="I495" s="653"/>
      <c r="J495" s="653"/>
      <c r="K495" s="653"/>
      <c r="L495" s="653"/>
      <c r="M495" s="651">
        <v>36</v>
      </c>
      <c r="N495" s="909">
        <f t="shared" ca="1" si="388"/>
        <v>65320.324999999997</v>
      </c>
      <c r="O495" s="909">
        <f t="shared" ca="1" si="389"/>
        <v>3562.5789999999979</v>
      </c>
      <c r="P495" s="909">
        <f t="shared" ca="1" si="390"/>
        <v>12</v>
      </c>
      <c r="Q495" s="910">
        <f t="shared" ca="1" si="391"/>
        <v>910921.97099999792</v>
      </c>
      <c r="R495" s="909">
        <f t="shared" si="392"/>
        <v>0</v>
      </c>
      <c r="S495" s="909">
        <f t="shared" ca="1" si="393"/>
        <v>0</v>
      </c>
      <c r="T495" s="909">
        <f t="shared" ca="1" si="394"/>
        <v>0</v>
      </c>
      <c r="U495" s="909">
        <f t="shared" ca="1" si="395"/>
        <v>0</v>
      </c>
      <c r="V495" s="909">
        <f t="shared" ca="1" si="396"/>
        <v>8640</v>
      </c>
      <c r="W495" s="909">
        <f t="shared" ca="1" si="397"/>
        <v>0</v>
      </c>
      <c r="X495" s="909">
        <f t="shared" ca="1" si="398"/>
        <v>73972.324999999997</v>
      </c>
      <c r="Y495" s="909">
        <f t="shared" ca="1" si="399"/>
        <v>0</v>
      </c>
      <c r="Z495" s="910">
        <f t="shared" ca="1" si="400"/>
        <v>0</v>
      </c>
      <c r="AA495" s="909">
        <f t="shared" ca="1" si="401"/>
        <v>3562.5789999999979</v>
      </c>
      <c r="AB495" s="910">
        <f t="shared" ca="1" si="402"/>
        <v>-988654.86261114897</v>
      </c>
      <c r="AC495" s="911">
        <f t="shared" ca="1" si="403"/>
        <v>0</v>
      </c>
      <c r="AD495" s="911">
        <f t="shared" ca="1" si="404"/>
        <v>0</v>
      </c>
      <c r="AE495" s="909">
        <f t="shared" ca="1" si="405"/>
        <v>0</v>
      </c>
      <c r="AF495" s="912">
        <f t="shared" ca="1" si="372"/>
        <v>0</v>
      </c>
      <c r="AG495" s="909">
        <f t="shared" si="406"/>
        <v>77534.903999999995</v>
      </c>
      <c r="AH495" s="917">
        <f t="shared" ca="1" si="407"/>
        <v>73972.324999999997</v>
      </c>
      <c r="AI495" s="909" t="str">
        <f t="shared" si="408"/>
        <v/>
      </c>
      <c r="AJ495" s="916" t="str">
        <f t="shared" si="409"/>
        <v/>
      </c>
      <c r="AK495" s="916" t="str">
        <f t="shared" si="410"/>
        <v/>
      </c>
      <c r="AL495" s="909" t="str">
        <f t="shared" si="411"/>
        <v/>
      </c>
      <c r="AM495" s="918">
        <f t="shared" ca="1" si="412"/>
        <v>77534.903999999995</v>
      </c>
      <c r="AN495" s="915">
        <f t="shared" si="373"/>
        <v>36</v>
      </c>
      <c r="AO495" s="653" t="str">
        <f t="shared" si="413"/>
        <v/>
      </c>
      <c r="AP495" s="916" t="str">
        <f t="shared" si="414"/>
        <v/>
      </c>
      <c r="AQ495" s="916" t="str">
        <f t="shared" si="415"/>
        <v/>
      </c>
      <c r="AR495" s="653"/>
      <c r="AS495" s="653">
        <v>36</v>
      </c>
      <c r="AT495" s="909">
        <f t="shared" ca="1" si="374"/>
        <v>-23766.835412066946</v>
      </c>
      <c r="AU495" s="909">
        <f t="shared" si="375"/>
        <v>0</v>
      </c>
      <c r="AV495" s="909">
        <f t="shared" ca="1" si="376"/>
        <v>-2981.0801524897734</v>
      </c>
      <c r="AW495" s="909">
        <f t="shared" ca="1" si="377"/>
        <v>0</v>
      </c>
      <c r="AX495" s="909">
        <f t="shared" ca="1" si="378"/>
        <v>0</v>
      </c>
      <c r="AY495" s="909">
        <f t="shared" si="379"/>
        <v>26752.0559536574</v>
      </c>
      <c r="AZ495" s="909">
        <f t="shared" ca="1" si="380"/>
        <v>-26747.915564556719</v>
      </c>
      <c r="BA495" s="653"/>
      <c r="BB495" s="653">
        <f t="shared" si="416"/>
        <v>36</v>
      </c>
      <c r="BC495" s="909">
        <f t="shared" ca="1" si="417"/>
        <v>-452376.91981565114</v>
      </c>
      <c r="BD495" s="909">
        <f t="shared" ca="1" si="418"/>
        <v>-1597852.9312000005</v>
      </c>
      <c r="BE495" s="909">
        <f t="shared" ca="1" si="419"/>
        <v>-349330.02635194547</v>
      </c>
      <c r="BF495" s="909">
        <f t="shared" ca="1" si="420"/>
        <v>338487.54834096291</v>
      </c>
      <c r="BG495" s="909">
        <f t="shared" ca="1" si="421"/>
        <v>715.59125442287586</v>
      </c>
      <c r="BH495" s="909">
        <f t="shared" si="422"/>
        <v>1692762.6015447541</v>
      </c>
      <c r="BI495" s="909">
        <f t="shared" ca="1" si="423"/>
        <v>-2060356.737772211</v>
      </c>
      <c r="BJ495" s="909"/>
      <c r="BK495" s="653">
        <v>36</v>
      </c>
      <c r="BL495" s="909">
        <f t="shared" ca="1" si="381"/>
        <v>-68882.903999999995</v>
      </c>
      <c r="BM495" s="909">
        <f t="shared" si="382"/>
        <v>0</v>
      </c>
      <c r="BN495" s="909">
        <f t="shared" ca="1" si="383"/>
        <v>-8640</v>
      </c>
      <c r="BO495" s="909">
        <f t="shared" ca="1" si="384"/>
        <v>0</v>
      </c>
      <c r="BP495" s="909">
        <f t="shared" ca="1" si="385"/>
        <v>0</v>
      </c>
      <c r="BQ495" s="909">
        <f t="shared" si="386"/>
        <v>77534.903999999995</v>
      </c>
      <c r="BR495" s="909">
        <f t="shared" ca="1" si="387"/>
        <v>-77522.903999999995</v>
      </c>
      <c r="BS495" s="653"/>
      <c r="BT495" s="653"/>
      <c r="BU495" s="653"/>
      <c r="BV495" s="654"/>
    </row>
    <row r="496" spans="2:74" x14ac:dyDescent="0.25">
      <c r="B496" s="651"/>
      <c r="C496" s="653"/>
      <c r="D496" s="653"/>
      <c r="E496" s="653"/>
      <c r="F496" s="653"/>
      <c r="G496" s="653"/>
      <c r="H496" s="653"/>
      <c r="I496" s="653"/>
      <c r="J496" s="653"/>
      <c r="K496" s="653"/>
      <c r="L496" s="653"/>
      <c r="M496" s="651">
        <v>37</v>
      </c>
      <c r="N496" s="909">
        <f t="shared" ca="1" si="388"/>
        <v>65320.324999999997</v>
      </c>
      <c r="O496" s="909">
        <f t="shared" ca="1" si="389"/>
        <v>3562.5789999999979</v>
      </c>
      <c r="P496" s="909">
        <f t="shared" ca="1" si="390"/>
        <v>12</v>
      </c>
      <c r="Q496" s="910">
        <f t="shared" ca="1" si="391"/>
        <v>842039.06699999794</v>
      </c>
      <c r="R496" s="909">
        <f t="shared" si="392"/>
        <v>0</v>
      </c>
      <c r="S496" s="909">
        <f t="shared" ca="1" si="393"/>
        <v>0</v>
      </c>
      <c r="T496" s="909">
        <f t="shared" ca="1" si="394"/>
        <v>0</v>
      </c>
      <c r="U496" s="909">
        <f t="shared" ca="1" si="395"/>
        <v>0</v>
      </c>
      <c r="V496" s="909">
        <f t="shared" ca="1" si="396"/>
        <v>8640</v>
      </c>
      <c r="W496" s="909">
        <f t="shared" ca="1" si="397"/>
        <v>0</v>
      </c>
      <c r="X496" s="909">
        <f t="shared" ca="1" si="398"/>
        <v>73972.324999999997</v>
      </c>
      <c r="Y496" s="909">
        <f t="shared" ca="1" si="399"/>
        <v>0</v>
      </c>
      <c r="Z496" s="910">
        <f t="shared" ca="1" si="400"/>
        <v>0</v>
      </c>
      <c r="AA496" s="909">
        <f t="shared" ca="1" si="401"/>
        <v>3562.5789999999979</v>
      </c>
      <c r="AB496" s="910">
        <f t="shared" ca="1" si="402"/>
        <v>-985092.28361114895</v>
      </c>
      <c r="AC496" s="911">
        <f t="shared" ca="1" si="403"/>
        <v>0</v>
      </c>
      <c r="AD496" s="911">
        <f t="shared" ca="1" si="404"/>
        <v>0</v>
      </c>
      <c r="AE496" s="909">
        <f t="shared" ca="1" si="405"/>
        <v>0</v>
      </c>
      <c r="AF496" s="912">
        <f t="shared" ca="1" si="372"/>
        <v>0</v>
      </c>
      <c r="AG496" s="909">
        <f t="shared" si="406"/>
        <v>77534.903999999995</v>
      </c>
      <c r="AH496" s="917">
        <f t="shared" ca="1" si="407"/>
        <v>73972.324999999997</v>
      </c>
      <c r="AI496" s="909" t="str">
        <f t="shared" si="408"/>
        <v/>
      </c>
      <c r="AJ496" s="916" t="str">
        <f t="shared" si="409"/>
        <v/>
      </c>
      <c r="AK496" s="916" t="str">
        <f t="shared" si="410"/>
        <v/>
      </c>
      <c r="AL496" s="909" t="str">
        <f t="shared" si="411"/>
        <v/>
      </c>
      <c r="AM496" s="918">
        <f t="shared" ca="1" si="412"/>
        <v>77534.903999999995</v>
      </c>
      <c r="AN496" s="915">
        <f t="shared" si="373"/>
        <v>37</v>
      </c>
      <c r="AO496" s="653" t="str">
        <f t="shared" si="413"/>
        <v/>
      </c>
      <c r="AP496" s="916" t="str">
        <f t="shared" si="414"/>
        <v/>
      </c>
      <c r="AQ496" s="916" t="str">
        <f t="shared" si="415"/>
        <v/>
      </c>
      <c r="AR496" s="653"/>
      <c r="AS496" s="653">
        <v>37</v>
      </c>
      <c r="AT496" s="909">
        <f t="shared" ca="1" si="374"/>
        <v>-23074.59748744364</v>
      </c>
      <c r="AU496" s="909">
        <f t="shared" si="375"/>
        <v>0</v>
      </c>
      <c r="AV496" s="909">
        <f t="shared" ca="1" si="376"/>
        <v>-2894.2525752327902</v>
      </c>
      <c r="AW496" s="909">
        <f t="shared" ca="1" si="377"/>
        <v>0</v>
      </c>
      <c r="AX496" s="909">
        <f t="shared" ca="1" si="378"/>
        <v>0</v>
      </c>
      <c r="AY496" s="909">
        <f t="shared" si="379"/>
        <v>25972.86985791981</v>
      </c>
      <c r="AZ496" s="909">
        <f t="shared" ca="1" si="380"/>
        <v>-25968.850062676429</v>
      </c>
      <c r="BA496" s="653"/>
      <c r="BB496" s="653">
        <f t="shared" si="416"/>
        <v>37</v>
      </c>
      <c r="BC496" s="909">
        <f t="shared" ca="1" si="417"/>
        <v>-475451.51730309479</v>
      </c>
      <c r="BD496" s="909">
        <f t="shared" ca="1" si="418"/>
        <v>-1597852.9312000005</v>
      </c>
      <c r="BE496" s="909">
        <f t="shared" ca="1" si="419"/>
        <v>-352224.27892717824</v>
      </c>
      <c r="BF496" s="909">
        <f t="shared" ca="1" si="420"/>
        <v>338487.54834096291</v>
      </c>
      <c r="BG496" s="909">
        <f t="shared" ca="1" si="421"/>
        <v>715.59125442287586</v>
      </c>
      <c r="BH496" s="909">
        <f t="shared" si="422"/>
        <v>1718735.471402674</v>
      </c>
      <c r="BI496" s="909">
        <f t="shared" ca="1" si="423"/>
        <v>-2086325.5878348874</v>
      </c>
      <c r="BJ496" s="909"/>
      <c r="BK496" s="653">
        <v>37</v>
      </c>
      <c r="BL496" s="909">
        <f t="shared" ca="1" si="381"/>
        <v>-68882.903999999995</v>
      </c>
      <c r="BM496" s="909">
        <f t="shared" si="382"/>
        <v>0</v>
      </c>
      <c r="BN496" s="909">
        <f t="shared" ca="1" si="383"/>
        <v>-8640</v>
      </c>
      <c r="BO496" s="909">
        <f t="shared" ca="1" si="384"/>
        <v>0</v>
      </c>
      <c r="BP496" s="909">
        <f t="shared" ca="1" si="385"/>
        <v>0</v>
      </c>
      <c r="BQ496" s="909">
        <f t="shared" si="386"/>
        <v>77534.903999999995</v>
      </c>
      <c r="BR496" s="909">
        <f t="shared" ca="1" si="387"/>
        <v>-77522.903999999995</v>
      </c>
      <c r="BS496" s="653"/>
      <c r="BT496" s="653"/>
      <c r="BU496" s="653"/>
      <c r="BV496" s="654"/>
    </row>
    <row r="497" spans="2:74" x14ac:dyDescent="0.25">
      <c r="B497" s="651"/>
      <c r="C497" s="653"/>
      <c r="D497" s="653"/>
      <c r="E497" s="653"/>
      <c r="F497" s="653"/>
      <c r="G497" s="653"/>
      <c r="H497" s="653"/>
      <c r="I497" s="653"/>
      <c r="J497" s="653"/>
      <c r="K497" s="653"/>
      <c r="L497" s="653"/>
      <c r="M497" s="651">
        <v>38</v>
      </c>
      <c r="N497" s="909">
        <f t="shared" ca="1" si="388"/>
        <v>65320.324999999997</v>
      </c>
      <c r="O497" s="909">
        <f t="shared" ca="1" si="389"/>
        <v>3562.5789999999979</v>
      </c>
      <c r="P497" s="909">
        <f t="shared" ca="1" si="390"/>
        <v>12</v>
      </c>
      <c r="Q497" s="910">
        <f t="shared" ca="1" si="391"/>
        <v>773156.16299999796</v>
      </c>
      <c r="R497" s="909">
        <f t="shared" si="392"/>
        <v>0</v>
      </c>
      <c r="S497" s="909">
        <f t="shared" ca="1" si="393"/>
        <v>0</v>
      </c>
      <c r="T497" s="909">
        <f t="shared" ca="1" si="394"/>
        <v>0</v>
      </c>
      <c r="U497" s="909">
        <f t="shared" ca="1" si="395"/>
        <v>0</v>
      </c>
      <c r="V497" s="909">
        <f t="shared" ca="1" si="396"/>
        <v>8640</v>
      </c>
      <c r="W497" s="909">
        <f t="shared" ca="1" si="397"/>
        <v>0</v>
      </c>
      <c r="X497" s="909">
        <f t="shared" ca="1" si="398"/>
        <v>73972.324999999997</v>
      </c>
      <c r="Y497" s="909">
        <f t="shared" ca="1" si="399"/>
        <v>0</v>
      </c>
      <c r="Z497" s="910">
        <f t="shared" ca="1" si="400"/>
        <v>0</v>
      </c>
      <c r="AA497" s="909">
        <f t="shared" ca="1" si="401"/>
        <v>3562.5789999999979</v>
      </c>
      <c r="AB497" s="910">
        <f t="shared" ca="1" si="402"/>
        <v>-981529.70461114892</v>
      </c>
      <c r="AC497" s="911">
        <f t="shared" ca="1" si="403"/>
        <v>0</v>
      </c>
      <c r="AD497" s="911">
        <f t="shared" ca="1" si="404"/>
        <v>0</v>
      </c>
      <c r="AE497" s="909">
        <f t="shared" ca="1" si="405"/>
        <v>0</v>
      </c>
      <c r="AF497" s="912">
        <f t="shared" ca="1" si="372"/>
        <v>0</v>
      </c>
      <c r="AG497" s="909">
        <f t="shared" si="406"/>
        <v>77534.903999999995</v>
      </c>
      <c r="AH497" s="917">
        <f t="shared" ca="1" si="407"/>
        <v>73972.324999999997</v>
      </c>
      <c r="AI497" s="909" t="str">
        <f t="shared" si="408"/>
        <v/>
      </c>
      <c r="AJ497" s="916" t="str">
        <f t="shared" si="409"/>
        <v/>
      </c>
      <c r="AK497" s="916" t="str">
        <f t="shared" si="410"/>
        <v/>
      </c>
      <c r="AL497" s="909" t="str">
        <f t="shared" si="411"/>
        <v/>
      </c>
      <c r="AM497" s="918">
        <f t="shared" ca="1" si="412"/>
        <v>77534.903999999995</v>
      </c>
      <c r="AN497" s="915">
        <f t="shared" si="373"/>
        <v>38</v>
      </c>
      <c r="AO497" s="653" t="str">
        <f t="shared" si="413"/>
        <v/>
      </c>
      <c r="AP497" s="916" t="str">
        <f t="shared" si="414"/>
        <v/>
      </c>
      <c r="AQ497" s="916" t="str">
        <f t="shared" si="415"/>
        <v/>
      </c>
      <c r="AR497" s="653"/>
      <c r="AS497" s="653">
        <v>38</v>
      </c>
      <c r="AT497" s="909">
        <f t="shared" ca="1" si="374"/>
        <v>-22402.521832469556</v>
      </c>
      <c r="AU497" s="909">
        <f t="shared" si="375"/>
        <v>0</v>
      </c>
      <c r="AV497" s="909">
        <f t="shared" ca="1" si="376"/>
        <v>-2809.9539565366899</v>
      </c>
      <c r="AW497" s="909">
        <f t="shared" ca="1" si="377"/>
        <v>0</v>
      </c>
      <c r="AX497" s="909">
        <f t="shared" ca="1" si="378"/>
        <v>0</v>
      </c>
      <c r="AY497" s="909">
        <f t="shared" si="379"/>
        <v>25216.37850283477</v>
      </c>
      <c r="AZ497" s="909">
        <f t="shared" ca="1" si="380"/>
        <v>-25212.475789006246</v>
      </c>
      <c r="BA497" s="653"/>
      <c r="BB497" s="653">
        <f t="shared" si="416"/>
        <v>38</v>
      </c>
      <c r="BC497" s="909">
        <f t="shared" ca="1" si="417"/>
        <v>-497854.03913556435</v>
      </c>
      <c r="BD497" s="909">
        <f t="shared" ca="1" si="418"/>
        <v>-1597852.9312000005</v>
      </c>
      <c r="BE497" s="909">
        <f t="shared" ca="1" si="419"/>
        <v>-355034.23288371495</v>
      </c>
      <c r="BF497" s="909">
        <f t="shared" ca="1" si="420"/>
        <v>338487.54834096291</v>
      </c>
      <c r="BG497" s="909">
        <f t="shared" ca="1" si="421"/>
        <v>715.59125442287586</v>
      </c>
      <c r="BH497" s="909">
        <f t="shared" si="422"/>
        <v>1743951.8499055088</v>
      </c>
      <c r="BI497" s="909">
        <f t="shared" ca="1" si="423"/>
        <v>-2111538.0636238935</v>
      </c>
      <c r="BJ497" s="909"/>
      <c r="BK497" s="653">
        <v>38</v>
      </c>
      <c r="BL497" s="909">
        <f t="shared" ca="1" si="381"/>
        <v>-68882.903999999995</v>
      </c>
      <c r="BM497" s="909">
        <f t="shared" si="382"/>
        <v>0</v>
      </c>
      <c r="BN497" s="909">
        <f t="shared" ca="1" si="383"/>
        <v>-8640</v>
      </c>
      <c r="BO497" s="909">
        <f t="shared" ca="1" si="384"/>
        <v>0</v>
      </c>
      <c r="BP497" s="909">
        <f t="shared" ca="1" si="385"/>
        <v>0</v>
      </c>
      <c r="BQ497" s="909">
        <f t="shared" si="386"/>
        <v>77534.903999999995</v>
      </c>
      <c r="BR497" s="909">
        <f t="shared" ca="1" si="387"/>
        <v>-77522.903999999995</v>
      </c>
      <c r="BS497" s="653"/>
      <c r="BT497" s="653"/>
      <c r="BU497" s="653"/>
      <c r="BV497" s="654"/>
    </row>
    <row r="498" spans="2:74" x14ac:dyDescent="0.25">
      <c r="B498" s="651"/>
      <c r="C498" s="653"/>
      <c r="D498" s="653"/>
      <c r="E498" s="653"/>
      <c r="F498" s="653"/>
      <c r="G498" s="653"/>
      <c r="H498" s="653"/>
      <c r="I498" s="653"/>
      <c r="J498" s="653"/>
      <c r="K498" s="653"/>
      <c r="L498" s="653"/>
      <c r="M498" s="651">
        <v>39</v>
      </c>
      <c r="N498" s="909">
        <f t="shared" ca="1" si="388"/>
        <v>65320.324999999997</v>
      </c>
      <c r="O498" s="909">
        <f t="shared" ca="1" si="389"/>
        <v>3562.5789999999979</v>
      </c>
      <c r="P498" s="909">
        <f t="shared" ca="1" si="390"/>
        <v>12</v>
      </c>
      <c r="Q498" s="910">
        <f t="shared" ca="1" si="391"/>
        <v>704273.25899999798</v>
      </c>
      <c r="R498" s="909">
        <f t="shared" si="392"/>
        <v>0</v>
      </c>
      <c r="S498" s="909">
        <f t="shared" ca="1" si="393"/>
        <v>0</v>
      </c>
      <c r="T498" s="909">
        <f t="shared" ca="1" si="394"/>
        <v>0</v>
      </c>
      <c r="U498" s="909">
        <f t="shared" ca="1" si="395"/>
        <v>0</v>
      </c>
      <c r="V498" s="909">
        <f t="shared" ca="1" si="396"/>
        <v>8640</v>
      </c>
      <c r="W498" s="909">
        <f t="shared" ca="1" si="397"/>
        <v>0</v>
      </c>
      <c r="X498" s="909">
        <f t="shared" ca="1" si="398"/>
        <v>73972.324999999997</v>
      </c>
      <c r="Y498" s="909">
        <f t="shared" ca="1" si="399"/>
        <v>0</v>
      </c>
      <c r="Z498" s="910">
        <f t="shared" ca="1" si="400"/>
        <v>0</v>
      </c>
      <c r="AA498" s="909">
        <f t="shared" ca="1" si="401"/>
        <v>3562.5789999999979</v>
      </c>
      <c r="AB498" s="910">
        <f t="shared" ca="1" si="402"/>
        <v>-977967.12561114889</v>
      </c>
      <c r="AC498" s="911">
        <f t="shared" ca="1" si="403"/>
        <v>0</v>
      </c>
      <c r="AD498" s="911">
        <f t="shared" ca="1" si="404"/>
        <v>0</v>
      </c>
      <c r="AE498" s="909">
        <f t="shared" ca="1" si="405"/>
        <v>0</v>
      </c>
      <c r="AF498" s="912">
        <f t="shared" ca="1" si="372"/>
        <v>0</v>
      </c>
      <c r="AG498" s="909">
        <f t="shared" si="406"/>
        <v>77534.903999999995</v>
      </c>
      <c r="AH498" s="917">
        <f t="shared" ca="1" si="407"/>
        <v>73972.324999999997</v>
      </c>
      <c r="AI498" s="909" t="str">
        <f t="shared" si="408"/>
        <v/>
      </c>
      <c r="AJ498" s="916" t="str">
        <f t="shared" si="409"/>
        <v/>
      </c>
      <c r="AK498" s="916" t="str">
        <f t="shared" si="410"/>
        <v/>
      </c>
      <c r="AL498" s="909" t="str">
        <f t="shared" si="411"/>
        <v/>
      </c>
      <c r="AM498" s="918">
        <f t="shared" ca="1" si="412"/>
        <v>77534.903999999995</v>
      </c>
      <c r="AN498" s="915">
        <f t="shared" si="373"/>
        <v>39</v>
      </c>
      <c r="AO498" s="653" t="str">
        <f t="shared" si="413"/>
        <v/>
      </c>
      <c r="AP498" s="916" t="str">
        <f t="shared" si="414"/>
        <v/>
      </c>
      <c r="AQ498" s="916" t="str">
        <f t="shared" si="415"/>
        <v/>
      </c>
      <c r="AR498" s="653"/>
      <c r="AS498" s="653">
        <v>39</v>
      </c>
      <c r="AT498" s="909">
        <f t="shared" ca="1" si="374"/>
        <v>-21750.021196572379</v>
      </c>
      <c r="AU498" s="909">
        <f t="shared" si="375"/>
        <v>0</v>
      </c>
      <c r="AV498" s="909">
        <f t="shared" ca="1" si="376"/>
        <v>-2728.1106374142614</v>
      </c>
      <c r="AW498" s="909">
        <f t="shared" ca="1" si="377"/>
        <v>0</v>
      </c>
      <c r="AX498" s="909">
        <f t="shared" ca="1" si="378"/>
        <v>0</v>
      </c>
      <c r="AY498" s="909">
        <f t="shared" si="379"/>
        <v>24481.920876538607</v>
      </c>
      <c r="AZ498" s="909">
        <f t="shared" ca="1" si="380"/>
        <v>-24478.131833986641</v>
      </c>
      <c r="BA498" s="653"/>
      <c r="BB498" s="653">
        <f t="shared" si="416"/>
        <v>39</v>
      </c>
      <c r="BC498" s="909">
        <f t="shared" ca="1" si="417"/>
        <v>-519604.06033213675</v>
      </c>
      <c r="BD498" s="909">
        <f t="shared" ca="1" si="418"/>
        <v>-1597852.9312000005</v>
      </c>
      <c r="BE498" s="909">
        <f t="shared" ca="1" si="419"/>
        <v>-357762.34352112922</v>
      </c>
      <c r="BF498" s="909">
        <f t="shared" ca="1" si="420"/>
        <v>338487.54834096291</v>
      </c>
      <c r="BG498" s="909">
        <f t="shared" ca="1" si="421"/>
        <v>715.59125442287586</v>
      </c>
      <c r="BH498" s="909">
        <f t="shared" si="422"/>
        <v>1768433.7707820474</v>
      </c>
      <c r="BI498" s="909">
        <f t="shared" ca="1" si="423"/>
        <v>-2136016.1954578804</v>
      </c>
      <c r="BJ498" s="909"/>
      <c r="BK498" s="653">
        <v>39</v>
      </c>
      <c r="BL498" s="909">
        <f t="shared" ca="1" si="381"/>
        <v>-68882.903999999995</v>
      </c>
      <c r="BM498" s="909">
        <f t="shared" si="382"/>
        <v>0</v>
      </c>
      <c r="BN498" s="909">
        <f t="shared" ca="1" si="383"/>
        <v>-8640</v>
      </c>
      <c r="BO498" s="909">
        <f t="shared" ca="1" si="384"/>
        <v>0</v>
      </c>
      <c r="BP498" s="909">
        <f t="shared" ca="1" si="385"/>
        <v>0</v>
      </c>
      <c r="BQ498" s="909">
        <f t="shared" si="386"/>
        <v>77534.903999999995</v>
      </c>
      <c r="BR498" s="909">
        <f t="shared" ca="1" si="387"/>
        <v>-77522.903999999995</v>
      </c>
      <c r="BS498" s="653"/>
      <c r="BT498" s="653"/>
      <c r="BU498" s="653"/>
      <c r="BV498" s="654"/>
    </row>
    <row r="499" spans="2:74" x14ac:dyDescent="0.25">
      <c r="B499" s="651"/>
      <c r="C499" s="653"/>
      <c r="D499" s="653"/>
      <c r="E499" s="653"/>
      <c r="F499" s="653"/>
      <c r="G499" s="653"/>
      <c r="H499" s="653"/>
      <c r="I499" s="653"/>
      <c r="J499" s="653"/>
      <c r="K499" s="653"/>
      <c r="L499" s="653"/>
      <c r="M499" s="651">
        <v>40</v>
      </c>
      <c r="N499" s="909">
        <f t="shared" ca="1" si="388"/>
        <v>65320.324999999997</v>
      </c>
      <c r="O499" s="909">
        <f t="shared" ca="1" si="389"/>
        <v>3562.5789999999979</v>
      </c>
      <c r="P499" s="909">
        <f t="shared" ca="1" si="390"/>
        <v>12</v>
      </c>
      <c r="Q499" s="910">
        <f t="shared" ca="1" si="391"/>
        <v>635390.354999998</v>
      </c>
      <c r="R499" s="909">
        <f t="shared" si="392"/>
        <v>0</v>
      </c>
      <c r="S499" s="909">
        <f t="shared" ca="1" si="393"/>
        <v>0</v>
      </c>
      <c r="T499" s="909">
        <f t="shared" ca="1" si="394"/>
        <v>0</v>
      </c>
      <c r="U499" s="909">
        <f t="shared" ca="1" si="395"/>
        <v>0</v>
      </c>
      <c r="V499" s="909">
        <f t="shared" ca="1" si="396"/>
        <v>8640</v>
      </c>
      <c r="W499" s="909">
        <f t="shared" ca="1" si="397"/>
        <v>0</v>
      </c>
      <c r="X499" s="909">
        <f t="shared" ca="1" si="398"/>
        <v>73972.324999999997</v>
      </c>
      <c r="Y499" s="909">
        <f t="shared" ca="1" si="399"/>
        <v>0</v>
      </c>
      <c r="Z499" s="910">
        <f t="shared" ca="1" si="400"/>
        <v>0</v>
      </c>
      <c r="AA499" s="909">
        <f t="shared" ca="1" si="401"/>
        <v>3562.5789999999979</v>
      </c>
      <c r="AB499" s="910">
        <f t="shared" ca="1" si="402"/>
        <v>-974404.54661114886</v>
      </c>
      <c r="AC499" s="911">
        <f t="shared" ca="1" si="403"/>
        <v>0</v>
      </c>
      <c r="AD499" s="911">
        <f t="shared" ca="1" si="404"/>
        <v>0</v>
      </c>
      <c r="AE499" s="909">
        <f t="shared" ca="1" si="405"/>
        <v>0</v>
      </c>
      <c r="AF499" s="912">
        <f t="shared" ca="1" si="372"/>
        <v>0</v>
      </c>
      <c r="AG499" s="909">
        <f t="shared" si="406"/>
        <v>77534.903999999995</v>
      </c>
      <c r="AH499" s="917">
        <f t="shared" ca="1" si="407"/>
        <v>73972.324999999997</v>
      </c>
      <c r="AI499" s="909" t="str">
        <f t="shared" si="408"/>
        <v/>
      </c>
      <c r="AJ499" s="916" t="str">
        <f t="shared" si="409"/>
        <v/>
      </c>
      <c r="AK499" s="916" t="str">
        <f t="shared" si="410"/>
        <v/>
      </c>
      <c r="AL499" s="909" t="str">
        <f t="shared" si="411"/>
        <v/>
      </c>
      <c r="AM499" s="918">
        <f t="shared" ca="1" si="412"/>
        <v>77534.903999999995</v>
      </c>
      <c r="AN499" s="915">
        <f t="shared" si="373"/>
        <v>40</v>
      </c>
      <c r="AO499" s="653" t="str">
        <f t="shared" si="413"/>
        <v/>
      </c>
      <c r="AP499" s="916" t="str">
        <f t="shared" si="414"/>
        <v/>
      </c>
      <c r="AQ499" s="916" t="str">
        <f t="shared" si="415"/>
        <v/>
      </c>
      <c r="AR499" s="653"/>
      <c r="AS499" s="653">
        <v>40</v>
      </c>
      <c r="AT499" s="909">
        <f t="shared" ca="1" si="374"/>
        <v>-21116.525433565421</v>
      </c>
      <c r="AU499" s="909">
        <f t="shared" si="375"/>
        <v>0</v>
      </c>
      <c r="AV499" s="909">
        <f t="shared" ca="1" si="376"/>
        <v>-2648.651104285691</v>
      </c>
      <c r="AW499" s="909">
        <f t="shared" ca="1" si="377"/>
        <v>0</v>
      </c>
      <c r="AX499" s="909">
        <f t="shared" ca="1" si="378"/>
        <v>0</v>
      </c>
      <c r="AY499" s="909">
        <f t="shared" si="379"/>
        <v>23768.855219940397</v>
      </c>
      <c r="AZ499" s="909">
        <f t="shared" ca="1" si="380"/>
        <v>-23765.176537851112</v>
      </c>
      <c r="BA499" s="653"/>
      <c r="BB499" s="653">
        <f t="shared" si="416"/>
        <v>40</v>
      </c>
      <c r="BC499" s="909">
        <f t="shared" ca="1" si="417"/>
        <v>-540720.58576570218</v>
      </c>
      <c r="BD499" s="909">
        <f t="shared" ca="1" si="418"/>
        <v>-1597852.9312000005</v>
      </c>
      <c r="BE499" s="909">
        <f t="shared" ca="1" si="419"/>
        <v>-360410.9946254149</v>
      </c>
      <c r="BF499" s="909">
        <f t="shared" ca="1" si="420"/>
        <v>338487.54834096291</v>
      </c>
      <c r="BG499" s="909">
        <f t="shared" ca="1" si="421"/>
        <v>715.59125442287586</v>
      </c>
      <c r="BH499" s="909">
        <f t="shared" si="422"/>
        <v>1792202.6260019878</v>
      </c>
      <c r="BI499" s="909">
        <f t="shared" ca="1" si="423"/>
        <v>-2159781.3719957317</v>
      </c>
      <c r="BJ499" s="909"/>
      <c r="BK499" s="653">
        <v>40</v>
      </c>
      <c r="BL499" s="909">
        <f t="shared" ca="1" si="381"/>
        <v>-68882.903999999995</v>
      </c>
      <c r="BM499" s="909">
        <f t="shared" si="382"/>
        <v>0</v>
      </c>
      <c r="BN499" s="909">
        <f t="shared" ca="1" si="383"/>
        <v>-8640</v>
      </c>
      <c r="BO499" s="909">
        <f t="shared" ca="1" si="384"/>
        <v>0</v>
      </c>
      <c r="BP499" s="909">
        <f t="shared" ca="1" si="385"/>
        <v>0</v>
      </c>
      <c r="BQ499" s="909">
        <f t="shared" si="386"/>
        <v>77534.903999999995</v>
      </c>
      <c r="BR499" s="909">
        <f t="shared" ca="1" si="387"/>
        <v>-77522.903999999995</v>
      </c>
      <c r="BS499" s="653"/>
      <c r="BT499" s="653"/>
      <c r="BU499" s="653"/>
      <c r="BV499" s="654"/>
    </row>
    <row r="500" spans="2:74" x14ac:dyDescent="0.25">
      <c r="B500" s="651"/>
      <c r="C500" s="653"/>
      <c r="D500" s="653"/>
      <c r="E500" s="653"/>
      <c r="F500" s="653"/>
      <c r="G500" s="653"/>
      <c r="H500" s="653"/>
      <c r="I500" s="653"/>
      <c r="J500" s="653"/>
      <c r="K500" s="653"/>
      <c r="L500" s="653"/>
      <c r="M500" s="651">
        <v>41</v>
      </c>
      <c r="N500" s="909">
        <f t="shared" ca="1" si="388"/>
        <v>65320.324999999997</v>
      </c>
      <c r="O500" s="909">
        <f t="shared" ca="1" si="389"/>
        <v>3562.5789999999979</v>
      </c>
      <c r="P500" s="909">
        <f t="shared" ca="1" si="390"/>
        <v>12</v>
      </c>
      <c r="Q500" s="910">
        <f t="shared" ca="1" si="391"/>
        <v>566507.45099999802</v>
      </c>
      <c r="R500" s="909">
        <f t="shared" si="392"/>
        <v>0</v>
      </c>
      <c r="S500" s="909">
        <f t="shared" ca="1" si="393"/>
        <v>0</v>
      </c>
      <c r="T500" s="909">
        <f t="shared" ca="1" si="394"/>
        <v>0</v>
      </c>
      <c r="U500" s="909">
        <f t="shared" ca="1" si="395"/>
        <v>0</v>
      </c>
      <c r="V500" s="909">
        <f t="shared" ca="1" si="396"/>
        <v>8640</v>
      </c>
      <c r="W500" s="909">
        <f t="shared" ca="1" si="397"/>
        <v>0</v>
      </c>
      <c r="X500" s="909">
        <f t="shared" ca="1" si="398"/>
        <v>73972.324999999997</v>
      </c>
      <c r="Y500" s="909">
        <f t="shared" ca="1" si="399"/>
        <v>0</v>
      </c>
      <c r="Z500" s="910">
        <f t="shared" ca="1" si="400"/>
        <v>0</v>
      </c>
      <c r="AA500" s="909">
        <f t="shared" ca="1" si="401"/>
        <v>3562.5789999999979</v>
      </c>
      <c r="AB500" s="910">
        <f t="shared" ca="1" si="402"/>
        <v>-970841.96761114884</v>
      </c>
      <c r="AC500" s="911">
        <f t="shared" ca="1" si="403"/>
        <v>0</v>
      </c>
      <c r="AD500" s="911">
        <f t="shared" ca="1" si="404"/>
        <v>0</v>
      </c>
      <c r="AE500" s="909">
        <f t="shared" ca="1" si="405"/>
        <v>0</v>
      </c>
      <c r="AF500" s="912">
        <f t="shared" ca="1" si="372"/>
        <v>0</v>
      </c>
      <c r="AG500" s="909">
        <f t="shared" si="406"/>
        <v>77534.903999999995</v>
      </c>
      <c r="AH500" s="917">
        <f t="shared" ca="1" si="407"/>
        <v>73972.324999999997</v>
      </c>
      <c r="AI500" s="909" t="str">
        <f t="shared" si="408"/>
        <v/>
      </c>
      <c r="AJ500" s="916" t="str">
        <f t="shared" si="409"/>
        <v/>
      </c>
      <c r="AK500" s="916" t="str">
        <f t="shared" si="410"/>
        <v/>
      </c>
      <c r="AL500" s="909" t="str">
        <f t="shared" si="411"/>
        <v/>
      </c>
      <c r="AM500" s="918">
        <f t="shared" ca="1" si="412"/>
        <v>77534.903999999995</v>
      </c>
      <c r="AN500" s="915">
        <f t="shared" si="373"/>
        <v>41</v>
      </c>
      <c r="AO500" s="653" t="str">
        <f t="shared" si="413"/>
        <v/>
      </c>
      <c r="AP500" s="916" t="str">
        <f t="shared" si="414"/>
        <v/>
      </c>
      <c r="AQ500" s="916" t="str">
        <f t="shared" si="415"/>
        <v/>
      </c>
      <c r="AR500" s="653"/>
      <c r="AS500" s="653">
        <v>41</v>
      </c>
      <c r="AT500" s="909">
        <f t="shared" ca="1" si="374"/>
        <v>-20501.481003461573</v>
      </c>
      <c r="AU500" s="909">
        <f t="shared" si="375"/>
        <v>0</v>
      </c>
      <c r="AV500" s="909">
        <f t="shared" ca="1" si="376"/>
        <v>-2571.5059264909623</v>
      </c>
      <c r="AW500" s="909">
        <f t="shared" ca="1" si="377"/>
        <v>0</v>
      </c>
      <c r="AX500" s="909">
        <f t="shared" ca="1" si="378"/>
        <v>0</v>
      </c>
      <c r="AY500" s="909">
        <f t="shared" si="379"/>
        <v>23076.558465961552</v>
      </c>
      <c r="AZ500" s="909">
        <f t="shared" ca="1" si="380"/>
        <v>-23072.986929952534</v>
      </c>
      <c r="BA500" s="653"/>
      <c r="BB500" s="653">
        <f t="shared" si="416"/>
        <v>41</v>
      </c>
      <c r="BC500" s="909">
        <f t="shared" ca="1" si="417"/>
        <v>-561222.06676916371</v>
      </c>
      <c r="BD500" s="909">
        <f t="shared" ca="1" si="418"/>
        <v>-1597852.9312000005</v>
      </c>
      <c r="BE500" s="909">
        <f t="shared" ca="1" si="419"/>
        <v>-362982.50055190583</v>
      </c>
      <c r="BF500" s="909">
        <f t="shared" ca="1" si="420"/>
        <v>338487.54834096291</v>
      </c>
      <c r="BG500" s="909">
        <f t="shared" ca="1" si="421"/>
        <v>715.59125442287586</v>
      </c>
      <c r="BH500" s="909">
        <f t="shared" si="422"/>
        <v>1815279.1844679494</v>
      </c>
      <c r="BI500" s="909">
        <f t="shared" ca="1" si="423"/>
        <v>-2182854.3589256844</v>
      </c>
      <c r="BJ500" s="909"/>
      <c r="BK500" s="653">
        <v>41</v>
      </c>
      <c r="BL500" s="909">
        <f t="shared" ca="1" si="381"/>
        <v>-68882.903999999995</v>
      </c>
      <c r="BM500" s="909">
        <f t="shared" si="382"/>
        <v>0</v>
      </c>
      <c r="BN500" s="909">
        <f t="shared" ca="1" si="383"/>
        <v>-8640</v>
      </c>
      <c r="BO500" s="909">
        <f t="shared" ca="1" si="384"/>
        <v>0</v>
      </c>
      <c r="BP500" s="909">
        <f t="shared" ca="1" si="385"/>
        <v>0</v>
      </c>
      <c r="BQ500" s="909">
        <f t="shared" si="386"/>
        <v>77534.903999999995</v>
      </c>
      <c r="BR500" s="909">
        <f t="shared" ca="1" si="387"/>
        <v>-77522.903999999995</v>
      </c>
      <c r="BS500" s="653"/>
      <c r="BT500" s="653"/>
      <c r="BU500" s="653"/>
      <c r="BV500" s="654"/>
    </row>
    <row r="501" spans="2:74" x14ac:dyDescent="0.25">
      <c r="B501" s="651"/>
      <c r="C501" s="653"/>
      <c r="D501" s="653"/>
      <c r="E501" s="653"/>
      <c r="F501" s="653"/>
      <c r="G501" s="653"/>
      <c r="H501" s="653"/>
      <c r="I501" s="653"/>
      <c r="J501" s="653"/>
      <c r="K501" s="653"/>
      <c r="L501" s="653"/>
      <c r="M501" s="651">
        <v>42</v>
      </c>
      <c r="N501" s="909">
        <f t="shared" ca="1" si="388"/>
        <v>65320.324999999997</v>
      </c>
      <c r="O501" s="909">
        <f t="shared" ca="1" si="389"/>
        <v>3562.5789999999979</v>
      </c>
      <c r="P501" s="909">
        <f t="shared" ca="1" si="390"/>
        <v>12</v>
      </c>
      <c r="Q501" s="910">
        <f t="shared" ca="1" si="391"/>
        <v>497624.54699999804</v>
      </c>
      <c r="R501" s="909">
        <f t="shared" si="392"/>
        <v>0</v>
      </c>
      <c r="S501" s="909">
        <f t="shared" ca="1" si="393"/>
        <v>0</v>
      </c>
      <c r="T501" s="909">
        <f t="shared" ca="1" si="394"/>
        <v>0</v>
      </c>
      <c r="U501" s="909">
        <f t="shared" ca="1" si="395"/>
        <v>0</v>
      </c>
      <c r="V501" s="909">
        <f t="shared" ca="1" si="396"/>
        <v>8640</v>
      </c>
      <c r="W501" s="909">
        <f t="shared" ca="1" si="397"/>
        <v>0</v>
      </c>
      <c r="X501" s="909">
        <f t="shared" ca="1" si="398"/>
        <v>73972.324999999997</v>
      </c>
      <c r="Y501" s="909">
        <f t="shared" ca="1" si="399"/>
        <v>0</v>
      </c>
      <c r="Z501" s="910">
        <f t="shared" ca="1" si="400"/>
        <v>0</v>
      </c>
      <c r="AA501" s="909">
        <f t="shared" ca="1" si="401"/>
        <v>3562.5789999999979</v>
      </c>
      <c r="AB501" s="910">
        <f t="shared" ca="1" si="402"/>
        <v>-967279.38861114881</v>
      </c>
      <c r="AC501" s="911">
        <f t="shared" ca="1" si="403"/>
        <v>0</v>
      </c>
      <c r="AD501" s="911">
        <f t="shared" ca="1" si="404"/>
        <v>0</v>
      </c>
      <c r="AE501" s="909">
        <f t="shared" ca="1" si="405"/>
        <v>0</v>
      </c>
      <c r="AF501" s="912">
        <f t="shared" ca="1" si="372"/>
        <v>0</v>
      </c>
      <c r="AG501" s="909">
        <f t="shared" si="406"/>
        <v>77534.903999999995</v>
      </c>
      <c r="AH501" s="917">
        <f t="shared" ca="1" si="407"/>
        <v>73972.324999999997</v>
      </c>
      <c r="AI501" s="909" t="str">
        <f t="shared" si="408"/>
        <v/>
      </c>
      <c r="AJ501" s="916" t="str">
        <f t="shared" si="409"/>
        <v/>
      </c>
      <c r="AK501" s="916" t="str">
        <f t="shared" si="410"/>
        <v/>
      </c>
      <c r="AL501" s="909" t="str">
        <f t="shared" si="411"/>
        <v/>
      </c>
      <c r="AM501" s="918">
        <f t="shared" ca="1" si="412"/>
        <v>77534.903999999995</v>
      </c>
      <c r="AN501" s="915">
        <f t="shared" si="373"/>
        <v>42</v>
      </c>
      <c r="AO501" s="653" t="str">
        <f t="shared" si="413"/>
        <v/>
      </c>
      <c r="AP501" s="916" t="str">
        <f t="shared" si="414"/>
        <v/>
      </c>
      <c r="AQ501" s="916" t="str">
        <f t="shared" si="415"/>
        <v/>
      </c>
      <c r="AR501" s="653"/>
      <c r="AS501" s="653">
        <v>42</v>
      </c>
      <c r="AT501" s="909">
        <f t="shared" ca="1" si="374"/>
        <v>-19904.350488797641</v>
      </c>
      <c r="AU501" s="909">
        <f t="shared" si="375"/>
        <v>0</v>
      </c>
      <c r="AV501" s="909">
        <f t="shared" ca="1" si="376"/>
        <v>-2496.6076956222932</v>
      </c>
      <c r="AW501" s="909">
        <f t="shared" ca="1" si="377"/>
        <v>0</v>
      </c>
      <c r="AX501" s="909">
        <f t="shared" ca="1" si="378"/>
        <v>0</v>
      </c>
      <c r="AY501" s="909">
        <f t="shared" si="379"/>
        <v>22404.425695108301</v>
      </c>
      <c r="AZ501" s="909">
        <f t="shared" ca="1" si="380"/>
        <v>-22400.958184419935</v>
      </c>
      <c r="BA501" s="653"/>
      <c r="BB501" s="653">
        <f t="shared" si="416"/>
        <v>42</v>
      </c>
      <c r="BC501" s="909">
        <f t="shared" ca="1" si="417"/>
        <v>-581126.41725796135</v>
      </c>
      <c r="BD501" s="909">
        <f t="shared" ca="1" si="418"/>
        <v>-1597852.9312000005</v>
      </c>
      <c r="BE501" s="909">
        <f t="shared" ca="1" si="419"/>
        <v>-365479.10824752814</v>
      </c>
      <c r="BF501" s="909">
        <f t="shared" ca="1" si="420"/>
        <v>338487.54834096291</v>
      </c>
      <c r="BG501" s="909">
        <f t="shared" ca="1" si="421"/>
        <v>715.59125442287586</v>
      </c>
      <c r="BH501" s="909">
        <f t="shared" si="422"/>
        <v>1837683.6101630577</v>
      </c>
      <c r="BI501" s="909">
        <f t="shared" ca="1" si="423"/>
        <v>-2205255.3171101045</v>
      </c>
      <c r="BJ501" s="909"/>
      <c r="BK501" s="653">
        <v>42</v>
      </c>
      <c r="BL501" s="909">
        <f t="shared" ca="1" si="381"/>
        <v>-68882.903999999995</v>
      </c>
      <c r="BM501" s="909">
        <f t="shared" si="382"/>
        <v>0</v>
      </c>
      <c r="BN501" s="909">
        <f t="shared" ca="1" si="383"/>
        <v>-8640</v>
      </c>
      <c r="BO501" s="909">
        <f t="shared" ca="1" si="384"/>
        <v>0</v>
      </c>
      <c r="BP501" s="909">
        <f t="shared" ca="1" si="385"/>
        <v>0</v>
      </c>
      <c r="BQ501" s="909">
        <f t="shared" si="386"/>
        <v>77534.903999999995</v>
      </c>
      <c r="BR501" s="909">
        <f t="shared" ca="1" si="387"/>
        <v>-77522.903999999995</v>
      </c>
      <c r="BS501" s="653"/>
      <c r="BT501" s="653"/>
      <c r="BU501" s="653"/>
      <c r="BV501" s="654"/>
    </row>
    <row r="502" spans="2:74" x14ac:dyDescent="0.25">
      <c r="B502" s="651"/>
      <c r="C502" s="653"/>
      <c r="D502" s="653"/>
      <c r="E502" s="653"/>
      <c r="F502" s="653"/>
      <c r="G502" s="653"/>
      <c r="H502" s="653"/>
      <c r="I502" s="653"/>
      <c r="J502" s="653"/>
      <c r="K502" s="653"/>
      <c r="L502" s="653"/>
      <c r="M502" s="651">
        <v>43</v>
      </c>
      <c r="N502" s="909">
        <f t="shared" ca="1" si="388"/>
        <v>65320.324999999997</v>
      </c>
      <c r="O502" s="909">
        <f t="shared" ca="1" si="389"/>
        <v>3562.5789999999979</v>
      </c>
      <c r="P502" s="909">
        <f t="shared" ca="1" si="390"/>
        <v>12</v>
      </c>
      <c r="Q502" s="910">
        <f t="shared" ca="1" si="391"/>
        <v>428741.64299999806</v>
      </c>
      <c r="R502" s="909">
        <f t="shared" si="392"/>
        <v>0</v>
      </c>
      <c r="S502" s="909">
        <f t="shared" ca="1" si="393"/>
        <v>0</v>
      </c>
      <c r="T502" s="909">
        <f t="shared" ca="1" si="394"/>
        <v>0</v>
      </c>
      <c r="U502" s="909">
        <f t="shared" ca="1" si="395"/>
        <v>0</v>
      </c>
      <c r="V502" s="909">
        <f t="shared" ca="1" si="396"/>
        <v>8640</v>
      </c>
      <c r="W502" s="909">
        <f t="shared" ca="1" si="397"/>
        <v>0</v>
      </c>
      <c r="X502" s="909">
        <f t="shared" ca="1" si="398"/>
        <v>73972.324999999997</v>
      </c>
      <c r="Y502" s="909">
        <f t="shared" ca="1" si="399"/>
        <v>0</v>
      </c>
      <c r="Z502" s="910">
        <f t="shared" ca="1" si="400"/>
        <v>0</v>
      </c>
      <c r="AA502" s="909">
        <f t="shared" ca="1" si="401"/>
        <v>3562.5789999999979</v>
      </c>
      <c r="AB502" s="910">
        <f t="shared" ca="1" si="402"/>
        <v>-963716.80961114878</v>
      </c>
      <c r="AC502" s="911">
        <f t="shared" ca="1" si="403"/>
        <v>0</v>
      </c>
      <c r="AD502" s="911">
        <f t="shared" ca="1" si="404"/>
        <v>0</v>
      </c>
      <c r="AE502" s="909">
        <f t="shared" ca="1" si="405"/>
        <v>0</v>
      </c>
      <c r="AF502" s="912">
        <f t="shared" ca="1" si="372"/>
        <v>0</v>
      </c>
      <c r="AG502" s="909">
        <f t="shared" si="406"/>
        <v>77534.903999999995</v>
      </c>
      <c r="AH502" s="917">
        <f t="shared" ca="1" si="407"/>
        <v>73972.324999999997</v>
      </c>
      <c r="AI502" s="909" t="str">
        <f t="shared" si="408"/>
        <v/>
      </c>
      <c r="AJ502" s="916" t="str">
        <f t="shared" si="409"/>
        <v/>
      </c>
      <c r="AK502" s="916" t="str">
        <f t="shared" si="410"/>
        <v/>
      </c>
      <c r="AL502" s="909" t="str">
        <f t="shared" si="411"/>
        <v/>
      </c>
      <c r="AM502" s="918">
        <f t="shared" ca="1" si="412"/>
        <v>77534.903999999995</v>
      </c>
      <c r="AN502" s="915">
        <f t="shared" si="373"/>
        <v>43</v>
      </c>
      <c r="AO502" s="653" t="str">
        <f t="shared" si="413"/>
        <v/>
      </c>
      <c r="AP502" s="916" t="str">
        <f t="shared" si="414"/>
        <v/>
      </c>
      <c r="AQ502" s="916" t="str">
        <f t="shared" si="415"/>
        <v/>
      </c>
      <c r="AR502" s="653"/>
      <c r="AS502" s="653">
        <v>43</v>
      </c>
      <c r="AT502" s="909">
        <f t="shared" ca="1" si="374"/>
        <v>-19324.612125046257</v>
      </c>
      <c r="AU502" s="909">
        <f t="shared" si="375"/>
        <v>0</v>
      </c>
      <c r="AV502" s="909">
        <f t="shared" ca="1" si="376"/>
        <v>-2423.8909666235859</v>
      </c>
      <c r="AW502" s="909">
        <f t="shared" ca="1" si="377"/>
        <v>0</v>
      </c>
      <c r="AX502" s="909">
        <f t="shared" ca="1" si="378"/>
        <v>0</v>
      </c>
      <c r="AY502" s="909">
        <f t="shared" si="379"/>
        <v>21751.869606901262</v>
      </c>
      <c r="AZ502" s="909">
        <f t="shared" ca="1" si="380"/>
        <v>-21748.503091669842</v>
      </c>
      <c r="BA502" s="653"/>
      <c r="BB502" s="653">
        <f t="shared" si="416"/>
        <v>43</v>
      </c>
      <c r="BC502" s="909">
        <f t="shared" ca="1" si="417"/>
        <v>-600451.02938300755</v>
      </c>
      <c r="BD502" s="909">
        <f t="shared" ca="1" si="418"/>
        <v>-1597852.9312000005</v>
      </c>
      <c r="BE502" s="909">
        <f t="shared" ca="1" si="419"/>
        <v>-367902.99921415176</v>
      </c>
      <c r="BF502" s="909">
        <f t="shared" ca="1" si="420"/>
        <v>338487.54834096291</v>
      </c>
      <c r="BG502" s="909">
        <f t="shared" ca="1" si="421"/>
        <v>715.59125442287586</v>
      </c>
      <c r="BH502" s="909">
        <f t="shared" si="422"/>
        <v>1859435.4797699589</v>
      </c>
      <c r="BI502" s="909">
        <f t="shared" ca="1" si="423"/>
        <v>-2227003.8202017741</v>
      </c>
      <c r="BJ502" s="909"/>
      <c r="BK502" s="653">
        <v>43</v>
      </c>
      <c r="BL502" s="909">
        <f t="shared" ca="1" si="381"/>
        <v>-68882.903999999995</v>
      </c>
      <c r="BM502" s="909">
        <f t="shared" si="382"/>
        <v>0</v>
      </c>
      <c r="BN502" s="909">
        <f t="shared" ca="1" si="383"/>
        <v>-8640</v>
      </c>
      <c r="BO502" s="909">
        <f t="shared" ca="1" si="384"/>
        <v>0</v>
      </c>
      <c r="BP502" s="909">
        <f t="shared" ca="1" si="385"/>
        <v>0</v>
      </c>
      <c r="BQ502" s="909">
        <f t="shared" si="386"/>
        <v>77534.903999999995</v>
      </c>
      <c r="BR502" s="909">
        <f t="shared" ca="1" si="387"/>
        <v>-77522.903999999995</v>
      </c>
      <c r="BS502" s="653"/>
      <c r="BT502" s="653"/>
      <c r="BU502" s="653"/>
      <c r="BV502" s="654"/>
    </row>
    <row r="503" spans="2:74" x14ac:dyDescent="0.25">
      <c r="B503" s="651"/>
      <c r="C503" s="653"/>
      <c r="D503" s="653"/>
      <c r="E503" s="653"/>
      <c r="F503" s="653"/>
      <c r="G503" s="653"/>
      <c r="H503" s="653"/>
      <c r="I503" s="653"/>
      <c r="J503" s="653"/>
      <c r="K503" s="653"/>
      <c r="L503" s="653"/>
      <c r="M503" s="651">
        <v>44</v>
      </c>
      <c r="N503" s="909">
        <f t="shared" ca="1" si="388"/>
        <v>65320.324999999997</v>
      </c>
      <c r="O503" s="909">
        <f t="shared" ca="1" si="389"/>
        <v>3562.5789999999979</v>
      </c>
      <c r="P503" s="909">
        <f t="shared" ca="1" si="390"/>
        <v>12</v>
      </c>
      <c r="Q503" s="910">
        <f t="shared" ca="1" si="391"/>
        <v>359858.73899999808</v>
      </c>
      <c r="R503" s="909">
        <f t="shared" si="392"/>
        <v>0</v>
      </c>
      <c r="S503" s="909">
        <f t="shared" ca="1" si="393"/>
        <v>0</v>
      </c>
      <c r="T503" s="909">
        <f t="shared" ca="1" si="394"/>
        <v>0</v>
      </c>
      <c r="U503" s="909">
        <f t="shared" ca="1" si="395"/>
        <v>0</v>
      </c>
      <c r="V503" s="909">
        <f t="shared" ca="1" si="396"/>
        <v>8640</v>
      </c>
      <c r="W503" s="909">
        <f t="shared" ca="1" si="397"/>
        <v>0</v>
      </c>
      <c r="X503" s="909">
        <f t="shared" ca="1" si="398"/>
        <v>73972.324999999997</v>
      </c>
      <c r="Y503" s="909">
        <f t="shared" ca="1" si="399"/>
        <v>0</v>
      </c>
      <c r="Z503" s="910">
        <f t="shared" ca="1" si="400"/>
        <v>0</v>
      </c>
      <c r="AA503" s="909">
        <f t="shared" ca="1" si="401"/>
        <v>3562.5789999999979</v>
      </c>
      <c r="AB503" s="910">
        <f t="shared" ca="1" si="402"/>
        <v>-960154.23061114876</v>
      </c>
      <c r="AC503" s="911">
        <f t="shared" ca="1" si="403"/>
        <v>0</v>
      </c>
      <c r="AD503" s="911">
        <f t="shared" ca="1" si="404"/>
        <v>0</v>
      </c>
      <c r="AE503" s="909">
        <f t="shared" ca="1" si="405"/>
        <v>0</v>
      </c>
      <c r="AF503" s="912">
        <f t="shared" ca="1" si="372"/>
        <v>0</v>
      </c>
      <c r="AG503" s="909">
        <f t="shared" si="406"/>
        <v>77534.903999999995</v>
      </c>
      <c r="AH503" s="917">
        <f t="shared" ca="1" si="407"/>
        <v>73972.324999999997</v>
      </c>
      <c r="AI503" s="909" t="str">
        <f t="shared" si="408"/>
        <v/>
      </c>
      <c r="AJ503" s="916" t="str">
        <f t="shared" si="409"/>
        <v/>
      </c>
      <c r="AK503" s="916" t="str">
        <f t="shared" si="410"/>
        <v/>
      </c>
      <c r="AL503" s="909" t="str">
        <f t="shared" si="411"/>
        <v/>
      </c>
      <c r="AM503" s="918">
        <f t="shared" ca="1" si="412"/>
        <v>77534.903999999995</v>
      </c>
      <c r="AN503" s="915">
        <f t="shared" si="373"/>
        <v>44</v>
      </c>
      <c r="AO503" s="653" t="str">
        <f t="shared" si="413"/>
        <v/>
      </c>
      <c r="AP503" s="916" t="str">
        <f t="shared" si="414"/>
        <v/>
      </c>
      <c r="AQ503" s="916" t="str">
        <f t="shared" si="415"/>
        <v/>
      </c>
      <c r="AR503" s="653"/>
      <c r="AS503" s="653">
        <v>44</v>
      </c>
      <c r="AT503" s="909">
        <f t="shared" ca="1" si="374"/>
        <v>-18761.759344705104</v>
      </c>
      <c r="AU503" s="909">
        <f t="shared" si="375"/>
        <v>0</v>
      </c>
      <c r="AV503" s="909">
        <f t="shared" ca="1" si="376"/>
        <v>-2353.2922006054232</v>
      </c>
      <c r="AW503" s="909">
        <f t="shared" ca="1" si="377"/>
        <v>0</v>
      </c>
      <c r="AX503" s="909">
        <f t="shared" ca="1" si="378"/>
        <v>0</v>
      </c>
      <c r="AY503" s="909">
        <f t="shared" si="379"/>
        <v>21118.320006700258</v>
      </c>
      <c r="AZ503" s="909">
        <f t="shared" ca="1" si="380"/>
        <v>-21115.051545310525</v>
      </c>
      <c r="BA503" s="653"/>
      <c r="BB503" s="653">
        <f t="shared" si="416"/>
        <v>44</v>
      </c>
      <c r="BC503" s="909">
        <f t="shared" ca="1" si="417"/>
        <v>-619212.7887277127</v>
      </c>
      <c r="BD503" s="909">
        <f t="shared" ca="1" si="418"/>
        <v>-1597852.9312000005</v>
      </c>
      <c r="BE503" s="909">
        <f t="shared" ca="1" si="419"/>
        <v>-370256.2914147572</v>
      </c>
      <c r="BF503" s="909">
        <f t="shared" ca="1" si="420"/>
        <v>338487.54834096291</v>
      </c>
      <c r="BG503" s="909">
        <f t="shared" ca="1" si="421"/>
        <v>715.59125442287586</v>
      </c>
      <c r="BH503" s="909">
        <f t="shared" si="422"/>
        <v>1880553.7997766591</v>
      </c>
      <c r="BI503" s="909">
        <f t="shared" ca="1" si="423"/>
        <v>-2248118.8717470844</v>
      </c>
      <c r="BJ503" s="909"/>
      <c r="BK503" s="653">
        <v>44</v>
      </c>
      <c r="BL503" s="909">
        <f t="shared" ca="1" si="381"/>
        <v>-68882.903999999995</v>
      </c>
      <c r="BM503" s="909">
        <f t="shared" si="382"/>
        <v>0</v>
      </c>
      <c r="BN503" s="909">
        <f t="shared" ca="1" si="383"/>
        <v>-8640</v>
      </c>
      <c r="BO503" s="909">
        <f t="shared" ca="1" si="384"/>
        <v>0</v>
      </c>
      <c r="BP503" s="909">
        <f t="shared" ca="1" si="385"/>
        <v>0</v>
      </c>
      <c r="BQ503" s="909">
        <f t="shared" si="386"/>
        <v>77534.903999999995</v>
      </c>
      <c r="BR503" s="909">
        <f t="shared" ca="1" si="387"/>
        <v>-77522.903999999995</v>
      </c>
      <c r="BS503" s="653"/>
      <c r="BT503" s="653"/>
      <c r="BU503" s="653"/>
      <c r="BV503" s="654"/>
    </row>
    <row r="504" spans="2:74" x14ac:dyDescent="0.25">
      <c r="B504" s="651"/>
      <c r="C504" s="653"/>
      <c r="D504" s="653"/>
      <c r="E504" s="653"/>
      <c r="F504" s="653"/>
      <c r="G504" s="653"/>
      <c r="H504" s="653"/>
      <c r="I504" s="653"/>
      <c r="J504" s="653"/>
      <c r="K504" s="653"/>
      <c r="L504" s="653"/>
      <c r="M504" s="651">
        <v>45</v>
      </c>
      <c r="N504" s="909">
        <f t="shared" ca="1" si="388"/>
        <v>65320.324999999997</v>
      </c>
      <c r="O504" s="909">
        <f t="shared" ca="1" si="389"/>
        <v>3562.5789999999979</v>
      </c>
      <c r="P504" s="909">
        <f t="shared" ca="1" si="390"/>
        <v>12</v>
      </c>
      <c r="Q504" s="910">
        <f t="shared" ca="1" si="391"/>
        <v>290975.8349999981</v>
      </c>
      <c r="R504" s="909">
        <f t="shared" si="392"/>
        <v>0</v>
      </c>
      <c r="S504" s="909">
        <f t="shared" ca="1" si="393"/>
        <v>0</v>
      </c>
      <c r="T504" s="909">
        <f t="shared" ca="1" si="394"/>
        <v>0</v>
      </c>
      <c r="U504" s="909">
        <f t="shared" ca="1" si="395"/>
        <v>0</v>
      </c>
      <c r="V504" s="909">
        <f t="shared" ca="1" si="396"/>
        <v>8640</v>
      </c>
      <c r="W504" s="909">
        <f t="shared" ca="1" si="397"/>
        <v>0</v>
      </c>
      <c r="X504" s="909">
        <f t="shared" ca="1" si="398"/>
        <v>73972.324999999997</v>
      </c>
      <c r="Y504" s="909">
        <f t="shared" ca="1" si="399"/>
        <v>0</v>
      </c>
      <c r="Z504" s="910">
        <f t="shared" ca="1" si="400"/>
        <v>0</v>
      </c>
      <c r="AA504" s="909">
        <f t="shared" ca="1" si="401"/>
        <v>3562.5789999999979</v>
      </c>
      <c r="AB504" s="910">
        <f t="shared" ca="1" si="402"/>
        <v>-956591.65161114873</v>
      </c>
      <c r="AC504" s="911">
        <f t="shared" ca="1" si="403"/>
        <v>0</v>
      </c>
      <c r="AD504" s="911">
        <f t="shared" ca="1" si="404"/>
        <v>0</v>
      </c>
      <c r="AE504" s="909">
        <f t="shared" ca="1" si="405"/>
        <v>0</v>
      </c>
      <c r="AF504" s="912">
        <f t="shared" ca="1" si="372"/>
        <v>0</v>
      </c>
      <c r="AG504" s="909">
        <f t="shared" si="406"/>
        <v>77534.903999999995</v>
      </c>
      <c r="AH504" s="917">
        <f t="shared" ca="1" si="407"/>
        <v>73972.324999999997</v>
      </c>
      <c r="AI504" s="909" t="str">
        <f t="shared" si="408"/>
        <v/>
      </c>
      <c r="AJ504" s="916" t="str">
        <f t="shared" si="409"/>
        <v/>
      </c>
      <c r="AK504" s="916" t="str">
        <f t="shared" si="410"/>
        <v/>
      </c>
      <c r="AL504" s="909" t="str">
        <f t="shared" si="411"/>
        <v/>
      </c>
      <c r="AM504" s="918">
        <f t="shared" ca="1" si="412"/>
        <v>77534.903999999995</v>
      </c>
      <c r="AN504" s="915">
        <f t="shared" si="373"/>
        <v>45</v>
      </c>
      <c r="AO504" s="653" t="str">
        <f t="shared" si="413"/>
        <v/>
      </c>
      <c r="AP504" s="916" t="str">
        <f t="shared" si="414"/>
        <v/>
      </c>
      <c r="AQ504" s="916" t="str">
        <f t="shared" si="415"/>
        <v/>
      </c>
      <c r="AR504" s="653"/>
      <c r="AS504" s="653">
        <v>45</v>
      </c>
      <c r="AT504" s="909">
        <f t="shared" ca="1" si="374"/>
        <v>-18215.300334665149</v>
      </c>
      <c r="AU504" s="909">
        <f t="shared" si="375"/>
        <v>0</v>
      </c>
      <c r="AV504" s="909">
        <f t="shared" ca="1" si="376"/>
        <v>-2284.7497093256538</v>
      </c>
      <c r="AW504" s="909">
        <f t="shared" ca="1" si="377"/>
        <v>0</v>
      </c>
      <c r="AX504" s="909">
        <f t="shared" ca="1" si="378"/>
        <v>0</v>
      </c>
      <c r="AY504" s="909">
        <f t="shared" si="379"/>
        <v>20503.223307475979</v>
      </c>
      <c r="AZ504" s="909">
        <f t="shared" ca="1" si="380"/>
        <v>-20500.050043990803</v>
      </c>
      <c r="BA504" s="653"/>
      <c r="BB504" s="653">
        <f t="shared" si="416"/>
        <v>45</v>
      </c>
      <c r="BC504" s="909">
        <f t="shared" ca="1" si="417"/>
        <v>-637428.08906237781</v>
      </c>
      <c r="BD504" s="909">
        <f t="shared" ca="1" si="418"/>
        <v>-1597852.9312000005</v>
      </c>
      <c r="BE504" s="909">
        <f t="shared" ca="1" si="419"/>
        <v>-372541.04112408287</v>
      </c>
      <c r="BF504" s="909">
        <f t="shared" ca="1" si="420"/>
        <v>338487.54834096291</v>
      </c>
      <c r="BG504" s="909">
        <f t="shared" ca="1" si="421"/>
        <v>715.59125442287586</v>
      </c>
      <c r="BH504" s="909">
        <f t="shared" si="422"/>
        <v>1901057.023084135</v>
      </c>
      <c r="BI504" s="909">
        <f t="shared" ca="1" si="423"/>
        <v>-2268618.9217910753</v>
      </c>
      <c r="BJ504" s="909"/>
      <c r="BK504" s="653">
        <v>45</v>
      </c>
      <c r="BL504" s="909">
        <f t="shared" ca="1" si="381"/>
        <v>-68882.903999999995</v>
      </c>
      <c r="BM504" s="909">
        <f t="shared" si="382"/>
        <v>0</v>
      </c>
      <c r="BN504" s="909">
        <f t="shared" ca="1" si="383"/>
        <v>-8640</v>
      </c>
      <c r="BO504" s="909">
        <f t="shared" ca="1" si="384"/>
        <v>0</v>
      </c>
      <c r="BP504" s="909">
        <f t="shared" ca="1" si="385"/>
        <v>0</v>
      </c>
      <c r="BQ504" s="909">
        <f t="shared" si="386"/>
        <v>77534.903999999995</v>
      </c>
      <c r="BR504" s="909">
        <f t="shared" ca="1" si="387"/>
        <v>-77522.903999999995</v>
      </c>
      <c r="BS504" s="653"/>
      <c r="BT504" s="653"/>
      <c r="BU504" s="653"/>
      <c r="BV504" s="654"/>
    </row>
    <row r="505" spans="2:74" x14ac:dyDescent="0.25">
      <c r="B505" s="651"/>
      <c r="C505" s="653"/>
      <c r="D505" s="653"/>
      <c r="E505" s="653"/>
      <c r="F505" s="653"/>
      <c r="G505" s="653"/>
      <c r="H505" s="653"/>
      <c r="I505" s="653"/>
      <c r="J505" s="653"/>
      <c r="K505" s="653"/>
      <c r="L505" s="653"/>
      <c r="M505" s="651">
        <v>46</v>
      </c>
      <c r="N505" s="909">
        <f t="shared" ca="1" si="388"/>
        <v>83983.27499999998</v>
      </c>
      <c r="O505" s="909">
        <f t="shared" ca="1" si="389"/>
        <v>0</v>
      </c>
      <c r="P505" s="909">
        <f t="shared" ca="1" si="390"/>
        <v>12</v>
      </c>
      <c r="Q505" s="910">
        <f t="shared" ca="1" si="391"/>
        <v>206992.55999999814</v>
      </c>
      <c r="R505" s="909">
        <f t="shared" si="392"/>
        <v>0</v>
      </c>
      <c r="S505" s="909">
        <f t="shared" ca="1" si="393"/>
        <v>0</v>
      </c>
      <c r="T505" s="909">
        <f t="shared" ca="1" si="394"/>
        <v>0</v>
      </c>
      <c r="U505" s="909">
        <f t="shared" ca="1" si="395"/>
        <v>0</v>
      </c>
      <c r="V505" s="909">
        <f t="shared" ca="1" si="396"/>
        <v>8640</v>
      </c>
      <c r="W505" s="909">
        <f t="shared" ca="1" si="397"/>
        <v>0</v>
      </c>
      <c r="X505" s="909">
        <f t="shared" ca="1" si="398"/>
        <v>92635.27499999998</v>
      </c>
      <c r="Y505" s="909">
        <f t="shared" ca="1" si="399"/>
        <v>0</v>
      </c>
      <c r="Z505" s="910">
        <f t="shared" ca="1" si="400"/>
        <v>0</v>
      </c>
      <c r="AA505" s="909">
        <f t="shared" ca="1" si="401"/>
        <v>0</v>
      </c>
      <c r="AB505" s="910">
        <f t="shared" ca="1" si="402"/>
        <v>-956591.65161114873</v>
      </c>
      <c r="AC505" s="911">
        <f t="shared" ca="1" si="403"/>
        <v>0</v>
      </c>
      <c r="AD505" s="911">
        <f t="shared" ca="1" si="404"/>
        <v>0</v>
      </c>
      <c r="AE505" s="909">
        <f t="shared" ca="1" si="405"/>
        <v>0</v>
      </c>
      <c r="AF505" s="912">
        <f t="shared" ca="1" si="372"/>
        <v>0</v>
      </c>
      <c r="AG505" s="909">
        <f t="shared" si="406"/>
        <v>77534.903999999995</v>
      </c>
      <c r="AH505" s="917">
        <f t="shared" ca="1" si="407"/>
        <v>92635.27499999998</v>
      </c>
      <c r="AI505" s="909" t="str">
        <f t="shared" si="408"/>
        <v/>
      </c>
      <c r="AJ505" s="916" t="str">
        <f t="shared" si="409"/>
        <v/>
      </c>
      <c r="AK505" s="916" t="str">
        <f t="shared" si="410"/>
        <v/>
      </c>
      <c r="AL505" s="909" t="str">
        <f t="shared" si="411"/>
        <v/>
      </c>
      <c r="AM505" s="918">
        <f t="shared" ca="1" si="412"/>
        <v>92635.27499999998</v>
      </c>
      <c r="AN505" s="915">
        <f t="shared" si="373"/>
        <v>46</v>
      </c>
      <c r="AO505" s="653" t="str">
        <f t="shared" si="413"/>
        <v/>
      </c>
      <c r="AP505" s="916" t="str">
        <f t="shared" si="414"/>
        <v/>
      </c>
      <c r="AQ505" s="916" t="str">
        <f t="shared" si="415"/>
        <v/>
      </c>
      <c r="AR505" s="653"/>
      <c r="AS505" s="653">
        <v>46</v>
      </c>
      <c r="AT505" s="909">
        <f t="shared" ca="1" si="374"/>
        <v>-21561.574427416665</v>
      </c>
      <c r="AU505" s="909">
        <f t="shared" si="375"/>
        <v>0</v>
      </c>
      <c r="AV505" s="909">
        <f t="shared" ca="1" si="376"/>
        <v>-2218.2036012870421</v>
      </c>
      <c r="AW505" s="909">
        <f t="shared" ca="1" si="377"/>
        <v>0</v>
      </c>
      <c r="AX505" s="909">
        <f t="shared" ca="1" si="378"/>
        <v>0</v>
      </c>
      <c r="AY505" s="909">
        <f t="shared" si="379"/>
        <v>19906.042046093182</v>
      </c>
      <c r="AZ505" s="909">
        <f t="shared" ca="1" si="380"/>
        <v>-23779.778028703706</v>
      </c>
      <c r="BA505" s="653"/>
      <c r="BB505" s="653">
        <f t="shared" si="416"/>
        <v>46</v>
      </c>
      <c r="BC505" s="909">
        <f t="shared" ca="1" si="417"/>
        <v>-658989.66348979448</v>
      </c>
      <c r="BD505" s="909">
        <f t="shared" ca="1" si="418"/>
        <v>-1597852.9312000005</v>
      </c>
      <c r="BE505" s="909">
        <f t="shared" ca="1" si="419"/>
        <v>-374759.24472536991</v>
      </c>
      <c r="BF505" s="909">
        <f t="shared" ca="1" si="420"/>
        <v>338487.54834096291</v>
      </c>
      <c r="BG505" s="909">
        <f t="shared" ca="1" si="421"/>
        <v>715.59125442287586</v>
      </c>
      <c r="BH505" s="909">
        <f t="shared" si="422"/>
        <v>1920963.0651302282</v>
      </c>
      <c r="BI505" s="909">
        <f t="shared" ca="1" si="423"/>
        <v>-2292398.699819779</v>
      </c>
      <c r="BJ505" s="909"/>
      <c r="BK505" s="653">
        <v>46</v>
      </c>
      <c r="BL505" s="909">
        <f t="shared" ca="1" si="381"/>
        <v>-83983.27499999998</v>
      </c>
      <c r="BM505" s="909">
        <f t="shared" si="382"/>
        <v>0</v>
      </c>
      <c r="BN505" s="909">
        <f t="shared" ca="1" si="383"/>
        <v>-8640</v>
      </c>
      <c r="BO505" s="909">
        <f t="shared" ca="1" si="384"/>
        <v>0</v>
      </c>
      <c r="BP505" s="909">
        <f t="shared" ca="1" si="385"/>
        <v>0</v>
      </c>
      <c r="BQ505" s="909">
        <f t="shared" si="386"/>
        <v>77534.903999999995</v>
      </c>
      <c r="BR505" s="909">
        <f t="shared" ca="1" si="387"/>
        <v>-92623.27499999998</v>
      </c>
      <c r="BS505" s="653"/>
      <c r="BT505" s="653"/>
      <c r="BU505" s="653"/>
      <c r="BV505" s="654"/>
    </row>
    <row r="506" spans="2:74" x14ac:dyDescent="0.25">
      <c r="B506" s="651"/>
      <c r="C506" s="653"/>
      <c r="D506" s="653"/>
      <c r="E506" s="653"/>
      <c r="F506" s="653"/>
      <c r="G506" s="653"/>
      <c r="H506" s="653"/>
      <c r="I506" s="653"/>
      <c r="J506" s="653"/>
      <c r="K506" s="653"/>
      <c r="L506" s="653"/>
      <c r="M506" s="651">
        <v>47</v>
      </c>
      <c r="N506" s="909">
        <f t="shared" ca="1" si="388"/>
        <v>83983.27499999998</v>
      </c>
      <c r="O506" s="909">
        <f t="shared" ca="1" si="389"/>
        <v>0</v>
      </c>
      <c r="P506" s="909">
        <f t="shared" ca="1" si="390"/>
        <v>12</v>
      </c>
      <c r="Q506" s="910">
        <f t="shared" ca="1" si="391"/>
        <v>123009.28499999816</v>
      </c>
      <c r="R506" s="909">
        <f t="shared" si="392"/>
        <v>0</v>
      </c>
      <c r="S506" s="909">
        <f t="shared" ca="1" si="393"/>
        <v>0</v>
      </c>
      <c r="T506" s="909">
        <f t="shared" ca="1" si="394"/>
        <v>0</v>
      </c>
      <c r="U506" s="909">
        <f t="shared" ca="1" si="395"/>
        <v>0</v>
      </c>
      <c r="V506" s="909">
        <f t="shared" ca="1" si="396"/>
        <v>8640</v>
      </c>
      <c r="W506" s="909">
        <f t="shared" ca="1" si="397"/>
        <v>0</v>
      </c>
      <c r="X506" s="909">
        <f t="shared" ca="1" si="398"/>
        <v>92635.27499999998</v>
      </c>
      <c r="Y506" s="909">
        <f t="shared" ca="1" si="399"/>
        <v>0</v>
      </c>
      <c r="Z506" s="910">
        <f t="shared" ca="1" si="400"/>
        <v>0</v>
      </c>
      <c r="AA506" s="909">
        <f t="shared" ca="1" si="401"/>
        <v>0</v>
      </c>
      <c r="AB506" s="910">
        <f t="shared" ca="1" si="402"/>
        <v>-956591.65161114873</v>
      </c>
      <c r="AC506" s="911">
        <f t="shared" ca="1" si="403"/>
        <v>0</v>
      </c>
      <c r="AD506" s="911">
        <f t="shared" ca="1" si="404"/>
        <v>0</v>
      </c>
      <c r="AE506" s="909">
        <f t="shared" ca="1" si="405"/>
        <v>0</v>
      </c>
      <c r="AF506" s="912">
        <f t="shared" ca="1" si="372"/>
        <v>0</v>
      </c>
      <c r="AG506" s="909">
        <f t="shared" si="406"/>
        <v>77534.903999999995</v>
      </c>
      <c r="AH506" s="917">
        <f t="shared" ca="1" si="407"/>
        <v>92635.27499999998</v>
      </c>
      <c r="AI506" s="909" t="str">
        <f t="shared" si="408"/>
        <v/>
      </c>
      <c r="AJ506" s="916" t="str">
        <f t="shared" si="409"/>
        <v/>
      </c>
      <c r="AK506" s="916" t="str">
        <f t="shared" si="410"/>
        <v/>
      </c>
      <c r="AL506" s="909" t="str">
        <f t="shared" si="411"/>
        <v/>
      </c>
      <c r="AM506" s="918">
        <f t="shared" ca="1" si="412"/>
        <v>92635.27499999998</v>
      </c>
      <c r="AN506" s="915">
        <f t="shared" si="373"/>
        <v>47</v>
      </c>
      <c r="AO506" s="653" t="str">
        <f t="shared" si="413"/>
        <v/>
      </c>
      <c r="AP506" s="916" t="str">
        <f t="shared" si="414"/>
        <v/>
      </c>
      <c r="AQ506" s="916" t="str">
        <f t="shared" si="415"/>
        <v/>
      </c>
      <c r="AR506" s="653"/>
      <c r="AS506" s="653">
        <v>47</v>
      </c>
      <c r="AT506" s="909">
        <f t="shared" ca="1" si="374"/>
        <v>-20933.567405258898</v>
      </c>
      <c r="AU506" s="909">
        <f t="shared" si="375"/>
        <v>0</v>
      </c>
      <c r="AV506" s="909">
        <f t="shared" ca="1" si="376"/>
        <v>-2153.5957294048953</v>
      </c>
      <c r="AW506" s="909">
        <f t="shared" ca="1" si="377"/>
        <v>0</v>
      </c>
      <c r="AX506" s="909">
        <f t="shared" ca="1" si="378"/>
        <v>0</v>
      </c>
      <c r="AY506" s="909">
        <f t="shared" si="379"/>
        <v>19326.254413682702</v>
      </c>
      <c r="AZ506" s="909">
        <f t="shared" ca="1" si="380"/>
        <v>-23087.163134663795</v>
      </c>
      <c r="BA506" s="653"/>
      <c r="BB506" s="653">
        <f t="shared" si="416"/>
        <v>47</v>
      </c>
      <c r="BC506" s="909">
        <f t="shared" ca="1" si="417"/>
        <v>-679923.23089505336</v>
      </c>
      <c r="BD506" s="909">
        <f t="shared" ca="1" si="418"/>
        <v>-1597852.9312000005</v>
      </c>
      <c r="BE506" s="909">
        <f t="shared" ca="1" si="419"/>
        <v>-376912.84045477479</v>
      </c>
      <c r="BF506" s="909">
        <f t="shared" ca="1" si="420"/>
        <v>338487.54834096291</v>
      </c>
      <c r="BG506" s="909">
        <f t="shared" ca="1" si="421"/>
        <v>715.59125442287586</v>
      </c>
      <c r="BH506" s="909">
        <f t="shared" si="422"/>
        <v>1940289.3195439109</v>
      </c>
      <c r="BI506" s="909">
        <f t="shared" ca="1" si="423"/>
        <v>-2315485.8629544429</v>
      </c>
      <c r="BJ506" s="909"/>
      <c r="BK506" s="653">
        <v>47</v>
      </c>
      <c r="BL506" s="909">
        <f t="shared" ca="1" si="381"/>
        <v>-83983.27499999998</v>
      </c>
      <c r="BM506" s="909">
        <f t="shared" si="382"/>
        <v>0</v>
      </c>
      <c r="BN506" s="909">
        <f t="shared" ca="1" si="383"/>
        <v>-8640</v>
      </c>
      <c r="BO506" s="909">
        <f t="shared" ca="1" si="384"/>
        <v>0</v>
      </c>
      <c r="BP506" s="909">
        <f t="shared" ca="1" si="385"/>
        <v>0</v>
      </c>
      <c r="BQ506" s="909">
        <f t="shared" si="386"/>
        <v>77534.903999999995</v>
      </c>
      <c r="BR506" s="909">
        <f t="shared" ca="1" si="387"/>
        <v>-92623.27499999998</v>
      </c>
      <c r="BS506" s="653"/>
      <c r="BT506" s="653"/>
      <c r="BU506" s="653"/>
      <c r="BV506" s="654"/>
    </row>
    <row r="507" spans="2:74" x14ac:dyDescent="0.25">
      <c r="B507" s="651"/>
      <c r="C507" s="653"/>
      <c r="D507" s="653"/>
      <c r="E507" s="653"/>
      <c r="F507" s="653"/>
      <c r="G507" s="653"/>
      <c r="H507" s="653"/>
      <c r="I507" s="653"/>
      <c r="J507" s="653"/>
      <c r="K507" s="653"/>
      <c r="L507" s="653"/>
      <c r="M507" s="651">
        <v>48</v>
      </c>
      <c r="N507" s="909">
        <f t="shared" ca="1" si="388"/>
        <v>83983.27499999998</v>
      </c>
      <c r="O507" s="909">
        <f t="shared" ca="1" si="389"/>
        <v>0</v>
      </c>
      <c r="P507" s="909">
        <f t="shared" ca="1" si="390"/>
        <v>12</v>
      </c>
      <c r="Q507" s="910">
        <f t="shared" ca="1" si="391"/>
        <v>39026.009999998176</v>
      </c>
      <c r="R507" s="909">
        <f t="shared" si="392"/>
        <v>0</v>
      </c>
      <c r="S507" s="909">
        <f t="shared" ca="1" si="393"/>
        <v>0</v>
      </c>
      <c r="T507" s="909">
        <f t="shared" ca="1" si="394"/>
        <v>0</v>
      </c>
      <c r="U507" s="909">
        <f t="shared" ca="1" si="395"/>
        <v>0</v>
      </c>
      <c r="V507" s="909">
        <f t="shared" ca="1" si="396"/>
        <v>8640</v>
      </c>
      <c r="W507" s="909">
        <f t="shared" ca="1" si="397"/>
        <v>0</v>
      </c>
      <c r="X507" s="909">
        <f t="shared" ca="1" si="398"/>
        <v>92635.27499999998</v>
      </c>
      <c r="Y507" s="909">
        <f t="shared" ca="1" si="399"/>
        <v>0</v>
      </c>
      <c r="Z507" s="910">
        <f t="shared" ca="1" si="400"/>
        <v>0</v>
      </c>
      <c r="AA507" s="909">
        <f t="shared" ca="1" si="401"/>
        <v>0</v>
      </c>
      <c r="AB507" s="910">
        <f t="shared" ca="1" si="402"/>
        <v>-956591.65161114873</v>
      </c>
      <c r="AC507" s="911">
        <f t="shared" ca="1" si="403"/>
        <v>0</v>
      </c>
      <c r="AD507" s="911">
        <f t="shared" ca="1" si="404"/>
        <v>0</v>
      </c>
      <c r="AE507" s="909">
        <f t="shared" ca="1" si="405"/>
        <v>0</v>
      </c>
      <c r="AF507" s="912">
        <f t="shared" ca="1" si="372"/>
        <v>0</v>
      </c>
      <c r="AG507" s="909">
        <f t="shared" si="406"/>
        <v>77534.903999999995</v>
      </c>
      <c r="AH507" s="917">
        <f t="shared" ca="1" si="407"/>
        <v>92635.27499999998</v>
      </c>
      <c r="AI507" s="909" t="str">
        <f t="shared" si="408"/>
        <v/>
      </c>
      <c r="AJ507" s="916" t="str">
        <f t="shared" si="409"/>
        <v/>
      </c>
      <c r="AK507" s="916" t="str">
        <f t="shared" si="410"/>
        <v/>
      </c>
      <c r="AL507" s="909" t="str">
        <f t="shared" si="411"/>
        <v/>
      </c>
      <c r="AM507" s="918">
        <f t="shared" ca="1" si="412"/>
        <v>92635.27499999998</v>
      </c>
      <c r="AN507" s="915">
        <f t="shared" si="373"/>
        <v>48</v>
      </c>
      <c r="AO507" s="653" t="str">
        <f t="shared" si="413"/>
        <v/>
      </c>
      <c r="AP507" s="916" t="str">
        <f t="shared" si="414"/>
        <v/>
      </c>
      <c r="AQ507" s="916" t="str">
        <f t="shared" si="415"/>
        <v/>
      </c>
      <c r="AR507" s="653"/>
      <c r="AS507" s="653">
        <v>48</v>
      </c>
      <c r="AT507" s="909">
        <f t="shared" ca="1" si="374"/>
        <v>-20323.851849765921</v>
      </c>
      <c r="AU507" s="909">
        <f t="shared" si="375"/>
        <v>0</v>
      </c>
      <c r="AV507" s="909">
        <f t="shared" ca="1" si="376"/>
        <v>-2090.8696401989278</v>
      </c>
      <c r="AW507" s="909">
        <f t="shared" ca="1" si="377"/>
        <v>0</v>
      </c>
      <c r="AX507" s="909">
        <f t="shared" ca="1" si="378"/>
        <v>0</v>
      </c>
      <c r="AY507" s="909">
        <f t="shared" si="379"/>
        <v>18763.353799691944</v>
      </c>
      <c r="AZ507" s="909">
        <f t="shared" ca="1" si="380"/>
        <v>-22414.72148996485</v>
      </c>
      <c r="BA507" s="653"/>
      <c r="BB507" s="653">
        <f t="shared" si="416"/>
        <v>48</v>
      </c>
      <c r="BC507" s="909">
        <f t="shared" ca="1" si="417"/>
        <v>-700247.08274481923</v>
      </c>
      <c r="BD507" s="909">
        <f t="shared" ca="1" si="418"/>
        <v>-1597852.9312000005</v>
      </c>
      <c r="BE507" s="909">
        <f t="shared" ca="1" si="419"/>
        <v>-379003.71009497374</v>
      </c>
      <c r="BF507" s="909">
        <f t="shared" ca="1" si="420"/>
        <v>338487.54834096291</v>
      </c>
      <c r="BG507" s="909">
        <f t="shared" ca="1" si="421"/>
        <v>715.59125442287586</v>
      </c>
      <c r="BH507" s="909">
        <f t="shared" si="422"/>
        <v>1959052.6733436028</v>
      </c>
      <c r="BI507" s="909">
        <f t="shared" ca="1" si="423"/>
        <v>-2337900.5844444078</v>
      </c>
      <c r="BJ507" s="909"/>
      <c r="BK507" s="653">
        <v>48</v>
      </c>
      <c r="BL507" s="909">
        <f t="shared" ca="1" si="381"/>
        <v>-83983.27499999998</v>
      </c>
      <c r="BM507" s="909">
        <f t="shared" si="382"/>
        <v>0</v>
      </c>
      <c r="BN507" s="909">
        <f t="shared" ca="1" si="383"/>
        <v>-8640</v>
      </c>
      <c r="BO507" s="909">
        <f t="shared" ca="1" si="384"/>
        <v>0</v>
      </c>
      <c r="BP507" s="909">
        <f t="shared" ca="1" si="385"/>
        <v>0</v>
      </c>
      <c r="BQ507" s="909">
        <f t="shared" si="386"/>
        <v>77534.903999999995</v>
      </c>
      <c r="BR507" s="909">
        <f t="shared" ca="1" si="387"/>
        <v>-92623.27499999998</v>
      </c>
      <c r="BS507" s="653"/>
      <c r="BT507" s="653"/>
      <c r="BU507" s="653"/>
      <c r="BV507" s="654"/>
    </row>
    <row r="508" spans="2:74" x14ac:dyDescent="0.25">
      <c r="B508" s="651"/>
      <c r="C508" s="653"/>
      <c r="D508" s="653"/>
      <c r="E508" s="653"/>
      <c r="F508" s="653"/>
      <c r="G508" s="653"/>
      <c r="H508" s="653"/>
      <c r="I508" s="653"/>
      <c r="J508" s="653"/>
      <c r="K508" s="653"/>
      <c r="L508" s="653"/>
      <c r="M508" s="651">
        <v>49</v>
      </c>
      <c r="N508" s="909">
        <f t="shared" ca="1" si="388"/>
        <v>39026.009999998176</v>
      </c>
      <c r="O508" s="909">
        <f t="shared" ca="1" si="389"/>
        <v>0</v>
      </c>
      <c r="P508" s="909">
        <f t="shared" ca="1" si="390"/>
        <v>12</v>
      </c>
      <c r="Q508" s="910">
        <f t="shared" ca="1" si="391"/>
        <v>0</v>
      </c>
      <c r="R508" s="909">
        <f t="shared" si="392"/>
        <v>0</v>
      </c>
      <c r="S508" s="909">
        <f t="shared" ca="1" si="393"/>
        <v>0</v>
      </c>
      <c r="T508" s="909">
        <f t="shared" ca="1" si="394"/>
        <v>0</v>
      </c>
      <c r="U508" s="909">
        <f t="shared" ca="1" si="395"/>
        <v>0</v>
      </c>
      <c r="V508" s="909">
        <f t="shared" ca="1" si="396"/>
        <v>8640</v>
      </c>
      <c r="W508" s="909">
        <f t="shared" ca="1" si="397"/>
        <v>0</v>
      </c>
      <c r="X508" s="909">
        <f t="shared" ca="1" si="398"/>
        <v>47678.009999998176</v>
      </c>
      <c r="Y508" s="909">
        <f t="shared" ca="1" si="399"/>
        <v>0</v>
      </c>
      <c r="Z508" s="910">
        <f t="shared" ca="1" si="400"/>
        <v>0</v>
      </c>
      <c r="AA508" s="909">
        <f t="shared" ca="1" si="401"/>
        <v>29856.894000001819</v>
      </c>
      <c r="AB508" s="910">
        <f t="shared" ca="1" si="402"/>
        <v>-926734.7576111469</v>
      </c>
      <c r="AC508" s="911">
        <f t="shared" ca="1" si="403"/>
        <v>0</v>
      </c>
      <c r="AD508" s="911">
        <f t="shared" ca="1" si="404"/>
        <v>0</v>
      </c>
      <c r="AE508" s="909">
        <f t="shared" ca="1" si="405"/>
        <v>29856.894000001819</v>
      </c>
      <c r="AF508" s="912">
        <f t="shared" ca="1" si="372"/>
        <v>11314.52196660407</v>
      </c>
      <c r="AG508" s="909">
        <f t="shared" si="406"/>
        <v>77534.903999999995</v>
      </c>
      <c r="AH508" s="917">
        <f t="shared" ca="1" si="407"/>
        <v>47678.009999998176</v>
      </c>
      <c r="AI508" s="909" t="str">
        <f t="shared" si="408"/>
        <v/>
      </c>
      <c r="AJ508" s="916" t="str">
        <f t="shared" si="409"/>
        <v/>
      </c>
      <c r="AK508" s="916" t="str">
        <f t="shared" si="410"/>
        <v/>
      </c>
      <c r="AL508" s="909" t="str">
        <f t="shared" si="411"/>
        <v/>
      </c>
      <c r="AM508" s="918">
        <f t="shared" ca="1" si="412"/>
        <v>47678.009999998176</v>
      </c>
      <c r="AN508" s="915">
        <f t="shared" si="373"/>
        <v>49</v>
      </c>
      <c r="AO508" s="653" t="str">
        <f t="shared" si="413"/>
        <v/>
      </c>
      <c r="AP508" s="916" t="str">
        <f t="shared" si="414"/>
        <v/>
      </c>
      <c r="AQ508" s="916" t="str">
        <f t="shared" si="415"/>
        <v/>
      </c>
      <c r="AR508" s="653"/>
      <c r="AS508" s="653">
        <v>49</v>
      </c>
      <c r="AT508" s="909">
        <f t="shared" ca="1" si="374"/>
        <v>-9169.1724522536806</v>
      </c>
      <c r="AU508" s="909">
        <f t="shared" si="375"/>
        <v>0</v>
      </c>
      <c r="AV508" s="909">
        <f t="shared" ca="1" si="376"/>
        <v>-2029.9705244649786</v>
      </c>
      <c r="AW508" s="909">
        <f t="shared" ca="1" si="377"/>
        <v>0</v>
      </c>
      <c r="AX508" s="909">
        <f t="shared" ca="1" si="378"/>
        <v>0</v>
      </c>
      <c r="AY508" s="909">
        <f t="shared" si="379"/>
        <v>18216.848349215481</v>
      </c>
      <c r="AZ508" s="909">
        <f t="shared" ca="1" si="380"/>
        <v>-11199.14297671866</v>
      </c>
      <c r="BA508" s="653"/>
      <c r="BB508" s="653">
        <f t="shared" si="416"/>
        <v>49</v>
      </c>
      <c r="BC508" s="909">
        <f t="shared" ca="1" si="417"/>
        <v>-709416.25519707287</v>
      </c>
      <c r="BD508" s="909">
        <f t="shared" ca="1" si="418"/>
        <v>-1597852.9312000005</v>
      </c>
      <c r="BE508" s="909">
        <f t="shared" ca="1" si="419"/>
        <v>-381033.6806194387</v>
      </c>
      <c r="BF508" s="909">
        <f t="shared" ca="1" si="420"/>
        <v>338487.54834096291</v>
      </c>
      <c r="BG508" s="909">
        <f t="shared" ca="1" si="421"/>
        <v>715.59125442287586</v>
      </c>
      <c r="BH508" s="909">
        <f t="shared" si="422"/>
        <v>1977269.5216928183</v>
      </c>
      <c r="BI508" s="909">
        <f t="shared" ca="1" si="423"/>
        <v>-2349099.7274211263</v>
      </c>
      <c r="BJ508" s="909"/>
      <c r="BK508" s="653">
        <v>49</v>
      </c>
      <c r="BL508" s="909">
        <f t="shared" ca="1" si="381"/>
        <v>-39026.009999998176</v>
      </c>
      <c r="BM508" s="909">
        <f t="shared" si="382"/>
        <v>0</v>
      </c>
      <c r="BN508" s="909">
        <f t="shared" ca="1" si="383"/>
        <v>-8640</v>
      </c>
      <c r="BO508" s="909">
        <f t="shared" ca="1" si="384"/>
        <v>0</v>
      </c>
      <c r="BP508" s="909">
        <f t="shared" ca="1" si="385"/>
        <v>0</v>
      </c>
      <c r="BQ508" s="909">
        <f t="shared" si="386"/>
        <v>77534.903999999995</v>
      </c>
      <c r="BR508" s="909">
        <f t="shared" ca="1" si="387"/>
        <v>-47666.009999998176</v>
      </c>
      <c r="BS508" s="653"/>
      <c r="BT508" s="653"/>
      <c r="BU508" s="653"/>
      <c r="BV508" s="654"/>
    </row>
    <row r="509" spans="2:74" x14ac:dyDescent="0.25">
      <c r="B509" s="651"/>
      <c r="C509" s="653"/>
      <c r="D509" s="653"/>
      <c r="E509" s="653"/>
      <c r="F509" s="653"/>
      <c r="G509" s="653"/>
      <c r="H509" s="653"/>
      <c r="I509" s="653"/>
      <c r="J509" s="653"/>
      <c r="K509" s="653"/>
      <c r="L509" s="653"/>
      <c r="M509" s="651">
        <v>50</v>
      </c>
      <c r="N509" s="909">
        <f t="shared" ca="1" si="388"/>
        <v>0</v>
      </c>
      <c r="O509" s="909">
        <f t="shared" ca="1" si="389"/>
        <v>0</v>
      </c>
      <c r="P509" s="909">
        <f t="shared" ca="1" si="390"/>
        <v>0</v>
      </c>
      <c r="Q509" s="910">
        <f t="shared" ca="1" si="391"/>
        <v>0</v>
      </c>
      <c r="R509" s="909">
        <f t="shared" si="392"/>
        <v>0</v>
      </c>
      <c r="S509" s="909">
        <f t="shared" ca="1" si="393"/>
        <v>0</v>
      </c>
      <c r="T509" s="909">
        <f t="shared" ca="1" si="394"/>
        <v>0</v>
      </c>
      <c r="U509" s="909">
        <f t="shared" ca="1" si="395"/>
        <v>0</v>
      </c>
      <c r="V509" s="909">
        <f t="shared" ca="1" si="396"/>
        <v>8640</v>
      </c>
      <c r="W509" s="909">
        <f t="shared" ca="1" si="397"/>
        <v>0</v>
      </c>
      <c r="X509" s="909">
        <f t="shared" ca="1" si="398"/>
        <v>8640</v>
      </c>
      <c r="Y509" s="909">
        <f t="shared" ca="1" si="399"/>
        <v>0</v>
      </c>
      <c r="Z509" s="910">
        <f t="shared" ca="1" si="400"/>
        <v>0</v>
      </c>
      <c r="AA509" s="909">
        <f t="shared" ca="1" si="401"/>
        <v>68894.903999999995</v>
      </c>
      <c r="AB509" s="910">
        <f t="shared" ca="1" si="402"/>
        <v>-857839.85361114691</v>
      </c>
      <c r="AC509" s="911">
        <f t="shared" ca="1" si="403"/>
        <v>0</v>
      </c>
      <c r="AD509" s="911">
        <f t="shared" ca="1" si="404"/>
        <v>0</v>
      </c>
      <c r="AE509" s="909">
        <f t="shared" ca="1" si="405"/>
        <v>68894.903999999995</v>
      </c>
      <c r="AF509" s="912">
        <f t="shared" ca="1" si="372"/>
        <v>25596.377772460357</v>
      </c>
      <c r="AG509" s="909">
        <f t="shared" si="406"/>
        <v>77534.903999999995</v>
      </c>
      <c r="AH509" s="917">
        <f t="shared" ca="1" si="407"/>
        <v>8640</v>
      </c>
      <c r="AI509" s="909" t="str">
        <f t="shared" si="408"/>
        <v/>
      </c>
      <c r="AJ509" s="916" t="str">
        <f t="shared" si="409"/>
        <v/>
      </c>
      <c r="AK509" s="916" t="str">
        <f t="shared" si="410"/>
        <v/>
      </c>
      <c r="AL509" s="909" t="str">
        <f t="shared" si="411"/>
        <v/>
      </c>
      <c r="AM509" s="918">
        <f t="shared" ca="1" si="412"/>
        <v>8640</v>
      </c>
      <c r="AN509" s="915">
        <f t="shared" si="373"/>
        <v>50</v>
      </c>
      <c r="AO509" s="653" t="str">
        <f t="shared" si="413"/>
        <v/>
      </c>
      <c r="AP509" s="916" t="str">
        <f t="shared" si="414"/>
        <v/>
      </c>
      <c r="AQ509" s="916" t="str">
        <f t="shared" si="415"/>
        <v/>
      </c>
      <c r="AR509" s="653"/>
      <c r="AS509" s="653">
        <v>50</v>
      </c>
      <c r="AT509" s="909">
        <f t="shared" ca="1" si="374"/>
        <v>0</v>
      </c>
      <c r="AU509" s="909">
        <f t="shared" si="375"/>
        <v>0</v>
      </c>
      <c r="AV509" s="909">
        <f t="shared" ca="1" si="376"/>
        <v>-1970.8451693834743</v>
      </c>
      <c r="AW509" s="909">
        <f t="shared" ca="1" si="377"/>
        <v>0</v>
      </c>
      <c r="AX509" s="909">
        <f t="shared" ca="1" si="378"/>
        <v>0</v>
      </c>
      <c r="AY509" s="909">
        <f t="shared" si="379"/>
        <v>17686.260533218912</v>
      </c>
      <c r="AZ509" s="909">
        <f t="shared" ca="1" si="380"/>
        <v>-1970.8451693834743</v>
      </c>
      <c r="BA509" s="653"/>
      <c r="BB509" s="653">
        <f t="shared" si="416"/>
        <v>50</v>
      </c>
      <c r="BC509" s="909">
        <f t="shared" ca="1" si="417"/>
        <v>-709416.25519707287</v>
      </c>
      <c r="BD509" s="909">
        <f t="shared" ca="1" si="418"/>
        <v>-1597852.9312000005</v>
      </c>
      <c r="BE509" s="909">
        <f t="shared" ca="1" si="419"/>
        <v>-383004.52578882215</v>
      </c>
      <c r="BF509" s="909">
        <f t="shared" ca="1" si="420"/>
        <v>338487.54834096291</v>
      </c>
      <c r="BG509" s="909">
        <f t="shared" ca="1" si="421"/>
        <v>715.59125442287586</v>
      </c>
      <c r="BH509" s="909">
        <f t="shared" si="422"/>
        <v>1994955.7822260372</v>
      </c>
      <c r="BI509" s="909">
        <f t="shared" ca="1" si="423"/>
        <v>-2351070.5725905099</v>
      </c>
      <c r="BJ509" s="909"/>
      <c r="BK509" s="653">
        <v>50</v>
      </c>
      <c r="BL509" s="909">
        <f t="shared" ca="1" si="381"/>
        <v>0</v>
      </c>
      <c r="BM509" s="909">
        <f t="shared" si="382"/>
        <v>0</v>
      </c>
      <c r="BN509" s="909">
        <f t="shared" ca="1" si="383"/>
        <v>-8640</v>
      </c>
      <c r="BO509" s="909">
        <f t="shared" ca="1" si="384"/>
        <v>0</v>
      </c>
      <c r="BP509" s="909">
        <f t="shared" ca="1" si="385"/>
        <v>0</v>
      </c>
      <c r="BQ509" s="909">
        <f t="shared" si="386"/>
        <v>77534.903999999995</v>
      </c>
      <c r="BR509" s="909">
        <f t="shared" ca="1" si="387"/>
        <v>-8640</v>
      </c>
      <c r="BS509" s="653"/>
      <c r="BT509" s="653"/>
      <c r="BU509" s="653"/>
      <c r="BV509" s="654"/>
    </row>
    <row r="510" spans="2:74" x14ac:dyDescent="0.25">
      <c r="B510" s="651"/>
      <c r="C510" s="653"/>
      <c r="D510" s="653"/>
      <c r="E510" s="653"/>
      <c r="F510" s="653"/>
      <c r="G510" s="653"/>
      <c r="H510" s="653"/>
      <c r="I510" s="653"/>
      <c r="J510" s="653"/>
      <c r="K510" s="653"/>
      <c r="L510" s="653"/>
      <c r="M510" s="651"/>
      <c r="N510" s="909"/>
      <c r="O510" s="909"/>
      <c r="P510" s="909"/>
      <c r="Q510" s="910"/>
      <c r="R510" s="909"/>
      <c r="S510" s="909"/>
      <c r="T510" s="909"/>
      <c r="U510" s="909"/>
      <c r="V510" s="909"/>
      <c r="W510" s="909"/>
      <c r="X510" s="909"/>
      <c r="Y510" s="909"/>
      <c r="Z510" s="910"/>
      <c r="AA510" s="909"/>
      <c r="AB510" s="910"/>
      <c r="AC510" s="911"/>
      <c r="AD510" s="911"/>
      <c r="AE510" s="909"/>
      <c r="AF510" s="909"/>
      <c r="AG510" s="909"/>
      <c r="AH510" s="917"/>
      <c r="AI510" s="909"/>
      <c r="AJ510" s="916"/>
      <c r="AK510" s="916"/>
      <c r="AL510" s="653"/>
      <c r="AM510" s="918"/>
      <c r="AN510" s="915"/>
      <c r="AO510" s="653"/>
      <c r="AP510" s="653"/>
      <c r="AQ510" s="653"/>
      <c r="AR510" s="653"/>
      <c r="AS510" s="653"/>
      <c r="AT510" s="909"/>
      <c r="AU510" s="909"/>
      <c r="AV510" s="909"/>
      <c r="AW510" s="909"/>
      <c r="AX510" s="909"/>
      <c r="AY510" s="909"/>
      <c r="AZ510" s="909"/>
      <c r="BA510" s="653"/>
      <c r="BB510" s="653"/>
      <c r="BC510" s="909"/>
      <c r="BD510" s="909"/>
      <c r="BE510" s="909"/>
      <c r="BF510" s="909"/>
      <c r="BG510" s="909"/>
      <c r="BH510" s="909"/>
      <c r="BI510" s="909"/>
      <c r="BJ510" s="653"/>
      <c r="BK510" s="653"/>
      <c r="BL510" s="653"/>
      <c r="BM510" s="653"/>
      <c r="BN510" s="653"/>
      <c r="BO510" s="653"/>
      <c r="BP510" s="653"/>
      <c r="BQ510" s="653"/>
      <c r="BR510" s="653"/>
      <c r="BS510" s="653"/>
      <c r="BT510" s="653"/>
      <c r="BU510" s="653"/>
      <c r="BV510" s="654"/>
    </row>
    <row r="511" spans="2:74" x14ac:dyDescent="0.25">
      <c r="B511" s="651"/>
      <c r="C511" s="653"/>
      <c r="D511" s="653"/>
      <c r="E511" s="653"/>
      <c r="F511" s="653"/>
      <c r="G511" s="653"/>
      <c r="H511" s="653"/>
      <c r="I511" s="653"/>
      <c r="J511" s="653"/>
      <c r="K511" s="653"/>
      <c r="L511" s="653"/>
      <c r="M511" s="651"/>
      <c r="N511" s="909"/>
      <c r="O511" s="909"/>
      <c r="P511" s="909"/>
      <c r="Q511" s="910"/>
      <c r="R511" s="909"/>
      <c r="S511" s="909"/>
      <c r="T511" s="909"/>
      <c r="U511" s="909"/>
      <c r="V511" s="909"/>
      <c r="W511" s="909"/>
      <c r="X511" s="909"/>
      <c r="Y511" s="909"/>
      <c r="Z511" s="910"/>
      <c r="AA511" s="909"/>
      <c r="AB511" s="910"/>
      <c r="AC511" s="911"/>
      <c r="AD511" s="911"/>
      <c r="AE511" s="909"/>
      <c r="AF511" s="909"/>
      <c r="AG511" s="909"/>
      <c r="AH511" s="917"/>
      <c r="AI511" s="909"/>
      <c r="AJ511" s="916"/>
      <c r="AK511" s="916"/>
      <c r="AL511" s="653"/>
      <c r="AM511" s="918"/>
      <c r="AN511" s="915"/>
      <c r="AO511" s="909"/>
      <c r="AP511" s="653"/>
      <c r="AQ511" s="653"/>
      <c r="AR511" s="653"/>
      <c r="AS511" s="653"/>
      <c r="AT511" s="909"/>
      <c r="AU511" s="909"/>
      <c r="AV511" s="909"/>
      <c r="AW511" s="909"/>
      <c r="AX511" s="909"/>
      <c r="AY511" s="909"/>
      <c r="AZ511" s="909"/>
      <c r="BA511" s="653"/>
      <c r="BB511" s="653"/>
      <c r="BC511" s="909"/>
      <c r="BD511" s="909"/>
      <c r="BE511" s="909"/>
      <c r="BF511" s="909"/>
      <c r="BG511" s="909"/>
      <c r="BH511" s="909"/>
      <c r="BI511" s="909"/>
      <c r="BJ511" s="653"/>
      <c r="BK511" s="653"/>
      <c r="BL511" s="653"/>
      <c r="BM511" s="653"/>
      <c r="BN511" s="653"/>
      <c r="BO511" s="653"/>
      <c r="BP511" s="653"/>
      <c r="BQ511" s="653"/>
      <c r="BR511" s="653"/>
      <c r="BS511" s="653"/>
      <c r="BT511" s="653"/>
      <c r="BU511" s="653"/>
      <c r="BV511" s="654"/>
    </row>
    <row r="512" spans="2:74" x14ac:dyDescent="0.25">
      <c r="B512" s="651"/>
      <c r="C512" s="653"/>
      <c r="D512" s="653"/>
      <c r="E512" s="653"/>
      <c r="F512" s="653"/>
      <c r="G512" s="653"/>
      <c r="H512" s="653"/>
      <c r="I512" s="653"/>
      <c r="J512" s="653"/>
      <c r="K512" s="653"/>
      <c r="L512" s="653"/>
      <c r="M512" s="651"/>
      <c r="N512" s="909"/>
      <c r="O512" s="909"/>
      <c r="P512" s="909"/>
      <c r="Q512" s="910"/>
      <c r="R512" s="909"/>
      <c r="S512" s="909"/>
      <c r="T512" s="909"/>
      <c r="U512" s="909"/>
      <c r="V512" s="909"/>
      <c r="W512" s="909"/>
      <c r="X512" s="909"/>
      <c r="Y512" s="909"/>
      <c r="Z512" s="910"/>
      <c r="AA512" s="909"/>
      <c r="AB512" s="910"/>
      <c r="AC512" s="911"/>
      <c r="AD512" s="911"/>
      <c r="AE512" s="909"/>
      <c r="AF512" s="909"/>
      <c r="AG512" s="909"/>
      <c r="AH512" s="917"/>
      <c r="AI512" s="909"/>
      <c r="AJ512" s="916"/>
      <c r="AK512" s="916"/>
      <c r="AL512" s="653"/>
      <c r="AM512" s="918"/>
      <c r="AN512" s="915"/>
      <c r="AO512" s="653"/>
      <c r="AP512" s="653"/>
      <c r="AQ512" s="653"/>
      <c r="AR512" s="653"/>
      <c r="AS512" s="653"/>
      <c r="AT512" s="653"/>
      <c r="AU512" s="653"/>
      <c r="AV512" s="653"/>
      <c r="AW512" s="653"/>
      <c r="AX512" s="653"/>
      <c r="AY512" s="653"/>
      <c r="AZ512" s="653"/>
      <c r="BA512" s="653"/>
      <c r="BB512" s="653"/>
      <c r="BC512" s="909"/>
      <c r="BD512" s="909"/>
      <c r="BE512" s="909"/>
      <c r="BF512" s="909"/>
      <c r="BG512" s="909"/>
      <c r="BH512" s="909"/>
      <c r="BI512" s="909"/>
      <c r="BJ512" s="653"/>
      <c r="BK512" s="653"/>
      <c r="BL512" s="653"/>
      <c r="BM512" s="653"/>
      <c r="BN512" s="653"/>
      <c r="BO512" s="653"/>
      <c r="BP512" s="653"/>
      <c r="BQ512" s="653"/>
      <c r="BR512" s="653"/>
      <c r="BS512" s="653"/>
      <c r="BT512" s="653"/>
      <c r="BU512" s="653"/>
      <c r="BV512" s="654"/>
    </row>
    <row r="513" spans="2:74" x14ac:dyDescent="0.25">
      <c r="B513" s="651"/>
      <c r="C513" s="653"/>
      <c r="D513" s="653"/>
      <c r="E513" s="653"/>
      <c r="F513" s="653"/>
      <c r="G513" s="653"/>
      <c r="H513" s="653"/>
      <c r="I513" s="653"/>
      <c r="J513" s="653"/>
      <c r="K513" s="653"/>
      <c r="L513" s="653"/>
      <c r="M513" s="651"/>
      <c r="N513" s="909"/>
      <c r="O513" s="909"/>
      <c r="P513" s="909"/>
      <c r="Q513" s="910"/>
      <c r="R513" s="909"/>
      <c r="S513" s="909"/>
      <c r="T513" s="909"/>
      <c r="U513" s="909"/>
      <c r="V513" s="909"/>
      <c r="W513" s="909"/>
      <c r="X513" s="909"/>
      <c r="Y513" s="909"/>
      <c r="Z513" s="910"/>
      <c r="AA513" s="909"/>
      <c r="AB513" s="910"/>
      <c r="AC513" s="911"/>
      <c r="AD513" s="911"/>
      <c r="AE513" s="909"/>
      <c r="AF513" s="909"/>
      <c r="AG513" s="909"/>
      <c r="AH513" s="917"/>
      <c r="AI513" s="909"/>
      <c r="AJ513" s="916"/>
      <c r="AK513" s="916"/>
      <c r="AL513" s="653"/>
      <c r="AM513" s="918"/>
      <c r="AN513" s="915"/>
      <c r="AO513" s="653"/>
      <c r="AP513" s="653"/>
      <c r="AQ513" s="653"/>
      <c r="AR513" s="653"/>
      <c r="AS513" s="653"/>
      <c r="AT513" s="653"/>
      <c r="AU513" s="653"/>
      <c r="AV513" s="653"/>
      <c r="AW513" s="653"/>
      <c r="AX513" s="653"/>
      <c r="AY513" s="653"/>
      <c r="AZ513" s="653"/>
      <c r="BA513" s="653"/>
      <c r="BB513" s="653"/>
      <c r="BC513" s="653"/>
      <c r="BD513" s="653"/>
      <c r="BE513" s="653"/>
      <c r="BF513" s="653"/>
      <c r="BG513" s="653"/>
      <c r="BH513" s="653"/>
      <c r="BI513" s="653"/>
      <c r="BJ513" s="653"/>
      <c r="BK513" s="653"/>
      <c r="BL513" s="653"/>
      <c r="BM513" s="653"/>
      <c r="BN513" s="653"/>
      <c r="BO513" s="653"/>
      <c r="BP513" s="653"/>
      <c r="BQ513" s="653"/>
      <c r="BR513" s="653"/>
      <c r="BS513" s="653"/>
      <c r="BT513" s="653"/>
      <c r="BU513" s="653"/>
      <c r="BV513" s="654"/>
    </row>
    <row r="514" spans="2:74" x14ac:dyDescent="0.25">
      <c r="B514" s="651"/>
      <c r="C514" s="653"/>
      <c r="D514" s="653"/>
      <c r="E514" s="653"/>
      <c r="F514" s="653"/>
      <c r="G514" s="653"/>
      <c r="H514" s="653"/>
      <c r="I514" s="653"/>
      <c r="J514" s="653"/>
      <c r="K514" s="653"/>
      <c r="L514" s="653"/>
      <c r="M514" s="651"/>
      <c r="N514" s="909"/>
      <c r="O514" s="909"/>
      <c r="P514" s="909"/>
      <c r="Q514" s="910"/>
      <c r="R514" s="909"/>
      <c r="S514" s="909"/>
      <c r="T514" s="909"/>
      <c r="U514" s="909"/>
      <c r="V514" s="909"/>
      <c r="W514" s="909"/>
      <c r="X514" s="909"/>
      <c r="Y514" s="909"/>
      <c r="Z514" s="910"/>
      <c r="AA514" s="909"/>
      <c r="AB514" s="910"/>
      <c r="AC514" s="911"/>
      <c r="AD514" s="911"/>
      <c r="AE514" s="909"/>
      <c r="AF514" s="909"/>
      <c r="AG514" s="909"/>
      <c r="AH514" s="917"/>
      <c r="AI514" s="909"/>
      <c r="AJ514" s="916"/>
      <c r="AK514" s="916"/>
      <c r="AL514" s="653"/>
      <c r="AM514" s="918"/>
      <c r="AN514" s="915"/>
      <c r="AO514" s="909"/>
      <c r="AP514" s="909"/>
      <c r="AQ514" s="653"/>
      <c r="AR514" s="653"/>
      <c r="AS514" s="653"/>
      <c r="AT514" s="653"/>
      <c r="AU514" s="653"/>
      <c r="AV514" s="653"/>
      <c r="AW514" s="653"/>
      <c r="AX514" s="653"/>
      <c r="AY514" s="653"/>
      <c r="AZ514" s="653"/>
      <c r="BA514" s="653"/>
      <c r="BB514" s="653"/>
      <c r="BC514" s="653"/>
      <c r="BD514" s="653"/>
      <c r="BE514" s="653"/>
      <c r="BF514" s="653"/>
      <c r="BG514" s="653"/>
      <c r="BH514" s="653"/>
      <c r="BI514" s="653"/>
      <c r="BJ514" s="653"/>
      <c r="BK514" s="653"/>
      <c r="BL514" s="653"/>
      <c r="BM514" s="653"/>
      <c r="BN514" s="653"/>
      <c r="BO514" s="653"/>
      <c r="BP514" s="653"/>
      <c r="BQ514" s="653"/>
      <c r="BR514" s="653"/>
      <c r="BS514" s="653"/>
      <c r="BT514" s="653"/>
      <c r="BU514" s="653"/>
      <c r="BV514" s="654"/>
    </row>
    <row r="515" spans="2:74" x14ac:dyDescent="0.25">
      <c r="B515" s="651"/>
      <c r="C515" s="653"/>
      <c r="D515" s="653"/>
      <c r="E515" s="653"/>
      <c r="F515" s="653"/>
      <c r="G515" s="653"/>
      <c r="H515" s="653"/>
      <c r="I515" s="653"/>
      <c r="J515" s="653"/>
      <c r="K515" s="653"/>
      <c r="L515" s="653"/>
      <c r="M515" s="651"/>
      <c r="N515" s="909"/>
      <c r="O515" s="909"/>
      <c r="P515" s="909"/>
      <c r="Q515" s="910"/>
      <c r="R515" s="909"/>
      <c r="S515" s="909"/>
      <c r="T515" s="909"/>
      <c r="U515" s="909"/>
      <c r="V515" s="909"/>
      <c r="W515" s="909"/>
      <c r="X515" s="909"/>
      <c r="Y515" s="909"/>
      <c r="Z515" s="910"/>
      <c r="AA515" s="909"/>
      <c r="AB515" s="910"/>
      <c r="AC515" s="911"/>
      <c r="AD515" s="911"/>
      <c r="AE515" s="909"/>
      <c r="AF515" s="909"/>
      <c r="AG515" s="909"/>
      <c r="AH515" s="917"/>
      <c r="AI515" s="909"/>
      <c r="AJ515" s="916"/>
      <c r="AK515" s="916"/>
      <c r="AL515" s="653"/>
      <c r="AM515" s="918"/>
      <c r="AN515" s="915"/>
      <c r="AO515" s="909"/>
      <c r="AP515" s="909"/>
      <c r="AQ515" s="653"/>
      <c r="AR515" s="653"/>
      <c r="AS515" s="653"/>
      <c r="AT515" s="653"/>
      <c r="AU515" s="653"/>
      <c r="AV515" s="653"/>
      <c r="AW515" s="653"/>
      <c r="AX515" s="653"/>
      <c r="AY515" s="653"/>
      <c r="AZ515" s="653"/>
      <c r="BA515" s="653"/>
      <c r="BB515" s="653"/>
      <c r="BC515" s="653"/>
      <c r="BD515" s="653"/>
      <c r="BE515" s="653"/>
      <c r="BF515" s="653"/>
      <c r="BG515" s="653"/>
      <c r="BH515" s="653"/>
      <c r="BI515" s="653"/>
      <c r="BJ515" s="653"/>
      <c r="BK515" s="653"/>
      <c r="BL515" s="653"/>
      <c r="BM515" s="653"/>
      <c r="BN515" s="653"/>
      <c r="BO515" s="653"/>
      <c r="BP515" s="653"/>
      <c r="BQ515" s="653"/>
      <c r="BR515" s="653"/>
      <c r="BS515" s="653"/>
      <c r="BT515" s="653"/>
      <c r="BU515" s="653"/>
      <c r="BV515" s="654"/>
    </row>
    <row r="516" spans="2:74" x14ac:dyDescent="0.25">
      <c r="B516" s="651"/>
      <c r="C516" s="653"/>
      <c r="D516" s="653"/>
      <c r="E516" s="653"/>
      <c r="F516" s="653"/>
      <c r="G516" s="653"/>
      <c r="H516" s="653"/>
      <c r="I516" s="653"/>
      <c r="J516" s="653"/>
      <c r="K516" s="653"/>
      <c r="L516" s="653"/>
      <c r="M516" s="651"/>
      <c r="N516" s="909"/>
      <c r="O516" s="909"/>
      <c r="P516" s="909"/>
      <c r="Q516" s="910"/>
      <c r="R516" s="909"/>
      <c r="S516" s="909"/>
      <c r="T516" s="909"/>
      <c r="U516" s="909"/>
      <c r="V516" s="909"/>
      <c r="W516" s="909"/>
      <c r="X516" s="909"/>
      <c r="Y516" s="909"/>
      <c r="Z516" s="910"/>
      <c r="AA516" s="909"/>
      <c r="AB516" s="910"/>
      <c r="AC516" s="911"/>
      <c r="AD516" s="911"/>
      <c r="AE516" s="909"/>
      <c r="AF516" s="909"/>
      <c r="AG516" s="909"/>
      <c r="AH516" s="917"/>
      <c r="AI516" s="909"/>
      <c r="AJ516" s="916"/>
      <c r="AK516" s="916"/>
      <c r="AL516" s="653"/>
      <c r="AM516" s="918"/>
      <c r="AN516" s="915"/>
      <c r="AO516" s="653"/>
      <c r="AP516" s="653"/>
      <c r="AQ516" s="653"/>
      <c r="AR516" s="653"/>
      <c r="AS516" s="653"/>
      <c r="AT516" s="653"/>
      <c r="AU516" s="653"/>
      <c r="AV516" s="653"/>
      <c r="AW516" s="653"/>
      <c r="AX516" s="653"/>
      <c r="AY516" s="653"/>
      <c r="AZ516" s="653"/>
      <c r="BA516" s="653"/>
      <c r="BB516" s="653"/>
      <c r="BC516" s="653"/>
      <c r="BD516" s="653"/>
      <c r="BE516" s="653"/>
      <c r="BF516" s="653"/>
      <c r="BG516" s="653"/>
      <c r="BH516" s="653"/>
      <c r="BI516" s="653"/>
      <c r="BJ516" s="653"/>
      <c r="BK516" s="653"/>
      <c r="BL516" s="653"/>
      <c r="BM516" s="653"/>
      <c r="BN516" s="653"/>
      <c r="BO516" s="653"/>
      <c r="BP516" s="653"/>
      <c r="BQ516" s="653"/>
      <c r="BR516" s="653"/>
      <c r="BS516" s="653"/>
      <c r="BT516" s="653"/>
      <c r="BU516" s="653"/>
      <c r="BV516" s="654"/>
    </row>
    <row r="517" spans="2:74" x14ac:dyDescent="0.25">
      <c r="B517" s="651"/>
      <c r="C517" s="653"/>
      <c r="D517" s="653"/>
      <c r="E517" s="653"/>
      <c r="F517" s="653"/>
      <c r="G517" s="653"/>
      <c r="H517" s="653"/>
      <c r="I517" s="653"/>
      <c r="J517" s="653"/>
      <c r="K517" s="653"/>
      <c r="L517" s="653"/>
      <c r="M517" s="651"/>
      <c r="N517" s="909"/>
      <c r="O517" s="909"/>
      <c r="P517" s="909"/>
      <c r="Q517" s="910"/>
      <c r="R517" s="909"/>
      <c r="S517" s="909"/>
      <c r="T517" s="909"/>
      <c r="U517" s="909"/>
      <c r="V517" s="909"/>
      <c r="W517" s="909"/>
      <c r="X517" s="909"/>
      <c r="Y517" s="909"/>
      <c r="Z517" s="910"/>
      <c r="AA517" s="909"/>
      <c r="AB517" s="910"/>
      <c r="AC517" s="911"/>
      <c r="AD517" s="911"/>
      <c r="AE517" s="909"/>
      <c r="AF517" s="909"/>
      <c r="AG517" s="909"/>
      <c r="AH517" s="917"/>
      <c r="AI517" s="909"/>
      <c r="AJ517" s="916"/>
      <c r="AK517" s="916"/>
      <c r="AL517" s="653"/>
      <c r="AM517" s="918"/>
      <c r="AN517" s="915"/>
      <c r="AO517" s="653"/>
      <c r="AP517" s="909"/>
      <c r="AQ517" s="653"/>
      <c r="AR517" s="653"/>
      <c r="AS517" s="653"/>
      <c r="AT517" s="653"/>
      <c r="AU517" s="653"/>
      <c r="AV517" s="653"/>
      <c r="AW517" s="653"/>
      <c r="AX517" s="653"/>
      <c r="AY517" s="653"/>
      <c r="AZ517" s="653"/>
      <c r="BA517" s="653"/>
      <c r="BB517" s="653"/>
      <c r="BC517" s="653"/>
      <c r="BD517" s="653"/>
      <c r="BE517" s="653"/>
      <c r="BF517" s="653"/>
      <c r="BG517" s="653"/>
      <c r="BH517" s="653"/>
      <c r="BI517" s="653"/>
      <c r="BJ517" s="653"/>
      <c r="BK517" s="653"/>
      <c r="BL517" s="653"/>
      <c r="BM517" s="653"/>
      <c r="BN517" s="653"/>
      <c r="BO517" s="653"/>
      <c r="BP517" s="653"/>
      <c r="BQ517" s="653"/>
      <c r="BR517" s="653"/>
      <c r="BS517" s="653"/>
      <c r="BT517" s="653"/>
      <c r="BU517" s="653"/>
      <c r="BV517" s="654"/>
    </row>
    <row r="518" spans="2:74" x14ac:dyDescent="0.25">
      <c r="B518" s="651"/>
      <c r="C518" s="653"/>
      <c r="D518" s="653"/>
      <c r="E518" s="653"/>
      <c r="F518" s="653"/>
      <c r="G518" s="653"/>
      <c r="H518" s="653"/>
      <c r="I518" s="653"/>
      <c r="J518" s="653"/>
      <c r="K518" s="653"/>
      <c r="L518" s="653"/>
      <c r="M518" s="651"/>
      <c r="N518" s="909"/>
      <c r="O518" s="909"/>
      <c r="P518" s="909"/>
      <c r="Q518" s="910"/>
      <c r="R518" s="909"/>
      <c r="S518" s="909"/>
      <c r="T518" s="909"/>
      <c r="U518" s="909"/>
      <c r="V518" s="909"/>
      <c r="W518" s="909"/>
      <c r="X518" s="909"/>
      <c r="Y518" s="909"/>
      <c r="Z518" s="910"/>
      <c r="AA518" s="909"/>
      <c r="AB518" s="910"/>
      <c r="AC518" s="911"/>
      <c r="AD518" s="911"/>
      <c r="AE518" s="909"/>
      <c r="AF518" s="909"/>
      <c r="AG518" s="909"/>
      <c r="AH518" s="917"/>
      <c r="AI518" s="909"/>
      <c r="AJ518" s="916"/>
      <c r="AK518" s="916"/>
      <c r="AL518" s="653"/>
      <c r="AM518" s="918"/>
      <c r="AN518" s="915"/>
      <c r="AO518" s="653"/>
      <c r="AP518" s="653"/>
      <c r="AQ518" s="653"/>
      <c r="AR518" s="653"/>
      <c r="AS518" s="653"/>
      <c r="AT518" s="653"/>
      <c r="AU518" s="653"/>
      <c r="AV518" s="653"/>
      <c r="AW518" s="653"/>
      <c r="AX518" s="653"/>
      <c r="AY518" s="653"/>
      <c r="AZ518" s="653"/>
      <c r="BA518" s="653"/>
      <c r="BB518" s="653"/>
      <c r="BC518" s="653"/>
      <c r="BD518" s="653"/>
      <c r="BE518" s="653"/>
      <c r="BF518" s="653"/>
      <c r="BG518" s="653"/>
      <c r="BH518" s="653"/>
      <c r="BI518" s="653"/>
      <c r="BJ518" s="653"/>
      <c r="BK518" s="653"/>
      <c r="BL518" s="653"/>
      <c r="BM518" s="653"/>
      <c r="BN518" s="653"/>
      <c r="BO518" s="653"/>
      <c r="BP518" s="653"/>
      <c r="BQ518" s="653"/>
      <c r="BR518" s="653"/>
      <c r="BS518" s="653"/>
      <c r="BT518" s="653"/>
      <c r="BU518" s="653"/>
      <c r="BV518" s="654"/>
    </row>
    <row r="519" spans="2:74" x14ac:dyDescent="0.25">
      <c r="B519" s="651"/>
      <c r="C519" s="653"/>
      <c r="D519" s="653"/>
      <c r="E519" s="653"/>
      <c r="F519" s="653"/>
      <c r="G519" s="653"/>
      <c r="H519" s="653"/>
      <c r="I519" s="653"/>
      <c r="J519" s="653"/>
      <c r="K519" s="653"/>
      <c r="L519" s="653"/>
      <c r="M519" s="651"/>
      <c r="N519" s="909"/>
      <c r="O519" s="909"/>
      <c r="P519" s="909"/>
      <c r="Q519" s="910"/>
      <c r="R519" s="909"/>
      <c r="S519" s="909"/>
      <c r="T519" s="909"/>
      <c r="U519" s="909"/>
      <c r="V519" s="909"/>
      <c r="W519" s="909"/>
      <c r="X519" s="909"/>
      <c r="Y519" s="909"/>
      <c r="Z519" s="910"/>
      <c r="AA519" s="909"/>
      <c r="AB519" s="910"/>
      <c r="AC519" s="911"/>
      <c r="AD519" s="911"/>
      <c r="AE519" s="909"/>
      <c r="AF519" s="909"/>
      <c r="AG519" s="909"/>
      <c r="AH519" s="917"/>
      <c r="AI519" s="909"/>
      <c r="AJ519" s="916"/>
      <c r="AK519" s="916"/>
      <c r="AL519" s="653"/>
      <c r="AM519" s="918"/>
      <c r="AN519" s="915"/>
      <c r="AO519" s="653"/>
      <c r="AP519" s="653"/>
      <c r="AQ519" s="653"/>
      <c r="AR519" s="653"/>
      <c r="AS519" s="653"/>
      <c r="AT519" s="653"/>
      <c r="AU519" s="653"/>
      <c r="AV519" s="653"/>
      <c r="AW519" s="653"/>
      <c r="AX519" s="653"/>
      <c r="AY519" s="653"/>
      <c r="AZ519" s="653"/>
      <c r="BA519" s="653"/>
      <c r="BB519" s="653"/>
      <c r="BC519" s="653"/>
      <c r="BD519" s="653"/>
      <c r="BE519" s="653"/>
      <c r="BF519" s="653"/>
      <c r="BG519" s="653"/>
      <c r="BH519" s="653"/>
      <c r="BI519" s="653"/>
      <c r="BJ519" s="653"/>
      <c r="BK519" s="653"/>
      <c r="BL519" s="653"/>
      <c r="BM519" s="653"/>
      <c r="BN519" s="653"/>
      <c r="BO519" s="653"/>
      <c r="BP519" s="653"/>
      <c r="BQ519" s="653"/>
      <c r="BR519" s="653"/>
      <c r="BS519" s="653"/>
      <c r="BT519" s="653"/>
      <c r="BU519" s="653"/>
      <c r="BV519" s="654"/>
    </row>
    <row r="520" spans="2:74" x14ac:dyDescent="0.25">
      <c r="B520" s="651"/>
      <c r="C520" s="653"/>
      <c r="D520" s="653"/>
      <c r="E520" s="653"/>
      <c r="F520" s="653"/>
      <c r="G520" s="653"/>
      <c r="H520" s="653"/>
      <c r="I520" s="653"/>
      <c r="J520" s="653"/>
      <c r="K520" s="653"/>
      <c r="L520" s="653"/>
      <c r="M520" s="651"/>
      <c r="N520" s="909"/>
      <c r="O520" s="909"/>
      <c r="P520" s="909"/>
      <c r="Q520" s="910"/>
      <c r="R520" s="909"/>
      <c r="S520" s="909"/>
      <c r="T520" s="909"/>
      <c r="U520" s="909"/>
      <c r="V520" s="909"/>
      <c r="W520" s="909"/>
      <c r="X520" s="909"/>
      <c r="Y520" s="909"/>
      <c r="Z520" s="910"/>
      <c r="AA520" s="909"/>
      <c r="AB520" s="910"/>
      <c r="AC520" s="911"/>
      <c r="AD520" s="911"/>
      <c r="AE520" s="909"/>
      <c r="AF520" s="909"/>
      <c r="AG520" s="909"/>
      <c r="AH520" s="917"/>
      <c r="AI520" s="909"/>
      <c r="AJ520" s="916"/>
      <c r="AK520" s="916"/>
      <c r="AL520" s="653"/>
      <c r="AM520" s="918"/>
      <c r="AN520" s="915"/>
      <c r="AO520" s="653"/>
      <c r="AP520" s="653"/>
      <c r="AQ520" s="653"/>
      <c r="AR520" s="653"/>
      <c r="AS520" s="653"/>
      <c r="AT520" s="653"/>
      <c r="AU520" s="653"/>
      <c r="AV520" s="653"/>
      <c r="AW520" s="653"/>
      <c r="AX520" s="653"/>
      <c r="AY520" s="653"/>
      <c r="AZ520" s="653"/>
      <c r="BA520" s="653"/>
      <c r="BB520" s="653"/>
      <c r="BC520" s="653"/>
      <c r="BD520" s="653"/>
      <c r="BE520" s="653"/>
      <c r="BF520" s="653"/>
      <c r="BG520" s="653"/>
      <c r="BH520" s="653"/>
      <c r="BI520" s="653"/>
      <c r="BJ520" s="653"/>
      <c r="BK520" s="653"/>
      <c r="BL520" s="653"/>
      <c r="BM520" s="653"/>
      <c r="BN520" s="653"/>
      <c r="BO520" s="653"/>
      <c r="BP520" s="653"/>
      <c r="BQ520" s="653"/>
      <c r="BR520" s="653"/>
      <c r="BS520" s="653"/>
      <c r="BT520" s="653"/>
      <c r="BU520" s="653"/>
      <c r="BV520" s="654"/>
    </row>
    <row r="521" spans="2:74" x14ac:dyDescent="0.25">
      <c r="B521" s="651"/>
      <c r="C521" s="653"/>
      <c r="D521" s="653"/>
      <c r="E521" s="653"/>
      <c r="F521" s="653"/>
      <c r="G521" s="653"/>
      <c r="H521" s="653"/>
      <c r="I521" s="653"/>
      <c r="J521" s="653"/>
      <c r="K521" s="653"/>
      <c r="L521" s="653"/>
      <c r="M521" s="651"/>
      <c r="N521" s="909"/>
      <c r="O521" s="909"/>
      <c r="P521" s="909"/>
      <c r="Q521" s="910"/>
      <c r="R521" s="909"/>
      <c r="S521" s="909"/>
      <c r="T521" s="909"/>
      <c r="U521" s="909"/>
      <c r="V521" s="909"/>
      <c r="W521" s="909"/>
      <c r="X521" s="909"/>
      <c r="Y521" s="909"/>
      <c r="Z521" s="910"/>
      <c r="AA521" s="909"/>
      <c r="AB521" s="910"/>
      <c r="AC521" s="911"/>
      <c r="AD521" s="911"/>
      <c r="AE521" s="909"/>
      <c r="AF521" s="909"/>
      <c r="AG521" s="909"/>
      <c r="AH521" s="917"/>
      <c r="AI521" s="909"/>
      <c r="AJ521" s="916"/>
      <c r="AK521" s="916"/>
      <c r="AL521" s="653"/>
      <c r="AM521" s="918"/>
      <c r="AN521" s="915"/>
      <c r="AO521" s="653"/>
      <c r="AP521" s="653"/>
      <c r="AQ521" s="653"/>
      <c r="AR521" s="653"/>
      <c r="AS521" s="653"/>
      <c r="AT521" s="653"/>
      <c r="AU521" s="653"/>
      <c r="AV521" s="653"/>
      <c r="AW521" s="653"/>
      <c r="AX521" s="653"/>
      <c r="AY521" s="653"/>
      <c r="AZ521" s="653"/>
      <c r="BA521" s="653"/>
      <c r="BB521" s="653"/>
      <c r="BC521" s="653"/>
      <c r="BD521" s="653"/>
      <c r="BE521" s="653"/>
      <c r="BF521" s="653"/>
      <c r="BG521" s="653"/>
      <c r="BH521" s="653"/>
      <c r="BI521" s="653"/>
      <c r="BJ521" s="653"/>
      <c r="BK521" s="653"/>
      <c r="BL521" s="653"/>
      <c r="BM521" s="653"/>
      <c r="BN521" s="653"/>
      <c r="BO521" s="653"/>
      <c r="BP521" s="653"/>
      <c r="BQ521" s="653"/>
      <c r="BR521" s="653"/>
      <c r="BS521" s="653"/>
      <c r="BT521" s="653"/>
      <c r="BU521" s="653"/>
      <c r="BV521" s="654"/>
    </row>
    <row r="522" spans="2:74" x14ac:dyDescent="0.25">
      <c r="B522" s="651"/>
      <c r="C522" s="653"/>
      <c r="D522" s="653"/>
      <c r="E522" s="653"/>
      <c r="F522" s="653"/>
      <c r="G522" s="653"/>
      <c r="H522" s="653"/>
      <c r="I522" s="653"/>
      <c r="J522" s="653"/>
      <c r="K522" s="653"/>
      <c r="L522" s="653"/>
      <c r="M522" s="651"/>
      <c r="N522" s="909"/>
      <c r="O522" s="909"/>
      <c r="P522" s="909"/>
      <c r="Q522" s="910"/>
      <c r="R522" s="909"/>
      <c r="S522" s="909"/>
      <c r="T522" s="909"/>
      <c r="U522" s="909"/>
      <c r="V522" s="909"/>
      <c r="W522" s="909"/>
      <c r="X522" s="909"/>
      <c r="Y522" s="909"/>
      <c r="Z522" s="910"/>
      <c r="AA522" s="909"/>
      <c r="AB522" s="910"/>
      <c r="AC522" s="911"/>
      <c r="AD522" s="911"/>
      <c r="AE522" s="909"/>
      <c r="AF522" s="909"/>
      <c r="AG522" s="909"/>
      <c r="AH522" s="917"/>
      <c r="AI522" s="909"/>
      <c r="AJ522" s="916"/>
      <c r="AK522" s="916"/>
      <c r="AL522" s="653"/>
      <c r="AM522" s="918"/>
      <c r="AN522" s="915"/>
      <c r="AO522" s="653"/>
      <c r="AP522" s="653"/>
      <c r="AQ522" s="653"/>
      <c r="AR522" s="653"/>
      <c r="AS522" s="653"/>
      <c r="AT522" s="653"/>
      <c r="AU522" s="653"/>
      <c r="AV522" s="653"/>
      <c r="AW522" s="653"/>
      <c r="AX522" s="653"/>
      <c r="AY522" s="653"/>
      <c r="AZ522" s="653"/>
      <c r="BA522" s="653"/>
      <c r="BB522" s="653"/>
      <c r="BC522" s="653"/>
      <c r="BD522" s="653"/>
      <c r="BE522" s="653"/>
      <c r="BF522" s="653"/>
      <c r="BG522" s="653"/>
      <c r="BH522" s="653"/>
      <c r="BI522" s="653"/>
      <c r="BJ522" s="653"/>
      <c r="BK522" s="653"/>
      <c r="BL522" s="653"/>
      <c r="BM522" s="653"/>
      <c r="BN522" s="653"/>
      <c r="BO522" s="653"/>
      <c r="BP522" s="653"/>
      <c r="BQ522" s="653"/>
      <c r="BR522" s="653"/>
      <c r="BS522" s="653"/>
      <c r="BT522" s="653"/>
      <c r="BU522" s="653"/>
      <c r="BV522" s="654"/>
    </row>
    <row r="523" spans="2:74" x14ac:dyDescent="0.25">
      <c r="B523" s="651"/>
      <c r="C523" s="653"/>
      <c r="D523" s="653"/>
      <c r="E523" s="653"/>
      <c r="F523" s="653"/>
      <c r="G523" s="653"/>
      <c r="H523" s="653"/>
      <c r="I523" s="653"/>
      <c r="J523" s="653"/>
      <c r="K523" s="653"/>
      <c r="L523" s="653"/>
      <c r="M523" s="651"/>
      <c r="N523" s="909"/>
      <c r="O523" s="909"/>
      <c r="P523" s="909"/>
      <c r="Q523" s="910"/>
      <c r="R523" s="909"/>
      <c r="S523" s="909"/>
      <c r="T523" s="909"/>
      <c r="U523" s="909"/>
      <c r="V523" s="909"/>
      <c r="W523" s="909"/>
      <c r="X523" s="909"/>
      <c r="Y523" s="909"/>
      <c r="Z523" s="910"/>
      <c r="AA523" s="909"/>
      <c r="AB523" s="910"/>
      <c r="AC523" s="911"/>
      <c r="AD523" s="911"/>
      <c r="AE523" s="909"/>
      <c r="AF523" s="909"/>
      <c r="AG523" s="909"/>
      <c r="AH523" s="917"/>
      <c r="AI523" s="909"/>
      <c r="AJ523" s="916"/>
      <c r="AK523" s="916"/>
      <c r="AL523" s="653"/>
      <c r="AM523" s="918"/>
      <c r="AN523" s="915"/>
      <c r="AO523" s="653"/>
      <c r="AP523" s="653"/>
      <c r="AQ523" s="653"/>
      <c r="AR523" s="653"/>
      <c r="AS523" s="653"/>
      <c r="AT523" s="653"/>
      <c r="AU523" s="653"/>
      <c r="AV523" s="653"/>
      <c r="AW523" s="653"/>
      <c r="AX523" s="653"/>
      <c r="AY523" s="653"/>
      <c r="AZ523" s="653"/>
      <c r="BA523" s="653"/>
      <c r="BB523" s="653"/>
      <c r="BC523" s="653"/>
      <c r="BD523" s="653"/>
      <c r="BE523" s="653"/>
      <c r="BF523" s="653"/>
      <c r="BG523" s="653"/>
      <c r="BH523" s="653"/>
      <c r="BI523" s="653"/>
      <c r="BJ523" s="653"/>
      <c r="BK523" s="653"/>
      <c r="BL523" s="653"/>
      <c r="BM523" s="653"/>
      <c r="BN523" s="653"/>
      <c r="BO523" s="653"/>
      <c r="BP523" s="653"/>
      <c r="BQ523" s="653"/>
      <c r="BR523" s="653"/>
      <c r="BS523" s="653"/>
      <c r="BT523" s="653"/>
      <c r="BU523" s="653"/>
      <c r="BV523" s="654"/>
    </row>
    <row r="524" spans="2:74" x14ac:dyDescent="0.25">
      <c r="B524" s="651"/>
      <c r="C524" s="653"/>
      <c r="D524" s="653"/>
      <c r="E524" s="653"/>
      <c r="F524" s="653"/>
      <c r="G524" s="653"/>
      <c r="H524" s="653"/>
      <c r="I524" s="653"/>
      <c r="J524" s="653"/>
      <c r="K524" s="653"/>
      <c r="L524" s="653"/>
      <c r="M524" s="651"/>
      <c r="N524" s="909"/>
      <c r="O524" s="909"/>
      <c r="P524" s="909"/>
      <c r="Q524" s="910"/>
      <c r="R524" s="909"/>
      <c r="S524" s="909"/>
      <c r="T524" s="909"/>
      <c r="U524" s="909"/>
      <c r="V524" s="909"/>
      <c r="W524" s="909"/>
      <c r="X524" s="909"/>
      <c r="Y524" s="909"/>
      <c r="Z524" s="910"/>
      <c r="AA524" s="909"/>
      <c r="AB524" s="910"/>
      <c r="AC524" s="911"/>
      <c r="AD524" s="911"/>
      <c r="AE524" s="909"/>
      <c r="AF524" s="909"/>
      <c r="AG524" s="909"/>
      <c r="AH524" s="917"/>
      <c r="AI524" s="909"/>
      <c r="AJ524" s="916"/>
      <c r="AK524" s="916"/>
      <c r="AL524" s="653"/>
      <c r="AM524" s="918"/>
      <c r="AN524" s="915"/>
      <c r="AO524" s="653"/>
      <c r="AP524" s="653"/>
      <c r="AQ524" s="653"/>
      <c r="AR524" s="653"/>
      <c r="AS524" s="653"/>
      <c r="AT524" s="653"/>
      <c r="AU524" s="653"/>
      <c r="AV524" s="653"/>
      <c r="AW524" s="653"/>
      <c r="AX524" s="653"/>
      <c r="AY524" s="653"/>
      <c r="AZ524" s="653"/>
      <c r="BA524" s="653"/>
      <c r="BB524" s="653"/>
      <c r="BC524" s="653"/>
      <c r="BD524" s="653"/>
      <c r="BE524" s="653"/>
      <c r="BF524" s="653"/>
      <c r="BG524" s="653"/>
      <c r="BH524" s="653"/>
      <c r="BI524" s="653"/>
      <c r="BJ524" s="653"/>
      <c r="BK524" s="653"/>
      <c r="BL524" s="653"/>
      <c r="BM524" s="653"/>
      <c r="BN524" s="653"/>
      <c r="BO524" s="653"/>
      <c r="BP524" s="653"/>
      <c r="BQ524" s="653"/>
      <c r="BR524" s="653"/>
      <c r="BS524" s="653"/>
      <c r="BT524" s="653"/>
      <c r="BU524" s="653"/>
      <c r="BV524" s="654"/>
    </row>
    <row r="525" spans="2:74" x14ac:dyDescent="0.25">
      <c r="B525" s="651"/>
      <c r="C525" s="653"/>
      <c r="D525" s="653"/>
      <c r="E525" s="653"/>
      <c r="F525" s="653"/>
      <c r="G525" s="653"/>
      <c r="H525" s="653"/>
      <c r="I525" s="653"/>
      <c r="J525" s="653"/>
      <c r="K525" s="653"/>
      <c r="L525" s="653"/>
      <c r="M525" s="651"/>
      <c r="N525" s="909"/>
      <c r="O525" s="909"/>
      <c r="P525" s="909"/>
      <c r="Q525" s="910"/>
      <c r="R525" s="909"/>
      <c r="S525" s="909"/>
      <c r="T525" s="909"/>
      <c r="U525" s="909"/>
      <c r="V525" s="909"/>
      <c r="W525" s="909"/>
      <c r="X525" s="909"/>
      <c r="Y525" s="909"/>
      <c r="Z525" s="910"/>
      <c r="AA525" s="909"/>
      <c r="AB525" s="910"/>
      <c r="AC525" s="911"/>
      <c r="AD525" s="911"/>
      <c r="AE525" s="909"/>
      <c r="AF525" s="909"/>
      <c r="AG525" s="909"/>
      <c r="AH525" s="917"/>
      <c r="AI525" s="909"/>
      <c r="AJ525" s="916"/>
      <c r="AK525" s="916"/>
      <c r="AL525" s="653"/>
      <c r="AM525" s="918"/>
      <c r="AN525" s="915"/>
      <c r="AO525" s="653"/>
      <c r="AP525" s="653"/>
      <c r="AQ525" s="653"/>
      <c r="AR525" s="653"/>
      <c r="AS525" s="653"/>
      <c r="AT525" s="653"/>
      <c r="AU525" s="653"/>
      <c r="AV525" s="653"/>
      <c r="AW525" s="653"/>
      <c r="AX525" s="653"/>
      <c r="AY525" s="653"/>
      <c r="AZ525" s="653"/>
      <c r="BA525" s="653"/>
      <c r="BB525" s="653"/>
      <c r="BC525" s="653"/>
      <c r="BD525" s="653"/>
      <c r="BE525" s="653"/>
      <c r="BF525" s="653"/>
      <c r="BG525" s="653"/>
      <c r="BH525" s="653"/>
      <c r="BI525" s="653"/>
      <c r="BJ525" s="653"/>
      <c r="BK525" s="653"/>
      <c r="BL525" s="653"/>
      <c r="BM525" s="653"/>
      <c r="BN525" s="653"/>
      <c r="BO525" s="653"/>
      <c r="BP525" s="653"/>
      <c r="BQ525" s="653"/>
      <c r="BR525" s="653"/>
      <c r="BS525" s="653"/>
      <c r="BT525" s="653"/>
      <c r="BU525" s="653"/>
      <c r="BV525" s="654"/>
    </row>
    <row r="526" spans="2:74" x14ac:dyDescent="0.25">
      <c r="B526" s="651"/>
      <c r="C526" s="653"/>
      <c r="D526" s="653"/>
      <c r="E526" s="653"/>
      <c r="F526" s="653"/>
      <c r="G526" s="653"/>
      <c r="H526" s="653"/>
      <c r="I526" s="653"/>
      <c r="J526" s="653"/>
      <c r="K526" s="653"/>
      <c r="L526" s="653"/>
      <c r="M526" s="651"/>
      <c r="N526" s="909"/>
      <c r="O526" s="909"/>
      <c r="P526" s="909"/>
      <c r="Q526" s="910"/>
      <c r="R526" s="909"/>
      <c r="S526" s="909"/>
      <c r="T526" s="909"/>
      <c r="U526" s="909"/>
      <c r="V526" s="909"/>
      <c r="W526" s="909"/>
      <c r="X526" s="909"/>
      <c r="Y526" s="909"/>
      <c r="Z526" s="910"/>
      <c r="AA526" s="909"/>
      <c r="AB526" s="910"/>
      <c r="AC526" s="911"/>
      <c r="AD526" s="911"/>
      <c r="AE526" s="909"/>
      <c r="AF526" s="909"/>
      <c r="AG526" s="909"/>
      <c r="AH526" s="917"/>
      <c r="AI526" s="909"/>
      <c r="AJ526" s="916"/>
      <c r="AK526" s="916"/>
      <c r="AL526" s="653"/>
      <c r="AM526" s="918"/>
      <c r="AN526" s="915"/>
      <c r="AO526" s="653"/>
      <c r="AP526" s="653"/>
      <c r="AQ526" s="653"/>
      <c r="AR526" s="653"/>
      <c r="AS526" s="653"/>
      <c r="AT526" s="653"/>
      <c r="AU526" s="653"/>
      <c r="AV526" s="653"/>
      <c r="AW526" s="653"/>
      <c r="AX526" s="653"/>
      <c r="AY526" s="653"/>
      <c r="AZ526" s="653"/>
      <c r="BA526" s="653"/>
      <c r="BB526" s="653"/>
      <c r="BC526" s="653"/>
      <c r="BD526" s="653"/>
      <c r="BE526" s="653"/>
      <c r="BF526" s="653"/>
      <c r="BG526" s="653"/>
      <c r="BH526" s="653"/>
      <c r="BI526" s="653"/>
      <c r="BJ526" s="653"/>
      <c r="BK526" s="653"/>
      <c r="BL526" s="653"/>
      <c r="BM526" s="653"/>
      <c r="BN526" s="653"/>
      <c r="BO526" s="653"/>
      <c r="BP526" s="653"/>
      <c r="BQ526" s="653"/>
      <c r="BR526" s="653"/>
      <c r="BS526" s="653"/>
      <c r="BT526" s="653"/>
      <c r="BU526" s="653"/>
      <c r="BV526" s="654"/>
    </row>
    <row r="527" spans="2:74" x14ac:dyDescent="0.25">
      <c r="B527" s="651"/>
      <c r="C527" s="653"/>
      <c r="D527" s="653"/>
      <c r="E527" s="653"/>
      <c r="F527" s="653"/>
      <c r="G527" s="653"/>
      <c r="H527" s="653"/>
      <c r="I527" s="653"/>
      <c r="J527" s="653"/>
      <c r="K527" s="653"/>
      <c r="L527" s="653"/>
      <c r="M527" s="651"/>
      <c r="N527" s="909"/>
      <c r="O527" s="909"/>
      <c r="P527" s="909"/>
      <c r="Q527" s="910"/>
      <c r="R527" s="909"/>
      <c r="S527" s="909"/>
      <c r="T527" s="909"/>
      <c r="U527" s="909"/>
      <c r="V527" s="909"/>
      <c r="W527" s="909"/>
      <c r="X527" s="909"/>
      <c r="Y527" s="909"/>
      <c r="Z527" s="910"/>
      <c r="AA527" s="909"/>
      <c r="AB527" s="910"/>
      <c r="AC527" s="911"/>
      <c r="AD527" s="911"/>
      <c r="AE527" s="909"/>
      <c r="AF527" s="909"/>
      <c r="AG527" s="909"/>
      <c r="AH527" s="917"/>
      <c r="AI527" s="909"/>
      <c r="AJ527" s="916"/>
      <c r="AK527" s="916"/>
      <c r="AL527" s="653"/>
      <c r="AM527" s="918"/>
      <c r="AN527" s="915"/>
      <c r="AO527" s="653"/>
      <c r="AP527" s="653"/>
      <c r="AQ527" s="653"/>
      <c r="AR527" s="653"/>
      <c r="AS527" s="653"/>
      <c r="AT527" s="653"/>
      <c r="AU527" s="653"/>
      <c r="AV527" s="653"/>
      <c r="AW527" s="653"/>
      <c r="AX527" s="653"/>
      <c r="AY527" s="653"/>
      <c r="AZ527" s="653"/>
      <c r="BA527" s="653"/>
      <c r="BB527" s="653"/>
      <c r="BC527" s="653"/>
      <c r="BD527" s="653"/>
      <c r="BE527" s="653"/>
      <c r="BF527" s="653"/>
      <c r="BG527" s="653"/>
      <c r="BH527" s="653"/>
      <c r="BI527" s="653"/>
      <c r="BJ527" s="653"/>
      <c r="BK527" s="653"/>
      <c r="BL527" s="653"/>
      <c r="BM527" s="653"/>
      <c r="BN527" s="653"/>
      <c r="BO527" s="653"/>
      <c r="BP527" s="653"/>
      <c r="BQ527" s="653"/>
      <c r="BR527" s="653"/>
      <c r="BS527" s="653"/>
      <c r="BT527" s="653"/>
      <c r="BU527" s="653"/>
      <c r="BV527" s="654"/>
    </row>
    <row r="528" spans="2:74" x14ac:dyDescent="0.25">
      <c r="B528" s="651"/>
      <c r="C528" s="653"/>
      <c r="D528" s="653"/>
      <c r="E528" s="653"/>
      <c r="F528" s="653"/>
      <c r="G528" s="653"/>
      <c r="H528" s="653"/>
      <c r="I528" s="653"/>
      <c r="J528" s="653"/>
      <c r="K528" s="653"/>
      <c r="L528" s="653"/>
      <c r="M528" s="651"/>
      <c r="N528" s="909"/>
      <c r="O528" s="909"/>
      <c r="P528" s="909"/>
      <c r="Q528" s="910"/>
      <c r="R528" s="909"/>
      <c r="S528" s="909"/>
      <c r="T528" s="909"/>
      <c r="U528" s="909"/>
      <c r="V528" s="909"/>
      <c r="W528" s="909"/>
      <c r="X528" s="909"/>
      <c r="Y528" s="909"/>
      <c r="Z528" s="910"/>
      <c r="AA528" s="909"/>
      <c r="AB528" s="910"/>
      <c r="AC528" s="911"/>
      <c r="AD528" s="911"/>
      <c r="AE528" s="909"/>
      <c r="AF528" s="909"/>
      <c r="AG528" s="909"/>
      <c r="AH528" s="917"/>
      <c r="AI528" s="909"/>
      <c r="AJ528" s="916"/>
      <c r="AK528" s="916"/>
      <c r="AL528" s="653"/>
      <c r="AM528" s="918"/>
      <c r="AN528" s="915"/>
      <c r="AO528" s="653"/>
      <c r="AP528" s="653"/>
      <c r="AQ528" s="653"/>
      <c r="AR528" s="653"/>
      <c r="AS528" s="653"/>
      <c r="AT528" s="653"/>
      <c r="AU528" s="653"/>
      <c r="AV528" s="653"/>
      <c r="AW528" s="653"/>
      <c r="AX528" s="653"/>
      <c r="AY528" s="653"/>
      <c r="AZ528" s="653"/>
      <c r="BA528" s="653"/>
      <c r="BB528" s="653"/>
      <c r="BC528" s="653"/>
      <c r="BD528" s="653"/>
      <c r="BE528" s="653"/>
      <c r="BF528" s="653"/>
      <c r="BG528" s="653"/>
      <c r="BH528" s="653"/>
      <c r="BI528" s="653"/>
      <c r="BJ528" s="653"/>
      <c r="BK528" s="653"/>
      <c r="BL528" s="653"/>
      <c r="BM528" s="653"/>
      <c r="BN528" s="653"/>
      <c r="BO528" s="653"/>
      <c r="BP528" s="653"/>
      <c r="BQ528" s="653"/>
      <c r="BR528" s="653"/>
      <c r="BS528" s="653"/>
      <c r="BT528" s="653"/>
      <c r="BU528" s="653"/>
      <c r="BV528" s="654"/>
    </row>
    <row r="529" spans="2:74" x14ac:dyDescent="0.25">
      <c r="B529" s="651"/>
      <c r="C529" s="653"/>
      <c r="D529" s="653"/>
      <c r="E529" s="653"/>
      <c r="F529" s="653"/>
      <c r="G529" s="653"/>
      <c r="H529" s="653"/>
      <c r="I529" s="653"/>
      <c r="J529" s="653"/>
      <c r="K529" s="653"/>
      <c r="L529" s="653"/>
      <c r="M529" s="651"/>
      <c r="N529" s="909"/>
      <c r="O529" s="909"/>
      <c r="P529" s="909"/>
      <c r="Q529" s="910"/>
      <c r="R529" s="909"/>
      <c r="S529" s="909"/>
      <c r="T529" s="909"/>
      <c r="U529" s="909"/>
      <c r="V529" s="909"/>
      <c r="W529" s="909"/>
      <c r="X529" s="909"/>
      <c r="Y529" s="909"/>
      <c r="Z529" s="910"/>
      <c r="AA529" s="909"/>
      <c r="AB529" s="910"/>
      <c r="AC529" s="911"/>
      <c r="AD529" s="911"/>
      <c r="AE529" s="909"/>
      <c r="AF529" s="909"/>
      <c r="AG529" s="909"/>
      <c r="AH529" s="917"/>
      <c r="AI529" s="909"/>
      <c r="AJ529" s="916"/>
      <c r="AK529" s="916"/>
      <c r="AL529" s="653"/>
      <c r="AM529" s="918"/>
      <c r="AN529" s="915"/>
      <c r="AO529" s="653"/>
      <c r="AP529" s="653"/>
      <c r="AQ529" s="653"/>
      <c r="AR529" s="653"/>
      <c r="AS529" s="653"/>
      <c r="AT529" s="653"/>
      <c r="AU529" s="653"/>
      <c r="AV529" s="653"/>
      <c r="AW529" s="653"/>
      <c r="AX529" s="653"/>
      <c r="AY529" s="653"/>
      <c r="AZ529" s="653"/>
      <c r="BA529" s="653"/>
      <c r="BB529" s="653"/>
      <c r="BC529" s="653"/>
      <c r="BD529" s="653"/>
      <c r="BE529" s="653"/>
      <c r="BF529" s="653"/>
      <c r="BG529" s="653"/>
      <c r="BH529" s="653"/>
      <c r="BI529" s="653"/>
      <c r="BJ529" s="653"/>
      <c r="BK529" s="653"/>
      <c r="BL529" s="653"/>
      <c r="BM529" s="653"/>
      <c r="BN529" s="653"/>
      <c r="BO529" s="653"/>
      <c r="BP529" s="653"/>
      <c r="BQ529" s="653"/>
      <c r="BR529" s="653"/>
      <c r="BS529" s="653"/>
      <c r="BT529" s="653"/>
      <c r="BU529" s="653"/>
      <c r="BV529" s="654"/>
    </row>
    <row r="530" spans="2:74" x14ac:dyDescent="0.25">
      <c r="B530" s="651"/>
      <c r="C530" s="653"/>
      <c r="D530" s="653"/>
      <c r="E530" s="653"/>
      <c r="F530" s="653"/>
      <c r="G530" s="653"/>
      <c r="H530" s="653"/>
      <c r="I530" s="653"/>
      <c r="J530" s="653"/>
      <c r="K530" s="653"/>
      <c r="L530" s="653"/>
      <c r="M530" s="651"/>
      <c r="N530" s="909"/>
      <c r="O530" s="909"/>
      <c r="P530" s="909"/>
      <c r="Q530" s="910"/>
      <c r="R530" s="909"/>
      <c r="S530" s="909"/>
      <c r="T530" s="909"/>
      <c r="U530" s="909"/>
      <c r="V530" s="909"/>
      <c r="W530" s="909"/>
      <c r="X530" s="909"/>
      <c r="Y530" s="909"/>
      <c r="Z530" s="910"/>
      <c r="AA530" s="909"/>
      <c r="AB530" s="910"/>
      <c r="AC530" s="911"/>
      <c r="AD530" s="911"/>
      <c r="AE530" s="909"/>
      <c r="AF530" s="909"/>
      <c r="AG530" s="909"/>
      <c r="AH530" s="917"/>
      <c r="AI530" s="909"/>
      <c r="AJ530" s="916"/>
      <c r="AK530" s="916"/>
      <c r="AL530" s="653"/>
      <c r="AM530" s="918"/>
      <c r="AN530" s="915"/>
      <c r="AO530" s="653"/>
      <c r="AP530" s="653"/>
      <c r="AQ530" s="653"/>
      <c r="AR530" s="653"/>
      <c r="AS530" s="653"/>
      <c r="AT530" s="653"/>
      <c r="AU530" s="653"/>
      <c r="AV530" s="653"/>
      <c r="AW530" s="653"/>
      <c r="AX530" s="653"/>
      <c r="AY530" s="653"/>
      <c r="AZ530" s="653"/>
      <c r="BA530" s="653"/>
      <c r="BB530" s="653"/>
      <c r="BC530" s="653"/>
      <c r="BD530" s="653"/>
      <c r="BE530" s="653"/>
      <c r="BF530" s="653"/>
      <c r="BG530" s="653"/>
      <c r="BH530" s="653"/>
      <c r="BI530" s="653"/>
      <c r="BJ530" s="653"/>
      <c r="BK530" s="653"/>
      <c r="BL530" s="653"/>
      <c r="BM530" s="653"/>
      <c r="BN530" s="653"/>
      <c r="BO530" s="653"/>
      <c r="BP530" s="653"/>
      <c r="BQ530" s="653"/>
      <c r="BR530" s="653"/>
      <c r="BS530" s="653"/>
      <c r="BT530" s="653"/>
      <c r="BU530" s="653"/>
      <c r="BV530" s="654"/>
    </row>
    <row r="531" spans="2:74" x14ac:dyDescent="0.25">
      <c r="B531" s="651"/>
      <c r="C531" s="653"/>
      <c r="D531" s="653"/>
      <c r="E531" s="653"/>
      <c r="F531" s="653"/>
      <c r="G531" s="653"/>
      <c r="H531" s="653"/>
      <c r="I531" s="653"/>
      <c r="J531" s="653"/>
      <c r="K531" s="653"/>
      <c r="L531" s="653"/>
      <c r="M531" s="651"/>
      <c r="N531" s="909"/>
      <c r="O531" s="909"/>
      <c r="P531" s="909"/>
      <c r="Q531" s="910"/>
      <c r="R531" s="909"/>
      <c r="S531" s="909"/>
      <c r="T531" s="909"/>
      <c r="U531" s="909"/>
      <c r="V531" s="909"/>
      <c r="W531" s="909"/>
      <c r="X531" s="909"/>
      <c r="Y531" s="909"/>
      <c r="Z531" s="910"/>
      <c r="AA531" s="909"/>
      <c r="AB531" s="910"/>
      <c r="AC531" s="911"/>
      <c r="AD531" s="911"/>
      <c r="AE531" s="909"/>
      <c r="AF531" s="909"/>
      <c r="AG531" s="909"/>
      <c r="AH531" s="917"/>
      <c r="AI531" s="909"/>
      <c r="AJ531" s="916"/>
      <c r="AK531" s="916"/>
      <c r="AL531" s="653"/>
      <c r="AM531" s="918"/>
      <c r="AN531" s="915"/>
      <c r="AO531" s="653"/>
      <c r="AP531" s="653"/>
      <c r="AQ531" s="653"/>
      <c r="AR531" s="653"/>
      <c r="AS531" s="653"/>
      <c r="AT531" s="653"/>
      <c r="AU531" s="653"/>
      <c r="AV531" s="653"/>
      <c r="AW531" s="653"/>
      <c r="AX531" s="653"/>
      <c r="AY531" s="653"/>
      <c r="AZ531" s="653"/>
      <c r="BA531" s="653"/>
      <c r="BB531" s="653"/>
      <c r="BC531" s="653"/>
      <c r="BD531" s="653"/>
      <c r="BE531" s="653"/>
      <c r="BF531" s="653"/>
      <c r="BG531" s="653"/>
      <c r="BH531" s="653"/>
      <c r="BI531" s="653"/>
      <c r="BJ531" s="653"/>
      <c r="BK531" s="653"/>
      <c r="BL531" s="653"/>
      <c r="BM531" s="653"/>
      <c r="BN531" s="653"/>
      <c r="BO531" s="653"/>
      <c r="BP531" s="653"/>
      <c r="BQ531" s="653"/>
      <c r="BR531" s="653"/>
      <c r="BS531" s="653"/>
      <c r="BT531" s="653"/>
      <c r="BU531" s="653"/>
      <c r="BV531" s="654"/>
    </row>
    <row r="532" spans="2:74" x14ac:dyDescent="0.25">
      <c r="B532" s="651"/>
      <c r="C532" s="653"/>
      <c r="D532" s="653"/>
      <c r="E532" s="653"/>
      <c r="F532" s="653"/>
      <c r="G532" s="653"/>
      <c r="H532" s="653"/>
      <c r="I532" s="653"/>
      <c r="J532" s="653"/>
      <c r="K532" s="653"/>
      <c r="L532" s="653"/>
      <c r="M532" s="651"/>
      <c r="N532" s="909"/>
      <c r="O532" s="909"/>
      <c r="P532" s="909"/>
      <c r="Q532" s="910"/>
      <c r="R532" s="909"/>
      <c r="S532" s="909"/>
      <c r="T532" s="909"/>
      <c r="U532" s="909"/>
      <c r="V532" s="909"/>
      <c r="W532" s="909"/>
      <c r="X532" s="909"/>
      <c r="Y532" s="909"/>
      <c r="Z532" s="910"/>
      <c r="AA532" s="909"/>
      <c r="AB532" s="910"/>
      <c r="AC532" s="911"/>
      <c r="AD532" s="911"/>
      <c r="AE532" s="909"/>
      <c r="AF532" s="909"/>
      <c r="AG532" s="909"/>
      <c r="AH532" s="917"/>
      <c r="AI532" s="909"/>
      <c r="AJ532" s="916"/>
      <c r="AK532" s="916"/>
      <c r="AL532" s="653"/>
      <c r="AM532" s="918"/>
      <c r="AN532" s="915"/>
      <c r="AO532" s="653"/>
      <c r="AP532" s="653"/>
      <c r="AQ532" s="653"/>
      <c r="AR532" s="653"/>
      <c r="AS532" s="653"/>
      <c r="AT532" s="653"/>
      <c r="AU532" s="653"/>
      <c r="AV532" s="653"/>
      <c r="AW532" s="653"/>
      <c r="AX532" s="653"/>
      <c r="AY532" s="653"/>
      <c r="AZ532" s="653"/>
      <c r="BA532" s="653"/>
      <c r="BB532" s="653"/>
      <c r="BC532" s="653"/>
      <c r="BD532" s="653"/>
      <c r="BE532" s="653"/>
      <c r="BF532" s="653"/>
      <c r="BG532" s="653"/>
      <c r="BH532" s="653"/>
      <c r="BI532" s="653"/>
      <c r="BJ532" s="653"/>
      <c r="BK532" s="653"/>
      <c r="BL532" s="653"/>
      <c r="BM532" s="653"/>
      <c r="BN532" s="653"/>
      <c r="BO532" s="653"/>
      <c r="BP532" s="653"/>
      <c r="BQ532" s="653"/>
      <c r="BR532" s="653"/>
      <c r="BS532" s="653"/>
      <c r="BT532" s="653"/>
      <c r="BU532" s="653"/>
      <c r="BV532" s="654"/>
    </row>
    <row r="533" spans="2:74" x14ac:dyDescent="0.25">
      <c r="B533" s="651"/>
      <c r="C533" s="653"/>
      <c r="D533" s="653"/>
      <c r="E533" s="653"/>
      <c r="F533" s="653"/>
      <c r="G533" s="653"/>
      <c r="H533" s="653"/>
      <c r="I533" s="653"/>
      <c r="J533" s="653"/>
      <c r="K533" s="653"/>
      <c r="L533" s="653"/>
      <c r="M533" s="651"/>
      <c r="N533" s="909"/>
      <c r="O533" s="909"/>
      <c r="P533" s="909"/>
      <c r="Q533" s="910"/>
      <c r="R533" s="909"/>
      <c r="S533" s="909"/>
      <c r="T533" s="909"/>
      <c r="U533" s="909"/>
      <c r="V533" s="909"/>
      <c r="W533" s="909"/>
      <c r="X533" s="909"/>
      <c r="Y533" s="909"/>
      <c r="Z533" s="910"/>
      <c r="AA533" s="909"/>
      <c r="AB533" s="910"/>
      <c r="AC533" s="911"/>
      <c r="AD533" s="911"/>
      <c r="AE533" s="909"/>
      <c r="AF533" s="909"/>
      <c r="AG533" s="909"/>
      <c r="AH533" s="917"/>
      <c r="AI533" s="909"/>
      <c r="AJ533" s="916"/>
      <c r="AK533" s="916"/>
      <c r="AL533" s="653"/>
      <c r="AM533" s="918"/>
      <c r="AN533" s="915"/>
      <c r="AO533" s="653"/>
      <c r="AP533" s="653"/>
      <c r="AQ533" s="653"/>
      <c r="AR533" s="653"/>
      <c r="AS533" s="653"/>
      <c r="AT533" s="653"/>
      <c r="AU533" s="653"/>
      <c r="AV533" s="653"/>
      <c r="AW533" s="653"/>
      <c r="AX533" s="653"/>
      <c r="AY533" s="653"/>
      <c r="AZ533" s="653"/>
      <c r="BA533" s="653"/>
      <c r="BB533" s="653"/>
      <c r="BC533" s="653"/>
      <c r="BD533" s="653"/>
      <c r="BE533" s="653"/>
      <c r="BF533" s="653"/>
      <c r="BG533" s="653"/>
      <c r="BH533" s="653"/>
      <c r="BI533" s="653"/>
      <c r="BJ533" s="653"/>
      <c r="BK533" s="653"/>
      <c r="BL533" s="653"/>
      <c r="BM533" s="653"/>
      <c r="BN533" s="653"/>
      <c r="BO533" s="653"/>
      <c r="BP533" s="653"/>
      <c r="BQ533" s="653"/>
      <c r="BR533" s="653"/>
      <c r="BS533" s="653"/>
      <c r="BT533" s="653"/>
      <c r="BU533" s="653"/>
      <c r="BV533" s="654"/>
    </row>
    <row r="534" spans="2:74" x14ac:dyDescent="0.25">
      <c r="B534" s="651"/>
      <c r="C534" s="653"/>
      <c r="D534" s="653"/>
      <c r="E534" s="653"/>
      <c r="F534" s="653"/>
      <c r="G534" s="653"/>
      <c r="H534" s="653"/>
      <c r="I534" s="653"/>
      <c r="J534" s="653"/>
      <c r="K534" s="653"/>
      <c r="L534" s="653"/>
      <c r="M534" s="651"/>
      <c r="N534" s="909"/>
      <c r="O534" s="909"/>
      <c r="P534" s="909"/>
      <c r="Q534" s="910"/>
      <c r="R534" s="909"/>
      <c r="S534" s="909"/>
      <c r="T534" s="909"/>
      <c r="U534" s="909"/>
      <c r="V534" s="909"/>
      <c r="W534" s="909"/>
      <c r="X534" s="909"/>
      <c r="Y534" s="909"/>
      <c r="Z534" s="910"/>
      <c r="AA534" s="909"/>
      <c r="AB534" s="910"/>
      <c r="AC534" s="911"/>
      <c r="AD534" s="911"/>
      <c r="AE534" s="909"/>
      <c r="AF534" s="909"/>
      <c r="AG534" s="909"/>
      <c r="AH534" s="917"/>
      <c r="AI534" s="909"/>
      <c r="AJ534" s="916"/>
      <c r="AK534" s="916"/>
      <c r="AL534" s="653"/>
      <c r="AM534" s="918"/>
      <c r="AN534" s="915"/>
      <c r="AO534" s="653"/>
      <c r="AP534" s="653"/>
      <c r="AQ534" s="653"/>
      <c r="AR534" s="653"/>
      <c r="AS534" s="653"/>
      <c r="AT534" s="653"/>
      <c r="AU534" s="653"/>
      <c r="AV534" s="653"/>
      <c r="AW534" s="653"/>
      <c r="AX534" s="653"/>
      <c r="AY534" s="653"/>
      <c r="AZ534" s="653"/>
      <c r="BA534" s="653"/>
      <c r="BB534" s="653"/>
      <c r="BC534" s="653"/>
      <c r="BD534" s="653"/>
      <c r="BE534" s="653"/>
      <c r="BF534" s="653"/>
      <c r="BG534" s="653"/>
      <c r="BH534" s="653"/>
      <c r="BI534" s="653"/>
      <c r="BJ534" s="653"/>
      <c r="BK534" s="653"/>
      <c r="BL534" s="653"/>
      <c r="BM534" s="653"/>
      <c r="BN534" s="653"/>
      <c r="BO534" s="653"/>
      <c r="BP534" s="653"/>
      <c r="BQ534" s="653"/>
      <c r="BR534" s="653"/>
      <c r="BS534" s="653"/>
      <c r="BT534" s="653"/>
      <c r="BU534" s="653"/>
      <c r="BV534" s="654"/>
    </row>
    <row r="535" spans="2:74" x14ac:dyDescent="0.25">
      <c r="B535" s="651"/>
      <c r="C535" s="653"/>
      <c r="D535" s="653"/>
      <c r="E535" s="653"/>
      <c r="F535" s="653"/>
      <c r="G535" s="653"/>
      <c r="H535" s="653"/>
      <c r="I535" s="653"/>
      <c r="J535" s="653"/>
      <c r="K535" s="653"/>
      <c r="L535" s="653"/>
      <c r="M535" s="651"/>
      <c r="N535" s="909"/>
      <c r="O535" s="909"/>
      <c r="P535" s="909"/>
      <c r="Q535" s="910"/>
      <c r="R535" s="909"/>
      <c r="S535" s="909"/>
      <c r="T535" s="909"/>
      <c r="U535" s="909"/>
      <c r="V535" s="909"/>
      <c r="W535" s="909"/>
      <c r="X535" s="909"/>
      <c r="Y535" s="909"/>
      <c r="Z535" s="910"/>
      <c r="AA535" s="909"/>
      <c r="AB535" s="910"/>
      <c r="AC535" s="911"/>
      <c r="AD535" s="911"/>
      <c r="AE535" s="909"/>
      <c r="AF535" s="909"/>
      <c r="AG535" s="909"/>
      <c r="AH535" s="917"/>
      <c r="AI535" s="909"/>
      <c r="AJ535" s="916"/>
      <c r="AK535" s="916"/>
      <c r="AL535" s="653"/>
      <c r="AM535" s="918"/>
      <c r="AN535" s="915"/>
      <c r="AO535" s="653"/>
      <c r="AP535" s="653"/>
      <c r="AQ535" s="653"/>
      <c r="AR535" s="653"/>
      <c r="AS535" s="653"/>
      <c r="AT535" s="653"/>
      <c r="AU535" s="653"/>
      <c r="AV535" s="653"/>
      <c r="AW535" s="653"/>
      <c r="AX535" s="653"/>
      <c r="AY535" s="653"/>
      <c r="AZ535" s="653"/>
      <c r="BA535" s="653"/>
      <c r="BB535" s="653"/>
      <c r="BC535" s="653"/>
      <c r="BD535" s="653"/>
      <c r="BE535" s="653"/>
      <c r="BF535" s="653"/>
      <c r="BG535" s="653"/>
      <c r="BH535" s="653"/>
      <c r="BI535" s="653"/>
      <c r="BJ535" s="653"/>
      <c r="BK535" s="653"/>
      <c r="BL535" s="653"/>
      <c r="BM535" s="653"/>
      <c r="BN535" s="653"/>
      <c r="BO535" s="653"/>
      <c r="BP535" s="653"/>
      <c r="BQ535" s="653"/>
      <c r="BR535" s="653"/>
      <c r="BS535" s="653"/>
      <c r="BT535" s="653"/>
      <c r="BU535" s="653"/>
      <c r="BV535" s="654"/>
    </row>
    <row r="536" spans="2:74" x14ac:dyDescent="0.25">
      <c r="B536" s="651"/>
      <c r="C536" s="653"/>
      <c r="D536" s="653"/>
      <c r="E536" s="653"/>
      <c r="F536" s="653"/>
      <c r="G536" s="653"/>
      <c r="H536" s="653"/>
      <c r="I536" s="653"/>
      <c r="J536" s="653"/>
      <c r="K536" s="653"/>
      <c r="L536" s="653"/>
      <c r="M536" s="651"/>
      <c r="N536" s="909"/>
      <c r="O536" s="909"/>
      <c r="P536" s="909"/>
      <c r="Q536" s="910"/>
      <c r="R536" s="909"/>
      <c r="S536" s="909"/>
      <c r="T536" s="909"/>
      <c r="U536" s="909"/>
      <c r="V536" s="909"/>
      <c r="W536" s="909"/>
      <c r="X536" s="909"/>
      <c r="Y536" s="909"/>
      <c r="Z536" s="910"/>
      <c r="AA536" s="909"/>
      <c r="AB536" s="910"/>
      <c r="AC536" s="911"/>
      <c r="AD536" s="911"/>
      <c r="AE536" s="909"/>
      <c r="AF536" s="909"/>
      <c r="AG536" s="909"/>
      <c r="AH536" s="917"/>
      <c r="AI536" s="909"/>
      <c r="AJ536" s="916"/>
      <c r="AK536" s="916"/>
      <c r="AL536" s="653"/>
      <c r="AM536" s="918"/>
      <c r="AN536" s="915"/>
      <c r="AO536" s="653"/>
      <c r="AP536" s="653"/>
      <c r="AQ536" s="653"/>
      <c r="AR536" s="653"/>
      <c r="AS536" s="653"/>
      <c r="AT536" s="653"/>
      <c r="AU536" s="653"/>
      <c r="AV536" s="653"/>
      <c r="AW536" s="653"/>
      <c r="AX536" s="653"/>
      <c r="AY536" s="653"/>
      <c r="AZ536" s="653"/>
      <c r="BA536" s="653"/>
      <c r="BB536" s="653"/>
      <c r="BC536" s="653"/>
      <c r="BD536" s="653"/>
      <c r="BE536" s="653"/>
      <c r="BF536" s="653"/>
      <c r="BG536" s="653"/>
      <c r="BH536" s="653"/>
      <c r="BI536" s="653"/>
      <c r="BJ536" s="653"/>
      <c r="BK536" s="653"/>
      <c r="BL536" s="653"/>
      <c r="BM536" s="653"/>
      <c r="BN536" s="653"/>
      <c r="BO536" s="653"/>
      <c r="BP536" s="653"/>
      <c r="BQ536" s="653"/>
      <c r="BR536" s="653"/>
      <c r="BS536" s="653"/>
      <c r="BT536" s="653"/>
      <c r="BU536" s="653"/>
      <c r="BV536" s="654"/>
    </row>
    <row r="537" spans="2:74" x14ac:dyDescent="0.25">
      <c r="B537" s="651"/>
      <c r="C537" s="653"/>
      <c r="D537" s="653"/>
      <c r="E537" s="653"/>
      <c r="F537" s="653"/>
      <c r="G537" s="653"/>
      <c r="H537" s="653"/>
      <c r="I537" s="653"/>
      <c r="J537" s="653"/>
      <c r="K537" s="653"/>
      <c r="L537" s="653"/>
      <c r="M537" s="651"/>
      <c r="N537" s="909"/>
      <c r="O537" s="909"/>
      <c r="P537" s="909"/>
      <c r="Q537" s="910"/>
      <c r="R537" s="909"/>
      <c r="S537" s="909"/>
      <c r="T537" s="909"/>
      <c r="U537" s="909"/>
      <c r="V537" s="909"/>
      <c r="W537" s="909"/>
      <c r="X537" s="909"/>
      <c r="Y537" s="909"/>
      <c r="Z537" s="910"/>
      <c r="AA537" s="909"/>
      <c r="AB537" s="910"/>
      <c r="AC537" s="911"/>
      <c r="AD537" s="911"/>
      <c r="AE537" s="909"/>
      <c r="AF537" s="909"/>
      <c r="AG537" s="909"/>
      <c r="AH537" s="917"/>
      <c r="AI537" s="909"/>
      <c r="AJ537" s="916"/>
      <c r="AK537" s="916"/>
      <c r="AL537" s="653"/>
      <c r="AM537" s="918"/>
      <c r="AN537" s="915"/>
      <c r="AO537" s="653"/>
      <c r="AP537" s="653"/>
      <c r="AQ537" s="653"/>
      <c r="AR537" s="653"/>
      <c r="AS537" s="653"/>
      <c r="AT537" s="653"/>
      <c r="AU537" s="653"/>
      <c r="AV537" s="653"/>
      <c r="AW537" s="653"/>
      <c r="AX537" s="653"/>
      <c r="AY537" s="653"/>
      <c r="AZ537" s="653"/>
      <c r="BA537" s="653"/>
      <c r="BB537" s="653"/>
      <c r="BC537" s="653"/>
      <c r="BD537" s="653"/>
      <c r="BE537" s="653"/>
      <c r="BF537" s="653"/>
      <c r="BG537" s="653"/>
      <c r="BH537" s="653"/>
      <c r="BI537" s="653"/>
      <c r="BJ537" s="653"/>
      <c r="BK537" s="653"/>
      <c r="BL537" s="653"/>
      <c r="BM537" s="653"/>
      <c r="BN537" s="653"/>
      <c r="BO537" s="653"/>
      <c r="BP537" s="653"/>
      <c r="BQ537" s="653"/>
      <c r="BR537" s="653"/>
      <c r="BS537" s="653"/>
      <c r="BT537" s="653"/>
      <c r="BU537" s="653"/>
      <c r="BV537" s="654"/>
    </row>
    <row r="538" spans="2:74" x14ac:dyDescent="0.25">
      <c r="B538" s="651"/>
      <c r="C538" s="653"/>
      <c r="D538" s="653"/>
      <c r="E538" s="653"/>
      <c r="F538" s="653"/>
      <c r="G538" s="653"/>
      <c r="H538" s="653"/>
      <c r="I538" s="653"/>
      <c r="J538" s="653"/>
      <c r="K538" s="653"/>
      <c r="L538" s="653"/>
      <c r="M538" s="651"/>
      <c r="N538" s="909"/>
      <c r="O538" s="909"/>
      <c r="P538" s="909"/>
      <c r="Q538" s="910"/>
      <c r="R538" s="909"/>
      <c r="S538" s="909"/>
      <c r="T538" s="909"/>
      <c r="U538" s="909"/>
      <c r="V538" s="909"/>
      <c r="W538" s="909"/>
      <c r="X538" s="909"/>
      <c r="Y538" s="909"/>
      <c r="Z538" s="910"/>
      <c r="AA538" s="909"/>
      <c r="AB538" s="910"/>
      <c r="AC538" s="911"/>
      <c r="AD538" s="911"/>
      <c r="AE538" s="909"/>
      <c r="AF538" s="909"/>
      <c r="AG538" s="909"/>
      <c r="AH538" s="917"/>
      <c r="AI538" s="909"/>
      <c r="AJ538" s="916"/>
      <c r="AK538" s="916"/>
      <c r="AL538" s="653"/>
      <c r="AM538" s="918"/>
      <c r="AN538" s="915"/>
      <c r="AO538" s="653"/>
      <c r="AP538" s="653"/>
      <c r="AQ538" s="653"/>
      <c r="AR538" s="653"/>
      <c r="AS538" s="653"/>
      <c r="AT538" s="653"/>
      <c r="AU538" s="653"/>
      <c r="AV538" s="653"/>
      <c r="AW538" s="653"/>
      <c r="AX538" s="653"/>
      <c r="AY538" s="653"/>
      <c r="AZ538" s="653"/>
      <c r="BA538" s="653"/>
      <c r="BB538" s="653"/>
      <c r="BC538" s="653"/>
      <c r="BD538" s="653"/>
      <c r="BE538" s="653"/>
      <c r="BF538" s="653"/>
      <c r="BG538" s="653"/>
      <c r="BH538" s="653"/>
      <c r="BI538" s="653"/>
      <c r="BJ538" s="653"/>
      <c r="BK538" s="653"/>
      <c r="BL538" s="653"/>
      <c r="BM538" s="653"/>
      <c r="BN538" s="653"/>
      <c r="BO538" s="653"/>
      <c r="BP538" s="653"/>
      <c r="BQ538" s="653"/>
      <c r="BR538" s="653"/>
      <c r="BS538" s="653"/>
      <c r="BT538" s="653"/>
      <c r="BU538" s="653"/>
      <c r="BV538" s="654"/>
    </row>
    <row r="539" spans="2:74" x14ac:dyDescent="0.25">
      <c r="B539" s="651"/>
      <c r="C539" s="653"/>
      <c r="D539" s="653"/>
      <c r="E539" s="653"/>
      <c r="F539" s="653"/>
      <c r="G539" s="653"/>
      <c r="H539" s="653"/>
      <c r="I539" s="653"/>
      <c r="J539" s="653"/>
      <c r="K539" s="653"/>
      <c r="L539" s="653"/>
      <c r="M539" s="651"/>
      <c r="N539" s="909"/>
      <c r="O539" s="909"/>
      <c r="P539" s="909"/>
      <c r="Q539" s="910"/>
      <c r="R539" s="909"/>
      <c r="S539" s="909"/>
      <c r="T539" s="909"/>
      <c r="U539" s="909"/>
      <c r="V539" s="909"/>
      <c r="W539" s="909"/>
      <c r="X539" s="909"/>
      <c r="Y539" s="909"/>
      <c r="Z539" s="910"/>
      <c r="AA539" s="909"/>
      <c r="AB539" s="910"/>
      <c r="AC539" s="911"/>
      <c r="AD539" s="911"/>
      <c r="AE539" s="909"/>
      <c r="AF539" s="909"/>
      <c r="AG539" s="909"/>
      <c r="AH539" s="917"/>
      <c r="AI539" s="909"/>
      <c r="AJ539" s="916"/>
      <c r="AK539" s="916"/>
      <c r="AL539" s="653"/>
      <c r="AM539" s="918"/>
      <c r="AN539" s="915"/>
      <c r="AO539" s="653"/>
      <c r="AP539" s="653"/>
      <c r="AQ539" s="653"/>
      <c r="AR539" s="653"/>
      <c r="AS539" s="653"/>
      <c r="AT539" s="653"/>
      <c r="AU539" s="653"/>
      <c r="AV539" s="653"/>
      <c r="AW539" s="653"/>
      <c r="AX539" s="653"/>
      <c r="AY539" s="653"/>
      <c r="AZ539" s="653"/>
      <c r="BA539" s="653"/>
      <c r="BB539" s="653"/>
      <c r="BC539" s="653"/>
      <c r="BD539" s="653"/>
      <c r="BE539" s="653"/>
      <c r="BF539" s="653"/>
      <c r="BG539" s="653"/>
      <c r="BH539" s="653"/>
      <c r="BI539" s="653"/>
      <c r="BJ539" s="653"/>
      <c r="BK539" s="653"/>
      <c r="BL539" s="653"/>
      <c r="BM539" s="653"/>
      <c r="BN539" s="653"/>
      <c r="BO539" s="653"/>
      <c r="BP539" s="653"/>
      <c r="BQ539" s="653"/>
      <c r="BR539" s="653"/>
      <c r="BS539" s="653"/>
      <c r="BT539" s="653"/>
      <c r="BU539" s="653"/>
      <c r="BV539" s="654"/>
    </row>
    <row r="540" spans="2:74" x14ac:dyDescent="0.25">
      <c r="B540" s="651"/>
      <c r="C540" s="653"/>
      <c r="D540" s="653"/>
      <c r="E540" s="653"/>
      <c r="F540" s="653"/>
      <c r="G540" s="653"/>
      <c r="H540" s="653"/>
      <c r="I540" s="653"/>
      <c r="J540" s="653"/>
      <c r="K540" s="653"/>
      <c r="L540" s="653"/>
      <c r="M540" s="651"/>
      <c r="N540" s="909"/>
      <c r="O540" s="909"/>
      <c r="P540" s="909"/>
      <c r="Q540" s="910"/>
      <c r="R540" s="909"/>
      <c r="S540" s="909"/>
      <c r="T540" s="909"/>
      <c r="U540" s="909"/>
      <c r="V540" s="909"/>
      <c r="W540" s="909"/>
      <c r="X540" s="909"/>
      <c r="Y540" s="909"/>
      <c r="Z540" s="910"/>
      <c r="AA540" s="909"/>
      <c r="AB540" s="910"/>
      <c r="AC540" s="911"/>
      <c r="AD540" s="911"/>
      <c r="AE540" s="909"/>
      <c r="AF540" s="909"/>
      <c r="AG540" s="909"/>
      <c r="AH540" s="917"/>
      <c r="AI540" s="909"/>
      <c r="AJ540" s="916"/>
      <c r="AK540" s="916"/>
      <c r="AL540" s="653"/>
      <c r="AM540" s="918"/>
      <c r="AN540" s="915"/>
      <c r="AO540" s="653"/>
      <c r="AP540" s="653"/>
      <c r="AQ540" s="653"/>
      <c r="AR540" s="653"/>
      <c r="AS540" s="653"/>
      <c r="AT540" s="653"/>
      <c r="AU540" s="653"/>
      <c r="AV540" s="653"/>
      <c r="AW540" s="653"/>
      <c r="AX540" s="653"/>
      <c r="AY540" s="653"/>
      <c r="AZ540" s="653"/>
      <c r="BA540" s="653"/>
      <c r="BB540" s="653"/>
      <c r="BC540" s="653"/>
      <c r="BD540" s="653"/>
      <c r="BE540" s="653"/>
      <c r="BF540" s="653"/>
      <c r="BG540" s="653"/>
      <c r="BH540" s="653"/>
      <c r="BI540" s="653"/>
      <c r="BJ540" s="653"/>
      <c r="BK540" s="653"/>
      <c r="BL540" s="653"/>
      <c r="BM540" s="653"/>
      <c r="BN540" s="653"/>
      <c r="BO540" s="653"/>
      <c r="BP540" s="653"/>
      <c r="BQ540" s="653"/>
      <c r="BR540" s="653"/>
      <c r="BS540" s="653"/>
      <c r="BT540" s="653"/>
      <c r="BU540" s="653"/>
      <c r="BV540" s="654"/>
    </row>
    <row r="541" spans="2:74" x14ac:dyDescent="0.25">
      <c r="B541" s="651"/>
      <c r="C541" s="653"/>
      <c r="D541" s="653"/>
      <c r="E541" s="653"/>
      <c r="F541" s="653"/>
      <c r="G541" s="653"/>
      <c r="H541" s="653"/>
      <c r="I541" s="653"/>
      <c r="J541" s="653"/>
      <c r="K541" s="653"/>
      <c r="L541" s="653"/>
      <c r="M541" s="651"/>
      <c r="N541" s="909"/>
      <c r="O541" s="909"/>
      <c r="P541" s="909"/>
      <c r="Q541" s="910"/>
      <c r="R541" s="909"/>
      <c r="S541" s="909"/>
      <c r="T541" s="909"/>
      <c r="U541" s="909"/>
      <c r="V541" s="909"/>
      <c r="W541" s="909"/>
      <c r="X541" s="909"/>
      <c r="Y541" s="909"/>
      <c r="Z541" s="910"/>
      <c r="AA541" s="909"/>
      <c r="AB541" s="910"/>
      <c r="AC541" s="911"/>
      <c r="AD541" s="911"/>
      <c r="AE541" s="909"/>
      <c r="AF541" s="909"/>
      <c r="AG541" s="909"/>
      <c r="AH541" s="917"/>
      <c r="AI541" s="909"/>
      <c r="AJ541" s="916"/>
      <c r="AK541" s="916"/>
      <c r="AL541" s="653"/>
      <c r="AM541" s="918"/>
      <c r="AN541" s="915"/>
      <c r="AO541" s="653"/>
      <c r="AP541" s="653"/>
      <c r="AQ541" s="653"/>
      <c r="AR541" s="653"/>
      <c r="AS541" s="653"/>
      <c r="AT541" s="653"/>
      <c r="AU541" s="653"/>
      <c r="AV541" s="653"/>
      <c r="AW541" s="653"/>
      <c r="AX541" s="653"/>
      <c r="AY541" s="653"/>
      <c r="AZ541" s="653"/>
      <c r="BA541" s="653"/>
      <c r="BB541" s="653"/>
      <c r="BC541" s="653"/>
      <c r="BD541" s="653"/>
      <c r="BE541" s="653"/>
      <c r="BF541" s="653"/>
      <c r="BG541" s="653"/>
      <c r="BH541" s="653"/>
      <c r="BI541" s="653"/>
      <c r="BJ541" s="653"/>
      <c r="BK541" s="653"/>
      <c r="BL541" s="653"/>
      <c r="BM541" s="653"/>
      <c r="BN541" s="653"/>
      <c r="BO541" s="653"/>
      <c r="BP541" s="653"/>
      <c r="BQ541" s="653"/>
      <c r="BR541" s="653"/>
      <c r="BS541" s="653"/>
      <c r="BT541" s="653"/>
      <c r="BU541" s="653"/>
      <c r="BV541" s="654"/>
    </row>
    <row r="542" spans="2:74" x14ac:dyDescent="0.25">
      <c r="B542" s="651"/>
      <c r="C542" s="653"/>
      <c r="D542" s="653"/>
      <c r="E542" s="653"/>
      <c r="F542" s="653"/>
      <c r="G542" s="653"/>
      <c r="H542" s="653"/>
      <c r="I542" s="653"/>
      <c r="J542" s="653"/>
      <c r="K542" s="653"/>
      <c r="L542" s="653"/>
      <c r="M542" s="651"/>
      <c r="N542" s="909"/>
      <c r="O542" s="909"/>
      <c r="P542" s="909"/>
      <c r="Q542" s="910"/>
      <c r="R542" s="909"/>
      <c r="S542" s="909"/>
      <c r="T542" s="909"/>
      <c r="U542" s="909"/>
      <c r="V542" s="909"/>
      <c r="W542" s="909"/>
      <c r="X542" s="909"/>
      <c r="Y542" s="909"/>
      <c r="Z542" s="910"/>
      <c r="AA542" s="909"/>
      <c r="AB542" s="910"/>
      <c r="AC542" s="911"/>
      <c r="AD542" s="911"/>
      <c r="AE542" s="909"/>
      <c r="AF542" s="909"/>
      <c r="AG542" s="909"/>
      <c r="AH542" s="917"/>
      <c r="AI542" s="909"/>
      <c r="AJ542" s="916"/>
      <c r="AK542" s="916"/>
      <c r="AL542" s="653"/>
      <c r="AM542" s="918"/>
      <c r="AN542" s="915"/>
      <c r="AO542" s="653"/>
      <c r="AP542" s="653"/>
      <c r="AQ542" s="653"/>
      <c r="AR542" s="653"/>
      <c r="AS542" s="653"/>
      <c r="AT542" s="653"/>
      <c r="AU542" s="653"/>
      <c r="AV542" s="653"/>
      <c r="AW542" s="653"/>
      <c r="AX542" s="653"/>
      <c r="AY542" s="653"/>
      <c r="AZ542" s="653"/>
      <c r="BA542" s="653"/>
      <c r="BB542" s="653"/>
      <c r="BC542" s="653"/>
      <c r="BD542" s="653"/>
      <c r="BE542" s="653"/>
      <c r="BF542" s="653"/>
      <c r="BG542" s="653"/>
      <c r="BH542" s="653"/>
      <c r="BI542" s="653"/>
      <c r="BJ542" s="653"/>
      <c r="BK542" s="653"/>
      <c r="BL542" s="653"/>
      <c r="BM542" s="653"/>
      <c r="BN542" s="653"/>
      <c r="BO542" s="653"/>
      <c r="BP542" s="653"/>
      <c r="BQ542" s="653"/>
      <c r="BR542" s="653"/>
      <c r="BS542" s="653"/>
      <c r="BT542" s="653"/>
      <c r="BU542" s="653"/>
      <c r="BV542" s="654"/>
    </row>
    <row r="543" spans="2:74" x14ac:dyDescent="0.25">
      <c r="B543" s="651"/>
      <c r="C543" s="653"/>
      <c r="D543" s="653"/>
      <c r="E543" s="653"/>
      <c r="F543" s="653"/>
      <c r="G543" s="653"/>
      <c r="H543" s="653"/>
      <c r="I543" s="653"/>
      <c r="J543" s="653"/>
      <c r="K543" s="653"/>
      <c r="L543" s="653"/>
      <c r="M543" s="651"/>
      <c r="N543" s="909"/>
      <c r="O543" s="909"/>
      <c r="P543" s="909"/>
      <c r="Q543" s="910"/>
      <c r="R543" s="909"/>
      <c r="S543" s="909"/>
      <c r="T543" s="909"/>
      <c r="U543" s="909"/>
      <c r="V543" s="909"/>
      <c r="W543" s="909"/>
      <c r="X543" s="909"/>
      <c r="Y543" s="909"/>
      <c r="Z543" s="910"/>
      <c r="AA543" s="909"/>
      <c r="AB543" s="910"/>
      <c r="AC543" s="911"/>
      <c r="AD543" s="911"/>
      <c r="AE543" s="909"/>
      <c r="AF543" s="909"/>
      <c r="AG543" s="909"/>
      <c r="AH543" s="917"/>
      <c r="AI543" s="909"/>
      <c r="AJ543" s="916"/>
      <c r="AK543" s="916"/>
      <c r="AL543" s="653"/>
      <c r="AM543" s="918"/>
      <c r="AN543" s="915"/>
      <c r="AO543" s="653"/>
      <c r="AP543" s="653"/>
      <c r="AQ543" s="653"/>
      <c r="AR543" s="653"/>
      <c r="AS543" s="653"/>
      <c r="AT543" s="653"/>
      <c r="AU543" s="653"/>
      <c r="AV543" s="653"/>
      <c r="AW543" s="653"/>
      <c r="AX543" s="653"/>
      <c r="AY543" s="653"/>
      <c r="AZ543" s="653"/>
      <c r="BA543" s="653"/>
      <c r="BB543" s="653"/>
      <c r="BC543" s="653"/>
      <c r="BD543" s="653"/>
      <c r="BE543" s="653"/>
      <c r="BF543" s="653"/>
      <c r="BG543" s="653"/>
      <c r="BH543" s="653"/>
      <c r="BI543" s="653"/>
      <c r="BJ543" s="653"/>
      <c r="BK543" s="653"/>
      <c r="BL543" s="653"/>
      <c r="BM543" s="653"/>
      <c r="BN543" s="653"/>
      <c r="BO543" s="653"/>
      <c r="BP543" s="653"/>
      <c r="BQ543" s="653"/>
      <c r="BR543" s="653"/>
      <c r="BS543" s="653"/>
      <c r="BT543" s="653"/>
      <c r="BU543" s="653"/>
      <c r="BV543" s="654"/>
    </row>
    <row r="544" spans="2:74" x14ac:dyDescent="0.25">
      <c r="B544" s="651"/>
      <c r="C544" s="653"/>
      <c r="D544" s="653"/>
      <c r="E544" s="653"/>
      <c r="F544" s="653"/>
      <c r="G544" s="653"/>
      <c r="H544" s="653"/>
      <c r="I544" s="653"/>
      <c r="J544" s="653"/>
      <c r="K544" s="653"/>
      <c r="L544" s="653"/>
      <c r="M544" s="651"/>
      <c r="N544" s="909"/>
      <c r="O544" s="909"/>
      <c r="P544" s="909"/>
      <c r="Q544" s="910"/>
      <c r="R544" s="909"/>
      <c r="S544" s="909"/>
      <c r="T544" s="909"/>
      <c r="U544" s="909"/>
      <c r="V544" s="909"/>
      <c r="W544" s="909"/>
      <c r="X544" s="909"/>
      <c r="Y544" s="909"/>
      <c r="Z544" s="910"/>
      <c r="AA544" s="909"/>
      <c r="AB544" s="910"/>
      <c r="AC544" s="911"/>
      <c r="AD544" s="911"/>
      <c r="AE544" s="909"/>
      <c r="AF544" s="909"/>
      <c r="AG544" s="909"/>
      <c r="AH544" s="917"/>
      <c r="AI544" s="909"/>
      <c r="AJ544" s="916"/>
      <c r="AK544" s="916"/>
      <c r="AL544" s="653"/>
      <c r="AM544" s="918"/>
      <c r="AN544" s="915"/>
      <c r="AO544" s="653"/>
      <c r="AP544" s="653"/>
      <c r="AQ544" s="653"/>
      <c r="AR544" s="653"/>
      <c r="AS544" s="653"/>
      <c r="AT544" s="653"/>
      <c r="AU544" s="653"/>
      <c r="AV544" s="653"/>
      <c r="AW544" s="653"/>
      <c r="AX544" s="653"/>
      <c r="AY544" s="653"/>
      <c r="AZ544" s="653"/>
      <c r="BA544" s="653"/>
      <c r="BB544" s="653"/>
      <c r="BC544" s="653"/>
      <c r="BD544" s="653"/>
      <c r="BE544" s="653"/>
      <c r="BF544" s="653"/>
      <c r="BG544" s="653"/>
      <c r="BH544" s="653"/>
      <c r="BI544" s="653"/>
      <c r="BJ544" s="653"/>
      <c r="BK544" s="653"/>
      <c r="BL544" s="653"/>
      <c r="BM544" s="653"/>
      <c r="BN544" s="653"/>
      <c r="BO544" s="653"/>
      <c r="BP544" s="653"/>
      <c r="BQ544" s="653"/>
      <c r="BR544" s="653"/>
      <c r="BS544" s="653"/>
      <c r="BT544" s="653"/>
      <c r="BU544" s="653"/>
      <c r="BV544" s="654"/>
    </row>
    <row r="545" spans="2:74" x14ac:dyDescent="0.25">
      <c r="B545" s="651"/>
      <c r="C545" s="653"/>
      <c r="D545" s="653"/>
      <c r="E545" s="653"/>
      <c r="F545" s="653"/>
      <c r="G545" s="653"/>
      <c r="H545" s="653"/>
      <c r="I545" s="653"/>
      <c r="J545" s="653"/>
      <c r="K545" s="653"/>
      <c r="L545" s="653"/>
      <c r="M545" s="651"/>
      <c r="N545" s="909"/>
      <c r="O545" s="909"/>
      <c r="P545" s="909"/>
      <c r="Q545" s="910"/>
      <c r="R545" s="909"/>
      <c r="S545" s="909"/>
      <c r="T545" s="909"/>
      <c r="U545" s="909"/>
      <c r="V545" s="909"/>
      <c r="W545" s="909"/>
      <c r="X545" s="909"/>
      <c r="Y545" s="909"/>
      <c r="Z545" s="910"/>
      <c r="AA545" s="909"/>
      <c r="AB545" s="910"/>
      <c r="AC545" s="911"/>
      <c r="AD545" s="911"/>
      <c r="AE545" s="909"/>
      <c r="AF545" s="909"/>
      <c r="AG545" s="909"/>
      <c r="AH545" s="917"/>
      <c r="AI545" s="909"/>
      <c r="AJ545" s="916"/>
      <c r="AK545" s="916"/>
      <c r="AL545" s="653"/>
      <c r="AM545" s="918"/>
      <c r="AN545" s="915"/>
      <c r="AO545" s="653"/>
      <c r="AP545" s="653"/>
      <c r="AQ545" s="653"/>
      <c r="AR545" s="653"/>
      <c r="AS545" s="653"/>
      <c r="AT545" s="653"/>
      <c r="AU545" s="653"/>
      <c r="AV545" s="653"/>
      <c r="AW545" s="653"/>
      <c r="AX545" s="653"/>
      <c r="AY545" s="653"/>
      <c r="AZ545" s="653"/>
      <c r="BA545" s="653"/>
      <c r="BB545" s="653"/>
      <c r="BC545" s="653"/>
      <c r="BD545" s="653"/>
      <c r="BE545" s="653"/>
      <c r="BF545" s="653"/>
      <c r="BG545" s="653"/>
      <c r="BH545" s="653"/>
      <c r="BI545" s="653"/>
      <c r="BJ545" s="653"/>
      <c r="BK545" s="653"/>
      <c r="BL545" s="653"/>
      <c r="BM545" s="653"/>
      <c r="BN545" s="653"/>
      <c r="BO545" s="653"/>
      <c r="BP545" s="653"/>
      <c r="BQ545" s="653"/>
      <c r="BR545" s="653"/>
      <c r="BS545" s="653"/>
      <c r="BT545" s="653"/>
      <c r="BU545" s="653"/>
      <c r="BV545" s="654"/>
    </row>
    <row r="546" spans="2:74" x14ac:dyDescent="0.25">
      <c r="B546" s="651"/>
      <c r="C546" s="653"/>
      <c r="D546" s="653"/>
      <c r="E546" s="653"/>
      <c r="F546" s="653"/>
      <c r="G546" s="653"/>
      <c r="H546" s="653"/>
      <c r="I546" s="653"/>
      <c r="J546" s="653"/>
      <c r="K546" s="653"/>
      <c r="L546" s="653"/>
      <c r="M546" s="651"/>
      <c r="N546" s="909"/>
      <c r="O546" s="909"/>
      <c r="P546" s="909"/>
      <c r="Q546" s="910"/>
      <c r="R546" s="909"/>
      <c r="S546" s="909"/>
      <c r="T546" s="909"/>
      <c r="U546" s="909"/>
      <c r="V546" s="909"/>
      <c r="W546" s="909"/>
      <c r="X546" s="909"/>
      <c r="Y546" s="909"/>
      <c r="Z546" s="910"/>
      <c r="AA546" s="909"/>
      <c r="AB546" s="910"/>
      <c r="AC546" s="911"/>
      <c r="AD546" s="911"/>
      <c r="AE546" s="909"/>
      <c r="AF546" s="909"/>
      <c r="AG546" s="909"/>
      <c r="AH546" s="917"/>
      <c r="AI546" s="909"/>
      <c r="AJ546" s="916"/>
      <c r="AK546" s="916"/>
      <c r="AL546" s="653"/>
      <c r="AM546" s="918"/>
      <c r="AN546" s="915"/>
      <c r="AO546" s="653"/>
      <c r="AP546" s="653"/>
      <c r="AQ546" s="653"/>
      <c r="AR546" s="653"/>
      <c r="AS546" s="653"/>
      <c r="AT546" s="653"/>
      <c r="AU546" s="653"/>
      <c r="AV546" s="653"/>
      <c r="AW546" s="653"/>
      <c r="AX546" s="653"/>
      <c r="AY546" s="653"/>
      <c r="AZ546" s="653"/>
      <c r="BA546" s="653"/>
      <c r="BB546" s="653"/>
      <c r="BC546" s="653"/>
      <c r="BD546" s="653"/>
      <c r="BE546" s="653"/>
      <c r="BF546" s="653"/>
      <c r="BG546" s="653"/>
      <c r="BH546" s="653"/>
      <c r="BI546" s="653"/>
      <c r="BJ546" s="653"/>
      <c r="BK546" s="653"/>
      <c r="BL546" s="653"/>
      <c r="BM546" s="653"/>
      <c r="BN546" s="653"/>
      <c r="BO546" s="653"/>
      <c r="BP546" s="653"/>
      <c r="BQ546" s="653"/>
      <c r="BR546" s="653"/>
      <c r="BS546" s="653"/>
      <c r="BT546" s="653"/>
      <c r="BU546" s="653"/>
      <c r="BV546" s="654"/>
    </row>
    <row r="547" spans="2:74" x14ac:dyDescent="0.25">
      <c r="B547" s="651"/>
      <c r="C547" s="653"/>
      <c r="D547" s="653"/>
      <c r="E547" s="653"/>
      <c r="F547" s="653"/>
      <c r="G547" s="653"/>
      <c r="H547" s="653"/>
      <c r="I547" s="653"/>
      <c r="J547" s="653"/>
      <c r="K547" s="653"/>
      <c r="L547" s="653"/>
      <c r="M547" s="651"/>
      <c r="N547" s="909"/>
      <c r="O547" s="909"/>
      <c r="P547" s="909"/>
      <c r="Q547" s="910"/>
      <c r="R547" s="909"/>
      <c r="S547" s="909"/>
      <c r="T547" s="909"/>
      <c r="U547" s="909"/>
      <c r="V547" s="909"/>
      <c r="W547" s="909"/>
      <c r="X547" s="909"/>
      <c r="Y547" s="909"/>
      <c r="Z547" s="910"/>
      <c r="AA547" s="909"/>
      <c r="AB547" s="910"/>
      <c r="AC547" s="911"/>
      <c r="AD547" s="911"/>
      <c r="AE547" s="909"/>
      <c r="AF547" s="909"/>
      <c r="AG547" s="909"/>
      <c r="AH547" s="917"/>
      <c r="AI547" s="909"/>
      <c r="AJ547" s="916"/>
      <c r="AK547" s="916"/>
      <c r="AL547" s="653"/>
      <c r="AM547" s="918"/>
      <c r="AN547" s="915"/>
      <c r="AO547" s="653"/>
      <c r="AP547" s="653"/>
      <c r="AQ547" s="653"/>
      <c r="AR547" s="653"/>
      <c r="AS547" s="653"/>
      <c r="AT547" s="653"/>
      <c r="AU547" s="653"/>
      <c r="AV547" s="653"/>
      <c r="AW547" s="653"/>
      <c r="AX547" s="653"/>
      <c r="AY547" s="653"/>
      <c r="AZ547" s="653"/>
      <c r="BA547" s="653"/>
      <c r="BB547" s="653"/>
      <c r="BC547" s="653"/>
      <c r="BD547" s="653"/>
      <c r="BE547" s="653"/>
      <c r="BF547" s="653"/>
      <c r="BG547" s="653"/>
      <c r="BH547" s="653"/>
      <c r="BI547" s="653"/>
      <c r="BJ547" s="653"/>
      <c r="BK547" s="653"/>
      <c r="BL547" s="653"/>
      <c r="BM547" s="653"/>
      <c r="BN547" s="653"/>
      <c r="BO547" s="653"/>
      <c r="BP547" s="653"/>
      <c r="BQ547" s="653"/>
      <c r="BR547" s="653"/>
      <c r="BS547" s="653"/>
      <c r="BT547" s="653"/>
      <c r="BU547" s="653"/>
      <c r="BV547" s="654"/>
    </row>
    <row r="548" spans="2:74" x14ac:dyDescent="0.25">
      <c r="B548" s="651"/>
      <c r="C548" s="653"/>
      <c r="D548" s="653"/>
      <c r="E548" s="653"/>
      <c r="F548" s="653"/>
      <c r="G548" s="653"/>
      <c r="H548" s="653"/>
      <c r="I548" s="653"/>
      <c r="J548" s="653"/>
      <c r="K548" s="653"/>
      <c r="L548" s="653"/>
      <c r="M548" s="651"/>
      <c r="N548" s="909"/>
      <c r="O548" s="909"/>
      <c r="P548" s="909"/>
      <c r="Q548" s="910"/>
      <c r="R548" s="909"/>
      <c r="S548" s="909"/>
      <c r="T548" s="909"/>
      <c r="U548" s="909"/>
      <c r="V548" s="909"/>
      <c r="W548" s="909"/>
      <c r="X548" s="909"/>
      <c r="Y548" s="909"/>
      <c r="Z548" s="910"/>
      <c r="AA548" s="909"/>
      <c r="AB548" s="910"/>
      <c r="AC548" s="911"/>
      <c r="AD548" s="911"/>
      <c r="AE548" s="909"/>
      <c r="AF548" s="909"/>
      <c r="AG548" s="909"/>
      <c r="AH548" s="917"/>
      <c r="AI548" s="909"/>
      <c r="AJ548" s="916"/>
      <c r="AK548" s="916"/>
      <c r="AL548" s="653"/>
      <c r="AM548" s="918"/>
      <c r="AN548" s="915"/>
      <c r="AO548" s="653"/>
      <c r="AP548" s="653"/>
      <c r="AQ548" s="653"/>
      <c r="AR548" s="653"/>
      <c r="AS548" s="653"/>
      <c r="AT548" s="653"/>
      <c r="AU548" s="653"/>
      <c r="AV548" s="653"/>
      <c r="AW548" s="653"/>
      <c r="AX548" s="653"/>
      <c r="AY548" s="653"/>
      <c r="AZ548" s="653"/>
      <c r="BA548" s="653"/>
      <c r="BB548" s="653"/>
      <c r="BC548" s="653"/>
      <c r="BD548" s="653"/>
      <c r="BE548" s="653"/>
      <c r="BF548" s="653"/>
      <c r="BG548" s="653"/>
      <c r="BH548" s="653"/>
      <c r="BI548" s="653"/>
      <c r="BJ548" s="653"/>
      <c r="BK548" s="653"/>
      <c r="BL548" s="653"/>
      <c r="BM548" s="653"/>
      <c r="BN548" s="653"/>
      <c r="BO548" s="653"/>
      <c r="BP548" s="653"/>
      <c r="BQ548" s="653"/>
      <c r="BR548" s="653"/>
      <c r="BS548" s="653"/>
      <c r="BT548" s="653"/>
      <c r="BU548" s="653"/>
      <c r="BV548" s="654"/>
    </row>
    <row r="549" spans="2:74" x14ac:dyDescent="0.25">
      <c r="B549" s="651"/>
      <c r="C549" s="653"/>
      <c r="D549" s="653"/>
      <c r="E549" s="653"/>
      <c r="F549" s="653"/>
      <c r="G549" s="653"/>
      <c r="H549" s="653"/>
      <c r="I549" s="653"/>
      <c r="J549" s="653"/>
      <c r="K549" s="653"/>
      <c r="L549" s="653"/>
      <c r="M549" s="651"/>
      <c r="N549" s="909"/>
      <c r="O549" s="909"/>
      <c r="P549" s="909"/>
      <c r="Q549" s="910"/>
      <c r="R549" s="909"/>
      <c r="S549" s="909"/>
      <c r="T549" s="909"/>
      <c r="U549" s="909"/>
      <c r="V549" s="909"/>
      <c r="W549" s="909"/>
      <c r="X549" s="909"/>
      <c r="Y549" s="909"/>
      <c r="Z549" s="910"/>
      <c r="AA549" s="909"/>
      <c r="AB549" s="910"/>
      <c r="AC549" s="911"/>
      <c r="AD549" s="911"/>
      <c r="AE549" s="909"/>
      <c r="AF549" s="909"/>
      <c r="AG549" s="909"/>
      <c r="AH549" s="917"/>
      <c r="AI549" s="909"/>
      <c r="AJ549" s="916"/>
      <c r="AK549" s="916"/>
      <c r="AL549" s="653"/>
      <c r="AM549" s="918"/>
      <c r="AN549" s="915"/>
      <c r="AO549" s="653"/>
      <c r="AP549" s="653"/>
      <c r="AQ549" s="653"/>
      <c r="AR549" s="653"/>
      <c r="AS549" s="653"/>
      <c r="AT549" s="653"/>
      <c r="AU549" s="653"/>
      <c r="AV549" s="653"/>
      <c r="AW549" s="653"/>
      <c r="AX549" s="653"/>
      <c r="AY549" s="653"/>
      <c r="AZ549" s="653"/>
      <c r="BA549" s="653"/>
      <c r="BB549" s="653"/>
      <c r="BC549" s="653"/>
      <c r="BD549" s="653"/>
      <c r="BE549" s="653"/>
      <c r="BF549" s="653"/>
      <c r="BG549" s="653"/>
      <c r="BH549" s="653"/>
      <c r="BI549" s="653"/>
      <c r="BJ549" s="653"/>
      <c r="BK549" s="653"/>
      <c r="BL549" s="653"/>
      <c r="BM549" s="653"/>
      <c r="BN549" s="653"/>
      <c r="BO549" s="653"/>
      <c r="BP549" s="653"/>
      <c r="BQ549" s="653"/>
      <c r="BR549" s="653"/>
      <c r="BS549" s="653"/>
      <c r="BT549" s="653"/>
      <c r="BU549" s="653"/>
      <c r="BV549" s="654"/>
    </row>
    <row r="550" spans="2:74" x14ac:dyDescent="0.25">
      <c r="B550" s="651"/>
      <c r="C550" s="653"/>
      <c r="D550" s="653"/>
      <c r="E550" s="653"/>
      <c r="F550" s="653"/>
      <c r="G550" s="653"/>
      <c r="H550" s="653"/>
      <c r="I550" s="653"/>
      <c r="J550" s="653"/>
      <c r="K550" s="653"/>
      <c r="L550" s="653"/>
      <c r="M550" s="651"/>
      <c r="N550" s="909"/>
      <c r="O550" s="909"/>
      <c r="P550" s="909"/>
      <c r="Q550" s="910"/>
      <c r="R550" s="909"/>
      <c r="S550" s="909"/>
      <c r="T550" s="909"/>
      <c r="U550" s="909"/>
      <c r="V550" s="909"/>
      <c r="W550" s="909"/>
      <c r="X550" s="909"/>
      <c r="Y550" s="909"/>
      <c r="Z550" s="910"/>
      <c r="AA550" s="909"/>
      <c r="AB550" s="910"/>
      <c r="AC550" s="911"/>
      <c r="AD550" s="911"/>
      <c r="AE550" s="909"/>
      <c r="AF550" s="909"/>
      <c r="AG550" s="909"/>
      <c r="AH550" s="917"/>
      <c r="AI550" s="909"/>
      <c r="AJ550" s="916"/>
      <c r="AK550" s="916"/>
      <c r="AL550" s="653"/>
      <c r="AM550" s="918"/>
      <c r="AN550" s="915"/>
      <c r="AO550" s="653"/>
      <c r="AP550" s="653"/>
      <c r="AQ550" s="653"/>
      <c r="AR550" s="653"/>
      <c r="AS550" s="653"/>
      <c r="AT550" s="653"/>
      <c r="AU550" s="653"/>
      <c r="AV550" s="653"/>
      <c r="AW550" s="653"/>
      <c r="AX550" s="653"/>
      <c r="AY550" s="653"/>
      <c r="AZ550" s="653"/>
      <c r="BA550" s="653"/>
      <c r="BB550" s="653"/>
      <c r="BC550" s="653"/>
      <c r="BD550" s="653"/>
      <c r="BE550" s="653"/>
      <c r="BF550" s="653"/>
      <c r="BG550" s="653"/>
      <c r="BH550" s="653"/>
      <c r="BI550" s="653"/>
      <c r="BJ550" s="653"/>
      <c r="BK550" s="653"/>
      <c r="BL550" s="653"/>
      <c r="BM550" s="653"/>
      <c r="BN550" s="653"/>
      <c r="BO550" s="653"/>
      <c r="BP550" s="653"/>
      <c r="BQ550" s="653"/>
      <c r="BR550" s="653"/>
      <c r="BS550" s="653"/>
      <c r="BT550" s="653"/>
      <c r="BU550" s="653"/>
      <c r="BV550" s="654"/>
    </row>
    <row r="551" spans="2:74" x14ac:dyDescent="0.25">
      <c r="B551" s="651"/>
      <c r="C551" s="653"/>
      <c r="D551" s="653"/>
      <c r="E551" s="653"/>
      <c r="F551" s="653"/>
      <c r="G551" s="653"/>
      <c r="H551" s="653"/>
      <c r="I551" s="653"/>
      <c r="J551" s="653"/>
      <c r="K551" s="653"/>
      <c r="L551" s="653"/>
      <c r="M551" s="651"/>
      <c r="N551" s="909"/>
      <c r="O551" s="909"/>
      <c r="P551" s="909"/>
      <c r="Q551" s="910"/>
      <c r="R551" s="909"/>
      <c r="S551" s="909"/>
      <c r="T551" s="909"/>
      <c r="U551" s="909"/>
      <c r="V551" s="909"/>
      <c r="W551" s="909"/>
      <c r="X551" s="909"/>
      <c r="Y551" s="909"/>
      <c r="Z551" s="910"/>
      <c r="AA551" s="909"/>
      <c r="AB551" s="910"/>
      <c r="AC551" s="911"/>
      <c r="AD551" s="911"/>
      <c r="AE551" s="909"/>
      <c r="AF551" s="909"/>
      <c r="AG551" s="909"/>
      <c r="AH551" s="917"/>
      <c r="AI551" s="909"/>
      <c r="AJ551" s="916"/>
      <c r="AK551" s="916"/>
      <c r="AL551" s="653"/>
      <c r="AM551" s="918"/>
      <c r="AN551" s="915"/>
      <c r="AO551" s="653"/>
      <c r="AP551" s="653"/>
      <c r="AQ551" s="653"/>
      <c r="AR551" s="653"/>
      <c r="AS551" s="653"/>
      <c r="AT551" s="653"/>
      <c r="AU551" s="653"/>
      <c r="AV551" s="653"/>
      <c r="AW551" s="653"/>
      <c r="AX551" s="653"/>
      <c r="AY551" s="653"/>
      <c r="AZ551" s="653"/>
      <c r="BA551" s="653"/>
      <c r="BB551" s="653"/>
      <c r="BC551" s="653"/>
      <c r="BD551" s="653"/>
      <c r="BE551" s="653"/>
      <c r="BF551" s="653"/>
      <c r="BG551" s="653"/>
      <c r="BH551" s="653"/>
      <c r="BI551" s="653"/>
      <c r="BJ551" s="653"/>
      <c r="BK551" s="653"/>
      <c r="BL551" s="653"/>
      <c r="BM551" s="653"/>
      <c r="BN551" s="653"/>
      <c r="BO551" s="653"/>
      <c r="BP551" s="653"/>
      <c r="BQ551" s="653"/>
      <c r="BR551" s="653"/>
      <c r="BS551" s="653"/>
      <c r="BT551" s="653"/>
      <c r="BU551" s="653"/>
      <c r="BV551" s="654"/>
    </row>
    <row r="552" spans="2:74" x14ac:dyDescent="0.25">
      <c r="B552" s="651"/>
      <c r="C552" s="653"/>
      <c r="D552" s="653"/>
      <c r="E552" s="653"/>
      <c r="F552" s="653"/>
      <c r="G552" s="653"/>
      <c r="H552" s="653"/>
      <c r="I552" s="653"/>
      <c r="J552" s="653"/>
      <c r="K552" s="653"/>
      <c r="L552" s="653"/>
      <c r="M552" s="651"/>
      <c r="N552" s="909"/>
      <c r="O552" s="909"/>
      <c r="P552" s="909"/>
      <c r="Q552" s="910"/>
      <c r="R552" s="909"/>
      <c r="S552" s="909"/>
      <c r="T552" s="909"/>
      <c r="U552" s="909"/>
      <c r="V552" s="909"/>
      <c r="W552" s="909"/>
      <c r="X552" s="909"/>
      <c r="Y552" s="909"/>
      <c r="Z552" s="910"/>
      <c r="AA552" s="909"/>
      <c r="AB552" s="910"/>
      <c r="AC552" s="911"/>
      <c r="AD552" s="911"/>
      <c r="AE552" s="909"/>
      <c r="AF552" s="909"/>
      <c r="AG552" s="909"/>
      <c r="AH552" s="917"/>
      <c r="AI552" s="909"/>
      <c r="AJ552" s="916"/>
      <c r="AK552" s="916"/>
      <c r="AL552" s="653"/>
      <c r="AM552" s="918"/>
      <c r="AN552" s="915"/>
      <c r="AO552" s="653"/>
      <c r="AP552" s="653"/>
      <c r="AQ552" s="653"/>
      <c r="AR552" s="653"/>
      <c r="AS552" s="653"/>
      <c r="AT552" s="653"/>
      <c r="AU552" s="653"/>
      <c r="AV552" s="653"/>
      <c r="AW552" s="653"/>
      <c r="AX552" s="653"/>
      <c r="AY552" s="653"/>
      <c r="AZ552" s="653"/>
      <c r="BA552" s="653"/>
      <c r="BB552" s="653"/>
      <c r="BC552" s="653"/>
      <c r="BD552" s="653"/>
      <c r="BE552" s="653"/>
      <c r="BF552" s="653"/>
      <c r="BG552" s="653"/>
      <c r="BH552" s="653"/>
      <c r="BI552" s="653"/>
      <c r="BJ552" s="653"/>
      <c r="BK552" s="653"/>
      <c r="BL552" s="653"/>
      <c r="BM552" s="653"/>
      <c r="BN552" s="653"/>
      <c r="BO552" s="653"/>
      <c r="BP552" s="653"/>
      <c r="BQ552" s="653"/>
      <c r="BR552" s="653"/>
      <c r="BS552" s="653"/>
      <c r="BT552" s="653"/>
      <c r="BU552" s="653"/>
      <c r="BV552" s="654"/>
    </row>
    <row r="553" spans="2:74" x14ac:dyDescent="0.25">
      <c r="B553" s="651"/>
      <c r="C553" s="653"/>
      <c r="D553" s="653"/>
      <c r="E553" s="653"/>
      <c r="F553" s="653"/>
      <c r="G553" s="653"/>
      <c r="H553" s="653"/>
      <c r="I553" s="653"/>
      <c r="J553" s="653"/>
      <c r="K553" s="653"/>
      <c r="L553" s="653"/>
      <c r="M553" s="651"/>
      <c r="N553" s="909"/>
      <c r="O553" s="909"/>
      <c r="P553" s="909"/>
      <c r="Q553" s="910"/>
      <c r="R553" s="909"/>
      <c r="S553" s="909"/>
      <c r="T553" s="909"/>
      <c r="U553" s="909"/>
      <c r="V553" s="909"/>
      <c r="W553" s="909"/>
      <c r="X553" s="909"/>
      <c r="Y553" s="909"/>
      <c r="Z553" s="910"/>
      <c r="AA553" s="909"/>
      <c r="AB553" s="910"/>
      <c r="AC553" s="911"/>
      <c r="AD553" s="911"/>
      <c r="AE553" s="909"/>
      <c r="AF553" s="909"/>
      <c r="AG553" s="909"/>
      <c r="AH553" s="917"/>
      <c r="AI553" s="909"/>
      <c r="AJ553" s="916"/>
      <c r="AK553" s="916"/>
      <c r="AL553" s="653"/>
      <c r="AM553" s="918"/>
      <c r="AN553" s="915"/>
      <c r="AO553" s="653"/>
      <c r="AP553" s="653"/>
      <c r="AQ553" s="653"/>
      <c r="AR553" s="653"/>
      <c r="AS553" s="653"/>
      <c r="AT553" s="653"/>
      <c r="AU553" s="653"/>
      <c r="AV553" s="653"/>
      <c r="AW553" s="653"/>
      <c r="AX553" s="653"/>
      <c r="AY553" s="653"/>
      <c r="AZ553" s="653"/>
      <c r="BA553" s="653"/>
      <c r="BB553" s="653"/>
      <c r="BC553" s="653"/>
      <c r="BD553" s="653"/>
      <c r="BE553" s="653"/>
      <c r="BF553" s="653"/>
      <c r="BG553" s="653"/>
      <c r="BH553" s="653"/>
      <c r="BI553" s="653"/>
      <c r="BJ553" s="653"/>
      <c r="BK553" s="653"/>
      <c r="BL553" s="653"/>
      <c r="BM553" s="653"/>
      <c r="BN553" s="653"/>
      <c r="BO553" s="653"/>
      <c r="BP553" s="653"/>
      <c r="BQ553" s="653"/>
      <c r="BR553" s="653"/>
      <c r="BS553" s="653"/>
      <c r="BT553" s="653"/>
      <c r="BU553" s="653"/>
      <c r="BV553" s="654"/>
    </row>
    <row r="554" spans="2:74" x14ac:dyDescent="0.25">
      <c r="B554" s="651"/>
      <c r="C554" s="653"/>
      <c r="D554" s="653"/>
      <c r="E554" s="653"/>
      <c r="F554" s="653"/>
      <c r="G554" s="653"/>
      <c r="H554" s="653"/>
      <c r="I554" s="653"/>
      <c r="J554" s="653"/>
      <c r="K554" s="653"/>
      <c r="L554" s="653"/>
      <c r="M554" s="651"/>
      <c r="N554" s="909"/>
      <c r="O554" s="909"/>
      <c r="P554" s="909"/>
      <c r="Q554" s="910"/>
      <c r="R554" s="909"/>
      <c r="S554" s="909"/>
      <c r="T554" s="909"/>
      <c r="U554" s="909"/>
      <c r="V554" s="909"/>
      <c r="W554" s="909"/>
      <c r="X554" s="909"/>
      <c r="Y554" s="909"/>
      <c r="Z554" s="910"/>
      <c r="AA554" s="909"/>
      <c r="AB554" s="910"/>
      <c r="AC554" s="911"/>
      <c r="AD554" s="911"/>
      <c r="AE554" s="909"/>
      <c r="AF554" s="909"/>
      <c r="AG554" s="909"/>
      <c r="AH554" s="917"/>
      <c r="AI554" s="909"/>
      <c r="AJ554" s="916"/>
      <c r="AK554" s="916"/>
      <c r="AL554" s="653"/>
      <c r="AM554" s="918"/>
      <c r="AN554" s="915"/>
      <c r="AO554" s="653"/>
      <c r="AP554" s="653"/>
      <c r="AQ554" s="653"/>
      <c r="AR554" s="653"/>
      <c r="AS554" s="653"/>
      <c r="AT554" s="653"/>
      <c r="AU554" s="653"/>
      <c r="AV554" s="653"/>
      <c r="AW554" s="653"/>
      <c r="AX554" s="653"/>
      <c r="AY554" s="653"/>
      <c r="AZ554" s="653"/>
      <c r="BA554" s="653"/>
      <c r="BB554" s="653"/>
      <c r="BC554" s="653"/>
      <c r="BD554" s="653"/>
      <c r="BE554" s="653"/>
      <c r="BF554" s="653"/>
      <c r="BG554" s="653"/>
      <c r="BH554" s="653"/>
      <c r="BI554" s="653"/>
      <c r="BJ554" s="653"/>
      <c r="BK554" s="653"/>
      <c r="BL554" s="653"/>
      <c r="BM554" s="653"/>
      <c r="BN554" s="653"/>
      <c r="BO554" s="653"/>
      <c r="BP554" s="653"/>
      <c r="BQ554" s="653"/>
      <c r="BR554" s="653"/>
      <c r="BS554" s="653"/>
      <c r="BT554" s="653"/>
      <c r="BU554" s="653"/>
      <c r="BV554" s="654"/>
    </row>
    <row r="555" spans="2:74" x14ac:dyDescent="0.25">
      <c r="B555" s="651"/>
      <c r="C555" s="653"/>
      <c r="D555" s="653"/>
      <c r="E555" s="653"/>
      <c r="F555" s="653"/>
      <c r="G555" s="653"/>
      <c r="H555" s="653"/>
      <c r="I555" s="653"/>
      <c r="J555" s="653"/>
      <c r="K555" s="653"/>
      <c r="L555" s="653"/>
      <c r="M555" s="651"/>
      <c r="N555" s="909"/>
      <c r="O555" s="909"/>
      <c r="P555" s="909"/>
      <c r="Q555" s="910"/>
      <c r="R555" s="909"/>
      <c r="S555" s="909"/>
      <c r="T555" s="909"/>
      <c r="U555" s="909"/>
      <c r="V555" s="909"/>
      <c r="W555" s="909"/>
      <c r="X555" s="909"/>
      <c r="Y555" s="909"/>
      <c r="Z555" s="910"/>
      <c r="AA555" s="909"/>
      <c r="AB555" s="910"/>
      <c r="AC555" s="911"/>
      <c r="AD555" s="911"/>
      <c r="AE555" s="909"/>
      <c r="AF555" s="909"/>
      <c r="AG555" s="909"/>
      <c r="AH555" s="917"/>
      <c r="AI555" s="909"/>
      <c r="AJ555" s="916"/>
      <c r="AK555" s="916"/>
      <c r="AL555" s="653"/>
      <c r="AM555" s="918"/>
      <c r="AN555" s="915"/>
      <c r="AO555" s="653"/>
      <c r="AP555" s="653"/>
      <c r="AQ555" s="653"/>
      <c r="AR555" s="653"/>
      <c r="AS555" s="653"/>
      <c r="AT555" s="653"/>
      <c r="AU555" s="653"/>
      <c r="AV555" s="653"/>
      <c r="AW555" s="653"/>
      <c r="AX555" s="653"/>
      <c r="AY555" s="653"/>
      <c r="AZ555" s="653"/>
      <c r="BA555" s="653"/>
      <c r="BB555" s="653"/>
      <c r="BC555" s="653"/>
      <c r="BD555" s="653"/>
      <c r="BE555" s="653"/>
      <c r="BF555" s="653"/>
      <c r="BG555" s="653"/>
      <c r="BH555" s="653"/>
      <c r="BI555" s="653"/>
      <c r="BJ555" s="653"/>
      <c r="BK555" s="653"/>
      <c r="BL555" s="653"/>
      <c r="BM555" s="653"/>
      <c r="BN555" s="653"/>
      <c r="BO555" s="653"/>
      <c r="BP555" s="653"/>
      <c r="BQ555" s="653"/>
      <c r="BR555" s="653"/>
      <c r="BS555" s="653"/>
      <c r="BT555" s="653"/>
      <c r="BU555" s="653"/>
      <c r="BV555" s="654"/>
    </row>
    <row r="556" spans="2:74" x14ac:dyDescent="0.25">
      <c r="B556" s="651"/>
      <c r="C556" s="653"/>
      <c r="D556" s="653"/>
      <c r="E556" s="653"/>
      <c r="F556" s="653"/>
      <c r="G556" s="653"/>
      <c r="H556" s="653"/>
      <c r="I556" s="653"/>
      <c r="J556" s="653"/>
      <c r="K556" s="653"/>
      <c r="L556" s="653"/>
      <c r="M556" s="651"/>
      <c r="N556" s="909"/>
      <c r="O556" s="909"/>
      <c r="P556" s="909"/>
      <c r="Q556" s="910"/>
      <c r="R556" s="909"/>
      <c r="S556" s="909"/>
      <c r="T556" s="909"/>
      <c r="U556" s="909"/>
      <c r="V556" s="909"/>
      <c r="W556" s="909"/>
      <c r="X556" s="909"/>
      <c r="Y556" s="909"/>
      <c r="Z556" s="910"/>
      <c r="AA556" s="909"/>
      <c r="AB556" s="910"/>
      <c r="AC556" s="911"/>
      <c r="AD556" s="911"/>
      <c r="AE556" s="909"/>
      <c r="AF556" s="909"/>
      <c r="AG556" s="909"/>
      <c r="AH556" s="917"/>
      <c r="AI556" s="909"/>
      <c r="AJ556" s="916"/>
      <c r="AK556" s="916"/>
      <c r="AL556" s="653"/>
      <c r="AM556" s="918"/>
      <c r="AN556" s="915"/>
      <c r="AO556" s="653"/>
      <c r="AP556" s="653"/>
      <c r="AQ556" s="653"/>
      <c r="AR556" s="653"/>
      <c r="AS556" s="653"/>
      <c r="AT556" s="653"/>
      <c r="AU556" s="653"/>
      <c r="AV556" s="653"/>
      <c r="AW556" s="653"/>
      <c r="AX556" s="653"/>
      <c r="AY556" s="653"/>
      <c r="AZ556" s="653"/>
      <c r="BA556" s="653"/>
      <c r="BB556" s="653"/>
      <c r="BC556" s="653"/>
      <c r="BD556" s="653"/>
      <c r="BE556" s="653"/>
      <c r="BF556" s="653"/>
      <c r="BG556" s="653"/>
      <c r="BH556" s="653"/>
      <c r="BI556" s="653"/>
      <c r="BJ556" s="653"/>
      <c r="BK556" s="653"/>
      <c r="BL556" s="653"/>
      <c r="BM556" s="653"/>
      <c r="BN556" s="653"/>
      <c r="BO556" s="653"/>
      <c r="BP556" s="653"/>
      <c r="BQ556" s="653"/>
      <c r="BR556" s="653"/>
      <c r="BS556" s="653"/>
      <c r="BT556" s="653"/>
      <c r="BU556" s="653"/>
      <c r="BV556" s="654"/>
    </row>
    <row r="557" spans="2:74" x14ac:dyDescent="0.25">
      <c r="B557" s="651"/>
      <c r="C557" s="653"/>
      <c r="D557" s="653"/>
      <c r="E557" s="653"/>
      <c r="F557" s="653"/>
      <c r="G557" s="653"/>
      <c r="H557" s="653"/>
      <c r="I557" s="653"/>
      <c r="J557" s="653"/>
      <c r="K557" s="653"/>
      <c r="L557" s="653"/>
      <c r="M557" s="651"/>
      <c r="N557" s="909"/>
      <c r="O557" s="909"/>
      <c r="P557" s="909"/>
      <c r="Q557" s="910"/>
      <c r="R557" s="909"/>
      <c r="S557" s="909"/>
      <c r="T557" s="909"/>
      <c r="U557" s="909"/>
      <c r="V557" s="909"/>
      <c r="W557" s="909"/>
      <c r="X557" s="909"/>
      <c r="Y557" s="909"/>
      <c r="Z557" s="910"/>
      <c r="AA557" s="909"/>
      <c r="AB557" s="910"/>
      <c r="AC557" s="911"/>
      <c r="AD557" s="911"/>
      <c r="AE557" s="909"/>
      <c r="AF557" s="909"/>
      <c r="AG557" s="909"/>
      <c r="AH557" s="917"/>
      <c r="AI557" s="909"/>
      <c r="AJ557" s="916"/>
      <c r="AK557" s="916"/>
      <c r="AL557" s="653"/>
      <c r="AM557" s="918"/>
      <c r="AN557" s="915"/>
      <c r="AO557" s="653"/>
      <c r="AP557" s="653"/>
      <c r="AQ557" s="653"/>
      <c r="AR557" s="653"/>
      <c r="AS557" s="653"/>
      <c r="AT557" s="653"/>
      <c r="AU557" s="653"/>
      <c r="AV557" s="653"/>
      <c r="AW557" s="653"/>
      <c r="AX557" s="653"/>
      <c r="AY557" s="653"/>
      <c r="AZ557" s="653"/>
      <c r="BA557" s="653"/>
      <c r="BB557" s="653"/>
      <c r="BC557" s="653"/>
      <c r="BD557" s="653"/>
      <c r="BE557" s="653"/>
      <c r="BF557" s="653"/>
      <c r="BG557" s="653"/>
      <c r="BH557" s="653"/>
      <c r="BI557" s="653"/>
      <c r="BJ557" s="653"/>
      <c r="BK557" s="653"/>
      <c r="BL557" s="653"/>
      <c r="BM557" s="653"/>
      <c r="BN557" s="653"/>
      <c r="BO557" s="653"/>
      <c r="BP557" s="653"/>
      <c r="BQ557" s="653"/>
      <c r="BR557" s="653"/>
      <c r="BS557" s="653"/>
      <c r="BT557" s="653"/>
      <c r="BU557" s="653"/>
      <c r="BV557" s="654"/>
    </row>
    <row r="558" spans="2:74" x14ac:dyDescent="0.25">
      <c r="B558" s="651"/>
      <c r="C558" s="653"/>
      <c r="D558" s="653"/>
      <c r="E558" s="653"/>
      <c r="F558" s="653"/>
      <c r="G558" s="653"/>
      <c r="H558" s="653"/>
      <c r="I558" s="653"/>
      <c r="J558" s="653"/>
      <c r="K558" s="653"/>
      <c r="L558" s="653"/>
      <c r="M558" s="651"/>
      <c r="N558" s="909"/>
      <c r="O558" s="909"/>
      <c r="P558" s="909"/>
      <c r="Q558" s="910"/>
      <c r="R558" s="909"/>
      <c r="S558" s="909"/>
      <c r="T558" s="909"/>
      <c r="U558" s="909"/>
      <c r="V558" s="909"/>
      <c r="W558" s="909"/>
      <c r="X558" s="909"/>
      <c r="Y558" s="909"/>
      <c r="Z558" s="910"/>
      <c r="AA558" s="909"/>
      <c r="AB558" s="910"/>
      <c r="AC558" s="911"/>
      <c r="AD558" s="911"/>
      <c r="AE558" s="909"/>
      <c r="AF558" s="909"/>
      <c r="AG558" s="909"/>
      <c r="AH558" s="917"/>
      <c r="AI558" s="909"/>
      <c r="AJ558" s="916"/>
      <c r="AK558" s="916"/>
      <c r="AL558" s="653"/>
      <c r="AM558" s="918"/>
      <c r="AN558" s="915"/>
      <c r="AO558" s="653"/>
      <c r="AP558" s="653"/>
      <c r="AQ558" s="653"/>
      <c r="AR558" s="653"/>
      <c r="AS558" s="653"/>
      <c r="AT558" s="653"/>
      <c r="AU558" s="653"/>
      <c r="AV558" s="653"/>
      <c r="AW558" s="653"/>
      <c r="AX558" s="653"/>
      <c r="AY558" s="653"/>
      <c r="AZ558" s="653"/>
      <c r="BA558" s="653"/>
      <c r="BB558" s="653"/>
      <c r="BC558" s="653"/>
      <c r="BD558" s="653"/>
      <c r="BE558" s="653"/>
      <c r="BF558" s="653"/>
      <c r="BG558" s="653"/>
      <c r="BH558" s="653"/>
      <c r="BI558" s="653"/>
      <c r="BJ558" s="653"/>
      <c r="BK558" s="653"/>
      <c r="BL558" s="653"/>
      <c r="BM558" s="653"/>
      <c r="BN558" s="653"/>
      <c r="BO558" s="653"/>
      <c r="BP558" s="653"/>
      <c r="BQ558" s="653"/>
      <c r="BR558" s="653"/>
      <c r="BS558" s="653"/>
      <c r="BT558" s="653"/>
      <c r="BU558" s="653"/>
      <c r="BV558" s="654"/>
    </row>
    <row r="559" spans="2:74" ht="15.75" thickBot="1" x14ac:dyDescent="0.3">
      <c r="B559" s="651"/>
      <c r="C559" s="653"/>
      <c r="D559" s="653"/>
      <c r="E559" s="653"/>
      <c r="F559" s="653"/>
      <c r="G559" s="653"/>
      <c r="H559" s="653"/>
      <c r="I559" s="653"/>
      <c r="J559" s="653"/>
      <c r="K559" s="653"/>
      <c r="L559" s="653"/>
      <c r="M559" s="680"/>
      <c r="N559" s="909"/>
      <c r="O559" s="919"/>
      <c r="P559" s="909"/>
      <c r="Q559" s="920"/>
      <c r="R559" s="919"/>
      <c r="S559" s="909"/>
      <c r="T559" s="909"/>
      <c r="U559" s="909"/>
      <c r="V559" s="909"/>
      <c r="W559" s="909"/>
      <c r="X559" s="919"/>
      <c r="Y559" s="909"/>
      <c r="Z559" s="920"/>
      <c r="AA559" s="909"/>
      <c r="AB559" s="920"/>
      <c r="AC559" s="921"/>
      <c r="AD559" s="921"/>
      <c r="AE559" s="919"/>
      <c r="AF559" s="919"/>
      <c r="AG559" s="919"/>
      <c r="AH559" s="922"/>
      <c r="AI559" s="909"/>
      <c r="AJ559" s="916"/>
      <c r="AK559" s="916"/>
      <c r="AL559" s="653"/>
      <c r="AM559" s="918"/>
      <c r="AN559" s="923"/>
      <c r="AO559" s="653"/>
      <c r="AP559" s="653"/>
      <c r="AQ559" s="653"/>
      <c r="AR559" s="653"/>
      <c r="AS559" s="653"/>
      <c r="AT559" s="653"/>
      <c r="AU559" s="653"/>
      <c r="AV559" s="653"/>
      <c r="AW559" s="653"/>
      <c r="AX559" s="653"/>
      <c r="AY559" s="653"/>
      <c r="AZ559" s="653"/>
      <c r="BA559" s="653"/>
      <c r="BB559" s="653"/>
      <c r="BC559" s="653"/>
      <c r="BD559" s="653"/>
      <c r="BE559" s="653"/>
      <c r="BF559" s="653"/>
      <c r="BG559" s="653"/>
      <c r="BH559" s="653"/>
      <c r="BI559" s="653"/>
      <c r="BJ559" s="653"/>
      <c r="BK559" s="653"/>
      <c r="BL559" s="653"/>
      <c r="BM559" s="653"/>
      <c r="BN559" s="653"/>
      <c r="BO559" s="653"/>
      <c r="BP559" s="653"/>
      <c r="BQ559" s="653"/>
      <c r="BR559" s="653"/>
      <c r="BS559" s="653"/>
      <c r="BT559" s="653"/>
      <c r="BU559" s="653"/>
      <c r="BV559" s="654"/>
    </row>
    <row r="560" spans="2:74" x14ac:dyDescent="0.25">
      <c r="B560" s="651"/>
      <c r="C560" s="653"/>
      <c r="D560" s="653"/>
      <c r="E560" s="653"/>
      <c r="F560" s="653"/>
      <c r="G560" s="653"/>
      <c r="H560" s="653"/>
      <c r="I560" s="653"/>
      <c r="J560" s="653"/>
      <c r="K560" s="653"/>
      <c r="L560" s="653"/>
      <c r="M560" s="653"/>
      <c r="N560" s="653"/>
      <c r="O560" s="653"/>
      <c r="P560" s="653"/>
      <c r="Q560" s="653"/>
      <c r="R560" s="653"/>
      <c r="S560" s="653"/>
      <c r="T560" s="653"/>
      <c r="U560" s="653"/>
      <c r="V560" s="653"/>
      <c r="W560" s="653"/>
      <c r="X560" s="653"/>
      <c r="Y560" s="653"/>
      <c r="Z560" s="653"/>
      <c r="AA560" s="653"/>
      <c r="AB560" s="653"/>
      <c r="AC560" s="653"/>
      <c r="AD560" s="653"/>
      <c r="AE560" s="653"/>
      <c r="AF560" s="1063"/>
      <c r="AG560" s="653"/>
      <c r="AH560" s="653"/>
      <c r="AI560" s="653"/>
      <c r="AJ560" s="653"/>
      <c r="AK560" s="653"/>
      <c r="AL560" s="653"/>
      <c r="AM560" s="653"/>
      <c r="AN560" s="653"/>
      <c r="AO560" s="653"/>
      <c r="AP560" s="653"/>
      <c r="AQ560" s="653"/>
      <c r="AR560" s="653"/>
      <c r="AS560" s="653"/>
      <c r="AT560" s="653"/>
      <c r="AU560" s="653"/>
      <c r="AV560" s="653"/>
      <c r="AW560" s="653"/>
      <c r="AX560" s="653"/>
      <c r="AY560" s="653"/>
      <c r="AZ560" s="653"/>
      <c r="BA560" s="653"/>
      <c r="BB560" s="653"/>
      <c r="BC560" s="653"/>
      <c r="BD560" s="653"/>
      <c r="BE560" s="653"/>
      <c r="BF560" s="653"/>
      <c r="BG560" s="653"/>
      <c r="BH560" s="653"/>
      <c r="BI560" s="653"/>
      <c r="BJ560" s="653"/>
      <c r="BK560" s="653"/>
      <c r="BL560" s="653"/>
      <c r="BM560" s="653"/>
      <c r="BN560" s="653"/>
      <c r="BO560" s="653"/>
      <c r="BP560" s="653"/>
      <c r="BQ560" s="653"/>
      <c r="BR560" s="653"/>
      <c r="BS560" s="653"/>
      <c r="BT560" s="653"/>
      <c r="BU560" s="653"/>
      <c r="BV560" s="654"/>
    </row>
    <row r="561" spans="2:74" x14ac:dyDescent="0.25">
      <c r="B561" s="651"/>
      <c r="C561" s="653"/>
      <c r="D561" s="653"/>
      <c r="E561" s="653"/>
      <c r="F561" s="653"/>
      <c r="G561" s="653"/>
      <c r="H561" s="653"/>
      <c r="I561" s="653"/>
      <c r="J561" s="653"/>
      <c r="K561" s="653"/>
      <c r="L561" s="653"/>
      <c r="M561" s="653"/>
      <c r="N561" s="653"/>
      <c r="O561" s="653"/>
      <c r="P561" s="653"/>
      <c r="Q561" s="653"/>
      <c r="R561" s="653"/>
      <c r="S561" s="653"/>
      <c r="T561" s="653"/>
      <c r="U561" s="653"/>
      <c r="V561" s="653"/>
      <c r="W561" s="653"/>
      <c r="X561" s="653"/>
      <c r="Y561" s="653"/>
      <c r="Z561" s="653"/>
      <c r="AA561" s="653"/>
      <c r="AB561" s="653"/>
      <c r="AC561" s="653"/>
      <c r="AD561" s="653"/>
      <c r="AE561" s="653"/>
      <c r="AF561" s="1063"/>
      <c r="AG561" s="653"/>
      <c r="AH561" s="653"/>
      <c r="AI561" s="653"/>
      <c r="AJ561" s="653"/>
      <c r="AK561" s="653"/>
      <c r="AL561" s="653"/>
      <c r="AM561" s="653"/>
      <c r="AN561" s="653"/>
      <c r="AO561" s="653"/>
      <c r="AP561" s="653"/>
      <c r="AQ561" s="653"/>
      <c r="AR561" s="653"/>
      <c r="AS561" s="653"/>
      <c r="AT561" s="653"/>
      <c r="AU561" s="653"/>
      <c r="AV561" s="653"/>
      <c r="AW561" s="653"/>
      <c r="AX561" s="653"/>
      <c r="AY561" s="653"/>
      <c r="AZ561" s="653"/>
      <c r="BA561" s="653"/>
      <c r="BB561" s="653"/>
      <c r="BC561" s="653"/>
      <c r="BD561" s="653"/>
      <c r="BE561" s="653"/>
      <c r="BF561" s="653"/>
      <c r="BG561" s="653"/>
      <c r="BH561" s="653"/>
      <c r="BI561" s="653"/>
      <c r="BJ561" s="653"/>
      <c r="BK561" s="653"/>
      <c r="BL561" s="653"/>
      <c r="BM561" s="653"/>
      <c r="BN561" s="653"/>
      <c r="BO561" s="653"/>
      <c r="BP561" s="653"/>
      <c r="BQ561" s="653"/>
      <c r="BR561" s="653"/>
      <c r="BS561" s="653"/>
      <c r="BT561" s="653"/>
      <c r="BU561" s="653"/>
      <c r="BV561" s="654"/>
    </row>
    <row r="562" spans="2:74" x14ac:dyDescent="0.25">
      <c r="B562" s="651"/>
      <c r="C562" s="653"/>
      <c r="D562" s="653"/>
      <c r="E562" s="653"/>
      <c r="F562" s="653"/>
      <c r="G562" s="653"/>
      <c r="H562" s="653"/>
      <c r="I562" s="653"/>
      <c r="J562" s="653"/>
      <c r="K562" s="653"/>
      <c r="L562" s="653"/>
      <c r="M562" s="653"/>
      <c r="N562" s="653"/>
      <c r="O562" s="653"/>
      <c r="P562" s="653"/>
      <c r="Q562" s="653"/>
      <c r="R562" s="653"/>
      <c r="S562" s="653"/>
      <c r="T562" s="653"/>
      <c r="U562" s="653"/>
      <c r="V562" s="653"/>
      <c r="W562" s="653"/>
      <c r="X562" s="653"/>
      <c r="Y562" s="653"/>
      <c r="Z562" s="653"/>
      <c r="AA562" s="653"/>
      <c r="AB562" s="653"/>
      <c r="AC562" s="653"/>
      <c r="AD562" s="653"/>
      <c r="AE562" s="653"/>
      <c r="AF562" s="1063"/>
      <c r="AG562" s="653"/>
      <c r="AH562" s="653"/>
      <c r="AI562" s="653"/>
      <c r="AJ562" s="653"/>
      <c r="AK562" s="653"/>
      <c r="AL562" s="653"/>
      <c r="AM562" s="653"/>
      <c r="AN562" s="653"/>
      <c r="AO562" s="653"/>
      <c r="AP562" s="653"/>
      <c r="AQ562" s="653"/>
      <c r="AR562" s="653"/>
      <c r="AS562" s="653"/>
      <c r="AT562" s="653"/>
      <c r="AU562" s="653"/>
      <c r="AV562" s="653"/>
      <c r="AW562" s="653"/>
      <c r="AX562" s="653"/>
      <c r="AY562" s="653"/>
      <c r="AZ562" s="653"/>
      <c r="BA562" s="653"/>
      <c r="BB562" s="653"/>
      <c r="BC562" s="653"/>
      <c r="BD562" s="653"/>
      <c r="BE562" s="653"/>
      <c r="BF562" s="653"/>
      <c r="BG562" s="653"/>
      <c r="BH562" s="653"/>
      <c r="BI562" s="653"/>
      <c r="BJ562" s="653"/>
      <c r="BK562" s="653"/>
      <c r="BL562" s="653"/>
      <c r="BM562" s="653"/>
      <c r="BN562" s="653"/>
      <c r="BO562" s="653"/>
      <c r="BP562" s="653"/>
      <c r="BQ562" s="653"/>
      <c r="BR562" s="653"/>
      <c r="BS562" s="653"/>
      <c r="BT562" s="653"/>
      <c r="BU562" s="653"/>
      <c r="BV562" s="654"/>
    </row>
    <row r="563" spans="2:74" x14ac:dyDescent="0.25">
      <c r="B563" s="651"/>
      <c r="C563" s="653"/>
      <c r="D563" s="653"/>
      <c r="E563" s="653"/>
      <c r="F563" s="653"/>
      <c r="G563" s="653"/>
      <c r="H563" s="653"/>
      <c r="I563" s="653"/>
      <c r="J563" s="653"/>
      <c r="K563" s="653"/>
      <c r="L563" s="653"/>
      <c r="M563" s="653"/>
      <c r="N563" s="653"/>
      <c r="O563" s="653"/>
      <c r="P563" s="653"/>
      <c r="Q563" s="653"/>
      <c r="R563" s="653"/>
      <c r="S563" s="653"/>
      <c r="T563" s="653"/>
      <c r="U563" s="653"/>
      <c r="V563" s="653"/>
      <c r="W563" s="653"/>
      <c r="X563" s="653"/>
      <c r="Y563" s="653"/>
      <c r="Z563" s="653"/>
      <c r="AA563" s="653"/>
      <c r="AB563" s="653"/>
      <c r="AC563" s="653"/>
      <c r="AD563" s="653"/>
      <c r="AE563" s="653"/>
      <c r="AF563" s="1063"/>
      <c r="AG563" s="653"/>
      <c r="AH563" s="653"/>
      <c r="AI563" s="653"/>
      <c r="AJ563" s="653"/>
      <c r="AK563" s="653"/>
      <c r="AL563" s="653"/>
      <c r="AM563" s="653"/>
      <c r="AN563" s="653"/>
      <c r="AO563" s="653"/>
      <c r="AP563" s="653"/>
      <c r="AQ563" s="653"/>
      <c r="AR563" s="653"/>
      <c r="AS563" s="653"/>
      <c r="AT563" s="653"/>
      <c r="AU563" s="653"/>
      <c r="AV563" s="653"/>
      <c r="AW563" s="653"/>
      <c r="AX563" s="653"/>
      <c r="AY563" s="653"/>
      <c r="AZ563" s="653"/>
      <c r="BA563" s="653"/>
      <c r="BB563" s="653"/>
      <c r="BC563" s="653"/>
      <c r="BD563" s="653"/>
      <c r="BE563" s="653"/>
      <c r="BF563" s="653"/>
      <c r="BG563" s="653"/>
      <c r="BH563" s="653"/>
      <c r="BI563" s="653"/>
      <c r="BJ563" s="653"/>
      <c r="BK563" s="653"/>
      <c r="BL563" s="653"/>
      <c r="BM563" s="653"/>
      <c r="BN563" s="653"/>
      <c r="BO563" s="653"/>
      <c r="BP563" s="653"/>
      <c r="BQ563" s="653"/>
      <c r="BR563" s="653"/>
      <c r="BS563" s="653"/>
      <c r="BT563" s="653"/>
      <c r="BU563" s="653"/>
      <c r="BV563" s="654"/>
    </row>
    <row r="564" spans="2:74" x14ac:dyDescent="0.25">
      <c r="B564" s="651"/>
      <c r="C564" s="653"/>
      <c r="D564" s="653"/>
      <c r="E564" s="653"/>
      <c r="F564" s="653"/>
      <c r="G564" s="653"/>
      <c r="H564" s="653"/>
      <c r="I564" s="653"/>
      <c r="J564" s="653"/>
      <c r="K564" s="653"/>
      <c r="L564" s="653"/>
      <c r="M564" s="653"/>
      <c r="N564" s="653"/>
      <c r="O564" s="653"/>
      <c r="P564" s="653"/>
      <c r="Q564" s="653"/>
      <c r="R564" s="653"/>
      <c r="S564" s="653"/>
      <c r="T564" s="653"/>
      <c r="U564" s="653"/>
      <c r="V564" s="653"/>
      <c r="W564" s="653"/>
      <c r="X564" s="653"/>
      <c r="Y564" s="653"/>
      <c r="Z564" s="653"/>
      <c r="AA564" s="653"/>
      <c r="AB564" s="653"/>
      <c r="AC564" s="653"/>
      <c r="AD564" s="653"/>
      <c r="AE564" s="653"/>
      <c r="AF564" s="1063"/>
      <c r="AG564" s="653"/>
      <c r="AH564" s="653"/>
      <c r="AI564" s="653"/>
      <c r="AJ564" s="653"/>
      <c r="AK564" s="653"/>
      <c r="AL564" s="653"/>
      <c r="AM564" s="653"/>
      <c r="AN564" s="653"/>
      <c r="AO564" s="653"/>
      <c r="AP564" s="653"/>
      <c r="AQ564" s="653"/>
      <c r="AR564" s="653"/>
      <c r="AS564" s="653"/>
      <c r="AT564" s="653"/>
      <c r="AU564" s="653"/>
      <c r="AV564" s="653"/>
      <c r="AW564" s="653"/>
      <c r="AX564" s="653"/>
      <c r="AY564" s="653"/>
      <c r="AZ564" s="653"/>
      <c r="BA564" s="653"/>
      <c r="BB564" s="653"/>
      <c r="BC564" s="653"/>
      <c r="BD564" s="653"/>
      <c r="BE564" s="653"/>
      <c r="BF564" s="653"/>
      <c r="BG564" s="653"/>
      <c r="BH564" s="653"/>
      <c r="BI564" s="653"/>
      <c r="BJ564" s="653"/>
      <c r="BK564" s="653"/>
      <c r="BL564" s="653"/>
      <c r="BM564" s="653"/>
      <c r="BN564" s="653"/>
      <c r="BO564" s="653"/>
      <c r="BP564" s="653"/>
      <c r="BQ564" s="653"/>
      <c r="BR564" s="653"/>
      <c r="BS564" s="653"/>
      <c r="BT564" s="653"/>
      <c r="BU564" s="653"/>
      <c r="BV564" s="654"/>
    </row>
    <row r="565" spans="2:74" x14ac:dyDescent="0.25">
      <c r="B565" s="651"/>
      <c r="C565" s="653"/>
      <c r="D565" s="653"/>
      <c r="E565" s="653"/>
      <c r="F565" s="653"/>
      <c r="G565" s="653"/>
      <c r="H565" s="653"/>
      <c r="I565" s="653"/>
      <c r="J565" s="653"/>
      <c r="K565" s="653"/>
      <c r="L565" s="653"/>
      <c r="M565" s="653"/>
      <c r="N565" s="653"/>
      <c r="O565" s="653"/>
      <c r="P565" s="653"/>
      <c r="Q565" s="653"/>
      <c r="R565" s="653"/>
      <c r="S565" s="653"/>
      <c r="T565" s="653"/>
      <c r="U565" s="653"/>
      <c r="V565" s="653"/>
      <c r="W565" s="653"/>
      <c r="X565" s="653"/>
      <c r="Y565" s="653"/>
      <c r="Z565" s="653"/>
      <c r="AA565" s="653"/>
      <c r="AB565" s="653"/>
      <c r="AC565" s="653"/>
      <c r="AD565" s="653"/>
      <c r="AE565" s="653"/>
      <c r="AF565" s="1063"/>
      <c r="AG565" s="653"/>
      <c r="AH565" s="653"/>
      <c r="AI565" s="653"/>
      <c r="AJ565" s="653"/>
      <c r="AK565" s="653"/>
      <c r="AL565" s="653"/>
      <c r="AM565" s="653"/>
      <c r="AN565" s="653"/>
      <c r="AO565" s="653"/>
      <c r="AP565" s="653"/>
      <c r="AQ565" s="653"/>
      <c r="AR565" s="653"/>
      <c r="AS565" s="653"/>
      <c r="AT565" s="653"/>
      <c r="AU565" s="653"/>
      <c r="AV565" s="653"/>
      <c r="AW565" s="653"/>
      <c r="AX565" s="653"/>
      <c r="AY565" s="653"/>
      <c r="AZ565" s="653"/>
      <c r="BA565" s="653"/>
      <c r="BB565" s="653"/>
      <c r="BC565" s="653"/>
      <c r="BD565" s="653"/>
      <c r="BE565" s="653"/>
      <c r="BF565" s="653"/>
      <c r="BG565" s="653"/>
      <c r="BH565" s="653"/>
      <c r="BI565" s="653"/>
      <c r="BJ565" s="653"/>
      <c r="BK565" s="653"/>
      <c r="BL565" s="653"/>
      <c r="BM565" s="653"/>
      <c r="BN565" s="653"/>
      <c r="BO565" s="653"/>
      <c r="BP565" s="653"/>
      <c r="BQ565" s="653"/>
      <c r="BR565" s="653"/>
      <c r="BS565" s="653"/>
      <c r="BT565" s="653"/>
      <c r="BU565" s="653"/>
      <c r="BV565" s="654"/>
    </row>
    <row r="566" spans="2:74" ht="15.75" thickBot="1" x14ac:dyDescent="0.3">
      <c r="B566" s="680"/>
      <c r="C566" s="681"/>
      <c r="D566" s="681"/>
      <c r="E566" s="681"/>
      <c r="F566" s="681"/>
      <c r="G566" s="681"/>
      <c r="H566" s="681"/>
      <c r="I566" s="681"/>
      <c r="J566" s="681"/>
      <c r="K566" s="681"/>
      <c r="L566" s="681"/>
      <c r="M566" s="681"/>
      <c r="N566" s="681"/>
      <c r="O566" s="681"/>
      <c r="P566" s="681"/>
      <c r="Q566" s="681"/>
      <c r="R566" s="681"/>
      <c r="S566" s="681"/>
      <c r="T566" s="681"/>
      <c r="U566" s="681"/>
      <c r="V566" s="681"/>
      <c r="W566" s="681"/>
      <c r="X566" s="681"/>
      <c r="Y566" s="681"/>
      <c r="Z566" s="681"/>
      <c r="AA566" s="681"/>
      <c r="AB566" s="681"/>
      <c r="AC566" s="681"/>
      <c r="AD566" s="681"/>
      <c r="AE566" s="681"/>
      <c r="AF566" s="980"/>
      <c r="AG566" s="681"/>
      <c r="AH566" s="681"/>
      <c r="AI566" s="681"/>
      <c r="AJ566" s="681"/>
      <c r="AK566" s="681"/>
      <c r="AL566" s="681"/>
      <c r="AM566" s="681"/>
      <c r="AN566" s="681"/>
      <c r="AO566" s="681"/>
      <c r="AP566" s="681"/>
      <c r="AQ566" s="681"/>
      <c r="AR566" s="681"/>
      <c r="AS566" s="681"/>
      <c r="AT566" s="681"/>
      <c r="AU566" s="681"/>
      <c r="AV566" s="681"/>
      <c r="AW566" s="681"/>
      <c r="AX566" s="681"/>
      <c r="AY566" s="681"/>
      <c r="AZ566" s="681"/>
      <c r="BA566" s="681"/>
      <c r="BB566" s="681"/>
      <c r="BC566" s="681"/>
      <c r="BD566" s="681"/>
      <c r="BE566" s="681"/>
      <c r="BF566" s="681"/>
      <c r="BG566" s="681"/>
      <c r="BH566" s="681"/>
      <c r="BI566" s="681"/>
      <c r="BJ566" s="681"/>
      <c r="BK566" s="681"/>
      <c r="BL566" s="681"/>
      <c r="BM566" s="681"/>
      <c r="BN566" s="681"/>
      <c r="BO566" s="681"/>
      <c r="BP566" s="681"/>
      <c r="BQ566" s="681"/>
      <c r="BR566" s="681"/>
      <c r="BS566" s="681"/>
      <c r="BT566" s="681"/>
      <c r="BU566" s="681"/>
      <c r="BV566" s="666"/>
    </row>
    <row r="571" spans="2:74" ht="15.75" thickBot="1" x14ac:dyDescent="0.3"/>
    <row r="572" spans="2:74" ht="47.25" thickBot="1" x14ac:dyDescent="0.75">
      <c r="B572" s="982" t="str">
        <f>"Variante: "&amp;'1. Projektangaben'!C27&amp;" "</f>
        <v xml:space="preserve">Variante: PH-WDVS-WP-WRG-mittl.Sol-mit PV </v>
      </c>
      <c r="C572" s="981"/>
      <c r="D572" s="981"/>
      <c r="E572" s="649"/>
      <c r="F572" s="649"/>
      <c r="G572" s="649"/>
      <c r="H572" s="649"/>
      <c r="I572" s="649"/>
      <c r="J572" s="649"/>
      <c r="K572" s="649"/>
      <c r="L572" s="649"/>
      <c r="M572" s="649"/>
      <c r="N572" s="649"/>
      <c r="O572" s="649"/>
      <c r="P572" s="649"/>
      <c r="Q572" s="649"/>
      <c r="R572" s="649"/>
      <c r="S572" s="649"/>
      <c r="T572" s="649"/>
      <c r="U572" s="649"/>
      <c r="V572" s="649"/>
      <c r="W572" s="649"/>
      <c r="X572" s="649"/>
      <c r="Y572" s="649"/>
      <c r="Z572" s="649"/>
      <c r="AA572" s="649"/>
      <c r="AB572" s="649"/>
      <c r="AC572" s="649"/>
      <c r="AD572" s="649"/>
      <c r="AE572" s="649"/>
      <c r="AF572" s="959"/>
      <c r="AG572" s="649"/>
      <c r="AH572" s="649"/>
      <c r="AI572" s="649"/>
      <c r="AJ572" s="649"/>
      <c r="AK572" s="649"/>
      <c r="AL572" s="649"/>
      <c r="AM572" s="649"/>
      <c r="AN572" s="649"/>
      <c r="AO572" s="649"/>
      <c r="AP572" s="649"/>
      <c r="AQ572" s="649"/>
      <c r="AR572" s="649"/>
      <c r="AS572" s="649"/>
      <c r="AT572" s="649"/>
      <c r="AU572" s="649"/>
      <c r="AV572" s="649"/>
      <c r="AW572" s="649"/>
      <c r="AX572" s="649"/>
      <c r="AY572" s="649"/>
      <c r="AZ572" s="649"/>
      <c r="BA572" s="649"/>
      <c r="BB572" s="649"/>
      <c r="BC572" s="649"/>
      <c r="BD572" s="649"/>
      <c r="BE572" s="649"/>
      <c r="BF572" s="649"/>
      <c r="BG572" s="649"/>
      <c r="BH572" s="649"/>
      <c r="BI572" s="649"/>
      <c r="BJ572" s="649"/>
      <c r="BK572" s="649"/>
      <c r="BL572" s="649"/>
      <c r="BM572" s="649"/>
      <c r="BN572" s="649"/>
      <c r="BO572" s="649"/>
      <c r="BP572" s="649"/>
      <c r="BQ572" s="649"/>
      <c r="BR572" s="649"/>
      <c r="BS572" s="649"/>
      <c r="BT572" s="649"/>
      <c r="BU572" s="649"/>
      <c r="BV572" s="650"/>
    </row>
    <row r="573" spans="2:74" ht="15.75" thickBot="1" x14ac:dyDescent="0.3">
      <c r="B573" s="651"/>
      <c r="C573" s="653"/>
      <c r="D573" s="653"/>
      <c r="E573" s="653"/>
      <c r="F573" s="653"/>
      <c r="G573" s="653"/>
      <c r="H573" s="653"/>
      <c r="I573" s="653"/>
      <c r="J573" s="653"/>
      <c r="K573" s="653"/>
      <c r="L573" s="653"/>
      <c r="M573" s="653"/>
      <c r="N573" s="653"/>
      <c r="O573" s="653"/>
      <c r="P573" s="653"/>
      <c r="Q573" s="653"/>
      <c r="R573" s="653"/>
      <c r="S573" s="653"/>
      <c r="T573" s="1004" t="s">
        <v>695</v>
      </c>
      <c r="U573" s="649" t="s">
        <v>596</v>
      </c>
      <c r="V573" s="999"/>
      <c r="W573" s="1000" t="str">
        <f>Annuitätenzuschuss!B17</f>
        <v>Kreditlaufzeit in Jahren</v>
      </c>
      <c r="X573" s="990"/>
      <c r="Y573" s="990"/>
      <c r="Z573" s="990"/>
      <c r="AA573" s="990" t="str">
        <f>Annuitätenzuschuss!F17</f>
        <v>Kreditlaufzeit</v>
      </c>
      <c r="AB573" s="991" t="str">
        <f>Annuitätenzuschuss!G17</f>
        <v>Tilgung</v>
      </c>
      <c r="AC573" s="653"/>
      <c r="AD573" s="653"/>
      <c r="AE573" s="653"/>
      <c r="AF573" s="1063"/>
      <c r="AG573" s="653"/>
      <c r="AH573" s="653"/>
      <c r="AI573" s="653"/>
      <c r="AJ573" s="653"/>
      <c r="AK573" s="653"/>
      <c r="AL573" s="653"/>
      <c r="AM573" s="653"/>
      <c r="AN573" s="653"/>
      <c r="AO573" s="653"/>
      <c r="AP573" s="653"/>
      <c r="AQ573" s="653"/>
      <c r="AR573" s="653"/>
      <c r="AS573" s="653"/>
      <c r="AT573" s="653"/>
      <c r="AU573" s="653"/>
      <c r="AV573" s="653"/>
      <c r="AW573" s="653"/>
      <c r="AX573" s="653"/>
      <c r="AY573" s="653"/>
      <c r="AZ573" s="653"/>
      <c r="BA573" s="653"/>
      <c r="BB573" s="653"/>
      <c r="BC573" s="653"/>
      <c r="BD573" s="653"/>
      <c r="BE573" s="653"/>
      <c r="BF573" s="653"/>
      <c r="BG573" s="653"/>
      <c r="BH573" s="653"/>
      <c r="BI573" s="653"/>
      <c r="BJ573" s="653"/>
      <c r="BK573" s="653"/>
      <c r="BL573" s="653"/>
      <c r="BM573" s="653"/>
      <c r="BN573" s="653"/>
      <c r="BO573" s="653"/>
      <c r="BP573" s="653"/>
      <c r="BQ573" s="653"/>
      <c r="BR573" s="653"/>
      <c r="BS573" s="653"/>
      <c r="BT573" s="653"/>
      <c r="BU573" s="653"/>
      <c r="BV573" s="654"/>
    </row>
    <row r="574" spans="2:74" x14ac:dyDescent="0.25">
      <c r="B574" s="651"/>
      <c r="C574" s="653"/>
      <c r="D574" s="653"/>
      <c r="E574" s="653"/>
      <c r="F574" s="653"/>
      <c r="G574" s="653"/>
      <c r="H574" s="653"/>
      <c r="I574" s="653"/>
      <c r="J574" s="653"/>
      <c r="K574" s="653"/>
      <c r="L574" s="653"/>
      <c r="M574" s="653"/>
      <c r="N574" s="653"/>
      <c r="O574" s="653"/>
      <c r="P574" s="653"/>
      <c r="Q574" s="653"/>
      <c r="R574" s="653"/>
      <c r="S574" s="653"/>
      <c r="T574" s="653"/>
      <c r="U574" s="1001">
        <f>Annuitätenzuschuss!$C$25</f>
        <v>12</v>
      </c>
      <c r="V574" s="879" t="s">
        <v>371</v>
      </c>
      <c r="W574" s="934" t="str">
        <f>Annuitätenzuschuss!B18</f>
        <v>von</v>
      </c>
      <c r="X574" s="899"/>
      <c r="Y574" s="899" t="str">
        <f>Annuitätenzuschuss!D18</f>
        <v>bis</v>
      </c>
      <c r="Z574" s="899"/>
      <c r="AA574" s="893" t="str">
        <f>Annuitätenzuschuss!F18</f>
        <v>(a)</v>
      </c>
      <c r="AB574" s="992" t="str">
        <f>Annuitätenzuschuss!G18</f>
        <v>(%)</v>
      </c>
      <c r="AC574" s="653"/>
      <c r="AD574" s="653"/>
      <c r="AE574" s="653"/>
      <c r="AF574" s="1063"/>
      <c r="AG574" s="653"/>
      <c r="AH574" s="653"/>
      <c r="AI574" s="653"/>
      <c r="AJ574" s="653"/>
      <c r="AK574" s="653"/>
      <c r="AL574" s="653"/>
      <c r="AM574" s="653"/>
      <c r="AN574" s="653"/>
      <c r="AO574" s="653"/>
      <c r="AP574" s="653"/>
      <c r="AQ574" s="653"/>
      <c r="AR574" s="653"/>
      <c r="AS574" s="653"/>
      <c r="AT574" s="653"/>
      <c r="AU574" s="653"/>
      <c r="AV574" s="653"/>
      <c r="AW574" s="653"/>
      <c r="AX574" s="653"/>
      <c r="AY574" s="653"/>
      <c r="AZ574" s="653"/>
      <c r="BA574" s="653"/>
      <c r="BB574" s="653"/>
      <c r="BC574" s="653"/>
      <c r="BD574" s="653"/>
      <c r="BE574" s="653"/>
      <c r="BF574" s="653"/>
      <c r="BG574" s="653"/>
      <c r="BH574" s="653"/>
      <c r="BI574" s="653"/>
      <c r="BJ574" s="653"/>
      <c r="BK574" s="653"/>
      <c r="BL574" s="653"/>
      <c r="BM574" s="653"/>
      <c r="BN574" s="653"/>
      <c r="BO574" s="653"/>
      <c r="BP574" s="653"/>
      <c r="BQ574" s="653"/>
      <c r="BR574" s="653"/>
      <c r="BS574" s="653"/>
      <c r="BT574" s="653"/>
      <c r="BU574" s="653"/>
      <c r="BV574" s="654"/>
    </row>
    <row r="575" spans="2:74" ht="15.75" thickBot="1" x14ac:dyDescent="0.3">
      <c r="B575" s="651"/>
      <c r="C575" s="653"/>
      <c r="D575" s="653"/>
      <c r="E575" s="653"/>
      <c r="F575" s="653"/>
      <c r="G575" s="653"/>
      <c r="H575" s="653"/>
      <c r="I575" s="653"/>
      <c r="J575" s="653"/>
      <c r="K575" s="653"/>
      <c r="L575" s="653"/>
      <c r="M575" s="653"/>
      <c r="N575" s="653"/>
      <c r="O575" s="653"/>
      <c r="P575" s="653" t="str">
        <f>Annuitätenzuschuss!B7</f>
        <v>Nominalzins Land Vorarlberg AUSGABEN</v>
      </c>
      <c r="Q575" s="960">
        <f>Annuitätenzuschuss!C7</f>
        <v>0.03</v>
      </c>
      <c r="R575" s="653"/>
      <c r="S575" s="653"/>
      <c r="T575" s="653"/>
      <c r="U575" s="651" t="s">
        <v>674</v>
      </c>
      <c r="V575" s="653"/>
      <c r="W575" s="996">
        <f>Annuitätenzuschuss!B19</f>
        <v>1</v>
      </c>
      <c r="X575" s="893" t="str">
        <f>Annuitätenzuschuss!C19</f>
        <v>-</v>
      </c>
      <c r="Y575" s="899">
        <f>Annuitätenzuschuss!D19</f>
        <v>25</v>
      </c>
      <c r="Z575" s="899" t="str">
        <f>Annuitätenzuschuss!E19</f>
        <v/>
      </c>
      <c r="AA575" s="899">
        <f>Annuitätenzuschuss!F19</f>
        <v>25</v>
      </c>
      <c r="AB575" s="993">
        <f>Annuitätenzuschuss!G19</f>
        <v>5.0000000000000001E-3</v>
      </c>
      <c r="AC575" s="1063">
        <f ca="1">IF(OR($S$580="",$S$580=0,Y575=""),"",$S$580*AB575)</f>
        <v>9627.5079999999998</v>
      </c>
      <c r="AD575" s="653"/>
      <c r="AE575" s="653"/>
      <c r="AF575" s="653"/>
      <c r="AG575" s="653"/>
      <c r="AH575" s="653"/>
      <c r="AI575" s="653"/>
      <c r="AJ575" s="653"/>
      <c r="AK575" s="653"/>
      <c r="AL575" s="653"/>
      <c r="AM575" s="653"/>
      <c r="AN575" s="653"/>
      <c r="AO575" s="653"/>
      <c r="AP575" s="653"/>
      <c r="AQ575" s="653"/>
      <c r="AR575" s="653"/>
      <c r="AS575" s="653"/>
      <c r="AT575" s="653"/>
      <c r="AU575" s="653"/>
      <c r="AV575" s="653"/>
      <c r="AW575" s="653"/>
      <c r="AX575" s="653"/>
      <c r="AY575" s="653"/>
      <c r="AZ575" s="653"/>
      <c r="BA575" s="653"/>
      <c r="BB575" s="653"/>
      <c r="BC575" s="653"/>
      <c r="BD575" s="653"/>
      <c r="BE575" s="653"/>
      <c r="BF575" s="653"/>
      <c r="BG575" s="653"/>
      <c r="BH575" s="653"/>
      <c r="BI575" s="653"/>
      <c r="BJ575" s="653"/>
      <c r="BK575" s="653"/>
      <c r="BL575" s="653"/>
      <c r="BM575" s="653"/>
      <c r="BN575" s="653"/>
      <c r="BO575" s="653"/>
      <c r="BP575" s="653"/>
      <c r="BQ575" s="653"/>
      <c r="BR575" s="653"/>
      <c r="BS575" s="653"/>
      <c r="BT575" s="653"/>
      <c r="BU575" s="653"/>
      <c r="BV575" s="654"/>
    </row>
    <row r="576" spans="2:74" x14ac:dyDescent="0.25">
      <c r="B576" s="648"/>
      <c r="C576" s="649"/>
      <c r="D576" s="649"/>
      <c r="E576" s="649"/>
      <c r="F576" s="650"/>
      <c r="G576" s="653"/>
      <c r="H576" s="653"/>
      <c r="I576" s="653"/>
      <c r="J576" s="653"/>
      <c r="K576" s="653"/>
      <c r="L576" s="653"/>
      <c r="M576" s="653"/>
      <c r="N576" s="653"/>
      <c r="O576" s="653"/>
      <c r="P576" s="653" t="s">
        <v>587</v>
      </c>
      <c r="Q576" s="961">
        <f>Annuitätenzuschuss!$C$5</f>
        <v>0.02</v>
      </c>
      <c r="R576" s="653"/>
      <c r="S576" s="653"/>
      <c r="T576" s="653"/>
      <c r="U576" s="968">
        <f>Annuitätenzuschuss!$C$16</f>
        <v>0</v>
      </c>
      <c r="V576" s="653"/>
      <c r="W576" s="996">
        <f>Annuitätenzuschuss!B20</f>
        <v>26</v>
      </c>
      <c r="X576" s="893" t="str">
        <f>Annuitätenzuschuss!C20</f>
        <v>-</v>
      </c>
      <c r="Y576" s="899">
        <f>Annuitätenzuschuss!D20</f>
        <v>45</v>
      </c>
      <c r="Z576" s="899" t="str">
        <f>Annuitätenzuschuss!E20</f>
        <v/>
      </c>
      <c r="AA576" s="899">
        <f>Annuitätenzuschuss!F20</f>
        <v>20</v>
      </c>
      <c r="AB576" s="993">
        <f>Annuitätenzuschuss!G20</f>
        <v>3.5000000000000003E-2</v>
      </c>
      <c r="AC576" s="1063">
        <f ca="1">IF(OR($S$580="",$S$580=0,Y576=""),"",$S$580*AB576)</f>
        <v>67392.555999999997</v>
      </c>
      <c r="AD576" s="653"/>
      <c r="AE576" s="653"/>
      <c r="AF576" s="653"/>
      <c r="AG576" s="653"/>
      <c r="AH576" s="653"/>
      <c r="AI576" s="653"/>
      <c r="AJ576" s="653"/>
      <c r="AK576" s="653"/>
      <c r="AL576" s="653"/>
      <c r="AM576" s="653"/>
      <c r="AN576" s="653"/>
      <c r="AO576" s="653"/>
      <c r="AP576" s="653"/>
      <c r="AQ576" s="653"/>
      <c r="AR576" s="653"/>
      <c r="AS576" s="653"/>
      <c r="AT576" s="653"/>
      <c r="AU576" s="653"/>
      <c r="AV576" s="653"/>
      <c r="AW576" s="653"/>
      <c r="AX576" s="653"/>
      <c r="AY576" s="653"/>
      <c r="AZ576" s="653"/>
      <c r="BA576" s="653"/>
      <c r="BB576" s="653"/>
      <c r="BC576" s="653"/>
      <c r="BD576" s="653"/>
      <c r="BE576" s="653"/>
      <c r="BF576" s="653"/>
      <c r="BG576" s="653"/>
      <c r="BH576" s="653"/>
      <c r="BI576" s="653"/>
      <c r="BJ576" s="653"/>
      <c r="BK576" s="653"/>
      <c r="BL576" s="653"/>
      <c r="BM576" s="653"/>
      <c r="BN576" s="653"/>
      <c r="BO576" s="653"/>
      <c r="BP576" s="653"/>
      <c r="BQ576" s="653"/>
      <c r="BR576" s="653"/>
      <c r="BS576" s="653"/>
      <c r="BT576" s="653"/>
      <c r="BU576" s="653"/>
      <c r="BV576" s="654"/>
    </row>
    <row r="577" spans="2:74" x14ac:dyDescent="0.25">
      <c r="B577" s="651"/>
      <c r="C577" s="653"/>
      <c r="D577" s="653"/>
      <c r="E577" s="653"/>
      <c r="F577" s="654"/>
      <c r="G577" s="653"/>
      <c r="H577" s="653"/>
      <c r="I577" s="653"/>
      <c r="J577" s="653"/>
      <c r="K577" s="653"/>
      <c r="L577" s="653"/>
      <c r="M577" s="653"/>
      <c r="N577" s="653"/>
      <c r="O577" s="653"/>
      <c r="P577" s="653" t="s">
        <v>588</v>
      </c>
      <c r="Q577" s="961">
        <f>Annuitätenzuschuss!$C$6</f>
        <v>0.02</v>
      </c>
      <c r="R577" s="962"/>
      <c r="S577" s="653" t="str">
        <f ca="1">IF(SUM(R580:R583,R585:R586)&gt;R587,"WARNUNG","OK")</f>
        <v>OK</v>
      </c>
      <c r="T577" s="653"/>
      <c r="U577" s="651"/>
      <c r="V577" s="653"/>
      <c r="W577" s="996">
        <f>Annuitätenzuschuss!B21</f>
        <v>46</v>
      </c>
      <c r="X577" s="893" t="str">
        <f>Annuitätenzuschuss!C21</f>
        <v>-</v>
      </c>
      <c r="Y577" s="899">
        <f>Annuitätenzuschuss!D21</f>
        <v>50</v>
      </c>
      <c r="Z577" s="899" t="str">
        <f>Annuitätenzuschuss!E21</f>
        <v/>
      </c>
      <c r="AA577" s="899">
        <f>Annuitätenzuschuss!F21</f>
        <v>5</v>
      </c>
      <c r="AB577" s="993">
        <f>Annuitätenzuschuss!G21</f>
        <v>4.4999999999999998E-2</v>
      </c>
      <c r="AC577" s="1063">
        <f ca="1">IF(OR($S$580="",$S$580=0,Y577=""),"",$S$580*AB577)</f>
        <v>86647.571999999986</v>
      </c>
      <c r="AD577" s="653"/>
      <c r="AE577" s="653"/>
      <c r="AF577" s="653"/>
      <c r="AG577" s="653"/>
      <c r="AH577" s="653"/>
      <c r="AI577" s="653"/>
      <c r="AJ577" s="653"/>
      <c r="AK577" s="653"/>
      <c r="AL577" s="653"/>
      <c r="AM577" s="653"/>
      <c r="AN577" s="653"/>
      <c r="AO577" s="653"/>
      <c r="AP577" s="653"/>
      <c r="AQ577" s="653"/>
      <c r="AR577" s="653"/>
      <c r="AS577" s="653"/>
      <c r="AT577" s="653"/>
      <c r="AU577" s="653"/>
      <c r="AV577" s="653"/>
      <c r="AW577" s="653"/>
      <c r="AX577" s="653"/>
      <c r="AY577" s="653"/>
      <c r="AZ577" s="653"/>
      <c r="BA577" s="653"/>
      <c r="BB577" s="653"/>
      <c r="BC577" s="653"/>
      <c r="BD577" s="653"/>
      <c r="BE577" s="653"/>
      <c r="BF577" s="653"/>
      <c r="BG577" s="653"/>
      <c r="BH577" s="653"/>
      <c r="BI577" s="653"/>
      <c r="BJ577" s="653"/>
      <c r="BK577" s="653"/>
      <c r="BL577" s="653"/>
      <c r="BM577" s="653"/>
      <c r="BN577" s="653"/>
      <c r="BO577" s="653"/>
      <c r="BP577" s="653"/>
      <c r="BQ577" s="653"/>
      <c r="BR577" s="653"/>
      <c r="BS577" s="653"/>
      <c r="BT577" s="653"/>
      <c r="BU577" s="653"/>
      <c r="BV577" s="654"/>
    </row>
    <row r="578" spans="2:74" x14ac:dyDescent="0.25">
      <c r="B578" s="651"/>
      <c r="C578" s="875" t="s">
        <v>589</v>
      </c>
      <c r="D578" s="876"/>
      <c r="E578" s="876"/>
      <c r="F578" s="654"/>
      <c r="G578" s="653"/>
      <c r="H578" s="653"/>
      <c r="I578" s="691"/>
      <c r="J578" s="691"/>
      <c r="K578" s="653"/>
      <c r="L578" s="653"/>
      <c r="M578" s="653"/>
      <c r="N578" s="653"/>
      <c r="O578" s="653"/>
      <c r="P578" s="898" t="s">
        <v>200</v>
      </c>
      <c r="Q578" s="963">
        <f>Annuitätenzuschuss!$C$8</f>
        <v>35</v>
      </c>
      <c r="R578" s="653" t="s">
        <v>161</v>
      </c>
      <c r="S578" s="653"/>
      <c r="T578" s="653"/>
      <c r="U578" s="651"/>
      <c r="V578" s="653"/>
      <c r="W578" s="996" t="str">
        <f>Annuitätenzuschuss!B22</f>
        <v/>
      </c>
      <c r="X578" s="893" t="str">
        <f>Annuitätenzuschuss!C22</f>
        <v>-</v>
      </c>
      <c r="Y578" s="899">
        <f>Annuitätenzuschuss!D22</f>
        <v>0</v>
      </c>
      <c r="Z578" s="899" t="str">
        <f>Annuitätenzuschuss!E22</f>
        <v/>
      </c>
      <c r="AA578" s="899">
        <f>Annuitätenzuschuss!F22</f>
        <v>0</v>
      </c>
      <c r="AB578" s="993">
        <f>Annuitätenzuschuss!G22</f>
        <v>0</v>
      </c>
      <c r="AC578" s="1063">
        <f ca="1">IF(OR($S$580="",$S$580=0,Y578=""),"",$S$580*AB578)</f>
        <v>0</v>
      </c>
      <c r="AD578" s="653"/>
      <c r="AE578" s="653"/>
      <c r="AF578" s="653"/>
      <c r="AG578" s="653"/>
      <c r="AH578" s="653"/>
      <c r="AI578" s="653"/>
      <c r="AJ578" s="653"/>
      <c r="AK578" s="653"/>
      <c r="AL578" s="653"/>
      <c r="AM578" s="653"/>
      <c r="AN578" s="653"/>
      <c r="AO578" s="653"/>
      <c r="AP578" s="653"/>
      <c r="AQ578" s="653"/>
      <c r="AR578" s="653"/>
      <c r="AS578" s="653"/>
      <c r="AT578" s="653"/>
      <c r="AU578" s="653"/>
      <c r="AV578" s="653"/>
      <c r="AW578" s="653"/>
      <c r="AX578" s="653"/>
      <c r="AY578" s="653"/>
      <c r="AZ578" s="653"/>
      <c r="BA578" s="653"/>
      <c r="BB578" s="653"/>
      <c r="BC578" s="653"/>
      <c r="BD578" s="653"/>
      <c r="BE578" s="653"/>
      <c r="BF578" s="653"/>
      <c r="BG578" s="653"/>
      <c r="BH578" s="653"/>
      <c r="BI578" s="653"/>
      <c r="BJ578" s="653"/>
      <c r="BK578" s="653"/>
      <c r="BL578" s="653"/>
      <c r="BM578" s="653"/>
      <c r="BN578" s="653"/>
      <c r="BO578" s="653"/>
      <c r="BP578" s="653"/>
      <c r="BQ578" s="653"/>
      <c r="BR578" s="653"/>
      <c r="BS578" s="653"/>
      <c r="BT578" s="653"/>
      <c r="BU578" s="653"/>
      <c r="BV578" s="654"/>
    </row>
    <row r="579" spans="2:74" ht="15.75" thickBot="1" x14ac:dyDescent="0.3">
      <c r="B579" s="651"/>
      <c r="C579" s="877" t="e">
        <f ca="1">-(-AJ644/(1+$Q$577)^M644-AC644/(1+$Q$577)^M644)</f>
        <v>#VALUE!</v>
      </c>
      <c r="D579" s="876"/>
      <c r="E579" s="876"/>
      <c r="F579" s="654"/>
      <c r="G579" s="653"/>
      <c r="H579" s="653"/>
      <c r="I579" s="691"/>
      <c r="J579" s="691"/>
      <c r="K579" s="653"/>
      <c r="L579" s="653"/>
      <c r="M579" s="653"/>
      <c r="N579" s="653" t="s">
        <v>590</v>
      </c>
      <c r="O579" s="653"/>
      <c r="P579" s="653"/>
      <c r="Q579" s="653"/>
      <c r="R579" s="653"/>
      <c r="S579" s="653" t="s">
        <v>591</v>
      </c>
      <c r="T579" s="653"/>
      <c r="U579" s="680"/>
      <c r="V579" s="681"/>
      <c r="W579" s="1002" t="str">
        <f>Annuitätenzuschuss!B23</f>
        <v/>
      </c>
      <c r="X579" s="1003" t="str">
        <f>Annuitätenzuschuss!C23</f>
        <v>-</v>
      </c>
      <c r="Y579" s="994">
        <f>Annuitätenzuschuss!D23</f>
        <v>0</v>
      </c>
      <c r="Z579" s="994" t="str">
        <f>Annuitätenzuschuss!E23</f>
        <v/>
      </c>
      <c r="AA579" s="994">
        <f>Annuitätenzuschuss!F23</f>
        <v>0</v>
      </c>
      <c r="AB579" s="995">
        <f>Annuitätenzuschuss!G23</f>
        <v>0</v>
      </c>
      <c r="AC579" s="1063">
        <f ca="1">IF(OR($S$580="",$S$580=0,Y579=""),"",$S$580*AB579)</f>
        <v>0</v>
      </c>
      <c r="AD579" s="653"/>
      <c r="AE579" s="653"/>
      <c r="AF579" s="653"/>
      <c r="AG579" s="653"/>
      <c r="AH579" s="653"/>
      <c r="AI579" s="653"/>
      <c r="AJ579" s="653"/>
      <c r="AK579" s="653"/>
      <c r="AL579" s="653"/>
      <c r="AM579" s="653"/>
      <c r="AN579" s="653"/>
      <c r="AO579" s="653"/>
      <c r="AP579" s="653"/>
      <c r="AQ579" s="653"/>
      <c r="AR579" s="653"/>
      <c r="AS579" s="653"/>
      <c r="AT579" s="653"/>
      <c r="AU579" s="653"/>
      <c r="AV579" s="653"/>
      <c r="AW579" s="653"/>
      <c r="AX579" s="653"/>
      <c r="AY579" s="653"/>
      <c r="AZ579" s="653"/>
      <c r="BA579" s="653"/>
      <c r="BB579" s="653"/>
      <c r="BC579" s="653"/>
      <c r="BD579" s="653"/>
      <c r="BE579" s="653"/>
      <c r="BF579" s="653"/>
      <c r="BG579" s="653"/>
      <c r="BH579" s="653"/>
      <c r="BI579" s="653"/>
      <c r="BJ579" s="653"/>
      <c r="BK579" s="653"/>
      <c r="BL579" s="653"/>
      <c r="BM579" s="653"/>
      <c r="BN579" s="653"/>
      <c r="BO579" s="653"/>
      <c r="BP579" s="653"/>
      <c r="BQ579" s="653"/>
      <c r="BR579" s="653"/>
      <c r="BS579" s="653"/>
      <c r="BT579" s="653"/>
      <c r="BU579" s="653"/>
      <c r="BV579" s="654"/>
    </row>
    <row r="580" spans="2:74" x14ac:dyDescent="0.25">
      <c r="B580" s="651"/>
      <c r="C580" s="876"/>
      <c r="D580" s="876"/>
      <c r="E580" s="876"/>
      <c r="F580" s="654"/>
      <c r="G580" s="653"/>
      <c r="H580" s="653" t="s">
        <v>592</v>
      </c>
      <c r="I580" s="653"/>
      <c r="J580" s="653"/>
      <c r="K580" s="653"/>
      <c r="L580" s="653"/>
      <c r="M580" s="653"/>
      <c r="N580" s="653" t="s">
        <v>593</v>
      </c>
      <c r="O580" s="653"/>
      <c r="P580" s="964">
        <f>Annuitätenzuschuss!D592</f>
        <v>1496</v>
      </c>
      <c r="Q580" s="653" t="s">
        <v>68</v>
      </c>
      <c r="R580" s="965">
        <f>P580*I586</f>
        <v>1925501.5999999999</v>
      </c>
      <c r="S580" s="965">
        <f ca="1">IF(R584&lt;0,R580+R584,R580)</f>
        <v>1925501.5999999999</v>
      </c>
      <c r="T580" s="966"/>
      <c r="U580" s="653" t="s">
        <v>594</v>
      </c>
      <c r="V580" s="653" t="s">
        <v>595</v>
      </c>
      <c r="W580" s="653"/>
      <c r="X580" s="691"/>
      <c r="Y580" s="653"/>
      <c r="AB580" s="653"/>
      <c r="AC580" s="653"/>
      <c r="AD580" s="653"/>
      <c r="AE580" s="653"/>
      <c r="AF580" s="653"/>
      <c r="AG580" s="653"/>
      <c r="AH580" s="653"/>
      <c r="AI580" s="653"/>
      <c r="AJ580" s="653"/>
      <c r="AK580" s="653"/>
      <c r="AL580" s="653"/>
      <c r="AM580" s="653"/>
      <c r="AN580" s="653"/>
      <c r="AO580" s="653"/>
      <c r="AP580" s="653"/>
      <c r="AQ580" s="653"/>
      <c r="AR580" s="653"/>
      <c r="AS580" s="653"/>
      <c r="AT580" s="653"/>
      <c r="AU580" s="653"/>
      <c r="AV580" s="653"/>
      <c r="AW580" s="653"/>
      <c r="AX580" s="653"/>
      <c r="AY580" s="653"/>
      <c r="AZ580" s="653"/>
      <c r="BA580" s="653"/>
      <c r="BB580" s="653"/>
      <c r="BC580" s="653"/>
      <c r="BD580" s="653"/>
      <c r="BE580" s="653"/>
      <c r="BF580" s="653"/>
      <c r="BG580" s="653"/>
      <c r="BH580" s="653"/>
      <c r="BI580" s="653"/>
      <c r="BJ580" s="653"/>
      <c r="BK580" s="653"/>
      <c r="BL580" s="653"/>
      <c r="BM580" s="653"/>
      <c r="BN580" s="653"/>
      <c r="BO580" s="653"/>
      <c r="BP580" s="653"/>
      <c r="BQ580" s="653"/>
      <c r="BR580" s="653"/>
      <c r="BS580" s="653"/>
      <c r="BT580" s="653"/>
      <c r="BU580" s="653"/>
      <c r="BV580" s="654"/>
    </row>
    <row r="581" spans="2:74" x14ac:dyDescent="0.25">
      <c r="B581" s="651"/>
      <c r="C581" s="875" t="s">
        <v>597</v>
      </c>
      <c r="D581" s="876"/>
      <c r="E581" s="876"/>
      <c r="F581" s="654"/>
      <c r="G581" s="653"/>
      <c r="H581" s="653" t="s">
        <v>598</v>
      </c>
      <c r="I581" s="962">
        <f ca="1">K581/$I$586</f>
        <v>335.63825654572298</v>
      </c>
      <c r="J581" s="653" t="s">
        <v>68</v>
      </c>
      <c r="K581" s="964">
        <f ca="1">D590</f>
        <v>432000</v>
      </c>
      <c r="L581" s="653" t="s">
        <v>363</v>
      </c>
      <c r="M581" s="653"/>
      <c r="N581" s="653" t="s">
        <v>599</v>
      </c>
      <c r="O581" s="653"/>
      <c r="P581" s="653"/>
      <c r="Q581" s="653"/>
      <c r="R581" s="965">
        <f ca="1">IF(K583-R580-R582-R583-R585-R586&lt;=0,0,K583-R580-R582-R583-R585-R586)</f>
        <v>1576119.2711999998</v>
      </c>
      <c r="S581" s="965">
        <f ca="1">R581</f>
        <v>1576119.2711999998</v>
      </c>
      <c r="T581" s="966"/>
      <c r="U581" s="967"/>
      <c r="W581" s="998"/>
      <c r="X581" s="691"/>
      <c r="Y581" s="653"/>
      <c r="AB581" s="653"/>
      <c r="AC581" s="653"/>
      <c r="AD581" s="969"/>
      <c r="AE581" s="969"/>
      <c r="AF581" s="969"/>
      <c r="AG581" s="969"/>
      <c r="AH581" s="653"/>
      <c r="AI581" s="653"/>
      <c r="AJ581" s="653"/>
      <c r="AK581" s="653"/>
      <c r="AL581" s="653"/>
      <c r="AM581" s="653"/>
      <c r="AN581" s="653"/>
      <c r="AO581" s="653"/>
      <c r="AP581" s="653"/>
      <c r="AQ581" s="653"/>
      <c r="AR581" s="653"/>
      <c r="AS581" s="653"/>
      <c r="AT581" s="653"/>
      <c r="AU581" s="653"/>
      <c r="AV581" s="653"/>
      <c r="AW581" s="653"/>
      <c r="AX581" s="653"/>
      <c r="AY581" s="653"/>
      <c r="AZ581" s="653"/>
      <c r="BA581" s="653"/>
      <c r="BB581" s="653"/>
      <c r="BC581" s="653"/>
      <c r="BD581" s="653"/>
      <c r="BE581" s="653"/>
      <c r="BF581" s="653"/>
      <c r="BG581" s="653"/>
      <c r="BH581" s="653"/>
      <c r="BI581" s="653"/>
      <c r="BJ581" s="653"/>
      <c r="BK581" s="653"/>
      <c r="BL581" s="653"/>
      <c r="BM581" s="653"/>
      <c r="BN581" s="653"/>
      <c r="BO581" s="653"/>
      <c r="BP581" s="653"/>
      <c r="BQ581" s="653"/>
      <c r="BR581" s="653"/>
      <c r="BS581" s="653"/>
      <c r="BT581" s="653"/>
      <c r="BU581" s="653"/>
      <c r="BV581" s="654"/>
    </row>
    <row r="582" spans="2:74" x14ac:dyDescent="0.25">
      <c r="B582" s="651"/>
      <c r="C582" s="877">
        <f ca="1">SUM(AF594:AF644)</f>
        <v>28160.531842641009</v>
      </c>
      <c r="D582" s="876"/>
      <c r="E582" s="876"/>
      <c r="F582" s="654"/>
      <c r="G582" s="653"/>
      <c r="H582" s="880" t="s">
        <v>600</v>
      </c>
      <c r="I582" s="881">
        <f ca="1">K582/$I$586</f>
        <v>2935.9509719524508</v>
      </c>
      <c r="J582" s="880" t="s">
        <v>68</v>
      </c>
      <c r="K582" s="882">
        <f ca="1">K583-K581</f>
        <v>3778862.4959999993</v>
      </c>
      <c r="L582" s="880" t="s">
        <v>363</v>
      </c>
      <c r="M582" s="653"/>
      <c r="N582" s="653" t="s">
        <v>601</v>
      </c>
      <c r="O582" s="653"/>
      <c r="P582" s="970">
        <f>Annuitätenzuschuss!$C$9</f>
        <v>1</v>
      </c>
      <c r="Q582" s="653" t="s">
        <v>602</v>
      </c>
      <c r="R582" s="965">
        <f ca="1">K581*P582</f>
        <v>432000</v>
      </c>
      <c r="S582" s="965">
        <f ca="1">R582</f>
        <v>432000</v>
      </c>
      <c r="T582" s="653"/>
      <c r="U582" s="968">
        <f>Annuitätenzuschuss!$C$13</f>
        <v>0.03</v>
      </c>
      <c r="V582" s="899">
        <f>Annuitätenzuschuss!$C$14</f>
        <v>25</v>
      </c>
      <c r="W582" s="653" t="s">
        <v>161</v>
      </c>
      <c r="X582" s="691"/>
      <c r="Y582" s="653"/>
      <c r="Z582" s="653"/>
      <c r="AA582" s="1063"/>
      <c r="AB582" s="653"/>
      <c r="AC582" s="653"/>
      <c r="AD582" s="653"/>
      <c r="AE582" s="653"/>
      <c r="AF582" s="653"/>
      <c r="AG582" s="653"/>
      <c r="AH582" s="653"/>
      <c r="AI582" s="653"/>
      <c r="AJ582" s="653"/>
      <c r="AK582" s="653"/>
      <c r="AL582" s="653"/>
      <c r="AM582" s="653"/>
      <c r="AN582" s="653"/>
      <c r="AO582" s="653"/>
      <c r="AP582" s="653"/>
      <c r="AQ582" s="653"/>
      <c r="AR582" s="653"/>
      <c r="AS582" s="653"/>
      <c r="AT582" s="653"/>
      <c r="AU582" s="653"/>
      <c r="AV582" s="653"/>
      <c r="AW582" s="653"/>
      <c r="AX582" s="653"/>
      <c r="AY582" s="653"/>
      <c r="AZ582" s="653"/>
      <c r="BA582" s="653"/>
      <c r="BB582" s="653"/>
      <c r="BC582" s="653"/>
      <c r="BD582" s="653"/>
      <c r="BE582" s="653"/>
      <c r="BF582" s="653"/>
      <c r="BG582" s="653"/>
      <c r="BH582" s="653"/>
      <c r="BI582" s="653"/>
      <c r="BJ582" s="653"/>
      <c r="BK582" s="653"/>
      <c r="BL582" s="653"/>
      <c r="BM582" s="653"/>
      <c r="BN582" s="653"/>
      <c r="BO582" s="653"/>
      <c r="BP582" s="653"/>
      <c r="BQ582" s="653"/>
      <c r="BR582" s="653"/>
      <c r="BS582" s="653"/>
      <c r="BT582" s="653"/>
      <c r="BU582" s="653"/>
      <c r="BV582" s="654"/>
    </row>
    <row r="583" spans="2:74" ht="23.25" x14ac:dyDescent="0.35">
      <c r="B583" s="651"/>
      <c r="C583" s="884" t="s">
        <v>603</v>
      </c>
      <c r="D583" s="885"/>
      <c r="E583" s="885"/>
      <c r="F583" s="654"/>
      <c r="G583" s="653"/>
      <c r="H583" s="653" t="s">
        <v>604</v>
      </c>
      <c r="I583" s="962">
        <f ca="1">K583/$I$586</f>
        <v>3271.5892284981737</v>
      </c>
      <c r="J583" s="653" t="s">
        <v>68</v>
      </c>
      <c r="K583" s="964">
        <f ca="1">Annuitätenzuschuss!D589</f>
        <v>4210862.4959999993</v>
      </c>
      <c r="L583" s="653" t="s">
        <v>363</v>
      </c>
      <c r="M583" s="653"/>
      <c r="N583" s="653" t="s">
        <v>605</v>
      </c>
      <c r="O583" s="653"/>
      <c r="P583" s="970">
        <f>Annuitätenzuschuss!$C$11</f>
        <v>0.05</v>
      </c>
      <c r="Q583" s="653" t="str">
        <f>IF($F$11="Prozent","%Baukosten","AbsoluterWert")</f>
        <v>%Baukosten</v>
      </c>
      <c r="R583" s="965">
        <f ca="1">IF($F$11="Prozent",K582*P583,P583)</f>
        <v>188943.12479999999</v>
      </c>
      <c r="S583" s="965">
        <f ca="1">R583</f>
        <v>188943.12479999999</v>
      </c>
      <c r="T583" s="898" t="s">
        <v>205</v>
      </c>
      <c r="U583" s="968">
        <f>Annuitätenzuschuss!$C$10</f>
        <v>0</v>
      </c>
      <c r="V583" s="971">
        <v>2000</v>
      </c>
      <c r="W583" s="653" t="s">
        <v>606</v>
      </c>
      <c r="X583" s="691"/>
      <c r="Y583" s="653" t="s">
        <v>607</v>
      </c>
      <c r="Z583" s="653"/>
      <c r="AA583" s="1063"/>
      <c r="AB583" s="653"/>
      <c r="AC583" s="653"/>
      <c r="AD583" s="653"/>
      <c r="AE583" s="653"/>
      <c r="AF583" s="653"/>
      <c r="AG583" s="653"/>
      <c r="AH583" s="653"/>
      <c r="AI583" s="653"/>
      <c r="AJ583" s="653"/>
      <c r="AK583" s="653"/>
      <c r="AL583" s="653"/>
      <c r="AM583" s="653"/>
      <c r="AN583" s="653"/>
      <c r="AO583" s="653"/>
      <c r="AP583" s="653"/>
      <c r="AQ583" s="653"/>
      <c r="AR583" s="653"/>
      <c r="AS583" s="653"/>
      <c r="AT583" s="653"/>
      <c r="AU583" s="653"/>
      <c r="AV583" s="653"/>
      <c r="AW583" s="653"/>
      <c r="AX583" s="653"/>
      <c r="AY583" s="653"/>
      <c r="AZ583" s="653"/>
      <c r="BA583" s="653"/>
      <c r="BB583" s="653"/>
      <c r="BC583" s="653"/>
      <c r="BD583" s="653"/>
      <c r="BE583" s="653"/>
      <c r="BF583" s="653"/>
      <c r="BG583" s="653"/>
      <c r="BH583" s="653"/>
      <c r="BI583" s="653"/>
      <c r="BJ583" s="653"/>
      <c r="BK583" s="653"/>
      <c r="BL583" s="653"/>
      <c r="BM583" s="653"/>
      <c r="BN583" s="653"/>
      <c r="BO583" s="653"/>
      <c r="BP583" s="653"/>
      <c r="BQ583" s="653"/>
      <c r="BR583" s="653"/>
      <c r="BS583" s="653"/>
      <c r="BT583" s="653"/>
      <c r="BU583" s="653"/>
      <c r="BV583" s="654"/>
    </row>
    <row r="584" spans="2:74" ht="23.25" x14ac:dyDescent="0.35">
      <c r="B584" s="651"/>
      <c r="C584" s="886">
        <f ca="1">AL591</f>
        <v>-518440.46332521032</v>
      </c>
      <c r="D584" s="885"/>
      <c r="E584" s="885"/>
      <c r="F584" s="654"/>
      <c r="G584" s="653"/>
      <c r="H584" s="653"/>
      <c r="I584" s="653"/>
      <c r="J584" s="653"/>
      <c r="K584" s="653"/>
      <c r="L584" s="653"/>
      <c r="M584" s="653"/>
      <c r="N584" s="653" t="s">
        <v>608</v>
      </c>
      <c r="O584" s="653"/>
      <c r="P584" s="653"/>
      <c r="Q584" s="653"/>
      <c r="R584" s="962">
        <f ca="1">IF(SUM(R580:R583,R585:R586)-K583&gt;0,-SUM(R580:R583,R585:R586)+K583,0)</f>
        <v>0</v>
      </c>
      <c r="S584" s="653"/>
      <c r="T584" s="898" t="s">
        <v>205</v>
      </c>
      <c r="U584" s="968">
        <f>Annuitätenzuschuss!$C$12</f>
        <v>0.02</v>
      </c>
      <c r="V584" s="971">
        <f ca="1">IF(S583=0,0,NPER(U584,-(U584+$Q$576)*S583,S583))</f>
        <v>35.002788781146499</v>
      </c>
      <c r="W584" s="653" t="s">
        <v>606</v>
      </c>
      <c r="X584" s="653"/>
      <c r="Y584" s="653" t="s">
        <v>609</v>
      </c>
      <c r="Z584" s="653"/>
      <c r="AA584" s="1063"/>
      <c r="AB584" s="653"/>
      <c r="AC584" s="653"/>
      <c r="AD584" s="653"/>
      <c r="AE584" s="653"/>
      <c r="AF584" s="653"/>
      <c r="AG584" s="653"/>
      <c r="AH584" s="653"/>
      <c r="AI584" s="653"/>
      <c r="AJ584" s="653"/>
      <c r="AK584" s="653"/>
      <c r="AL584" s="653"/>
      <c r="AM584" s="653"/>
      <c r="AN584" s="653"/>
      <c r="AO584" s="653"/>
      <c r="AP584" s="653"/>
      <c r="AQ584" s="653"/>
      <c r="AR584" s="653"/>
      <c r="AS584" s="653"/>
      <c r="AT584" s="653"/>
      <c r="AU584" s="653"/>
      <c r="AV584" s="653"/>
      <c r="AW584" s="653"/>
      <c r="AX584" s="653"/>
      <c r="AY584" s="653"/>
      <c r="AZ584" s="653"/>
      <c r="BA584" s="653"/>
      <c r="BB584" s="653"/>
      <c r="BC584" s="653"/>
      <c r="BD584" s="653"/>
      <c r="BE584" s="653"/>
      <c r="BF584" s="653"/>
      <c r="BG584" s="653"/>
      <c r="BH584" s="653"/>
      <c r="BI584" s="653"/>
      <c r="BJ584" s="653"/>
      <c r="BK584" s="653"/>
      <c r="BL584" s="653"/>
      <c r="BM584" s="653"/>
      <c r="BN584" s="653"/>
      <c r="BO584" s="653"/>
      <c r="BP584" s="653"/>
      <c r="BQ584" s="653"/>
      <c r="BR584" s="653"/>
      <c r="BS584" s="653"/>
      <c r="BT584" s="653"/>
      <c r="BU584" s="653"/>
      <c r="BV584" s="654"/>
    </row>
    <row r="585" spans="2:74" x14ac:dyDescent="0.25">
      <c r="B585" s="651"/>
      <c r="C585" s="653"/>
      <c r="D585" s="653"/>
      <c r="E585" s="653"/>
      <c r="F585" s="654"/>
      <c r="G585" s="653"/>
      <c r="H585" s="653" t="s">
        <v>610</v>
      </c>
      <c r="I585" s="653"/>
      <c r="J585" s="653"/>
      <c r="K585" s="653"/>
      <c r="L585" s="653"/>
      <c r="M585" s="653"/>
      <c r="N585" s="653" t="s">
        <v>611</v>
      </c>
      <c r="O585" s="653"/>
      <c r="P585" s="653"/>
      <c r="Q585" s="653"/>
      <c r="R585" s="964">
        <f>D593</f>
        <v>43250</v>
      </c>
      <c r="S585" s="965">
        <f>R585</f>
        <v>43250</v>
      </c>
      <c r="T585" s="653"/>
      <c r="U585" s="653"/>
      <c r="V585" s="653"/>
      <c r="W585" s="653"/>
      <c r="X585" s="653"/>
      <c r="Y585" s="653"/>
      <c r="Z585" s="653"/>
      <c r="AA585" s="1063"/>
      <c r="AB585" s="653"/>
      <c r="AC585" s="653"/>
      <c r="AD585" s="653"/>
      <c r="AE585" s="653"/>
      <c r="AF585" s="653"/>
      <c r="AG585" s="653"/>
      <c r="AH585" s="653"/>
      <c r="AI585" s="653"/>
      <c r="AJ585" s="653"/>
      <c r="AK585" s="653"/>
      <c r="AL585" s="653"/>
      <c r="AM585" s="653"/>
      <c r="AN585" s="653"/>
      <c r="AO585" s="653"/>
      <c r="AP585" s="653"/>
      <c r="AQ585" s="653"/>
      <c r="AR585" s="653"/>
      <c r="AS585" s="653"/>
      <c r="AT585" s="653"/>
      <c r="AU585" s="653"/>
      <c r="AV585" s="653"/>
      <c r="AW585" s="653"/>
      <c r="AX585" s="653"/>
      <c r="AY585" s="653"/>
      <c r="AZ585" s="653"/>
      <c r="BA585" s="653"/>
      <c r="BB585" s="653"/>
      <c r="BC585" s="653"/>
      <c r="BD585" s="653"/>
      <c r="BE585" s="653"/>
      <c r="BF585" s="653"/>
      <c r="BG585" s="653"/>
      <c r="BH585" s="653"/>
      <c r="BI585" s="653"/>
      <c r="BJ585" s="653"/>
      <c r="BK585" s="653"/>
      <c r="BL585" s="653"/>
      <c r="BM585" s="653"/>
      <c r="BN585" s="653"/>
      <c r="BO585" s="653"/>
      <c r="BP585" s="653"/>
      <c r="BQ585" s="653"/>
      <c r="BR585" s="653"/>
      <c r="BS585" s="653"/>
      <c r="BT585" s="653"/>
      <c r="BU585" s="653"/>
      <c r="BV585" s="654"/>
    </row>
    <row r="586" spans="2:74" ht="15.75" thickBot="1" x14ac:dyDescent="0.3">
      <c r="B586" s="680"/>
      <c r="C586" s="681"/>
      <c r="D586" s="681"/>
      <c r="E586" s="681"/>
      <c r="F586" s="666"/>
      <c r="G586" s="653"/>
      <c r="H586" s="653" t="s">
        <v>361</v>
      </c>
      <c r="I586" s="983">
        <f>D591</f>
        <v>1287.0999999999999</v>
      </c>
      <c r="J586" s="653" t="s">
        <v>67</v>
      </c>
      <c r="K586" s="653"/>
      <c r="L586" s="653"/>
      <c r="M586" s="653"/>
      <c r="N586" s="880" t="s">
        <v>612</v>
      </c>
      <c r="O586" s="880"/>
      <c r="P586" s="887">
        <f>Annuitätenzuschuss!$C$15</f>
        <v>35</v>
      </c>
      <c r="Q586" s="880" t="s">
        <v>68</v>
      </c>
      <c r="R586" s="888">
        <f>P586*I586</f>
        <v>45048.5</v>
      </c>
      <c r="S586" s="965">
        <f>R586</f>
        <v>45048.5</v>
      </c>
      <c r="T586" s="653"/>
      <c r="U586" s="878" t="s">
        <v>613</v>
      </c>
      <c r="V586" s="889"/>
      <c r="W586" s="889"/>
      <c r="X586" s="889"/>
      <c r="Y586" s="890"/>
      <c r="Z586" s="889"/>
      <c r="AA586" s="889"/>
      <c r="AB586" s="889"/>
      <c r="AC586" s="889"/>
      <c r="AD586" s="891"/>
      <c r="AE586" s="653"/>
      <c r="AF586" s="653"/>
      <c r="AG586" s="653"/>
      <c r="AH586" s="653"/>
      <c r="AI586" s="653"/>
      <c r="AJ586" s="653"/>
      <c r="AK586" s="653"/>
      <c r="AL586" s="653"/>
      <c r="AM586" s="653"/>
      <c r="AN586" s="653"/>
      <c r="AO586" s="653"/>
      <c r="AP586" s="653"/>
      <c r="AQ586" s="653"/>
      <c r="AR586" s="653"/>
      <c r="AS586" s="653"/>
      <c r="AT586" s="653"/>
      <c r="AU586" s="653"/>
      <c r="AV586" s="653"/>
      <c r="AW586" s="653"/>
      <c r="AX586" s="653"/>
      <c r="AY586" s="653"/>
      <c r="AZ586" s="653"/>
      <c r="BA586" s="653"/>
      <c r="BB586" s="653"/>
      <c r="BC586" s="653"/>
      <c r="BD586" s="653"/>
      <c r="BE586" s="653"/>
      <c r="BF586" s="653"/>
      <c r="BG586" s="653"/>
      <c r="BH586" s="653"/>
      <c r="BI586" s="653"/>
      <c r="BJ586" s="653"/>
      <c r="BK586" s="653"/>
      <c r="BL586" s="653"/>
      <c r="BM586" s="653"/>
      <c r="BN586" s="653"/>
      <c r="BO586" s="653"/>
      <c r="BP586" s="653"/>
      <c r="BQ586" s="653"/>
      <c r="BR586" s="653"/>
      <c r="BS586" s="653"/>
      <c r="BT586" s="653"/>
      <c r="BU586" s="653"/>
      <c r="BV586" s="654"/>
    </row>
    <row r="587" spans="2:74" ht="19.5" thickBot="1" x14ac:dyDescent="0.3">
      <c r="B587" s="651"/>
      <c r="C587" s="653"/>
      <c r="D587" s="653"/>
      <c r="E587" s="653"/>
      <c r="F587" s="653"/>
      <c r="G587" s="653"/>
      <c r="H587" s="653"/>
      <c r="I587" s="653"/>
      <c r="J587" s="653"/>
      <c r="K587" s="653"/>
      <c r="L587" s="653"/>
      <c r="M587" s="653"/>
      <c r="N587" s="653"/>
      <c r="O587" s="653"/>
      <c r="P587" s="653"/>
      <c r="Q587" s="653"/>
      <c r="R587" s="962">
        <f ca="1">SUM(R580:R586)</f>
        <v>4210862.4959999993</v>
      </c>
      <c r="S587" s="965">
        <f ca="1">SUM(S580:S586)</f>
        <v>4210862.4959999993</v>
      </c>
      <c r="T587" s="965"/>
      <c r="U587" s="892"/>
      <c r="V587" s="653" t="s">
        <v>614</v>
      </c>
      <c r="W587" s="653"/>
      <c r="X587" s="653"/>
      <c r="Y587" s="893">
        <f>Annuitätenzuschuss!$C$27</f>
        <v>5.0199999999999996</v>
      </c>
      <c r="Z587" s="653" t="s">
        <v>615</v>
      </c>
      <c r="AA587" s="876"/>
      <c r="AB587" s="876"/>
      <c r="AC587" s="894" t="s">
        <v>616</v>
      </c>
      <c r="AD587" s="895">
        <f ca="1">VLOOKUP($V$595,AM595:AN694,2,FALSE)-1</f>
        <v>49</v>
      </c>
      <c r="AE587" s="896"/>
      <c r="AF587" s="896"/>
      <c r="AG587" s="896"/>
      <c r="AH587" s="653"/>
      <c r="AI587" s="1705" t="s">
        <v>700</v>
      </c>
      <c r="AJ587" s="1705"/>
      <c r="AK587" s="1705"/>
      <c r="AL587" s="1705"/>
      <c r="AM587" s="653"/>
      <c r="AN587" s="653"/>
      <c r="AO587" s="1706" t="s">
        <v>700</v>
      </c>
      <c r="AP587" s="1706"/>
      <c r="AQ587" s="1706"/>
      <c r="AR587" s="653"/>
      <c r="AS587" s="653"/>
      <c r="AT587" s="653"/>
      <c r="AU587" s="653"/>
      <c r="AV587" s="653"/>
      <c r="AW587" s="653"/>
      <c r="AX587" s="653"/>
      <c r="AY587" s="653"/>
      <c r="AZ587" s="653"/>
      <c r="BA587" s="653"/>
      <c r="BB587" s="653"/>
      <c r="BC587" s="653"/>
      <c r="BD587" s="653"/>
      <c r="BE587" s="653"/>
      <c r="BF587" s="653"/>
      <c r="BG587" s="653"/>
      <c r="BH587" s="653"/>
      <c r="BI587" s="653"/>
      <c r="BJ587" s="653"/>
      <c r="BK587" s="653"/>
      <c r="BL587" s="653"/>
      <c r="BM587" s="653"/>
      <c r="BN587" s="653"/>
      <c r="BO587" s="653"/>
      <c r="BP587" s="653"/>
      <c r="BQ587" s="653"/>
      <c r="BR587" s="653"/>
      <c r="BS587" s="653"/>
      <c r="BT587" s="653"/>
      <c r="BU587" s="653"/>
      <c r="BV587" s="654"/>
    </row>
    <row r="588" spans="2:74" ht="27" thickBot="1" x14ac:dyDescent="0.45">
      <c r="B588" s="651"/>
      <c r="C588" s="1707" t="s">
        <v>693</v>
      </c>
      <c r="D588" s="1708"/>
      <c r="E588" s="1709"/>
      <c r="F588" s="653"/>
      <c r="G588" s="653"/>
      <c r="H588" s="653"/>
      <c r="I588" s="653"/>
      <c r="J588" s="653"/>
      <c r="K588" s="653"/>
      <c r="L588" s="653"/>
      <c r="M588" s="653"/>
      <c r="N588" s="653"/>
      <c r="O588" s="653"/>
      <c r="P588" s="653"/>
      <c r="Q588" s="653"/>
      <c r="R588" s="653"/>
      <c r="S588" s="965"/>
      <c r="T588" s="691"/>
      <c r="U588" s="897"/>
      <c r="V588" s="898" t="s">
        <v>617</v>
      </c>
      <c r="W588" s="899">
        <f>Annuitätenzuschuss!$C$26</f>
        <v>25</v>
      </c>
      <c r="X588" s="653" t="s">
        <v>481</v>
      </c>
      <c r="Y588" s="1063"/>
      <c r="Z588" s="653"/>
      <c r="AA588" s="876"/>
      <c r="AB588" s="876"/>
      <c r="AC588" s="894" t="s">
        <v>618</v>
      </c>
      <c r="AD588" s="895">
        <f ca="1">SUMIF(Y595:Y644,"&lt;0")*-1</f>
        <v>970387.58101894276</v>
      </c>
      <c r="AE588" s="896"/>
      <c r="AF588" s="896"/>
      <c r="AG588" s="896"/>
      <c r="AH588" s="653"/>
      <c r="AI588" s="653"/>
      <c r="AJ588" s="653"/>
      <c r="AK588" s="653"/>
      <c r="AL588" s="653"/>
      <c r="AM588" s="653"/>
      <c r="AN588" s="653"/>
      <c r="AO588" s="653"/>
      <c r="AP588" s="653"/>
      <c r="AQ588" s="653"/>
      <c r="AR588" s="653"/>
      <c r="AS588" s="653"/>
      <c r="AT588" s="653"/>
      <c r="AU588" s="653"/>
      <c r="AV588" s="653"/>
      <c r="AW588" s="653"/>
      <c r="AX588" s="653"/>
      <c r="AY588" s="653"/>
      <c r="AZ588" s="653"/>
      <c r="BA588" s="653"/>
      <c r="BB588" s="653"/>
      <c r="BC588" s="653"/>
      <c r="BD588" s="653"/>
      <c r="BE588" s="653"/>
      <c r="BF588" s="653"/>
      <c r="BG588" s="653"/>
      <c r="BH588" s="653"/>
      <c r="BI588" s="653"/>
      <c r="BJ588" s="653"/>
      <c r="BK588" s="653"/>
      <c r="BL588" s="653"/>
      <c r="BM588" s="653"/>
      <c r="BN588" s="653"/>
      <c r="BO588" s="653"/>
      <c r="BP588" s="653"/>
      <c r="BQ588" s="653"/>
      <c r="BR588" s="653"/>
      <c r="BS588" s="653"/>
      <c r="BT588" s="653"/>
      <c r="BU588" s="653"/>
      <c r="BV588" s="654"/>
    </row>
    <row r="589" spans="2:74" ht="15.75" thickBot="1" x14ac:dyDescent="0.3">
      <c r="B589" s="651"/>
      <c r="C589" s="924" t="s">
        <v>652</v>
      </c>
      <c r="D589" s="1012">
        <f ca="1">'3.5 Fi&amp;Fo'!$G$13</f>
        <v>4210862.4959999993</v>
      </c>
      <c r="E589" s="925" t="s">
        <v>363</v>
      </c>
      <c r="F589" s="653"/>
      <c r="G589" s="899" t="s">
        <v>619</v>
      </c>
      <c r="H589" s="899"/>
      <c r="I589" s="691"/>
      <c r="J589" s="691"/>
      <c r="K589" s="691"/>
      <c r="L589" s="653"/>
      <c r="M589" s="653"/>
      <c r="N589" s="653"/>
      <c r="O589" s="1711" t="s">
        <v>620</v>
      </c>
      <c r="P589" s="1712"/>
      <c r="Q589" s="1712"/>
      <c r="R589" s="1712"/>
      <c r="S589" s="1712"/>
      <c r="T589" s="1712"/>
      <c r="U589" s="1712"/>
      <c r="V589" s="1712"/>
      <c r="W589" s="1712"/>
      <c r="X589" s="1712"/>
      <c r="Y589" s="1712"/>
      <c r="Z589" s="1712"/>
      <c r="AA589" s="1712"/>
      <c r="AB589" s="1712"/>
      <c r="AC589" s="1712"/>
      <c r="AD589" s="1712"/>
      <c r="AE589" s="1712"/>
      <c r="AF589" s="1712"/>
      <c r="AG589" s="1712"/>
      <c r="AH589" s="1713"/>
      <c r="AI589" s="1714" t="s">
        <v>621</v>
      </c>
      <c r="AJ589" s="1715"/>
      <c r="AK589" s="1715"/>
      <c r="AL589" s="1716"/>
      <c r="AM589" s="691"/>
      <c r="AN589" s="691"/>
      <c r="AO589" s="653" t="s">
        <v>666</v>
      </c>
      <c r="AP589" s="653" t="s">
        <v>625</v>
      </c>
      <c r="AQ589" s="653" t="s">
        <v>626</v>
      </c>
      <c r="AR589" s="653"/>
      <c r="AS589" s="653"/>
      <c r="AT589" s="653"/>
      <c r="AU589" s="653"/>
      <c r="AV589" s="653"/>
      <c r="AW589" s="653"/>
      <c r="AX589" s="653"/>
      <c r="AY589" s="653"/>
      <c r="AZ589" s="653"/>
      <c r="BA589" s="653"/>
      <c r="BB589" s="653"/>
      <c r="BC589" s="653"/>
      <c r="BD589" s="653"/>
      <c r="BE589" s="653"/>
      <c r="BF589" s="653"/>
      <c r="BG589" s="653"/>
      <c r="BH589" s="653"/>
      <c r="BI589" s="653"/>
      <c r="BJ589" s="653"/>
      <c r="BK589" s="653"/>
      <c r="BL589" s="653"/>
      <c r="BM589" s="653"/>
      <c r="BN589" s="653"/>
      <c r="BO589" s="653"/>
      <c r="BP589" s="653"/>
      <c r="BQ589" s="653"/>
      <c r="BR589" s="653"/>
      <c r="BS589" s="653"/>
      <c r="BT589" s="653"/>
      <c r="BU589" s="653"/>
      <c r="BV589" s="654"/>
    </row>
    <row r="590" spans="2:74" ht="15.75" thickBot="1" x14ac:dyDescent="0.3">
      <c r="B590" s="651"/>
      <c r="C590" s="924" t="s">
        <v>598</v>
      </c>
      <c r="D590" s="1012">
        <f ca="1">'3.5 I&amp;W'!$S$27</f>
        <v>432000</v>
      </c>
      <c r="E590" s="925"/>
      <c r="F590" s="653"/>
      <c r="G590" s="876" t="s">
        <v>622</v>
      </c>
      <c r="H590" s="876"/>
      <c r="I590" s="691"/>
      <c r="J590" s="691"/>
      <c r="K590" s="691"/>
      <c r="L590" s="653"/>
      <c r="M590" s="653"/>
      <c r="N590" s="972"/>
      <c r="O590" s="691"/>
      <c r="P590" s="909"/>
      <c r="Q590" s="798"/>
      <c r="R590" s="798"/>
      <c r="S590" s="798"/>
      <c r="T590" s="798"/>
      <c r="U590" s="798"/>
      <c r="V590" s="653"/>
      <c r="W590" s="691"/>
      <c r="X590" s="691"/>
      <c r="Y590" s="691"/>
      <c r="Z590" s="691"/>
      <c r="AA590" s="691"/>
      <c r="AB590" s="691"/>
      <c r="AC590" s="691"/>
      <c r="AD590" s="691"/>
      <c r="AE590" s="691"/>
      <c r="AF590" s="691"/>
      <c r="AG590" s="973"/>
      <c r="AH590" s="691"/>
      <c r="AI590" s="1717" t="s">
        <v>623</v>
      </c>
      <c r="AJ590" s="1718"/>
      <c r="AK590" s="1719" t="s">
        <v>624</v>
      </c>
      <c r="AL590" s="1720"/>
      <c r="AM590" s="691"/>
      <c r="AN590" s="691"/>
      <c r="AO590" s="1014">
        <f>NPV($Q$577,AO594:AO643)</f>
        <v>1900260.3431783211</v>
      </c>
      <c r="AP590" s="1014">
        <f ca="1">NPV($Q$575,AP595:AP644)</f>
        <v>442465.21648071217</v>
      </c>
      <c r="AQ590" s="1014">
        <f ca="1">NPV($Q$575,AQ595:AQ644)</f>
        <v>-331040.45490902103</v>
      </c>
      <c r="AR590" s="653"/>
      <c r="AS590" s="653"/>
      <c r="AT590" s="653"/>
      <c r="AU590" s="653"/>
      <c r="AV590" s="653"/>
      <c r="AW590" s="653"/>
      <c r="AX590" s="653"/>
      <c r="AY590" s="653"/>
      <c r="AZ590" s="653"/>
      <c r="BA590" s="653"/>
      <c r="BB590" s="653"/>
      <c r="BC590" s="653"/>
      <c r="BD590" s="653"/>
      <c r="BE590" s="653"/>
      <c r="BF590" s="653"/>
      <c r="BG590" s="653"/>
      <c r="BH590" s="653"/>
      <c r="BI590" s="653"/>
      <c r="BJ590" s="653"/>
      <c r="BK590" s="653"/>
      <c r="BL590" s="653"/>
      <c r="BM590" s="653"/>
      <c r="BN590" s="653"/>
      <c r="BO590" s="653"/>
      <c r="BP590" s="653"/>
      <c r="BQ590" s="653"/>
      <c r="BR590" s="653"/>
      <c r="BS590" s="653"/>
      <c r="BT590" s="653"/>
      <c r="BU590" s="653"/>
      <c r="BV590" s="654"/>
    </row>
    <row r="591" spans="2:74" x14ac:dyDescent="0.25">
      <c r="B591" s="651"/>
      <c r="C591" s="924" t="s">
        <v>361</v>
      </c>
      <c r="D591" s="1012">
        <f>'1. Projektangaben'!$F$92</f>
        <v>1287.0999999999999</v>
      </c>
      <c r="E591" s="925"/>
      <c r="F591" s="653"/>
      <c r="G591" s="974" t="s">
        <v>627</v>
      </c>
      <c r="H591" s="974"/>
      <c r="I591" s="653"/>
      <c r="J591" s="653"/>
      <c r="K591" s="653"/>
      <c r="L591" s="653"/>
      <c r="M591" s="653"/>
      <c r="N591" s="975">
        <f ca="1">NPV($Q$577,N595:N644)*-1</f>
        <v>-985684.0397660099</v>
      </c>
      <c r="O591" s="975">
        <f ca="1">NPV($Q$577,O595:O644)*-1</f>
        <v>-6693.9584643865519</v>
      </c>
      <c r="P591" s="975"/>
      <c r="Q591" s="975">
        <f ca="1">NPV($Q$577,R595:R644)*-1</f>
        <v>-1767130.0177317285</v>
      </c>
      <c r="R591" s="916"/>
      <c r="S591" s="916"/>
      <c r="T591" s="916"/>
      <c r="U591" s="916"/>
      <c r="V591" s="916"/>
      <c r="W591" s="916"/>
      <c r="X591" s="916"/>
      <c r="Y591" s="916"/>
      <c r="Z591" s="916"/>
      <c r="AA591" s="916"/>
      <c r="AB591" s="916"/>
      <c r="AC591" s="975">
        <f ca="1">NPV($Q$577,AC595:AC644)</f>
        <v>0</v>
      </c>
      <c r="AD591" s="975"/>
      <c r="AE591" s="975"/>
      <c r="AF591" s="975"/>
      <c r="AG591" s="975">
        <f>NPV($Q$577,AG595:AG644)</f>
        <v>2436426.2662981339</v>
      </c>
      <c r="AH591" s="975"/>
      <c r="AI591" s="1014">
        <f ca="1">NPV($Q$577,AI595:AI644)</f>
        <v>-2456706.0133670978</v>
      </c>
      <c r="AJ591" s="1014">
        <f ca="1">NPV($Q$577,AJ595:AJ644)</f>
        <v>-518440.46332521032</v>
      </c>
      <c r="AK591" s="1014">
        <f ca="1">NPV($Q$577,AK595:AK644)</f>
        <v>-2456706.0133670983</v>
      </c>
      <c r="AL591" s="1014">
        <f ca="1">NPV($Q$577,AL595:AL644)</f>
        <v>-518440.46332521032</v>
      </c>
      <c r="AM591" s="975"/>
      <c r="AN591" s="975"/>
      <c r="AO591" s="975"/>
      <c r="AR591" s="653"/>
      <c r="AS591" s="653"/>
      <c r="AT591" s="653"/>
      <c r="AU591" s="653"/>
      <c r="AV591" s="653"/>
      <c r="AW591" s="653"/>
      <c r="AX591" s="653"/>
      <c r="AY591" s="653"/>
      <c r="AZ591" s="653"/>
      <c r="BA591" s="653"/>
      <c r="BB591" s="653"/>
      <c r="BC591" s="653"/>
      <c r="BD591" s="653"/>
      <c r="BE591" s="653"/>
      <c r="BF591" s="653"/>
      <c r="BG591" s="653"/>
      <c r="BH591" s="653"/>
      <c r="BI591" s="653"/>
      <c r="BJ591" s="653"/>
      <c r="BK591" s="653"/>
      <c r="BL591" s="653"/>
      <c r="BM591" s="653"/>
      <c r="BN591" s="653"/>
      <c r="BO591" s="653"/>
      <c r="BP591" s="653"/>
      <c r="BQ591" s="653"/>
      <c r="BR591" s="653"/>
      <c r="BS591" s="653"/>
      <c r="BT591" s="653"/>
      <c r="BU591" s="653"/>
      <c r="BV591" s="654"/>
    </row>
    <row r="592" spans="2:74" ht="15.75" thickBot="1" x14ac:dyDescent="0.3">
      <c r="B592" s="651"/>
      <c r="C592" s="924" t="s">
        <v>653</v>
      </c>
      <c r="D592" s="1012">
        <f>'1. Projektangaben'!$H$92</f>
        <v>1496</v>
      </c>
      <c r="E592" s="925" t="s">
        <v>68</v>
      </c>
      <c r="F592" s="653"/>
      <c r="G592" s="976" t="s">
        <v>628</v>
      </c>
      <c r="H592" s="976"/>
      <c r="I592" s="653"/>
      <c r="J592" s="653"/>
      <c r="K592" s="653"/>
      <c r="L592" s="653"/>
      <c r="M592" s="653"/>
      <c r="N592" s="691"/>
      <c r="O592" s="691"/>
      <c r="P592" s="691"/>
      <c r="Q592" s="653"/>
      <c r="R592" s="653"/>
      <c r="S592" s="653"/>
      <c r="T592" s="653"/>
      <c r="U592" s="909"/>
      <c r="V592" s="909"/>
      <c r="W592" s="653"/>
      <c r="X592" s="691"/>
      <c r="Y592" s="691"/>
      <c r="Z592" s="691"/>
      <c r="AA592" s="1721" t="s">
        <v>629</v>
      </c>
      <c r="AB592" s="1721"/>
      <c r="AC592" s="691"/>
      <c r="AD592" s="691"/>
      <c r="AE592" s="691"/>
      <c r="AF592" s="691"/>
      <c r="AG592" s="691"/>
      <c r="AH592" s="691"/>
      <c r="AI592" s="691"/>
      <c r="AJ592" s="691"/>
      <c r="AK592" s="691"/>
      <c r="AL592" s="691"/>
      <c r="AM592" s="977" t="s">
        <v>630</v>
      </c>
      <c r="AN592" s="978"/>
      <c r="AO592" s="691"/>
      <c r="AP592" s="691"/>
      <c r="AQ592" s="691"/>
      <c r="AR592" s="691"/>
      <c r="AS592" s="653"/>
      <c r="AT592" s="653"/>
      <c r="AU592" s="653"/>
      <c r="AV592" s="653"/>
      <c r="AW592" s="653"/>
      <c r="AX592" s="653"/>
      <c r="AY592" s="653"/>
      <c r="AZ592" s="653"/>
      <c r="BA592" s="653"/>
      <c r="BB592" s="653"/>
      <c r="BC592" s="1710" t="s">
        <v>677</v>
      </c>
      <c r="BD592" s="1710"/>
      <c r="BE592" s="1710"/>
      <c r="BF592" s="1710"/>
      <c r="BG592" s="1710"/>
      <c r="BH592" s="1710"/>
      <c r="BI592" s="1710"/>
      <c r="BJ592" s="653"/>
      <c r="BK592" s="653"/>
      <c r="BL592" s="653"/>
      <c r="BM592" s="653"/>
      <c r="BN592" s="653"/>
      <c r="BO592" s="653"/>
      <c r="BP592" s="653"/>
      <c r="BQ592" s="653"/>
      <c r="BR592" s="653"/>
      <c r="BS592" s="653"/>
      <c r="BT592" s="653"/>
      <c r="BU592" s="653"/>
      <c r="BV592" s="654"/>
    </row>
    <row r="593" spans="2:74" ht="270.75" thickBot="1" x14ac:dyDescent="0.3">
      <c r="B593" s="651"/>
      <c r="C593" s="928" t="s">
        <v>655</v>
      </c>
      <c r="D593" s="1013">
        <f>'1. Projektangaben'!$J$92</f>
        <v>43250</v>
      </c>
      <c r="E593" s="929" t="s">
        <v>363</v>
      </c>
      <c r="F593" s="653"/>
      <c r="G593" s="653"/>
      <c r="H593" s="653"/>
      <c r="I593" s="653"/>
      <c r="J593" s="653"/>
      <c r="K593" s="653"/>
      <c r="L593" s="653"/>
      <c r="M593" s="648" t="s">
        <v>481</v>
      </c>
      <c r="N593" s="900" t="s">
        <v>696</v>
      </c>
      <c r="O593" s="900" t="s">
        <v>632</v>
      </c>
      <c r="P593" s="900" t="s">
        <v>697</v>
      </c>
      <c r="Q593" s="901" t="s">
        <v>633</v>
      </c>
      <c r="R593" s="902" t="s">
        <v>245</v>
      </c>
      <c r="S593" s="902" t="s">
        <v>246</v>
      </c>
      <c r="T593" s="902" t="s">
        <v>205</v>
      </c>
      <c r="U593" s="902" t="s">
        <v>247</v>
      </c>
      <c r="V593" s="902" t="s">
        <v>601</v>
      </c>
      <c r="W593" s="902" t="s">
        <v>605</v>
      </c>
      <c r="X593" s="902" t="s">
        <v>635</v>
      </c>
      <c r="Y593" s="902" t="s">
        <v>636</v>
      </c>
      <c r="Z593" s="901" t="s">
        <v>637</v>
      </c>
      <c r="AA593" s="903" t="s">
        <v>638</v>
      </c>
      <c r="AB593" s="903" t="s">
        <v>639</v>
      </c>
      <c r="AC593" s="904" t="s">
        <v>640</v>
      </c>
      <c r="AD593" s="904" t="s">
        <v>641</v>
      </c>
      <c r="AE593" s="902" t="s">
        <v>642</v>
      </c>
      <c r="AF593" s="902" t="s">
        <v>643</v>
      </c>
      <c r="AG593" s="902" t="s">
        <v>644</v>
      </c>
      <c r="AH593" s="905" t="s">
        <v>645</v>
      </c>
      <c r="AI593" s="906" t="s">
        <v>646</v>
      </c>
      <c r="AJ593" s="906" t="s">
        <v>647</v>
      </c>
      <c r="AK593" s="906" t="s">
        <v>648</v>
      </c>
      <c r="AL593" s="653"/>
      <c r="AM593" s="907" t="s">
        <v>649</v>
      </c>
      <c r="AN593" s="908" t="s">
        <v>481</v>
      </c>
      <c r="AO593" s="906" t="s">
        <v>699</v>
      </c>
      <c r="AP593" s="979" t="s">
        <v>650</v>
      </c>
      <c r="AQ593" s="979" t="s">
        <v>651</v>
      </c>
      <c r="AR593" s="653"/>
      <c r="AS593" s="653" t="s">
        <v>481</v>
      </c>
      <c r="AT593" s="653" t="s">
        <v>631</v>
      </c>
      <c r="AU593" s="653" t="s">
        <v>634</v>
      </c>
      <c r="AV593" s="653" t="s">
        <v>678</v>
      </c>
      <c r="AW593" s="653" t="s">
        <v>613</v>
      </c>
      <c r="AX593" s="653" t="s">
        <v>679</v>
      </c>
      <c r="AY593" s="653" t="s">
        <v>680</v>
      </c>
      <c r="AZ593" s="653" t="s">
        <v>681</v>
      </c>
      <c r="BA593" s="653"/>
      <c r="BB593" s="653" t="str">
        <f t="shared" ref="BB593:BI593" si="424">AS593</f>
        <v>Jahre</v>
      </c>
      <c r="BC593" s="653" t="str">
        <f t="shared" si="424"/>
        <v>WBF Darlehen</v>
      </c>
      <c r="BD593" s="653" t="str">
        <f t="shared" si="424"/>
        <v>Bankdarlehen</v>
      </c>
      <c r="BE593" s="653" t="str">
        <f t="shared" si="424"/>
        <v>Eigenkapital</v>
      </c>
      <c r="BF593" s="653" t="str">
        <f t="shared" si="424"/>
        <v>Annuitätenzuschuss</v>
      </c>
      <c r="BG593" s="653" t="str">
        <f t="shared" si="424"/>
        <v>Entgeltstundung</v>
      </c>
      <c r="BH593" s="653" t="str">
        <f t="shared" si="424"/>
        <v>(Mieteinnahmen)</v>
      </c>
      <c r="BI593" s="653" t="str">
        <f t="shared" si="424"/>
        <v>Barwert Gesamt</v>
      </c>
      <c r="BJ593" s="653"/>
      <c r="BK593" s="653" t="s">
        <v>481</v>
      </c>
      <c r="BL593" s="653" t="str">
        <f t="shared" ref="BL593:BQ593" si="425">BC593</f>
        <v>WBF Darlehen</v>
      </c>
      <c r="BM593" s="653" t="str">
        <f t="shared" si="425"/>
        <v>Bankdarlehen</v>
      </c>
      <c r="BN593" s="653" t="str">
        <f t="shared" si="425"/>
        <v>Eigenkapital</v>
      </c>
      <c r="BO593" s="653" t="str">
        <f t="shared" si="425"/>
        <v>Annuitätenzuschuss</v>
      </c>
      <c r="BP593" s="653" t="str">
        <f t="shared" si="425"/>
        <v>Entgeltstundung</v>
      </c>
      <c r="BQ593" s="653" t="str">
        <f t="shared" si="425"/>
        <v>(Mieteinnahmen)</v>
      </c>
      <c r="BR593" s="653" t="s">
        <v>682</v>
      </c>
      <c r="BS593" s="653"/>
      <c r="BT593" s="653"/>
      <c r="BU593" s="653"/>
      <c r="BV593" s="654"/>
    </row>
    <row r="594" spans="2:74" x14ac:dyDescent="0.25">
      <c r="B594" s="651"/>
      <c r="C594" s="653"/>
      <c r="D594" s="653"/>
      <c r="E594" s="653"/>
      <c r="F594" s="653"/>
      <c r="G594" s="653"/>
      <c r="H594" s="653"/>
      <c r="I594" s="653"/>
      <c r="J594" s="653"/>
      <c r="K594" s="653"/>
      <c r="L594" s="653"/>
      <c r="M594" s="651">
        <v>0</v>
      </c>
      <c r="N594" s="909">
        <v>0</v>
      </c>
      <c r="O594" s="909">
        <v>0</v>
      </c>
      <c r="P594" s="909">
        <v>0</v>
      </c>
      <c r="Q594" s="910">
        <f ca="1">S580</f>
        <v>1925501.5999999999</v>
      </c>
      <c r="R594" s="909">
        <v>0</v>
      </c>
      <c r="S594" s="909"/>
      <c r="T594" s="909"/>
      <c r="U594" s="909">
        <f ca="1">S581</f>
        <v>1576119.2711999998</v>
      </c>
      <c r="V594" s="909">
        <v>0</v>
      </c>
      <c r="W594" s="909">
        <v>0</v>
      </c>
      <c r="X594" s="909">
        <f>N594+R594+V594+W594</f>
        <v>0</v>
      </c>
      <c r="Y594" s="909">
        <v>0</v>
      </c>
      <c r="Z594" s="910">
        <v>0</v>
      </c>
      <c r="AA594" s="909">
        <v>0</v>
      </c>
      <c r="AB594" s="910">
        <v>0</v>
      </c>
      <c r="AC594" s="911">
        <v>0</v>
      </c>
      <c r="AD594" s="911">
        <v>0</v>
      </c>
      <c r="AE594" s="909">
        <v>0</v>
      </c>
      <c r="AF594" s="912">
        <f t="shared" ref="AF594:AF625" si="426">AE594/(1+$Q$577)^M594</f>
        <v>0</v>
      </c>
      <c r="AG594" s="909">
        <v>0</v>
      </c>
      <c r="AH594" s="913">
        <v>0</v>
      </c>
      <c r="AI594" s="909"/>
      <c r="AJ594" s="909"/>
      <c r="AK594" s="909"/>
      <c r="AL594" s="653"/>
      <c r="AM594" s="914"/>
      <c r="AN594" s="915">
        <f t="shared" ref="AN594:AN625" si="427">M594</f>
        <v>0</v>
      </c>
      <c r="AO594" s="653">
        <v>0</v>
      </c>
      <c r="AP594" s="916">
        <v>0</v>
      </c>
      <c r="AQ594" s="916">
        <f>Y594</f>
        <v>0</v>
      </c>
      <c r="AR594" s="653"/>
      <c r="AS594" s="653">
        <v>1</v>
      </c>
      <c r="AT594" s="909">
        <f t="shared" ref="AT594:AT625" si="428">-(N594+O594)*(1+$Q$575)^-M594</f>
        <v>0</v>
      </c>
      <c r="AU594" s="909">
        <f t="shared" ref="AU594:AU625" si="429">-R594*(1+$Q$575)^-M594</f>
        <v>0</v>
      </c>
      <c r="AV594" s="909">
        <f t="shared" ref="AV594:AV625" si="430">-(V594+W594)*(1+$Q$575)^-M594</f>
        <v>0</v>
      </c>
      <c r="AW594" s="909">
        <f t="shared" ref="AW594:AW625" si="431">-Y594*(1+$Q$575)^-M594</f>
        <v>0</v>
      </c>
      <c r="AX594" s="909">
        <f t="shared" ref="AX594:AX625" si="432">AC594*(1+$Q$575)^-M594</f>
        <v>0</v>
      </c>
      <c r="AY594" s="909">
        <f t="shared" ref="AY594:AY625" si="433">AG594*(1+$Q$575)^-M594</f>
        <v>0</v>
      </c>
      <c r="AZ594" s="909">
        <f t="shared" ref="AZ594:AZ625" si="434">SUM(AT594:AX594)</f>
        <v>0</v>
      </c>
      <c r="BA594" s="653"/>
      <c r="BB594" s="653">
        <v>1</v>
      </c>
      <c r="BC594" s="653">
        <f>0</f>
        <v>0</v>
      </c>
      <c r="BD594" s="653">
        <v>0</v>
      </c>
      <c r="BE594" s="653">
        <v>0</v>
      </c>
      <c r="BF594" s="653">
        <v>0</v>
      </c>
      <c r="BG594" s="653">
        <v>0</v>
      </c>
      <c r="BH594" s="653">
        <v>1</v>
      </c>
      <c r="BI594" s="653">
        <v>0</v>
      </c>
      <c r="BJ594" s="653"/>
      <c r="BK594" s="653">
        <v>1</v>
      </c>
      <c r="BL594" s="909">
        <f t="shared" ref="BL594:BL625" si="435">-(N594+O594)</f>
        <v>0</v>
      </c>
      <c r="BM594" s="909">
        <f t="shared" ref="BM594:BM625" si="436">-R594</f>
        <v>0</v>
      </c>
      <c r="BN594" s="909">
        <f t="shared" ref="BN594:BN625" si="437">-(V594+W594)</f>
        <v>0</v>
      </c>
      <c r="BO594" s="909">
        <f t="shared" ref="BO594:BO625" si="438">-Y594</f>
        <v>0</v>
      </c>
      <c r="BP594" s="909">
        <f t="shared" ref="BP594:BP625" si="439">AC594</f>
        <v>0</v>
      </c>
      <c r="BQ594" s="909">
        <f t="shared" ref="BQ594:BQ625" si="440">AG594</f>
        <v>0</v>
      </c>
      <c r="BR594" s="909">
        <f t="shared" ref="BR594:BR625" si="441">SUM(BL594:BP594)</f>
        <v>0</v>
      </c>
      <c r="BS594" s="653"/>
      <c r="BT594" s="653"/>
      <c r="BU594" s="653"/>
      <c r="BV594" s="654"/>
    </row>
    <row r="595" spans="2:74" x14ac:dyDescent="0.25">
      <c r="B595" s="651"/>
      <c r="C595" s="653"/>
      <c r="D595" s="653"/>
      <c r="E595" s="653"/>
      <c r="F595" s="653"/>
      <c r="G595" s="653"/>
      <c r="H595" s="653"/>
      <c r="I595" s="653"/>
      <c r="J595" s="653"/>
      <c r="K595" s="653"/>
      <c r="L595" s="653"/>
      <c r="M595" s="651">
        <v>1</v>
      </c>
      <c r="N595" s="909">
        <f t="shared" ref="N595:N626" ca="1" si="442">MIN(IF(Q594&lt;=0,0,IF(M595&lt;=$Y$575,$AC$575,IF(M595&lt;=$Y$576,$AC$576,IF(M595&lt;=$Y$577,$AC$577,IF(M595&lt;=$Y$578,$AC$578,IF(M595&lt;=$Y$579,$AC$579)))))),Q594)</f>
        <v>9627.5079999999998</v>
      </c>
      <c r="O595" s="909">
        <f t="shared" ref="O595:O626" ca="1" si="443">MAX(MIN(AG595-X595+AC595-Y595,Q594-N595),0)</f>
        <v>0</v>
      </c>
      <c r="P595" s="909">
        <f t="shared" ref="P595:P626" ca="1" si="444">IF(Q594=0,0,Q594*$U$576+$U$574)</f>
        <v>12</v>
      </c>
      <c r="Q595" s="910">
        <f t="shared" ref="Q595:Q626" ca="1" si="445">IF(Q594=0,0,Q594-N595-O595)</f>
        <v>1915874.0919999999</v>
      </c>
      <c r="R595" s="909">
        <f t="shared" ref="R595:R626" ca="1" si="446">IF(M595&lt;=$V$582,-PMT($U$582,$V$582,$S$581),0)</f>
        <v>90513.174248757685</v>
      </c>
      <c r="S595" s="909">
        <f t="shared" ref="S595:S626" ca="1" si="447">U594*$U$582</f>
        <v>47283.578135999996</v>
      </c>
      <c r="T595" s="909">
        <f t="shared" ref="T595:T626" ca="1" si="448">R595-S595</f>
        <v>43229.596112757688</v>
      </c>
      <c r="U595" s="909">
        <f t="shared" ref="U595:U626" ca="1" si="449">U594-T595</f>
        <v>1532889.6750872422</v>
      </c>
      <c r="V595" s="909">
        <f t="shared" ref="V595:V626" ca="1" si="450">IF(M595&lt;=$V$583,($Q$576+$U$583)*$S$582,0)</f>
        <v>8640</v>
      </c>
      <c r="W595" s="909">
        <f t="shared" ref="W595:W626" ca="1" si="451">IF(M595&lt;=$V$584,($Q$576+$U$584)*$S$583,0)</f>
        <v>7557.7249919999995</v>
      </c>
      <c r="X595" s="909">
        <f t="shared" ref="X595:X626" ca="1" si="452">N595+R595+V595+W595+P595</f>
        <v>116350.40724075769</v>
      </c>
      <c r="Y595" s="909">
        <f t="shared" ref="Y595:Y626" ca="1" si="453">IF($R$580&gt;0,IF(M595&gt;=$Q$578,Z594*-1,IF(M595&gt;$W$588,IF(X595&gt;=AG595,0,IF(Z594+AG595-X595&gt;=0,-Z594,AG595-X595)),IF(AG595-X595&gt;=0,0,AG595-X595))),0)</f>
        <v>-38815.503240757695</v>
      </c>
      <c r="Z595" s="910">
        <f t="shared" ref="Z595:Z626" ca="1" si="454">IF(Z594+Y595&gt;=0,0,Z594+Y595)</f>
        <v>-38815.503240757695</v>
      </c>
      <c r="AA595" s="909">
        <f t="shared" ref="AA595:AA626" ca="1" si="455">IF($S$580&gt;0,IF(M595&gt;$W$588,IF(X595&gt;=AG595,0,IF(AB594+AG595&gt;=0,-AB594,AG595-X595)),IF(AG595-X595&gt;=0,0,AG595-X595)),0)</f>
        <v>-38815.503240757695</v>
      </c>
      <c r="AB595" s="910">
        <f t="shared" ref="AB595:AB626" ca="1" si="456">IF(AB594+AA595&gt;=0,0,AB594+AA595)</f>
        <v>-38815.503240757695</v>
      </c>
      <c r="AC595" s="911">
        <f t="shared" ref="AC595:AC626" ca="1" si="457">IF(M595&gt;=$Q$578,AD594*-1*(1+$Q$576),MAX(X595+Y595-AG595,AD594*-1*(1+$Q$576)))</f>
        <v>0</v>
      </c>
      <c r="AD595" s="911">
        <f t="shared" ref="AD595:AD626" ca="1" si="458">AC595+AD594*(1+$Q$576)</f>
        <v>0</v>
      </c>
      <c r="AE595" s="909">
        <f t="shared" ref="AE595:AE626" ca="1" si="459">IF(AG595-Y595-X595+AC595&lt;0,0,AG595-Y595-X595+AC595-O595)</f>
        <v>0</v>
      </c>
      <c r="AF595" s="912">
        <f t="shared" ca="1" si="426"/>
        <v>0</v>
      </c>
      <c r="AG595" s="909">
        <f t="shared" ref="AG595:AG626" si="460">$Y$587*$I$586*12</f>
        <v>77534.903999999995</v>
      </c>
      <c r="AH595" s="917">
        <f t="shared" ref="AH595:AH626" ca="1" si="461">(X595+Y595)</f>
        <v>77534.903999999995</v>
      </c>
      <c r="AI595" s="909">
        <f t="shared" ref="AI595:AI626" ca="1" si="462">IF(M595&gt;$Q$578,"",(X595+Y595+O595)*-1)</f>
        <v>-77534.903999999995</v>
      </c>
      <c r="AJ595" s="916">
        <f t="shared" ref="AJ595:AJ626" ca="1" si="463">IF(M595&gt;$Q$578,"",AI595+AG595)</f>
        <v>0</v>
      </c>
      <c r="AK595" s="916">
        <f t="shared" ref="AK595:AK626" ca="1" si="464">IF(M595&gt;$Q$578,"",(N595+O595+P595+R595+V595+W595+Y595-AC595)*-1)</f>
        <v>-77534.903999999995</v>
      </c>
      <c r="AL595" s="909">
        <f t="shared" ref="AL595:AL626" ca="1" si="465">IF(M595&gt;$Q$578,"",AK595+AG595)</f>
        <v>0</v>
      </c>
      <c r="AM595" s="918">
        <f t="shared" ref="AM595:AM626" ca="1" si="466">X595+Y595+O595</f>
        <v>77534.903999999995</v>
      </c>
      <c r="AN595" s="915">
        <f t="shared" si="427"/>
        <v>1</v>
      </c>
      <c r="AO595" s="653">
        <f t="shared" ref="AO595:AO626" si="467">IF(M595&gt;$Q$578,"",AG595)</f>
        <v>77534.903999999995</v>
      </c>
      <c r="AP595" s="916">
        <f t="shared" ref="AP595:AP626" ca="1" si="468">IF(M595&gt;$Q$578,"",N595+O595+P595)</f>
        <v>9639.5079999999998</v>
      </c>
      <c r="AQ595" s="916">
        <f t="shared" ref="AQ595:AQ626" ca="1" si="469">IF(M595&gt;$Q$578,"",Y595)</f>
        <v>-38815.503240757695</v>
      </c>
      <c r="AR595" s="653"/>
      <c r="AS595" s="653">
        <v>1</v>
      </c>
      <c r="AT595" s="909">
        <f t="shared" ca="1" si="428"/>
        <v>-9347.0951456310686</v>
      </c>
      <c r="AU595" s="909">
        <f t="shared" ca="1" si="429"/>
        <v>-87876.86820267736</v>
      </c>
      <c r="AV595" s="909">
        <f t="shared" ca="1" si="430"/>
        <v>-15725.946594174757</v>
      </c>
      <c r="AW595" s="909">
        <f t="shared" ca="1" si="431"/>
        <v>37684.954602677375</v>
      </c>
      <c r="AX595" s="909">
        <f t="shared" ca="1" si="432"/>
        <v>0</v>
      </c>
      <c r="AY595" s="909">
        <f t="shared" si="433"/>
        <v>75276.605825242717</v>
      </c>
      <c r="AZ595" s="909">
        <f t="shared" ca="1" si="434"/>
        <v>-75264.95533980582</v>
      </c>
      <c r="BA595" s="653"/>
      <c r="BB595" s="653">
        <f t="shared" ref="BB595:BB626" si="470">AS595</f>
        <v>1</v>
      </c>
      <c r="BC595" s="909">
        <f t="shared" ref="BC595:BC626" ca="1" si="471">BC594+AT595</f>
        <v>-9347.0951456310686</v>
      </c>
      <c r="BD595" s="909">
        <f t="shared" ref="BD595:BD626" ca="1" si="472">BD594+AU595</f>
        <v>-87876.86820267736</v>
      </c>
      <c r="BE595" s="909">
        <f t="shared" ref="BE595:BE626" ca="1" si="473">BE594+AV595</f>
        <v>-15725.946594174757</v>
      </c>
      <c r="BF595" s="909">
        <f t="shared" ref="BF595:BF626" ca="1" si="474">BF594+AW595</f>
        <v>37684.954602677375</v>
      </c>
      <c r="BG595" s="909">
        <f t="shared" ref="BG595:BG626" ca="1" si="475">BG594+AX595</f>
        <v>0</v>
      </c>
      <c r="BH595" s="909">
        <f t="shared" ref="BH595:BH626" si="476">BH594+AY595</f>
        <v>75277.605825242717</v>
      </c>
      <c r="BI595" s="909">
        <f t="shared" ref="BI595:BI626" ca="1" si="477">BI594+AZ595</f>
        <v>-75264.95533980582</v>
      </c>
      <c r="BJ595" s="909"/>
      <c r="BK595" s="653">
        <v>1</v>
      </c>
      <c r="BL595" s="909">
        <f t="shared" ca="1" si="435"/>
        <v>-9627.5079999999998</v>
      </c>
      <c r="BM595" s="909">
        <f t="shared" ca="1" si="436"/>
        <v>-90513.174248757685</v>
      </c>
      <c r="BN595" s="909">
        <f t="shared" ca="1" si="437"/>
        <v>-16197.724991999999</v>
      </c>
      <c r="BO595" s="909">
        <f t="shared" ca="1" si="438"/>
        <v>38815.503240757695</v>
      </c>
      <c r="BP595" s="909">
        <f t="shared" ca="1" si="439"/>
        <v>0</v>
      </c>
      <c r="BQ595" s="909">
        <f t="shared" si="440"/>
        <v>77534.903999999995</v>
      </c>
      <c r="BR595" s="909">
        <f t="shared" ca="1" si="441"/>
        <v>-77522.903999999995</v>
      </c>
      <c r="BS595" s="653"/>
      <c r="BT595" s="653"/>
      <c r="BU595" s="653"/>
      <c r="BV595" s="654"/>
    </row>
    <row r="596" spans="2:74" x14ac:dyDescent="0.25">
      <c r="B596" s="651"/>
      <c r="C596" s="653"/>
      <c r="D596" s="653"/>
      <c r="E596" s="653"/>
      <c r="F596" s="653"/>
      <c r="G596" s="653"/>
      <c r="H596" s="653"/>
      <c r="I596" s="653"/>
      <c r="J596" s="653"/>
      <c r="K596" s="653"/>
      <c r="L596" s="653"/>
      <c r="M596" s="651">
        <v>2</v>
      </c>
      <c r="N596" s="909">
        <f t="shared" ca="1" si="442"/>
        <v>9627.5079999999998</v>
      </c>
      <c r="O596" s="909">
        <f t="shared" ca="1" si="443"/>
        <v>0</v>
      </c>
      <c r="P596" s="909">
        <f t="shared" ca="1" si="444"/>
        <v>12</v>
      </c>
      <c r="Q596" s="910">
        <f t="shared" ca="1" si="445"/>
        <v>1906246.584</v>
      </c>
      <c r="R596" s="909">
        <f t="shared" ca="1" si="446"/>
        <v>90513.174248757685</v>
      </c>
      <c r="S596" s="909">
        <f t="shared" ca="1" si="447"/>
        <v>45986.690252617263</v>
      </c>
      <c r="T596" s="909">
        <f t="shared" ca="1" si="448"/>
        <v>44526.483996140421</v>
      </c>
      <c r="U596" s="909">
        <f t="shared" ca="1" si="449"/>
        <v>1488363.1910911016</v>
      </c>
      <c r="V596" s="909">
        <f t="shared" ca="1" si="450"/>
        <v>8640</v>
      </c>
      <c r="W596" s="909">
        <f t="shared" ca="1" si="451"/>
        <v>7557.7249919999995</v>
      </c>
      <c r="X596" s="909">
        <f t="shared" ca="1" si="452"/>
        <v>116350.40724075769</v>
      </c>
      <c r="Y596" s="909">
        <f t="shared" ca="1" si="453"/>
        <v>-38815.503240757695</v>
      </c>
      <c r="Z596" s="910">
        <f t="shared" ca="1" si="454"/>
        <v>-77631.006481515389</v>
      </c>
      <c r="AA596" s="909">
        <f t="shared" ca="1" si="455"/>
        <v>-38815.503240757695</v>
      </c>
      <c r="AB596" s="910">
        <f t="shared" ca="1" si="456"/>
        <v>-77631.006481515389</v>
      </c>
      <c r="AC596" s="911">
        <f t="shared" ca="1" si="457"/>
        <v>0</v>
      </c>
      <c r="AD596" s="911">
        <f t="shared" ca="1" si="458"/>
        <v>0</v>
      </c>
      <c r="AE596" s="909">
        <f t="shared" ca="1" si="459"/>
        <v>0</v>
      </c>
      <c r="AF596" s="912">
        <f t="shared" ca="1" si="426"/>
        <v>0</v>
      </c>
      <c r="AG596" s="909">
        <f t="shared" si="460"/>
        <v>77534.903999999995</v>
      </c>
      <c r="AH596" s="917">
        <f t="shared" ca="1" si="461"/>
        <v>77534.903999999995</v>
      </c>
      <c r="AI596" s="909">
        <f t="shared" ca="1" si="462"/>
        <v>-77534.903999999995</v>
      </c>
      <c r="AJ596" s="916">
        <f t="shared" ca="1" si="463"/>
        <v>0</v>
      </c>
      <c r="AK596" s="916">
        <f t="shared" ca="1" si="464"/>
        <v>-77534.903999999995</v>
      </c>
      <c r="AL596" s="909">
        <f t="shared" ca="1" si="465"/>
        <v>0</v>
      </c>
      <c r="AM596" s="918">
        <f t="shared" ca="1" si="466"/>
        <v>77534.903999999995</v>
      </c>
      <c r="AN596" s="915">
        <f t="shared" si="427"/>
        <v>2</v>
      </c>
      <c r="AO596" s="653">
        <f t="shared" si="467"/>
        <v>77534.903999999995</v>
      </c>
      <c r="AP596" s="916">
        <f t="shared" ca="1" si="468"/>
        <v>9639.5079999999998</v>
      </c>
      <c r="AQ596" s="916">
        <f t="shared" ca="1" si="469"/>
        <v>-38815.503240757695</v>
      </c>
      <c r="AR596" s="653"/>
      <c r="AS596" s="653">
        <v>2</v>
      </c>
      <c r="AT596" s="909">
        <f t="shared" ca="1" si="428"/>
        <v>-9074.8496559524938</v>
      </c>
      <c r="AU596" s="909">
        <f t="shared" ca="1" si="429"/>
        <v>-85317.347769589673</v>
      </c>
      <c r="AV596" s="909">
        <f t="shared" ca="1" si="430"/>
        <v>-15267.909314732773</v>
      </c>
      <c r="AW596" s="909">
        <f t="shared" ca="1" si="431"/>
        <v>36587.334565706187</v>
      </c>
      <c r="AX596" s="909">
        <f t="shared" ca="1" si="432"/>
        <v>0</v>
      </c>
      <c r="AY596" s="909">
        <f t="shared" si="433"/>
        <v>73084.083325478365</v>
      </c>
      <c r="AZ596" s="909">
        <f t="shared" ca="1" si="434"/>
        <v>-73072.772174568745</v>
      </c>
      <c r="BA596" s="653"/>
      <c r="BB596" s="653">
        <f t="shared" si="470"/>
        <v>2</v>
      </c>
      <c r="BC596" s="909">
        <f t="shared" ca="1" si="471"/>
        <v>-18421.944801583562</v>
      </c>
      <c r="BD596" s="909">
        <f t="shared" ca="1" si="472"/>
        <v>-173194.21597226703</v>
      </c>
      <c r="BE596" s="909">
        <f t="shared" ca="1" si="473"/>
        <v>-30993.855908907528</v>
      </c>
      <c r="BF596" s="909">
        <f t="shared" ca="1" si="474"/>
        <v>74272.289168383562</v>
      </c>
      <c r="BG596" s="909">
        <f t="shared" ca="1" si="475"/>
        <v>0</v>
      </c>
      <c r="BH596" s="909">
        <f t="shared" si="476"/>
        <v>148361.68915072107</v>
      </c>
      <c r="BI596" s="909">
        <f t="shared" ca="1" si="477"/>
        <v>-148337.72751437456</v>
      </c>
      <c r="BJ596" s="909"/>
      <c r="BK596" s="653">
        <v>2</v>
      </c>
      <c r="BL596" s="909">
        <f t="shared" ca="1" si="435"/>
        <v>-9627.5079999999998</v>
      </c>
      <c r="BM596" s="909">
        <f t="shared" ca="1" si="436"/>
        <v>-90513.174248757685</v>
      </c>
      <c r="BN596" s="909">
        <f t="shared" ca="1" si="437"/>
        <v>-16197.724991999999</v>
      </c>
      <c r="BO596" s="909">
        <f t="shared" ca="1" si="438"/>
        <v>38815.503240757695</v>
      </c>
      <c r="BP596" s="909">
        <f t="shared" ca="1" si="439"/>
        <v>0</v>
      </c>
      <c r="BQ596" s="909">
        <f t="shared" si="440"/>
        <v>77534.903999999995</v>
      </c>
      <c r="BR596" s="909">
        <f t="shared" ca="1" si="441"/>
        <v>-77522.903999999995</v>
      </c>
      <c r="BS596" s="653"/>
      <c r="BT596" s="653"/>
      <c r="BU596" s="653"/>
      <c r="BV596" s="654"/>
    </row>
    <row r="597" spans="2:74" x14ac:dyDescent="0.25">
      <c r="B597" s="651"/>
      <c r="C597" s="653"/>
      <c r="D597" s="653"/>
      <c r="E597" s="653"/>
      <c r="F597" s="653"/>
      <c r="G597" s="653"/>
      <c r="H597" s="653"/>
      <c r="I597" s="653"/>
      <c r="J597" s="653"/>
      <c r="K597" s="653"/>
      <c r="L597" s="653"/>
      <c r="M597" s="651">
        <v>3</v>
      </c>
      <c r="N597" s="909">
        <f t="shared" ca="1" si="442"/>
        <v>9627.5079999999998</v>
      </c>
      <c r="O597" s="909">
        <f t="shared" ca="1" si="443"/>
        <v>0</v>
      </c>
      <c r="P597" s="909">
        <f t="shared" ca="1" si="444"/>
        <v>12</v>
      </c>
      <c r="Q597" s="910">
        <f t="shared" ca="1" si="445"/>
        <v>1896619.0760000001</v>
      </c>
      <c r="R597" s="909">
        <f t="shared" ca="1" si="446"/>
        <v>90513.174248757685</v>
      </c>
      <c r="S597" s="909">
        <f t="shared" ca="1" si="447"/>
        <v>44650.89573273305</v>
      </c>
      <c r="T597" s="909">
        <f t="shared" ca="1" si="448"/>
        <v>45862.278516024635</v>
      </c>
      <c r="U597" s="909">
        <f t="shared" ca="1" si="449"/>
        <v>1442500.912575077</v>
      </c>
      <c r="V597" s="909">
        <f t="shared" ca="1" si="450"/>
        <v>8640</v>
      </c>
      <c r="W597" s="909">
        <f t="shared" ca="1" si="451"/>
        <v>7557.7249919999995</v>
      </c>
      <c r="X597" s="909">
        <f t="shared" ca="1" si="452"/>
        <v>116350.40724075769</v>
      </c>
      <c r="Y597" s="909">
        <f t="shared" ca="1" si="453"/>
        <v>-38815.503240757695</v>
      </c>
      <c r="Z597" s="910">
        <f t="shared" ca="1" si="454"/>
        <v>-116446.50972227308</v>
      </c>
      <c r="AA597" s="909">
        <f t="shared" ca="1" si="455"/>
        <v>-38815.503240757695</v>
      </c>
      <c r="AB597" s="910">
        <f t="shared" ca="1" si="456"/>
        <v>-116446.50972227308</v>
      </c>
      <c r="AC597" s="911">
        <f t="shared" ca="1" si="457"/>
        <v>0</v>
      </c>
      <c r="AD597" s="911">
        <f t="shared" ca="1" si="458"/>
        <v>0</v>
      </c>
      <c r="AE597" s="909">
        <f t="shared" ca="1" si="459"/>
        <v>0</v>
      </c>
      <c r="AF597" s="912">
        <f t="shared" ca="1" si="426"/>
        <v>0</v>
      </c>
      <c r="AG597" s="909">
        <f t="shared" si="460"/>
        <v>77534.903999999995</v>
      </c>
      <c r="AH597" s="917">
        <f t="shared" ca="1" si="461"/>
        <v>77534.903999999995</v>
      </c>
      <c r="AI597" s="909">
        <f t="shared" ca="1" si="462"/>
        <v>-77534.903999999995</v>
      </c>
      <c r="AJ597" s="916">
        <f t="shared" ca="1" si="463"/>
        <v>0</v>
      </c>
      <c r="AK597" s="916">
        <f t="shared" ca="1" si="464"/>
        <v>-77534.903999999995</v>
      </c>
      <c r="AL597" s="909">
        <f t="shared" ca="1" si="465"/>
        <v>0</v>
      </c>
      <c r="AM597" s="918">
        <f t="shared" ca="1" si="466"/>
        <v>77534.903999999995</v>
      </c>
      <c r="AN597" s="915">
        <f t="shared" si="427"/>
        <v>3</v>
      </c>
      <c r="AO597" s="653">
        <f t="shared" si="467"/>
        <v>77534.903999999995</v>
      </c>
      <c r="AP597" s="916">
        <f t="shared" ca="1" si="468"/>
        <v>9639.5079999999998</v>
      </c>
      <c r="AQ597" s="916">
        <f t="shared" ca="1" si="469"/>
        <v>-38815.503240757695</v>
      </c>
      <c r="AR597" s="653"/>
      <c r="AS597" s="653">
        <v>3</v>
      </c>
      <c r="AT597" s="909">
        <f t="shared" ca="1" si="428"/>
        <v>-8810.5336465558194</v>
      </c>
      <c r="AU597" s="909">
        <f t="shared" ca="1" si="429"/>
        <v>-82832.376475329787</v>
      </c>
      <c r="AV597" s="909">
        <f t="shared" ca="1" si="430"/>
        <v>-14823.212926925024</v>
      </c>
      <c r="AW597" s="909">
        <f t="shared" ca="1" si="431"/>
        <v>35521.684044374939</v>
      </c>
      <c r="AX597" s="909">
        <f t="shared" ca="1" si="432"/>
        <v>0</v>
      </c>
      <c r="AY597" s="909">
        <f t="shared" si="433"/>
        <v>70955.420704347925</v>
      </c>
      <c r="AZ597" s="909">
        <f t="shared" ca="1" si="434"/>
        <v>-70944.439004435699</v>
      </c>
      <c r="BA597" s="653"/>
      <c r="BB597" s="653">
        <f t="shared" si="470"/>
        <v>3</v>
      </c>
      <c r="BC597" s="909">
        <f t="shared" ca="1" si="471"/>
        <v>-27232.47844813938</v>
      </c>
      <c r="BD597" s="909">
        <f t="shared" ca="1" si="472"/>
        <v>-256026.59244759683</v>
      </c>
      <c r="BE597" s="909">
        <f t="shared" ca="1" si="473"/>
        <v>-45817.06883583255</v>
      </c>
      <c r="BF597" s="909">
        <f t="shared" ca="1" si="474"/>
        <v>109793.9732127585</v>
      </c>
      <c r="BG597" s="909">
        <f t="shared" ca="1" si="475"/>
        <v>0</v>
      </c>
      <c r="BH597" s="909">
        <f t="shared" si="476"/>
        <v>219317.10985506899</v>
      </c>
      <c r="BI597" s="909">
        <f t="shared" ca="1" si="477"/>
        <v>-219282.16651881026</v>
      </c>
      <c r="BJ597" s="909"/>
      <c r="BK597" s="653">
        <v>3</v>
      </c>
      <c r="BL597" s="909">
        <f t="shared" ca="1" si="435"/>
        <v>-9627.5079999999998</v>
      </c>
      <c r="BM597" s="909">
        <f t="shared" ca="1" si="436"/>
        <v>-90513.174248757685</v>
      </c>
      <c r="BN597" s="909">
        <f t="shared" ca="1" si="437"/>
        <v>-16197.724991999999</v>
      </c>
      <c r="BO597" s="909">
        <f t="shared" ca="1" si="438"/>
        <v>38815.503240757695</v>
      </c>
      <c r="BP597" s="909">
        <f t="shared" ca="1" si="439"/>
        <v>0</v>
      </c>
      <c r="BQ597" s="909">
        <f t="shared" si="440"/>
        <v>77534.903999999995</v>
      </c>
      <c r="BR597" s="909">
        <f t="shared" ca="1" si="441"/>
        <v>-77522.903999999995</v>
      </c>
      <c r="BS597" s="653"/>
      <c r="BT597" s="653"/>
      <c r="BU597" s="653"/>
      <c r="BV597" s="654"/>
    </row>
    <row r="598" spans="2:74" x14ac:dyDescent="0.25">
      <c r="B598" s="651"/>
      <c r="C598" s="653"/>
      <c r="D598" s="653"/>
      <c r="E598" s="653"/>
      <c r="F598" s="653"/>
      <c r="G598" s="653"/>
      <c r="H598" s="653"/>
      <c r="I598" s="653"/>
      <c r="J598" s="653"/>
      <c r="K598" s="653"/>
      <c r="L598" s="653"/>
      <c r="M598" s="651">
        <v>4</v>
      </c>
      <c r="N598" s="909">
        <f t="shared" ca="1" si="442"/>
        <v>9627.5079999999998</v>
      </c>
      <c r="O598" s="909">
        <f t="shared" ca="1" si="443"/>
        <v>0</v>
      </c>
      <c r="P598" s="909">
        <f t="shared" ca="1" si="444"/>
        <v>12</v>
      </c>
      <c r="Q598" s="910">
        <f t="shared" ca="1" si="445"/>
        <v>1886991.5680000002</v>
      </c>
      <c r="R598" s="909">
        <f t="shared" ca="1" si="446"/>
        <v>90513.174248757685</v>
      </c>
      <c r="S598" s="909">
        <f t="shared" ca="1" si="447"/>
        <v>43275.027377252307</v>
      </c>
      <c r="T598" s="909">
        <f t="shared" ca="1" si="448"/>
        <v>47238.146871505378</v>
      </c>
      <c r="U598" s="909">
        <f t="shared" ca="1" si="449"/>
        <v>1395262.7657035717</v>
      </c>
      <c r="V598" s="909">
        <f t="shared" ca="1" si="450"/>
        <v>8640</v>
      </c>
      <c r="W598" s="909">
        <f t="shared" ca="1" si="451"/>
        <v>7557.7249919999995</v>
      </c>
      <c r="X598" s="909">
        <f t="shared" ca="1" si="452"/>
        <v>116350.40724075769</v>
      </c>
      <c r="Y598" s="909">
        <f t="shared" ca="1" si="453"/>
        <v>-38815.503240757695</v>
      </c>
      <c r="Z598" s="910">
        <f t="shared" ca="1" si="454"/>
        <v>-155262.01296303078</v>
      </c>
      <c r="AA598" s="909">
        <f t="shared" ca="1" si="455"/>
        <v>-38815.503240757695</v>
      </c>
      <c r="AB598" s="910">
        <f t="shared" ca="1" si="456"/>
        <v>-155262.01296303078</v>
      </c>
      <c r="AC598" s="911">
        <f t="shared" ca="1" si="457"/>
        <v>0</v>
      </c>
      <c r="AD598" s="911">
        <f t="shared" ca="1" si="458"/>
        <v>0</v>
      </c>
      <c r="AE598" s="909">
        <f t="shared" ca="1" si="459"/>
        <v>0</v>
      </c>
      <c r="AF598" s="912">
        <f t="shared" ca="1" si="426"/>
        <v>0</v>
      </c>
      <c r="AG598" s="909">
        <f t="shared" si="460"/>
        <v>77534.903999999995</v>
      </c>
      <c r="AH598" s="917">
        <f t="shared" ca="1" si="461"/>
        <v>77534.903999999995</v>
      </c>
      <c r="AI598" s="909">
        <f t="shared" ca="1" si="462"/>
        <v>-77534.903999999995</v>
      </c>
      <c r="AJ598" s="916">
        <f t="shared" ca="1" si="463"/>
        <v>0</v>
      </c>
      <c r="AK598" s="916">
        <f t="shared" ca="1" si="464"/>
        <v>-77534.903999999995</v>
      </c>
      <c r="AL598" s="909">
        <f t="shared" ca="1" si="465"/>
        <v>0</v>
      </c>
      <c r="AM598" s="918">
        <f t="shared" ca="1" si="466"/>
        <v>77534.903999999995</v>
      </c>
      <c r="AN598" s="915">
        <f t="shared" si="427"/>
        <v>4</v>
      </c>
      <c r="AO598" s="653">
        <f t="shared" si="467"/>
        <v>77534.903999999995</v>
      </c>
      <c r="AP598" s="916">
        <f t="shared" ca="1" si="468"/>
        <v>9639.5079999999998</v>
      </c>
      <c r="AQ598" s="916">
        <f t="shared" ca="1" si="469"/>
        <v>-38815.503240757695</v>
      </c>
      <c r="AR598" s="653"/>
      <c r="AS598" s="653">
        <v>4</v>
      </c>
      <c r="AT598" s="909">
        <f t="shared" ca="1" si="428"/>
        <v>-8553.9161617046793</v>
      </c>
      <c r="AU598" s="909">
        <f t="shared" ca="1" si="429"/>
        <v>-80419.782985757076</v>
      </c>
      <c r="AV598" s="909">
        <f t="shared" ca="1" si="430"/>
        <v>-14391.468861092257</v>
      </c>
      <c r="AW598" s="909">
        <f t="shared" ca="1" si="431"/>
        <v>34487.071887742663</v>
      </c>
      <c r="AX598" s="909">
        <f t="shared" ca="1" si="432"/>
        <v>0</v>
      </c>
      <c r="AY598" s="909">
        <f t="shared" si="433"/>
        <v>68888.757965386336</v>
      </c>
      <c r="AZ598" s="909">
        <f t="shared" ca="1" si="434"/>
        <v>-68878.096120811359</v>
      </c>
      <c r="BA598" s="653"/>
      <c r="BB598" s="653">
        <f t="shared" si="470"/>
        <v>4</v>
      </c>
      <c r="BC598" s="909">
        <f t="shared" ca="1" si="471"/>
        <v>-35786.394609844057</v>
      </c>
      <c r="BD598" s="909">
        <f t="shared" ca="1" si="472"/>
        <v>-336446.37543335394</v>
      </c>
      <c r="BE598" s="909">
        <f t="shared" ca="1" si="473"/>
        <v>-60208.537696924803</v>
      </c>
      <c r="BF598" s="909">
        <f t="shared" ca="1" si="474"/>
        <v>144281.04510050116</v>
      </c>
      <c r="BG598" s="909">
        <f t="shared" ca="1" si="475"/>
        <v>0</v>
      </c>
      <c r="BH598" s="909">
        <f t="shared" si="476"/>
        <v>288205.86782045534</v>
      </c>
      <c r="BI598" s="909">
        <f t="shared" ca="1" si="477"/>
        <v>-288160.26263962162</v>
      </c>
      <c r="BJ598" s="909"/>
      <c r="BK598" s="653">
        <v>4</v>
      </c>
      <c r="BL598" s="909">
        <f t="shared" ca="1" si="435"/>
        <v>-9627.5079999999998</v>
      </c>
      <c r="BM598" s="909">
        <f t="shared" ca="1" si="436"/>
        <v>-90513.174248757685</v>
      </c>
      <c r="BN598" s="909">
        <f t="shared" ca="1" si="437"/>
        <v>-16197.724991999999</v>
      </c>
      <c r="BO598" s="909">
        <f t="shared" ca="1" si="438"/>
        <v>38815.503240757695</v>
      </c>
      <c r="BP598" s="909">
        <f t="shared" ca="1" si="439"/>
        <v>0</v>
      </c>
      <c r="BQ598" s="909">
        <f t="shared" si="440"/>
        <v>77534.903999999995</v>
      </c>
      <c r="BR598" s="909">
        <f t="shared" ca="1" si="441"/>
        <v>-77522.903999999995</v>
      </c>
      <c r="BS598" s="653"/>
      <c r="BT598" s="653"/>
      <c r="BU598" s="653"/>
      <c r="BV598" s="654"/>
    </row>
    <row r="599" spans="2:74" x14ac:dyDescent="0.25">
      <c r="B599" s="651"/>
      <c r="C599" s="653"/>
      <c r="D599" s="653"/>
      <c r="E599" s="653"/>
      <c r="F599" s="653"/>
      <c r="G599" s="653"/>
      <c r="H599" s="653"/>
      <c r="I599" s="653"/>
      <c r="J599" s="653"/>
      <c r="K599" s="653"/>
      <c r="L599" s="653"/>
      <c r="M599" s="651">
        <v>5</v>
      </c>
      <c r="N599" s="909">
        <f t="shared" ca="1" si="442"/>
        <v>9627.5079999999998</v>
      </c>
      <c r="O599" s="909">
        <f t="shared" ca="1" si="443"/>
        <v>0</v>
      </c>
      <c r="P599" s="909">
        <f t="shared" ca="1" si="444"/>
        <v>12</v>
      </c>
      <c r="Q599" s="910">
        <f t="shared" ca="1" si="445"/>
        <v>1877364.0600000003</v>
      </c>
      <c r="R599" s="909">
        <f t="shared" ca="1" si="446"/>
        <v>90513.174248757685</v>
      </c>
      <c r="S599" s="909">
        <f t="shared" ca="1" si="447"/>
        <v>41857.882971107152</v>
      </c>
      <c r="T599" s="909">
        <f t="shared" ca="1" si="448"/>
        <v>48655.291277650533</v>
      </c>
      <c r="U599" s="909">
        <f t="shared" ca="1" si="449"/>
        <v>1346607.4744259212</v>
      </c>
      <c r="V599" s="909">
        <f t="shared" ca="1" si="450"/>
        <v>8640</v>
      </c>
      <c r="W599" s="909">
        <f t="shared" ca="1" si="451"/>
        <v>7557.7249919999995</v>
      </c>
      <c r="X599" s="909">
        <f t="shared" ca="1" si="452"/>
        <v>116350.40724075769</v>
      </c>
      <c r="Y599" s="909">
        <f t="shared" ca="1" si="453"/>
        <v>-38815.503240757695</v>
      </c>
      <c r="Z599" s="910">
        <f t="shared" ca="1" si="454"/>
        <v>-194077.51620378846</v>
      </c>
      <c r="AA599" s="909">
        <f t="shared" ca="1" si="455"/>
        <v>-38815.503240757695</v>
      </c>
      <c r="AB599" s="910">
        <f t="shared" ca="1" si="456"/>
        <v>-194077.51620378846</v>
      </c>
      <c r="AC599" s="911">
        <f t="shared" ca="1" si="457"/>
        <v>0</v>
      </c>
      <c r="AD599" s="911">
        <f t="shared" ca="1" si="458"/>
        <v>0</v>
      </c>
      <c r="AE599" s="909">
        <f t="shared" ca="1" si="459"/>
        <v>0</v>
      </c>
      <c r="AF599" s="912">
        <f t="shared" ca="1" si="426"/>
        <v>0</v>
      </c>
      <c r="AG599" s="909">
        <f t="shared" si="460"/>
        <v>77534.903999999995</v>
      </c>
      <c r="AH599" s="917">
        <f t="shared" ca="1" si="461"/>
        <v>77534.903999999995</v>
      </c>
      <c r="AI599" s="909">
        <f t="shared" ca="1" si="462"/>
        <v>-77534.903999999995</v>
      </c>
      <c r="AJ599" s="916">
        <f t="shared" ca="1" si="463"/>
        <v>0</v>
      </c>
      <c r="AK599" s="916">
        <f t="shared" ca="1" si="464"/>
        <v>-77534.903999999995</v>
      </c>
      <c r="AL599" s="909">
        <f t="shared" ca="1" si="465"/>
        <v>0</v>
      </c>
      <c r="AM599" s="918">
        <f t="shared" ca="1" si="466"/>
        <v>77534.903999999995</v>
      </c>
      <c r="AN599" s="915">
        <f t="shared" si="427"/>
        <v>5</v>
      </c>
      <c r="AO599" s="653">
        <f t="shared" si="467"/>
        <v>77534.903999999995</v>
      </c>
      <c r="AP599" s="916">
        <f t="shared" ca="1" si="468"/>
        <v>9639.5079999999998</v>
      </c>
      <c r="AQ599" s="916">
        <f t="shared" ca="1" si="469"/>
        <v>-38815.503240757695</v>
      </c>
      <c r="AR599" s="653"/>
      <c r="AS599" s="653">
        <v>5</v>
      </c>
      <c r="AT599" s="909">
        <f t="shared" ca="1" si="428"/>
        <v>-8304.7729725288154</v>
      </c>
      <c r="AU599" s="909">
        <f t="shared" ca="1" si="429"/>
        <v>-78077.459209472887</v>
      </c>
      <c r="AV599" s="909">
        <f t="shared" ca="1" si="430"/>
        <v>-13972.299865138113</v>
      </c>
      <c r="AW599" s="909">
        <f t="shared" ca="1" si="431"/>
        <v>33482.594065769576</v>
      </c>
      <c r="AX599" s="909">
        <f t="shared" ca="1" si="432"/>
        <v>0</v>
      </c>
      <c r="AY599" s="909">
        <f t="shared" si="433"/>
        <v>66882.289286782863</v>
      </c>
      <c r="AZ599" s="909">
        <f t="shared" ca="1" si="434"/>
        <v>-66871.937981370225</v>
      </c>
      <c r="BA599" s="653"/>
      <c r="BB599" s="653">
        <f t="shared" si="470"/>
        <v>5</v>
      </c>
      <c r="BC599" s="909">
        <f t="shared" ca="1" si="471"/>
        <v>-44091.167582372873</v>
      </c>
      <c r="BD599" s="909">
        <f t="shared" ca="1" si="472"/>
        <v>-414523.83464282681</v>
      </c>
      <c r="BE599" s="909">
        <f t="shared" ca="1" si="473"/>
        <v>-74180.837562062923</v>
      </c>
      <c r="BF599" s="909">
        <f t="shared" ca="1" si="474"/>
        <v>177763.63916627073</v>
      </c>
      <c r="BG599" s="909">
        <f t="shared" ca="1" si="475"/>
        <v>0</v>
      </c>
      <c r="BH599" s="909">
        <f t="shared" si="476"/>
        <v>355088.15710723819</v>
      </c>
      <c r="BI599" s="909">
        <f t="shared" ca="1" si="477"/>
        <v>-355032.20062099188</v>
      </c>
      <c r="BJ599" s="909"/>
      <c r="BK599" s="653">
        <v>5</v>
      </c>
      <c r="BL599" s="909">
        <f t="shared" ca="1" si="435"/>
        <v>-9627.5079999999998</v>
      </c>
      <c r="BM599" s="909">
        <f t="shared" ca="1" si="436"/>
        <v>-90513.174248757685</v>
      </c>
      <c r="BN599" s="909">
        <f t="shared" ca="1" si="437"/>
        <v>-16197.724991999999</v>
      </c>
      <c r="BO599" s="909">
        <f t="shared" ca="1" si="438"/>
        <v>38815.503240757695</v>
      </c>
      <c r="BP599" s="909">
        <f t="shared" ca="1" si="439"/>
        <v>0</v>
      </c>
      <c r="BQ599" s="909">
        <f t="shared" si="440"/>
        <v>77534.903999999995</v>
      </c>
      <c r="BR599" s="909">
        <f t="shared" ca="1" si="441"/>
        <v>-77522.903999999995</v>
      </c>
      <c r="BS599" s="653"/>
      <c r="BT599" s="653"/>
      <c r="BU599" s="653"/>
      <c r="BV599" s="654"/>
    </row>
    <row r="600" spans="2:74" x14ac:dyDescent="0.25">
      <c r="B600" s="651"/>
      <c r="C600" s="653"/>
      <c r="D600" s="653"/>
      <c r="E600" s="653"/>
      <c r="F600" s="653"/>
      <c r="G600" s="653"/>
      <c r="H600" s="653"/>
      <c r="I600" s="653"/>
      <c r="J600" s="653"/>
      <c r="K600" s="653"/>
      <c r="L600" s="653"/>
      <c r="M600" s="651">
        <v>6</v>
      </c>
      <c r="N600" s="909">
        <f t="shared" ca="1" si="442"/>
        <v>9627.5079999999998</v>
      </c>
      <c r="O600" s="909">
        <f t="shared" ca="1" si="443"/>
        <v>0</v>
      </c>
      <c r="P600" s="909">
        <f t="shared" ca="1" si="444"/>
        <v>12</v>
      </c>
      <c r="Q600" s="910">
        <f t="shared" ca="1" si="445"/>
        <v>1867736.5520000004</v>
      </c>
      <c r="R600" s="909">
        <f t="shared" ca="1" si="446"/>
        <v>90513.174248757685</v>
      </c>
      <c r="S600" s="909">
        <f t="shared" ca="1" si="447"/>
        <v>40398.224232777633</v>
      </c>
      <c r="T600" s="909">
        <f t="shared" ca="1" si="448"/>
        <v>50114.950015980052</v>
      </c>
      <c r="U600" s="909">
        <f t="shared" ca="1" si="449"/>
        <v>1296492.5244099412</v>
      </c>
      <c r="V600" s="909">
        <f t="shared" ca="1" si="450"/>
        <v>8640</v>
      </c>
      <c r="W600" s="909">
        <f t="shared" ca="1" si="451"/>
        <v>7557.7249919999995</v>
      </c>
      <c r="X600" s="909">
        <f t="shared" ca="1" si="452"/>
        <v>116350.40724075769</v>
      </c>
      <c r="Y600" s="909">
        <f t="shared" ca="1" si="453"/>
        <v>-38815.503240757695</v>
      </c>
      <c r="Z600" s="910">
        <f t="shared" ca="1" si="454"/>
        <v>-232893.01944454614</v>
      </c>
      <c r="AA600" s="909">
        <f t="shared" ca="1" si="455"/>
        <v>-38815.503240757695</v>
      </c>
      <c r="AB600" s="910">
        <f t="shared" ca="1" si="456"/>
        <v>-232893.01944454614</v>
      </c>
      <c r="AC600" s="911">
        <f t="shared" ca="1" si="457"/>
        <v>0</v>
      </c>
      <c r="AD600" s="911">
        <f t="shared" ca="1" si="458"/>
        <v>0</v>
      </c>
      <c r="AE600" s="909">
        <f t="shared" ca="1" si="459"/>
        <v>0</v>
      </c>
      <c r="AF600" s="912">
        <f t="shared" ca="1" si="426"/>
        <v>0</v>
      </c>
      <c r="AG600" s="909">
        <f t="shared" si="460"/>
        <v>77534.903999999995</v>
      </c>
      <c r="AH600" s="917">
        <f t="shared" ca="1" si="461"/>
        <v>77534.903999999995</v>
      </c>
      <c r="AI600" s="909">
        <f t="shared" ca="1" si="462"/>
        <v>-77534.903999999995</v>
      </c>
      <c r="AJ600" s="916">
        <f t="shared" ca="1" si="463"/>
        <v>0</v>
      </c>
      <c r="AK600" s="916">
        <f t="shared" ca="1" si="464"/>
        <v>-77534.903999999995</v>
      </c>
      <c r="AL600" s="909">
        <f t="shared" ca="1" si="465"/>
        <v>0</v>
      </c>
      <c r="AM600" s="918">
        <f t="shared" ca="1" si="466"/>
        <v>77534.903999999995</v>
      </c>
      <c r="AN600" s="915">
        <f t="shared" si="427"/>
        <v>6</v>
      </c>
      <c r="AO600" s="653">
        <f t="shared" si="467"/>
        <v>77534.903999999995</v>
      </c>
      <c r="AP600" s="916">
        <f t="shared" ca="1" si="468"/>
        <v>9639.5079999999998</v>
      </c>
      <c r="AQ600" s="916">
        <f t="shared" ca="1" si="469"/>
        <v>-38815.503240757695</v>
      </c>
      <c r="AR600" s="653"/>
      <c r="AS600" s="653">
        <v>6</v>
      </c>
      <c r="AT600" s="909">
        <f t="shared" ca="1" si="428"/>
        <v>-8062.8863810959365</v>
      </c>
      <c r="AU600" s="909">
        <f t="shared" ca="1" si="429"/>
        <v>-75803.358455798923</v>
      </c>
      <c r="AV600" s="909">
        <f t="shared" ca="1" si="430"/>
        <v>-13565.339674891373</v>
      </c>
      <c r="AW600" s="909">
        <f t="shared" ca="1" si="431"/>
        <v>32507.372879387938</v>
      </c>
      <c r="AX600" s="909">
        <f t="shared" ca="1" si="432"/>
        <v>0</v>
      </c>
      <c r="AY600" s="909">
        <f t="shared" si="433"/>
        <v>64934.261443478499</v>
      </c>
      <c r="AZ600" s="909">
        <f t="shared" ca="1" si="434"/>
        <v>-64924.211632398292</v>
      </c>
      <c r="BA600" s="653"/>
      <c r="BB600" s="653">
        <f t="shared" si="470"/>
        <v>6</v>
      </c>
      <c r="BC600" s="909">
        <f t="shared" ca="1" si="471"/>
        <v>-52154.05396346881</v>
      </c>
      <c r="BD600" s="909">
        <f t="shared" ca="1" si="472"/>
        <v>-490327.19309862575</v>
      </c>
      <c r="BE600" s="909">
        <f t="shared" ca="1" si="473"/>
        <v>-87746.177236954303</v>
      </c>
      <c r="BF600" s="909">
        <f t="shared" ca="1" si="474"/>
        <v>210271.01204565866</v>
      </c>
      <c r="BG600" s="909">
        <f t="shared" ca="1" si="475"/>
        <v>0</v>
      </c>
      <c r="BH600" s="909">
        <f t="shared" si="476"/>
        <v>420022.41855071671</v>
      </c>
      <c r="BI600" s="909">
        <f t="shared" ca="1" si="477"/>
        <v>-419956.41225339018</v>
      </c>
      <c r="BJ600" s="909"/>
      <c r="BK600" s="653">
        <v>6</v>
      </c>
      <c r="BL600" s="909">
        <f t="shared" ca="1" si="435"/>
        <v>-9627.5079999999998</v>
      </c>
      <c r="BM600" s="909">
        <f t="shared" ca="1" si="436"/>
        <v>-90513.174248757685</v>
      </c>
      <c r="BN600" s="909">
        <f t="shared" ca="1" si="437"/>
        <v>-16197.724991999999</v>
      </c>
      <c r="BO600" s="909">
        <f t="shared" ca="1" si="438"/>
        <v>38815.503240757695</v>
      </c>
      <c r="BP600" s="909">
        <f t="shared" ca="1" si="439"/>
        <v>0</v>
      </c>
      <c r="BQ600" s="909">
        <f t="shared" si="440"/>
        <v>77534.903999999995</v>
      </c>
      <c r="BR600" s="909">
        <f t="shared" ca="1" si="441"/>
        <v>-77522.903999999995</v>
      </c>
      <c r="BS600" s="653"/>
      <c r="BT600" s="653"/>
      <c r="BU600" s="653"/>
      <c r="BV600" s="654"/>
    </row>
    <row r="601" spans="2:74" x14ac:dyDescent="0.25">
      <c r="B601" s="651"/>
      <c r="C601" s="653"/>
      <c r="D601" s="653"/>
      <c r="E601" s="653"/>
      <c r="F601" s="653"/>
      <c r="G601" s="653"/>
      <c r="H601" s="653"/>
      <c r="I601" s="653"/>
      <c r="J601" s="653"/>
      <c r="K601" s="653"/>
      <c r="L601" s="653"/>
      <c r="M601" s="651">
        <v>7</v>
      </c>
      <c r="N601" s="909">
        <f t="shared" ca="1" si="442"/>
        <v>9627.5079999999998</v>
      </c>
      <c r="O601" s="909">
        <f t="shared" ca="1" si="443"/>
        <v>0</v>
      </c>
      <c r="P601" s="909">
        <f t="shared" ca="1" si="444"/>
        <v>12</v>
      </c>
      <c r="Q601" s="910">
        <f t="shared" ca="1" si="445"/>
        <v>1858109.0440000005</v>
      </c>
      <c r="R601" s="909">
        <f t="shared" ca="1" si="446"/>
        <v>90513.174248757685</v>
      </c>
      <c r="S601" s="909">
        <f t="shared" ca="1" si="447"/>
        <v>38894.775732298236</v>
      </c>
      <c r="T601" s="909">
        <f t="shared" ca="1" si="448"/>
        <v>51618.398516459449</v>
      </c>
      <c r="U601" s="909">
        <f t="shared" ca="1" si="449"/>
        <v>1244874.1258934818</v>
      </c>
      <c r="V601" s="909">
        <f t="shared" ca="1" si="450"/>
        <v>8640</v>
      </c>
      <c r="W601" s="909">
        <f t="shared" ca="1" si="451"/>
        <v>7557.7249919999995</v>
      </c>
      <c r="X601" s="909">
        <f t="shared" ca="1" si="452"/>
        <v>116350.40724075769</v>
      </c>
      <c r="Y601" s="909">
        <f t="shared" ca="1" si="453"/>
        <v>-38815.503240757695</v>
      </c>
      <c r="Z601" s="910">
        <f t="shared" ca="1" si="454"/>
        <v>-271708.52268530382</v>
      </c>
      <c r="AA601" s="909">
        <f t="shared" ca="1" si="455"/>
        <v>-38815.503240757695</v>
      </c>
      <c r="AB601" s="910">
        <f t="shared" ca="1" si="456"/>
        <v>-271708.52268530382</v>
      </c>
      <c r="AC601" s="911">
        <f t="shared" ca="1" si="457"/>
        <v>0</v>
      </c>
      <c r="AD601" s="911">
        <f t="shared" ca="1" si="458"/>
        <v>0</v>
      </c>
      <c r="AE601" s="909">
        <f t="shared" ca="1" si="459"/>
        <v>0</v>
      </c>
      <c r="AF601" s="912">
        <f t="shared" ca="1" si="426"/>
        <v>0</v>
      </c>
      <c r="AG601" s="909">
        <f t="shared" si="460"/>
        <v>77534.903999999995</v>
      </c>
      <c r="AH601" s="917">
        <f t="shared" ca="1" si="461"/>
        <v>77534.903999999995</v>
      </c>
      <c r="AI601" s="909">
        <f t="shared" ca="1" si="462"/>
        <v>-77534.903999999995</v>
      </c>
      <c r="AJ601" s="916">
        <f t="shared" ca="1" si="463"/>
        <v>0</v>
      </c>
      <c r="AK601" s="916">
        <f t="shared" ca="1" si="464"/>
        <v>-77534.903999999995</v>
      </c>
      <c r="AL601" s="909">
        <f t="shared" ca="1" si="465"/>
        <v>0</v>
      </c>
      <c r="AM601" s="918">
        <f t="shared" ca="1" si="466"/>
        <v>77534.903999999995</v>
      </c>
      <c r="AN601" s="915">
        <f t="shared" si="427"/>
        <v>7</v>
      </c>
      <c r="AO601" s="653">
        <f t="shared" si="467"/>
        <v>77534.903999999995</v>
      </c>
      <c r="AP601" s="916">
        <f t="shared" ca="1" si="468"/>
        <v>9639.5079999999998</v>
      </c>
      <c r="AQ601" s="916">
        <f t="shared" ca="1" si="469"/>
        <v>-38815.503240757695</v>
      </c>
      <c r="AR601" s="653"/>
      <c r="AS601" s="653">
        <v>7</v>
      </c>
      <c r="AT601" s="909">
        <f t="shared" ca="1" si="428"/>
        <v>-7828.0450301902292</v>
      </c>
      <c r="AU601" s="909">
        <f t="shared" ca="1" si="429"/>
        <v>-73595.493646406714</v>
      </c>
      <c r="AV601" s="909">
        <f t="shared" ca="1" si="430"/>
        <v>-13170.232694069293</v>
      </c>
      <c r="AW601" s="909">
        <f t="shared" ca="1" si="431"/>
        <v>31560.55619358052</v>
      </c>
      <c r="AX601" s="909">
        <f t="shared" ca="1" si="432"/>
        <v>0</v>
      </c>
      <c r="AY601" s="909">
        <f t="shared" si="433"/>
        <v>63042.972275221844</v>
      </c>
      <c r="AZ601" s="909">
        <f t="shared" ca="1" si="434"/>
        <v>-63033.215177085716</v>
      </c>
      <c r="BA601" s="653"/>
      <c r="BB601" s="653">
        <f t="shared" si="470"/>
        <v>7</v>
      </c>
      <c r="BC601" s="909">
        <f t="shared" ca="1" si="471"/>
        <v>-59982.098993659041</v>
      </c>
      <c r="BD601" s="909">
        <f t="shared" ca="1" si="472"/>
        <v>-563922.68674503244</v>
      </c>
      <c r="BE601" s="909">
        <f t="shared" ca="1" si="473"/>
        <v>-100916.40993102359</v>
      </c>
      <c r="BF601" s="909">
        <f t="shared" ca="1" si="474"/>
        <v>241831.56823923919</v>
      </c>
      <c r="BG601" s="909">
        <f t="shared" ca="1" si="475"/>
        <v>0</v>
      </c>
      <c r="BH601" s="909">
        <f t="shared" si="476"/>
        <v>483065.39082593855</v>
      </c>
      <c r="BI601" s="909">
        <f t="shared" ca="1" si="477"/>
        <v>-482989.6274304759</v>
      </c>
      <c r="BJ601" s="909"/>
      <c r="BK601" s="653">
        <v>7</v>
      </c>
      <c r="BL601" s="909">
        <f t="shared" ca="1" si="435"/>
        <v>-9627.5079999999998</v>
      </c>
      <c r="BM601" s="909">
        <f t="shared" ca="1" si="436"/>
        <v>-90513.174248757685</v>
      </c>
      <c r="BN601" s="909">
        <f t="shared" ca="1" si="437"/>
        <v>-16197.724991999999</v>
      </c>
      <c r="BO601" s="909">
        <f t="shared" ca="1" si="438"/>
        <v>38815.503240757695</v>
      </c>
      <c r="BP601" s="909">
        <f t="shared" ca="1" si="439"/>
        <v>0</v>
      </c>
      <c r="BQ601" s="909">
        <f t="shared" si="440"/>
        <v>77534.903999999995</v>
      </c>
      <c r="BR601" s="909">
        <f t="shared" ca="1" si="441"/>
        <v>-77522.903999999995</v>
      </c>
      <c r="BS601" s="653"/>
      <c r="BT601" s="653"/>
      <c r="BU601" s="653"/>
      <c r="BV601" s="654"/>
    </row>
    <row r="602" spans="2:74" x14ac:dyDescent="0.25">
      <c r="B602" s="651"/>
      <c r="C602" s="653"/>
      <c r="D602" s="653"/>
      <c r="E602" s="653"/>
      <c r="F602" s="653"/>
      <c r="G602" s="653"/>
      <c r="H602" s="653"/>
      <c r="I602" s="653"/>
      <c r="J602" s="653"/>
      <c r="K602" s="653"/>
      <c r="L602" s="653"/>
      <c r="M602" s="651">
        <v>8</v>
      </c>
      <c r="N602" s="909">
        <f t="shared" ca="1" si="442"/>
        <v>9627.5079999999998</v>
      </c>
      <c r="O602" s="909">
        <f t="shared" ca="1" si="443"/>
        <v>0</v>
      </c>
      <c r="P602" s="909">
        <f t="shared" ca="1" si="444"/>
        <v>12</v>
      </c>
      <c r="Q602" s="910">
        <f t="shared" ca="1" si="445"/>
        <v>1848481.5360000005</v>
      </c>
      <c r="R602" s="909">
        <f t="shared" ca="1" si="446"/>
        <v>90513.174248757685</v>
      </c>
      <c r="S602" s="909">
        <f t="shared" ca="1" si="447"/>
        <v>37346.223776804451</v>
      </c>
      <c r="T602" s="909">
        <f t="shared" ca="1" si="448"/>
        <v>53166.950471953234</v>
      </c>
      <c r="U602" s="909">
        <f t="shared" ca="1" si="449"/>
        <v>1191707.1754215285</v>
      </c>
      <c r="V602" s="909">
        <f t="shared" ca="1" si="450"/>
        <v>8640</v>
      </c>
      <c r="W602" s="909">
        <f t="shared" ca="1" si="451"/>
        <v>7557.7249919999995</v>
      </c>
      <c r="X602" s="909">
        <f t="shared" ca="1" si="452"/>
        <v>116350.40724075769</v>
      </c>
      <c r="Y602" s="909">
        <f t="shared" ca="1" si="453"/>
        <v>-38815.503240757695</v>
      </c>
      <c r="Z602" s="910">
        <f t="shared" ca="1" si="454"/>
        <v>-310524.0259260615</v>
      </c>
      <c r="AA602" s="909">
        <f t="shared" ca="1" si="455"/>
        <v>-38815.503240757695</v>
      </c>
      <c r="AB602" s="910">
        <f t="shared" ca="1" si="456"/>
        <v>-310524.0259260615</v>
      </c>
      <c r="AC602" s="911">
        <f t="shared" ca="1" si="457"/>
        <v>0</v>
      </c>
      <c r="AD602" s="911">
        <f t="shared" ca="1" si="458"/>
        <v>0</v>
      </c>
      <c r="AE602" s="909">
        <f t="shared" ca="1" si="459"/>
        <v>0</v>
      </c>
      <c r="AF602" s="912">
        <f t="shared" ca="1" si="426"/>
        <v>0</v>
      </c>
      <c r="AG602" s="909">
        <f t="shared" si="460"/>
        <v>77534.903999999995</v>
      </c>
      <c r="AH602" s="917">
        <f t="shared" ca="1" si="461"/>
        <v>77534.903999999995</v>
      </c>
      <c r="AI602" s="909">
        <f t="shared" ca="1" si="462"/>
        <v>-77534.903999999995</v>
      </c>
      <c r="AJ602" s="916">
        <f t="shared" ca="1" si="463"/>
        <v>0</v>
      </c>
      <c r="AK602" s="916">
        <f t="shared" ca="1" si="464"/>
        <v>-77534.903999999995</v>
      </c>
      <c r="AL602" s="909">
        <f t="shared" ca="1" si="465"/>
        <v>0</v>
      </c>
      <c r="AM602" s="918">
        <f t="shared" ca="1" si="466"/>
        <v>77534.903999999995</v>
      </c>
      <c r="AN602" s="915">
        <f t="shared" si="427"/>
        <v>8</v>
      </c>
      <c r="AO602" s="653">
        <f t="shared" si="467"/>
        <v>77534.903999999995</v>
      </c>
      <c r="AP602" s="916">
        <f t="shared" ca="1" si="468"/>
        <v>9639.5079999999998</v>
      </c>
      <c r="AQ602" s="916">
        <f t="shared" ca="1" si="469"/>
        <v>-38815.503240757695</v>
      </c>
      <c r="AR602" s="653"/>
      <c r="AS602" s="653">
        <v>8</v>
      </c>
      <c r="AT602" s="909">
        <f t="shared" ca="1" si="428"/>
        <v>-7600.0437186312902</v>
      </c>
      <c r="AU602" s="909">
        <f t="shared" ca="1" si="429"/>
        <v>-71451.935579035649</v>
      </c>
      <c r="AV602" s="909">
        <f t="shared" ca="1" si="430"/>
        <v>-12786.633683562421</v>
      </c>
      <c r="AW602" s="909">
        <f t="shared" ca="1" si="431"/>
        <v>30641.316692796623</v>
      </c>
      <c r="AX602" s="909">
        <f t="shared" ca="1" si="432"/>
        <v>0</v>
      </c>
      <c r="AY602" s="909">
        <f t="shared" si="433"/>
        <v>61206.769199244511</v>
      </c>
      <c r="AZ602" s="909">
        <f t="shared" ca="1" si="434"/>
        <v>-61197.296288432743</v>
      </c>
      <c r="BA602" s="653"/>
      <c r="BB602" s="653">
        <f t="shared" si="470"/>
        <v>8</v>
      </c>
      <c r="BC602" s="909">
        <f t="shared" ca="1" si="471"/>
        <v>-67582.142712290326</v>
      </c>
      <c r="BD602" s="909">
        <f t="shared" ca="1" si="472"/>
        <v>-635374.6223240681</v>
      </c>
      <c r="BE602" s="909">
        <f t="shared" ca="1" si="473"/>
        <v>-113703.04361458601</v>
      </c>
      <c r="BF602" s="909">
        <f t="shared" ca="1" si="474"/>
        <v>272472.88493203581</v>
      </c>
      <c r="BG602" s="909">
        <f t="shared" ca="1" si="475"/>
        <v>0</v>
      </c>
      <c r="BH602" s="909">
        <f t="shared" si="476"/>
        <v>544272.16002518311</v>
      </c>
      <c r="BI602" s="909">
        <f t="shared" ca="1" si="477"/>
        <v>-544186.92371890869</v>
      </c>
      <c r="BJ602" s="909"/>
      <c r="BK602" s="653">
        <v>8</v>
      </c>
      <c r="BL602" s="909">
        <f t="shared" ca="1" si="435"/>
        <v>-9627.5079999999998</v>
      </c>
      <c r="BM602" s="909">
        <f t="shared" ca="1" si="436"/>
        <v>-90513.174248757685</v>
      </c>
      <c r="BN602" s="909">
        <f t="shared" ca="1" si="437"/>
        <v>-16197.724991999999</v>
      </c>
      <c r="BO602" s="909">
        <f t="shared" ca="1" si="438"/>
        <v>38815.503240757695</v>
      </c>
      <c r="BP602" s="909">
        <f t="shared" ca="1" si="439"/>
        <v>0</v>
      </c>
      <c r="BQ602" s="909">
        <f t="shared" si="440"/>
        <v>77534.903999999995</v>
      </c>
      <c r="BR602" s="909">
        <f t="shared" ca="1" si="441"/>
        <v>-77522.903999999995</v>
      </c>
      <c r="BS602" s="653"/>
      <c r="BT602" s="653"/>
      <c r="BU602" s="653"/>
      <c r="BV602" s="654"/>
    </row>
    <row r="603" spans="2:74" x14ac:dyDescent="0.25">
      <c r="B603" s="651"/>
      <c r="C603" s="653"/>
      <c r="D603" s="653"/>
      <c r="E603" s="653"/>
      <c r="F603" s="653"/>
      <c r="G603" s="653"/>
      <c r="H603" s="653"/>
      <c r="I603" s="653"/>
      <c r="J603" s="653"/>
      <c r="K603" s="653"/>
      <c r="L603" s="653"/>
      <c r="M603" s="651">
        <v>9</v>
      </c>
      <c r="N603" s="909">
        <f t="shared" ca="1" si="442"/>
        <v>9627.5079999999998</v>
      </c>
      <c r="O603" s="909">
        <f t="shared" ca="1" si="443"/>
        <v>0</v>
      </c>
      <c r="P603" s="909">
        <f t="shared" ca="1" si="444"/>
        <v>12</v>
      </c>
      <c r="Q603" s="910">
        <f t="shared" ca="1" si="445"/>
        <v>1838854.0280000006</v>
      </c>
      <c r="R603" s="909">
        <f t="shared" ca="1" si="446"/>
        <v>90513.174248757685</v>
      </c>
      <c r="S603" s="909">
        <f t="shared" ca="1" si="447"/>
        <v>35751.215262645856</v>
      </c>
      <c r="T603" s="909">
        <f t="shared" ca="1" si="448"/>
        <v>54761.958986111829</v>
      </c>
      <c r="U603" s="909">
        <f t="shared" ca="1" si="449"/>
        <v>1136945.2164354166</v>
      </c>
      <c r="V603" s="909">
        <f t="shared" ca="1" si="450"/>
        <v>8640</v>
      </c>
      <c r="W603" s="909">
        <f t="shared" ca="1" si="451"/>
        <v>7557.7249919999995</v>
      </c>
      <c r="X603" s="909">
        <f t="shared" ca="1" si="452"/>
        <v>116350.40724075769</v>
      </c>
      <c r="Y603" s="909">
        <f t="shared" ca="1" si="453"/>
        <v>-38815.503240757695</v>
      </c>
      <c r="Z603" s="910">
        <f t="shared" ca="1" si="454"/>
        <v>-349339.52916681918</v>
      </c>
      <c r="AA603" s="909">
        <f t="shared" ca="1" si="455"/>
        <v>-38815.503240757695</v>
      </c>
      <c r="AB603" s="910">
        <f t="shared" ca="1" si="456"/>
        <v>-349339.52916681918</v>
      </c>
      <c r="AC603" s="911">
        <f t="shared" ca="1" si="457"/>
        <v>0</v>
      </c>
      <c r="AD603" s="911">
        <f t="shared" ca="1" si="458"/>
        <v>0</v>
      </c>
      <c r="AE603" s="909">
        <f t="shared" ca="1" si="459"/>
        <v>0</v>
      </c>
      <c r="AF603" s="912">
        <f t="shared" ca="1" si="426"/>
        <v>0</v>
      </c>
      <c r="AG603" s="909">
        <f t="shared" si="460"/>
        <v>77534.903999999995</v>
      </c>
      <c r="AH603" s="917">
        <f t="shared" ca="1" si="461"/>
        <v>77534.903999999995</v>
      </c>
      <c r="AI603" s="909">
        <f t="shared" ca="1" si="462"/>
        <v>-77534.903999999995</v>
      </c>
      <c r="AJ603" s="916">
        <f t="shared" ca="1" si="463"/>
        <v>0</v>
      </c>
      <c r="AK603" s="916">
        <f t="shared" ca="1" si="464"/>
        <v>-77534.903999999995</v>
      </c>
      <c r="AL603" s="909">
        <f t="shared" ca="1" si="465"/>
        <v>0</v>
      </c>
      <c r="AM603" s="918">
        <f t="shared" ca="1" si="466"/>
        <v>77534.903999999995</v>
      </c>
      <c r="AN603" s="915">
        <f t="shared" si="427"/>
        <v>9</v>
      </c>
      <c r="AO603" s="653">
        <f t="shared" si="467"/>
        <v>77534.903999999995</v>
      </c>
      <c r="AP603" s="916">
        <f t="shared" ca="1" si="468"/>
        <v>9639.5079999999998</v>
      </c>
      <c r="AQ603" s="916">
        <f t="shared" ca="1" si="469"/>
        <v>-38815.503240757695</v>
      </c>
      <c r="AR603" s="909"/>
      <c r="AS603" s="653">
        <v>9</v>
      </c>
      <c r="AT603" s="909">
        <f t="shared" ca="1" si="428"/>
        <v>-7378.6832219721273</v>
      </c>
      <c r="AU603" s="909">
        <f t="shared" ca="1" si="429"/>
        <v>-69370.811241782183</v>
      </c>
      <c r="AV603" s="909">
        <f t="shared" ca="1" si="430"/>
        <v>-12414.207459769341</v>
      </c>
      <c r="AW603" s="909">
        <f t="shared" ca="1" si="431"/>
        <v>29748.851158054975</v>
      </c>
      <c r="AX603" s="909">
        <f t="shared" ca="1" si="432"/>
        <v>0</v>
      </c>
      <c r="AY603" s="909">
        <f t="shared" si="433"/>
        <v>59424.047766256808</v>
      </c>
      <c r="AZ603" s="909">
        <f t="shared" ca="1" si="434"/>
        <v>-59414.850765468676</v>
      </c>
      <c r="BA603" s="653"/>
      <c r="BB603" s="653">
        <f t="shared" si="470"/>
        <v>9</v>
      </c>
      <c r="BC603" s="909">
        <f t="shared" ca="1" si="471"/>
        <v>-74960.825934262451</v>
      </c>
      <c r="BD603" s="909">
        <f t="shared" ca="1" si="472"/>
        <v>-704745.43356585025</v>
      </c>
      <c r="BE603" s="909">
        <f t="shared" ca="1" si="473"/>
        <v>-126117.25107435536</v>
      </c>
      <c r="BF603" s="909">
        <f t="shared" ca="1" si="474"/>
        <v>302221.73609009077</v>
      </c>
      <c r="BG603" s="909">
        <f t="shared" ca="1" si="475"/>
        <v>0</v>
      </c>
      <c r="BH603" s="909">
        <f t="shared" si="476"/>
        <v>603696.20779143996</v>
      </c>
      <c r="BI603" s="909">
        <f t="shared" ca="1" si="477"/>
        <v>-603601.77448437735</v>
      </c>
      <c r="BJ603" s="909"/>
      <c r="BK603" s="653">
        <v>9</v>
      </c>
      <c r="BL603" s="909">
        <f t="shared" ca="1" si="435"/>
        <v>-9627.5079999999998</v>
      </c>
      <c r="BM603" s="909">
        <f t="shared" ca="1" si="436"/>
        <v>-90513.174248757685</v>
      </c>
      <c r="BN603" s="909">
        <f t="shared" ca="1" si="437"/>
        <v>-16197.724991999999</v>
      </c>
      <c r="BO603" s="909">
        <f t="shared" ca="1" si="438"/>
        <v>38815.503240757695</v>
      </c>
      <c r="BP603" s="909">
        <f t="shared" ca="1" si="439"/>
        <v>0</v>
      </c>
      <c r="BQ603" s="909">
        <f t="shared" si="440"/>
        <v>77534.903999999995</v>
      </c>
      <c r="BR603" s="909">
        <f t="shared" ca="1" si="441"/>
        <v>-77522.903999999995</v>
      </c>
      <c r="BS603" s="653"/>
      <c r="BT603" s="653"/>
      <c r="BU603" s="653"/>
      <c r="BV603" s="654"/>
    </row>
    <row r="604" spans="2:74" x14ac:dyDescent="0.25">
      <c r="B604" s="651"/>
      <c r="C604" s="653"/>
      <c r="D604" s="653"/>
      <c r="E604" s="653"/>
      <c r="F604" s="653"/>
      <c r="G604" s="653"/>
      <c r="H604" s="653"/>
      <c r="I604" s="653"/>
      <c r="J604" s="653"/>
      <c r="K604" s="653"/>
      <c r="L604" s="653"/>
      <c r="M604" s="651">
        <v>10</v>
      </c>
      <c r="N604" s="909">
        <f t="shared" ca="1" si="442"/>
        <v>9627.5079999999998</v>
      </c>
      <c r="O604" s="909">
        <f t="shared" ca="1" si="443"/>
        <v>0</v>
      </c>
      <c r="P604" s="909">
        <f t="shared" ca="1" si="444"/>
        <v>12</v>
      </c>
      <c r="Q604" s="910">
        <f t="shared" ca="1" si="445"/>
        <v>1829226.5200000007</v>
      </c>
      <c r="R604" s="909">
        <f t="shared" ca="1" si="446"/>
        <v>90513.174248757685</v>
      </c>
      <c r="S604" s="909">
        <f t="shared" ca="1" si="447"/>
        <v>34108.3564930625</v>
      </c>
      <c r="T604" s="909">
        <f t="shared" ca="1" si="448"/>
        <v>56404.817755695185</v>
      </c>
      <c r="U604" s="909">
        <f t="shared" ca="1" si="449"/>
        <v>1080540.3986797214</v>
      </c>
      <c r="V604" s="909">
        <f t="shared" ca="1" si="450"/>
        <v>8640</v>
      </c>
      <c r="W604" s="909">
        <f t="shared" ca="1" si="451"/>
        <v>7557.7249919999995</v>
      </c>
      <c r="X604" s="909">
        <f t="shared" ca="1" si="452"/>
        <v>116350.40724075769</v>
      </c>
      <c r="Y604" s="909">
        <f t="shared" ca="1" si="453"/>
        <v>-38815.503240757695</v>
      </c>
      <c r="Z604" s="910">
        <f t="shared" ca="1" si="454"/>
        <v>-388155.03240757686</v>
      </c>
      <c r="AA604" s="909">
        <f t="shared" ca="1" si="455"/>
        <v>-38815.503240757695</v>
      </c>
      <c r="AB604" s="910">
        <f t="shared" ca="1" si="456"/>
        <v>-388155.03240757686</v>
      </c>
      <c r="AC604" s="911">
        <f t="shared" ca="1" si="457"/>
        <v>0</v>
      </c>
      <c r="AD604" s="911">
        <f t="shared" ca="1" si="458"/>
        <v>0</v>
      </c>
      <c r="AE604" s="909">
        <f t="shared" ca="1" si="459"/>
        <v>0</v>
      </c>
      <c r="AF604" s="912">
        <f t="shared" ca="1" si="426"/>
        <v>0</v>
      </c>
      <c r="AG604" s="909">
        <f t="shared" si="460"/>
        <v>77534.903999999995</v>
      </c>
      <c r="AH604" s="917">
        <f t="shared" ca="1" si="461"/>
        <v>77534.903999999995</v>
      </c>
      <c r="AI604" s="909">
        <f t="shared" ca="1" si="462"/>
        <v>-77534.903999999995</v>
      </c>
      <c r="AJ604" s="916">
        <f t="shared" ca="1" si="463"/>
        <v>0</v>
      </c>
      <c r="AK604" s="916">
        <f t="shared" ca="1" si="464"/>
        <v>-77534.903999999995</v>
      </c>
      <c r="AL604" s="909">
        <f t="shared" ca="1" si="465"/>
        <v>0</v>
      </c>
      <c r="AM604" s="918">
        <f t="shared" ca="1" si="466"/>
        <v>77534.903999999995</v>
      </c>
      <c r="AN604" s="915">
        <f t="shared" si="427"/>
        <v>10</v>
      </c>
      <c r="AO604" s="653">
        <f t="shared" si="467"/>
        <v>77534.903999999995</v>
      </c>
      <c r="AP604" s="916">
        <f t="shared" ca="1" si="468"/>
        <v>9639.5079999999998</v>
      </c>
      <c r="AQ604" s="916">
        <f t="shared" ca="1" si="469"/>
        <v>-38815.503240757695</v>
      </c>
      <c r="AR604" s="653"/>
      <c r="AS604" s="653">
        <v>10</v>
      </c>
      <c r="AT604" s="909">
        <f t="shared" ca="1" si="428"/>
        <v>-7163.7701184195403</v>
      </c>
      <c r="AU604" s="909">
        <f t="shared" ca="1" si="429"/>
        <v>-67350.302176487559</v>
      </c>
      <c r="AV604" s="909">
        <f t="shared" ca="1" si="430"/>
        <v>-12052.628601717806</v>
      </c>
      <c r="AW604" s="909">
        <f t="shared" ca="1" si="431"/>
        <v>28882.379765101916</v>
      </c>
      <c r="AX604" s="909">
        <f t="shared" ca="1" si="432"/>
        <v>0</v>
      </c>
      <c r="AY604" s="909">
        <f t="shared" si="433"/>
        <v>57693.25025850175</v>
      </c>
      <c r="AZ604" s="909">
        <f t="shared" ca="1" si="434"/>
        <v>-57684.321131523</v>
      </c>
      <c r="BA604" s="653"/>
      <c r="BB604" s="653">
        <f t="shared" si="470"/>
        <v>10</v>
      </c>
      <c r="BC604" s="909">
        <f t="shared" ca="1" si="471"/>
        <v>-82124.596052681998</v>
      </c>
      <c r="BD604" s="909">
        <f t="shared" ca="1" si="472"/>
        <v>-772095.73574233777</v>
      </c>
      <c r="BE604" s="909">
        <f t="shared" ca="1" si="473"/>
        <v>-138169.87967607315</v>
      </c>
      <c r="BF604" s="909">
        <f t="shared" ca="1" si="474"/>
        <v>331104.11585519271</v>
      </c>
      <c r="BG604" s="909">
        <f t="shared" ca="1" si="475"/>
        <v>0</v>
      </c>
      <c r="BH604" s="909">
        <f t="shared" si="476"/>
        <v>661389.45804994169</v>
      </c>
      <c r="BI604" s="909">
        <f t="shared" ca="1" si="477"/>
        <v>-661286.09561590035</v>
      </c>
      <c r="BJ604" s="909"/>
      <c r="BK604" s="653">
        <v>10</v>
      </c>
      <c r="BL604" s="909">
        <f t="shared" ca="1" si="435"/>
        <v>-9627.5079999999998</v>
      </c>
      <c r="BM604" s="909">
        <f t="shared" ca="1" si="436"/>
        <v>-90513.174248757685</v>
      </c>
      <c r="BN604" s="909">
        <f t="shared" ca="1" si="437"/>
        <v>-16197.724991999999</v>
      </c>
      <c r="BO604" s="909">
        <f t="shared" ca="1" si="438"/>
        <v>38815.503240757695</v>
      </c>
      <c r="BP604" s="909">
        <f t="shared" ca="1" si="439"/>
        <v>0</v>
      </c>
      <c r="BQ604" s="909">
        <f t="shared" si="440"/>
        <v>77534.903999999995</v>
      </c>
      <c r="BR604" s="909">
        <f t="shared" ca="1" si="441"/>
        <v>-77522.903999999995</v>
      </c>
      <c r="BS604" s="653"/>
      <c r="BT604" s="653"/>
      <c r="BU604" s="653"/>
      <c r="BV604" s="654"/>
    </row>
    <row r="605" spans="2:74" x14ac:dyDescent="0.25">
      <c r="B605" s="651"/>
      <c r="C605" s="653"/>
      <c r="D605" s="653"/>
      <c r="E605" s="653"/>
      <c r="F605" s="653"/>
      <c r="G605" s="653"/>
      <c r="H605" s="653"/>
      <c r="I605" s="653"/>
      <c r="J605" s="653"/>
      <c r="K605" s="653"/>
      <c r="L605" s="653"/>
      <c r="M605" s="651">
        <v>11</v>
      </c>
      <c r="N605" s="909">
        <f t="shared" ca="1" si="442"/>
        <v>9627.5079999999998</v>
      </c>
      <c r="O605" s="909">
        <f t="shared" ca="1" si="443"/>
        <v>0</v>
      </c>
      <c r="P605" s="909">
        <f t="shared" ca="1" si="444"/>
        <v>12</v>
      </c>
      <c r="Q605" s="910">
        <f t="shared" ca="1" si="445"/>
        <v>1819599.0120000008</v>
      </c>
      <c r="R605" s="909">
        <f t="shared" ca="1" si="446"/>
        <v>90513.174248757685</v>
      </c>
      <c r="S605" s="909">
        <f t="shared" ca="1" si="447"/>
        <v>32416.21196039164</v>
      </c>
      <c r="T605" s="909">
        <f t="shared" ca="1" si="448"/>
        <v>58096.962288366049</v>
      </c>
      <c r="U605" s="909">
        <f t="shared" ca="1" si="449"/>
        <v>1022443.4363913554</v>
      </c>
      <c r="V605" s="909">
        <f t="shared" ca="1" si="450"/>
        <v>8640</v>
      </c>
      <c r="W605" s="909">
        <f t="shared" ca="1" si="451"/>
        <v>7557.7249919999995</v>
      </c>
      <c r="X605" s="909">
        <f t="shared" ca="1" si="452"/>
        <v>116350.40724075769</v>
      </c>
      <c r="Y605" s="909">
        <f t="shared" ca="1" si="453"/>
        <v>-38815.503240757695</v>
      </c>
      <c r="Z605" s="910">
        <f t="shared" ca="1" si="454"/>
        <v>-426970.53564833454</v>
      </c>
      <c r="AA605" s="909">
        <f t="shared" ca="1" si="455"/>
        <v>-38815.503240757695</v>
      </c>
      <c r="AB605" s="910">
        <f t="shared" ca="1" si="456"/>
        <v>-426970.53564833454</v>
      </c>
      <c r="AC605" s="911">
        <f t="shared" ca="1" si="457"/>
        <v>0</v>
      </c>
      <c r="AD605" s="911">
        <f t="shared" ca="1" si="458"/>
        <v>0</v>
      </c>
      <c r="AE605" s="909">
        <f t="shared" ca="1" si="459"/>
        <v>0</v>
      </c>
      <c r="AF605" s="912">
        <f t="shared" ca="1" si="426"/>
        <v>0</v>
      </c>
      <c r="AG605" s="909">
        <f t="shared" si="460"/>
        <v>77534.903999999995</v>
      </c>
      <c r="AH605" s="917">
        <f t="shared" ca="1" si="461"/>
        <v>77534.903999999995</v>
      </c>
      <c r="AI605" s="909">
        <f t="shared" ca="1" si="462"/>
        <v>-77534.903999999995</v>
      </c>
      <c r="AJ605" s="916">
        <f t="shared" ca="1" si="463"/>
        <v>0</v>
      </c>
      <c r="AK605" s="916">
        <f t="shared" ca="1" si="464"/>
        <v>-77534.903999999995</v>
      </c>
      <c r="AL605" s="909">
        <f t="shared" ca="1" si="465"/>
        <v>0</v>
      </c>
      <c r="AM605" s="918">
        <f t="shared" ca="1" si="466"/>
        <v>77534.903999999995</v>
      </c>
      <c r="AN605" s="915">
        <f t="shared" si="427"/>
        <v>11</v>
      </c>
      <c r="AO605" s="653">
        <f t="shared" si="467"/>
        <v>77534.903999999995</v>
      </c>
      <c r="AP605" s="916">
        <f t="shared" ca="1" si="468"/>
        <v>9639.5079999999998</v>
      </c>
      <c r="AQ605" s="916">
        <f t="shared" ca="1" si="469"/>
        <v>-38815.503240757695</v>
      </c>
      <c r="AR605" s="653"/>
      <c r="AS605" s="653">
        <v>11</v>
      </c>
      <c r="AT605" s="909">
        <f t="shared" ca="1" si="428"/>
        <v>-6955.1166198247965</v>
      </c>
      <c r="AU605" s="909">
        <f t="shared" ca="1" si="429"/>
        <v>-65388.642889793744</v>
      </c>
      <c r="AV605" s="909">
        <f t="shared" ca="1" si="430"/>
        <v>-11701.581166716316</v>
      </c>
      <c r="AW605" s="909">
        <f t="shared" ca="1" si="431"/>
        <v>28041.145403011571</v>
      </c>
      <c r="AX605" s="909">
        <f t="shared" ca="1" si="432"/>
        <v>0</v>
      </c>
      <c r="AY605" s="909">
        <f t="shared" si="433"/>
        <v>56012.864328642478</v>
      </c>
      <c r="AZ605" s="909">
        <f t="shared" ca="1" si="434"/>
        <v>-56004.19527332329</v>
      </c>
      <c r="BA605" s="653"/>
      <c r="BB605" s="653">
        <f t="shared" si="470"/>
        <v>11</v>
      </c>
      <c r="BC605" s="909">
        <f t="shared" ca="1" si="471"/>
        <v>-89079.712672506794</v>
      </c>
      <c r="BD605" s="909">
        <f t="shared" ca="1" si="472"/>
        <v>-837484.3786321315</v>
      </c>
      <c r="BE605" s="909">
        <f t="shared" ca="1" si="473"/>
        <v>-149871.46084278947</v>
      </c>
      <c r="BF605" s="909">
        <f t="shared" ca="1" si="474"/>
        <v>359145.26125820429</v>
      </c>
      <c r="BG605" s="909">
        <f t="shared" ca="1" si="475"/>
        <v>0</v>
      </c>
      <c r="BH605" s="909">
        <f t="shared" si="476"/>
        <v>717402.32237858418</v>
      </c>
      <c r="BI605" s="909">
        <f t="shared" ca="1" si="477"/>
        <v>-717290.29088922369</v>
      </c>
      <c r="BJ605" s="909"/>
      <c r="BK605" s="653">
        <v>11</v>
      </c>
      <c r="BL605" s="909">
        <f t="shared" ca="1" si="435"/>
        <v>-9627.5079999999998</v>
      </c>
      <c r="BM605" s="909">
        <f t="shared" ca="1" si="436"/>
        <v>-90513.174248757685</v>
      </c>
      <c r="BN605" s="909">
        <f t="shared" ca="1" si="437"/>
        <v>-16197.724991999999</v>
      </c>
      <c r="BO605" s="909">
        <f t="shared" ca="1" si="438"/>
        <v>38815.503240757695</v>
      </c>
      <c r="BP605" s="909">
        <f t="shared" ca="1" si="439"/>
        <v>0</v>
      </c>
      <c r="BQ605" s="909">
        <f t="shared" si="440"/>
        <v>77534.903999999995</v>
      </c>
      <c r="BR605" s="909">
        <f t="shared" ca="1" si="441"/>
        <v>-77522.903999999995</v>
      </c>
      <c r="BS605" s="653"/>
      <c r="BT605" s="653"/>
      <c r="BU605" s="653"/>
      <c r="BV605" s="654"/>
    </row>
    <row r="606" spans="2:74" x14ac:dyDescent="0.25">
      <c r="B606" s="651"/>
      <c r="C606" s="653"/>
      <c r="D606" s="653"/>
      <c r="E606" s="653"/>
      <c r="F606" s="653"/>
      <c r="G606" s="653"/>
      <c r="H606" s="653"/>
      <c r="I606" s="653"/>
      <c r="J606" s="653"/>
      <c r="K606" s="653"/>
      <c r="L606" s="653"/>
      <c r="M606" s="651">
        <v>12</v>
      </c>
      <c r="N606" s="909">
        <f t="shared" ca="1" si="442"/>
        <v>9627.5079999999998</v>
      </c>
      <c r="O606" s="909">
        <f t="shared" ca="1" si="443"/>
        <v>0</v>
      </c>
      <c r="P606" s="909">
        <f t="shared" ca="1" si="444"/>
        <v>12</v>
      </c>
      <c r="Q606" s="910">
        <f t="shared" ca="1" si="445"/>
        <v>1809971.5040000009</v>
      </c>
      <c r="R606" s="909">
        <f t="shared" ca="1" si="446"/>
        <v>90513.174248757685</v>
      </c>
      <c r="S606" s="909">
        <f t="shared" ca="1" si="447"/>
        <v>30673.303091740658</v>
      </c>
      <c r="T606" s="909">
        <f t="shared" ca="1" si="448"/>
        <v>59839.871157017027</v>
      </c>
      <c r="U606" s="909">
        <f t="shared" ca="1" si="449"/>
        <v>962603.56523433828</v>
      </c>
      <c r="V606" s="909">
        <f t="shared" ca="1" si="450"/>
        <v>8640</v>
      </c>
      <c r="W606" s="909">
        <f t="shared" ca="1" si="451"/>
        <v>7557.7249919999995</v>
      </c>
      <c r="X606" s="909">
        <f t="shared" ca="1" si="452"/>
        <v>116350.40724075769</v>
      </c>
      <c r="Y606" s="909">
        <f t="shared" ca="1" si="453"/>
        <v>-38815.503240757695</v>
      </c>
      <c r="Z606" s="910">
        <f t="shared" ca="1" si="454"/>
        <v>-465786.03888909222</v>
      </c>
      <c r="AA606" s="909">
        <f t="shared" ca="1" si="455"/>
        <v>-38815.503240757695</v>
      </c>
      <c r="AB606" s="910">
        <f t="shared" ca="1" si="456"/>
        <v>-465786.03888909222</v>
      </c>
      <c r="AC606" s="911">
        <f t="shared" ca="1" si="457"/>
        <v>0</v>
      </c>
      <c r="AD606" s="911">
        <f t="shared" ca="1" si="458"/>
        <v>0</v>
      </c>
      <c r="AE606" s="909">
        <f t="shared" ca="1" si="459"/>
        <v>0</v>
      </c>
      <c r="AF606" s="912">
        <f t="shared" ca="1" si="426"/>
        <v>0</v>
      </c>
      <c r="AG606" s="909">
        <f t="shared" si="460"/>
        <v>77534.903999999995</v>
      </c>
      <c r="AH606" s="917">
        <f t="shared" ca="1" si="461"/>
        <v>77534.903999999995</v>
      </c>
      <c r="AI606" s="909">
        <f t="shared" ca="1" si="462"/>
        <v>-77534.903999999995</v>
      </c>
      <c r="AJ606" s="916">
        <f t="shared" ca="1" si="463"/>
        <v>0</v>
      </c>
      <c r="AK606" s="916">
        <f t="shared" ca="1" si="464"/>
        <v>-77534.903999999995</v>
      </c>
      <c r="AL606" s="909">
        <f t="shared" ca="1" si="465"/>
        <v>0</v>
      </c>
      <c r="AM606" s="918">
        <f t="shared" ca="1" si="466"/>
        <v>77534.903999999995</v>
      </c>
      <c r="AN606" s="915">
        <f t="shared" si="427"/>
        <v>12</v>
      </c>
      <c r="AO606" s="653">
        <f t="shared" si="467"/>
        <v>77534.903999999995</v>
      </c>
      <c r="AP606" s="916">
        <f t="shared" ca="1" si="468"/>
        <v>9639.5079999999998</v>
      </c>
      <c r="AQ606" s="916">
        <f t="shared" ca="1" si="469"/>
        <v>-38815.503240757695</v>
      </c>
      <c r="AR606" s="653"/>
      <c r="AS606" s="653">
        <v>12</v>
      </c>
      <c r="AT606" s="909">
        <f t="shared" ca="1" si="428"/>
        <v>-6752.5404075968918</v>
      </c>
      <c r="AU606" s="909">
        <f t="shared" ca="1" si="429"/>
        <v>-63484.119310479378</v>
      </c>
      <c r="AV606" s="909">
        <f t="shared" ca="1" si="430"/>
        <v>-11360.758414287688</v>
      </c>
      <c r="AW606" s="909">
        <f t="shared" ca="1" si="431"/>
        <v>27224.413012632598</v>
      </c>
      <c r="AX606" s="909">
        <f t="shared" ca="1" si="432"/>
        <v>0</v>
      </c>
      <c r="AY606" s="909">
        <f t="shared" si="433"/>
        <v>54381.421678293678</v>
      </c>
      <c r="AZ606" s="909">
        <f t="shared" ca="1" si="434"/>
        <v>-54373.005119731366</v>
      </c>
      <c r="BA606" s="653"/>
      <c r="BB606" s="653">
        <f t="shared" si="470"/>
        <v>12</v>
      </c>
      <c r="BC606" s="909">
        <f t="shared" ca="1" si="471"/>
        <v>-95832.253080103692</v>
      </c>
      <c r="BD606" s="909">
        <f t="shared" ca="1" si="472"/>
        <v>-900968.49794261088</v>
      </c>
      <c r="BE606" s="909">
        <f t="shared" ca="1" si="473"/>
        <v>-161232.21925707714</v>
      </c>
      <c r="BF606" s="909">
        <f t="shared" ca="1" si="474"/>
        <v>386369.67427083687</v>
      </c>
      <c r="BG606" s="909">
        <f t="shared" ca="1" si="475"/>
        <v>0</v>
      </c>
      <c r="BH606" s="909">
        <f t="shared" si="476"/>
        <v>771783.74405687791</v>
      </c>
      <c r="BI606" s="909">
        <f t="shared" ca="1" si="477"/>
        <v>-771663.29600895511</v>
      </c>
      <c r="BJ606" s="909"/>
      <c r="BK606" s="653">
        <v>12</v>
      </c>
      <c r="BL606" s="909">
        <f t="shared" ca="1" si="435"/>
        <v>-9627.5079999999998</v>
      </c>
      <c r="BM606" s="909">
        <f t="shared" ca="1" si="436"/>
        <v>-90513.174248757685</v>
      </c>
      <c r="BN606" s="909">
        <f t="shared" ca="1" si="437"/>
        <v>-16197.724991999999</v>
      </c>
      <c r="BO606" s="909">
        <f t="shared" ca="1" si="438"/>
        <v>38815.503240757695</v>
      </c>
      <c r="BP606" s="909">
        <f t="shared" ca="1" si="439"/>
        <v>0</v>
      </c>
      <c r="BQ606" s="909">
        <f t="shared" si="440"/>
        <v>77534.903999999995</v>
      </c>
      <c r="BR606" s="909">
        <f t="shared" ca="1" si="441"/>
        <v>-77522.903999999995</v>
      </c>
      <c r="BS606" s="653"/>
      <c r="BT606" s="653"/>
      <c r="BU606" s="653"/>
      <c r="BV606" s="654"/>
    </row>
    <row r="607" spans="2:74" x14ac:dyDescent="0.25">
      <c r="B607" s="651"/>
      <c r="C607" s="653"/>
      <c r="D607" s="653"/>
      <c r="E607" s="653"/>
      <c r="F607" s="653"/>
      <c r="G607" s="653"/>
      <c r="H607" s="653"/>
      <c r="I607" s="653"/>
      <c r="J607" s="653"/>
      <c r="K607" s="653"/>
      <c r="L607" s="653"/>
      <c r="M607" s="651">
        <v>13</v>
      </c>
      <c r="N607" s="909">
        <f t="shared" ca="1" si="442"/>
        <v>9627.5079999999998</v>
      </c>
      <c r="O607" s="909">
        <f t="shared" ca="1" si="443"/>
        <v>0</v>
      </c>
      <c r="P607" s="909">
        <f t="shared" ca="1" si="444"/>
        <v>12</v>
      </c>
      <c r="Q607" s="910">
        <f t="shared" ca="1" si="445"/>
        <v>1800343.996000001</v>
      </c>
      <c r="R607" s="909">
        <f t="shared" ca="1" si="446"/>
        <v>90513.174248757685</v>
      </c>
      <c r="S607" s="909">
        <f t="shared" ca="1" si="447"/>
        <v>28878.106957030148</v>
      </c>
      <c r="T607" s="909">
        <f t="shared" ca="1" si="448"/>
        <v>61635.067291727537</v>
      </c>
      <c r="U607" s="909">
        <f t="shared" ca="1" si="449"/>
        <v>900968.49794261076</v>
      </c>
      <c r="V607" s="909">
        <f t="shared" ca="1" si="450"/>
        <v>8640</v>
      </c>
      <c r="W607" s="909">
        <f t="shared" ca="1" si="451"/>
        <v>7557.7249919999995</v>
      </c>
      <c r="X607" s="909">
        <f t="shared" ca="1" si="452"/>
        <v>116350.40724075769</v>
      </c>
      <c r="Y607" s="909">
        <f t="shared" ca="1" si="453"/>
        <v>-38815.503240757695</v>
      </c>
      <c r="Z607" s="910">
        <f t="shared" ca="1" si="454"/>
        <v>-504601.5421298499</v>
      </c>
      <c r="AA607" s="909">
        <f t="shared" ca="1" si="455"/>
        <v>-38815.503240757695</v>
      </c>
      <c r="AB607" s="910">
        <f t="shared" ca="1" si="456"/>
        <v>-504601.5421298499</v>
      </c>
      <c r="AC607" s="911">
        <f t="shared" ca="1" si="457"/>
        <v>0</v>
      </c>
      <c r="AD607" s="911">
        <f t="shared" ca="1" si="458"/>
        <v>0</v>
      </c>
      <c r="AE607" s="909">
        <f t="shared" ca="1" si="459"/>
        <v>0</v>
      </c>
      <c r="AF607" s="912">
        <f t="shared" ca="1" si="426"/>
        <v>0</v>
      </c>
      <c r="AG607" s="909">
        <f t="shared" si="460"/>
        <v>77534.903999999995</v>
      </c>
      <c r="AH607" s="917">
        <f t="shared" ca="1" si="461"/>
        <v>77534.903999999995</v>
      </c>
      <c r="AI607" s="909">
        <f t="shared" ca="1" si="462"/>
        <v>-77534.903999999995</v>
      </c>
      <c r="AJ607" s="916">
        <f t="shared" ca="1" si="463"/>
        <v>0</v>
      </c>
      <c r="AK607" s="916">
        <f t="shared" ca="1" si="464"/>
        <v>-77534.903999999995</v>
      </c>
      <c r="AL607" s="909">
        <f t="shared" ca="1" si="465"/>
        <v>0</v>
      </c>
      <c r="AM607" s="918">
        <f t="shared" ca="1" si="466"/>
        <v>77534.903999999995</v>
      </c>
      <c r="AN607" s="915">
        <f t="shared" si="427"/>
        <v>13</v>
      </c>
      <c r="AO607" s="653">
        <f t="shared" si="467"/>
        <v>77534.903999999995</v>
      </c>
      <c r="AP607" s="916">
        <f t="shared" ca="1" si="468"/>
        <v>9639.5079999999998</v>
      </c>
      <c r="AQ607" s="916">
        <f t="shared" ca="1" si="469"/>
        <v>-38815.503240757695</v>
      </c>
      <c r="AR607" s="653"/>
      <c r="AS607" s="653">
        <v>13</v>
      </c>
      <c r="AT607" s="909">
        <f t="shared" ca="1" si="428"/>
        <v>-6555.8644733950405</v>
      </c>
      <c r="AU607" s="909">
        <f t="shared" ca="1" si="429"/>
        <v>-61635.067291727551</v>
      </c>
      <c r="AV607" s="909">
        <f t="shared" ca="1" si="430"/>
        <v>-11029.862538143387</v>
      </c>
      <c r="AW607" s="909">
        <f t="shared" ca="1" si="431"/>
        <v>26431.468944303491</v>
      </c>
      <c r="AX607" s="909">
        <f t="shared" ca="1" si="432"/>
        <v>0</v>
      </c>
      <c r="AY607" s="909">
        <f t="shared" si="433"/>
        <v>52797.496775042404</v>
      </c>
      <c r="AZ607" s="909">
        <f t="shared" ca="1" si="434"/>
        <v>-52789.32535896248</v>
      </c>
      <c r="BA607" s="653"/>
      <c r="BB607" s="653">
        <f t="shared" si="470"/>
        <v>13</v>
      </c>
      <c r="BC607" s="909">
        <f t="shared" ca="1" si="471"/>
        <v>-102388.11755349873</v>
      </c>
      <c r="BD607" s="909">
        <f t="shared" ca="1" si="472"/>
        <v>-962603.5652343384</v>
      </c>
      <c r="BE607" s="909">
        <f t="shared" ca="1" si="473"/>
        <v>-172262.08179522053</v>
      </c>
      <c r="BF607" s="909">
        <f t="shared" ca="1" si="474"/>
        <v>412801.14321514039</v>
      </c>
      <c r="BG607" s="909">
        <f t="shared" ca="1" si="475"/>
        <v>0</v>
      </c>
      <c r="BH607" s="909">
        <f t="shared" si="476"/>
        <v>824581.2408319203</v>
      </c>
      <c r="BI607" s="909">
        <f t="shared" ca="1" si="477"/>
        <v>-824452.62136791763</v>
      </c>
      <c r="BJ607" s="909"/>
      <c r="BK607" s="653">
        <v>13</v>
      </c>
      <c r="BL607" s="909">
        <f t="shared" ca="1" si="435"/>
        <v>-9627.5079999999998</v>
      </c>
      <c r="BM607" s="909">
        <f t="shared" ca="1" si="436"/>
        <v>-90513.174248757685</v>
      </c>
      <c r="BN607" s="909">
        <f t="shared" ca="1" si="437"/>
        <v>-16197.724991999999</v>
      </c>
      <c r="BO607" s="909">
        <f t="shared" ca="1" si="438"/>
        <v>38815.503240757695</v>
      </c>
      <c r="BP607" s="909">
        <f t="shared" ca="1" si="439"/>
        <v>0</v>
      </c>
      <c r="BQ607" s="909">
        <f t="shared" si="440"/>
        <v>77534.903999999995</v>
      </c>
      <c r="BR607" s="909">
        <f t="shared" ca="1" si="441"/>
        <v>-77522.903999999995</v>
      </c>
      <c r="BS607" s="653"/>
      <c r="BT607" s="653"/>
      <c r="BU607" s="653"/>
      <c r="BV607" s="654"/>
    </row>
    <row r="608" spans="2:74" x14ac:dyDescent="0.25">
      <c r="B608" s="651"/>
      <c r="C608" s="653"/>
      <c r="D608" s="653"/>
      <c r="E608" s="653"/>
      <c r="F608" s="653"/>
      <c r="G608" s="653"/>
      <c r="H608" s="653"/>
      <c r="I608" s="653"/>
      <c r="J608" s="653"/>
      <c r="K608" s="653"/>
      <c r="L608" s="653"/>
      <c r="M608" s="651">
        <v>14</v>
      </c>
      <c r="N608" s="909">
        <f t="shared" ca="1" si="442"/>
        <v>9627.5079999999998</v>
      </c>
      <c r="O608" s="909">
        <f t="shared" ca="1" si="443"/>
        <v>0</v>
      </c>
      <c r="P608" s="909">
        <f t="shared" ca="1" si="444"/>
        <v>12</v>
      </c>
      <c r="Q608" s="910">
        <f t="shared" ca="1" si="445"/>
        <v>1790716.4880000011</v>
      </c>
      <c r="R608" s="909">
        <f t="shared" ca="1" si="446"/>
        <v>90513.174248757685</v>
      </c>
      <c r="S608" s="909">
        <f t="shared" ca="1" si="447"/>
        <v>27029.054938278321</v>
      </c>
      <c r="T608" s="909">
        <f t="shared" ca="1" si="448"/>
        <v>63484.119310479364</v>
      </c>
      <c r="U608" s="909">
        <f t="shared" ca="1" si="449"/>
        <v>837484.37863213138</v>
      </c>
      <c r="V608" s="909">
        <f t="shared" ca="1" si="450"/>
        <v>8640</v>
      </c>
      <c r="W608" s="909">
        <f t="shared" ca="1" si="451"/>
        <v>7557.7249919999995</v>
      </c>
      <c r="X608" s="909">
        <f t="shared" ca="1" si="452"/>
        <v>116350.40724075769</v>
      </c>
      <c r="Y608" s="909">
        <f t="shared" ca="1" si="453"/>
        <v>-38815.503240757695</v>
      </c>
      <c r="Z608" s="910">
        <f t="shared" ca="1" si="454"/>
        <v>-543417.04537060764</v>
      </c>
      <c r="AA608" s="909">
        <f t="shared" ca="1" si="455"/>
        <v>-38815.503240757695</v>
      </c>
      <c r="AB608" s="910">
        <f t="shared" ca="1" si="456"/>
        <v>-543417.04537060764</v>
      </c>
      <c r="AC608" s="911">
        <f t="shared" ca="1" si="457"/>
        <v>0</v>
      </c>
      <c r="AD608" s="911">
        <f t="shared" ca="1" si="458"/>
        <v>0</v>
      </c>
      <c r="AE608" s="909">
        <f t="shared" ca="1" si="459"/>
        <v>0</v>
      </c>
      <c r="AF608" s="912">
        <f t="shared" ca="1" si="426"/>
        <v>0</v>
      </c>
      <c r="AG608" s="909">
        <f t="shared" si="460"/>
        <v>77534.903999999995</v>
      </c>
      <c r="AH608" s="917">
        <f t="shared" ca="1" si="461"/>
        <v>77534.903999999995</v>
      </c>
      <c r="AI608" s="909">
        <f t="shared" ca="1" si="462"/>
        <v>-77534.903999999995</v>
      </c>
      <c r="AJ608" s="916">
        <f t="shared" ca="1" si="463"/>
        <v>0</v>
      </c>
      <c r="AK608" s="916">
        <f t="shared" ca="1" si="464"/>
        <v>-77534.903999999995</v>
      </c>
      <c r="AL608" s="909">
        <f t="shared" ca="1" si="465"/>
        <v>0</v>
      </c>
      <c r="AM608" s="918">
        <f t="shared" ca="1" si="466"/>
        <v>77534.903999999995</v>
      </c>
      <c r="AN608" s="915">
        <f t="shared" si="427"/>
        <v>14</v>
      </c>
      <c r="AO608" s="653">
        <f t="shared" si="467"/>
        <v>77534.903999999995</v>
      </c>
      <c r="AP608" s="916">
        <f t="shared" ca="1" si="468"/>
        <v>9639.5079999999998</v>
      </c>
      <c r="AQ608" s="916">
        <f t="shared" ca="1" si="469"/>
        <v>-38815.503240757695</v>
      </c>
      <c r="AR608" s="653"/>
      <c r="AS608" s="653">
        <v>14</v>
      </c>
      <c r="AT608" s="909">
        <f t="shared" ca="1" si="428"/>
        <v>-6364.916964461203</v>
      </c>
      <c r="AU608" s="909">
        <f t="shared" ca="1" si="429"/>
        <v>-59839.871157017027</v>
      </c>
      <c r="AV608" s="909">
        <f t="shared" ca="1" si="430"/>
        <v>-10708.604405964452</v>
      </c>
      <c r="AW608" s="909">
        <f t="shared" ca="1" si="431"/>
        <v>25661.620334275231</v>
      </c>
      <c r="AX608" s="909">
        <f t="shared" ca="1" si="432"/>
        <v>0</v>
      </c>
      <c r="AY608" s="909">
        <f t="shared" si="433"/>
        <v>51259.705606837277</v>
      </c>
      <c r="AZ608" s="909">
        <f t="shared" ca="1" si="434"/>
        <v>-51251.772193167446</v>
      </c>
      <c r="BA608" s="653"/>
      <c r="BB608" s="653">
        <f t="shared" si="470"/>
        <v>14</v>
      </c>
      <c r="BC608" s="909">
        <f t="shared" ca="1" si="471"/>
        <v>-108753.03451795992</v>
      </c>
      <c r="BD608" s="909">
        <f t="shared" ca="1" si="472"/>
        <v>-1022443.4363913555</v>
      </c>
      <c r="BE608" s="909">
        <f t="shared" ca="1" si="473"/>
        <v>-182970.68620118499</v>
      </c>
      <c r="BF608" s="909">
        <f t="shared" ca="1" si="474"/>
        <v>438462.76354941563</v>
      </c>
      <c r="BG608" s="909">
        <f t="shared" ca="1" si="475"/>
        <v>0</v>
      </c>
      <c r="BH608" s="909">
        <f t="shared" si="476"/>
        <v>875840.94643875759</v>
      </c>
      <c r="BI608" s="909">
        <f t="shared" ca="1" si="477"/>
        <v>-875704.3935610851</v>
      </c>
      <c r="BJ608" s="909"/>
      <c r="BK608" s="653">
        <v>14</v>
      </c>
      <c r="BL608" s="909">
        <f t="shared" ca="1" si="435"/>
        <v>-9627.5079999999998</v>
      </c>
      <c r="BM608" s="909">
        <f t="shared" ca="1" si="436"/>
        <v>-90513.174248757685</v>
      </c>
      <c r="BN608" s="909">
        <f t="shared" ca="1" si="437"/>
        <v>-16197.724991999999</v>
      </c>
      <c r="BO608" s="909">
        <f t="shared" ca="1" si="438"/>
        <v>38815.503240757695</v>
      </c>
      <c r="BP608" s="909">
        <f t="shared" ca="1" si="439"/>
        <v>0</v>
      </c>
      <c r="BQ608" s="909">
        <f t="shared" si="440"/>
        <v>77534.903999999995</v>
      </c>
      <c r="BR608" s="909">
        <f t="shared" ca="1" si="441"/>
        <v>-77522.903999999995</v>
      </c>
      <c r="BS608" s="653"/>
      <c r="BT608" s="653"/>
      <c r="BU608" s="653"/>
      <c r="BV608" s="654"/>
    </row>
    <row r="609" spans="2:74" x14ac:dyDescent="0.25">
      <c r="B609" s="651"/>
      <c r="C609" s="653"/>
      <c r="D609" s="653"/>
      <c r="E609" s="653"/>
      <c r="F609" s="653"/>
      <c r="G609" s="653"/>
      <c r="H609" s="653"/>
      <c r="I609" s="653"/>
      <c r="J609" s="653"/>
      <c r="K609" s="653"/>
      <c r="L609" s="653"/>
      <c r="M609" s="651">
        <v>15</v>
      </c>
      <c r="N609" s="909">
        <f t="shared" ca="1" si="442"/>
        <v>9627.5079999999998</v>
      </c>
      <c r="O609" s="909">
        <f t="shared" ca="1" si="443"/>
        <v>0</v>
      </c>
      <c r="P609" s="909">
        <f t="shared" ca="1" si="444"/>
        <v>12</v>
      </c>
      <c r="Q609" s="910">
        <f t="shared" ca="1" si="445"/>
        <v>1781088.9800000011</v>
      </c>
      <c r="R609" s="909">
        <f t="shared" ca="1" si="446"/>
        <v>90513.174248757685</v>
      </c>
      <c r="S609" s="909">
        <f t="shared" ca="1" si="447"/>
        <v>25124.531358963941</v>
      </c>
      <c r="T609" s="909">
        <f t="shared" ca="1" si="448"/>
        <v>65388.642889793744</v>
      </c>
      <c r="U609" s="909">
        <f t="shared" ca="1" si="449"/>
        <v>772095.73574233765</v>
      </c>
      <c r="V609" s="909">
        <f t="shared" ca="1" si="450"/>
        <v>8640</v>
      </c>
      <c r="W609" s="909">
        <f t="shared" ca="1" si="451"/>
        <v>7557.7249919999995</v>
      </c>
      <c r="X609" s="909">
        <f t="shared" ca="1" si="452"/>
        <v>116350.40724075769</v>
      </c>
      <c r="Y609" s="909">
        <f t="shared" ca="1" si="453"/>
        <v>-38815.503240757695</v>
      </c>
      <c r="Z609" s="910">
        <f t="shared" ca="1" si="454"/>
        <v>-582232.54861136538</v>
      </c>
      <c r="AA609" s="909">
        <f t="shared" ca="1" si="455"/>
        <v>-38815.503240757695</v>
      </c>
      <c r="AB609" s="910">
        <f t="shared" ca="1" si="456"/>
        <v>-582232.54861136538</v>
      </c>
      <c r="AC609" s="911">
        <f t="shared" ca="1" si="457"/>
        <v>0</v>
      </c>
      <c r="AD609" s="911">
        <f t="shared" ca="1" si="458"/>
        <v>0</v>
      </c>
      <c r="AE609" s="909">
        <f t="shared" ca="1" si="459"/>
        <v>0</v>
      </c>
      <c r="AF609" s="912">
        <f t="shared" ca="1" si="426"/>
        <v>0</v>
      </c>
      <c r="AG609" s="909">
        <f t="shared" si="460"/>
        <v>77534.903999999995</v>
      </c>
      <c r="AH609" s="917">
        <f t="shared" ca="1" si="461"/>
        <v>77534.903999999995</v>
      </c>
      <c r="AI609" s="909">
        <f t="shared" ca="1" si="462"/>
        <v>-77534.903999999995</v>
      </c>
      <c r="AJ609" s="916">
        <f t="shared" ca="1" si="463"/>
        <v>0</v>
      </c>
      <c r="AK609" s="916">
        <f t="shared" ca="1" si="464"/>
        <v>-77534.903999999995</v>
      </c>
      <c r="AL609" s="909">
        <f t="shared" ca="1" si="465"/>
        <v>0</v>
      </c>
      <c r="AM609" s="918">
        <f t="shared" ca="1" si="466"/>
        <v>77534.903999999995</v>
      </c>
      <c r="AN609" s="915">
        <f t="shared" si="427"/>
        <v>15</v>
      </c>
      <c r="AO609" s="653">
        <f t="shared" si="467"/>
        <v>77534.903999999995</v>
      </c>
      <c r="AP609" s="916">
        <f t="shared" ca="1" si="468"/>
        <v>9639.5079999999998</v>
      </c>
      <c r="AQ609" s="916">
        <f t="shared" ca="1" si="469"/>
        <v>-38815.503240757695</v>
      </c>
      <c r="AR609" s="653"/>
      <c r="AS609" s="653">
        <v>15</v>
      </c>
      <c r="AT609" s="909">
        <f t="shared" ca="1" si="428"/>
        <v>-6179.5310334574779</v>
      </c>
      <c r="AU609" s="909">
        <f t="shared" ca="1" si="429"/>
        <v>-58096.962288366041</v>
      </c>
      <c r="AV609" s="909">
        <f t="shared" ca="1" si="430"/>
        <v>-10396.703306761603</v>
      </c>
      <c r="AW609" s="909">
        <f t="shared" ca="1" si="431"/>
        <v>24914.19449929634</v>
      </c>
      <c r="AX609" s="909">
        <f t="shared" ca="1" si="432"/>
        <v>0</v>
      </c>
      <c r="AY609" s="909">
        <f t="shared" si="433"/>
        <v>49766.704472657548</v>
      </c>
      <c r="AZ609" s="909">
        <f t="shared" ca="1" si="434"/>
        <v>-49759.002129288783</v>
      </c>
      <c r="BA609" s="653"/>
      <c r="BB609" s="653">
        <f t="shared" si="470"/>
        <v>15</v>
      </c>
      <c r="BC609" s="909">
        <f t="shared" ca="1" si="471"/>
        <v>-114932.5655514174</v>
      </c>
      <c r="BD609" s="909">
        <f t="shared" ca="1" si="472"/>
        <v>-1080540.3986797214</v>
      </c>
      <c r="BE609" s="909">
        <f t="shared" ca="1" si="473"/>
        <v>-193367.38950794659</v>
      </c>
      <c r="BF609" s="909">
        <f t="shared" ca="1" si="474"/>
        <v>463376.958048712</v>
      </c>
      <c r="BG609" s="909">
        <f t="shared" ca="1" si="475"/>
        <v>0</v>
      </c>
      <c r="BH609" s="909">
        <f t="shared" si="476"/>
        <v>925607.65091141511</v>
      </c>
      <c r="BI609" s="909">
        <f t="shared" ca="1" si="477"/>
        <v>-925463.39569037384</v>
      </c>
      <c r="BJ609" s="909"/>
      <c r="BK609" s="653">
        <v>15</v>
      </c>
      <c r="BL609" s="909">
        <f t="shared" ca="1" si="435"/>
        <v>-9627.5079999999998</v>
      </c>
      <c r="BM609" s="909">
        <f t="shared" ca="1" si="436"/>
        <v>-90513.174248757685</v>
      </c>
      <c r="BN609" s="909">
        <f t="shared" ca="1" si="437"/>
        <v>-16197.724991999999</v>
      </c>
      <c r="BO609" s="909">
        <f t="shared" ca="1" si="438"/>
        <v>38815.503240757695</v>
      </c>
      <c r="BP609" s="909">
        <f t="shared" ca="1" si="439"/>
        <v>0</v>
      </c>
      <c r="BQ609" s="909">
        <f t="shared" si="440"/>
        <v>77534.903999999995</v>
      </c>
      <c r="BR609" s="909">
        <f t="shared" ca="1" si="441"/>
        <v>-77522.903999999995</v>
      </c>
      <c r="BS609" s="653"/>
      <c r="BT609" s="653"/>
      <c r="BU609" s="653"/>
      <c r="BV609" s="654"/>
    </row>
    <row r="610" spans="2:74" x14ac:dyDescent="0.25">
      <c r="B610" s="651"/>
      <c r="C610" s="653"/>
      <c r="D610" s="653"/>
      <c r="E610" s="653"/>
      <c r="F610" s="653"/>
      <c r="G610" s="653"/>
      <c r="H610" s="653"/>
      <c r="I610" s="653"/>
      <c r="J610" s="653"/>
      <c r="K610" s="653"/>
      <c r="L610" s="653"/>
      <c r="M610" s="651">
        <v>16</v>
      </c>
      <c r="N610" s="909">
        <f t="shared" ca="1" si="442"/>
        <v>9627.5079999999998</v>
      </c>
      <c r="O610" s="909">
        <f t="shared" ca="1" si="443"/>
        <v>0</v>
      </c>
      <c r="P610" s="909">
        <f t="shared" ca="1" si="444"/>
        <v>12</v>
      </c>
      <c r="Q610" s="910">
        <f t="shared" ca="1" si="445"/>
        <v>1771461.4720000012</v>
      </c>
      <c r="R610" s="909">
        <f t="shared" ca="1" si="446"/>
        <v>90513.174248757685</v>
      </c>
      <c r="S610" s="909">
        <f t="shared" ca="1" si="447"/>
        <v>23162.872072270129</v>
      </c>
      <c r="T610" s="909">
        <f t="shared" ca="1" si="448"/>
        <v>67350.302176487559</v>
      </c>
      <c r="U610" s="909">
        <f t="shared" ca="1" si="449"/>
        <v>704745.43356585014</v>
      </c>
      <c r="V610" s="909">
        <f t="shared" ca="1" si="450"/>
        <v>8640</v>
      </c>
      <c r="W610" s="909">
        <f t="shared" ca="1" si="451"/>
        <v>7557.7249919999995</v>
      </c>
      <c r="X610" s="909">
        <f t="shared" ca="1" si="452"/>
        <v>116350.40724075769</v>
      </c>
      <c r="Y610" s="909">
        <f t="shared" ca="1" si="453"/>
        <v>-38815.503240757695</v>
      </c>
      <c r="Z610" s="910">
        <f t="shared" ca="1" si="454"/>
        <v>-621048.05185212311</v>
      </c>
      <c r="AA610" s="909">
        <f t="shared" ca="1" si="455"/>
        <v>-38815.503240757695</v>
      </c>
      <c r="AB610" s="910">
        <f t="shared" ca="1" si="456"/>
        <v>-621048.05185212311</v>
      </c>
      <c r="AC610" s="911">
        <f t="shared" ca="1" si="457"/>
        <v>0</v>
      </c>
      <c r="AD610" s="911">
        <f t="shared" ca="1" si="458"/>
        <v>0</v>
      </c>
      <c r="AE610" s="909">
        <f t="shared" ca="1" si="459"/>
        <v>0</v>
      </c>
      <c r="AF610" s="912">
        <f t="shared" ca="1" si="426"/>
        <v>0</v>
      </c>
      <c r="AG610" s="909">
        <f t="shared" si="460"/>
        <v>77534.903999999995</v>
      </c>
      <c r="AH610" s="917">
        <f t="shared" ca="1" si="461"/>
        <v>77534.903999999995</v>
      </c>
      <c r="AI610" s="909">
        <f t="shared" ca="1" si="462"/>
        <v>-77534.903999999995</v>
      </c>
      <c r="AJ610" s="916">
        <f t="shared" ca="1" si="463"/>
        <v>0</v>
      </c>
      <c r="AK610" s="916">
        <f t="shared" ca="1" si="464"/>
        <v>-77534.903999999995</v>
      </c>
      <c r="AL610" s="909">
        <f t="shared" ca="1" si="465"/>
        <v>0</v>
      </c>
      <c r="AM610" s="918">
        <f t="shared" ca="1" si="466"/>
        <v>77534.903999999995</v>
      </c>
      <c r="AN610" s="915">
        <f t="shared" si="427"/>
        <v>16</v>
      </c>
      <c r="AO610" s="653">
        <f t="shared" si="467"/>
        <v>77534.903999999995</v>
      </c>
      <c r="AP610" s="916">
        <f t="shared" ca="1" si="468"/>
        <v>9639.5079999999998</v>
      </c>
      <c r="AQ610" s="916">
        <f t="shared" ca="1" si="469"/>
        <v>-38815.503240757695</v>
      </c>
      <c r="AR610" s="653"/>
      <c r="AS610" s="653">
        <v>16</v>
      </c>
      <c r="AT610" s="909">
        <f t="shared" ca="1" si="428"/>
        <v>-5999.5446926771647</v>
      </c>
      <c r="AU610" s="909">
        <f t="shared" ca="1" si="429"/>
        <v>-56404.8177556952</v>
      </c>
      <c r="AV610" s="909">
        <f t="shared" ca="1" si="430"/>
        <v>-10093.886705593792</v>
      </c>
      <c r="AW610" s="909">
        <f t="shared" ca="1" si="431"/>
        <v>24188.5383488314</v>
      </c>
      <c r="AX610" s="909">
        <f t="shared" ca="1" si="432"/>
        <v>0</v>
      </c>
      <c r="AY610" s="909">
        <f t="shared" si="433"/>
        <v>48317.188808405401</v>
      </c>
      <c r="AZ610" s="909">
        <f t="shared" ca="1" si="434"/>
        <v>-48309.71080513476</v>
      </c>
      <c r="BA610" s="653"/>
      <c r="BB610" s="653">
        <f t="shared" si="470"/>
        <v>16</v>
      </c>
      <c r="BC610" s="909">
        <f t="shared" ca="1" si="471"/>
        <v>-120932.11024409457</v>
      </c>
      <c r="BD610" s="909">
        <f t="shared" ca="1" si="472"/>
        <v>-1136945.2164354166</v>
      </c>
      <c r="BE610" s="909">
        <f t="shared" ca="1" si="473"/>
        <v>-203461.27621354038</v>
      </c>
      <c r="BF610" s="909">
        <f t="shared" ca="1" si="474"/>
        <v>487565.49639754341</v>
      </c>
      <c r="BG610" s="909">
        <f t="shared" ca="1" si="475"/>
        <v>0</v>
      </c>
      <c r="BH610" s="909">
        <f t="shared" si="476"/>
        <v>973924.83971982053</v>
      </c>
      <c r="BI610" s="909">
        <f t="shared" ca="1" si="477"/>
        <v>-973773.10649550857</v>
      </c>
      <c r="BJ610" s="909"/>
      <c r="BK610" s="653">
        <v>16</v>
      </c>
      <c r="BL610" s="909">
        <f t="shared" ca="1" si="435"/>
        <v>-9627.5079999999998</v>
      </c>
      <c r="BM610" s="909">
        <f t="shared" ca="1" si="436"/>
        <v>-90513.174248757685</v>
      </c>
      <c r="BN610" s="909">
        <f t="shared" ca="1" si="437"/>
        <v>-16197.724991999999</v>
      </c>
      <c r="BO610" s="909">
        <f t="shared" ca="1" si="438"/>
        <v>38815.503240757695</v>
      </c>
      <c r="BP610" s="909">
        <f t="shared" ca="1" si="439"/>
        <v>0</v>
      </c>
      <c r="BQ610" s="909">
        <f t="shared" si="440"/>
        <v>77534.903999999995</v>
      </c>
      <c r="BR610" s="909">
        <f t="shared" ca="1" si="441"/>
        <v>-77522.903999999995</v>
      </c>
      <c r="BS610" s="653"/>
      <c r="BT610" s="653"/>
      <c r="BU610" s="653"/>
      <c r="BV610" s="654"/>
    </row>
    <row r="611" spans="2:74" x14ac:dyDescent="0.25">
      <c r="B611" s="651"/>
      <c r="C611" s="653"/>
      <c r="D611" s="653"/>
      <c r="E611" s="653"/>
      <c r="F611" s="653"/>
      <c r="G611" s="653"/>
      <c r="H611" s="653"/>
      <c r="I611" s="653"/>
      <c r="J611" s="653"/>
      <c r="K611" s="653"/>
      <c r="L611" s="653"/>
      <c r="M611" s="651">
        <v>17</v>
      </c>
      <c r="N611" s="909">
        <f t="shared" ca="1" si="442"/>
        <v>9627.5079999999998</v>
      </c>
      <c r="O611" s="909">
        <f t="shared" ca="1" si="443"/>
        <v>0</v>
      </c>
      <c r="P611" s="909">
        <f t="shared" ca="1" si="444"/>
        <v>12</v>
      </c>
      <c r="Q611" s="910">
        <f t="shared" ca="1" si="445"/>
        <v>1761833.9640000013</v>
      </c>
      <c r="R611" s="909">
        <f t="shared" ca="1" si="446"/>
        <v>90513.174248757685</v>
      </c>
      <c r="S611" s="909">
        <f t="shared" ca="1" si="447"/>
        <v>21142.363006975502</v>
      </c>
      <c r="T611" s="909">
        <f t="shared" ca="1" si="448"/>
        <v>69370.811241782183</v>
      </c>
      <c r="U611" s="909">
        <f t="shared" ca="1" si="449"/>
        <v>635374.62232406798</v>
      </c>
      <c r="V611" s="909">
        <f t="shared" ca="1" si="450"/>
        <v>8640</v>
      </c>
      <c r="W611" s="909">
        <f t="shared" ca="1" si="451"/>
        <v>7557.7249919999995</v>
      </c>
      <c r="X611" s="909">
        <f t="shared" ca="1" si="452"/>
        <v>116350.40724075769</v>
      </c>
      <c r="Y611" s="909">
        <f t="shared" ca="1" si="453"/>
        <v>-38815.503240757695</v>
      </c>
      <c r="Z611" s="910">
        <f t="shared" ca="1" si="454"/>
        <v>-659863.55509288085</v>
      </c>
      <c r="AA611" s="909">
        <f t="shared" ca="1" si="455"/>
        <v>-38815.503240757695</v>
      </c>
      <c r="AB611" s="910">
        <f t="shared" ca="1" si="456"/>
        <v>-659863.55509288085</v>
      </c>
      <c r="AC611" s="911">
        <f t="shared" ca="1" si="457"/>
        <v>0</v>
      </c>
      <c r="AD611" s="911">
        <f t="shared" ca="1" si="458"/>
        <v>0</v>
      </c>
      <c r="AE611" s="909">
        <f t="shared" ca="1" si="459"/>
        <v>0</v>
      </c>
      <c r="AF611" s="912">
        <f t="shared" ca="1" si="426"/>
        <v>0</v>
      </c>
      <c r="AG611" s="909">
        <f t="shared" si="460"/>
        <v>77534.903999999995</v>
      </c>
      <c r="AH611" s="917">
        <f t="shared" ca="1" si="461"/>
        <v>77534.903999999995</v>
      </c>
      <c r="AI611" s="909">
        <f t="shared" ca="1" si="462"/>
        <v>-77534.903999999995</v>
      </c>
      <c r="AJ611" s="916">
        <f t="shared" ca="1" si="463"/>
        <v>0</v>
      </c>
      <c r="AK611" s="916">
        <f t="shared" ca="1" si="464"/>
        <v>-77534.903999999995</v>
      </c>
      <c r="AL611" s="909">
        <f t="shared" ca="1" si="465"/>
        <v>0</v>
      </c>
      <c r="AM611" s="918">
        <f t="shared" ca="1" si="466"/>
        <v>77534.903999999995</v>
      </c>
      <c r="AN611" s="915">
        <f t="shared" si="427"/>
        <v>17</v>
      </c>
      <c r="AO611" s="653">
        <f t="shared" si="467"/>
        <v>77534.903999999995</v>
      </c>
      <c r="AP611" s="916">
        <f t="shared" ca="1" si="468"/>
        <v>9639.5079999999998</v>
      </c>
      <c r="AQ611" s="916">
        <f t="shared" ca="1" si="469"/>
        <v>-38815.503240757695</v>
      </c>
      <c r="AR611" s="653"/>
      <c r="AS611" s="653">
        <v>17</v>
      </c>
      <c r="AT611" s="909">
        <f t="shared" ca="1" si="428"/>
        <v>-5824.8006725021014</v>
      </c>
      <c r="AU611" s="909">
        <f t="shared" ca="1" si="429"/>
        <v>-54761.958986111844</v>
      </c>
      <c r="AV611" s="909">
        <f t="shared" ca="1" si="430"/>
        <v>-9799.8900054308651</v>
      </c>
      <c r="AW611" s="909">
        <f t="shared" ca="1" si="431"/>
        <v>23484.01781439942</v>
      </c>
      <c r="AX611" s="909">
        <f t="shared" ca="1" si="432"/>
        <v>0</v>
      </c>
      <c r="AY611" s="909">
        <f t="shared" si="433"/>
        <v>46909.892046995534</v>
      </c>
      <c r="AZ611" s="909">
        <f t="shared" ca="1" si="434"/>
        <v>-46902.631849645397</v>
      </c>
      <c r="BA611" s="653"/>
      <c r="BB611" s="653">
        <f t="shared" si="470"/>
        <v>17</v>
      </c>
      <c r="BC611" s="909">
        <f t="shared" ca="1" si="471"/>
        <v>-126756.91091659667</v>
      </c>
      <c r="BD611" s="909">
        <f t="shared" ca="1" si="472"/>
        <v>-1191707.1754215285</v>
      </c>
      <c r="BE611" s="909">
        <f t="shared" ca="1" si="473"/>
        <v>-213261.16621897125</v>
      </c>
      <c r="BF611" s="909">
        <f t="shared" ca="1" si="474"/>
        <v>511049.51421194285</v>
      </c>
      <c r="BG611" s="909">
        <f t="shared" ca="1" si="475"/>
        <v>0</v>
      </c>
      <c r="BH611" s="909">
        <f t="shared" si="476"/>
        <v>1020834.7317668161</v>
      </c>
      <c r="BI611" s="909">
        <f t="shared" ca="1" si="477"/>
        <v>-1020675.738345154</v>
      </c>
      <c r="BJ611" s="909"/>
      <c r="BK611" s="653">
        <v>17</v>
      </c>
      <c r="BL611" s="909">
        <f t="shared" ca="1" si="435"/>
        <v>-9627.5079999999998</v>
      </c>
      <c r="BM611" s="909">
        <f t="shared" ca="1" si="436"/>
        <v>-90513.174248757685</v>
      </c>
      <c r="BN611" s="909">
        <f t="shared" ca="1" si="437"/>
        <v>-16197.724991999999</v>
      </c>
      <c r="BO611" s="909">
        <f t="shared" ca="1" si="438"/>
        <v>38815.503240757695</v>
      </c>
      <c r="BP611" s="909">
        <f t="shared" ca="1" si="439"/>
        <v>0</v>
      </c>
      <c r="BQ611" s="909">
        <f t="shared" si="440"/>
        <v>77534.903999999995</v>
      </c>
      <c r="BR611" s="909">
        <f t="shared" ca="1" si="441"/>
        <v>-77522.903999999995</v>
      </c>
      <c r="BS611" s="653"/>
      <c r="BT611" s="653"/>
      <c r="BU611" s="653"/>
      <c r="BV611" s="654"/>
    </row>
    <row r="612" spans="2:74" x14ac:dyDescent="0.25">
      <c r="B612" s="651"/>
      <c r="C612" s="653"/>
      <c r="D612" s="653"/>
      <c r="E612" s="653"/>
      <c r="F612" s="653"/>
      <c r="G612" s="653"/>
      <c r="H612" s="653"/>
      <c r="I612" s="653"/>
      <c r="J612" s="653"/>
      <c r="K612" s="653"/>
      <c r="L612" s="653"/>
      <c r="M612" s="651">
        <v>18</v>
      </c>
      <c r="N612" s="909">
        <f t="shared" ca="1" si="442"/>
        <v>9627.5079999999998</v>
      </c>
      <c r="O612" s="909">
        <f t="shared" ca="1" si="443"/>
        <v>0</v>
      </c>
      <c r="P612" s="909">
        <f t="shared" ca="1" si="444"/>
        <v>12</v>
      </c>
      <c r="Q612" s="910">
        <f t="shared" ca="1" si="445"/>
        <v>1752206.4560000014</v>
      </c>
      <c r="R612" s="909">
        <f t="shared" ca="1" si="446"/>
        <v>90513.174248757685</v>
      </c>
      <c r="S612" s="909">
        <f t="shared" ca="1" si="447"/>
        <v>19061.238669722039</v>
      </c>
      <c r="T612" s="909">
        <f t="shared" ca="1" si="448"/>
        <v>71451.935579035649</v>
      </c>
      <c r="U612" s="909">
        <f t="shared" ca="1" si="449"/>
        <v>563922.68674503232</v>
      </c>
      <c r="V612" s="909">
        <f t="shared" ca="1" si="450"/>
        <v>8640</v>
      </c>
      <c r="W612" s="909">
        <f t="shared" ca="1" si="451"/>
        <v>7557.7249919999995</v>
      </c>
      <c r="X612" s="909">
        <f t="shared" ca="1" si="452"/>
        <v>116350.40724075769</v>
      </c>
      <c r="Y612" s="909">
        <f t="shared" ca="1" si="453"/>
        <v>-38815.503240757695</v>
      </c>
      <c r="Z612" s="910">
        <f t="shared" ca="1" si="454"/>
        <v>-698679.05833363859</v>
      </c>
      <c r="AA612" s="909">
        <f t="shared" ca="1" si="455"/>
        <v>-38815.503240757695</v>
      </c>
      <c r="AB612" s="910">
        <f t="shared" ca="1" si="456"/>
        <v>-698679.05833363859</v>
      </c>
      <c r="AC612" s="911">
        <f t="shared" ca="1" si="457"/>
        <v>0</v>
      </c>
      <c r="AD612" s="911">
        <f t="shared" ca="1" si="458"/>
        <v>0</v>
      </c>
      <c r="AE612" s="909">
        <f t="shared" ca="1" si="459"/>
        <v>0</v>
      </c>
      <c r="AF612" s="912">
        <f t="shared" ca="1" si="426"/>
        <v>0</v>
      </c>
      <c r="AG612" s="909">
        <f t="shared" si="460"/>
        <v>77534.903999999995</v>
      </c>
      <c r="AH612" s="917">
        <f t="shared" ca="1" si="461"/>
        <v>77534.903999999995</v>
      </c>
      <c r="AI612" s="909">
        <f t="shared" ca="1" si="462"/>
        <v>-77534.903999999995</v>
      </c>
      <c r="AJ612" s="916">
        <f t="shared" ca="1" si="463"/>
        <v>0</v>
      </c>
      <c r="AK612" s="916">
        <f t="shared" ca="1" si="464"/>
        <v>-77534.903999999995</v>
      </c>
      <c r="AL612" s="909">
        <f t="shared" ca="1" si="465"/>
        <v>0</v>
      </c>
      <c r="AM612" s="918">
        <f t="shared" ca="1" si="466"/>
        <v>77534.903999999995</v>
      </c>
      <c r="AN612" s="915">
        <f t="shared" si="427"/>
        <v>18</v>
      </c>
      <c r="AO612" s="653">
        <f t="shared" si="467"/>
        <v>77534.903999999995</v>
      </c>
      <c r="AP612" s="916">
        <f t="shared" ca="1" si="468"/>
        <v>9639.5079999999998</v>
      </c>
      <c r="AQ612" s="916">
        <f t="shared" ca="1" si="469"/>
        <v>-38815.503240757695</v>
      </c>
      <c r="AR612" s="653"/>
      <c r="AS612" s="653">
        <v>18</v>
      </c>
      <c r="AT612" s="909">
        <f t="shared" ca="1" si="428"/>
        <v>-5655.1462839826227</v>
      </c>
      <c r="AU612" s="909">
        <f t="shared" ca="1" si="429"/>
        <v>-53166.950471953242</v>
      </c>
      <c r="AV612" s="909">
        <f t="shared" ca="1" si="430"/>
        <v>-9514.456315952295</v>
      </c>
      <c r="AW612" s="909">
        <f t="shared" ca="1" si="431"/>
        <v>22800.017295533416</v>
      </c>
      <c r="AX612" s="909">
        <f t="shared" ca="1" si="432"/>
        <v>0</v>
      </c>
      <c r="AY612" s="909">
        <f t="shared" si="433"/>
        <v>45543.584511646142</v>
      </c>
      <c r="AZ612" s="909">
        <f t="shared" ca="1" si="434"/>
        <v>-45536.535776354751</v>
      </c>
      <c r="BA612" s="653"/>
      <c r="BB612" s="653">
        <f t="shared" si="470"/>
        <v>18</v>
      </c>
      <c r="BC612" s="909">
        <f t="shared" ca="1" si="471"/>
        <v>-132412.05720057929</v>
      </c>
      <c r="BD612" s="909">
        <f t="shared" ca="1" si="472"/>
        <v>-1244874.1258934818</v>
      </c>
      <c r="BE612" s="909">
        <f t="shared" ca="1" si="473"/>
        <v>-222775.62253492355</v>
      </c>
      <c r="BF612" s="909">
        <f t="shared" ca="1" si="474"/>
        <v>533849.53150747623</v>
      </c>
      <c r="BG612" s="909">
        <f t="shared" ca="1" si="475"/>
        <v>0</v>
      </c>
      <c r="BH612" s="909">
        <f t="shared" si="476"/>
        <v>1066378.3162784623</v>
      </c>
      <c r="BI612" s="909">
        <f t="shared" ca="1" si="477"/>
        <v>-1066212.2741215087</v>
      </c>
      <c r="BJ612" s="909"/>
      <c r="BK612" s="653">
        <v>18</v>
      </c>
      <c r="BL612" s="909">
        <f t="shared" ca="1" si="435"/>
        <v>-9627.5079999999998</v>
      </c>
      <c r="BM612" s="909">
        <f t="shared" ca="1" si="436"/>
        <v>-90513.174248757685</v>
      </c>
      <c r="BN612" s="909">
        <f t="shared" ca="1" si="437"/>
        <v>-16197.724991999999</v>
      </c>
      <c r="BO612" s="909">
        <f t="shared" ca="1" si="438"/>
        <v>38815.503240757695</v>
      </c>
      <c r="BP612" s="909">
        <f t="shared" ca="1" si="439"/>
        <v>0</v>
      </c>
      <c r="BQ612" s="909">
        <f t="shared" si="440"/>
        <v>77534.903999999995</v>
      </c>
      <c r="BR612" s="909">
        <f t="shared" ca="1" si="441"/>
        <v>-77522.903999999995</v>
      </c>
      <c r="BS612" s="653"/>
      <c r="BT612" s="653"/>
      <c r="BU612" s="653"/>
      <c r="BV612" s="654"/>
    </row>
    <row r="613" spans="2:74" x14ac:dyDescent="0.25">
      <c r="B613" s="651"/>
      <c r="C613" s="653"/>
      <c r="D613" s="653"/>
      <c r="E613" s="653"/>
      <c r="F613" s="653"/>
      <c r="G613" s="653"/>
      <c r="H613" s="653"/>
      <c r="I613" s="653"/>
      <c r="J613" s="653"/>
      <c r="K613" s="653"/>
      <c r="L613" s="653"/>
      <c r="M613" s="651">
        <v>19</v>
      </c>
      <c r="N613" s="909">
        <f t="shared" ca="1" si="442"/>
        <v>9627.5079999999998</v>
      </c>
      <c r="O613" s="909">
        <f t="shared" ca="1" si="443"/>
        <v>0</v>
      </c>
      <c r="P613" s="909">
        <f t="shared" ca="1" si="444"/>
        <v>12</v>
      </c>
      <c r="Q613" s="910">
        <f t="shared" ca="1" si="445"/>
        <v>1742578.9480000015</v>
      </c>
      <c r="R613" s="909">
        <f t="shared" ca="1" si="446"/>
        <v>90513.174248757685</v>
      </c>
      <c r="S613" s="909">
        <f t="shared" ca="1" si="447"/>
        <v>16917.680602350971</v>
      </c>
      <c r="T613" s="909">
        <f t="shared" ca="1" si="448"/>
        <v>73595.493646406714</v>
      </c>
      <c r="U613" s="909">
        <f t="shared" ca="1" si="449"/>
        <v>490327.19309862563</v>
      </c>
      <c r="V613" s="909">
        <f t="shared" ca="1" si="450"/>
        <v>8640</v>
      </c>
      <c r="W613" s="909">
        <f t="shared" ca="1" si="451"/>
        <v>7557.7249919999995</v>
      </c>
      <c r="X613" s="909">
        <f t="shared" ca="1" si="452"/>
        <v>116350.40724075769</v>
      </c>
      <c r="Y613" s="909">
        <f t="shared" ca="1" si="453"/>
        <v>-38815.503240757695</v>
      </c>
      <c r="Z613" s="910">
        <f t="shared" ca="1" si="454"/>
        <v>-737494.56157439633</v>
      </c>
      <c r="AA613" s="909">
        <f t="shared" ca="1" si="455"/>
        <v>-38815.503240757695</v>
      </c>
      <c r="AB613" s="910">
        <f t="shared" ca="1" si="456"/>
        <v>-737494.56157439633</v>
      </c>
      <c r="AC613" s="911">
        <f t="shared" ca="1" si="457"/>
        <v>0</v>
      </c>
      <c r="AD613" s="911">
        <f t="shared" ca="1" si="458"/>
        <v>0</v>
      </c>
      <c r="AE613" s="909">
        <f t="shared" ca="1" si="459"/>
        <v>0</v>
      </c>
      <c r="AF613" s="912">
        <f t="shared" ca="1" si="426"/>
        <v>0</v>
      </c>
      <c r="AG613" s="909">
        <f t="shared" si="460"/>
        <v>77534.903999999995</v>
      </c>
      <c r="AH613" s="917">
        <f t="shared" ca="1" si="461"/>
        <v>77534.903999999995</v>
      </c>
      <c r="AI613" s="909">
        <f t="shared" ca="1" si="462"/>
        <v>-77534.903999999995</v>
      </c>
      <c r="AJ613" s="916">
        <f t="shared" ca="1" si="463"/>
        <v>0</v>
      </c>
      <c r="AK613" s="916">
        <f t="shared" ca="1" si="464"/>
        <v>-77534.903999999995</v>
      </c>
      <c r="AL613" s="909">
        <f t="shared" ca="1" si="465"/>
        <v>0</v>
      </c>
      <c r="AM613" s="918">
        <f t="shared" ca="1" si="466"/>
        <v>77534.903999999995</v>
      </c>
      <c r="AN613" s="915">
        <f t="shared" si="427"/>
        <v>19</v>
      </c>
      <c r="AO613" s="653">
        <f t="shared" si="467"/>
        <v>77534.903999999995</v>
      </c>
      <c r="AP613" s="916">
        <f t="shared" ca="1" si="468"/>
        <v>9639.5079999999998</v>
      </c>
      <c r="AQ613" s="916">
        <f t="shared" ca="1" si="469"/>
        <v>-38815.503240757695</v>
      </c>
      <c r="AR613" s="653"/>
      <c r="AS613" s="653">
        <v>19</v>
      </c>
      <c r="AT613" s="909">
        <f t="shared" ca="1" si="428"/>
        <v>-5490.433285420022</v>
      </c>
      <c r="AU613" s="909">
        <f t="shared" ca="1" si="429"/>
        <v>-51618.398516459463</v>
      </c>
      <c r="AV613" s="909">
        <f t="shared" ca="1" si="430"/>
        <v>-9237.3362290798996</v>
      </c>
      <c r="AW613" s="909">
        <f t="shared" ca="1" si="431"/>
        <v>22135.939121877102</v>
      </c>
      <c r="AX613" s="909">
        <f t="shared" ca="1" si="432"/>
        <v>0</v>
      </c>
      <c r="AY613" s="909">
        <f t="shared" si="433"/>
        <v>44217.072341404026</v>
      </c>
      <c r="AZ613" s="909">
        <f t="shared" ca="1" si="434"/>
        <v>-44210.228909082274</v>
      </c>
      <c r="BA613" s="653"/>
      <c r="BB613" s="653">
        <f t="shared" si="470"/>
        <v>19</v>
      </c>
      <c r="BC613" s="909">
        <f t="shared" ca="1" si="471"/>
        <v>-137902.49048599933</v>
      </c>
      <c r="BD613" s="909">
        <f t="shared" ca="1" si="472"/>
        <v>-1296492.5244099412</v>
      </c>
      <c r="BE613" s="909">
        <f t="shared" ca="1" si="473"/>
        <v>-232012.95876400344</v>
      </c>
      <c r="BF613" s="909">
        <f t="shared" ca="1" si="474"/>
        <v>555985.47062935331</v>
      </c>
      <c r="BG613" s="909">
        <f t="shared" ca="1" si="475"/>
        <v>0</v>
      </c>
      <c r="BH613" s="909">
        <f t="shared" si="476"/>
        <v>1110595.3886198662</v>
      </c>
      <c r="BI613" s="909">
        <f t="shared" ca="1" si="477"/>
        <v>-1110422.5030305909</v>
      </c>
      <c r="BJ613" s="909"/>
      <c r="BK613" s="653">
        <v>19</v>
      </c>
      <c r="BL613" s="909">
        <f t="shared" ca="1" si="435"/>
        <v>-9627.5079999999998</v>
      </c>
      <c r="BM613" s="909">
        <f t="shared" ca="1" si="436"/>
        <v>-90513.174248757685</v>
      </c>
      <c r="BN613" s="909">
        <f t="shared" ca="1" si="437"/>
        <v>-16197.724991999999</v>
      </c>
      <c r="BO613" s="909">
        <f t="shared" ca="1" si="438"/>
        <v>38815.503240757695</v>
      </c>
      <c r="BP613" s="909">
        <f t="shared" ca="1" si="439"/>
        <v>0</v>
      </c>
      <c r="BQ613" s="909">
        <f t="shared" si="440"/>
        <v>77534.903999999995</v>
      </c>
      <c r="BR613" s="909">
        <f t="shared" ca="1" si="441"/>
        <v>-77522.903999999995</v>
      </c>
      <c r="BS613" s="653"/>
      <c r="BT613" s="653"/>
      <c r="BU613" s="653"/>
      <c r="BV613" s="654"/>
    </row>
    <row r="614" spans="2:74" x14ac:dyDescent="0.25">
      <c r="B614" s="651"/>
      <c r="C614" s="653"/>
      <c r="D614" s="653"/>
      <c r="E614" s="653"/>
      <c r="F614" s="653"/>
      <c r="G614" s="653"/>
      <c r="H614" s="653"/>
      <c r="I614" s="653"/>
      <c r="J614" s="653"/>
      <c r="K614" s="653"/>
      <c r="L614" s="653"/>
      <c r="M614" s="651">
        <v>20</v>
      </c>
      <c r="N614" s="909">
        <f t="shared" ca="1" si="442"/>
        <v>9627.5079999999998</v>
      </c>
      <c r="O614" s="909">
        <f t="shared" ca="1" si="443"/>
        <v>0</v>
      </c>
      <c r="P614" s="909">
        <f t="shared" ca="1" si="444"/>
        <v>12</v>
      </c>
      <c r="Q614" s="910">
        <f t="shared" ca="1" si="445"/>
        <v>1732951.4400000016</v>
      </c>
      <c r="R614" s="909">
        <f t="shared" ca="1" si="446"/>
        <v>90513.174248757685</v>
      </c>
      <c r="S614" s="909">
        <f t="shared" ca="1" si="447"/>
        <v>14709.815792958769</v>
      </c>
      <c r="T614" s="909">
        <f t="shared" ca="1" si="448"/>
        <v>75803.358455798909</v>
      </c>
      <c r="U614" s="909">
        <f t="shared" ca="1" si="449"/>
        <v>414523.8346428267</v>
      </c>
      <c r="V614" s="909">
        <f t="shared" ca="1" si="450"/>
        <v>8640</v>
      </c>
      <c r="W614" s="909">
        <f t="shared" ca="1" si="451"/>
        <v>7557.7249919999995</v>
      </c>
      <c r="X614" s="909">
        <f t="shared" ca="1" si="452"/>
        <v>116350.40724075769</v>
      </c>
      <c r="Y614" s="909">
        <f t="shared" ca="1" si="453"/>
        <v>-38815.503240757695</v>
      </c>
      <c r="Z614" s="910">
        <f t="shared" ca="1" si="454"/>
        <v>-776310.06481515407</v>
      </c>
      <c r="AA614" s="909">
        <f t="shared" ca="1" si="455"/>
        <v>-38815.503240757695</v>
      </c>
      <c r="AB614" s="910">
        <f t="shared" ca="1" si="456"/>
        <v>-776310.06481515407</v>
      </c>
      <c r="AC614" s="911">
        <f t="shared" ca="1" si="457"/>
        <v>0</v>
      </c>
      <c r="AD614" s="911">
        <f t="shared" ca="1" si="458"/>
        <v>0</v>
      </c>
      <c r="AE614" s="909">
        <f t="shared" ca="1" si="459"/>
        <v>0</v>
      </c>
      <c r="AF614" s="912">
        <f t="shared" ca="1" si="426"/>
        <v>0</v>
      </c>
      <c r="AG614" s="909">
        <f t="shared" si="460"/>
        <v>77534.903999999995</v>
      </c>
      <c r="AH614" s="917">
        <f t="shared" ca="1" si="461"/>
        <v>77534.903999999995</v>
      </c>
      <c r="AI614" s="909">
        <f t="shared" ca="1" si="462"/>
        <v>-77534.903999999995</v>
      </c>
      <c r="AJ614" s="916">
        <f t="shared" ca="1" si="463"/>
        <v>0</v>
      </c>
      <c r="AK614" s="916">
        <f t="shared" ca="1" si="464"/>
        <v>-77534.903999999995</v>
      </c>
      <c r="AL614" s="909">
        <f t="shared" ca="1" si="465"/>
        <v>0</v>
      </c>
      <c r="AM614" s="918">
        <f t="shared" ca="1" si="466"/>
        <v>77534.903999999995</v>
      </c>
      <c r="AN614" s="915">
        <f t="shared" si="427"/>
        <v>20</v>
      </c>
      <c r="AO614" s="653">
        <f t="shared" si="467"/>
        <v>77534.903999999995</v>
      </c>
      <c r="AP614" s="916">
        <f t="shared" ca="1" si="468"/>
        <v>9639.5079999999998</v>
      </c>
      <c r="AQ614" s="916">
        <f t="shared" ca="1" si="469"/>
        <v>-38815.503240757695</v>
      </c>
      <c r="AR614" s="653"/>
      <c r="AS614" s="653">
        <v>20</v>
      </c>
      <c r="AT614" s="909">
        <f t="shared" ca="1" si="428"/>
        <v>-5330.5177528349732</v>
      </c>
      <c r="AU614" s="909">
        <f t="shared" ca="1" si="429"/>
        <v>-50114.950015980066</v>
      </c>
      <c r="AV614" s="909">
        <f t="shared" ca="1" si="430"/>
        <v>-8968.287601048447</v>
      </c>
      <c r="AW614" s="909">
        <f t="shared" ca="1" si="431"/>
        <v>21491.203030948647</v>
      </c>
      <c r="AX614" s="909">
        <f t="shared" ca="1" si="432"/>
        <v>0</v>
      </c>
      <c r="AY614" s="909">
        <f t="shared" si="433"/>
        <v>42929.196447965078</v>
      </c>
      <c r="AZ614" s="909">
        <f t="shared" ca="1" si="434"/>
        <v>-42922.552338914844</v>
      </c>
      <c r="BA614" s="653"/>
      <c r="BB614" s="653">
        <f t="shared" si="470"/>
        <v>20</v>
      </c>
      <c r="BC614" s="909">
        <f t="shared" ca="1" si="471"/>
        <v>-143233.0082388343</v>
      </c>
      <c r="BD614" s="909">
        <f t="shared" ca="1" si="472"/>
        <v>-1346607.4744259212</v>
      </c>
      <c r="BE614" s="909">
        <f t="shared" ca="1" si="473"/>
        <v>-240981.24636505189</v>
      </c>
      <c r="BF614" s="909">
        <f t="shared" ca="1" si="474"/>
        <v>577476.67366030195</v>
      </c>
      <c r="BG614" s="909">
        <f t="shared" ca="1" si="475"/>
        <v>0</v>
      </c>
      <c r="BH614" s="909">
        <f t="shared" si="476"/>
        <v>1153524.5850678312</v>
      </c>
      <c r="BI614" s="909">
        <f t="shared" ca="1" si="477"/>
        <v>-1153345.0553695059</v>
      </c>
      <c r="BJ614" s="909"/>
      <c r="BK614" s="653">
        <v>20</v>
      </c>
      <c r="BL614" s="909">
        <f t="shared" ca="1" si="435"/>
        <v>-9627.5079999999998</v>
      </c>
      <c r="BM614" s="909">
        <f t="shared" ca="1" si="436"/>
        <v>-90513.174248757685</v>
      </c>
      <c r="BN614" s="909">
        <f t="shared" ca="1" si="437"/>
        <v>-16197.724991999999</v>
      </c>
      <c r="BO614" s="909">
        <f t="shared" ca="1" si="438"/>
        <v>38815.503240757695</v>
      </c>
      <c r="BP614" s="909">
        <f t="shared" ca="1" si="439"/>
        <v>0</v>
      </c>
      <c r="BQ614" s="909">
        <f t="shared" si="440"/>
        <v>77534.903999999995</v>
      </c>
      <c r="BR614" s="909">
        <f t="shared" ca="1" si="441"/>
        <v>-77522.903999999995</v>
      </c>
      <c r="BS614" s="653"/>
      <c r="BT614" s="653"/>
      <c r="BU614" s="653"/>
      <c r="BV614" s="654"/>
    </row>
    <row r="615" spans="2:74" x14ac:dyDescent="0.25">
      <c r="B615" s="651"/>
      <c r="C615" s="653"/>
      <c r="D615" s="653"/>
      <c r="E615" s="653"/>
      <c r="F615" s="653"/>
      <c r="G615" s="653"/>
      <c r="H615" s="653"/>
      <c r="I615" s="653"/>
      <c r="J615" s="653"/>
      <c r="K615" s="653"/>
      <c r="L615" s="653"/>
      <c r="M615" s="651">
        <v>21</v>
      </c>
      <c r="N615" s="909">
        <f t="shared" ca="1" si="442"/>
        <v>9627.5079999999998</v>
      </c>
      <c r="O615" s="909">
        <f t="shared" ca="1" si="443"/>
        <v>0</v>
      </c>
      <c r="P615" s="909">
        <f t="shared" ca="1" si="444"/>
        <v>12</v>
      </c>
      <c r="Q615" s="910">
        <f t="shared" ca="1" si="445"/>
        <v>1723323.9320000017</v>
      </c>
      <c r="R615" s="909">
        <f t="shared" ca="1" si="446"/>
        <v>90513.174248757685</v>
      </c>
      <c r="S615" s="909">
        <f t="shared" ca="1" si="447"/>
        <v>12435.7150392848</v>
      </c>
      <c r="T615" s="909">
        <f t="shared" ca="1" si="448"/>
        <v>78077.459209472887</v>
      </c>
      <c r="U615" s="909">
        <f t="shared" ca="1" si="449"/>
        <v>336446.37543335382</v>
      </c>
      <c r="V615" s="909">
        <f t="shared" ca="1" si="450"/>
        <v>8640</v>
      </c>
      <c r="W615" s="909">
        <f t="shared" ca="1" si="451"/>
        <v>7557.7249919999995</v>
      </c>
      <c r="X615" s="909">
        <f t="shared" ca="1" si="452"/>
        <v>116350.40724075769</v>
      </c>
      <c r="Y615" s="909">
        <f t="shared" ca="1" si="453"/>
        <v>-38815.503240757695</v>
      </c>
      <c r="Z615" s="910">
        <f t="shared" ca="1" si="454"/>
        <v>-815125.5680559118</v>
      </c>
      <c r="AA615" s="909">
        <f t="shared" ca="1" si="455"/>
        <v>-38815.503240757695</v>
      </c>
      <c r="AB615" s="910">
        <f t="shared" ca="1" si="456"/>
        <v>-815125.5680559118</v>
      </c>
      <c r="AC615" s="911">
        <f t="shared" ca="1" si="457"/>
        <v>0</v>
      </c>
      <c r="AD615" s="911">
        <f t="shared" ca="1" si="458"/>
        <v>0</v>
      </c>
      <c r="AE615" s="909">
        <f t="shared" ca="1" si="459"/>
        <v>0</v>
      </c>
      <c r="AF615" s="912">
        <f t="shared" ca="1" si="426"/>
        <v>0</v>
      </c>
      <c r="AG615" s="909">
        <f t="shared" si="460"/>
        <v>77534.903999999995</v>
      </c>
      <c r="AH615" s="917">
        <f t="shared" ca="1" si="461"/>
        <v>77534.903999999995</v>
      </c>
      <c r="AI615" s="909">
        <f t="shared" ca="1" si="462"/>
        <v>-77534.903999999995</v>
      </c>
      <c r="AJ615" s="916">
        <f t="shared" ca="1" si="463"/>
        <v>0</v>
      </c>
      <c r="AK615" s="916">
        <f t="shared" ca="1" si="464"/>
        <v>-77534.903999999995</v>
      </c>
      <c r="AL615" s="909">
        <f t="shared" ca="1" si="465"/>
        <v>0</v>
      </c>
      <c r="AM615" s="918">
        <f t="shared" ca="1" si="466"/>
        <v>77534.903999999995</v>
      </c>
      <c r="AN615" s="915">
        <f t="shared" si="427"/>
        <v>21</v>
      </c>
      <c r="AO615" s="653">
        <f t="shared" si="467"/>
        <v>77534.903999999995</v>
      </c>
      <c r="AP615" s="916">
        <f t="shared" ca="1" si="468"/>
        <v>9639.5079999999998</v>
      </c>
      <c r="AQ615" s="916">
        <f t="shared" ca="1" si="469"/>
        <v>-38815.503240757695</v>
      </c>
      <c r="AR615" s="653"/>
      <c r="AS615" s="653">
        <v>21</v>
      </c>
      <c r="AT615" s="909">
        <f t="shared" ca="1" si="428"/>
        <v>-5175.2599542087119</v>
      </c>
      <c r="AU615" s="909">
        <f t="shared" ca="1" si="429"/>
        <v>-48655.291277650547</v>
      </c>
      <c r="AV615" s="909">
        <f t="shared" ca="1" si="430"/>
        <v>-8707.0753408237342</v>
      </c>
      <c r="AW615" s="909">
        <f t="shared" ca="1" si="431"/>
        <v>20865.24566111519</v>
      </c>
      <c r="AX615" s="909">
        <f t="shared" ca="1" si="432"/>
        <v>0</v>
      </c>
      <c r="AY615" s="909">
        <f t="shared" si="433"/>
        <v>41678.831502878718</v>
      </c>
      <c r="AZ615" s="909">
        <f t="shared" ca="1" si="434"/>
        <v>-41672.380911567801</v>
      </c>
      <c r="BA615" s="653"/>
      <c r="BB615" s="653">
        <f t="shared" si="470"/>
        <v>21</v>
      </c>
      <c r="BC615" s="909">
        <f t="shared" ca="1" si="471"/>
        <v>-148408.26819304301</v>
      </c>
      <c r="BD615" s="909">
        <f t="shared" ca="1" si="472"/>
        <v>-1395262.7657035717</v>
      </c>
      <c r="BE615" s="909">
        <f t="shared" ca="1" si="473"/>
        <v>-249688.32170587563</v>
      </c>
      <c r="BF615" s="909">
        <f t="shared" ca="1" si="474"/>
        <v>598341.91932141711</v>
      </c>
      <c r="BG615" s="909">
        <f t="shared" ca="1" si="475"/>
        <v>0</v>
      </c>
      <c r="BH615" s="909">
        <f t="shared" si="476"/>
        <v>1195203.41657071</v>
      </c>
      <c r="BI615" s="909">
        <f t="shared" ca="1" si="477"/>
        <v>-1195017.4362810736</v>
      </c>
      <c r="BJ615" s="909"/>
      <c r="BK615" s="653">
        <v>21</v>
      </c>
      <c r="BL615" s="909">
        <f t="shared" ca="1" si="435"/>
        <v>-9627.5079999999998</v>
      </c>
      <c r="BM615" s="909">
        <f t="shared" ca="1" si="436"/>
        <v>-90513.174248757685</v>
      </c>
      <c r="BN615" s="909">
        <f t="shared" ca="1" si="437"/>
        <v>-16197.724991999999</v>
      </c>
      <c r="BO615" s="909">
        <f t="shared" ca="1" si="438"/>
        <v>38815.503240757695</v>
      </c>
      <c r="BP615" s="909">
        <f t="shared" ca="1" si="439"/>
        <v>0</v>
      </c>
      <c r="BQ615" s="909">
        <f t="shared" si="440"/>
        <v>77534.903999999995</v>
      </c>
      <c r="BR615" s="909">
        <f t="shared" ca="1" si="441"/>
        <v>-77522.903999999995</v>
      </c>
      <c r="BS615" s="653"/>
      <c r="BT615" s="653"/>
      <c r="BU615" s="653"/>
      <c r="BV615" s="654"/>
    </row>
    <row r="616" spans="2:74" x14ac:dyDescent="0.25">
      <c r="B616" s="651"/>
      <c r="C616" s="653"/>
      <c r="D616" s="653"/>
      <c r="E616" s="653"/>
      <c r="F616" s="653"/>
      <c r="G616" s="653"/>
      <c r="H616" s="653"/>
      <c r="I616" s="653"/>
      <c r="J616" s="653"/>
      <c r="K616" s="653"/>
      <c r="L616" s="653"/>
      <c r="M616" s="651">
        <v>22</v>
      </c>
      <c r="N616" s="909">
        <f t="shared" ca="1" si="442"/>
        <v>9627.5079999999998</v>
      </c>
      <c r="O616" s="909">
        <f t="shared" ca="1" si="443"/>
        <v>0</v>
      </c>
      <c r="P616" s="909">
        <f t="shared" ca="1" si="444"/>
        <v>12</v>
      </c>
      <c r="Q616" s="910">
        <f t="shared" ca="1" si="445"/>
        <v>1713696.4240000017</v>
      </c>
      <c r="R616" s="909">
        <f t="shared" ca="1" si="446"/>
        <v>90513.174248757685</v>
      </c>
      <c r="S616" s="909">
        <f t="shared" ca="1" si="447"/>
        <v>10093.391263000614</v>
      </c>
      <c r="T616" s="909">
        <f t="shared" ca="1" si="448"/>
        <v>80419.782985757076</v>
      </c>
      <c r="U616" s="909">
        <f t="shared" ca="1" si="449"/>
        <v>256026.59244759675</v>
      </c>
      <c r="V616" s="909">
        <f t="shared" ca="1" si="450"/>
        <v>8640</v>
      </c>
      <c r="W616" s="909">
        <f t="shared" ca="1" si="451"/>
        <v>7557.7249919999995</v>
      </c>
      <c r="X616" s="909">
        <f t="shared" ca="1" si="452"/>
        <v>116350.40724075769</v>
      </c>
      <c r="Y616" s="909">
        <f t="shared" ca="1" si="453"/>
        <v>-38815.503240757695</v>
      </c>
      <c r="Z616" s="910">
        <f t="shared" ca="1" si="454"/>
        <v>-853941.07129666954</v>
      </c>
      <c r="AA616" s="909">
        <f t="shared" ca="1" si="455"/>
        <v>-38815.503240757695</v>
      </c>
      <c r="AB616" s="910">
        <f t="shared" ca="1" si="456"/>
        <v>-853941.07129666954</v>
      </c>
      <c r="AC616" s="911">
        <f t="shared" ca="1" si="457"/>
        <v>0</v>
      </c>
      <c r="AD616" s="911">
        <f t="shared" ca="1" si="458"/>
        <v>0</v>
      </c>
      <c r="AE616" s="909">
        <f t="shared" ca="1" si="459"/>
        <v>0</v>
      </c>
      <c r="AF616" s="912">
        <f t="shared" ca="1" si="426"/>
        <v>0</v>
      </c>
      <c r="AG616" s="909">
        <f t="shared" si="460"/>
        <v>77534.903999999995</v>
      </c>
      <c r="AH616" s="917">
        <f t="shared" ca="1" si="461"/>
        <v>77534.903999999995</v>
      </c>
      <c r="AI616" s="909">
        <f t="shared" ca="1" si="462"/>
        <v>-77534.903999999995</v>
      </c>
      <c r="AJ616" s="916">
        <f t="shared" ca="1" si="463"/>
        <v>0</v>
      </c>
      <c r="AK616" s="916">
        <f t="shared" ca="1" si="464"/>
        <v>-77534.903999999995</v>
      </c>
      <c r="AL616" s="909">
        <f t="shared" ca="1" si="465"/>
        <v>0</v>
      </c>
      <c r="AM616" s="918">
        <f t="shared" ca="1" si="466"/>
        <v>77534.903999999995</v>
      </c>
      <c r="AN616" s="915">
        <f t="shared" si="427"/>
        <v>22</v>
      </c>
      <c r="AO616" s="653">
        <f t="shared" si="467"/>
        <v>77534.903999999995</v>
      </c>
      <c r="AP616" s="916">
        <f t="shared" ca="1" si="468"/>
        <v>9639.5079999999998</v>
      </c>
      <c r="AQ616" s="916">
        <f t="shared" ca="1" si="469"/>
        <v>-38815.503240757695</v>
      </c>
      <c r="AR616" s="653"/>
      <c r="AS616" s="653">
        <v>22</v>
      </c>
      <c r="AT616" s="909">
        <f t="shared" ca="1" si="428"/>
        <v>-5024.524227387099</v>
      </c>
      <c r="AU616" s="909">
        <f t="shared" ca="1" si="429"/>
        <v>-47238.146871505392</v>
      </c>
      <c r="AV616" s="909">
        <f t="shared" ca="1" si="430"/>
        <v>-8453.4712046832374</v>
      </c>
      <c r="AW616" s="909">
        <f t="shared" ca="1" si="431"/>
        <v>20257.520059335136</v>
      </c>
      <c r="AX616" s="909">
        <f t="shared" ca="1" si="432"/>
        <v>0</v>
      </c>
      <c r="AY616" s="909">
        <f t="shared" si="433"/>
        <v>40464.884954251182</v>
      </c>
      <c r="AZ616" s="909">
        <f t="shared" ca="1" si="434"/>
        <v>-40458.622244240585</v>
      </c>
      <c r="BA616" s="653"/>
      <c r="BB616" s="653">
        <f t="shared" si="470"/>
        <v>22</v>
      </c>
      <c r="BC616" s="909">
        <f t="shared" ca="1" si="471"/>
        <v>-153432.79242043011</v>
      </c>
      <c r="BD616" s="909">
        <f t="shared" ca="1" si="472"/>
        <v>-1442500.912575077</v>
      </c>
      <c r="BE616" s="909">
        <f t="shared" ca="1" si="473"/>
        <v>-258141.79291055887</v>
      </c>
      <c r="BF616" s="909">
        <f t="shared" ca="1" si="474"/>
        <v>618599.43938075227</v>
      </c>
      <c r="BG616" s="909">
        <f t="shared" ca="1" si="475"/>
        <v>0</v>
      </c>
      <c r="BH616" s="909">
        <f t="shared" si="476"/>
        <v>1235668.3015249611</v>
      </c>
      <c r="BI616" s="909">
        <f t="shared" ca="1" si="477"/>
        <v>-1235476.0585253141</v>
      </c>
      <c r="BJ616" s="909"/>
      <c r="BK616" s="653">
        <v>22</v>
      </c>
      <c r="BL616" s="909">
        <f t="shared" ca="1" si="435"/>
        <v>-9627.5079999999998</v>
      </c>
      <c r="BM616" s="909">
        <f t="shared" ca="1" si="436"/>
        <v>-90513.174248757685</v>
      </c>
      <c r="BN616" s="909">
        <f t="shared" ca="1" si="437"/>
        <v>-16197.724991999999</v>
      </c>
      <c r="BO616" s="909">
        <f t="shared" ca="1" si="438"/>
        <v>38815.503240757695</v>
      </c>
      <c r="BP616" s="909">
        <f t="shared" ca="1" si="439"/>
        <v>0</v>
      </c>
      <c r="BQ616" s="909">
        <f t="shared" si="440"/>
        <v>77534.903999999995</v>
      </c>
      <c r="BR616" s="909">
        <f t="shared" ca="1" si="441"/>
        <v>-77522.903999999995</v>
      </c>
      <c r="BS616" s="653"/>
      <c r="BT616" s="653"/>
      <c r="BU616" s="653"/>
      <c r="BV616" s="654"/>
    </row>
    <row r="617" spans="2:74" x14ac:dyDescent="0.25">
      <c r="B617" s="651"/>
      <c r="C617" s="653"/>
      <c r="D617" s="653"/>
      <c r="E617" s="653"/>
      <c r="F617" s="653"/>
      <c r="G617" s="653"/>
      <c r="H617" s="653"/>
      <c r="I617" s="653"/>
      <c r="J617" s="653"/>
      <c r="K617" s="653"/>
      <c r="L617" s="653"/>
      <c r="M617" s="651">
        <v>23</v>
      </c>
      <c r="N617" s="909">
        <f t="shared" ca="1" si="442"/>
        <v>9627.5079999999998</v>
      </c>
      <c r="O617" s="909">
        <f t="shared" ca="1" si="443"/>
        <v>0</v>
      </c>
      <c r="P617" s="909">
        <f t="shared" ca="1" si="444"/>
        <v>12</v>
      </c>
      <c r="Q617" s="910">
        <f t="shared" ca="1" si="445"/>
        <v>1704068.9160000018</v>
      </c>
      <c r="R617" s="909">
        <f t="shared" ca="1" si="446"/>
        <v>90513.174248757685</v>
      </c>
      <c r="S617" s="909">
        <f t="shared" ca="1" si="447"/>
        <v>7680.797773427902</v>
      </c>
      <c r="T617" s="909">
        <f t="shared" ca="1" si="448"/>
        <v>82832.376475329787</v>
      </c>
      <c r="U617" s="909">
        <f t="shared" ca="1" si="449"/>
        <v>173194.21597226697</v>
      </c>
      <c r="V617" s="909">
        <f t="shared" ca="1" si="450"/>
        <v>8640</v>
      </c>
      <c r="W617" s="909">
        <f t="shared" ca="1" si="451"/>
        <v>7557.7249919999995</v>
      </c>
      <c r="X617" s="909">
        <f t="shared" ca="1" si="452"/>
        <v>116350.40724075769</v>
      </c>
      <c r="Y617" s="909">
        <f t="shared" ca="1" si="453"/>
        <v>-38815.503240757695</v>
      </c>
      <c r="Z617" s="910">
        <f t="shared" ca="1" si="454"/>
        <v>-892756.57453742728</v>
      </c>
      <c r="AA617" s="909">
        <f t="shared" ca="1" si="455"/>
        <v>-38815.503240757695</v>
      </c>
      <c r="AB617" s="910">
        <f t="shared" ca="1" si="456"/>
        <v>-892756.57453742728</v>
      </c>
      <c r="AC617" s="911">
        <f t="shared" ca="1" si="457"/>
        <v>0</v>
      </c>
      <c r="AD617" s="911">
        <f t="shared" ca="1" si="458"/>
        <v>0</v>
      </c>
      <c r="AE617" s="909">
        <f t="shared" ca="1" si="459"/>
        <v>0</v>
      </c>
      <c r="AF617" s="912">
        <f t="shared" ca="1" si="426"/>
        <v>0</v>
      </c>
      <c r="AG617" s="909">
        <f t="shared" si="460"/>
        <v>77534.903999999995</v>
      </c>
      <c r="AH617" s="917">
        <f t="shared" ca="1" si="461"/>
        <v>77534.903999999995</v>
      </c>
      <c r="AI617" s="909">
        <f t="shared" ca="1" si="462"/>
        <v>-77534.903999999995</v>
      </c>
      <c r="AJ617" s="916">
        <f t="shared" ca="1" si="463"/>
        <v>0</v>
      </c>
      <c r="AK617" s="916">
        <f t="shared" ca="1" si="464"/>
        <v>-77534.903999999995</v>
      </c>
      <c r="AL617" s="909">
        <f t="shared" ca="1" si="465"/>
        <v>0</v>
      </c>
      <c r="AM617" s="918">
        <f t="shared" ca="1" si="466"/>
        <v>77534.903999999995</v>
      </c>
      <c r="AN617" s="915">
        <f t="shared" si="427"/>
        <v>23</v>
      </c>
      <c r="AO617" s="653">
        <f t="shared" si="467"/>
        <v>77534.903999999995</v>
      </c>
      <c r="AP617" s="916">
        <f t="shared" ca="1" si="468"/>
        <v>9639.5079999999998</v>
      </c>
      <c r="AQ617" s="916">
        <f t="shared" ca="1" si="469"/>
        <v>-38815.503240757695</v>
      </c>
      <c r="AR617" s="653"/>
      <c r="AS617" s="653">
        <v>23</v>
      </c>
      <c r="AT617" s="909">
        <f t="shared" ca="1" si="428"/>
        <v>-4878.1788615408732</v>
      </c>
      <c r="AU617" s="909">
        <f t="shared" ca="1" si="429"/>
        <v>-45862.278516024649</v>
      </c>
      <c r="AV617" s="909">
        <f t="shared" ca="1" si="430"/>
        <v>-8207.2535967798412</v>
      </c>
      <c r="AW617" s="909">
        <f t="shared" ca="1" si="431"/>
        <v>19667.495203237995</v>
      </c>
      <c r="AX617" s="909">
        <f t="shared" ca="1" si="432"/>
        <v>0</v>
      </c>
      <c r="AY617" s="909">
        <f t="shared" si="433"/>
        <v>39286.296072088524</v>
      </c>
      <c r="AZ617" s="909">
        <f t="shared" ca="1" si="434"/>
        <v>-39280.215771107367</v>
      </c>
      <c r="BA617" s="653"/>
      <c r="BB617" s="653">
        <f t="shared" si="470"/>
        <v>23</v>
      </c>
      <c r="BC617" s="909">
        <f t="shared" ca="1" si="471"/>
        <v>-158310.97128197097</v>
      </c>
      <c r="BD617" s="909">
        <f t="shared" ca="1" si="472"/>
        <v>-1488363.1910911016</v>
      </c>
      <c r="BE617" s="909">
        <f t="shared" ca="1" si="473"/>
        <v>-266349.0465073387</v>
      </c>
      <c r="BF617" s="909">
        <f t="shared" ca="1" si="474"/>
        <v>638266.93458399025</v>
      </c>
      <c r="BG617" s="909">
        <f t="shared" ca="1" si="475"/>
        <v>0</v>
      </c>
      <c r="BH617" s="909">
        <f t="shared" si="476"/>
        <v>1274954.5975970495</v>
      </c>
      <c r="BI617" s="909">
        <f t="shared" ca="1" si="477"/>
        <v>-1274756.2742964216</v>
      </c>
      <c r="BJ617" s="909"/>
      <c r="BK617" s="653">
        <v>23</v>
      </c>
      <c r="BL617" s="909">
        <f t="shared" ca="1" si="435"/>
        <v>-9627.5079999999998</v>
      </c>
      <c r="BM617" s="909">
        <f t="shared" ca="1" si="436"/>
        <v>-90513.174248757685</v>
      </c>
      <c r="BN617" s="909">
        <f t="shared" ca="1" si="437"/>
        <v>-16197.724991999999</v>
      </c>
      <c r="BO617" s="909">
        <f t="shared" ca="1" si="438"/>
        <v>38815.503240757695</v>
      </c>
      <c r="BP617" s="909">
        <f t="shared" ca="1" si="439"/>
        <v>0</v>
      </c>
      <c r="BQ617" s="909">
        <f t="shared" si="440"/>
        <v>77534.903999999995</v>
      </c>
      <c r="BR617" s="909">
        <f t="shared" ca="1" si="441"/>
        <v>-77522.903999999995</v>
      </c>
      <c r="BS617" s="653"/>
      <c r="BT617" s="653"/>
      <c r="BU617" s="653"/>
      <c r="BV617" s="654"/>
    </row>
    <row r="618" spans="2:74" x14ac:dyDescent="0.25">
      <c r="B618" s="651"/>
      <c r="C618" s="653"/>
      <c r="D618" s="653"/>
      <c r="E618" s="653"/>
      <c r="F618" s="653"/>
      <c r="G618" s="653"/>
      <c r="H618" s="653"/>
      <c r="I618" s="653"/>
      <c r="J618" s="653"/>
      <c r="K618" s="653"/>
      <c r="L618" s="653"/>
      <c r="M618" s="651">
        <v>24</v>
      </c>
      <c r="N618" s="909">
        <f t="shared" ca="1" si="442"/>
        <v>9627.5079999999998</v>
      </c>
      <c r="O618" s="909">
        <f t="shared" ca="1" si="443"/>
        <v>0</v>
      </c>
      <c r="P618" s="909">
        <f t="shared" ca="1" si="444"/>
        <v>12</v>
      </c>
      <c r="Q618" s="910">
        <f t="shared" ca="1" si="445"/>
        <v>1694441.4080000019</v>
      </c>
      <c r="R618" s="909">
        <f t="shared" ca="1" si="446"/>
        <v>90513.174248757685</v>
      </c>
      <c r="S618" s="909">
        <f t="shared" ca="1" si="447"/>
        <v>5195.8264791680094</v>
      </c>
      <c r="T618" s="909">
        <f t="shared" ca="1" si="448"/>
        <v>85317.347769589673</v>
      </c>
      <c r="U618" s="909">
        <f t="shared" ca="1" si="449"/>
        <v>87876.868202677302</v>
      </c>
      <c r="V618" s="909">
        <f t="shared" ca="1" si="450"/>
        <v>8640</v>
      </c>
      <c r="W618" s="909">
        <f t="shared" ca="1" si="451"/>
        <v>7557.7249919999995</v>
      </c>
      <c r="X618" s="909">
        <f t="shared" ca="1" si="452"/>
        <v>116350.40724075769</v>
      </c>
      <c r="Y618" s="909">
        <f t="shared" ca="1" si="453"/>
        <v>-38815.503240757695</v>
      </c>
      <c r="Z618" s="910">
        <f t="shared" ca="1" si="454"/>
        <v>-931572.07777818502</v>
      </c>
      <c r="AA618" s="909">
        <f t="shared" ca="1" si="455"/>
        <v>-38815.503240757695</v>
      </c>
      <c r="AB618" s="910">
        <f t="shared" ca="1" si="456"/>
        <v>-931572.07777818502</v>
      </c>
      <c r="AC618" s="911">
        <f t="shared" ca="1" si="457"/>
        <v>0</v>
      </c>
      <c r="AD618" s="911">
        <f t="shared" ca="1" si="458"/>
        <v>0</v>
      </c>
      <c r="AE618" s="909">
        <f t="shared" ca="1" si="459"/>
        <v>0</v>
      </c>
      <c r="AF618" s="912">
        <f t="shared" ca="1" si="426"/>
        <v>0</v>
      </c>
      <c r="AG618" s="909">
        <f t="shared" si="460"/>
        <v>77534.903999999995</v>
      </c>
      <c r="AH618" s="917">
        <f t="shared" ca="1" si="461"/>
        <v>77534.903999999995</v>
      </c>
      <c r="AI618" s="909">
        <f t="shared" ca="1" si="462"/>
        <v>-77534.903999999995</v>
      </c>
      <c r="AJ618" s="916">
        <f t="shared" ca="1" si="463"/>
        <v>0</v>
      </c>
      <c r="AK618" s="916">
        <f t="shared" ca="1" si="464"/>
        <v>-77534.903999999995</v>
      </c>
      <c r="AL618" s="909">
        <f t="shared" ca="1" si="465"/>
        <v>0</v>
      </c>
      <c r="AM618" s="918">
        <f t="shared" ca="1" si="466"/>
        <v>77534.903999999995</v>
      </c>
      <c r="AN618" s="915">
        <f t="shared" si="427"/>
        <v>24</v>
      </c>
      <c r="AO618" s="653">
        <f t="shared" si="467"/>
        <v>77534.903999999995</v>
      </c>
      <c r="AP618" s="916">
        <f t="shared" ca="1" si="468"/>
        <v>9639.5079999999998</v>
      </c>
      <c r="AQ618" s="916">
        <f t="shared" ca="1" si="469"/>
        <v>-38815.503240757695</v>
      </c>
      <c r="AR618" s="653"/>
      <c r="AS618" s="653">
        <v>24</v>
      </c>
      <c r="AT618" s="909">
        <f t="shared" ca="1" si="428"/>
        <v>-4736.0959820785174</v>
      </c>
      <c r="AU618" s="909">
        <f t="shared" ca="1" si="429"/>
        <v>-44526.483996140436</v>
      </c>
      <c r="AV618" s="909">
        <f t="shared" ca="1" si="430"/>
        <v>-7968.2073755144102</v>
      </c>
      <c r="AW618" s="909">
        <f t="shared" ca="1" si="431"/>
        <v>19094.655537124268</v>
      </c>
      <c r="AX618" s="909">
        <f t="shared" ca="1" si="432"/>
        <v>0</v>
      </c>
      <c r="AY618" s="909">
        <f t="shared" si="433"/>
        <v>38142.035021445176</v>
      </c>
      <c r="AZ618" s="909">
        <f t="shared" ca="1" si="434"/>
        <v>-38136.131816609093</v>
      </c>
      <c r="BA618" s="653"/>
      <c r="BB618" s="653">
        <f t="shared" si="470"/>
        <v>24</v>
      </c>
      <c r="BC618" s="909">
        <f t="shared" ca="1" si="471"/>
        <v>-163047.06726404949</v>
      </c>
      <c r="BD618" s="909">
        <f t="shared" ca="1" si="472"/>
        <v>-1532889.6750872422</v>
      </c>
      <c r="BE618" s="909">
        <f t="shared" ca="1" si="473"/>
        <v>-274317.25388285314</v>
      </c>
      <c r="BF618" s="909">
        <f t="shared" ca="1" si="474"/>
        <v>657361.59012111451</v>
      </c>
      <c r="BG618" s="909">
        <f t="shared" ca="1" si="475"/>
        <v>0</v>
      </c>
      <c r="BH618" s="909">
        <f t="shared" si="476"/>
        <v>1313096.6326184948</v>
      </c>
      <c r="BI618" s="909">
        <f t="shared" ca="1" si="477"/>
        <v>-1312892.4061130306</v>
      </c>
      <c r="BJ618" s="909"/>
      <c r="BK618" s="653">
        <v>24</v>
      </c>
      <c r="BL618" s="909">
        <f t="shared" ca="1" si="435"/>
        <v>-9627.5079999999998</v>
      </c>
      <c r="BM618" s="909">
        <f t="shared" ca="1" si="436"/>
        <v>-90513.174248757685</v>
      </c>
      <c r="BN618" s="909">
        <f t="shared" ca="1" si="437"/>
        <v>-16197.724991999999</v>
      </c>
      <c r="BO618" s="909">
        <f t="shared" ca="1" si="438"/>
        <v>38815.503240757695</v>
      </c>
      <c r="BP618" s="909">
        <f t="shared" ca="1" si="439"/>
        <v>0</v>
      </c>
      <c r="BQ618" s="909">
        <f t="shared" si="440"/>
        <v>77534.903999999995</v>
      </c>
      <c r="BR618" s="909">
        <f t="shared" ca="1" si="441"/>
        <v>-77522.903999999995</v>
      </c>
      <c r="BS618" s="653"/>
      <c r="BT618" s="653"/>
      <c r="BU618" s="653"/>
      <c r="BV618" s="654"/>
    </row>
    <row r="619" spans="2:74" x14ac:dyDescent="0.25">
      <c r="B619" s="651"/>
      <c r="C619" s="653"/>
      <c r="D619" s="653"/>
      <c r="E619" s="653"/>
      <c r="F619" s="653"/>
      <c r="G619" s="653"/>
      <c r="H619" s="653"/>
      <c r="I619" s="653"/>
      <c r="J619" s="653"/>
      <c r="K619" s="653"/>
      <c r="L619" s="653"/>
      <c r="M619" s="651">
        <v>25</v>
      </c>
      <c r="N619" s="909">
        <f t="shared" ca="1" si="442"/>
        <v>9627.5079999999998</v>
      </c>
      <c r="O619" s="909">
        <f t="shared" ca="1" si="443"/>
        <v>0</v>
      </c>
      <c r="P619" s="909">
        <f t="shared" ca="1" si="444"/>
        <v>12</v>
      </c>
      <c r="Q619" s="910">
        <f t="shared" ca="1" si="445"/>
        <v>1684813.900000002</v>
      </c>
      <c r="R619" s="909">
        <f t="shared" ca="1" si="446"/>
        <v>90513.174248757685</v>
      </c>
      <c r="S619" s="909">
        <f t="shared" ca="1" si="447"/>
        <v>2636.306046080319</v>
      </c>
      <c r="T619" s="909">
        <f t="shared" ca="1" si="448"/>
        <v>87876.86820267736</v>
      </c>
      <c r="U619" s="909">
        <f t="shared" ca="1" si="449"/>
        <v>0</v>
      </c>
      <c r="V619" s="909">
        <f t="shared" ca="1" si="450"/>
        <v>8640</v>
      </c>
      <c r="W619" s="909">
        <f t="shared" ca="1" si="451"/>
        <v>7557.7249919999995</v>
      </c>
      <c r="X619" s="909">
        <f t="shared" ca="1" si="452"/>
        <v>116350.40724075769</v>
      </c>
      <c r="Y619" s="909">
        <f t="shared" ca="1" si="453"/>
        <v>-38815.503240757695</v>
      </c>
      <c r="Z619" s="910">
        <f t="shared" ca="1" si="454"/>
        <v>-970387.58101894276</v>
      </c>
      <c r="AA619" s="909">
        <f t="shared" ca="1" si="455"/>
        <v>-38815.503240757695</v>
      </c>
      <c r="AB619" s="910">
        <f t="shared" ca="1" si="456"/>
        <v>-970387.58101894276</v>
      </c>
      <c r="AC619" s="911">
        <f t="shared" ca="1" si="457"/>
        <v>0</v>
      </c>
      <c r="AD619" s="911">
        <f t="shared" ca="1" si="458"/>
        <v>0</v>
      </c>
      <c r="AE619" s="909">
        <f t="shared" ca="1" si="459"/>
        <v>0</v>
      </c>
      <c r="AF619" s="912">
        <f t="shared" ca="1" si="426"/>
        <v>0</v>
      </c>
      <c r="AG619" s="909">
        <f t="shared" si="460"/>
        <v>77534.903999999995</v>
      </c>
      <c r="AH619" s="917">
        <f t="shared" ca="1" si="461"/>
        <v>77534.903999999995</v>
      </c>
      <c r="AI619" s="909">
        <f t="shared" ca="1" si="462"/>
        <v>-77534.903999999995</v>
      </c>
      <c r="AJ619" s="916">
        <f t="shared" ca="1" si="463"/>
        <v>0</v>
      </c>
      <c r="AK619" s="916">
        <f t="shared" ca="1" si="464"/>
        <v>-77534.903999999995</v>
      </c>
      <c r="AL619" s="909">
        <f t="shared" ca="1" si="465"/>
        <v>0</v>
      </c>
      <c r="AM619" s="918">
        <f t="shared" ca="1" si="466"/>
        <v>77534.903999999995</v>
      </c>
      <c r="AN619" s="915">
        <f t="shared" si="427"/>
        <v>25</v>
      </c>
      <c r="AO619" s="653">
        <f t="shared" si="467"/>
        <v>77534.903999999995</v>
      </c>
      <c r="AP619" s="916">
        <f t="shared" ca="1" si="468"/>
        <v>9639.5079999999998</v>
      </c>
      <c r="AQ619" s="916">
        <f t="shared" ca="1" si="469"/>
        <v>-38815.503240757695</v>
      </c>
      <c r="AR619" s="653"/>
      <c r="AS619" s="653">
        <v>25</v>
      </c>
      <c r="AT619" s="909">
        <f t="shared" ca="1" si="428"/>
        <v>-4598.1514389111826</v>
      </c>
      <c r="AU619" s="909">
        <f t="shared" ca="1" si="429"/>
        <v>-43229.59611275771</v>
      </c>
      <c r="AV619" s="909">
        <f t="shared" ca="1" si="430"/>
        <v>-7736.1236655479715</v>
      </c>
      <c r="AW619" s="909">
        <f t="shared" ca="1" si="431"/>
        <v>18538.500521479873</v>
      </c>
      <c r="AX619" s="909">
        <f t="shared" ca="1" si="432"/>
        <v>0</v>
      </c>
      <c r="AY619" s="909">
        <f t="shared" si="433"/>
        <v>37031.101962568129</v>
      </c>
      <c r="AZ619" s="909">
        <f t="shared" ca="1" si="434"/>
        <v>-37025.370695736994</v>
      </c>
      <c r="BA619" s="653"/>
      <c r="BB619" s="653">
        <f t="shared" si="470"/>
        <v>25</v>
      </c>
      <c r="BC619" s="909">
        <f t="shared" ca="1" si="471"/>
        <v>-167645.21870296067</v>
      </c>
      <c r="BD619" s="909">
        <f t="shared" ca="1" si="472"/>
        <v>-1576119.2711999998</v>
      </c>
      <c r="BE619" s="909">
        <f t="shared" ca="1" si="473"/>
        <v>-282053.37754840113</v>
      </c>
      <c r="BF619" s="909">
        <f t="shared" ca="1" si="474"/>
        <v>675900.09064259438</v>
      </c>
      <c r="BG619" s="909">
        <f t="shared" ca="1" si="475"/>
        <v>0</v>
      </c>
      <c r="BH619" s="909">
        <f t="shared" si="476"/>
        <v>1350127.734581063</v>
      </c>
      <c r="BI619" s="909">
        <f t="shared" ca="1" si="477"/>
        <v>-1349917.7768087676</v>
      </c>
      <c r="BJ619" s="909"/>
      <c r="BK619" s="653">
        <v>25</v>
      </c>
      <c r="BL619" s="909">
        <f t="shared" ca="1" si="435"/>
        <v>-9627.5079999999998</v>
      </c>
      <c r="BM619" s="909">
        <f t="shared" ca="1" si="436"/>
        <v>-90513.174248757685</v>
      </c>
      <c r="BN619" s="909">
        <f t="shared" ca="1" si="437"/>
        <v>-16197.724991999999</v>
      </c>
      <c r="BO619" s="909">
        <f t="shared" ca="1" si="438"/>
        <v>38815.503240757695</v>
      </c>
      <c r="BP619" s="909">
        <f t="shared" ca="1" si="439"/>
        <v>0</v>
      </c>
      <c r="BQ619" s="909">
        <f t="shared" si="440"/>
        <v>77534.903999999995</v>
      </c>
      <c r="BR619" s="909">
        <f t="shared" ca="1" si="441"/>
        <v>-77522.903999999995</v>
      </c>
      <c r="BS619" s="653"/>
      <c r="BT619" s="653"/>
      <c r="BU619" s="653"/>
      <c r="BV619" s="654"/>
    </row>
    <row r="620" spans="2:74" x14ac:dyDescent="0.25">
      <c r="B620" s="651"/>
      <c r="C620" s="653"/>
      <c r="D620" s="653"/>
      <c r="E620" s="653"/>
      <c r="F620" s="653"/>
      <c r="G620" s="653"/>
      <c r="H620" s="653"/>
      <c r="I620" s="653"/>
      <c r="J620" s="653"/>
      <c r="K620" s="653"/>
      <c r="L620" s="653"/>
      <c r="M620" s="651">
        <v>26</v>
      </c>
      <c r="N620" s="909">
        <f t="shared" ca="1" si="442"/>
        <v>67392.555999999997</v>
      </c>
      <c r="O620" s="909">
        <f t="shared" ca="1" si="443"/>
        <v>0</v>
      </c>
      <c r="P620" s="909">
        <f t="shared" ca="1" si="444"/>
        <v>12</v>
      </c>
      <c r="Q620" s="910">
        <f t="shared" ca="1" si="445"/>
        <v>1617421.3440000019</v>
      </c>
      <c r="R620" s="909">
        <f t="shared" si="446"/>
        <v>0</v>
      </c>
      <c r="S620" s="909">
        <f t="shared" ca="1" si="447"/>
        <v>0</v>
      </c>
      <c r="T620" s="909">
        <f t="shared" ca="1" si="448"/>
        <v>0</v>
      </c>
      <c r="U620" s="909">
        <f t="shared" ca="1" si="449"/>
        <v>0</v>
      </c>
      <c r="V620" s="909">
        <f t="shared" ca="1" si="450"/>
        <v>8640</v>
      </c>
      <c r="W620" s="909">
        <f t="shared" ca="1" si="451"/>
        <v>7557.7249919999995</v>
      </c>
      <c r="X620" s="909">
        <f t="shared" ca="1" si="452"/>
        <v>83602.280992</v>
      </c>
      <c r="Y620" s="909">
        <f t="shared" ca="1" si="453"/>
        <v>0</v>
      </c>
      <c r="Z620" s="910">
        <f t="shared" ca="1" si="454"/>
        <v>-970387.58101894276</v>
      </c>
      <c r="AA620" s="909">
        <f t="shared" ca="1" si="455"/>
        <v>0</v>
      </c>
      <c r="AB620" s="910">
        <f t="shared" ca="1" si="456"/>
        <v>-970387.58101894276</v>
      </c>
      <c r="AC620" s="911">
        <f t="shared" ca="1" si="457"/>
        <v>6067.376992000005</v>
      </c>
      <c r="AD620" s="911">
        <f t="shared" ca="1" si="458"/>
        <v>6067.376992000005</v>
      </c>
      <c r="AE620" s="909">
        <f t="shared" ca="1" si="459"/>
        <v>0</v>
      </c>
      <c r="AF620" s="912">
        <f t="shared" ca="1" si="426"/>
        <v>0</v>
      </c>
      <c r="AG620" s="909">
        <f t="shared" si="460"/>
        <v>77534.903999999995</v>
      </c>
      <c r="AH620" s="917">
        <f t="shared" ca="1" si="461"/>
        <v>83602.280992</v>
      </c>
      <c r="AI620" s="909">
        <f t="shared" ca="1" si="462"/>
        <v>-83602.280992</v>
      </c>
      <c r="AJ620" s="916">
        <f t="shared" ca="1" si="463"/>
        <v>-6067.376992000005</v>
      </c>
      <c r="AK620" s="916">
        <f t="shared" ca="1" si="464"/>
        <v>-77534.903999999995</v>
      </c>
      <c r="AL620" s="909">
        <f t="shared" ca="1" si="465"/>
        <v>0</v>
      </c>
      <c r="AM620" s="918">
        <f t="shared" ca="1" si="466"/>
        <v>83602.280992</v>
      </c>
      <c r="AN620" s="915">
        <f t="shared" si="427"/>
        <v>26</v>
      </c>
      <c r="AO620" s="653">
        <f t="shared" si="467"/>
        <v>77534.903999999995</v>
      </c>
      <c r="AP620" s="916">
        <f t="shared" ca="1" si="468"/>
        <v>67404.555999999997</v>
      </c>
      <c r="AQ620" s="916">
        <f t="shared" ca="1" si="469"/>
        <v>0</v>
      </c>
      <c r="AR620" s="653"/>
      <c r="AS620" s="653">
        <v>26</v>
      </c>
      <c r="AT620" s="909">
        <f t="shared" ca="1" si="428"/>
        <v>-31249.572885804148</v>
      </c>
      <c r="AU620" s="909">
        <f t="shared" si="429"/>
        <v>0</v>
      </c>
      <c r="AV620" s="909">
        <f t="shared" ca="1" si="430"/>
        <v>-7510.7996752892923</v>
      </c>
      <c r="AW620" s="909">
        <f t="shared" ca="1" si="431"/>
        <v>0</v>
      </c>
      <c r="AX620" s="909">
        <f t="shared" ca="1" si="432"/>
        <v>2813.4107205720957</v>
      </c>
      <c r="AY620" s="909">
        <f t="shared" si="433"/>
        <v>35952.526177250606</v>
      </c>
      <c r="AZ620" s="909">
        <f t="shared" ca="1" si="434"/>
        <v>-35946.961840521348</v>
      </c>
      <c r="BA620" s="653"/>
      <c r="BB620" s="653">
        <f t="shared" si="470"/>
        <v>26</v>
      </c>
      <c r="BC620" s="909">
        <f t="shared" ca="1" si="471"/>
        <v>-198894.79158876481</v>
      </c>
      <c r="BD620" s="909">
        <f t="shared" ca="1" si="472"/>
        <v>-1576119.2711999998</v>
      </c>
      <c r="BE620" s="909">
        <f t="shared" ca="1" si="473"/>
        <v>-289564.17722369044</v>
      </c>
      <c r="BF620" s="909">
        <f t="shared" ca="1" si="474"/>
        <v>675900.09064259438</v>
      </c>
      <c r="BG620" s="909">
        <f t="shared" ca="1" si="475"/>
        <v>2813.4107205720957</v>
      </c>
      <c r="BH620" s="909">
        <f t="shared" si="476"/>
        <v>1386080.2607583136</v>
      </c>
      <c r="BI620" s="909">
        <f t="shared" ca="1" si="477"/>
        <v>-1385864.7386492889</v>
      </c>
      <c r="BJ620" s="909"/>
      <c r="BK620" s="653">
        <v>26</v>
      </c>
      <c r="BL620" s="909">
        <f t="shared" ca="1" si="435"/>
        <v>-67392.555999999997</v>
      </c>
      <c r="BM620" s="909">
        <f t="shared" si="436"/>
        <v>0</v>
      </c>
      <c r="BN620" s="909">
        <f t="shared" ca="1" si="437"/>
        <v>-16197.724991999999</v>
      </c>
      <c r="BO620" s="909">
        <f t="shared" ca="1" si="438"/>
        <v>0</v>
      </c>
      <c r="BP620" s="909">
        <f t="shared" ca="1" si="439"/>
        <v>6067.376992000005</v>
      </c>
      <c r="BQ620" s="909">
        <f t="shared" si="440"/>
        <v>77534.903999999995</v>
      </c>
      <c r="BR620" s="909">
        <f t="shared" ca="1" si="441"/>
        <v>-77522.903999999995</v>
      </c>
      <c r="BS620" s="653"/>
      <c r="BT620" s="653"/>
      <c r="BU620" s="653"/>
      <c r="BV620" s="654"/>
    </row>
    <row r="621" spans="2:74" x14ac:dyDescent="0.25">
      <c r="B621" s="651"/>
      <c r="C621" s="653"/>
      <c r="D621" s="653"/>
      <c r="E621" s="653"/>
      <c r="F621" s="653"/>
      <c r="G621" s="653"/>
      <c r="H621" s="653"/>
      <c r="I621" s="653"/>
      <c r="J621" s="653"/>
      <c r="K621" s="653"/>
      <c r="L621" s="653"/>
      <c r="M621" s="651">
        <v>27</v>
      </c>
      <c r="N621" s="909">
        <f t="shared" ca="1" si="442"/>
        <v>67392.555999999997</v>
      </c>
      <c r="O621" s="909">
        <f t="shared" ca="1" si="443"/>
        <v>0</v>
      </c>
      <c r="P621" s="909">
        <f t="shared" ca="1" si="444"/>
        <v>12</v>
      </c>
      <c r="Q621" s="910">
        <f t="shared" ca="1" si="445"/>
        <v>1550028.7880000018</v>
      </c>
      <c r="R621" s="909">
        <f t="shared" si="446"/>
        <v>0</v>
      </c>
      <c r="S621" s="909">
        <f t="shared" ca="1" si="447"/>
        <v>0</v>
      </c>
      <c r="T621" s="909">
        <f t="shared" ca="1" si="448"/>
        <v>0</v>
      </c>
      <c r="U621" s="909">
        <f t="shared" ca="1" si="449"/>
        <v>0</v>
      </c>
      <c r="V621" s="909">
        <f t="shared" ca="1" si="450"/>
        <v>8640</v>
      </c>
      <c r="W621" s="909">
        <f t="shared" ca="1" si="451"/>
        <v>7557.7249919999995</v>
      </c>
      <c r="X621" s="909">
        <f t="shared" ca="1" si="452"/>
        <v>83602.280992</v>
      </c>
      <c r="Y621" s="909">
        <f t="shared" ca="1" si="453"/>
        <v>0</v>
      </c>
      <c r="Z621" s="910">
        <f t="shared" ca="1" si="454"/>
        <v>-970387.58101894276</v>
      </c>
      <c r="AA621" s="909">
        <f t="shared" ca="1" si="455"/>
        <v>0</v>
      </c>
      <c r="AB621" s="910">
        <f t="shared" ca="1" si="456"/>
        <v>-970387.58101894276</v>
      </c>
      <c r="AC621" s="911">
        <f t="shared" ca="1" si="457"/>
        <v>6067.376992000005</v>
      </c>
      <c r="AD621" s="911">
        <f t="shared" ca="1" si="458"/>
        <v>12256.10152384001</v>
      </c>
      <c r="AE621" s="909">
        <f t="shared" ca="1" si="459"/>
        <v>0</v>
      </c>
      <c r="AF621" s="912">
        <f t="shared" ca="1" si="426"/>
        <v>0</v>
      </c>
      <c r="AG621" s="909">
        <f t="shared" si="460"/>
        <v>77534.903999999995</v>
      </c>
      <c r="AH621" s="917">
        <f t="shared" ca="1" si="461"/>
        <v>83602.280992</v>
      </c>
      <c r="AI621" s="909">
        <f t="shared" ca="1" si="462"/>
        <v>-83602.280992</v>
      </c>
      <c r="AJ621" s="916">
        <f t="shared" ca="1" si="463"/>
        <v>-6067.376992000005</v>
      </c>
      <c r="AK621" s="916">
        <f t="shared" ca="1" si="464"/>
        <v>-77534.903999999995</v>
      </c>
      <c r="AL621" s="909">
        <f t="shared" ca="1" si="465"/>
        <v>0</v>
      </c>
      <c r="AM621" s="918">
        <f t="shared" ca="1" si="466"/>
        <v>83602.280992</v>
      </c>
      <c r="AN621" s="915">
        <f t="shared" si="427"/>
        <v>27</v>
      </c>
      <c r="AO621" s="653">
        <f t="shared" si="467"/>
        <v>77534.903999999995</v>
      </c>
      <c r="AP621" s="916">
        <f t="shared" ca="1" si="468"/>
        <v>67404.555999999997</v>
      </c>
      <c r="AQ621" s="916">
        <f t="shared" ca="1" si="469"/>
        <v>0</v>
      </c>
      <c r="AR621" s="653"/>
      <c r="AS621" s="653">
        <v>27</v>
      </c>
      <c r="AT621" s="909">
        <f t="shared" ca="1" si="428"/>
        <v>-30339.391151266165</v>
      </c>
      <c r="AU621" s="909">
        <f t="shared" si="429"/>
        <v>0</v>
      </c>
      <c r="AV621" s="909">
        <f t="shared" ca="1" si="430"/>
        <v>-7292.0385196983425</v>
      </c>
      <c r="AW621" s="909">
        <f t="shared" ca="1" si="431"/>
        <v>0</v>
      </c>
      <c r="AX621" s="909">
        <f t="shared" ca="1" si="432"/>
        <v>2731.4667190020346</v>
      </c>
      <c r="AY621" s="909">
        <f t="shared" si="433"/>
        <v>34905.365220631662</v>
      </c>
      <c r="AZ621" s="909">
        <f t="shared" ca="1" si="434"/>
        <v>-34899.962951962472</v>
      </c>
      <c r="BA621" s="653"/>
      <c r="BB621" s="653">
        <f t="shared" si="470"/>
        <v>27</v>
      </c>
      <c r="BC621" s="909">
        <f t="shared" ca="1" si="471"/>
        <v>-229234.18274003098</v>
      </c>
      <c r="BD621" s="909">
        <f t="shared" ca="1" si="472"/>
        <v>-1576119.2711999998</v>
      </c>
      <c r="BE621" s="909">
        <f t="shared" ca="1" si="473"/>
        <v>-296856.21574338881</v>
      </c>
      <c r="BF621" s="909">
        <f t="shared" ca="1" si="474"/>
        <v>675900.09064259438</v>
      </c>
      <c r="BG621" s="909">
        <f t="shared" ca="1" si="475"/>
        <v>5544.8774395741302</v>
      </c>
      <c r="BH621" s="909">
        <f t="shared" si="476"/>
        <v>1420985.6259789453</v>
      </c>
      <c r="BI621" s="909">
        <f t="shared" ca="1" si="477"/>
        <v>-1420764.7016012513</v>
      </c>
      <c r="BJ621" s="909"/>
      <c r="BK621" s="653">
        <v>27</v>
      </c>
      <c r="BL621" s="909">
        <f t="shared" ca="1" si="435"/>
        <v>-67392.555999999997</v>
      </c>
      <c r="BM621" s="909">
        <f t="shared" si="436"/>
        <v>0</v>
      </c>
      <c r="BN621" s="909">
        <f t="shared" ca="1" si="437"/>
        <v>-16197.724991999999</v>
      </c>
      <c r="BO621" s="909">
        <f t="shared" ca="1" si="438"/>
        <v>0</v>
      </c>
      <c r="BP621" s="909">
        <f t="shared" ca="1" si="439"/>
        <v>6067.376992000005</v>
      </c>
      <c r="BQ621" s="909">
        <f t="shared" si="440"/>
        <v>77534.903999999995</v>
      </c>
      <c r="BR621" s="909">
        <f t="shared" ca="1" si="441"/>
        <v>-77522.903999999995</v>
      </c>
      <c r="BS621" s="653"/>
      <c r="BT621" s="653"/>
      <c r="BU621" s="653"/>
      <c r="BV621" s="654"/>
    </row>
    <row r="622" spans="2:74" x14ac:dyDescent="0.25">
      <c r="B622" s="651"/>
      <c r="C622" s="653"/>
      <c r="D622" s="653"/>
      <c r="E622" s="653"/>
      <c r="F622" s="653"/>
      <c r="G622" s="653"/>
      <c r="H622" s="653"/>
      <c r="I622" s="653"/>
      <c r="J622" s="653"/>
      <c r="K622" s="653"/>
      <c r="L622" s="653"/>
      <c r="M622" s="651">
        <v>28</v>
      </c>
      <c r="N622" s="909">
        <f t="shared" ca="1" si="442"/>
        <v>67392.555999999997</v>
      </c>
      <c r="O622" s="909">
        <f t="shared" ca="1" si="443"/>
        <v>0</v>
      </c>
      <c r="P622" s="909">
        <f t="shared" ca="1" si="444"/>
        <v>12</v>
      </c>
      <c r="Q622" s="910">
        <f t="shared" ca="1" si="445"/>
        <v>1482636.2320000017</v>
      </c>
      <c r="R622" s="909">
        <f t="shared" si="446"/>
        <v>0</v>
      </c>
      <c r="S622" s="909">
        <f t="shared" ca="1" si="447"/>
        <v>0</v>
      </c>
      <c r="T622" s="909">
        <f t="shared" ca="1" si="448"/>
        <v>0</v>
      </c>
      <c r="U622" s="909">
        <f t="shared" ca="1" si="449"/>
        <v>0</v>
      </c>
      <c r="V622" s="909">
        <f t="shared" ca="1" si="450"/>
        <v>8640</v>
      </c>
      <c r="W622" s="909">
        <f t="shared" ca="1" si="451"/>
        <v>7557.7249919999995</v>
      </c>
      <c r="X622" s="909">
        <f t="shared" ca="1" si="452"/>
        <v>83602.280992</v>
      </c>
      <c r="Y622" s="909">
        <f t="shared" ca="1" si="453"/>
        <v>0</v>
      </c>
      <c r="Z622" s="910">
        <f t="shared" ca="1" si="454"/>
        <v>-970387.58101894276</v>
      </c>
      <c r="AA622" s="909">
        <f t="shared" ca="1" si="455"/>
        <v>0</v>
      </c>
      <c r="AB622" s="910">
        <f t="shared" ca="1" si="456"/>
        <v>-970387.58101894276</v>
      </c>
      <c r="AC622" s="911">
        <f t="shared" ca="1" si="457"/>
        <v>6067.376992000005</v>
      </c>
      <c r="AD622" s="911">
        <f t="shared" ca="1" si="458"/>
        <v>18568.600546316819</v>
      </c>
      <c r="AE622" s="909">
        <f t="shared" ca="1" si="459"/>
        <v>0</v>
      </c>
      <c r="AF622" s="912">
        <f t="shared" ca="1" si="426"/>
        <v>0</v>
      </c>
      <c r="AG622" s="909">
        <f t="shared" si="460"/>
        <v>77534.903999999995</v>
      </c>
      <c r="AH622" s="917">
        <f t="shared" ca="1" si="461"/>
        <v>83602.280992</v>
      </c>
      <c r="AI622" s="909">
        <f t="shared" ca="1" si="462"/>
        <v>-83602.280992</v>
      </c>
      <c r="AJ622" s="916">
        <f t="shared" ca="1" si="463"/>
        <v>-6067.376992000005</v>
      </c>
      <c r="AK622" s="916">
        <f t="shared" ca="1" si="464"/>
        <v>-77534.903999999995</v>
      </c>
      <c r="AL622" s="909">
        <f t="shared" ca="1" si="465"/>
        <v>0</v>
      </c>
      <c r="AM622" s="918">
        <f t="shared" ca="1" si="466"/>
        <v>83602.280992</v>
      </c>
      <c r="AN622" s="915">
        <f t="shared" si="427"/>
        <v>28</v>
      </c>
      <c r="AO622" s="653">
        <f t="shared" si="467"/>
        <v>77534.903999999995</v>
      </c>
      <c r="AP622" s="916">
        <f t="shared" ca="1" si="468"/>
        <v>67404.555999999997</v>
      </c>
      <c r="AQ622" s="916">
        <f t="shared" ca="1" si="469"/>
        <v>0</v>
      </c>
      <c r="AR622" s="653"/>
      <c r="AS622" s="653">
        <v>28</v>
      </c>
      <c r="AT622" s="909">
        <f t="shared" ca="1" si="428"/>
        <v>-29455.719564336083</v>
      </c>
      <c r="AU622" s="909">
        <f t="shared" si="429"/>
        <v>0</v>
      </c>
      <c r="AV622" s="909">
        <f t="shared" ca="1" si="430"/>
        <v>-7079.6490482508179</v>
      </c>
      <c r="AW622" s="909">
        <f t="shared" ca="1" si="431"/>
        <v>0</v>
      </c>
      <c r="AX622" s="909">
        <f t="shared" ca="1" si="432"/>
        <v>2651.9094359243054</v>
      </c>
      <c r="AY622" s="909">
        <f t="shared" si="433"/>
        <v>33888.70409770064</v>
      </c>
      <c r="AZ622" s="909">
        <f t="shared" ca="1" si="434"/>
        <v>-33883.459176662596</v>
      </c>
      <c r="BA622" s="653"/>
      <c r="BB622" s="653">
        <f t="shared" si="470"/>
        <v>28</v>
      </c>
      <c r="BC622" s="909">
        <f t="shared" ca="1" si="471"/>
        <v>-258689.90230436707</v>
      </c>
      <c r="BD622" s="909">
        <f t="shared" ca="1" si="472"/>
        <v>-1576119.2711999998</v>
      </c>
      <c r="BE622" s="909">
        <f t="shared" ca="1" si="473"/>
        <v>-303935.86479163961</v>
      </c>
      <c r="BF622" s="909">
        <f t="shared" ca="1" si="474"/>
        <v>675900.09064259438</v>
      </c>
      <c r="BG622" s="909">
        <f t="shared" ca="1" si="475"/>
        <v>8196.7868754984356</v>
      </c>
      <c r="BH622" s="909">
        <f t="shared" si="476"/>
        <v>1454874.3300766458</v>
      </c>
      <c r="BI622" s="909">
        <f t="shared" ca="1" si="477"/>
        <v>-1454648.1607779139</v>
      </c>
      <c r="BJ622" s="909"/>
      <c r="BK622" s="653">
        <v>28</v>
      </c>
      <c r="BL622" s="909">
        <f t="shared" ca="1" si="435"/>
        <v>-67392.555999999997</v>
      </c>
      <c r="BM622" s="909">
        <f t="shared" si="436"/>
        <v>0</v>
      </c>
      <c r="BN622" s="909">
        <f t="shared" ca="1" si="437"/>
        <v>-16197.724991999999</v>
      </c>
      <c r="BO622" s="909">
        <f t="shared" ca="1" si="438"/>
        <v>0</v>
      </c>
      <c r="BP622" s="909">
        <f t="shared" ca="1" si="439"/>
        <v>6067.376992000005</v>
      </c>
      <c r="BQ622" s="909">
        <f t="shared" si="440"/>
        <v>77534.903999999995</v>
      </c>
      <c r="BR622" s="909">
        <f t="shared" ca="1" si="441"/>
        <v>-77522.903999999995</v>
      </c>
      <c r="BS622" s="653"/>
      <c r="BT622" s="653"/>
      <c r="BU622" s="653"/>
      <c r="BV622" s="654"/>
    </row>
    <row r="623" spans="2:74" x14ac:dyDescent="0.25">
      <c r="B623" s="651"/>
      <c r="C623" s="653"/>
      <c r="D623" s="653"/>
      <c r="E623" s="653"/>
      <c r="F623" s="653"/>
      <c r="G623" s="653"/>
      <c r="H623" s="653"/>
      <c r="I623" s="653"/>
      <c r="J623" s="653"/>
      <c r="K623" s="653"/>
      <c r="L623" s="653"/>
      <c r="M623" s="651">
        <v>29</v>
      </c>
      <c r="N623" s="909">
        <f t="shared" ca="1" si="442"/>
        <v>67392.555999999997</v>
      </c>
      <c r="O623" s="909">
        <f t="shared" ca="1" si="443"/>
        <v>0</v>
      </c>
      <c r="P623" s="909">
        <f t="shared" ca="1" si="444"/>
        <v>12</v>
      </c>
      <c r="Q623" s="910">
        <f t="shared" ca="1" si="445"/>
        <v>1415243.6760000016</v>
      </c>
      <c r="R623" s="909">
        <f t="shared" si="446"/>
        <v>0</v>
      </c>
      <c r="S623" s="909">
        <f t="shared" ca="1" si="447"/>
        <v>0</v>
      </c>
      <c r="T623" s="909">
        <f t="shared" ca="1" si="448"/>
        <v>0</v>
      </c>
      <c r="U623" s="909">
        <f t="shared" ca="1" si="449"/>
        <v>0</v>
      </c>
      <c r="V623" s="909">
        <f t="shared" ca="1" si="450"/>
        <v>8640</v>
      </c>
      <c r="W623" s="909">
        <f t="shared" ca="1" si="451"/>
        <v>7557.7249919999995</v>
      </c>
      <c r="X623" s="909">
        <f t="shared" ca="1" si="452"/>
        <v>83602.280992</v>
      </c>
      <c r="Y623" s="909">
        <f t="shared" ca="1" si="453"/>
        <v>0</v>
      </c>
      <c r="Z623" s="910">
        <f t="shared" ca="1" si="454"/>
        <v>-970387.58101894276</v>
      </c>
      <c r="AA623" s="909">
        <f t="shared" ca="1" si="455"/>
        <v>0</v>
      </c>
      <c r="AB623" s="910">
        <f t="shared" ca="1" si="456"/>
        <v>-970387.58101894276</v>
      </c>
      <c r="AC623" s="911">
        <f t="shared" ca="1" si="457"/>
        <v>6067.376992000005</v>
      </c>
      <c r="AD623" s="911">
        <f t="shared" ca="1" si="458"/>
        <v>25007.349549243161</v>
      </c>
      <c r="AE623" s="909">
        <f t="shared" ca="1" si="459"/>
        <v>0</v>
      </c>
      <c r="AF623" s="912">
        <f t="shared" ca="1" si="426"/>
        <v>0</v>
      </c>
      <c r="AG623" s="909">
        <f t="shared" si="460"/>
        <v>77534.903999999995</v>
      </c>
      <c r="AH623" s="917">
        <f t="shared" ca="1" si="461"/>
        <v>83602.280992</v>
      </c>
      <c r="AI623" s="909">
        <f t="shared" ca="1" si="462"/>
        <v>-83602.280992</v>
      </c>
      <c r="AJ623" s="916">
        <f t="shared" ca="1" si="463"/>
        <v>-6067.376992000005</v>
      </c>
      <c r="AK623" s="916">
        <f t="shared" ca="1" si="464"/>
        <v>-77534.903999999995</v>
      </c>
      <c r="AL623" s="909">
        <f t="shared" ca="1" si="465"/>
        <v>0</v>
      </c>
      <c r="AM623" s="918">
        <f t="shared" ca="1" si="466"/>
        <v>83602.280992</v>
      </c>
      <c r="AN623" s="915">
        <f t="shared" si="427"/>
        <v>29</v>
      </c>
      <c r="AO623" s="653">
        <f t="shared" si="467"/>
        <v>77534.903999999995</v>
      </c>
      <c r="AP623" s="916">
        <f t="shared" ca="1" si="468"/>
        <v>67404.555999999997</v>
      </c>
      <c r="AQ623" s="916">
        <f t="shared" ca="1" si="469"/>
        <v>0</v>
      </c>
      <c r="AR623" s="653"/>
      <c r="AS623" s="653">
        <v>29</v>
      </c>
      <c r="AT623" s="909">
        <f t="shared" ca="1" si="428"/>
        <v>-28597.785984792317</v>
      </c>
      <c r="AU623" s="909">
        <f t="shared" si="429"/>
        <v>0</v>
      </c>
      <c r="AV623" s="909">
        <f t="shared" ca="1" si="430"/>
        <v>-6873.4456779134161</v>
      </c>
      <c r="AW623" s="909">
        <f t="shared" ca="1" si="431"/>
        <v>0</v>
      </c>
      <c r="AX623" s="909">
        <f t="shared" ca="1" si="432"/>
        <v>2574.6693552663164</v>
      </c>
      <c r="AY623" s="909">
        <f t="shared" si="433"/>
        <v>32901.654463787032</v>
      </c>
      <c r="AZ623" s="909">
        <f t="shared" ca="1" si="434"/>
        <v>-32896.56230743941</v>
      </c>
      <c r="BA623" s="653"/>
      <c r="BB623" s="653">
        <f t="shared" si="470"/>
        <v>29</v>
      </c>
      <c r="BC623" s="909">
        <f t="shared" ca="1" si="471"/>
        <v>-287287.68828915939</v>
      </c>
      <c r="BD623" s="909">
        <f t="shared" ca="1" si="472"/>
        <v>-1576119.2711999998</v>
      </c>
      <c r="BE623" s="909">
        <f t="shared" ca="1" si="473"/>
        <v>-310809.31046955305</v>
      </c>
      <c r="BF623" s="909">
        <f t="shared" ca="1" si="474"/>
        <v>675900.09064259438</v>
      </c>
      <c r="BG623" s="909">
        <f t="shared" ca="1" si="475"/>
        <v>10771.456230764752</v>
      </c>
      <c r="BH623" s="909">
        <f t="shared" si="476"/>
        <v>1487775.9845404329</v>
      </c>
      <c r="BI623" s="909">
        <f t="shared" ca="1" si="477"/>
        <v>-1487544.7230853534</v>
      </c>
      <c r="BJ623" s="909"/>
      <c r="BK623" s="653">
        <v>29</v>
      </c>
      <c r="BL623" s="909">
        <f t="shared" ca="1" si="435"/>
        <v>-67392.555999999997</v>
      </c>
      <c r="BM623" s="909">
        <f t="shared" si="436"/>
        <v>0</v>
      </c>
      <c r="BN623" s="909">
        <f t="shared" ca="1" si="437"/>
        <v>-16197.724991999999</v>
      </c>
      <c r="BO623" s="909">
        <f t="shared" ca="1" si="438"/>
        <v>0</v>
      </c>
      <c r="BP623" s="909">
        <f t="shared" ca="1" si="439"/>
        <v>6067.376992000005</v>
      </c>
      <c r="BQ623" s="909">
        <f t="shared" si="440"/>
        <v>77534.903999999995</v>
      </c>
      <c r="BR623" s="909">
        <f t="shared" ca="1" si="441"/>
        <v>-77522.903999999995</v>
      </c>
      <c r="BS623" s="653"/>
      <c r="BT623" s="653"/>
      <c r="BU623" s="653"/>
      <c r="BV623" s="654"/>
    </row>
    <row r="624" spans="2:74" x14ac:dyDescent="0.25">
      <c r="B624" s="651"/>
      <c r="C624" s="653"/>
      <c r="D624" s="653"/>
      <c r="E624" s="653"/>
      <c r="F624" s="653"/>
      <c r="G624" s="653"/>
      <c r="H624" s="653"/>
      <c r="I624" s="653"/>
      <c r="J624" s="653"/>
      <c r="K624" s="653"/>
      <c r="L624" s="653"/>
      <c r="M624" s="651">
        <v>30</v>
      </c>
      <c r="N624" s="909">
        <f t="shared" ca="1" si="442"/>
        <v>67392.555999999997</v>
      </c>
      <c r="O624" s="909">
        <f t="shared" ca="1" si="443"/>
        <v>0</v>
      </c>
      <c r="P624" s="909">
        <f t="shared" ca="1" si="444"/>
        <v>12</v>
      </c>
      <c r="Q624" s="910">
        <f t="shared" ca="1" si="445"/>
        <v>1347851.1200000015</v>
      </c>
      <c r="R624" s="909">
        <f t="shared" si="446"/>
        <v>0</v>
      </c>
      <c r="S624" s="909">
        <f t="shared" ca="1" si="447"/>
        <v>0</v>
      </c>
      <c r="T624" s="909">
        <f t="shared" ca="1" si="448"/>
        <v>0</v>
      </c>
      <c r="U624" s="909">
        <f t="shared" ca="1" si="449"/>
        <v>0</v>
      </c>
      <c r="V624" s="909">
        <f t="shared" ca="1" si="450"/>
        <v>8640</v>
      </c>
      <c r="W624" s="909">
        <f t="shared" ca="1" si="451"/>
        <v>7557.7249919999995</v>
      </c>
      <c r="X624" s="909">
        <f t="shared" ca="1" si="452"/>
        <v>83602.280992</v>
      </c>
      <c r="Y624" s="909">
        <f t="shared" ca="1" si="453"/>
        <v>0</v>
      </c>
      <c r="Z624" s="910">
        <f t="shared" ca="1" si="454"/>
        <v>-970387.58101894276</v>
      </c>
      <c r="AA624" s="909">
        <f t="shared" ca="1" si="455"/>
        <v>0</v>
      </c>
      <c r="AB624" s="910">
        <f t="shared" ca="1" si="456"/>
        <v>-970387.58101894276</v>
      </c>
      <c r="AC624" s="911">
        <f t="shared" ca="1" si="457"/>
        <v>6067.376992000005</v>
      </c>
      <c r="AD624" s="911">
        <f t="shared" ca="1" si="458"/>
        <v>31574.87353222803</v>
      </c>
      <c r="AE624" s="909">
        <f t="shared" ca="1" si="459"/>
        <v>0</v>
      </c>
      <c r="AF624" s="912">
        <f t="shared" ca="1" si="426"/>
        <v>0</v>
      </c>
      <c r="AG624" s="909">
        <f t="shared" si="460"/>
        <v>77534.903999999995</v>
      </c>
      <c r="AH624" s="917">
        <f t="shared" ca="1" si="461"/>
        <v>83602.280992</v>
      </c>
      <c r="AI624" s="909">
        <f t="shared" ca="1" si="462"/>
        <v>-83602.280992</v>
      </c>
      <c r="AJ624" s="916">
        <f t="shared" ca="1" si="463"/>
        <v>-6067.376992000005</v>
      </c>
      <c r="AK624" s="916">
        <f t="shared" ca="1" si="464"/>
        <v>-77534.903999999995</v>
      </c>
      <c r="AL624" s="909">
        <f t="shared" ca="1" si="465"/>
        <v>0</v>
      </c>
      <c r="AM624" s="918">
        <f t="shared" ca="1" si="466"/>
        <v>83602.280992</v>
      </c>
      <c r="AN624" s="915">
        <f t="shared" si="427"/>
        <v>30</v>
      </c>
      <c r="AO624" s="653">
        <f t="shared" si="467"/>
        <v>77534.903999999995</v>
      </c>
      <c r="AP624" s="916">
        <f t="shared" ca="1" si="468"/>
        <v>67404.555999999997</v>
      </c>
      <c r="AQ624" s="916">
        <f t="shared" ca="1" si="469"/>
        <v>0</v>
      </c>
      <c r="AR624" s="653"/>
      <c r="AS624" s="653">
        <v>30</v>
      </c>
      <c r="AT624" s="909">
        <f t="shared" ca="1" si="428"/>
        <v>-27764.840761934287</v>
      </c>
      <c r="AU624" s="909">
        <f t="shared" si="429"/>
        <v>0</v>
      </c>
      <c r="AV624" s="909">
        <f t="shared" ca="1" si="430"/>
        <v>-6673.2482309838988</v>
      </c>
      <c r="AW624" s="909">
        <f t="shared" ca="1" si="431"/>
        <v>0</v>
      </c>
      <c r="AX624" s="909">
        <f t="shared" ca="1" si="432"/>
        <v>2499.6789856954529</v>
      </c>
      <c r="AY624" s="909">
        <f t="shared" si="433"/>
        <v>31943.353848336927</v>
      </c>
      <c r="AZ624" s="909">
        <f t="shared" ca="1" si="434"/>
        <v>-31938.410007222734</v>
      </c>
      <c r="BA624" s="653"/>
      <c r="BB624" s="653">
        <f t="shared" si="470"/>
        <v>30</v>
      </c>
      <c r="BC624" s="909">
        <f t="shared" ca="1" si="471"/>
        <v>-315052.52905109368</v>
      </c>
      <c r="BD624" s="909">
        <f t="shared" ca="1" si="472"/>
        <v>-1576119.2711999998</v>
      </c>
      <c r="BE624" s="909">
        <f t="shared" ca="1" si="473"/>
        <v>-317482.55870053696</v>
      </c>
      <c r="BF624" s="909">
        <f t="shared" ca="1" si="474"/>
        <v>675900.09064259438</v>
      </c>
      <c r="BG624" s="909">
        <f t="shared" ca="1" si="475"/>
        <v>13271.135216460205</v>
      </c>
      <c r="BH624" s="909">
        <f t="shared" si="476"/>
        <v>1519719.3383887699</v>
      </c>
      <c r="BI624" s="909">
        <f t="shared" ca="1" si="477"/>
        <v>-1519483.1330925762</v>
      </c>
      <c r="BJ624" s="909"/>
      <c r="BK624" s="653">
        <v>30</v>
      </c>
      <c r="BL624" s="909">
        <f t="shared" ca="1" si="435"/>
        <v>-67392.555999999997</v>
      </c>
      <c r="BM624" s="909">
        <f t="shared" si="436"/>
        <v>0</v>
      </c>
      <c r="BN624" s="909">
        <f t="shared" ca="1" si="437"/>
        <v>-16197.724991999999</v>
      </c>
      <c r="BO624" s="909">
        <f t="shared" ca="1" si="438"/>
        <v>0</v>
      </c>
      <c r="BP624" s="909">
        <f t="shared" ca="1" si="439"/>
        <v>6067.376992000005</v>
      </c>
      <c r="BQ624" s="909">
        <f t="shared" si="440"/>
        <v>77534.903999999995</v>
      </c>
      <c r="BR624" s="909">
        <f t="shared" ca="1" si="441"/>
        <v>-77522.903999999995</v>
      </c>
      <c r="BS624" s="653"/>
      <c r="BT624" s="653"/>
      <c r="BU624" s="653"/>
      <c r="BV624" s="654"/>
    </row>
    <row r="625" spans="2:74" x14ac:dyDescent="0.25">
      <c r="B625" s="651"/>
      <c r="C625" s="653"/>
      <c r="D625" s="653"/>
      <c r="E625" s="653"/>
      <c r="F625" s="653"/>
      <c r="G625" s="653"/>
      <c r="H625" s="653"/>
      <c r="I625" s="653"/>
      <c r="J625" s="653"/>
      <c r="K625" s="653"/>
      <c r="L625" s="653"/>
      <c r="M625" s="651">
        <v>31</v>
      </c>
      <c r="N625" s="909">
        <f t="shared" ca="1" si="442"/>
        <v>67392.555999999997</v>
      </c>
      <c r="O625" s="909">
        <f t="shared" ca="1" si="443"/>
        <v>0</v>
      </c>
      <c r="P625" s="909">
        <f t="shared" ca="1" si="444"/>
        <v>12</v>
      </c>
      <c r="Q625" s="910">
        <f t="shared" ca="1" si="445"/>
        <v>1280458.5640000014</v>
      </c>
      <c r="R625" s="909">
        <f t="shared" si="446"/>
        <v>0</v>
      </c>
      <c r="S625" s="909">
        <f t="shared" ca="1" si="447"/>
        <v>0</v>
      </c>
      <c r="T625" s="909">
        <f t="shared" ca="1" si="448"/>
        <v>0</v>
      </c>
      <c r="U625" s="909">
        <f t="shared" ca="1" si="449"/>
        <v>0</v>
      </c>
      <c r="V625" s="909">
        <f t="shared" ca="1" si="450"/>
        <v>8640</v>
      </c>
      <c r="W625" s="909">
        <f t="shared" ca="1" si="451"/>
        <v>7557.7249919999995</v>
      </c>
      <c r="X625" s="909">
        <f t="shared" ca="1" si="452"/>
        <v>83602.280992</v>
      </c>
      <c r="Y625" s="909">
        <f t="shared" ca="1" si="453"/>
        <v>0</v>
      </c>
      <c r="Z625" s="910">
        <f t="shared" ca="1" si="454"/>
        <v>-970387.58101894276</v>
      </c>
      <c r="AA625" s="909">
        <f t="shared" ca="1" si="455"/>
        <v>0</v>
      </c>
      <c r="AB625" s="910">
        <f t="shared" ca="1" si="456"/>
        <v>-970387.58101894276</v>
      </c>
      <c r="AC625" s="911">
        <f t="shared" ca="1" si="457"/>
        <v>6067.376992000005</v>
      </c>
      <c r="AD625" s="911">
        <f t="shared" ca="1" si="458"/>
        <v>38273.747994872596</v>
      </c>
      <c r="AE625" s="909">
        <f t="shared" ca="1" si="459"/>
        <v>0</v>
      </c>
      <c r="AF625" s="912">
        <f t="shared" ca="1" si="426"/>
        <v>0</v>
      </c>
      <c r="AG625" s="909">
        <f t="shared" si="460"/>
        <v>77534.903999999995</v>
      </c>
      <c r="AH625" s="917">
        <f t="shared" ca="1" si="461"/>
        <v>83602.280992</v>
      </c>
      <c r="AI625" s="909">
        <f t="shared" ca="1" si="462"/>
        <v>-83602.280992</v>
      </c>
      <c r="AJ625" s="916">
        <f t="shared" ca="1" si="463"/>
        <v>-6067.376992000005</v>
      </c>
      <c r="AK625" s="916">
        <f t="shared" ca="1" si="464"/>
        <v>-77534.903999999995</v>
      </c>
      <c r="AL625" s="909">
        <f t="shared" ca="1" si="465"/>
        <v>0</v>
      </c>
      <c r="AM625" s="918">
        <f t="shared" ca="1" si="466"/>
        <v>83602.280992</v>
      </c>
      <c r="AN625" s="915">
        <f t="shared" si="427"/>
        <v>31</v>
      </c>
      <c r="AO625" s="653">
        <f t="shared" si="467"/>
        <v>77534.903999999995</v>
      </c>
      <c r="AP625" s="916">
        <f t="shared" ca="1" si="468"/>
        <v>67404.555999999997</v>
      </c>
      <c r="AQ625" s="916">
        <f t="shared" ca="1" si="469"/>
        <v>0</v>
      </c>
      <c r="AR625" s="653"/>
      <c r="AS625" s="653">
        <v>31</v>
      </c>
      <c r="AT625" s="909">
        <f t="shared" ca="1" si="428"/>
        <v>-26956.156079547847</v>
      </c>
      <c r="AU625" s="909">
        <f t="shared" si="429"/>
        <v>0</v>
      </c>
      <c r="AV625" s="909">
        <f t="shared" ca="1" si="430"/>
        <v>-6478.8817776542692</v>
      </c>
      <c r="AW625" s="909">
        <f t="shared" ca="1" si="431"/>
        <v>0</v>
      </c>
      <c r="AX625" s="909">
        <f t="shared" ca="1" si="432"/>
        <v>2426.87280164607</v>
      </c>
      <c r="AY625" s="909">
        <f t="shared" si="433"/>
        <v>31012.964901297979</v>
      </c>
      <c r="AZ625" s="909">
        <f t="shared" ca="1" si="434"/>
        <v>-31008.165055556045</v>
      </c>
      <c r="BA625" s="653"/>
      <c r="BB625" s="653">
        <f t="shared" si="470"/>
        <v>31</v>
      </c>
      <c r="BC625" s="909">
        <f t="shared" ca="1" si="471"/>
        <v>-342008.6851306415</v>
      </c>
      <c r="BD625" s="909">
        <f t="shared" ca="1" si="472"/>
        <v>-1576119.2711999998</v>
      </c>
      <c r="BE625" s="909">
        <f t="shared" ca="1" si="473"/>
        <v>-323961.44047819125</v>
      </c>
      <c r="BF625" s="909">
        <f t="shared" ca="1" si="474"/>
        <v>675900.09064259438</v>
      </c>
      <c r="BG625" s="909">
        <f t="shared" ca="1" si="475"/>
        <v>15698.008018106275</v>
      </c>
      <c r="BH625" s="909">
        <f t="shared" si="476"/>
        <v>1550732.3032900679</v>
      </c>
      <c r="BI625" s="909">
        <f t="shared" ca="1" si="477"/>
        <v>-1550491.2981481322</v>
      </c>
      <c r="BJ625" s="909"/>
      <c r="BK625" s="653">
        <v>31</v>
      </c>
      <c r="BL625" s="909">
        <f t="shared" ca="1" si="435"/>
        <v>-67392.555999999997</v>
      </c>
      <c r="BM625" s="909">
        <f t="shared" si="436"/>
        <v>0</v>
      </c>
      <c r="BN625" s="909">
        <f t="shared" ca="1" si="437"/>
        <v>-16197.724991999999</v>
      </c>
      <c r="BO625" s="909">
        <f t="shared" ca="1" si="438"/>
        <v>0</v>
      </c>
      <c r="BP625" s="909">
        <f t="shared" ca="1" si="439"/>
        <v>6067.376992000005</v>
      </c>
      <c r="BQ625" s="909">
        <f t="shared" si="440"/>
        <v>77534.903999999995</v>
      </c>
      <c r="BR625" s="909">
        <f t="shared" ca="1" si="441"/>
        <v>-77522.903999999995</v>
      </c>
      <c r="BS625" s="653"/>
      <c r="BT625" s="653"/>
      <c r="BU625" s="653"/>
      <c r="BV625" s="654"/>
    </row>
    <row r="626" spans="2:74" x14ac:dyDescent="0.25">
      <c r="B626" s="651"/>
      <c r="C626" s="653"/>
      <c r="D626" s="653"/>
      <c r="E626" s="653"/>
      <c r="F626" s="653"/>
      <c r="G626" s="653"/>
      <c r="H626" s="653"/>
      <c r="I626" s="653"/>
      <c r="J626" s="653"/>
      <c r="K626" s="653"/>
      <c r="L626" s="653"/>
      <c r="M626" s="651">
        <v>32</v>
      </c>
      <c r="N626" s="909">
        <f t="shared" ca="1" si="442"/>
        <v>67392.555999999997</v>
      </c>
      <c r="O626" s="909">
        <f t="shared" ca="1" si="443"/>
        <v>0</v>
      </c>
      <c r="P626" s="909">
        <f t="shared" ca="1" si="444"/>
        <v>12</v>
      </c>
      <c r="Q626" s="910">
        <f t="shared" ca="1" si="445"/>
        <v>1213066.0080000013</v>
      </c>
      <c r="R626" s="909">
        <f t="shared" si="446"/>
        <v>0</v>
      </c>
      <c r="S626" s="909">
        <f t="shared" ca="1" si="447"/>
        <v>0</v>
      </c>
      <c r="T626" s="909">
        <f t="shared" ca="1" si="448"/>
        <v>0</v>
      </c>
      <c r="U626" s="909">
        <f t="shared" ca="1" si="449"/>
        <v>0</v>
      </c>
      <c r="V626" s="909">
        <f t="shared" ca="1" si="450"/>
        <v>8640</v>
      </c>
      <c r="W626" s="909">
        <f t="shared" ca="1" si="451"/>
        <v>7557.7249919999995</v>
      </c>
      <c r="X626" s="909">
        <f t="shared" ca="1" si="452"/>
        <v>83602.280992</v>
      </c>
      <c r="Y626" s="909">
        <f t="shared" ca="1" si="453"/>
        <v>0</v>
      </c>
      <c r="Z626" s="910">
        <f t="shared" ca="1" si="454"/>
        <v>-970387.58101894276</v>
      </c>
      <c r="AA626" s="909">
        <f t="shared" ca="1" si="455"/>
        <v>0</v>
      </c>
      <c r="AB626" s="910">
        <f t="shared" ca="1" si="456"/>
        <v>-970387.58101894276</v>
      </c>
      <c r="AC626" s="911">
        <f t="shared" ca="1" si="457"/>
        <v>6067.376992000005</v>
      </c>
      <c r="AD626" s="911">
        <f t="shared" ca="1" si="458"/>
        <v>45106.599946770053</v>
      </c>
      <c r="AE626" s="909">
        <f t="shared" ca="1" si="459"/>
        <v>0</v>
      </c>
      <c r="AF626" s="912">
        <f t="shared" ref="AF626:AF644" ca="1" si="478">AE626/(1+$Q$577)^M626</f>
        <v>0</v>
      </c>
      <c r="AG626" s="909">
        <f t="shared" si="460"/>
        <v>77534.903999999995</v>
      </c>
      <c r="AH626" s="917">
        <f t="shared" ca="1" si="461"/>
        <v>83602.280992</v>
      </c>
      <c r="AI626" s="909">
        <f t="shared" ca="1" si="462"/>
        <v>-83602.280992</v>
      </c>
      <c r="AJ626" s="916">
        <f t="shared" ca="1" si="463"/>
        <v>-6067.376992000005</v>
      </c>
      <c r="AK626" s="916">
        <f t="shared" ca="1" si="464"/>
        <v>-77534.903999999995</v>
      </c>
      <c r="AL626" s="909">
        <f t="shared" ca="1" si="465"/>
        <v>0</v>
      </c>
      <c r="AM626" s="918">
        <f t="shared" ca="1" si="466"/>
        <v>83602.280992</v>
      </c>
      <c r="AN626" s="915">
        <f t="shared" ref="AN626:AN644" si="479">M626</f>
        <v>32</v>
      </c>
      <c r="AO626" s="653">
        <f t="shared" si="467"/>
        <v>77534.903999999995</v>
      </c>
      <c r="AP626" s="916">
        <f t="shared" ca="1" si="468"/>
        <v>67404.555999999997</v>
      </c>
      <c r="AQ626" s="916">
        <f t="shared" ca="1" si="469"/>
        <v>0</v>
      </c>
      <c r="AR626" s="653"/>
      <c r="AS626" s="653">
        <v>32</v>
      </c>
      <c r="AT626" s="909">
        <f t="shared" ref="AT626:AT644" ca="1" si="480">-(N626+O626)*(1+$Q$575)^-M626</f>
        <v>-26171.025319949371</v>
      </c>
      <c r="AU626" s="909">
        <f t="shared" ref="AU626:AU644" si="481">-R626*(1+$Q$575)^-M626</f>
        <v>0</v>
      </c>
      <c r="AV626" s="909">
        <f t="shared" ref="AV626:AV644" ca="1" si="482">-(V626+W626)*(1+$Q$575)^-M626</f>
        <v>-6290.1764831594865</v>
      </c>
      <c r="AW626" s="909">
        <f t="shared" ref="AW626:AW644" ca="1" si="483">-Y626*(1+$Q$575)^-M626</f>
        <v>0</v>
      </c>
      <c r="AX626" s="909">
        <f t="shared" ref="AX626:AX644" ca="1" si="484">AC626*(1+$Q$575)^-M626</f>
        <v>2356.1871860641463</v>
      </c>
      <c r="AY626" s="909">
        <f t="shared" ref="AY626:AY644" si="485">AG626*(1+$Q$575)^-M626</f>
        <v>30109.674661454355</v>
      </c>
      <c r="AZ626" s="909">
        <f t="shared" ref="AZ626:AZ644" ca="1" si="486">SUM(AT626:AX626)</f>
        <v>-30105.014617044711</v>
      </c>
      <c r="BA626" s="653"/>
      <c r="BB626" s="653">
        <f t="shared" si="470"/>
        <v>32</v>
      </c>
      <c r="BC626" s="909">
        <f t="shared" ca="1" si="471"/>
        <v>-368179.71045059088</v>
      </c>
      <c r="BD626" s="909">
        <f t="shared" ca="1" si="472"/>
        <v>-1576119.2711999998</v>
      </c>
      <c r="BE626" s="909">
        <f t="shared" ca="1" si="473"/>
        <v>-330251.61696135072</v>
      </c>
      <c r="BF626" s="909">
        <f t="shared" ca="1" si="474"/>
        <v>675900.09064259438</v>
      </c>
      <c r="BG626" s="909">
        <f t="shared" ca="1" si="475"/>
        <v>18054.195204170421</v>
      </c>
      <c r="BH626" s="909">
        <f t="shared" si="476"/>
        <v>1580841.9779515222</v>
      </c>
      <c r="BI626" s="909">
        <f t="shared" ca="1" si="477"/>
        <v>-1580596.3127651769</v>
      </c>
      <c r="BJ626" s="909"/>
      <c r="BK626" s="653">
        <v>32</v>
      </c>
      <c r="BL626" s="909">
        <f t="shared" ref="BL626:BL644" ca="1" si="487">-(N626+O626)</f>
        <v>-67392.555999999997</v>
      </c>
      <c r="BM626" s="909">
        <f t="shared" ref="BM626:BM644" si="488">-R626</f>
        <v>0</v>
      </c>
      <c r="BN626" s="909">
        <f t="shared" ref="BN626:BN644" ca="1" si="489">-(V626+W626)</f>
        <v>-16197.724991999999</v>
      </c>
      <c r="BO626" s="909">
        <f t="shared" ref="BO626:BO644" ca="1" si="490">-Y626</f>
        <v>0</v>
      </c>
      <c r="BP626" s="909">
        <f t="shared" ref="BP626:BP644" ca="1" si="491">AC626</f>
        <v>6067.376992000005</v>
      </c>
      <c r="BQ626" s="909">
        <f t="shared" ref="BQ626:BQ644" si="492">AG626</f>
        <v>77534.903999999995</v>
      </c>
      <c r="BR626" s="909">
        <f t="shared" ref="BR626:BR644" ca="1" si="493">SUM(BL626:BP626)</f>
        <v>-77522.903999999995</v>
      </c>
      <c r="BS626" s="653"/>
      <c r="BT626" s="653"/>
      <c r="BU626" s="653"/>
      <c r="BV626" s="654"/>
    </row>
    <row r="627" spans="2:74" x14ac:dyDescent="0.25">
      <c r="B627" s="651"/>
      <c r="C627" s="653"/>
      <c r="D627" s="653"/>
      <c r="E627" s="653"/>
      <c r="F627" s="653"/>
      <c r="G627" s="653"/>
      <c r="H627" s="653"/>
      <c r="I627" s="653"/>
      <c r="J627" s="653"/>
      <c r="K627" s="653"/>
      <c r="L627" s="653"/>
      <c r="M627" s="651">
        <v>33</v>
      </c>
      <c r="N627" s="909">
        <f t="shared" ref="N627:N644" ca="1" si="494">MIN(IF(Q626&lt;=0,0,IF(M627&lt;=$Y$575,$AC$575,IF(M627&lt;=$Y$576,$AC$576,IF(M627&lt;=$Y$577,$AC$577,IF(M627&lt;=$Y$578,$AC$578,IF(M627&lt;=$Y$579,$AC$579)))))),Q626)</f>
        <v>67392.555999999997</v>
      </c>
      <c r="O627" s="909">
        <f t="shared" ref="O627:O644" ca="1" si="495">MAX(MIN(AG627-X627+AC627-Y627,Q626-N627),0)</f>
        <v>0</v>
      </c>
      <c r="P627" s="909">
        <f t="shared" ref="P627:P644" ca="1" si="496">IF(Q626=0,0,Q626*$U$576+$U$574)</f>
        <v>12</v>
      </c>
      <c r="Q627" s="910">
        <f t="shared" ref="Q627:Q644" ca="1" si="497">IF(Q626=0,0,Q626-N627-O627)</f>
        <v>1145673.4520000012</v>
      </c>
      <c r="R627" s="909">
        <f t="shared" ref="R627:R644" si="498">IF(M627&lt;=$V$582,-PMT($U$582,$V$582,$S$581),0)</f>
        <v>0</v>
      </c>
      <c r="S627" s="909">
        <f t="shared" ref="S627:S644" ca="1" si="499">U626*$U$582</f>
        <v>0</v>
      </c>
      <c r="T627" s="909">
        <f t="shared" ref="T627:T644" ca="1" si="500">R627-S627</f>
        <v>0</v>
      </c>
      <c r="U627" s="909">
        <f t="shared" ref="U627:U644" ca="1" si="501">U626-T627</f>
        <v>0</v>
      </c>
      <c r="V627" s="909">
        <f t="shared" ref="V627:V644" ca="1" si="502">IF(M627&lt;=$V$583,($Q$576+$U$583)*$S$582,0)</f>
        <v>8640</v>
      </c>
      <c r="W627" s="909">
        <f t="shared" ref="W627:W644" ca="1" si="503">IF(M627&lt;=$V$584,($Q$576+$U$584)*$S$583,0)</f>
        <v>7557.7249919999995</v>
      </c>
      <c r="X627" s="909">
        <f t="shared" ref="X627:X644" ca="1" si="504">N627+R627+V627+W627+P627</f>
        <v>83602.280992</v>
      </c>
      <c r="Y627" s="909">
        <f t="shared" ref="Y627:Y644" ca="1" si="505">IF($R$580&gt;0,IF(M627&gt;=$Q$578,Z626*-1,IF(M627&gt;$W$588,IF(X627&gt;=AG627,0,IF(Z626+AG627-X627&gt;=0,-Z626,AG627-X627)),IF(AG627-X627&gt;=0,0,AG627-X627))),0)</f>
        <v>0</v>
      </c>
      <c r="Z627" s="910">
        <f t="shared" ref="Z627:Z644" ca="1" si="506">IF(Z626+Y627&gt;=0,0,Z626+Y627)</f>
        <v>-970387.58101894276</v>
      </c>
      <c r="AA627" s="909">
        <f t="shared" ref="AA627:AA644" ca="1" si="507">IF($S$580&gt;0,IF(M627&gt;$W$588,IF(X627&gt;=AG627,0,IF(AB626+AG627&gt;=0,-AB626,AG627-X627)),IF(AG627-X627&gt;=0,0,AG627-X627)),0)</f>
        <v>0</v>
      </c>
      <c r="AB627" s="910">
        <f t="shared" ref="AB627:AB644" ca="1" si="508">IF(AB626+AA627&gt;=0,0,AB626+AA627)</f>
        <v>-970387.58101894276</v>
      </c>
      <c r="AC627" s="911">
        <f t="shared" ref="AC627:AC644" ca="1" si="509">IF(M627&gt;=$Q$578,AD626*-1*(1+$Q$576),MAX(X627+Y627-AG627,AD626*-1*(1+$Q$576)))</f>
        <v>6067.376992000005</v>
      </c>
      <c r="AD627" s="911">
        <f t="shared" ref="AD627:AD644" ca="1" si="510">AC627+AD626*(1+$Q$576)</f>
        <v>52076.10893770546</v>
      </c>
      <c r="AE627" s="909">
        <f t="shared" ref="AE627:AE644" ca="1" si="511">IF(AG627-Y627-X627+AC627&lt;0,0,AG627-Y627-X627+AC627-O627)</f>
        <v>0</v>
      </c>
      <c r="AF627" s="912">
        <f t="shared" ca="1" si="478"/>
        <v>0</v>
      </c>
      <c r="AG627" s="909">
        <f t="shared" ref="AG627:AG644" si="512">$Y$587*$I$586*12</f>
        <v>77534.903999999995</v>
      </c>
      <c r="AH627" s="917">
        <f t="shared" ref="AH627:AH644" ca="1" si="513">(X627+Y627)</f>
        <v>83602.280992</v>
      </c>
      <c r="AI627" s="909">
        <f t="shared" ref="AI627:AI644" ca="1" si="514">IF(M627&gt;$Q$578,"",(X627+Y627+O627)*-1)</f>
        <v>-83602.280992</v>
      </c>
      <c r="AJ627" s="916">
        <f t="shared" ref="AJ627:AJ644" ca="1" si="515">IF(M627&gt;$Q$578,"",AI627+AG627)</f>
        <v>-6067.376992000005</v>
      </c>
      <c r="AK627" s="916">
        <f t="shared" ref="AK627:AK644" ca="1" si="516">IF(M627&gt;$Q$578,"",(N627+O627+P627+R627+V627+W627+Y627-AC627)*-1)</f>
        <v>-77534.903999999995</v>
      </c>
      <c r="AL627" s="909">
        <f t="shared" ref="AL627:AL644" ca="1" si="517">IF(M627&gt;$Q$578,"",AK627+AG627)</f>
        <v>0</v>
      </c>
      <c r="AM627" s="918">
        <f t="shared" ref="AM627:AM644" ca="1" si="518">X627+Y627+O627</f>
        <v>83602.280992</v>
      </c>
      <c r="AN627" s="915">
        <f t="shared" si="479"/>
        <v>33</v>
      </c>
      <c r="AO627" s="653">
        <f t="shared" ref="AO627:AO644" si="519">IF(M627&gt;$Q$578,"",AG627)</f>
        <v>77534.903999999995</v>
      </c>
      <c r="AP627" s="916">
        <f t="shared" ref="AP627:AP644" ca="1" si="520">IF(M627&gt;$Q$578,"",N627+O627+P627)</f>
        <v>67404.555999999997</v>
      </c>
      <c r="AQ627" s="916">
        <f t="shared" ref="AQ627:AQ644" ca="1" si="521">IF(M627&gt;$Q$578,"",Y627)</f>
        <v>0</v>
      </c>
      <c r="AR627" s="653"/>
      <c r="AS627" s="653">
        <v>33</v>
      </c>
      <c r="AT627" s="909">
        <f t="shared" ca="1" si="480"/>
        <v>-25408.762446552788</v>
      </c>
      <c r="AU627" s="909">
        <f t="shared" si="481"/>
        <v>0</v>
      </c>
      <c r="AV627" s="909">
        <f t="shared" ca="1" si="482"/>
        <v>-6106.9674593781419</v>
      </c>
      <c r="AW627" s="909">
        <f t="shared" ca="1" si="483"/>
        <v>0</v>
      </c>
      <c r="AX627" s="909">
        <f t="shared" ca="1" si="484"/>
        <v>2287.5603748195595</v>
      </c>
      <c r="AY627" s="909">
        <f t="shared" si="485"/>
        <v>29232.69384607219</v>
      </c>
      <c r="AZ627" s="909">
        <f t="shared" ca="1" si="486"/>
        <v>-29228.169531111369</v>
      </c>
      <c r="BA627" s="653"/>
      <c r="BB627" s="653">
        <f t="shared" ref="BB627:BB644" si="522">AS627</f>
        <v>33</v>
      </c>
      <c r="BC627" s="909">
        <f t="shared" ref="BC627:BC644" ca="1" si="523">BC626+AT627</f>
        <v>-393588.47289714369</v>
      </c>
      <c r="BD627" s="909">
        <f t="shared" ref="BD627:BD644" ca="1" si="524">BD626+AU627</f>
        <v>-1576119.2711999998</v>
      </c>
      <c r="BE627" s="909">
        <f t="shared" ref="BE627:BE644" ca="1" si="525">BE626+AV627</f>
        <v>-336358.58442072885</v>
      </c>
      <c r="BF627" s="909">
        <f t="shared" ref="BF627:BF644" ca="1" si="526">BF626+AW627</f>
        <v>675900.09064259438</v>
      </c>
      <c r="BG627" s="909">
        <f t="shared" ref="BG627:BG644" ca="1" si="527">BG626+AX627</f>
        <v>20341.755578989982</v>
      </c>
      <c r="BH627" s="909">
        <f t="shared" ref="BH627:BH644" si="528">BH626+AY627</f>
        <v>1610074.6717975945</v>
      </c>
      <c r="BI627" s="909">
        <f t="shared" ref="BI627:BI644" ca="1" si="529">BI626+AZ627</f>
        <v>-1609824.4822962882</v>
      </c>
      <c r="BJ627" s="909"/>
      <c r="BK627" s="653">
        <v>33</v>
      </c>
      <c r="BL627" s="909">
        <f t="shared" ca="1" si="487"/>
        <v>-67392.555999999997</v>
      </c>
      <c r="BM627" s="909">
        <f t="shared" si="488"/>
        <v>0</v>
      </c>
      <c r="BN627" s="909">
        <f t="shared" ca="1" si="489"/>
        <v>-16197.724991999999</v>
      </c>
      <c r="BO627" s="909">
        <f t="shared" ca="1" si="490"/>
        <v>0</v>
      </c>
      <c r="BP627" s="909">
        <f t="shared" ca="1" si="491"/>
        <v>6067.376992000005</v>
      </c>
      <c r="BQ627" s="909">
        <f t="shared" si="492"/>
        <v>77534.903999999995</v>
      </c>
      <c r="BR627" s="909">
        <f t="shared" ca="1" si="493"/>
        <v>-77522.903999999995</v>
      </c>
      <c r="BS627" s="653"/>
      <c r="BT627" s="653"/>
      <c r="BU627" s="653"/>
      <c r="BV627" s="654"/>
    </row>
    <row r="628" spans="2:74" x14ac:dyDescent="0.25">
      <c r="B628" s="651"/>
      <c r="C628" s="653"/>
      <c r="D628" s="653"/>
      <c r="E628" s="653"/>
      <c r="F628" s="653"/>
      <c r="G628" s="653"/>
      <c r="H628" s="653"/>
      <c r="I628" s="653"/>
      <c r="J628" s="653"/>
      <c r="K628" s="653"/>
      <c r="L628" s="653"/>
      <c r="M628" s="651">
        <v>34</v>
      </c>
      <c r="N628" s="909">
        <f t="shared" ca="1" si="494"/>
        <v>67392.555999999997</v>
      </c>
      <c r="O628" s="909">
        <f t="shared" ca="1" si="495"/>
        <v>0</v>
      </c>
      <c r="P628" s="909">
        <f t="shared" ca="1" si="496"/>
        <v>12</v>
      </c>
      <c r="Q628" s="910">
        <f t="shared" ca="1" si="497"/>
        <v>1078280.8960000011</v>
      </c>
      <c r="R628" s="909">
        <f t="shared" si="498"/>
        <v>0</v>
      </c>
      <c r="S628" s="909">
        <f t="shared" ca="1" si="499"/>
        <v>0</v>
      </c>
      <c r="T628" s="909">
        <f t="shared" ca="1" si="500"/>
        <v>0</v>
      </c>
      <c r="U628" s="909">
        <f t="shared" ca="1" si="501"/>
        <v>0</v>
      </c>
      <c r="V628" s="909">
        <f t="shared" ca="1" si="502"/>
        <v>8640</v>
      </c>
      <c r="W628" s="909">
        <f t="shared" ca="1" si="503"/>
        <v>7557.7249919999995</v>
      </c>
      <c r="X628" s="909">
        <f t="shared" ca="1" si="504"/>
        <v>83602.280992</v>
      </c>
      <c r="Y628" s="909">
        <f t="shared" ca="1" si="505"/>
        <v>0</v>
      </c>
      <c r="Z628" s="910">
        <f t="shared" ca="1" si="506"/>
        <v>-970387.58101894276</v>
      </c>
      <c r="AA628" s="909">
        <f t="shared" ca="1" si="507"/>
        <v>0</v>
      </c>
      <c r="AB628" s="910">
        <f t="shared" ca="1" si="508"/>
        <v>-970387.58101894276</v>
      </c>
      <c r="AC628" s="911">
        <f t="shared" ca="1" si="509"/>
        <v>6067.376992000005</v>
      </c>
      <c r="AD628" s="911">
        <f t="shared" ca="1" si="510"/>
        <v>59185.008108459573</v>
      </c>
      <c r="AE628" s="909">
        <f t="shared" ca="1" si="511"/>
        <v>0</v>
      </c>
      <c r="AF628" s="912">
        <f t="shared" ca="1" si="478"/>
        <v>0</v>
      </c>
      <c r="AG628" s="909">
        <f t="shared" si="512"/>
        <v>77534.903999999995</v>
      </c>
      <c r="AH628" s="917">
        <f t="shared" ca="1" si="513"/>
        <v>83602.280992</v>
      </c>
      <c r="AI628" s="909">
        <f t="shared" ca="1" si="514"/>
        <v>-83602.280992</v>
      </c>
      <c r="AJ628" s="916">
        <f t="shared" ca="1" si="515"/>
        <v>-6067.376992000005</v>
      </c>
      <c r="AK628" s="916">
        <f t="shared" ca="1" si="516"/>
        <v>-77534.903999999995</v>
      </c>
      <c r="AL628" s="909">
        <f t="shared" ca="1" si="517"/>
        <v>0</v>
      </c>
      <c r="AM628" s="918">
        <f t="shared" ca="1" si="518"/>
        <v>83602.280992</v>
      </c>
      <c r="AN628" s="915">
        <f t="shared" si="479"/>
        <v>34</v>
      </c>
      <c r="AO628" s="653">
        <f t="shared" si="519"/>
        <v>77534.903999999995</v>
      </c>
      <c r="AP628" s="916">
        <f t="shared" ca="1" si="520"/>
        <v>67404.555999999997</v>
      </c>
      <c r="AQ628" s="916">
        <f t="shared" ca="1" si="521"/>
        <v>0</v>
      </c>
      <c r="AR628" s="653"/>
      <c r="AS628" s="653">
        <v>34</v>
      </c>
      <c r="AT628" s="909">
        <f t="shared" ca="1" si="480"/>
        <v>-24668.701404420186</v>
      </c>
      <c r="AU628" s="909">
        <f t="shared" si="481"/>
        <v>0</v>
      </c>
      <c r="AV628" s="909">
        <f t="shared" ca="1" si="482"/>
        <v>-5929.0946207554789</v>
      </c>
      <c r="AW628" s="909">
        <f t="shared" ca="1" si="483"/>
        <v>0</v>
      </c>
      <c r="AX628" s="909">
        <f t="shared" ca="1" si="484"/>
        <v>2220.9324027374369</v>
      </c>
      <c r="AY628" s="909">
        <f t="shared" si="485"/>
        <v>28381.256161235142</v>
      </c>
      <c r="AZ628" s="909">
        <f t="shared" ca="1" si="486"/>
        <v>-28376.863622438228</v>
      </c>
      <c r="BA628" s="653"/>
      <c r="BB628" s="653">
        <f t="shared" si="522"/>
        <v>34</v>
      </c>
      <c r="BC628" s="909">
        <f t="shared" ca="1" si="523"/>
        <v>-418257.17430156388</v>
      </c>
      <c r="BD628" s="909">
        <f t="shared" ca="1" si="524"/>
        <v>-1576119.2711999998</v>
      </c>
      <c r="BE628" s="909">
        <f t="shared" ca="1" si="525"/>
        <v>-342287.67904148431</v>
      </c>
      <c r="BF628" s="909">
        <f t="shared" ca="1" si="526"/>
        <v>675900.09064259438</v>
      </c>
      <c r="BG628" s="909">
        <f t="shared" ca="1" si="527"/>
        <v>22562.687981727417</v>
      </c>
      <c r="BH628" s="909">
        <f t="shared" si="528"/>
        <v>1638455.9279588296</v>
      </c>
      <c r="BI628" s="909">
        <f t="shared" ca="1" si="529"/>
        <v>-1638201.3459187264</v>
      </c>
      <c r="BJ628" s="909"/>
      <c r="BK628" s="653">
        <v>34</v>
      </c>
      <c r="BL628" s="909">
        <f t="shared" ca="1" si="487"/>
        <v>-67392.555999999997</v>
      </c>
      <c r="BM628" s="909">
        <f t="shared" si="488"/>
        <v>0</v>
      </c>
      <c r="BN628" s="909">
        <f t="shared" ca="1" si="489"/>
        <v>-16197.724991999999</v>
      </c>
      <c r="BO628" s="909">
        <f t="shared" ca="1" si="490"/>
        <v>0</v>
      </c>
      <c r="BP628" s="909">
        <f t="shared" ca="1" si="491"/>
        <v>6067.376992000005</v>
      </c>
      <c r="BQ628" s="909">
        <f t="shared" si="492"/>
        <v>77534.903999999995</v>
      </c>
      <c r="BR628" s="909">
        <f t="shared" ca="1" si="493"/>
        <v>-77522.903999999995</v>
      </c>
      <c r="BS628" s="653"/>
      <c r="BT628" s="653"/>
      <c r="BU628" s="653"/>
      <c r="BV628" s="654"/>
    </row>
    <row r="629" spans="2:74" x14ac:dyDescent="0.25">
      <c r="B629" s="651"/>
      <c r="C629" s="653"/>
      <c r="D629" s="653"/>
      <c r="E629" s="653"/>
      <c r="F629" s="653"/>
      <c r="G629" s="653"/>
      <c r="H629" s="653"/>
      <c r="I629" s="653"/>
      <c r="J629" s="653"/>
      <c r="K629" s="653"/>
      <c r="L629" s="653"/>
      <c r="M629" s="651">
        <v>35</v>
      </c>
      <c r="N629" s="909">
        <f t="shared" ca="1" si="494"/>
        <v>67392.555999999997</v>
      </c>
      <c r="O629" s="909">
        <f t="shared" ca="1" si="495"/>
        <v>0</v>
      </c>
      <c r="P629" s="909">
        <f t="shared" ca="1" si="496"/>
        <v>12</v>
      </c>
      <c r="Q629" s="910">
        <f t="shared" ca="1" si="497"/>
        <v>1010888.3400000011</v>
      </c>
      <c r="R629" s="909">
        <f t="shared" si="498"/>
        <v>0</v>
      </c>
      <c r="S629" s="909">
        <f t="shared" ca="1" si="499"/>
        <v>0</v>
      </c>
      <c r="T629" s="909">
        <f t="shared" ca="1" si="500"/>
        <v>0</v>
      </c>
      <c r="U629" s="909">
        <f t="shared" ca="1" si="501"/>
        <v>0</v>
      </c>
      <c r="V629" s="909">
        <f t="shared" ca="1" si="502"/>
        <v>8640</v>
      </c>
      <c r="W629" s="909">
        <f t="shared" ca="1" si="503"/>
        <v>7557.7249919999995</v>
      </c>
      <c r="X629" s="909">
        <f t="shared" ca="1" si="504"/>
        <v>83602.280992</v>
      </c>
      <c r="Y629" s="909">
        <f t="shared" ca="1" si="505"/>
        <v>970387.58101894276</v>
      </c>
      <c r="Z629" s="910">
        <f t="shared" ca="1" si="506"/>
        <v>0</v>
      </c>
      <c r="AA629" s="909">
        <f t="shared" ca="1" si="507"/>
        <v>0</v>
      </c>
      <c r="AB629" s="910">
        <f t="shared" ca="1" si="508"/>
        <v>-970387.58101894276</v>
      </c>
      <c r="AC629" s="911">
        <f t="shared" ca="1" si="509"/>
        <v>-60368.708270628769</v>
      </c>
      <c r="AD629" s="911">
        <f t="shared" ca="1" si="510"/>
        <v>0</v>
      </c>
      <c r="AE629" s="909">
        <f t="shared" ca="1" si="511"/>
        <v>0</v>
      </c>
      <c r="AF629" s="912">
        <f t="shared" ca="1" si="478"/>
        <v>0</v>
      </c>
      <c r="AG629" s="909">
        <f t="shared" si="512"/>
        <v>77534.903999999995</v>
      </c>
      <c r="AH629" s="917">
        <f t="shared" ca="1" si="513"/>
        <v>1053989.8620109428</v>
      </c>
      <c r="AI629" s="909">
        <f t="shared" ca="1" si="514"/>
        <v>-1053989.8620109428</v>
      </c>
      <c r="AJ629" s="916">
        <f t="shared" ca="1" si="515"/>
        <v>-976454.95801094279</v>
      </c>
      <c r="AK629" s="916">
        <f t="shared" ca="1" si="516"/>
        <v>-1114358.5702815715</v>
      </c>
      <c r="AL629" s="909">
        <f t="shared" ca="1" si="517"/>
        <v>-1036823.6662815715</v>
      </c>
      <c r="AM629" s="918">
        <f t="shared" ca="1" si="518"/>
        <v>1053989.8620109428</v>
      </c>
      <c r="AN629" s="915">
        <f t="shared" si="479"/>
        <v>35</v>
      </c>
      <c r="AO629" s="653">
        <f t="shared" si="519"/>
        <v>77534.903999999995</v>
      </c>
      <c r="AP629" s="916">
        <f t="shared" ca="1" si="520"/>
        <v>67404.555999999997</v>
      </c>
      <c r="AQ629" s="916">
        <f t="shared" ca="1" si="521"/>
        <v>970387.58101894276</v>
      </c>
      <c r="AR629" s="653"/>
      <c r="AS629" s="653">
        <v>35</v>
      </c>
      <c r="AT629" s="909">
        <f t="shared" ca="1" si="480"/>
        <v>-23950.195538272019</v>
      </c>
      <c r="AU629" s="909">
        <f t="shared" si="481"/>
        <v>0</v>
      </c>
      <c r="AV629" s="909">
        <f t="shared" ca="1" si="482"/>
        <v>-5756.4025444227937</v>
      </c>
      <c r="AW629" s="909">
        <f t="shared" ca="1" si="483"/>
        <v>-344859.63573357364</v>
      </c>
      <c r="AX629" s="909">
        <f t="shared" ca="1" si="484"/>
        <v>-21454.036666519347</v>
      </c>
      <c r="AY629" s="909">
        <f t="shared" si="485"/>
        <v>27554.61763226712</v>
      </c>
      <c r="AZ629" s="909">
        <f t="shared" ca="1" si="486"/>
        <v>-396020.2704827878</v>
      </c>
      <c r="BA629" s="653"/>
      <c r="BB629" s="653">
        <f t="shared" si="522"/>
        <v>35</v>
      </c>
      <c r="BC629" s="909">
        <f t="shared" ca="1" si="523"/>
        <v>-442207.36983983591</v>
      </c>
      <c r="BD629" s="909">
        <f t="shared" ca="1" si="524"/>
        <v>-1576119.2711999998</v>
      </c>
      <c r="BE629" s="909">
        <f t="shared" ca="1" si="525"/>
        <v>-348044.08158590709</v>
      </c>
      <c r="BF629" s="909">
        <f t="shared" ca="1" si="526"/>
        <v>331040.45490902074</v>
      </c>
      <c r="BG629" s="909">
        <f t="shared" ca="1" si="527"/>
        <v>1108.6513152080697</v>
      </c>
      <c r="BH629" s="909">
        <f t="shared" si="528"/>
        <v>1666010.5455910966</v>
      </c>
      <c r="BI629" s="909">
        <f t="shared" ca="1" si="529"/>
        <v>-2034221.6164015143</v>
      </c>
      <c r="BJ629" s="909"/>
      <c r="BK629" s="653">
        <v>35</v>
      </c>
      <c r="BL629" s="909">
        <f t="shared" ca="1" si="487"/>
        <v>-67392.555999999997</v>
      </c>
      <c r="BM629" s="909">
        <f t="shared" si="488"/>
        <v>0</v>
      </c>
      <c r="BN629" s="909">
        <f t="shared" ca="1" si="489"/>
        <v>-16197.724991999999</v>
      </c>
      <c r="BO629" s="909">
        <f t="shared" ca="1" si="490"/>
        <v>-970387.58101894276</v>
      </c>
      <c r="BP629" s="909">
        <f t="shared" ca="1" si="491"/>
        <v>-60368.708270628769</v>
      </c>
      <c r="BQ629" s="909">
        <f t="shared" si="492"/>
        <v>77534.903999999995</v>
      </c>
      <c r="BR629" s="909">
        <f t="shared" ca="1" si="493"/>
        <v>-1114346.5702815715</v>
      </c>
      <c r="BS629" s="653"/>
      <c r="BT629" s="653"/>
      <c r="BU629" s="653"/>
      <c r="BV629" s="654"/>
    </row>
    <row r="630" spans="2:74" x14ac:dyDescent="0.25">
      <c r="B630" s="651"/>
      <c r="C630" s="653"/>
      <c r="D630" s="653"/>
      <c r="E630" s="653"/>
      <c r="F630" s="653"/>
      <c r="G630" s="653"/>
      <c r="H630" s="653"/>
      <c r="I630" s="653"/>
      <c r="J630" s="653"/>
      <c r="K630" s="653"/>
      <c r="L630" s="653"/>
      <c r="M630" s="651">
        <v>36</v>
      </c>
      <c r="N630" s="909">
        <f t="shared" ca="1" si="494"/>
        <v>67392.555999999997</v>
      </c>
      <c r="O630" s="909">
        <f t="shared" ca="1" si="495"/>
        <v>1490.3479999999981</v>
      </c>
      <c r="P630" s="909">
        <f t="shared" ca="1" si="496"/>
        <v>12</v>
      </c>
      <c r="Q630" s="910">
        <f t="shared" ca="1" si="497"/>
        <v>942005.43600000115</v>
      </c>
      <c r="R630" s="909">
        <f t="shared" si="498"/>
        <v>0</v>
      </c>
      <c r="S630" s="909">
        <f t="shared" ca="1" si="499"/>
        <v>0</v>
      </c>
      <c r="T630" s="909">
        <f t="shared" ca="1" si="500"/>
        <v>0</v>
      </c>
      <c r="U630" s="909">
        <f t="shared" ca="1" si="501"/>
        <v>0</v>
      </c>
      <c r="V630" s="909">
        <f t="shared" ca="1" si="502"/>
        <v>8640</v>
      </c>
      <c r="W630" s="909">
        <f t="shared" ca="1" si="503"/>
        <v>0</v>
      </c>
      <c r="X630" s="909">
        <f t="shared" ca="1" si="504"/>
        <v>76044.555999999997</v>
      </c>
      <c r="Y630" s="909">
        <f t="shared" ca="1" si="505"/>
        <v>0</v>
      </c>
      <c r="Z630" s="910">
        <f t="shared" ca="1" si="506"/>
        <v>0</v>
      </c>
      <c r="AA630" s="909">
        <f t="shared" ca="1" si="507"/>
        <v>1490.3479999999981</v>
      </c>
      <c r="AB630" s="910">
        <f t="shared" ca="1" si="508"/>
        <v>-968897.23301894276</v>
      </c>
      <c r="AC630" s="911">
        <f t="shared" ca="1" si="509"/>
        <v>0</v>
      </c>
      <c r="AD630" s="911">
        <f t="shared" ca="1" si="510"/>
        <v>0</v>
      </c>
      <c r="AE630" s="909">
        <f t="shared" ca="1" si="511"/>
        <v>0</v>
      </c>
      <c r="AF630" s="912">
        <f t="shared" ca="1" si="478"/>
        <v>0</v>
      </c>
      <c r="AG630" s="909">
        <f t="shared" si="512"/>
        <v>77534.903999999995</v>
      </c>
      <c r="AH630" s="917">
        <f t="shared" ca="1" si="513"/>
        <v>76044.555999999997</v>
      </c>
      <c r="AI630" s="909" t="str">
        <f t="shared" si="514"/>
        <v/>
      </c>
      <c r="AJ630" s="916" t="str">
        <f t="shared" si="515"/>
        <v/>
      </c>
      <c r="AK630" s="916" t="str">
        <f t="shared" si="516"/>
        <v/>
      </c>
      <c r="AL630" s="909" t="str">
        <f t="shared" si="517"/>
        <v/>
      </c>
      <c r="AM630" s="918">
        <f t="shared" ca="1" si="518"/>
        <v>77534.903999999995</v>
      </c>
      <c r="AN630" s="915">
        <f t="shared" si="479"/>
        <v>36</v>
      </c>
      <c r="AO630" s="653" t="str">
        <f t="shared" si="519"/>
        <v/>
      </c>
      <c r="AP630" s="916" t="str">
        <f t="shared" si="520"/>
        <v/>
      </c>
      <c r="AQ630" s="916" t="str">
        <f t="shared" si="521"/>
        <v/>
      </c>
      <c r="AR630" s="653"/>
      <c r="AS630" s="653">
        <v>36</v>
      </c>
      <c r="AT630" s="909">
        <f t="shared" ca="1" si="480"/>
        <v>-23766.835412066946</v>
      </c>
      <c r="AU630" s="909">
        <f t="shared" si="481"/>
        <v>0</v>
      </c>
      <c r="AV630" s="909">
        <f t="shared" ca="1" si="482"/>
        <v>-2981.0801524897734</v>
      </c>
      <c r="AW630" s="909">
        <f t="shared" ca="1" si="483"/>
        <v>0</v>
      </c>
      <c r="AX630" s="909">
        <f t="shared" ca="1" si="484"/>
        <v>0</v>
      </c>
      <c r="AY630" s="909">
        <f t="shared" si="485"/>
        <v>26752.0559536574</v>
      </c>
      <c r="AZ630" s="909">
        <f t="shared" ca="1" si="486"/>
        <v>-26747.915564556719</v>
      </c>
      <c r="BA630" s="653"/>
      <c r="BB630" s="653">
        <f t="shared" si="522"/>
        <v>36</v>
      </c>
      <c r="BC630" s="909">
        <f t="shared" ca="1" si="523"/>
        <v>-465974.20525190287</v>
      </c>
      <c r="BD630" s="909">
        <f t="shared" ca="1" si="524"/>
        <v>-1576119.2711999998</v>
      </c>
      <c r="BE630" s="909">
        <f t="shared" ca="1" si="525"/>
        <v>-351025.16173839686</v>
      </c>
      <c r="BF630" s="909">
        <f t="shared" ca="1" si="526"/>
        <v>331040.45490902074</v>
      </c>
      <c r="BG630" s="909">
        <f t="shared" ca="1" si="527"/>
        <v>1108.6513152080697</v>
      </c>
      <c r="BH630" s="909">
        <f t="shared" si="528"/>
        <v>1692762.6015447541</v>
      </c>
      <c r="BI630" s="909">
        <f t="shared" ca="1" si="529"/>
        <v>-2060969.5319660709</v>
      </c>
      <c r="BJ630" s="909"/>
      <c r="BK630" s="653">
        <v>36</v>
      </c>
      <c r="BL630" s="909">
        <f t="shared" ca="1" si="487"/>
        <v>-68882.903999999995</v>
      </c>
      <c r="BM630" s="909">
        <f t="shared" si="488"/>
        <v>0</v>
      </c>
      <c r="BN630" s="909">
        <f t="shared" ca="1" si="489"/>
        <v>-8640</v>
      </c>
      <c r="BO630" s="909">
        <f t="shared" ca="1" si="490"/>
        <v>0</v>
      </c>
      <c r="BP630" s="909">
        <f t="shared" ca="1" si="491"/>
        <v>0</v>
      </c>
      <c r="BQ630" s="909">
        <f t="shared" si="492"/>
        <v>77534.903999999995</v>
      </c>
      <c r="BR630" s="909">
        <f t="shared" ca="1" si="493"/>
        <v>-77522.903999999995</v>
      </c>
      <c r="BS630" s="653"/>
      <c r="BT630" s="653"/>
      <c r="BU630" s="653"/>
      <c r="BV630" s="654"/>
    </row>
    <row r="631" spans="2:74" x14ac:dyDescent="0.25">
      <c r="B631" s="651"/>
      <c r="C631" s="653"/>
      <c r="D631" s="653"/>
      <c r="E631" s="653"/>
      <c r="F631" s="653"/>
      <c r="G631" s="653"/>
      <c r="H631" s="653"/>
      <c r="I631" s="653"/>
      <c r="J631" s="653"/>
      <c r="K631" s="653"/>
      <c r="L631" s="653"/>
      <c r="M631" s="651">
        <v>37</v>
      </c>
      <c r="N631" s="909">
        <f t="shared" ca="1" si="494"/>
        <v>67392.555999999997</v>
      </c>
      <c r="O631" s="909">
        <f t="shared" ca="1" si="495"/>
        <v>1490.3479999999981</v>
      </c>
      <c r="P631" s="909">
        <f t="shared" ca="1" si="496"/>
        <v>12</v>
      </c>
      <c r="Q631" s="910">
        <f t="shared" ca="1" si="497"/>
        <v>873122.53200000117</v>
      </c>
      <c r="R631" s="909">
        <f t="shared" si="498"/>
        <v>0</v>
      </c>
      <c r="S631" s="909">
        <f t="shared" ca="1" si="499"/>
        <v>0</v>
      </c>
      <c r="T631" s="909">
        <f t="shared" ca="1" si="500"/>
        <v>0</v>
      </c>
      <c r="U631" s="909">
        <f t="shared" ca="1" si="501"/>
        <v>0</v>
      </c>
      <c r="V631" s="909">
        <f t="shared" ca="1" si="502"/>
        <v>8640</v>
      </c>
      <c r="W631" s="909">
        <f t="shared" ca="1" si="503"/>
        <v>0</v>
      </c>
      <c r="X631" s="909">
        <f t="shared" ca="1" si="504"/>
        <v>76044.555999999997</v>
      </c>
      <c r="Y631" s="909">
        <f t="shared" ca="1" si="505"/>
        <v>0</v>
      </c>
      <c r="Z631" s="910">
        <f t="shared" ca="1" si="506"/>
        <v>0</v>
      </c>
      <c r="AA631" s="909">
        <f t="shared" ca="1" si="507"/>
        <v>1490.3479999999981</v>
      </c>
      <c r="AB631" s="910">
        <f t="shared" ca="1" si="508"/>
        <v>-967406.88501894276</v>
      </c>
      <c r="AC631" s="911">
        <f t="shared" ca="1" si="509"/>
        <v>0</v>
      </c>
      <c r="AD631" s="911">
        <f t="shared" ca="1" si="510"/>
        <v>0</v>
      </c>
      <c r="AE631" s="909">
        <f t="shared" ca="1" si="511"/>
        <v>0</v>
      </c>
      <c r="AF631" s="912">
        <f t="shared" ca="1" si="478"/>
        <v>0</v>
      </c>
      <c r="AG631" s="909">
        <f t="shared" si="512"/>
        <v>77534.903999999995</v>
      </c>
      <c r="AH631" s="917">
        <f t="shared" ca="1" si="513"/>
        <v>76044.555999999997</v>
      </c>
      <c r="AI631" s="909" t="str">
        <f t="shared" si="514"/>
        <v/>
      </c>
      <c r="AJ631" s="916" t="str">
        <f t="shared" si="515"/>
        <v/>
      </c>
      <c r="AK631" s="916" t="str">
        <f t="shared" si="516"/>
        <v/>
      </c>
      <c r="AL631" s="909" t="str">
        <f t="shared" si="517"/>
        <v/>
      </c>
      <c r="AM631" s="918">
        <f t="shared" ca="1" si="518"/>
        <v>77534.903999999995</v>
      </c>
      <c r="AN631" s="915">
        <f t="shared" si="479"/>
        <v>37</v>
      </c>
      <c r="AO631" s="653" t="str">
        <f t="shared" si="519"/>
        <v/>
      </c>
      <c r="AP631" s="916" t="str">
        <f t="shared" si="520"/>
        <v/>
      </c>
      <c r="AQ631" s="916" t="str">
        <f t="shared" si="521"/>
        <v/>
      </c>
      <c r="AR631" s="653"/>
      <c r="AS631" s="653">
        <v>37</v>
      </c>
      <c r="AT631" s="909">
        <f t="shared" ca="1" si="480"/>
        <v>-23074.59748744364</v>
      </c>
      <c r="AU631" s="909">
        <f t="shared" si="481"/>
        <v>0</v>
      </c>
      <c r="AV631" s="909">
        <f t="shared" ca="1" si="482"/>
        <v>-2894.2525752327902</v>
      </c>
      <c r="AW631" s="909">
        <f t="shared" ca="1" si="483"/>
        <v>0</v>
      </c>
      <c r="AX631" s="909">
        <f t="shared" ca="1" si="484"/>
        <v>0</v>
      </c>
      <c r="AY631" s="909">
        <f t="shared" si="485"/>
        <v>25972.86985791981</v>
      </c>
      <c r="AZ631" s="909">
        <f t="shared" ca="1" si="486"/>
        <v>-25968.850062676429</v>
      </c>
      <c r="BA631" s="653"/>
      <c r="BB631" s="653">
        <f t="shared" si="522"/>
        <v>37</v>
      </c>
      <c r="BC631" s="909">
        <f t="shared" ca="1" si="523"/>
        <v>-489048.80273934652</v>
      </c>
      <c r="BD631" s="909">
        <f t="shared" ca="1" si="524"/>
        <v>-1576119.2711999998</v>
      </c>
      <c r="BE631" s="909">
        <f t="shared" ca="1" si="525"/>
        <v>-353919.41431362962</v>
      </c>
      <c r="BF631" s="909">
        <f t="shared" ca="1" si="526"/>
        <v>331040.45490902074</v>
      </c>
      <c r="BG631" s="909">
        <f t="shared" ca="1" si="527"/>
        <v>1108.6513152080697</v>
      </c>
      <c r="BH631" s="909">
        <f t="shared" si="528"/>
        <v>1718735.471402674</v>
      </c>
      <c r="BI631" s="909">
        <f t="shared" ca="1" si="529"/>
        <v>-2086938.3820287473</v>
      </c>
      <c r="BJ631" s="909"/>
      <c r="BK631" s="653">
        <v>37</v>
      </c>
      <c r="BL631" s="909">
        <f t="shared" ca="1" si="487"/>
        <v>-68882.903999999995</v>
      </c>
      <c r="BM631" s="909">
        <f t="shared" si="488"/>
        <v>0</v>
      </c>
      <c r="BN631" s="909">
        <f t="shared" ca="1" si="489"/>
        <v>-8640</v>
      </c>
      <c r="BO631" s="909">
        <f t="shared" ca="1" si="490"/>
        <v>0</v>
      </c>
      <c r="BP631" s="909">
        <f t="shared" ca="1" si="491"/>
        <v>0</v>
      </c>
      <c r="BQ631" s="909">
        <f t="shared" si="492"/>
        <v>77534.903999999995</v>
      </c>
      <c r="BR631" s="909">
        <f t="shared" ca="1" si="493"/>
        <v>-77522.903999999995</v>
      </c>
      <c r="BS631" s="653"/>
      <c r="BT631" s="653"/>
      <c r="BU631" s="653"/>
      <c r="BV631" s="654"/>
    </row>
    <row r="632" spans="2:74" x14ac:dyDescent="0.25">
      <c r="B632" s="651"/>
      <c r="C632" s="653"/>
      <c r="D632" s="653"/>
      <c r="E632" s="653"/>
      <c r="F632" s="653"/>
      <c r="G632" s="653"/>
      <c r="H632" s="653"/>
      <c r="I632" s="653"/>
      <c r="J632" s="653"/>
      <c r="K632" s="653"/>
      <c r="L632" s="653"/>
      <c r="M632" s="651">
        <v>38</v>
      </c>
      <c r="N632" s="909">
        <f t="shared" ca="1" si="494"/>
        <v>67392.555999999997</v>
      </c>
      <c r="O632" s="909">
        <f t="shared" ca="1" si="495"/>
        <v>1490.3479999999981</v>
      </c>
      <c r="P632" s="909">
        <f t="shared" ca="1" si="496"/>
        <v>12</v>
      </c>
      <c r="Q632" s="910">
        <f t="shared" ca="1" si="497"/>
        <v>804239.62800000119</v>
      </c>
      <c r="R632" s="909">
        <f t="shared" si="498"/>
        <v>0</v>
      </c>
      <c r="S632" s="909">
        <f t="shared" ca="1" si="499"/>
        <v>0</v>
      </c>
      <c r="T632" s="909">
        <f t="shared" ca="1" si="500"/>
        <v>0</v>
      </c>
      <c r="U632" s="909">
        <f t="shared" ca="1" si="501"/>
        <v>0</v>
      </c>
      <c r="V632" s="909">
        <f t="shared" ca="1" si="502"/>
        <v>8640</v>
      </c>
      <c r="W632" s="909">
        <f t="shared" ca="1" si="503"/>
        <v>0</v>
      </c>
      <c r="X632" s="909">
        <f t="shared" ca="1" si="504"/>
        <v>76044.555999999997</v>
      </c>
      <c r="Y632" s="909">
        <f t="shared" ca="1" si="505"/>
        <v>0</v>
      </c>
      <c r="Z632" s="910">
        <f t="shared" ca="1" si="506"/>
        <v>0</v>
      </c>
      <c r="AA632" s="909">
        <f t="shared" ca="1" si="507"/>
        <v>1490.3479999999981</v>
      </c>
      <c r="AB632" s="910">
        <f t="shared" ca="1" si="508"/>
        <v>-965916.53701894276</v>
      </c>
      <c r="AC632" s="911">
        <f t="shared" ca="1" si="509"/>
        <v>0</v>
      </c>
      <c r="AD632" s="911">
        <f t="shared" ca="1" si="510"/>
        <v>0</v>
      </c>
      <c r="AE632" s="909">
        <f t="shared" ca="1" si="511"/>
        <v>0</v>
      </c>
      <c r="AF632" s="912">
        <f t="shared" ca="1" si="478"/>
        <v>0</v>
      </c>
      <c r="AG632" s="909">
        <f t="shared" si="512"/>
        <v>77534.903999999995</v>
      </c>
      <c r="AH632" s="917">
        <f t="shared" ca="1" si="513"/>
        <v>76044.555999999997</v>
      </c>
      <c r="AI632" s="909" t="str">
        <f t="shared" si="514"/>
        <v/>
      </c>
      <c r="AJ632" s="916" t="str">
        <f t="shared" si="515"/>
        <v/>
      </c>
      <c r="AK632" s="916" t="str">
        <f t="shared" si="516"/>
        <v/>
      </c>
      <c r="AL632" s="909" t="str">
        <f t="shared" si="517"/>
        <v/>
      </c>
      <c r="AM632" s="918">
        <f t="shared" ca="1" si="518"/>
        <v>77534.903999999995</v>
      </c>
      <c r="AN632" s="915">
        <f t="shared" si="479"/>
        <v>38</v>
      </c>
      <c r="AO632" s="653" t="str">
        <f t="shared" si="519"/>
        <v/>
      </c>
      <c r="AP632" s="916" t="str">
        <f t="shared" si="520"/>
        <v/>
      </c>
      <c r="AQ632" s="916" t="str">
        <f t="shared" si="521"/>
        <v/>
      </c>
      <c r="AR632" s="653"/>
      <c r="AS632" s="653">
        <v>38</v>
      </c>
      <c r="AT632" s="909">
        <f t="shared" ca="1" si="480"/>
        <v>-22402.521832469556</v>
      </c>
      <c r="AU632" s="909">
        <f t="shared" si="481"/>
        <v>0</v>
      </c>
      <c r="AV632" s="909">
        <f t="shared" ca="1" si="482"/>
        <v>-2809.9539565366899</v>
      </c>
      <c r="AW632" s="909">
        <f t="shared" ca="1" si="483"/>
        <v>0</v>
      </c>
      <c r="AX632" s="909">
        <f t="shared" ca="1" si="484"/>
        <v>0</v>
      </c>
      <c r="AY632" s="909">
        <f t="shared" si="485"/>
        <v>25216.37850283477</v>
      </c>
      <c r="AZ632" s="909">
        <f t="shared" ca="1" si="486"/>
        <v>-25212.475789006246</v>
      </c>
      <c r="BA632" s="653"/>
      <c r="BB632" s="653">
        <f t="shared" si="522"/>
        <v>38</v>
      </c>
      <c r="BC632" s="909">
        <f t="shared" ca="1" si="523"/>
        <v>-511451.32457181608</v>
      </c>
      <c r="BD632" s="909">
        <f t="shared" ca="1" si="524"/>
        <v>-1576119.2711999998</v>
      </c>
      <c r="BE632" s="909">
        <f t="shared" ca="1" si="525"/>
        <v>-356729.36827016633</v>
      </c>
      <c r="BF632" s="909">
        <f t="shared" ca="1" si="526"/>
        <v>331040.45490902074</v>
      </c>
      <c r="BG632" s="909">
        <f t="shared" ca="1" si="527"/>
        <v>1108.6513152080697</v>
      </c>
      <c r="BH632" s="909">
        <f t="shared" si="528"/>
        <v>1743951.8499055088</v>
      </c>
      <c r="BI632" s="909">
        <f t="shared" ca="1" si="529"/>
        <v>-2112150.8578177537</v>
      </c>
      <c r="BJ632" s="909"/>
      <c r="BK632" s="653">
        <v>38</v>
      </c>
      <c r="BL632" s="909">
        <f t="shared" ca="1" si="487"/>
        <v>-68882.903999999995</v>
      </c>
      <c r="BM632" s="909">
        <f t="shared" si="488"/>
        <v>0</v>
      </c>
      <c r="BN632" s="909">
        <f t="shared" ca="1" si="489"/>
        <v>-8640</v>
      </c>
      <c r="BO632" s="909">
        <f t="shared" ca="1" si="490"/>
        <v>0</v>
      </c>
      <c r="BP632" s="909">
        <f t="shared" ca="1" si="491"/>
        <v>0</v>
      </c>
      <c r="BQ632" s="909">
        <f t="shared" si="492"/>
        <v>77534.903999999995</v>
      </c>
      <c r="BR632" s="909">
        <f t="shared" ca="1" si="493"/>
        <v>-77522.903999999995</v>
      </c>
      <c r="BS632" s="653"/>
      <c r="BT632" s="653"/>
      <c r="BU632" s="653"/>
      <c r="BV632" s="654"/>
    </row>
    <row r="633" spans="2:74" x14ac:dyDescent="0.25">
      <c r="B633" s="651"/>
      <c r="C633" s="653"/>
      <c r="D633" s="653"/>
      <c r="E633" s="653"/>
      <c r="F633" s="653"/>
      <c r="G633" s="653"/>
      <c r="H633" s="653"/>
      <c r="I633" s="653"/>
      <c r="J633" s="653"/>
      <c r="K633" s="653"/>
      <c r="L633" s="653"/>
      <c r="M633" s="651">
        <v>39</v>
      </c>
      <c r="N633" s="909">
        <f t="shared" ca="1" si="494"/>
        <v>67392.555999999997</v>
      </c>
      <c r="O633" s="909">
        <f t="shared" ca="1" si="495"/>
        <v>1490.3479999999981</v>
      </c>
      <c r="P633" s="909">
        <f t="shared" ca="1" si="496"/>
        <v>12</v>
      </c>
      <c r="Q633" s="910">
        <f t="shared" ca="1" si="497"/>
        <v>735356.72400000121</v>
      </c>
      <c r="R633" s="909">
        <f t="shared" si="498"/>
        <v>0</v>
      </c>
      <c r="S633" s="909">
        <f t="shared" ca="1" si="499"/>
        <v>0</v>
      </c>
      <c r="T633" s="909">
        <f t="shared" ca="1" si="500"/>
        <v>0</v>
      </c>
      <c r="U633" s="909">
        <f t="shared" ca="1" si="501"/>
        <v>0</v>
      </c>
      <c r="V633" s="909">
        <f t="shared" ca="1" si="502"/>
        <v>8640</v>
      </c>
      <c r="W633" s="909">
        <f t="shared" ca="1" si="503"/>
        <v>0</v>
      </c>
      <c r="X633" s="909">
        <f t="shared" ca="1" si="504"/>
        <v>76044.555999999997</v>
      </c>
      <c r="Y633" s="909">
        <f t="shared" ca="1" si="505"/>
        <v>0</v>
      </c>
      <c r="Z633" s="910">
        <f t="shared" ca="1" si="506"/>
        <v>0</v>
      </c>
      <c r="AA633" s="909">
        <f t="shared" ca="1" si="507"/>
        <v>1490.3479999999981</v>
      </c>
      <c r="AB633" s="910">
        <f t="shared" ca="1" si="508"/>
        <v>-964426.18901894276</v>
      </c>
      <c r="AC633" s="911">
        <f t="shared" ca="1" si="509"/>
        <v>0</v>
      </c>
      <c r="AD633" s="911">
        <f t="shared" ca="1" si="510"/>
        <v>0</v>
      </c>
      <c r="AE633" s="909">
        <f t="shared" ca="1" si="511"/>
        <v>0</v>
      </c>
      <c r="AF633" s="912">
        <f t="shared" ca="1" si="478"/>
        <v>0</v>
      </c>
      <c r="AG633" s="909">
        <f t="shared" si="512"/>
        <v>77534.903999999995</v>
      </c>
      <c r="AH633" s="917">
        <f t="shared" ca="1" si="513"/>
        <v>76044.555999999997</v>
      </c>
      <c r="AI633" s="909" t="str">
        <f t="shared" si="514"/>
        <v/>
      </c>
      <c r="AJ633" s="916" t="str">
        <f t="shared" si="515"/>
        <v/>
      </c>
      <c r="AK633" s="916" t="str">
        <f t="shared" si="516"/>
        <v/>
      </c>
      <c r="AL633" s="909" t="str">
        <f t="shared" si="517"/>
        <v/>
      </c>
      <c r="AM633" s="918">
        <f t="shared" ca="1" si="518"/>
        <v>77534.903999999995</v>
      </c>
      <c r="AN633" s="915">
        <f t="shared" si="479"/>
        <v>39</v>
      </c>
      <c r="AO633" s="653" t="str">
        <f t="shared" si="519"/>
        <v/>
      </c>
      <c r="AP633" s="916" t="str">
        <f t="shared" si="520"/>
        <v/>
      </c>
      <c r="AQ633" s="916" t="str">
        <f t="shared" si="521"/>
        <v/>
      </c>
      <c r="AR633" s="653"/>
      <c r="AS633" s="653">
        <v>39</v>
      </c>
      <c r="AT633" s="909">
        <f t="shared" ca="1" si="480"/>
        <v>-21750.021196572379</v>
      </c>
      <c r="AU633" s="909">
        <f t="shared" si="481"/>
        <v>0</v>
      </c>
      <c r="AV633" s="909">
        <f t="shared" ca="1" si="482"/>
        <v>-2728.1106374142614</v>
      </c>
      <c r="AW633" s="909">
        <f t="shared" ca="1" si="483"/>
        <v>0</v>
      </c>
      <c r="AX633" s="909">
        <f t="shared" ca="1" si="484"/>
        <v>0</v>
      </c>
      <c r="AY633" s="909">
        <f t="shared" si="485"/>
        <v>24481.920876538607</v>
      </c>
      <c r="AZ633" s="909">
        <f t="shared" ca="1" si="486"/>
        <v>-24478.131833986641</v>
      </c>
      <c r="BA633" s="653"/>
      <c r="BB633" s="653">
        <f t="shared" si="522"/>
        <v>39</v>
      </c>
      <c r="BC633" s="909">
        <f t="shared" ca="1" si="523"/>
        <v>-533201.34576838848</v>
      </c>
      <c r="BD633" s="909">
        <f t="shared" ca="1" si="524"/>
        <v>-1576119.2711999998</v>
      </c>
      <c r="BE633" s="909">
        <f t="shared" ca="1" si="525"/>
        <v>-359457.4789075806</v>
      </c>
      <c r="BF633" s="909">
        <f t="shared" ca="1" si="526"/>
        <v>331040.45490902074</v>
      </c>
      <c r="BG633" s="909">
        <f t="shared" ca="1" si="527"/>
        <v>1108.6513152080697</v>
      </c>
      <c r="BH633" s="909">
        <f t="shared" si="528"/>
        <v>1768433.7707820474</v>
      </c>
      <c r="BI633" s="909">
        <f t="shared" ca="1" si="529"/>
        <v>-2136628.9896517405</v>
      </c>
      <c r="BJ633" s="909"/>
      <c r="BK633" s="653">
        <v>39</v>
      </c>
      <c r="BL633" s="909">
        <f t="shared" ca="1" si="487"/>
        <v>-68882.903999999995</v>
      </c>
      <c r="BM633" s="909">
        <f t="shared" si="488"/>
        <v>0</v>
      </c>
      <c r="BN633" s="909">
        <f t="shared" ca="1" si="489"/>
        <v>-8640</v>
      </c>
      <c r="BO633" s="909">
        <f t="shared" ca="1" si="490"/>
        <v>0</v>
      </c>
      <c r="BP633" s="909">
        <f t="shared" ca="1" si="491"/>
        <v>0</v>
      </c>
      <c r="BQ633" s="909">
        <f t="shared" si="492"/>
        <v>77534.903999999995</v>
      </c>
      <c r="BR633" s="909">
        <f t="shared" ca="1" si="493"/>
        <v>-77522.903999999995</v>
      </c>
      <c r="BS633" s="653"/>
      <c r="BT633" s="653"/>
      <c r="BU633" s="653"/>
      <c r="BV633" s="654"/>
    </row>
    <row r="634" spans="2:74" x14ac:dyDescent="0.25">
      <c r="B634" s="651"/>
      <c r="C634" s="653"/>
      <c r="D634" s="653"/>
      <c r="E634" s="653"/>
      <c r="F634" s="653"/>
      <c r="G634" s="653"/>
      <c r="H634" s="653"/>
      <c r="I634" s="653"/>
      <c r="J634" s="653"/>
      <c r="K634" s="653"/>
      <c r="L634" s="653"/>
      <c r="M634" s="651">
        <v>40</v>
      </c>
      <c r="N634" s="909">
        <f t="shared" ca="1" si="494"/>
        <v>67392.555999999997</v>
      </c>
      <c r="O634" s="909">
        <f t="shared" ca="1" si="495"/>
        <v>1490.3479999999981</v>
      </c>
      <c r="P634" s="909">
        <f t="shared" ca="1" si="496"/>
        <v>12</v>
      </c>
      <c r="Q634" s="910">
        <f t="shared" ca="1" si="497"/>
        <v>666473.82000000123</v>
      </c>
      <c r="R634" s="909">
        <f t="shared" si="498"/>
        <v>0</v>
      </c>
      <c r="S634" s="909">
        <f t="shared" ca="1" si="499"/>
        <v>0</v>
      </c>
      <c r="T634" s="909">
        <f t="shared" ca="1" si="500"/>
        <v>0</v>
      </c>
      <c r="U634" s="909">
        <f t="shared" ca="1" si="501"/>
        <v>0</v>
      </c>
      <c r="V634" s="909">
        <f t="shared" ca="1" si="502"/>
        <v>8640</v>
      </c>
      <c r="W634" s="909">
        <f t="shared" ca="1" si="503"/>
        <v>0</v>
      </c>
      <c r="X634" s="909">
        <f t="shared" ca="1" si="504"/>
        <v>76044.555999999997</v>
      </c>
      <c r="Y634" s="909">
        <f t="shared" ca="1" si="505"/>
        <v>0</v>
      </c>
      <c r="Z634" s="910">
        <f t="shared" ca="1" si="506"/>
        <v>0</v>
      </c>
      <c r="AA634" s="909">
        <f t="shared" ca="1" si="507"/>
        <v>1490.3479999999981</v>
      </c>
      <c r="AB634" s="910">
        <f t="shared" ca="1" si="508"/>
        <v>-962935.84101894277</v>
      </c>
      <c r="AC634" s="911">
        <f t="shared" ca="1" si="509"/>
        <v>0</v>
      </c>
      <c r="AD634" s="911">
        <f t="shared" ca="1" si="510"/>
        <v>0</v>
      </c>
      <c r="AE634" s="909">
        <f t="shared" ca="1" si="511"/>
        <v>0</v>
      </c>
      <c r="AF634" s="912">
        <f t="shared" ca="1" si="478"/>
        <v>0</v>
      </c>
      <c r="AG634" s="909">
        <f t="shared" si="512"/>
        <v>77534.903999999995</v>
      </c>
      <c r="AH634" s="917">
        <f t="shared" ca="1" si="513"/>
        <v>76044.555999999997</v>
      </c>
      <c r="AI634" s="909" t="str">
        <f t="shared" si="514"/>
        <v/>
      </c>
      <c r="AJ634" s="916" t="str">
        <f t="shared" si="515"/>
        <v/>
      </c>
      <c r="AK634" s="916" t="str">
        <f t="shared" si="516"/>
        <v/>
      </c>
      <c r="AL634" s="909" t="str">
        <f t="shared" si="517"/>
        <v/>
      </c>
      <c r="AM634" s="918">
        <f t="shared" ca="1" si="518"/>
        <v>77534.903999999995</v>
      </c>
      <c r="AN634" s="915">
        <f t="shared" si="479"/>
        <v>40</v>
      </c>
      <c r="AO634" s="653" t="str">
        <f t="shared" si="519"/>
        <v/>
      </c>
      <c r="AP634" s="916" t="str">
        <f t="shared" si="520"/>
        <v/>
      </c>
      <c r="AQ634" s="916" t="str">
        <f t="shared" si="521"/>
        <v/>
      </c>
      <c r="AR634" s="653"/>
      <c r="AS634" s="653">
        <v>40</v>
      </c>
      <c r="AT634" s="909">
        <f t="shared" ca="1" si="480"/>
        <v>-21116.525433565421</v>
      </c>
      <c r="AU634" s="909">
        <f t="shared" si="481"/>
        <v>0</v>
      </c>
      <c r="AV634" s="909">
        <f t="shared" ca="1" si="482"/>
        <v>-2648.651104285691</v>
      </c>
      <c r="AW634" s="909">
        <f t="shared" ca="1" si="483"/>
        <v>0</v>
      </c>
      <c r="AX634" s="909">
        <f t="shared" ca="1" si="484"/>
        <v>0</v>
      </c>
      <c r="AY634" s="909">
        <f t="shared" si="485"/>
        <v>23768.855219940397</v>
      </c>
      <c r="AZ634" s="909">
        <f t="shared" ca="1" si="486"/>
        <v>-23765.176537851112</v>
      </c>
      <c r="BA634" s="653"/>
      <c r="BB634" s="653">
        <f t="shared" si="522"/>
        <v>40</v>
      </c>
      <c r="BC634" s="909">
        <f t="shared" ca="1" si="523"/>
        <v>-554317.87120195385</v>
      </c>
      <c r="BD634" s="909">
        <f t="shared" ca="1" si="524"/>
        <v>-1576119.2711999998</v>
      </c>
      <c r="BE634" s="909">
        <f t="shared" ca="1" si="525"/>
        <v>-362106.13001186628</v>
      </c>
      <c r="BF634" s="909">
        <f t="shared" ca="1" si="526"/>
        <v>331040.45490902074</v>
      </c>
      <c r="BG634" s="909">
        <f t="shared" ca="1" si="527"/>
        <v>1108.6513152080697</v>
      </c>
      <c r="BH634" s="909">
        <f t="shared" si="528"/>
        <v>1792202.6260019878</v>
      </c>
      <c r="BI634" s="909">
        <f t="shared" ca="1" si="529"/>
        <v>-2160394.1661895919</v>
      </c>
      <c r="BJ634" s="909"/>
      <c r="BK634" s="653">
        <v>40</v>
      </c>
      <c r="BL634" s="909">
        <f t="shared" ca="1" si="487"/>
        <v>-68882.903999999995</v>
      </c>
      <c r="BM634" s="909">
        <f t="shared" si="488"/>
        <v>0</v>
      </c>
      <c r="BN634" s="909">
        <f t="shared" ca="1" si="489"/>
        <v>-8640</v>
      </c>
      <c r="BO634" s="909">
        <f t="shared" ca="1" si="490"/>
        <v>0</v>
      </c>
      <c r="BP634" s="909">
        <f t="shared" ca="1" si="491"/>
        <v>0</v>
      </c>
      <c r="BQ634" s="909">
        <f t="shared" si="492"/>
        <v>77534.903999999995</v>
      </c>
      <c r="BR634" s="909">
        <f t="shared" ca="1" si="493"/>
        <v>-77522.903999999995</v>
      </c>
      <c r="BS634" s="653"/>
      <c r="BT634" s="653"/>
      <c r="BU634" s="653"/>
      <c r="BV634" s="654"/>
    </row>
    <row r="635" spans="2:74" x14ac:dyDescent="0.25">
      <c r="B635" s="651"/>
      <c r="C635" s="653"/>
      <c r="D635" s="653"/>
      <c r="E635" s="653"/>
      <c r="F635" s="653"/>
      <c r="G635" s="653"/>
      <c r="H635" s="653"/>
      <c r="I635" s="653"/>
      <c r="J635" s="653"/>
      <c r="K635" s="653"/>
      <c r="L635" s="653"/>
      <c r="M635" s="651">
        <v>41</v>
      </c>
      <c r="N635" s="909">
        <f t="shared" ca="1" si="494"/>
        <v>67392.555999999997</v>
      </c>
      <c r="O635" s="909">
        <f t="shared" ca="1" si="495"/>
        <v>1490.3479999999981</v>
      </c>
      <c r="P635" s="909">
        <f t="shared" ca="1" si="496"/>
        <v>12</v>
      </c>
      <c r="Q635" s="910">
        <f t="shared" ca="1" si="497"/>
        <v>597590.91600000125</v>
      </c>
      <c r="R635" s="909">
        <f t="shared" si="498"/>
        <v>0</v>
      </c>
      <c r="S635" s="909">
        <f t="shared" ca="1" si="499"/>
        <v>0</v>
      </c>
      <c r="T635" s="909">
        <f t="shared" ca="1" si="500"/>
        <v>0</v>
      </c>
      <c r="U635" s="909">
        <f t="shared" ca="1" si="501"/>
        <v>0</v>
      </c>
      <c r="V635" s="909">
        <f t="shared" ca="1" si="502"/>
        <v>8640</v>
      </c>
      <c r="W635" s="909">
        <f t="shared" ca="1" si="503"/>
        <v>0</v>
      </c>
      <c r="X635" s="909">
        <f t="shared" ca="1" si="504"/>
        <v>76044.555999999997</v>
      </c>
      <c r="Y635" s="909">
        <f t="shared" ca="1" si="505"/>
        <v>0</v>
      </c>
      <c r="Z635" s="910">
        <f t="shared" ca="1" si="506"/>
        <v>0</v>
      </c>
      <c r="AA635" s="909">
        <f t="shared" ca="1" si="507"/>
        <v>1490.3479999999981</v>
      </c>
      <c r="AB635" s="910">
        <f t="shared" ca="1" si="508"/>
        <v>-961445.49301894277</v>
      </c>
      <c r="AC635" s="911">
        <f t="shared" ca="1" si="509"/>
        <v>0</v>
      </c>
      <c r="AD635" s="911">
        <f t="shared" ca="1" si="510"/>
        <v>0</v>
      </c>
      <c r="AE635" s="909">
        <f t="shared" ca="1" si="511"/>
        <v>0</v>
      </c>
      <c r="AF635" s="912">
        <f t="shared" ca="1" si="478"/>
        <v>0</v>
      </c>
      <c r="AG635" s="909">
        <f t="shared" si="512"/>
        <v>77534.903999999995</v>
      </c>
      <c r="AH635" s="917">
        <f t="shared" ca="1" si="513"/>
        <v>76044.555999999997</v>
      </c>
      <c r="AI635" s="909" t="str">
        <f t="shared" si="514"/>
        <v/>
      </c>
      <c r="AJ635" s="916" t="str">
        <f t="shared" si="515"/>
        <v/>
      </c>
      <c r="AK635" s="916" t="str">
        <f t="shared" si="516"/>
        <v/>
      </c>
      <c r="AL635" s="909" t="str">
        <f t="shared" si="517"/>
        <v/>
      </c>
      <c r="AM635" s="918">
        <f t="shared" ca="1" si="518"/>
        <v>77534.903999999995</v>
      </c>
      <c r="AN635" s="915">
        <f t="shared" si="479"/>
        <v>41</v>
      </c>
      <c r="AO635" s="653" t="str">
        <f t="shared" si="519"/>
        <v/>
      </c>
      <c r="AP635" s="916" t="str">
        <f t="shared" si="520"/>
        <v/>
      </c>
      <c r="AQ635" s="916" t="str">
        <f t="shared" si="521"/>
        <v/>
      </c>
      <c r="AR635" s="653"/>
      <c r="AS635" s="653">
        <v>41</v>
      </c>
      <c r="AT635" s="909">
        <f t="shared" ca="1" si="480"/>
        <v>-20501.481003461573</v>
      </c>
      <c r="AU635" s="909">
        <f t="shared" si="481"/>
        <v>0</v>
      </c>
      <c r="AV635" s="909">
        <f t="shared" ca="1" si="482"/>
        <v>-2571.5059264909623</v>
      </c>
      <c r="AW635" s="909">
        <f t="shared" ca="1" si="483"/>
        <v>0</v>
      </c>
      <c r="AX635" s="909">
        <f t="shared" ca="1" si="484"/>
        <v>0</v>
      </c>
      <c r="AY635" s="909">
        <f t="shared" si="485"/>
        <v>23076.558465961552</v>
      </c>
      <c r="AZ635" s="909">
        <f t="shared" ca="1" si="486"/>
        <v>-23072.986929952534</v>
      </c>
      <c r="BA635" s="653"/>
      <c r="BB635" s="653">
        <f t="shared" si="522"/>
        <v>41</v>
      </c>
      <c r="BC635" s="909">
        <f t="shared" ca="1" si="523"/>
        <v>-574819.35220541537</v>
      </c>
      <c r="BD635" s="909">
        <f t="shared" ca="1" si="524"/>
        <v>-1576119.2711999998</v>
      </c>
      <c r="BE635" s="909">
        <f t="shared" ca="1" si="525"/>
        <v>-364677.63593835721</v>
      </c>
      <c r="BF635" s="909">
        <f t="shared" ca="1" si="526"/>
        <v>331040.45490902074</v>
      </c>
      <c r="BG635" s="909">
        <f t="shared" ca="1" si="527"/>
        <v>1108.6513152080697</v>
      </c>
      <c r="BH635" s="909">
        <f t="shared" si="528"/>
        <v>1815279.1844679494</v>
      </c>
      <c r="BI635" s="909">
        <f t="shared" ca="1" si="529"/>
        <v>-2183467.1531195445</v>
      </c>
      <c r="BJ635" s="909"/>
      <c r="BK635" s="653">
        <v>41</v>
      </c>
      <c r="BL635" s="909">
        <f t="shared" ca="1" si="487"/>
        <v>-68882.903999999995</v>
      </c>
      <c r="BM635" s="909">
        <f t="shared" si="488"/>
        <v>0</v>
      </c>
      <c r="BN635" s="909">
        <f t="shared" ca="1" si="489"/>
        <v>-8640</v>
      </c>
      <c r="BO635" s="909">
        <f t="shared" ca="1" si="490"/>
        <v>0</v>
      </c>
      <c r="BP635" s="909">
        <f t="shared" ca="1" si="491"/>
        <v>0</v>
      </c>
      <c r="BQ635" s="909">
        <f t="shared" si="492"/>
        <v>77534.903999999995</v>
      </c>
      <c r="BR635" s="909">
        <f t="shared" ca="1" si="493"/>
        <v>-77522.903999999995</v>
      </c>
      <c r="BS635" s="653"/>
      <c r="BT635" s="653"/>
      <c r="BU635" s="653"/>
      <c r="BV635" s="654"/>
    </row>
    <row r="636" spans="2:74" x14ac:dyDescent="0.25">
      <c r="B636" s="651"/>
      <c r="C636" s="653"/>
      <c r="D636" s="653"/>
      <c r="E636" s="653"/>
      <c r="F636" s="653"/>
      <c r="G636" s="653"/>
      <c r="H636" s="653"/>
      <c r="I636" s="653"/>
      <c r="J636" s="653"/>
      <c r="K636" s="653"/>
      <c r="L636" s="653"/>
      <c r="M636" s="651">
        <v>42</v>
      </c>
      <c r="N636" s="909">
        <f t="shared" ca="1" si="494"/>
        <v>67392.555999999997</v>
      </c>
      <c r="O636" s="909">
        <f t="shared" ca="1" si="495"/>
        <v>1490.3479999999981</v>
      </c>
      <c r="P636" s="909">
        <f t="shared" ca="1" si="496"/>
        <v>12</v>
      </c>
      <c r="Q636" s="910">
        <f t="shared" ca="1" si="497"/>
        <v>528708.01200000127</v>
      </c>
      <c r="R636" s="909">
        <f t="shared" si="498"/>
        <v>0</v>
      </c>
      <c r="S636" s="909">
        <f t="shared" ca="1" si="499"/>
        <v>0</v>
      </c>
      <c r="T636" s="909">
        <f t="shared" ca="1" si="500"/>
        <v>0</v>
      </c>
      <c r="U636" s="909">
        <f t="shared" ca="1" si="501"/>
        <v>0</v>
      </c>
      <c r="V636" s="909">
        <f t="shared" ca="1" si="502"/>
        <v>8640</v>
      </c>
      <c r="W636" s="909">
        <f t="shared" ca="1" si="503"/>
        <v>0</v>
      </c>
      <c r="X636" s="909">
        <f t="shared" ca="1" si="504"/>
        <v>76044.555999999997</v>
      </c>
      <c r="Y636" s="909">
        <f t="shared" ca="1" si="505"/>
        <v>0</v>
      </c>
      <c r="Z636" s="910">
        <f t="shared" ca="1" si="506"/>
        <v>0</v>
      </c>
      <c r="AA636" s="909">
        <f t="shared" ca="1" si="507"/>
        <v>1490.3479999999981</v>
      </c>
      <c r="AB636" s="910">
        <f t="shared" ca="1" si="508"/>
        <v>-959955.14501894277</v>
      </c>
      <c r="AC636" s="911">
        <f t="shared" ca="1" si="509"/>
        <v>0</v>
      </c>
      <c r="AD636" s="911">
        <f t="shared" ca="1" si="510"/>
        <v>0</v>
      </c>
      <c r="AE636" s="909">
        <f t="shared" ca="1" si="511"/>
        <v>0</v>
      </c>
      <c r="AF636" s="912">
        <f t="shared" ca="1" si="478"/>
        <v>0</v>
      </c>
      <c r="AG636" s="909">
        <f t="shared" si="512"/>
        <v>77534.903999999995</v>
      </c>
      <c r="AH636" s="917">
        <f t="shared" ca="1" si="513"/>
        <v>76044.555999999997</v>
      </c>
      <c r="AI636" s="909" t="str">
        <f t="shared" si="514"/>
        <v/>
      </c>
      <c r="AJ636" s="916" t="str">
        <f t="shared" si="515"/>
        <v/>
      </c>
      <c r="AK636" s="916" t="str">
        <f t="shared" si="516"/>
        <v/>
      </c>
      <c r="AL636" s="909" t="str">
        <f t="shared" si="517"/>
        <v/>
      </c>
      <c r="AM636" s="918">
        <f t="shared" ca="1" si="518"/>
        <v>77534.903999999995</v>
      </c>
      <c r="AN636" s="915">
        <f t="shared" si="479"/>
        <v>42</v>
      </c>
      <c r="AO636" s="653" t="str">
        <f t="shared" si="519"/>
        <v/>
      </c>
      <c r="AP636" s="916" t="str">
        <f t="shared" si="520"/>
        <v/>
      </c>
      <c r="AQ636" s="916" t="str">
        <f t="shared" si="521"/>
        <v/>
      </c>
      <c r="AR636" s="653"/>
      <c r="AS636" s="653">
        <v>42</v>
      </c>
      <c r="AT636" s="909">
        <f t="shared" ca="1" si="480"/>
        <v>-19904.350488797641</v>
      </c>
      <c r="AU636" s="909">
        <f t="shared" si="481"/>
        <v>0</v>
      </c>
      <c r="AV636" s="909">
        <f t="shared" ca="1" si="482"/>
        <v>-2496.6076956222932</v>
      </c>
      <c r="AW636" s="909">
        <f t="shared" ca="1" si="483"/>
        <v>0</v>
      </c>
      <c r="AX636" s="909">
        <f t="shared" ca="1" si="484"/>
        <v>0</v>
      </c>
      <c r="AY636" s="909">
        <f t="shared" si="485"/>
        <v>22404.425695108301</v>
      </c>
      <c r="AZ636" s="909">
        <f t="shared" ca="1" si="486"/>
        <v>-22400.958184419935</v>
      </c>
      <c r="BA636" s="653"/>
      <c r="BB636" s="653">
        <f t="shared" si="522"/>
        <v>42</v>
      </c>
      <c r="BC636" s="909">
        <f t="shared" ca="1" si="523"/>
        <v>-594723.70269421302</v>
      </c>
      <c r="BD636" s="909">
        <f t="shared" ca="1" si="524"/>
        <v>-1576119.2711999998</v>
      </c>
      <c r="BE636" s="909">
        <f t="shared" ca="1" si="525"/>
        <v>-367174.24363397952</v>
      </c>
      <c r="BF636" s="909">
        <f t="shared" ca="1" si="526"/>
        <v>331040.45490902074</v>
      </c>
      <c r="BG636" s="909">
        <f t="shared" ca="1" si="527"/>
        <v>1108.6513152080697</v>
      </c>
      <c r="BH636" s="909">
        <f t="shared" si="528"/>
        <v>1837683.6101630577</v>
      </c>
      <c r="BI636" s="909">
        <f t="shared" ca="1" si="529"/>
        <v>-2205868.1113039646</v>
      </c>
      <c r="BJ636" s="909"/>
      <c r="BK636" s="653">
        <v>42</v>
      </c>
      <c r="BL636" s="909">
        <f t="shared" ca="1" si="487"/>
        <v>-68882.903999999995</v>
      </c>
      <c r="BM636" s="909">
        <f t="shared" si="488"/>
        <v>0</v>
      </c>
      <c r="BN636" s="909">
        <f t="shared" ca="1" si="489"/>
        <v>-8640</v>
      </c>
      <c r="BO636" s="909">
        <f t="shared" ca="1" si="490"/>
        <v>0</v>
      </c>
      <c r="BP636" s="909">
        <f t="shared" ca="1" si="491"/>
        <v>0</v>
      </c>
      <c r="BQ636" s="909">
        <f t="shared" si="492"/>
        <v>77534.903999999995</v>
      </c>
      <c r="BR636" s="909">
        <f t="shared" ca="1" si="493"/>
        <v>-77522.903999999995</v>
      </c>
      <c r="BS636" s="653"/>
      <c r="BT636" s="653"/>
      <c r="BU636" s="653"/>
      <c r="BV636" s="654"/>
    </row>
    <row r="637" spans="2:74" x14ac:dyDescent="0.25">
      <c r="B637" s="651"/>
      <c r="C637" s="653"/>
      <c r="D637" s="653"/>
      <c r="E637" s="653"/>
      <c r="F637" s="653"/>
      <c r="G637" s="653"/>
      <c r="H637" s="653"/>
      <c r="I637" s="653"/>
      <c r="J637" s="653"/>
      <c r="K637" s="653"/>
      <c r="L637" s="653"/>
      <c r="M637" s="651">
        <v>43</v>
      </c>
      <c r="N637" s="909">
        <f t="shared" ca="1" si="494"/>
        <v>67392.555999999997</v>
      </c>
      <c r="O637" s="909">
        <f t="shared" ca="1" si="495"/>
        <v>1490.3479999999981</v>
      </c>
      <c r="P637" s="909">
        <f t="shared" ca="1" si="496"/>
        <v>12</v>
      </c>
      <c r="Q637" s="910">
        <f t="shared" ca="1" si="497"/>
        <v>459825.10800000129</v>
      </c>
      <c r="R637" s="909">
        <f t="shared" si="498"/>
        <v>0</v>
      </c>
      <c r="S637" s="909">
        <f t="shared" ca="1" si="499"/>
        <v>0</v>
      </c>
      <c r="T637" s="909">
        <f t="shared" ca="1" si="500"/>
        <v>0</v>
      </c>
      <c r="U637" s="909">
        <f t="shared" ca="1" si="501"/>
        <v>0</v>
      </c>
      <c r="V637" s="909">
        <f t="shared" ca="1" si="502"/>
        <v>8640</v>
      </c>
      <c r="W637" s="909">
        <f t="shared" ca="1" si="503"/>
        <v>0</v>
      </c>
      <c r="X637" s="909">
        <f t="shared" ca="1" si="504"/>
        <v>76044.555999999997</v>
      </c>
      <c r="Y637" s="909">
        <f t="shared" ca="1" si="505"/>
        <v>0</v>
      </c>
      <c r="Z637" s="910">
        <f t="shared" ca="1" si="506"/>
        <v>0</v>
      </c>
      <c r="AA637" s="909">
        <f t="shared" ca="1" si="507"/>
        <v>1490.3479999999981</v>
      </c>
      <c r="AB637" s="910">
        <f t="shared" ca="1" si="508"/>
        <v>-958464.79701894277</v>
      </c>
      <c r="AC637" s="911">
        <f t="shared" ca="1" si="509"/>
        <v>0</v>
      </c>
      <c r="AD637" s="911">
        <f t="shared" ca="1" si="510"/>
        <v>0</v>
      </c>
      <c r="AE637" s="909">
        <f t="shared" ca="1" si="511"/>
        <v>0</v>
      </c>
      <c r="AF637" s="912">
        <f t="shared" ca="1" si="478"/>
        <v>0</v>
      </c>
      <c r="AG637" s="909">
        <f t="shared" si="512"/>
        <v>77534.903999999995</v>
      </c>
      <c r="AH637" s="917">
        <f t="shared" ca="1" si="513"/>
        <v>76044.555999999997</v>
      </c>
      <c r="AI637" s="909" t="str">
        <f t="shared" si="514"/>
        <v/>
      </c>
      <c r="AJ637" s="916" t="str">
        <f t="shared" si="515"/>
        <v/>
      </c>
      <c r="AK637" s="916" t="str">
        <f t="shared" si="516"/>
        <v/>
      </c>
      <c r="AL637" s="909" t="str">
        <f t="shared" si="517"/>
        <v/>
      </c>
      <c r="AM637" s="918">
        <f t="shared" ca="1" si="518"/>
        <v>77534.903999999995</v>
      </c>
      <c r="AN637" s="915">
        <f t="shared" si="479"/>
        <v>43</v>
      </c>
      <c r="AO637" s="653" t="str">
        <f t="shared" si="519"/>
        <v/>
      </c>
      <c r="AP637" s="916" t="str">
        <f t="shared" si="520"/>
        <v/>
      </c>
      <c r="AQ637" s="916" t="str">
        <f t="shared" si="521"/>
        <v/>
      </c>
      <c r="AR637" s="653"/>
      <c r="AS637" s="653">
        <v>43</v>
      </c>
      <c r="AT637" s="909">
        <f t="shared" ca="1" si="480"/>
        <v>-19324.612125046257</v>
      </c>
      <c r="AU637" s="909">
        <f t="shared" si="481"/>
        <v>0</v>
      </c>
      <c r="AV637" s="909">
        <f t="shared" ca="1" si="482"/>
        <v>-2423.8909666235859</v>
      </c>
      <c r="AW637" s="909">
        <f t="shared" ca="1" si="483"/>
        <v>0</v>
      </c>
      <c r="AX637" s="909">
        <f t="shared" ca="1" si="484"/>
        <v>0</v>
      </c>
      <c r="AY637" s="909">
        <f t="shared" si="485"/>
        <v>21751.869606901262</v>
      </c>
      <c r="AZ637" s="909">
        <f t="shared" ca="1" si="486"/>
        <v>-21748.503091669842</v>
      </c>
      <c r="BA637" s="653"/>
      <c r="BB637" s="653">
        <f t="shared" si="522"/>
        <v>43</v>
      </c>
      <c r="BC637" s="909">
        <f t="shared" ca="1" si="523"/>
        <v>-614048.31481925922</v>
      </c>
      <c r="BD637" s="909">
        <f t="shared" ca="1" si="524"/>
        <v>-1576119.2711999998</v>
      </c>
      <c r="BE637" s="909">
        <f t="shared" ca="1" si="525"/>
        <v>-369598.13460060314</v>
      </c>
      <c r="BF637" s="909">
        <f t="shared" ca="1" si="526"/>
        <v>331040.45490902074</v>
      </c>
      <c r="BG637" s="909">
        <f t="shared" ca="1" si="527"/>
        <v>1108.6513152080697</v>
      </c>
      <c r="BH637" s="909">
        <f t="shared" si="528"/>
        <v>1859435.4797699589</v>
      </c>
      <c r="BI637" s="909">
        <f t="shared" ca="1" si="529"/>
        <v>-2227616.6143956343</v>
      </c>
      <c r="BJ637" s="909"/>
      <c r="BK637" s="653">
        <v>43</v>
      </c>
      <c r="BL637" s="909">
        <f t="shared" ca="1" si="487"/>
        <v>-68882.903999999995</v>
      </c>
      <c r="BM637" s="909">
        <f t="shared" si="488"/>
        <v>0</v>
      </c>
      <c r="BN637" s="909">
        <f t="shared" ca="1" si="489"/>
        <v>-8640</v>
      </c>
      <c r="BO637" s="909">
        <f t="shared" ca="1" si="490"/>
        <v>0</v>
      </c>
      <c r="BP637" s="909">
        <f t="shared" ca="1" si="491"/>
        <v>0</v>
      </c>
      <c r="BQ637" s="909">
        <f t="shared" si="492"/>
        <v>77534.903999999995</v>
      </c>
      <c r="BR637" s="909">
        <f t="shared" ca="1" si="493"/>
        <v>-77522.903999999995</v>
      </c>
      <c r="BS637" s="653"/>
      <c r="BT637" s="653"/>
      <c r="BU637" s="653"/>
      <c r="BV637" s="654"/>
    </row>
    <row r="638" spans="2:74" x14ac:dyDescent="0.25">
      <c r="B638" s="651"/>
      <c r="C638" s="653"/>
      <c r="D638" s="653"/>
      <c r="E638" s="653"/>
      <c r="F638" s="653"/>
      <c r="G638" s="653"/>
      <c r="H638" s="653"/>
      <c r="I638" s="653"/>
      <c r="J638" s="653"/>
      <c r="K638" s="653"/>
      <c r="L638" s="653"/>
      <c r="M638" s="651">
        <v>44</v>
      </c>
      <c r="N638" s="909">
        <f t="shared" ca="1" si="494"/>
        <v>67392.555999999997</v>
      </c>
      <c r="O638" s="909">
        <f t="shared" ca="1" si="495"/>
        <v>1490.3479999999981</v>
      </c>
      <c r="P638" s="909">
        <f t="shared" ca="1" si="496"/>
        <v>12</v>
      </c>
      <c r="Q638" s="910">
        <f t="shared" ca="1" si="497"/>
        <v>390942.20400000131</v>
      </c>
      <c r="R638" s="909">
        <f t="shared" si="498"/>
        <v>0</v>
      </c>
      <c r="S638" s="909">
        <f t="shared" ca="1" si="499"/>
        <v>0</v>
      </c>
      <c r="T638" s="909">
        <f t="shared" ca="1" si="500"/>
        <v>0</v>
      </c>
      <c r="U638" s="909">
        <f t="shared" ca="1" si="501"/>
        <v>0</v>
      </c>
      <c r="V638" s="909">
        <f t="shared" ca="1" si="502"/>
        <v>8640</v>
      </c>
      <c r="W638" s="909">
        <f t="shared" ca="1" si="503"/>
        <v>0</v>
      </c>
      <c r="X638" s="909">
        <f t="shared" ca="1" si="504"/>
        <v>76044.555999999997</v>
      </c>
      <c r="Y638" s="909">
        <f t="shared" ca="1" si="505"/>
        <v>0</v>
      </c>
      <c r="Z638" s="910">
        <f t="shared" ca="1" si="506"/>
        <v>0</v>
      </c>
      <c r="AA638" s="909">
        <f t="shared" ca="1" si="507"/>
        <v>1490.3479999999981</v>
      </c>
      <c r="AB638" s="910">
        <f t="shared" ca="1" si="508"/>
        <v>-956974.44901894277</v>
      </c>
      <c r="AC638" s="911">
        <f t="shared" ca="1" si="509"/>
        <v>0</v>
      </c>
      <c r="AD638" s="911">
        <f t="shared" ca="1" si="510"/>
        <v>0</v>
      </c>
      <c r="AE638" s="909">
        <f t="shared" ca="1" si="511"/>
        <v>0</v>
      </c>
      <c r="AF638" s="912">
        <f t="shared" ca="1" si="478"/>
        <v>0</v>
      </c>
      <c r="AG638" s="909">
        <f t="shared" si="512"/>
        <v>77534.903999999995</v>
      </c>
      <c r="AH638" s="917">
        <f t="shared" ca="1" si="513"/>
        <v>76044.555999999997</v>
      </c>
      <c r="AI638" s="909" t="str">
        <f t="shared" si="514"/>
        <v/>
      </c>
      <c r="AJ638" s="916" t="str">
        <f t="shared" si="515"/>
        <v/>
      </c>
      <c r="AK638" s="916" t="str">
        <f t="shared" si="516"/>
        <v/>
      </c>
      <c r="AL638" s="909" t="str">
        <f t="shared" si="517"/>
        <v/>
      </c>
      <c r="AM638" s="918">
        <f t="shared" ca="1" si="518"/>
        <v>77534.903999999995</v>
      </c>
      <c r="AN638" s="915">
        <f t="shared" si="479"/>
        <v>44</v>
      </c>
      <c r="AO638" s="653" t="str">
        <f t="shared" si="519"/>
        <v/>
      </c>
      <c r="AP638" s="916" t="str">
        <f t="shared" si="520"/>
        <v/>
      </c>
      <c r="AQ638" s="916" t="str">
        <f t="shared" si="521"/>
        <v/>
      </c>
      <c r="AR638" s="653"/>
      <c r="AS638" s="653">
        <v>44</v>
      </c>
      <c r="AT638" s="909">
        <f t="shared" ca="1" si="480"/>
        <v>-18761.759344705104</v>
      </c>
      <c r="AU638" s="909">
        <f t="shared" si="481"/>
        <v>0</v>
      </c>
      <c r="AV638" s="909">
        <f t="shared" ca="1" si="482"/>
        <v>-2353.2922006054232</v>
      </c>
      <c r="AW638" s="909">
        <f t="shared" ca="1" si="483"/>
        <v>0</v>
      </c>
      <c r="AX638" s="909">
        <f t="shared" ca="1" si="484"/>
        <v>0</v>
      </c>
      <c r="AY638" s="909">
        <f t="shared" si="485"/>
        <v>21118.320006700258</v>
      </c>
      <c r="AZ638" s="909">
        <f t="shared" ca="1" si="486"/>
        <v>-21115.051545310525</v>
      </c>
      <c r="BA638" s="653"/>
      <c r="BB638" s="653">
        <f t="shared" si="522"/>
        <v>44</v>
      </c>
      <c r="BC638" s="909">
        <f t="shared" ca="1" si="523"/>
        <v>-632810.07416396437</v>
      </c>
      <c r="BD638" s="909">
        <f t="shared" ca="1" si="524"/>
        <v>-1576119.2711999998</v>
      </c>
      <c r="BE638" s="909">
        <f t="shared" ca="1" si="525"/>
        <v>-371951.42680120858</v>
      </c>
      <c r="BF638" s="909">
        <f t="shared" ca="1" si="526"/>
        <v>331040.45490902074</v>
      </c>
      <c r="BG638" s="909">
        <f t="shared" ca="1" si="527"/>
        <v>1108.6513152080697</v>
      </c>
      <c r="BH638" s="909">
        <f t="shared" si="528"/>
        <v>1880553.7997766591</v>
      </c>
      <c r="BI638" s="909">
        <f t="shared" ca="1" si="529"/>
        <v>-2248731.6659409446</v>
      </c>
      <c r="BJ638" s="909"/>
      <c r="BK638" s="653">
        <v>44</v>
      </c>
      <c r="BL638" s="909">
        <f t="shared" ca="1" si="487"/>
        <v>-68882.903999999995</v>
      </c>
      <c r="BM638" s="909">
        <f t="shared" si="488"/>
        <v>0</v>
      </c>
      <c r="BN638" s="909">
        <f t="shared" ca="1" si="489"/>
        <v>-8640</v>
      </c>
      <c r="BO638" s="909">
        <f t="shared" ca="1" si="490"/>
        <v>0</v>
      </c>
      <c r="BP638" s="909">
        <f t="shared" ca="1" si="491"/>
        <v>0</v>
      </c>
      <c r="BQ638" s="909">
        <f t="shared" si="492"/>
        <v>77534.903999999995</v>
      </c>
      <c r="BR638" s="909">
        <f t="shared" ca="1" si="493"/>
        <v>-77522.903999999995</v>
      </c>
      <c r="BS638" s="653"/>
      <c r="BT638" s="653"/>
      <c r="BU638" s="653"/>
      <c r="BV638" s="654"/>
    </row>
    <row r="639" spans="2:74" x14ac:dyDescent="0.25">
      <c r="B639" s="651"/>
      <c r="C639" s="653"/>
      <c r="D639" s="653"/>
      <c r="E639" s="653"/>
      <c r="F639" s="653"/>
      <c r="G639" s="653"/>
      <c r="H639" s="653"/>
      <c r="I639" s="653"/>
      <c r="J639" s="653"/>
      <c r="K639" s="653"/>
      <c r="L639" s="653"/>
      <c r="M639" s="651">
        <v>45</v>
      </c>
      <c r="N639" s="909">
        <f t="shared" ca="1" si="494"/>
        <v>67392.555999999997</v>
      </c>
      <c r="O639" s="909">
        <f t="shared" ca="1" si="495"/>
        <v>1490.3479999999981</v>
      </c>
      <c r="P639" s="909">
        <f t="shared" ca="1" si="496"/>
        <v>12</v>
      </c>
      <c r="Q639" s="910">
        <f t="shared" ca="1" si="497"/>
        <v>322059.30000000133</v>
      </c>
      <c r="R639" s="909">
        <f t="shared" si="498"/>
        <v>0</v>
      </c>
      <c r="S639" s="909">
        <f t="shared" ca="1" si="499"/>
        <v>0</v>
      </c>
      <c r="T639" s="909">
        <f t="shared" ca="1" si="500"/>
        <v>0</v>
      </c>
      <c r="U639" s="909">
        <f t="shared" ca="1" si="501"/>
        <v>0</v>
      </c>
      <c r="V639" s="909">
        <f t="shared" ca="1" si="502"/>
        <v>8640</v>
      </c>
      <c r="W639" s="909">
        <f t="shared" ca="1" si="503"/>
        <v>0</v>
      </c>
      <c r="X639" s="909">
        <f t="shared" ca="1" si="504"/>
        <v>76044.555999999997</v>
      </c>
      <c r="Y639" s="909">
        <f t="shared" ca="1" si="505"/>
        <v>0</v>
      </c>
      <c r="Z639" s="910">
        <f t="shared" ca="1" si="506"/>
        <v>0</v>
      </c>
      <c r="AA639" s="909">
        <f t="shared" ca="1" si="507"/>
        <v>1490.3479999999981</v>
      </c>
      <c r="AB639" s="910">
        <f t="shared" ca="1" si="508"/>
        <v>-955484.10101894278</v>
      </c>
      <c r="AC639" s="911">
        <f t="shared" ca="1" si="509"/>
        <v>0</v>
      </c>
      <c r="AD639" s="911">
        <f t="shared" ca="1" si="510"/>
        <v>0</v>
      </c>
      <c r="AE639" s="909">
        <f t="shared" ca="1" si="511"/>
        <v>0</v>
      </c>
      <c r="AF639" s="912">
        <f t="shared" ca="1" si="478"/>
        <v>0</v>
      </c>
      <c r="AG639" s="909">
        <f t="shared" si="512"/>
        <v>77534.903999999995</v>
      </c>
      <c r="AH639" s="917">
        <f t="shared" ca="1" si="513"/>
        <v>76044.555999999997</v>
      </c>
      <c r="AI639" s="909" t="str">
        <f t="shared" si="514"/>
        <v/>
      </c>
      <c r="AJ639" s="916" t="str">
        <f t="shared" si="515"/>
        <v/>
      </c>
      <c r="AK639" s="916" t="str">
        <f t="shared" si="516"/>
        <v/>
      </c>
      <c r="AL639" s="909" t="str">
        <f t="shared" si="517"/>
        <v/>
      </c>
      <c r="AM639" s="918">
        <f t="shared" ca="1" si="518"/>
        <v>77534.903999999995</v>
      </c>
      <c r="AN639" s="915">
        <f t="shared" si="479"/>
        <v>45</v>
      </c>
      <c r="AO639" s="653" t="str">
        <f t="shared" si="519"/>
        <v/>
      </c>
      <c r="AP639" s="916" t="str">
        <f t="shared" si="520"/>
        <v/>
      </c>
      <c r="AQ639" s="916" t="str">
        <f t="shared" si="521"/>
        <v/>
      </c>
      <c r="AR639" s="653"/>
      <c r="AS639" s="653">
        <v>45</v>
      </c>
      <c r="AT639" s="909">
        <f t="shared" ca="1" si="480"/>
        <v>-18215.300334665149</v>
      </c>
      <c r="AU639" s="909">
        <f t="shared" si="481"/>
        <v>0</v>
      </c>
      <c r="AV639" s="909">
        <f t="shared" ca="1" si="482"/>
        <v>-2284.7497093256538</v>
      </c>
      <c r="AW639" s="909">
        <f t="shared" ca="1" si="483"/>
        <v>0</v>
      </c>
      <c r="AX639" s="909">
        <f t="shared" ca="1" si="484"/>
        <v>0</v>
      </c>
      <c r="AY639" s="909">
        <f t="shared" si="485"/>
        <v>20503.223307475979</v>
      </c>
      <c r="AZ639" s="909">
        <f t="shared" ca="1" si="486"/>
        <v>-20500.050043990803</v>
      </c>
      <c r="BA639" s="653"/>
      <c r="BB639" s="653">
        <f t="shared" si="522"/>
        <v>45</v>
      </c>
      <c r="BC639" s="909">
        <f t="shared" ca="1" si="523"/>
        <v>-651025.37449862948</v>
      </c>
      <c r="BD639" s="909">
        <f t="shared" ca="1" si="524"/>
        <v>-1576119.2711999998</v>
      </c>
      <c r="BE639" s="909">
        <f t="shared" ca="1" si="525"/>
        <v>-374236.17651053425</v>
      </c>
      <c r="BF639" s="909">
        <f t="shared" ca="1" si="526"/>
        <v>331040.45490902074</v>
      </c>
      <c r="BG639" s="909">
        <f t="shared" ca="1" si="527"/>
        <v>1108.6513152080697</v>
      </c>
      <c r="BH639" s="909">
        <f t="shared" si="528"/>
        <v>1901057.023084135</v>
      </c>
      <c r="BI639" s="909">
        <f t="shared" ca="1" si="529"/>
        <v>-2269231.7159849354</v>
      </c>
      <c r="BJ639" s="909"/>
      <c r="BK639" s="653">
        <v>45</v>
      </c>
      <c r="BL639" s="909">
        <f t="shared" ca="1" si="487"/>
        <v>-68882.903999999995</v>
      </c>
      <c r="BM639" s="909">
        <f t="shared" si="488"/>
        <v>0</v>
      </c>
      <c r="BN639" s="909">
        <f t="shared" ca="1" si="489"/>
        <v>-8640</v>
      </c>
      <c r="BO639" s="909">
        <f t="shared" ca="1" si="490"/>
        <v>0</v>
      </c>
      <c r="BP639" s="909">
        <f t="shared" ca="1" si="491"/>
        <v>0</v>
      </c>
      <c r="BQ639" s="909">
        <f t="shared" si="492"/>
        <v>77534.903999999995</v>
      </c>
      <c r="BR639" s="909">
        <f t="shared" ca="1" si="493"/>
        <v>-77522.903999999995</v>
      </c>
      <c r="BS639" s="653"/>
      <c r="BT639" s="653"/>
      <c r="BU639" s="653"/>
      <c r="BV639" s="654"/>
    </row>
    <row r="640" spans="2:74" x14ac:dyDescent="0.25">
      <c r="B640" s="651"/>
      <c r="C640" s="653"/>
      <c r="D640" s="653"/>
      <c r="E640" s="653"/>
      <c r="F640" s="653"/>
      <c r="G640" s="653"/>
      <c r="H640" s="653"/>
      <c r="I640" s="653"/>
      <c r="J640" s="653"/>
      <c r="K640" s="653"/>
      <c r="L640" s="653"/>
      <c r="M640" s="651">
        <v>46</v>
      </c>
      <c r="N640" s="909">
        <f t="shared" ca="1" si="494"/>
        <v>86647.571999999986</v>
      </c>
      <c r="O640" s="909">
        <f t="shared" ca="1" si="495"/>
        <v>0</v>
      </c>
      <c r="P640" s="909">
        <f t="shared" ca="1" si="496"/>
        <v>12</v>
      </c>
      <c r="Q640" s="910">
        <f t="shared" ca="1" si="497"/>
        <v>235411.72800000134</v>
      </c>
      <c r="R640" s="909">
        <f t="shared" si="498"/>
        <v>0</v>
      </c>
      <c r="S640" s="909">
        <f t="shared" ca="1" si="499"/>
        <v>0</v>
      </c>
      <c r="T640" s="909">
        <f t="shared" ca="1" si="500"/>
        <v>0</v>
      </c>
      <c r="U640" s="909">
        <f t="shared" ca="1" si="501"/>
        <v>0</v>
      </c>
      <c r="V640" s="909">
        <f t="shared" ca="1" si="502"/>
        <v>8640</v>
      </c>
      <c r="W640" s="909">
        <f t="shared" ca="1" si="503"/>
        <v>0</v>
      </c>
      <c r="X640" s="909">
        <f t="shared" ca="1" si="504"/>
        <v>95299.571999999986</v>
      </c>
      <c r="Y640" s="909">
        <f t="shared" ca="1" si="505"/>
        <v>0</v>
      </c>
      <c r="Z640" s="910">
        <f t="shared" ca="1" si="506"/>
        <v>0</v>
      </c>
      <c r="AA640" s="909">
        <f t="shared" ca="1" si="507"/>
        <v>0</v>
      </c>
      <c r="AB640" s="910">
        <f t="shared" ca="1" si="508"/>
        <v>-955484.10101894278</v>
      </c>
      <c r="AC640" s="911">
        <f t="shared" ca="1" si="509"/>
        <v>0</v>
      </c>
      <c r="AD640" s="911">
        <f t="shared" ca="1" si="510"/>
        <v>0</v>
      </c>
      <c r="AE640" s="909">
        <f t="shared" ca="1" si="511"/>
        <v>0</v>
      </c>
      <c r="AF640" s="912">
        <f t="shared" ca="1" si="478"/>
        <v>0</v>
      </c>
      <c r="AG640" s="909">
        <f t="shared" si="512"/>
        <v>77534.903999999995</v>
      </c>
      <c r="AH640" s="917">
        <f t="shared" ca="1" si="513"/>
        <v>95299.571999999986</v>
      </c>
      <c r="AI640" s="909" t="str">
        <f t="shared" si="514"/>
        <v/>
      </c>
      <c r="AJ640" s="916" t="str">
        <f t="shared" si="515"/>
        <v/>
      </c>
      <c r="AK640" s="916" t="str">
        <f t="shared" si="516"/>
        <v/>
      </c>
      <c r="AL640" s="909" t="str">
        <f t="shared" si="517"/>
        <v/>
      </c>
      <c r="AM640" s="918">
        <f t="shared" ca="1" si="518"/>
        <v>95299.571999999986</v>
      </c>
      <c r="AN640" s="915">
        <f t="shared" si="479"/>
        <v>46</v>
      </c>
      <c r="AO640" s="653" t="str">
        <f t="shared" si="519"/>
        <v/>
      </c>
      <c r="AP640" s="916" t="str">
        <f t="shared" si="520"/>
        <v/>
      </c>
      <c r="AQ640" s="916" t="str">
        <f t="shared" si="521"/>
        <v/>
      </c>
      <c r="AR640" s="653"/>
      <c r="AS640" s="653">
        <v>46</v>
      </c>
      <c r="AT640" s="909">
        <f t="shared" ca="1" si="480"/>
        <v>-22245.596788562299</v>
      </c>
      <c r="AU640" s="909">
        <f t="shared" si="481"/>
        <v>0</v>
      </c>
      <c r="AV640" s="909">
        <f t="shared" ca="1" si="482"/>
        <v>-2218.2036012870421</v>
      </c>
      <c r="AW640" s="909">
        <f t="shared" ca="1" si="483"/>
        <v>0</v>
      </c>
      <c r="AX640" s="909">
        <f t="shared" ca="1" si="484"/>
        <v>0</v>
      </c>
      <c r="AY640" s="909">
        <f t="shared" si="485"/>
        <v>19906.042046093182</v>
      </c>
      <c r="AZ640" s="909">
        <f t="shared" ca="1" si="486"/>
        <v>-24463.800389849341</v>
      </c>
      <c r="BA640" s="653"/>
      <c r="BB640" s="653">
        <f t="shared" si="522"/>
        <v>46</v>
      </c>
      <c r="BC640" s="909">
        <f t="shared" ca="1" si="523"/>
        <v>-673270.97128719173</v>
      </c>
      <c r="BD640" s="909">
        <f t="shared" ca="1" si="524"/>
        <v>-1576119.2711999998</v>
      </c>
      <c r="BE640" s="909">
        <f t="shared" ca="1" si="525"/>
        <v>-376454.38011182129</v>
      </c>
      <c r="BF640" s="909">
        <f t="shared" ca="1" si="526"/>
        <v>331040.45490902074</v>
      </c>
      <c r="BG640" s="909">
        <f t="shared" ca="1" si="527"/>
        <v>1108.6513152080697</v>
      </c>
      <c r="BH640" s="909">
        <f t="shared" si="528"/>
        <v>1920963.0651302282</v>
      </c>
      <c r="BI640" s="909">
        <f t="shared" ca="1" si="529"/>
        <v>-2293695.5163747845</v>
      </c>
      <c r="BJ640" s="909"/>
      <c r="BK640" s="653">
        <v>46</v>
      </c>
      <c r="BL640" s="909">
        <f t="shared" ca="1" si="487"/>
        <v>-86647.571999999986</v>
      </c>
      <c r="BM640" s="909">
        <f t="shared" si="488"/>
        <v>0</v>
      </c>
      <c r="BN640" s="909">
        <f t="shared" ca="1" si="489"/>
        <v>-8640</v>
      </c>
      <c r="BO640" s="909">
        <f t="shared" ca="1" si="490"/>
        <v>0</v>
      </c>
      <c r="BP640" s="909">
        <f t="shared" ca="1" si="491"/>
        <v>0</v>
      </c>
      <c r="BQ640" s="909">
        <f t="shared" si="492"/>
        <v>77534.903999999995</v>
      </c>
      <c r="BR640" s="909">
        <f t="shared" ca="1" si="493"/>
        <v>-95287.571999999986</v>
      </c>
      <c r="BS640" s="653"/>
      <c r="BT640" s="653"/>
      <c r="BU640" s="653"/>
      <c r="BV640" s="654"/>
    </row>
    <row r="641" spans="2:74" x14ac:dyDescent="0.25">
      <c r="B641" s="651"/>
      <c r="C641" s="653"/>
      <c r="D641" s="653"/>
      <c r="E641" s="653"/>
      <c r="F641" s="653"/>
      <c r="G641" s="653"/>
      <c r="H641" s="653"/>
      <c r="I641" s="653"/>
      <c r="J641" s="653"/>
      <c r="K641" s="653"/>
      <c r="L641" s="653"/>
      <c r="M641" s="651">
        <v>47</v>
      </c>
      <c r="N641" s="909">
        <f t="shared" ca="1" si="494"/>
        <v>86647.571999999986</v>
      </c>
      <c r="O641" s="909">
        <f t="shared" ca="1" si="495"/>
        <v>0</v>
      </c>
      <c r="P641" s="909">
        <f t="shared" ca="1" si="496"/>
        <v>12</v>
      </c>
      <c r="Q641" s="910">
        <f t="shared" ca="1" si="497"/>
        <v>148764.15600000136</v>
      </c>
      <c r="R641" s="909">
        <f t="shared" si="498"/>
        <v>0</v>
      </c>
      <c r="S641" s="909">
        <f t="shared" ca="1" si="499"/>
        <v>0</v>
      </c>
      <c r="T641" s="909">
        <f t="shared" ca="1" si="500"/>
        <v>0</v>
      </c>
      <c r="U641" s="909">
        <f t="shared" ca="1" si="501"/>
        <v>0</v>
      </c>
      <c r="V641" s="909">
        <f t="shared" ca="1" si="502"/>
        <v>8640</v>
      </c>
      <c r="W641" s="909">
        <f t="shared" ca="1" si="503"/>
        <v>0</v>
      </c>
      <c r="X641" s="909">
        <f t="shared" ca="1" si="504"/>
        <v>95299.571999999986</v>
      </c>
      <c r="Y641" s="909">
        <f t="shared" ca="1" si="505"/>
        <v>0</v>
      </c>
      <c r="Z641" s="910">
        <f t="shared" ca="1" si="506"/>
        <v>0</v>
      </c>
      <c r="AA641" s="909">
        <f t="shared" ca="1" si="507"/>
        <v>0</v>
      </c>
      <c r="AB641" s="910">
        <f t="shared" ca="1" si="508"/>
        <v>-955484.10101894278</v>
      </c>
      <c r="AC641" s="911">
        <f t="shared" ca="1" si="509"/>
        <v>0</v>
      </c>
      <c r="AD641" s="911">
        <f t="shared" ca="1" si="510"/>
        <v>0</v>
      </c>
      <c r="AE641" s="909">
        <f t="shared" ca="1" si="511"/>
        <v>0</v>
      </c>
      <c r="AF641" s="912">
        <f t="shared" ca="1" si="478"/>
        <v>0</v>
      </c>
      <c r="AG641" s="909">
        <f t="shared" si="512"/>
        <v>77534.903999999995</v>
      </c>
      <c r="AH641" s="917">
        <f t="shared" ca="1" si="513"/>
        <v>95299.571999999986</v>
      </c>
      <c r="AI641" s="909" t="str">
        <f t="shared" si="514"/>
        <v/>
      </c>
      <c r="AJ641" s="916" t="str">
        <f t="shared" si="515"/>
        <v/>
      </c>
      <c r="AK641" s="916" t="str">
        <f t="shared" si="516"/>
        <v/>
      </c>
      <c r="AL641" s="909" t="str">
        <f t="shared" si="517"/>
        <v/>
      </c>
      <c r="AM641" s="918">
        <f t="shared" ca="1" si="518"/>
        <v>95299.571999999986</v>
      </c>
      <c r="AN641" s="915">
        <f t="shared" si="479"/>
        <v>47</v>
      </c>
      <c r="AO641" s="653" t="str">
        <f t="shared" si="519"/>
        <v/>
      </c>
      <c r="AP641" s="916" t="str">
        <f t="shared" si="520"/>
        <v/>
      </c>
      <c r="AQ641" s="916" t="str">
        <f t="shared" si="521"/>
        <v/>
      </c>
      <c r="AR641" s="653"/>
      <c r="AS641" s="653">
        <v>47</v>
      </c>
      <c r="AT641" s="909">
        <f t="shared" ca="1" si="480"/>
        <v>-21597.666785011941</v>
      </c>
      <c r="AU641" s="909">
        <f t="shared" si="481"/>
        <v>0</v>
      </c>
      <c r="AV641" s="909">
        <f t="shared" ca="1" si="482"/>
        <v>-2153.5957294048953</v>
      </c>
      <c r="AW641" s="909">
        <f t="shared" ca="1" si="483"/>
        <v>0</v>
      </c>
      <c r="AX641" s="909">
        <f t="shared" ca="1" si="484"/>
        <v>0</v>
      </c>
      <c r="AY641" s="909">
        <f t="shared" si="485"/>
        <v>19326.254413682702</v>
      </c>
      <c r="AZ641" s="909">
        <f t="shared" ca="1" si="486"/>
        <v>-23751.262514416838</v>
      </c>
      <c r="BA641" s="653"/>
      <c r="BB641" s="653">
        <f t="shared" si="522"/>
        <v>47</v>
      </c>
      <c r="BC641" s="909">
        <f t="shared" ca="1" si="523"/>
        <v>-694868.63807220361</v>
      </c>
      <c r="BD641" s="909">
        <f t="shared" ca="1" si="524"/>
        <v>-1576119.2711999998</v>
      </c>
      <c r="BE641" s="909">
        <f t="shared" ca="1" si="525"/>
        <v>-378607.97584122617</v>
      </c>
      <c r="BF641" s="909">
        <f t="shared" ca="1" si="526"/>
        <v>331040.45490902074</v>
      </c>
      <c r="BG641" s="909">
        <f t="shared" ca="1" si="527"/>
        <v>1108.6513152080697</v>
      </c>
      <c r="BH641" s="909">
        <f t="shared" si="528"/>
        <v>1940289.3195439109</v>
      </c>
      <c r="BI641" s="909">
        <f t="shared" ca="1" si="529"/>
        <v>-2317446.7788892016</v>
      </c>
      <c r="BJ641" s="909"/>
      <c r="BK641" s="653">
        <v>47</v>
      </c>
      <c r="BL641" s="909">
        <f t="shared" ca="1" si="487"/>
        <v>-86647.571999999986</v>
      </c>
      <c r="BM641" s="909">
        <f t="shared" si="488"/>
        <v>0</v>
      </c>
      <c r="BN641" s="909">
        <f t="shared" ca="1" si="489"/>
        <v>-8640</v>
      </c>
      <c r="BO641" s="909">
        <f t="shared" ca="1" si="490"/>
        <v>0</v>
      </c>
      <c r="BP641" s="909">
        <f t="shared" ca="1" si="491"/>
        <v>0</v>
      </c>
      <c r="BQ641" s="909">
        <f t="shared" si="492"/>
        <v>77534.903999999995</v>
      </c>
      <c r="BR641" s="909">
        <f t="shared" ca="1" si="493"/>
        <v>-95287.571999999986</v>
      </c>
      <c r="BS641" s="653"/>
      <c r="BT641" s="653"/>
      <c r="BU641" s="653"/>
      <c r="BV641" s="654"/>
    </row>
    <row r="642" spans="2:74" x14ac:dyDescent="0.25">
      <c r="B642" s="651"/>
      <c r="C642" s="653"/>
      <c r="D642" s="653"/>
      <c r="E642" s="653"/>
      <c r="F642" s="653"/>
      <c r="G642" s="653"/>
      <c r="H642" s="653"/>
      <c r="I642" s="653"/>
      <c r="J642" s="653"/>
      <c r="K642" s="653"/>
      <c r="L642" s="653"/>
      <c r="M642" s="651">
        <v>48</v>
      </c>
      <c r="N642" s="909">
        <f t="shared" ca="1" si="494"/>
        <v>86647.571999999986</v>
      </c>
      <c r="O642" s="909">
        <f t="shared" ca="1" si="495"/>
        <v>0</v>
      </c>
      <c r="P642" s="909">
        <f t="shared" ca="1" si="496"/>
        <v>12</v>
      </c>
      <c r="Q642" s="910">
        <f t="shared" ca="1" si="497"/>
        <v>62116.58400000137</v>
      </c>
      <c r="R642" s="909">
        <f t="shared" si="498"/>
        <v>0</v>
      </c>
      <c r="S642" s="909">
        <f t="shared" ca="1" si="499"/>
        <v>0</v>
      </c>
      <c r="T642" s="909">
        <f t="shared" ca="1" si="500"/>
        <v>0</v>
      </c>
      <c r="U642" s="909">
        <f t="shared" ca="1" si="501"/>
        <v>0</v>
      </c>
      <c r="V642" s="909">
        <f t="shared" ca="1" si="502"/>
        <v>8640</v>
      </c>
      <c r="W642" s="909">
        <f t="shared" ca="1" si="503"/>
        <v>0</v>
      </c>
      <c r="X642" s="909">
        <f t="shared" ca="1" si="504"/>
        <v>95299.571999999986</v>
      </c>
      <c r="Y642" s="909">
        <f t="shared" ca="1" si="505"/>
        <v>0</v>
      </c>
      <c r="Z642" s="910">
        <f t="shared" ca="1" si="506"/>
        <v>0</v>
      </c>
      <c r="AA642" s="909">
        <f t="shared" ca="1" si="507"/>
        <v>0</v>
      </c>
      <c r="AB642" s="910">
        <f t="shared" ca="1" si="508"/>
        <v>-955484.10101894278</v>
      </c>
      <c r="AC642" s="911">
        <f t="shared" ca="1" si="509"/>
        <v>0</v>
      </c>
      <c r="AD642" s="911">
        <f t="shared" ca="1" si="510"/>
        <v>0</v>
      </c>
      <c r="AE642" s="909">
        <f t="shared" ca="1" si="511"/>
        <v>0</v>
      </c>
      <c r="AF642" s="912">
        <f t="shared" ca="1" si="478"/>
        <v>0</v>
      </c>
      <c r="AG642" s="909">
        <f t="shared" si="512"/>
        <v>77534.903999999995</v>
      </c>
      <c r="AH642" s="917">
        <f t="shared" ca="1" si="513"/>
        <v>95299.571999999986</v>
      </c>
      <c r="AI642" s="909" t="str">
        <f t="shared" si="514"/>
        <v/>
      </c>
      <c r="AJ642" s="916" t="str">
        <f t="shared" si="515"/>
        <v/>
      </c>
      <c r="AK642" s="916" t="str">
        <f t="shared" si="516"/>
        <v/>
      </c>
      <c r="AL642" s="909" t="str">
        <f t="shared" si="517"/>
        <v/>
      </c>
      <c r="AM642" s="918">
        <f t="shared" ca="1" si="518"/>
        <v>95299.571999999986</v>
      </c>
      <c r="AN642" s="915">
        <f t="shared" si="479"/>
        <v>48</v>
      </c>
      <c r="AO642" s="653" t="str">
        <f t="shared" si="519"/>
        <v/>
      </c>
      <c r="AP642" s="916" t="str">
        <f t="shared" si="520"/>
        <v/>
      </c>
      <c r="AQ642" s="916" t="str">
        <f t="shared" si="521"/>
        <v/>
      </c>
      <c r="AR642" s="653"/>
      <c r="AS642" s="653">
        <v>48</v>
      </c>
      <c r="AT642" s="909">
        <f t="shared" ca="1" si="480"/>
        <v>-20968.608529137808</v>
      </c>
      <c r="AU642" s="909">
        <f t="shared" si="481"/>
        <v>0</v>
      </c>
      <c r="AV642" s="909">
        <f t="shared" ca="1" si="482"/>
        <v>-2090.8696401989278</v>
      </c>
      <c r="AW642" s="909">
        <f t="shared" ca="1" si="483"/>
        <v>0</v>
      </c>
      <c r="AX642" s="909">
        <f t="shared" ca="1" si="484"/>
        <v>0</v>
      </c>
      <c r="AY642" s="909">
        <f t="shared" si="485"/>
        <v>18763.353799691944</v>
      </c>
      <c r="AZ642" s="909">
        <f t="shared" ca="1" si="486"/>
        <v>-23059.478169336737</v>
      </c>
      <c r="BA642" s="653"/>
      <c r="BB642" s="653">
        <f t="shared" si="522"/>
        <v>48</v>
      </c>
      <c r="BC642" s="909">
        <f t="shared" ca="1" si="523"/>
        <v>-715837.24660134141</v>
      </c>
      <c r="BD642" s="909">
        <f t="shared" ca="1" si="524"/>
        <v>-1576119.2711999998</v>
      </c>
      <c r="BE642" s="909">
        <f t="shared" ca="1" si="525"/>
        <v>-380698.84548142512</v>
      </c>
      <c r="BF642" s="909">
        <f t="shared" ca="1" si="526"/>
        <v>331040.45490902074</v>
      </c>
      <c r="BG642" s="909">
        <f t="shared" ca="1" si="527"/>
        <v>1108.6513152080697</v>
      </c>
      <c r="BH642" s="909">
        <f t="shared" si="528"/>
        <v>1959052.6733436028</v>
      </c>
      <c r="BI642" s="909">
        <f t="shared" ca="1" si="529"/>
        <v>-2340506.2570585385</v>
      </c>
      <c r="BJ642" s="909"/>
      <c r="BK642" s="653">
        <v>48</v>
      </c>
      <c r="BL642" s="909">
        <f t="shared" ca="1" si="487"/>
        <v>-86647.571999999986</v>
      </c>
      <c r="BM642" s="909">
        <f t="shared" si="488"/>
        <v>0</v>
      </c>
      <c r="BN642" s="909">
        <f t="shared" ca="1" si="489"/>
        <v>-8640</v>
      </c>
      <c r="BO642" s="909">
        <f t="shared" ca="1" si="490"/>
        <v>0</v>
      </c>
      <c r="BP642" s="909">
        <f t="shared" ca="1" si="491"/>
        <v>0</v>
      </c>
      <c r="BQ642" s="909">
        <f t="shared" si="492"/>
        <v>77534.903999999995</v>
      </c>
      <c r="BR642" s="909">
        <f t="shared" ca="1" si="493"/>
        <v>-95287.571999999986</v>
      </c>
      <c r="BS642" s="653"/>
      <c r="BT642" s="653"/>
      <c r="BU642" s="653"/>
      <c r="BV642" s="654"/>
    </row>
    <row r="643" spans="2:74" x14ac:dyDescent="0.25">
      <c r="B643" s="651"/>
      <c r="C643" s="653"/>
      <c r="D643" s="653"/>
      <c r="E643" s="653"/>
      <c r="F643" s="653"/>
      <c r="G643" s="653"/>
      <c r="H643" s="653"/>
      <c r="I643" s="653"/>
      <c r="J643" s="653"/>
      <c r="K643" s="653"/>
      <c r="L643" s="653"/>
      <c r="M643" s="651">
        <v>49</v>
      </c>
      <c r="N643" s="909">
        <f t="shared" ca="1" si="494"/>
        <v>62116.58400000137</v>
      </c>
      <c r="O643" s="909">
        <f t="shared" ca="1" si="495"/>
        <v>0</v>
      </c>
      <c r="P643" s="909">
        <f t="shared" ca="1" si="496"/>
        <v>12</v>
      </c>
      <c r="Q643" s="910">
        <f t="shared" ca="1" si="497"/>
        <v>0</v>
      </c>
      <c r="R643" s="909">
        <f t="shared" si="498"/>
        <v>0</v>
      </c>
      <c r="S643" s="909">
        <f t="shared" ca="1" si="499"/>
        <v>0</v>
      </c>
      <c r="T643" s="909">
        <f t="shared" ca="1" si="500"/>
        <v>0</v>
      </c>
      <c r="U643" s="909">
        <f t="shared" ca="1" si="501"/>
        <v>0</v>
      </c>
      <c r="V643" s="909">
        <f t="shared" ca="1" si="502"/>
        <v>8640</v>
      </c>
      <c r="W643" s="909">
        <f t="shared" ca="1" si="503"/>
        <v>0</v>
      </c>
      <c r="X643" s="909">
        <f t="shared" ca="1" si="504"/>
        <v>70768.58400000137</v>
      </c>
      <c r="Y643" s="909">
        <f t="shared" ca="1" si="505"/>
        <v>0</v>
      </c>
      <c r="Z643" s="910">
        <f t="shared" ca="1" si="506"/>
        <v>0</v>
      </c>
      <c r="AA643" s="909">
        <f t="shared" ca="1" si="507"/>
        <v>6766.3199999986246</v>
      </c>
      <c r="AB643" s="910">
        <f t="shared" ca="1" si="508"/>
        <v>-948717.78101894411</v>
      </c>
      <c r="AC643" s="911">
        <f t="shared" ca="1" si="509"/>
        <v>0</v>
      </c>
      <c r="AD643" s="911">
        <f t="shared" ca="1" si="510"/>
        <v>0</v>
      </c>
      <c r="AE643" s="909">
        <f t="shared" ca="1" si="511"/>
        <v>6766.3199999986246</v>
      </c>
      <c r="AF643" s="912">
        <f t="shared" ca="1" si="478"/>
        <v>2564.1540701806498</v>
      </c>
      <c r="AG643" s="909">
        <f t="shared" si="512"/>
        <v>77534.903999999995</v>
      </c>
      <c r="AH643" s="917">
        <f t="shared" ca="1" si="513"/>
        <v>70768.58400000137</v>
      </c>
      <c r="AI643" s="909" t="str">
        <f t="shared" si="514"/>
        <v/>
      </c>
      <c r="AJ643" s="916" t="str">
        <f t="shared" si="515"/>
        <v/>
      </c>
      <c r="AK643" s="916" t="str">
        <f t="shared" si="516"/>
        <v/>
      </c>
      <c r="AL643" s="909" t="str">
        <f t="shared" si="517"/>
        <v/>
      </c>
      <c r="AM643" s="918">
        <f t="shared" ca="1" si="518"/>
        <v>70768.58400000137</v>
      </c>
      <c r="AN643" s="915">
        <f t="shared" si="479"/>
        <v>49</v>
      </c>
      <c r="AO643" s="653" t="str">
        <f t="shared" si="519"/>
        <v/>
      </c>
      <c r="AP643" s="916" t="str">
        <f t="shared" si="520"/>
        <v/>
      </c>
      <c r="AQ643" s="916" t="str">
        <f t="shared" si="521"/>
        <v/>
      </c>
      <c r="AR643" s="653"/>
      <c r="AS643" s="653">
        <v>49</v>
      </c>
      <c r="AT643" s="909">
        <f t="shared" ca="1" si="480"/>
        <v>-14594.309560237925</v>
      </c>
      <c r="AU643" s="909">
        <f t="shared" si="481"/>
        <v>0</v>
      </c>
      <c r="AV643" s="909">
        <f t="shared" ca="1" si="482"/>
        <v>-2029.9705244649786</v>
      </c>
      <c r="AW643" s="909">
        <f t="shared" ca="1" si="483"/>
        <v>0</v>
      </c>
      <c r="AX643" s="909">
        <f t="shared" ca="1" si="484"/>
        <v>0</v>
      </c>
      <c r="AY643" s="909">
        <f t="shared" si="485"/>
        <v>18216.848349215481</v>
      </c>
      <c r="AZ643" s="909">
        <f t="shared" ca="1" si="486"/>
        <v>-16624.280084702903</v>
      </c>
      <c r="BA643" s="653"/>
      <c r="BB643" s="653">
        <f t="shared" si="522"/>
        <v>49</v>
      </c>
      <c r="BC643" s="909">
        <f t="shared" ca="1" si="523"/>
        <v>-730431.55616157933</v>
      </c>
      <c r="BD643" s="909">
        <f t="shared" ca="1" si="524"/>
        <v>-1576119.2711999998</v>
      </c>
      <c r="BE643" s="909">
        <f t="shared" ca="1" si="525"/>
        <v>-382728.81600589008</v>
      </c>
      <c r="BF643" s="909">
        <f t="shared" ca="1" si="526"/>
        <v>331040.45490902074</v>
      </c>
      <c r="BG643" s="909">
        <f t="shared" ca="1" si="527"/>
        <v>1108.6513152080697</v>
      </c>
      <c r="BH643" s="909">
        <f t="shared" si="528"/>
        <v>1977269.5216928183</v>
      </c>
      <c r="BI643" s="909">
        <f t="shared" ca="1" si="529"/>
        <v>-2357130.5371432416</v>
      </c>
      <c r="BJ643" s="909"/>
      <c r="BK643" s="653">
        <v>49</v>
      </c>
      <c r="BL643" s="909">
        <f t="shared" ca="1" si="487"/>
        <v>-62116.58400000137</v>
      </c>
      <c r="BM643" s="909">
        <f t="shared" si="488"/>
        <v>0</v>
      </c>
      <c r="BN643" s="909">
        <f t="shared" ca="1" si="489"/>
        <v>-8640</v>
      </c>
      <c r="BO643" s="909">
        <f t="shared" ca="1" si="490"/>
        <v>0</v>
      </c>
      <c r="BP643" s="909">
        <f t="shared" ca="1" si="491"/>
        <v>0</v>
      </c>
      <c r="BQ643" s="909">
        <f t="shared" si="492"/>
        <v>77534.903999999995</v>
      </c>
      <c r="BR643" s="909">
        <f t="shared" ca="1" si="493"/>
        <v>-70756.58400000137</v>
      </c>
      <c r="BS643" s="653"/>
      <c r="BT643" s="653"/>
      <c r="BU643" s="653"/>
      <c r="BV643" s="654"/>
    </row>
    <row r="644" spans="2:74" x14ac:dyDescent="0.25">
      <c r="B644" s="651"/>
      <c r="C644" s="653"/>
      <c r="D644" s="653"/>
      <c r="E644" s="653"/>
      <c r="F644" s="653"/>
      <c r="G644" s="653"/>
      <c r="H644" s="653"/>
      <c r="I644" s="653"/>
      <c r="J644" s="653"/>
      <c r="K644" s="653"/>
      <c r="L644" s="653"/>
      <c r="M644" s="651">
        <v>50</v>
      </c>
      <c r="N644" s="909">
        <f t="shared" ca="1" si="494"/>
        <v>0</v>
      </c>
      <c r="O644" s="909">
        <f t="shared" ca="1" si="495"/>
        <v>0</v>
      </c>
      <c r="P644" s="909">
        <f t="shared" ca="1" si="496"/>
        <v>0</v>
      </c>
      <c r="Q644" s="910">
        <f t="shared" ca="1" si="497"/>
        <v>0</v>
      </c>
      <c r="R644" s="909">
        <f t="shared" si="498"/>
        <v>0</v>
      </c>
      <c r="S644" s="909">
        <f t="shared" ca="1" si="499"/>
        <v>0</v>
      </c>
      <c r="T644" s="909">
        <f t="shared" ca="1" si="500"/>
        <v>0</v>
      </c>
      <c r="U644" s="909">
        <f t="shared" ca="1" si="501"/>
        <v>0</v>
      </c>
      <c r="V644" s="909">
        <f t="shared" ca="1" si="502"/>
        <v>8640</v>
      </c>
      <c r="W644" s="909">
        <f t="shared" ca="1" si="503"/>
        <v>0</v>
      </c>
      <c r="X644" s="909">
        <f t="shared" ca="1" si="504"/>
        <v>8640</v>
      </c>
      <c r="Y644" s="909">
        <f t="shared" ca="1" si="505"/>
        <v>0</v>
      </c>
      <c r="Z644" s="910">
        <f t="shared" ca="1" si="506"/>
        <v>0</v>
      </c>
      <c r="AA644" s="909">
        <f t="shared" ca="1" si="507"/>
        <v>68894.903999999995</v>
      </c>
      <c r="AB644" s="910">
        <f t="shared" ca="1" si="508"/>
        <v>-879822.87701894413</v>
      </c>
      <c r="AC644" s="911">
        <f t="shared" ca="1" si="509"/>
        <v>0</v>
      </c>
      <c r="AD644" s="911">
        <f t="shared" ca="1" si="510"/>
        <v>0</v>
      </c>
      <c r="AE644" s="909">
        <f t="shared" ca="1" si="511"/>
        <v>68894.903999999995</v>
      </c>
      <c r="AF644" s="912">
        <f t="shared" ca="1" si="478"/>
        <v>25596.377772460357</v>
      </c>
      <c r="AG644" s="909">
        <f t="shared" si="512"/>
        <v>77534.903999999995</v>
      </c>
      <c r="AH644" s="917">
        <f t="shared" ca="1" si="513"/>
        <v>8640</v>
      </c>
      <c r="AI644" s="909" t="str">
        <f t="shared" si="514"/>
        <v/>
      </c>
      <c r="AJ644" s="916" t="str">
        <f t="shared" si="515"/>
        <v/>
      </c>
      <c r="AK644" s="916" t="str">
        <f t="shared" si="516"/>
        <v/>
      </c>
      <c r="AL644" s="909" t="str">
        <f t="shared" si="517"/>
        <v/>
      </c>
      <c r="AM644" s="918">
        <f t="shared" ca="1" si="518"/>
        <v>8640</v>
      </c>
      <c r="AN644" s="915">
        <f t="shared" si="479"/>
        <v>50</v>
      </c>
      <c r="AO644" s="653" t="str">
        <f t="shared" si="519"/>
        <v/>
      </c>
      <c r="AP644" s="916" t="str">
        <f t="shared" si="520"/>
        <v/>
      </c>
      <c r="AQ644" s="916" t="str">
        <f t="shared" si="521"/>
        <v/>
      </c>
      <c r="AR644" s="653"/>
      <c r="AS644" s="653">
        <v>50</v>
      </c>
      <c r="AT644" s="909">
        <f t="shared" ca="1" si="480"/>
        <v>0</v>
      </c>
      <c r="AU644" s="909">
        <f t="shared" si="481"/>
        <v>0</v>
      </c>
      <c r="AV644" s="909">
        <f t="shared" ca="1" si="482"/>
        <v>-1970.8451693834743</v>
      </c>
      <c r="AW644" s="909">
        <f t="shared" ca="1" si="483"/>
        <v>0</v>
      </c>
      <c r="AX644" s="909">
        <f t="shared" ca="1" si="484"/>
        <v>0</v>
      </c>
      <c r="AY644" s="909">
        <f t="shared" si="485"/>
        <v>17686.260533218912</v>
      </c>
      <c r="AZ644" s="909">
        <f t="shared" ca="1" si="486"/>
        <v>-1970.8451693834743</v>
      </c>
      <c r="BA644" s="653"/>
      <c r="BB644" s="653">
        <f t="shared" si="522"/>
        <v>50</v>
      </c>
      <c r="BC644" s="909">
        <f t="shared" ca="1" si="523"/>
        <v>-730431.55616157933</v>
      </c>
      <c r="BD644" s="909">
        <f t="shared" ca="1" si="524"/>
        <v>-1576119.2711999998</v>
      </c>
      <c r="BE644" s="909">
        <f t="shared" ca="1" si="525"/>
        <v>-384699.66117527353</v>
      </c>
      <c r="BF644" s="909">
        <f t="shared" ca="1" si="526"/>
        <v>331040.45490902074</v>
      </c>
      <c r="BG644" s="909">
        <f t="shared" ca="1" si="527"/>
        <v>1108.6513152080697</v>
      </c>
      <c r="BH644" s="909">
        <f t="shared" si="528"/>
        <v>1994955.7822260372</v>
      </c>
      <c r="BI644" s="909">
        <f t="shared" ca="1" si="529"/>
        <v>-2359101.3823126252</v>
      </c>
      <c r="BJ644" s="909"/>
      <c r="BK644" s="653">
        <v>50</v>
      </c>
      <c r="BL644" s="909">
        <f t="shared" ca="1" si="487"/>
        <v>0</v>
      </c>
      <c r="BM644" s="909">
        <f t="shared" si="488"/>
        <v>0</v>
      </c>
      <c r="BN644" s="909">
        <f t="shared" ca="1" si="489"/>
        <v>-8640</v>
      </c>
      <c r="BO644" s="909">
        <f t="shared" ca="1" si="490"/>
        <v>0</v>
      </c>
      <c r="BP644" s="909">
        <f t="shared" ca="1" si="491"/>
        <v>0</v>
      </c>
      <c r="BQ644" s="909">
        <f t="shared" si="492"/>
        <v>77534.903999999995</v>
      </c>
      <c r="BR644" s="909">
        <f t="shared" ca="1" si="493"/>
        <v>-8640</v>
      </c>
      <c r="BS644" s="653"/>
      <c r="BT644" s="653"/>
      <c r="BU644" s="653"/>
      <c r="BV644" s="654"/>
    </row>
    <row r="645" spans="2:74" x14ac:dyDescent="0.25">
      <c r="B645" s="651"/>
      <c r="C645" s="653"/>
      <c r="D645" s="653"/>
      <c r="E645" s="653"/>
      <c r="F645" s="653"/>
      <c r="G645" s="653"/>
      <c r="H645" s="653"/>
      <c r="I645" s="653"/>
      <c r="J645" s="653"/>
      <c r="K645" s="653"/>
      <c r="L645" s="653"/>
      <c r="M645" s="651"/>
      <c r="N645" s="909"/>
      <c r="O645" s="909"/>
      <c r="P645" s="909"/>
      <c r="Q645" s="910"/>
      <c r="R645" s="909"/>
      <c r="S645" s="909"/>
      <c r="T645" s="909"/>
      <c r="U645" s="909"/>
      <c r="V645" s="909"/>
      <c r="W645" s="909"/>
      <c r="X645" s="909"/>
      <c r="Y645" s="909"/>
      <c r="Z645" s="910"/>
      <c r="AA645" s="909"/>
      <c r="AB645" s="910"/>
      <c r="AC645" s="911"/>
      <c r="AD645" s="911"/>
      <c r="AE645" s="909"/>
      <c r="AF645" s="909"/>
      <c r="AG645" s="909"/>
      <c r="AH645" s="917"/>
      <c r="AI645" s="909"/>
      <c r="AJ645" s="916"/>
      <c r="AK645" s="916"/>
      <c r="AL645" s="653"/>
      <c r="AM645" s="918"/>
      <c r="AN645" s="915"/>
      <c r="AO645" s="653"/>
      <c r="AP645" s="653"/>
      <c r="AQ645" s="653"/>
      <c r="AR645" s="653"/>
      <c r="AS645" s="653"/>
      <c r="AT645" s="909"/>
      <c r="AU645" s="909"/>
      <c r="AV645" s="909"/>
      <c r="AW645" s="909"/>
      <c r="AX645" s="909"/>
      <c r="AY645" s="909"/>
      <c r="AZ645" s="909"/>
      <c r="BA645" s="653"/>
      <c r="BB645" s="653"/>
      <c r="BC645" s="909"/>
      <c r="BD645" s="909"/>
      <c r="BE645" s="909"/>
      <c r="BF645" s="909"/>
      <c r="BG645" s="909"/>
      <c r="BH645" s="909"/>
      <c r="BI645" s="909"/>
      <c r="BJ645" s="653"/>
      <c r="BK645" s="653"/>
      <c r="BL645" s="653"/>
      <c r="BM645" s="653"/>
      <c r="BN645" s="653"/>
      <c r="BO645" s="653"/>
      <c r="BP645" s="653"/>
      <c r="BQ645" s="653"/>
      <c r="BR645" s="653"/>
      <c r="BS645" s="653"/>
      <c r="BT645" s="653"/>
      <c r="BU645" s="653"/>
      <c r="BV645" s="654"/>
    </row>
    <row r="646" spans="2:74" x14ac:dyDescent="0.25">
      <c r="B646" s="651"/>
      <c r="C646" s="653"/>
      <c r="D646" s="653"/>
      <c r="E646" s="653"/>
      <c r="F646" s="653"/>
      <c r="G646" s="653"/>
      <c r="H646" s="653"/>
      <c r="I646" s="653"/>
      <c r="J646" s="653"/>
      <c r="K646" s="653"/>
      <c r="L646" s="653"/>
      <c r="M646" s="651"/>
      <c r="N646" s="909"/>
      <c r="O646" s="909"/>
      <c r="P646" s="909"/>
      <c r="Q646" s="910"/>
      <c r="R646" s="909"/>
      <c r="S646" s="909"/>
      <c r="T646" s="909"/>
      <c r="U646" s="909"/>
      <c r="V646" s="909"/>
      <c r="W646" s="909"/>
      <c r="X646" s="909"/>
      <c r="Y646" s="909"/>
      <c r="Z646" s="910"/>
      <c r="AA646" s="909"/>
      <c r="AB646" s="910"/>
      <c r="AC646" s="911"/>
      <c r="AD646" s="911"/>
      <c r="AE646" s="909"/>
      <c r="AF646" s="909"/>
      <c r="AG646" s="909"/>
      <c r="AH646" s="917"/>
      <c r="AI646" s="909"/>
      <c r="AJ646" s="916"/>
      <c r="AK646" s="916"/>
      <c r="AL646" s="653"/>
      <c r="AM646" s="918"/>
      <c r="AN646" s="915"/>
      <c r="AO646" s="909"/>
      <c r="AP646" s="653"/>
      <c r="AQ646" s="653"/>
      <c r="AR646" s="653"/>
      <c r="AS646" s="653"/>
      <c r="AT646" s="909"/>
      <c r="AU646" s="909"/>
      <c r="AV646" s="909"/>
      <c r="AW646" s="909"/>
      <c r="AX646" s="909"/>
      <c r="AY646" s="909"/>
      <c r="AZ646" s="909"/>
      <c r="BA646" s="653"/>
      <c r="BB646" s="653"/>
      <c r="BC646" s="909"/>
      <c r="BD646" s="909"/>
      <c r="BE646" s="909"/>
      <c r="BF646" s="909"/>
      <c r="BG646" s="909"/>
      <c r="BH646" s="909"/>
      <c r="BI646" s="909"/>
      <c r="BJ646" s="653"/>
      <c r="BK646" s="653"/>
      <c r="BL646" s="653"/>
      <c r="BM646" s="653"/>
      <c r="BN646" s="653"/>
      <c r="BO646" s="653"/>
      <c r="BP646" s="653"/>
      <c r="BQ646" s="653"/>
      <c r="BR646" s="653"/>
      <c r="BS646" s="653"/>
      <c r="BT646" s="653"/>
      <c r="BU646" s="653"/>
      <c r="BV646" s="654"/>
    </row>
    <row r="647" spans="2:74" x14ac:dyDescent="0.25">
      <c r="B647" s="651"/>
      <c r="C647" s="653"/>
      <c r="D647" s="653"/>
      <c r="E647" s="653"/>
      <c r="F647" s="653"/>
      <c r="G647" s="653"/>
      <c r="H647" s="653"/>
      <c r="I647" s="653"/>
      <c r="J647" s="653"/>
      <c r="K647" s="653"/>
      <c r="L647" s="653"/>
      <c r="M647" s="651"/>
      <c r="N647" s="909"/>
      <c r="O647" s="909"/>
      <c r="P647" s="909"/>
      <c r="Q647" s="910"/>
      <c r="R647" s="909"/>
      <c r="S647" s="909"/>
      <c r="T647" s="909"/>
      <c r="U647" s="909"/>
      <c r="V647" s="909"/>
      <c r="W647" s="909"/>
      <c r="X647" s="909"/>
      <c r="Y647" s="909"/>
      <c r="Z647" s="910"/>
      <c r="AA647" s="909"/>
      <c r="AB647" s="910"/>
      <c r="AC647" s="911"/>
      <c r="AD647" s="911"/>
      <c r="AE647" s="909"/>
      <c r="AF647" s="909"/>
      <c r="AG647" s="909"/>
      <c r="AH647" s="917"/>
      <c r="AI647" s="909"/>
      <c r="AJ647" s="916"/>
      <c r="AK647" s="916"/>
      <c r="AL647" s="653"/>
      <c r="AM647" s="918"/>
      <c r="AN647" s="915"/>
      <c r="AO647" s="653"/>
      <c r="AP647" s="653"/>
      <c r="AQ647" s="653"/>
      <c r="AR647" s="653"/>
      <c r="AS647" s="653"/>
      <c r="AT647" s="653"/>
      <c r="AU647" s="653"/>
      <c r="AV647" s="653"/>
      <c r="AW647" s="653"/>
      <c r="AX647" s="653"/>
      <c r="AY647" s="653"/>
      <c r="AZ647" s="653"/>
      <c r="BA647" s="653"/>
      <c r="BB647" s="653"/>
      <c r="BC647" s="909"/>
      <c r="BD647" s="909"/>
      <c r="BE647" s="909"/>
      <c r="BF647" s="909"/>
      <c r="BG647" s="909"/>
      <c r="BH647" s="909"/>
      <c r="BI647" s="909"/>
      <c r="BJ647" s="653"/>
      <c r="BK647" s="653"/>
      <c r="BL647" s="653"/>
      <c r="BM647" s="653"/>
      <c r="BN647" s="653"/>
      <c r="BO647" s="653"/>
      <c r="BP647" s="653"/>
      <c r="BQ647" s="653"/>
      <c r="BR647" s="653"/>
      <c r="BS647" s="653"/>
      <c r="BT647" s="653"/>
      <c r="BU647" s="653"/>
      <c r="BV647" s="654"/>
    </row>
    <row r="648" spans="2:74" x14ac:dyDescent="0.25">
      <c r="B648" s="651"/>
      <c r="C648" s="653"/>
      <c r="D648" s="653"/>
      <c r="E648" s="653"/>
      <c r="F648" s="653"/>
      <c r="G648" s="653"/>
      <c r="H648" s="653"/>
      <c r="I648" s="653"/>
      <c r="J648" s="653"/>
      <c r="K648" s="653"/>
      <c r="L648" s="653"/>
      <c r="M648" s="651"/>
      <c r="N648" s="909"/>
      <c r="O648" s="909"/>
      <c r="P648" s="909"/>
      <c r="Q648" s="910"/>
      <c r="R648" s="909"/>
      <c r="S648" s="909"/>
      <c r="T648" s="909"/>
      <c r="U648" s="909"/>
      <c r="V648" s="909"/>
      <c r="W648" s="909"/>
      <c r="X648" s="909"/>
      <c r="Y648" s="909"/>
      <c r="Z648" s="910"/>
      <c r="AA648" s="909"/>
      <c r="AB648" s="910"/>
      <c r="AC648" s="911"/>
      <c r="AD648" s="911"/>
      <c r="AE648" s="909"/>
      <c r="AF648" s="909"/>
      <c r="AG648" s="909"/>
      <c r="AH648" s="917"/>
      <c r="AI648" s="909"/>
      <c r="AJ648" s="916"/>
      <c r="AK648" s="916"/>
      <c r="AL648" s="653"/>
      <c r="AM648" s="918"/>
      <c r="AN648" s="915"/>
      <c r="AO648" s="653"/>
      <c r="AP648" s="653"/>
      <c r="AQ648" s="653"/>
      <c r="AR648" s="653"/>
      <c r="AS648" s="653"/>
      <c r="AT648" s="653"/>
      <c r="AU648" s="653"/>
      <c r="AV648" s="653"/>
      <c r="AW648" s="653"/>
      <c r="AX648" s="653"/>
      <c r="AY648" s="653"/>
      <c r="AZ648" s="653"/>
      <c r="BA648" s="653"/>
      <c r="BB648" s="653"/>
      <c r="BC648" s="653"/>
      <c r="BD648" s="653"/>
      <c r="BE648" s="653"/>
      <c r="BF648" s="653"/>
      <c r="BG648" s="653"/>
      <c r="BH648" s="653"/>
      <c r="BI648" s="653"/>
      <c r="BJ648" s="653"/>
      <c r="BK648" s="653"/>
      <c r="BL648" s="653"/>
      <c r="BM648" s="653"/>
      <c r="BN648" s="653"/>
      <c r="BO648" s="653"/>
      <c r="BP648" s="653"/>
      <c r="BQ648" s="653"/>
      <c r="BR648" s="653"/>
      <c r="BS648" s="653"/>
      <c r="BT648" s="653"/>
      <c r="BU648" s="653"/>
      <c r="BV648" s="654"/>
    </row>
    <row r="649" spans="2:74" x14ac:dyDescent="0.25">
      <c r="B649" s="651"/>
      <c r="C649" s="653"/>
      <c r="D649" s="653"/>
      <c r="E649" s="653"/>
      <c r="F649" s="653"/>
      <c r="G649" s="653"/>
      <c r="H649" s="653"/>
      <c r="I649" s="653"/>
      <c r="J649" s="653"/>
      <c r="K649" s="653"/>
      <c r="L649" s="653"/>
      <c r="M649" s="651"/>
      <c r="N649" s="909"/>
      <c r="O649" s="909"/>
      <c r="P649" s="909"/>
      <c r="Q649" s="910"/>
      <c r="R649" s="909"/>
      <c r="S649" s="909"/>
      <c r="T649" s="909"/>
      <c r="U649" s="909"/>
      <c r="V649" s="909"/>
      <c r="W649" s="909"/>
      <c r="X649" s="909"/>
      <c r="Y649" s="909"/>
      <c r="Z649" s="910"/>
      <c r="AA649" s="909"/>
      <c r="AB649" s="910"/>
      <c r="AC649" s="911"/>
      <c r="AD649" s="911"/>
      <c r="AE649" s="909"/>
      <c r="AF649" s="909"/>
      <c r="AG649" s="909"/>
      <c r="AH649" s="917"/>
      <c r="AI649" s="909"/>
      <c r="AJ649" s="916"/>
      <c r="AK649" s="916"/>
      <c r="AL649" s="653"/>
      <c r="AM649" s="918"/>
      <c r="AN649" s="915"/>
      <c r="AO649" s="909"/>
      <c r="AP649" s="909"/>
      <c r="AQ649" s="653"/>
      <c r="AR649" s="653"/>
      <c r="AS649" s="653"/>
      <c r="AT649" s="653"/>
      <c r="AU649" s="653"/>
      <c r="AV649" s="653"/>
      <c r="AW649" s="653"/>
      <c r="AX649" s="653"/>
      <c r="AY649" s="653"/>
      <c r="AZ649" s="653"/>
      <c r="BA649" s="653"/>
      <c r="BB649" s="653"/>
      <c r="BC649" s="653"/>
      <c r="BD649" s="653"/>
      <c r="BE649" s="653"/>
      <c r="BF649" s="653"/>
      <c r="BG649" s="653"/>
      <c r="BH649" s="653"/>
      <c r="BI649" s="653"/>
      <c r="BJ649" s="653"/>
      <c r="BK649" s="653"/>
      <c r="BL649" s="653"/>
      <c r="BM649" s="653"/>
      <c r="BN649" s="653"/>
      <c r="BO649" s="653"/>
      <c r="BP649" s="653"/>
      <c r="BQ649" s="653"/>
      <c r="BR649" s="653"/>
      <c r="BS649" s="653"/>
      <c r="BT649" s="653"/>
      <c r="BU649" s="653"/>
      <c r="BV649" s="654"/>
    </row>
    <row r="650" spans="2:74" x14ac:dyDescent="0.25">
      <c r="B650" s="651"/>
      <c r="C650" s="653"/>
      <c r="D650" s="653"/>
      <c r="E650" s="653"/>
      <c r="F650" s="653"/>
      <c r="G650" s="653"/>
      <c r="H650" s="653"/>
      <c r="I650" s="653"/>
      <c r="J650" s="653"/>
      <c r="K650" s="653"/>
      <c r="L650" s="653"/>
      <c r="M650" s="651"/>
      <c r="N650" s="909"/>
      <c r="O650" s="909"/>
      <c r="P650" s="909"/>
      <c r="Q650" s="910"/>
      <c r="R650" s="909"/>
      <c r="S650" s="909"/>
      <c r="T650" s="909"/>
      <c r="U650" s="909"/>
      <c r="V650" s="909"/>
      <c r="W650" s="909"/>
      <c r="X650" s="909"/>
      <c r="Y650" s="909"/>
      <c r="Z650" s="910"/>
      <c r="AA650" s="909"/>
      <c r="AB650" s="910"/>
      <c r="AC650" s="911"/>
      <c r="AD650" s="911"/>
      <c r="AE650" s="909"/>
      <c r="AF650" s="909"/>
      <c r="AG650" s="909"/>
      <c r="AH650" s="917"/>
      <c r="AI650" s="909"/>
      <c r="AJ650" s="916"/>
      <c r="AK650" s="916"/>
      <c r="AL650" s="653"/>
      <c r="AM650" s="918"/>
      <c r="AN650" s="915"/>
      <c r="AO650" s="909"/>
      <c r="AP650" s="909"/>
      <c r="AQ650" s="653"/>
      <c r="AR650" s="653"/>
      <c r="AS650" s="653"/>
      <c r="AT650" s="653"/>
      <c r="AU650" s="653"/>
      <c r="AV650" s="653"/>
      <c r="AW650" s="653"/>
      <c r="AX650" s="653"/>
      <c r="AY650" s="653"/>
      <c r="AZ650" s="653"/>
      <c r="BA650" s="653"/>
      <c r="BB650" s="653"/>
      <c r="BC650" s="653"/>
      <c r="BD650" s="653"/>
      <c r="BE650" s="653"/>
      <c r="BF650" s="653"/>
      <c r="BG650" s="653"/>
      <c r="BH650" s="653"/>
      <c r="BI650" s="653"/>
      <c r="BJ650" s="653"/>
      <c r="BK650" s="653"/>
      <c r="BL650" s="653"/>
      <c r="BM650" s="653"/>
      <c r="BN650" s="653"/>
      <c r="BO650" s="653"/>
      <c r="BP650" s="653"/>
      <c r="BQ650" s="653"/>
      <c r="BR650" s="653"/>
      <c r="BS650" s="653"/>
      <c r="BT650" s="653"/>
      <c r="BU650" s="653"/>
      <c r="BV650" s="654"/>
    </row>
    <row r="651" spans="2:74" x14ac:dyDescent="0.25">
      <c r="B651" s="651"/>
      <c r="C651" s="653"/>
      <c r="D651" s="653"/>
      <c r="E651" s="653"/>
      <c r="F651" s="653"/>
      <c r="G651" s="653"/>
      <c r="H651" s="653"/>
      <c r="I651" s="653"/>
      <c r="J651" s="653"/>
      <c r="K651" s="653"/>
      <c r="L651" s="653"/>
      <c r="M651" s="651"/>
      <c r="N651" s="909"/>
      <c r="O651" s="909"/>
      <c r="P651" s="909"/>
      <c r="Q651" s="910"/>
      <c r="R651" s="909"/>
      <c r="S651" s="909"/>
      <c r="T651" s="909"/>
      <c r="U651" s="909"/>
      <c r="V651" s="909"/>
      <c r="W651" s="909"/>
      <c r="X651" s="909"/>
      <c r="Y651" s="909"/>
      <c r="Z651" s="910"/>
      <c r="AA651" s="909"/>
      <c r="AB651" s="910"/>
      <c r="AC651" s="911"/>
      <c r="AD651" s="911"/>
      <c r="AE651" s="909"/>
      <c r="AF651" s="909"/>
      <c r="AG651" s="909"/>
      <c r="AH651" s="917"/>
      <c r="AI651" s="909"/>
      <c r="AJ651" s="916"/>
      <c r="AK651" s="916"/>
      <c r="AL651" s="653"/>
      <c r="AM651" s="918"/>
      <c r="AN651" s="915"/>
      <c r="AO651" s="653"/>
      <c r="AP651" s="653"/>
      <c r="AQ651" s="653"/>
      <c r="AR651" s="653"/>
      <c r="AS651" s="653"/>
      <c r="AT651" s="653"/>
      <c r="AU651" s="653"/>
      <c r="AV651" s="653"/>
      <c r="AW651" s="653"/>
      <c r="AX651" s="653"/>
      <c r="AY651" s="653"/>
      <c r="AZ651" s="653"/>
      <c r="BA651" s="653"/>
      <c r="BB651" s="653"/>
      <c r="BC651" s="653"/>
      <c r="BD651" s="653"/>
      <c r="BE651" s="653"/>
      <c r="BF651" s="653"/>
      <c r="BG651" s="653"/>
      <c r="BH651" s="653"/>
      <c r="BI651" s="653"/>
      <c r="BJ651" s="653"/>
      <c r="BK651" s="653"/>
      <c r="BL651" s="653"/>
      <c r="BM651" s="653"/>
      <c r="BN651" s="653"/>
      <c r="BO651" s="653"/>
      <c r="BP651" s="653"/>
      <c r="BQ651" s="653"/>
      <c r="BR651" s="653"/>
      <c r="BS651" s="653"/>
      <c r="BT651" s="653"/>
      <c r="BU651" s="653"/>
      <c r="BV651" s="654"/>
    </row>
    <row r="652" spans="2:74" x14ac:dyDescent="0.25">
      <c r="B652" s="651"/>
      <c r="C652" s="653"/>
      <c r="D652" s="653"/>
      <c r="E652" s="653"/>
      <c r="F652" s="653"/>
      <c r="G652" s="653"/>
      <c r="H652" s="653"/>
      <c r="I652" s="653"/>
      <c r="J652" s="653"/>
      <c r="K652" s="653"/>
      <c r="L652" s="653"/>
      <c r="M652" s="651"/>
      <c r="N652" s="909"/>
      <c r="O652" s="909"/>
      <c r="P652" s="909"/>
      <c r="Q652" s="910"/>
      <c r="R652" s="909"/>
      <c r="S652" s="909"/>
      <c r="T652" s="909"/>
      <c r="U652" s="909"/>
      <c r="V652" s="909"/>
      <c r="W652" s="909"/>
      <c r="X652" s="909"/>
      <c r="Y652" s="909"/>
      <c r="Z652" s="910"/>
      <c r="AA652" s="909"/>
      <c r="AB652" s="910"/>
      <c r="AC652" s="911"/>
      <c r="AD652" s="911"/>
      <c r="AE652" s="909"/>
      <c r="AF652" s="909"/>
      <c r="AG652" s="909"/>
      <c r="AH652" s="917"/>
      <c r="AI652" s="909"/>
      <c r="AJ652" s="916"/>
      <c r="AK652" s="916"/>
      <c r="AL652" s="653"/>
      <c r="AM652" s="918"/>
      <c r="AN652" s="915"/>
      <c r="AO652" s="653"/>
      <c r="AP652" s="909"/>
      <c r="AQ652" s="653"/>
      <c r="AR652" s="653"/>
      <c r="AS652" s="653"/>
      <c r="AT652" s="653"/>
      <c r="AU652" s="653"/>
      <c r="AV652" s="653"/>
      <c r="AW652" s="653"/>
      <c r="AX652" s="653"/>
      <c r="AY652" s="653"/>
      <c r="AZ652" s="653"/>
      <c r="BA652" s="653"/>
      <c r="BB652" s="653"/>
      <c r="BC652" s="653"/>
      <c r="BD652" s="653"/>
      <c r="BE652" s="653"/>
      <c r="BF652" s="653"/>
      <c r="BG652" s="653"/>
      <c r="BH652" s="653"/>
      <c r="BI652" s="653"/>
      <c r="BJ652" s="653"/>
      <c r="BK652" s="653"/>
      <c r="BL652" s="653"/>
      <c r="BM652" s="653"/>
      <c r="BN652" s="653"/>
      <c r="BO652" s="653"/>
      <c r="BP652" s="653"/>
      <c r="BQ652" s="653"/>
      <c r="BR652" s="653"/>
      <c r="BS652" s="653"/>
      <c r="BT652" s="653"/>
      <c r="BU652" s="653"/>
      <c r="BV652" s="654"/>
    </row>
    <row r="653" spans="2:74" x14ac:dyDescent="0.25">
      <c r="B653" s="651"/>
      <c r="C653" s="653"/>
      <c r="D653" s="653"/>
      <c r="E653" s="653"/>
      <c r="F653" s="653"/>
      <c r="G653" s="653"/>
      <c r="H653" s="653"/>
      <c r="I653" s="653"/>
      <c r="J653" s="653"/>
      <c r="K653" s="653"/>
      <c r="L653" s="653"/>
      <c r="M653" s="651"/>
      <c r="N653" s="909"/>
      <c r="O653" s="909"/>
      <c r="P653" s="909"/>
      <c r="Q653" s="910"/>
      <c r="R653" s="909"/>
      <c r="S653" s="909"/>
      <c r="T653" s="909"/>
      <c r="U653" s="909"/>
      <c r="V653" s="909"/>
      <c r="W653" s="909"/>
      <c r="X653" s="909"/>
      <c r="Y653" s="909"/>
      <c r="Z653" s="910"/>
      <c r="AA653" s="909"/>
      <c r="AB653" s="910"/>
      <c r="AC653" s="911"/>
      <c r="AD653" s="911"/>
      <c r="AE653" s="909"/>
      <c r="AF653" s="909"/>
      <c r="AG653" s="909"/>
      <c r="AH653" s="917"/>
      <c r="AI653" s="909"/>
      <c r="AJ653" s="916"/>
      <c r="AK653" s="916"/>
      <c r="AL653" s="653"/>
      <c r="AM653" s="918"/>
      <c r="AN653" s="915"/>
      <c r="AO653" s="653"/>
      <c r="AP653" s="653"/>
      <c r="AQ653" s="653"/>
      <c r="AR653" s="653"/>
      <c r="AS653" s="653"/>
      <c r="AT653" s="653"/>
      <c r="AU653" s="653"/>
      <c r="AV653" s="653"/>
      <c r="AW653" s="653"/>
      <c r="AX653" s="653"/>
      <c r="AY653" s="653"/>
      <c r="AZ653" s="653"/>
      <c r="BA653" s="653"/>
      <c r="BB653" s="653"/>
      <c r="BC653" s="653"/>
      <c r="BD653" s="653"/>
      <c r="BE653" s="653"/>
      <c r="BF653" s="653"/>
      <c r="BG653" s="653"/>
      <c r="BH653" s="653"/>
      <c r="BI653" s="653"/>
      <c r="BJ653" s="653"/>
      <c r="BK653" s="653"/>
      <c r="BL653" s="653"/>
      <c r="BM653" s="653"/>
      <c r="BN653" s="653"/>
      <c r="BO653" s="653"/>
      <c r="BP653" s="653"/>
      <c r="BQ653" s="653"/>
      <c r="BR653" s="653"/>
      <c r="BS653" s="653"/>
      <c r="BT653" s="653"/>
      <c r="BU653" s="653"/>
      <c r="BV653" s="654"/>
    </row>
    <row r="654" spans="2:74" x14ac:dyDescent="0.25">
      <c r="B654" s="651"/>
      <c r="C654" s="653"/>
      <c r="D654" s="653"/>
      <c r="E654" s="653"/>
      <c r="F654" s="653"/>
      <c r="G654" s="653"/>
      <c r="H654" s="653"/>
      <c r="I654" s="653"/>
      <c r="J654" s="653"/>
      <c r="K654" s="653"/>
      <c r="L654" s="653"/>
      <c r="M654" s="651"/>
      <c r="N654" s="909"/>
      <c r="O654" s="909"/>
      <c r="P654" s="909"/>
      <c r="Q654" s="910"/>
      <c r="R654" s="909"/>
      <c r="S654" s="909"/>
      <c r="T654" s="909"/>
      <c r="U654" s="909"/>
      <c r="V654" s="909"/>
      <c r="W654" s="909"/>
      <c r="X654" s="909"/>
      <c r="Y654" s="909"/>
      <c r="Z654" s="910"/>
      <c r="AA654" s="909"/>
      <c r="AB654" s="910"/>
      <c r="AC654" s="911"/>
      <c r="AD654" s="911"/>
      <c r="AE654" s="909"/>
      <c r="AF654" s="909"/>
      <c r="AG654" s="909"/>
      <c r="AH654" s="917"/>
      <c r="AI654" s="909"/>
      <c r="AJ654" s="916"/>
      <c r="AK654" s="916"/>
      <c r="AL654" s="653"/>
      <c r="AM654" s="918"/>
      <c r="AN654" s="915"/>
      <c r="AO654" s="653"/>
      <c r="AP654" s="653"/>
      <c r="AQ654" s="653"/>
      <c r="AR654" s="653"/>
      <c r="AS654" s="653"/>
      <c r="AT654" s="653"/>
      <c r="AU654" s="653"/>
      <c r="AV654" s="653"/>
      <c r="AW654" s="653"/>
      <c r="AX654" s="653"/>
      <c r="AY654" s="653"/>
      <c r="AZ654" s="653"/>
      <c r="BA654" s="653"/>
      <c r="BB654" s="653"/>
      <c r="BC654" s="653"/>
      <c r="BD654" s="653"/>
      <c r="BE654" s="653"/>
      <c r="BF654" s="653"/>
      <c r="BG654" s="653"/>
      <c r="BH654" s="653"/>
      <c r="BI654" s="653"/>
      <c r="BJ654" s="653"/>
      <c r="BK654" s="653"/>
      <c r="BL654" s="653"/>
      <c r="BM654" s="653"/>
      <c r="BN654" s="653"/>
      <c r="BO654" s="653"/>
      <c r="BP654" s="653"/>
      <c r="BQ654" s="653"/>
      <c r="BR654" s="653"/>
      <c r="BS654" s="653"/>
      <c r="BT654" s="653"/>
      <c r="BU654" s="653"/>
      <c r="BV654" s="654"/>
    </row>
    <row r="655" spans="2:74" x14ac:dyDescent="0.25">
      <c r="B655" s="651"/>
      <c r="C655" s="653"/>
      <c r="D655" s="653"/>
      <c r="E655" s="653"/>
      <c r="F655" s="653"/>
      <c r="G655" s="653"/>
      <c r="H655" s="653"/>
      <c r="I655" s="653"/>
      <c r="J655" s="653"/>
      <c r="K655" s="653"/>
      <c r="L655" s="653"/>
      <c r="M655" s="651"/>
      <c r="N655" s="909"/>
      <c r="O655" s="909"/>
      <c r="P655" s="909"/>
      <c r="Q655" s="910"/>
      <c r="R655" s="909"/>
      <c r="S655" s="909"/>
      <c r="T655" s="909"/>
      <c r="U655" s="909"/>
      <c r="V655" s="909"/>
      <c r="W655" s="909"/>
      <c r="X655" s="909"/>
      <c r="Y655" s="909"/>
      <c r="Z655" s="910"/>
      <c r="AA655" s="909"/>
      <c r="AB655" s="910"/>
      <c r="AC655" s="911"/>
      <c r="AD655" s="911"/>
      <c r="AE655" s="909"/>
      <c r="AF655" s="909"/>
      <c r="AG655" s="909"/>
      <c r="AH655" s="917"/>
      <c r="AI655" s="909"/>
      <c r="AJ655" s="916"/>
      <c r="AK655" s="916"/>
      <c r="AL655" s="653"/>
      <c r="AM655" s="918"/>
      <c r="AN655" s="915"/>
      <c r="AO655" s="653"/>
      <c r="AP655" s="653"/>
      <c r="AQ655" s="653"/>
      <c r="AR655" s="653"/>
      <c r="AS655" s="653"/>
      <c r="AT655" s="653"/>
      <c r="AU655" s="653"/>
      <c r="AV655" s="653"/>
      <c r="AW655" s="653"/>
      <c r="AX655" s="653"/>
      <c r="AY655" s="653"/>
      <c r="AZ655" s="653"/>
      <c r="BA655" s="653"/>
      <c r="BB655" s="653"/>
      <c r="BC655" s="653"/>
      <c r="BD655" s="653"/>
      <c r="BE655" s="653"/>
      <c r="BF655" s="653"/>
      <c r="BG655" s="653"/>
      <c r="BH655" s="653"/>
      <c r="BI655" s="653"/>
      <c r="BJ655" s="653"/>
      <c r="BK655" s="653"/>
      <c r="BL655" s="653"/>
      <c r="BM655" s="653"/>
      <c r="BN655" s="653"/>
      <c r="BO655" s="653"/>
      <c r="BP655" s="653"/>
      <c r="BQ655" s="653"/>
      <c r="BR655" s="653"/>
      <c r="BS655" s="653"/>
      <c r="BT655" s="653"/>
      <c r="BU655" s="653"/>
      <c r="BV655" s="654"/>
    </row>
    <row r="656" spans="2:74" x14ac:dyDescent="0.25">
      <c r="B656" s="651"/>
      <c r="C656" s="653"/>
      <c r="D656" s="653"/>
      <c r="E656" s="653"/>
      <c r="F656" s="653"/>
      <c r="G656" s="653"/>
      <c r="H656" s="653"/>
      <c r="I656" s="653"/>
      <c r="J656" s="653"/>
      <c r="K656" s="653"/>
      <c r="L656" s="653"/>
      <c r="M656" s="651"/>
      <c r="N656" s="909"/>
      <c r="O656" s="909"/>
      <c r="P656" s="909"/>
      <c r="Q656" s="910"/>
      <c r="R656" s="909"/>
      <c r="S656" s="909"/>
      <c r="T656" s="909"/>
      <c r="U656" s="909"/>
      <c r="V656" s="909"/>
      <c r="W656" s="909"/>
      <c r="X656" s="909"/>
      <c r="Y656" s="909"/>
      <c r="Z656" s="910"/>
      <c r="AA656" s="909"/>
      <c r="AB656" s="910"/>
      <c r="AC656" s="911"/>
      <c r="AD656" s="911"/>
      <c r="AE656" s="909"/>
      <c r="AF656" s="909"/>
      <c r="AG656" s="909"/>
      <c r="AH656" s="917"/>
      <c r="AI656" s="909"/>
      <c r="AJ656" s="916"/>
      <c r="AK656" s="916"/>
      <c r="AL656" s="653"/>
      <c r="AM656" s="918"/>
      <c r="AN656" s="915"/>
      <c r="AO656" s="653"/>
      <c r="AP656" s="653"/>
      <c r="AQ656" s="653"/>
      <c r="AR656" s="653"/>
      <c r="AS656" s="653"/>
      <c r="AT656" s="653"/>
      <c r="AU656" s="653"/>
      <c r="AV656" s="653"/>
      <c r="AW656" s="653"/>
      <c r="AX656" s="653"/>
      <c r="AY656" s="653"/>
      <c r="AZ656" s="653"/>
      <c r="BA656" s="653"/>
      <c r="BB656" s="653"/>
      <c r="BC656" s="653"/>
      <c r="BD656" s="653"/>
      <c r="BE656" s="653"/>
      <c r="BF656" s="653"/>
      <c r="BG656" s="653"/>
      <c r="BH656" s="653"/>
      <c r="BI656" s="653"/>
      <c r="BJ656" s="653"/>
      <c r="BK656" s="653"/>
      <c r="BL656" s="653"/>
      <c r="BM656" s="653"/>
      <c r="BN656" s="653"/>
      <c r="BO656" s="653"/>
      <c r="BP656" s="653"/>
      <c r="BQ656" s="653"/>
      <c r="BR656" s="653"/>
      <c r="BS656" s="653"/>
      <c r="BT656" s="653"/>
      <c r="BU656" s="653"/>
      <c r="BV656" s="654"/>
    </row>
    <row r="657" spans="2:74" x14ac:dyDescent="0.25">
      <c r="B657" s="651"/>
      <c r="C657" s="653"/>
      <c r="D657" s="653"/>
      <c r="E657" s="653"/>
      <c r="F657" s="653"/>
      <c r="G657" s="653"/>
      <c r="H657" s="653"/>
      <c r="I657" s="653"/>
      <c r="J657" s="653"/>
      <c r="K657" s="653"/>
      <c r="L657" s="653"/>
      <c r="M657" s="651"/>
      <c r="N657" s="909"/>
      <c r="O657" s="909"/>
      <c r="P657" s="909"/>
      <c r="Q657" s="910"/>
      <c r="R657" s="909"/>
      <c r="S657" s="909"/>
      <c r="T657" s="909"/>
      <c r="U657" s="909"/>
      <c r="V657" s="909"/>
      <c r="W657" s="909"/>
      <c r="X657" s="909"/>
      <c r="Y657" s="909"/>
      <c r="Z657" s="910"/>
      <c r="AA657" s="909"/>
      <c r="AB657" s="910"/>
      <c r="AC657" s="911"/>
      <c r="AD657" s="911"/>
      <c r="AE657" s="909"/>
      <c r="AF657" s="909"/>
      <c r="AG657" s="909"/>
      <c r="AH657" s="917"/>
      <c r="AI657" s="909"/>
      <c r="AJ657" s="916"/>
      <c r="AK657" s="916"/>
      <c r="AL657" s="653"/>
      <c r="AM657" s="918"/>
      <c r="AN657" s="915"/>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Q657" s="653"/>
      <c r="BR657" s="653"/>
      <c r="BS657" s="653"/>
      <c r="BT657" s="653"/>
      <c r="BU657" s="653"/>
      <c r="BV657" s="654"/>
    </row>
    <row r="658" spans="2:74" x14ac:dyDescent="0.25">
      <c r="B658" s="651"/>
      <c r="C658" s="653"/>
      <c r="D658" s="653"/>
      <c r="E658" s="653"/>
      <c r="F658" s="653"/>
      <c r="G658" s="653"/>
      <c r="H658" s="653"/>
      <c r="I658" s="653"/>
      <c r="J658" s="653"/>
      <c r="K658" s="653"/>
      <c r="L658" s="653"/>
      <c r="M658" s="651"/>
      <c r="N658" s="909"/>
      <c r="O658" s="909"/>
      <c r="P658" s="909"/>
      <c r="Q658" s="910"/>
      <c r="R658" s="909"/>
      <c r="S658" s="909"/>
      <c r="T658" s="909"/>
      <c r="U658" s="909"/>
      <c r="V658" s="909"/>
      <c r="W658" s="909"/>
      <c r="X658" s="909"/>
      <c r="Y658" s="909"/>
      <c r="Z658" s="910"/>
      <c r="AA658" s="909"/>
      <c r="AB658" s="910"/>
      <c r="AC658" s="911"/>
      <c r="AD658" s="911"/>
      <c r="AE658" s="909"/>
      <c r="AF658" s="909"/>
      <c r="AG658" s="909"/>
      <c r="AH658" s="917"/>
      <c r="AI658" s="909"/>
      <c r="AJ658" s="916"/>
      <c r="AK658" s="916"/>
      <c r="AL658" s="653"/>
      <c r="AM658" s="918"/>
      <c r="AN658" s="915"/>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BQ658" s="653"/>
      <c r="BR658" s="653"/>
      <c r="BS658" s="653"/>
      <c r="BT658" s="653"/>
      <c r="BU658" s="653"/>
      <c r="BV658" s="654"/>
    </row>
    <row r="659" spans="2:74" x14ac:dyDescent="0.25">
      <c r="B659" s="651"/>
      <c r="C659" s="653"/>
      <c r="D659" s="653"/>
      <c r="E659" s="653"/>
      <c r="F659" s="653"/>
      <c r="G659" s="653"/>
      <c r="H659" s="653"/>
      <c r="I659" s="653"/>
      <c r="J659" s="653"/>
      <c r="K659" s="653"/>
      <c r="L659" s="653"/>
      <c r="M659" s="651"/>
      <c r="N659" s="909"/>
      <c r="O659" s="909"/>
      <c r="P659" s="909"/>
      <c r="Q659" s="910"/>
      <c r="R659" s="909"/>
      <c r="S659" s="909"/>
      <c r="T659" s="909"/>
      <c r="U659" s="909"/>
      <c r="V659" s="909"/>
      <c r="W659" s="909"/>
      <c r="X659" s="909"/>
      <c r="Y659" s="909"/>
      <c r="Z659" s="910"/>
      <c r="AA659" s="909"/>
      <c r="AB659" s="910"/>
      <c r="AC659" s="911"/>
      <c r="AD659" s="911"/>
      <c r="AE659" s="909"/>
      <c r="AF659" s="909"/>
      <c r="AG659" s="909"/>
      <c r="AH659" s="917"/>
      <c r="AI659" s="909"/>
      <c r="AJ659" s="916"/>
      <c r="AK659" s="916"/>
      <c r="AL659" s="653"/>
      <c r="AM659" s="918"/>
      <c r="AN659" s="915"/>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BQ659" s="653"/>
      <c r="BR659" s="653"/>
      <c r="BS659" s="653"/>
      <c r="BT659" s="653"/>
      <c r="BU659" s="653"/>
      <c r="BV659" s="654"/>
    </row>
    <row r="660" spans="2:74" x14ac:dyDescent="0.25">
      <c r="B660" s="651"/>
      <c r="C660" s="653"/>
      <c r="D660" s="653"/>
      <c r="E660" s="653"/>
      <c r="F660" s="653"/>
      <c r="G660" s="653"/>
      <c r="H660" s="653"/>
      <c r="I660" s="653"/>
      <c r="J660" s="653"/>
      <c r="K660" s="653"/>
      <c r="L660" s="653"/>
      <c r="M660" s="651"/>
      <c r="N660" s="909"/>
      <c r="O660" s="909"/>
      <c r="P660" s="909"/>
      <c r="Q660" s="910"/>
      <c r="R660" s="909"/>
      <c r="S660" s="909"/>
      <c r="T660" s="909"/>
      <c r="U660" s="909"/>
      <c r="V660" s="909"/>
      <c r="W660" s="909"/>
      <c r="X660" s="909"/>
      <c r="Y660" s="909"/>
      <c r="Z660" s="910"/>
      <c r="AA660" s="909"/>
      <c r="AB660" s="910"/>
      <c r="AC660" s="911"/>
      <c r="AD660" s="911"/>
      <c r="AE660" s="909"/>
      <c r="AF660" s="909"/>
      <c r="AG660" s="909"/>
      <c r="AH660" s="917"/>
      <c r="AI660" s="909"/>
      <c r="AJ660" s="916"/>
      <c r="AK660" s="916"/>
      <c r="AL660" s="653"/>
      <c r="AM660" s="918"/>
      <c r="AN660" s="915"/>
      <c r="AO660" s="653"/>
      <c r="AP660" s="653"/>
      <c r="AQ660" s="653"/>
      <c r="AR660" s="653"/>
      <c r="AS660" s="653"/>
      <c r="AT660" s="653"/>
      <c r="AU660" s="653"/>
      <c r="AV660" s="653"/>
      <c r="AW660" s="653"/>
      <c r="AX660" s="653"/>
      <c r="AY660" s="653"/>
      <c r="AZ660" s="653"/>
      <c r="BA660" s="653"/>
      <c r="BB660" s="653"/>
      <c r="BC660" s="653"/>
      <c r="BD660" s="653"/>
      <c r="BE660" s="653"/>
      <c r="BF660" s="653"/>
      <c r="BG660" s="653"/>
      <c r="BH660" s="653"/>
      <c r="BI660" s="653"/>
      <c r="BJ660" s="653"/>
      <c r="BK660" s="653"/>
      <c r="BL660" s="653"/>
      <c r="BM660" s="653"/>
      <c r="BN660" s="653"/>
      <c r="BO660" s="653"/>
      <c r="BP660" s="653"/>
      <c r="BQ660" s="653"/>
      <c r="BR660" s="653"/>
      <c r="BS660" s="653"/>
      <c r="BT660" s="653"/>
      <c r="BU660" s="653"/>
      <c r="BV660" s="654"/>
    </row>
    <row r="661" spans="2:74" x14ac:dyDescent="0.25">
      <c r="B661" s="651"/>
      <c r="C661" s="653"/>
      <c r="D661" s="653"/>
      <c r="E661" s="653"/>
      <c r="F661" s="653"/>
      <c r="G661" s="653"/>
      <c r="H661" s="653"/>
      <c r="I661" s="653"/>
      <c r="J661" s="653"/>
      <c r="K661" s="653"/>
      <c r="L661" s="653"/>
      <c r="M661" s="651"/>
      <c r="N661" s="909"/>
      <c r="O661" s="909"/>
      <c r="P661" s="909"/>
      <c r="Q661" s="910"/>
      <c r="R661" s="909"/>
      <c r="S661" s="909"/>
      <c r="T661" s="909"/>
      <c r="U661" s="909"/>
      <c r="V661" s="909"/>
      <c r="W661" s="909"/>
      <c r="X661" s="909"/>
      <c r="Y661" s="909"/>
      <c r="Z661" s="910"/>
      <c r="AA661" s="909"/>
      <c r="AB661" s="910"/>
      <c r="AC661" s="911"/>
      <c r="AD661" s="911"/>
      <c r="AE661" s="909"/>
      <c r="AF661" s="909"/>
      <c r="AG661" s="909"/>
      <c r="AH661" s="917"/>
      <c r="AI661" s="909"/>
      <c r="AJ661" s="916"/>
      <c r="AK661" s="916"/>
      <c r="AL661" s="653"/>
      <c r="AM661" s="918"/>
      <c r="AN661" s="915"/>
      <c r="AO661" s="653"/>
      <c r="AP661" s="653"/>
      <c r="AQ661" s="653"/>
      <c r="AR661" s="653"/>
      <c r="AS661" s="653"/>
      <c r="AT661" s="653"/>
      <c r="AU661" s="653"/>
      <c r="AV661" s="653"/>
      <c r="AW661" s="653"/>
      <c r="AX661" s="653"/>
      <c r="AY661" s="653"/>
      <c r="AZ661" s="653"/>
      <c r="BA661" s="653"/>
      <c r="BB661" s="653"/>
      <c r="BC661" s="653"/>
      <c r="BD661" s="653"/>
      <c r="BE661" s="653"/>
      <c r="BF661" s="653"/>
      <c r="BG661" s="653"/>
      <c r="BH661" s="653"/>
      <c r="BI661" s="653"/>
      <c r="BJ661" s="653"/>
      <c r="BK661" s="653"/>
      <c r="BL661" s="653"/>
      <c r="BM661" s="653"/>
      <c r="BN661" s="653"/>
      <c r="BO661" s="653"/>
      <c r="BP661" s="653"/>
      <c r="BQ661" s="653"/>
      <c r="BR661" s="653"/>
      <c r="BS661" s="653"/>
      <c r="BT661" s="653"/>
      <c r="BU661" s="653"/>
      <c r="BV661" s="654"/>
    </row>
    <row r="662" spans="2:74" x14ac:dyDescent="0.25">
      <c r="B662" s="651"/>
      <c r="C662" s="653"/>
      <c r="D662" s="653"/>
      <c r="E662" s="653"/>
      <c r="F662" s="653"/>
      <c r="G662" s="653"/>
      <c r="H662" s="653"/>
      <c r="I662" s="653"/>
      <c r="J662" s="653"/>
      <c r="K662" s="653"/>
      <c r="L662" s="653"/>
      <c r="M662" s="651"/>
      <c r="N662" s="909"/>
      <c r="O662" s="909"/>
      <c r="P662" s="909"/>
      <c r="Q662" s="910"/>
      <c r="R662" s="909"/>
      <c r="S662" s="909"/>
      <c r="T662" s="909"/>
      <c r="U662" s="909"/>
      <c r="V662" s="909"/>
      <c r="W662" s="909"/>
      <c r="X662" s="909"/>
      <c r="Y662" s="909"/>
      <c r="Z662" s="910"/>
      <c r="AA662" s="909"/>
      <c r="AB662" s="910"/>
      <c r="AC662" s="911"/>
      <c r="AD662" s="911"/>
      <c r="AE662" s="909"/>
      <c r="AF662" s="909"/>
      <c r="AG662" s="909"/>
      <c r="AH662" s="917"/>
      <c r="AI662" s="909"/>
      <c r="AJ662" s="916"/>
      <c r="AK662" s="916"/>
      <c r="AL662" s="653"/>
      <c r="AM662" s="918"/>
      <c r="AN662" s="915"/>
      <c r="AO662" s="653"/>
      <c r="AP662" s="653"/>
      <c r="AQ662" s="653"/>
      <c r="AR662" s="653"/>
      <c r="AS662" s="653"/>
      <c r="AT662" s="653"/>
      <c r="AU662" s="653"/>
      <c r="AV662" s="653"/>
      <c r="AW662" s="653"/>
      <c r="AX662" s="653"/>
      <c r="AY662" s="653"/>
      <c r="AZ662" s="653"/>
      <c r="BA662" s="653"/>
      <c r="BB662" s="653"/>
      <c r="BC662" s="653"/>
      <c r="BD662" s="653"/>
      <c r="BE662" s="653"/>
      <c r="BF662" s="653"/>
      <c r="BG662" s="653"/>
      <c r="BH662" s="653"/>
      <c r="BI662" s="653"/>
      <c r="BJ662" s="653"/>
      <c r="BK662" s="653"/>
      <c r="BL662" s="653"/>
      <c r="BM662" s="653"/>
      <c r="BN662" s="653"/>
      <c r="BO662" s="653"/>
      <c r="BP662" s="653"/>
      <c r="BQ662" s="653"/>
      <c r="BR662" s="653"/>
      <c r="BS662" s="653"/>
      <c r="BT662" s="653"/>
      <c r="BU662" s="653"/>
      <c r="BV662" s="654"/>
    </row>
    <row r="663" spans="2:74" x14ac:dyDescent="0.25">
      <c r="B663" s="651"/>
      <c r="C663" s="653"/>
      <c r="D663" s="653"/>
      <c r="E663" s="653"/>
      <c r="F663" s="653"/>
      <c r="G663" s="653"/>
      <c r="H663" s="653"/>
      <c r="I663" s="653"/>
      <c r="J663" s="653"/>
      <c r="K663" s="653"/>
      <c r="L663" s="653"/>
      <c r="M663" s="651"/>
      <c r="N663" s="909"/>
      <c r="O663" s="909"/>
      <c r="P663" s="909"/>
      <c r="Q663" s="910"/>
      <c r="R663" s="909"/>
      <c r="S663" s="909"/>
      <c r="T663" s="909"/>
      <c r="U663" s="909"/>
      <c r="V663" s="909"/>
      <c r="W663" s="909"/>
      <c r="X663" s="909"/>
      <c r="Y663" s="909"/>
      <c r="Z663" s="910"/>
      <c r="AA663" s="909"/>
      <c r="AB663" s="910"/>
      <c r="AC663" s="911"/>
      <c r="AD663" s="911"/>
      <c r="AE663" s="909"/>
      <c r="AF663" s="909"/>
      <c r="AG663" s="909"/>
      <c r="AH663" s="917"/>
      <c r="AI663" s="909"/>
      <c r="AJ663" s="916"/>
      <c r="AK663" s="916"/>
      <c r="AL663" s="653"/>
      <c r="AM663" s="918"/>
      <c r="AN663" s="915"/>
      <c r="AO663" s="653"/>
      <c r="AP663" s="653"/>
      <c r="AQ663" s="653"/>
      <c r="AR663" s="653"/>
      <c r="AS663" s="653"/>
      <c r="AT663" s="653"/>
      <c r="AU663" s="653"/>
      <c r="AV663" s="653"/>
      <c r="AW663" s="653"/>
      <c r="AX663" s="653"/>
      <c r="AY663" s="653"/>
      <c r="AZ663" s="653"/>
      <c r="BA663" s="653"/>
      <c r="BB663" s="653"/>
      <c r="BC663" s="653"/>
      <c r="BD663" s="653"/>
      <c r="BE663" s="653"/>
      <c r="BF663" s="653"/>
      <c r="BG663" s="653"/>
      <c r="BH663" s="653"/>
      <c r="BI663" s="653"/>
      <c r="BJ663" s="653"/>
      <c r="BK663" s="653"/>
      <c r="BL663" s="653"/>
      <c r="BM663" s="653"/>
      <c r="BN663" s="653"/>
      <c r="BO663" s="653"/>
      <c r="BP663" s="653"/>
      <c r="BQ663" s="653"/>
      <c r="BR663" s="653"/>
      <c r="BS663" s="653"/>
      <c r="BT663" s="653"/>
      <c r="BU663" s="653"/>
      <c r="BV663" s="654"/>
    </row>
    <row r="664" spans="2:74" x14ac:dyDescent="0.25">
      <c r="B664" s="651"/>
      <c r="C664" s="653"/>
      <c r="D664" s="653"/>
      <c r="E664" s="653"/>
      <c r="F664" s="653"/>
      <c r="G664" s="653"/>
      <c r="H664" s="653"/>
      <c r="I664" s="653"/>
      <c r="J664" s="653"/>
      <c r="K664" s="653"/>
      <c r="L664" s="653"/>
      <c r="M664" s="651"/>
      <c r="N664" s="909"/>
      <c r="O664" s="909"/>
      <c r="P664" s="909"/>
      <c r="Q664" s="910"/>
      <c r="R664" s="909"/>
      <c r="S664" s="909"/>
      <c r="T664" s="909"/>
      <c r="U664" s="909"/>
      <c r="V664" s="909"/>
      <c r="W664" s="909"/>
      <c r="X664" s="909"/>
      <c r="Y664" s="909"/>
      <c r="Z664" s="910"/>
      <c r="AA664" s="909"/>
      <c r="AB664" s="910"/>
      <c r="AC664" s="911"/>
      <c r="AD664" s="911"/>
      <c r="AE664" s="909"/>
      <c r="AF664" s="909"/>
      <c r="AG664" s="909"/>
      <c r="AH664" s="917"/>
      <c r="AI664" s="909"/>
      <c r="AJ664" s="916"/>
      <c r="AK664" s="916"/>
      <c r="AL664" s="653"/>
      <c r="AM664" s="918"/>
      <c r="AN664" s="915"/>
      <c r="AO664" s="653"/>
      <c r="AP664" s="653"/>
      <c r="AQ664" s="653"/>
      <c r="AR664" s="653"/>
      <c r="AS664" s="653"/>
      <c r="AT664" s="653"/>
      <c r="AU664" s="653"/>
      <c r="AV664" s="653"/>
      <c r="AW664" s="653"/>
      <c r="AX664" s="653"/>
      <c r="AY664" s="653"/>
      <c r="AZ664" s="653"/>
      <c r="BA664" s="653"/>
      <c r="BB664" s="653"/>
      <c r="BC664" s="653"/>
      <c r="BD664" s="653"/>
      <c r="BE664" s="653"/>
      <c r="BF664" s="653"/>
      <c r="BG664" s="653"/>
      <c r="BH664" s="653"/>
      <c r="BI664" s="653"/>
      <c r="BJ664" s="653"/>
      <c r="BK664" s="653"/>
      <c r="BL664" s="653"/>
      <c r="BM664" s="653"/>
      <c r="BN664" s="653"/>
      <c r="BO664" s="653"/>
      <c r="BP664" s="653"/>
      <c r="BQ664" s="653"/>
      <c r="BR664" s="653"/>
      <c r="BS664" s="653"/>
      <c r="BT664" s="653"/>
      <c r="BU664" s="653"/>
      <c r="BV664" s="654"/>
    </row>
    <row r="665" spans="2:74" x14ac:dyDescent="0.25">
      <c r="B665" s="651"/>
      <c r="C665" s="653"/>
      <c r="D665" s="653"/>
      <c r="E665" s="653"/>
      <c r="F665" s="653"/>
      <c r="G665" s="653"/>
      <c r="H665" s="653"/>
      <c r="I665" s="653"/>
      <c r="J665" s="653"/>
      <c r="K665" s="653"/>
      <c r="L665" s="653"/>
      <c r="M665" s="651"/>
      <c r="N665" s="909"/>
      <c r="O665" s="909"/>
      <c r="P665" s="909"/>
      <c r="Q665" s="910"/>
      <c r="R665" s="909"/>
      <c r="S665" s="909"/>
      <c r="T665" s="909"/>
      <c r="U665" s="909"/>
      <c r="V665" s="909"/>
      <c r="W665" s="909"/>
      <c r="X665" s="909"/>
      <c r="Y665" s="909"/>
      <c r="Z665" s="910"/>
      <c r="AA665" s="909"/>
      <c r="AB665" s="910"/>
      <c r="AC665" s="911"/>
      <c r="AD665" s="911"/>
      <c r="AE665" s="909"/>
      <c r="AF665" s="909"/>
      <c r="AG665" s="909"/>
      <c r="AH665" s="917"/>
      <c r="AI665" s="909"/>
      <c r="AJ665" s="916"/>
      <c r="AK665" s="916"/>
      <c r="AL665" s="653"/>
      <c r="AM665" s="918"/>
      <c r="AN665" s="915"/>
      <c r="AO665" s="653"/>
      <c r="AP665" s="653"/>
      <c r="AQ665" s="653"/>
      <c r="AR665" s="653"/>
      <c r="AS665" s="653"/>
      <c r="AT665" s="653"/>
      <c r="AU665" s="653"/>
      <c r="AV665" s="653"/>
      <c r="AW665" s="653"/>
      <c r="AX665" s="653"/>
      <c r="AY665" s="653"/>
      <c r="AZ665" s="653"/>
      <c r="BA665" s="653"/>
      <c r="BB665" s="653"/>
      <c r="BC665" s="653"/>
      <c r="BD665" s="653"/>
      <c r="BE665" s="653"/>
      <c r="BF665" s="653"/>
      <c r="BG665" s="653"/>
      <c r="BH665" s="653"/>
      <c r="BI665" s="653"/>
      <c r="BJ665" s="653"/>
      <c r="BK665" s="653"/>
      <c r="BL665" s="653"/>
      <c r="BM665" s="653"/>
      <c r="BN665" s="653"/>
      <c r="BO665" s="653"/>
      <c r="BP665" s="653"/>
      <c r="BQ665" s="653"/>
      <c r="BR665" s="653"/>
      <c r="BS665" s="653"/>
      <c r="BT665" s="653"/>
      <c r="BU665" s="653"/>
      <c r="BV665" s="654"/>
    </row>
    <row r="666" spans="2:74" x14ac:dyDescent="0.25">
      <c r="B666" s="651"/>
      <c r="C666" s="653"/>
      <c r="D666" s="653"/>
      <c r="E666" s="653"/>
      <c r="F666" s="653"/>
      <c r="G666" s="653"/>
      <c r="H666" s="653"/>
      <c r="I666" s="653"/>
      <c r="J666" s="653"/>
      <c r="K666" s="653"/>
      <c r="L666" s="653"/>
      <c r="M666" s="651"/>
      <c r="N666" s="909"/>
      <c r="O666" s="909"/>
      <c r="P666" s="909"/>
      <c r="Q666" s="910"/>
      <c r="R666" s="909"/>
      <c r="S666" s="909"/>
      <c r="T666" s="909"/>
      <c r="U666" s="909"/>
      <c r="V666" s="909"/>
      <c r="W666" s="909"/>
      <c r="X666" s="909"/>
      <c r="Y666" s="909"/>
      <c r="Z666" s="910"/>
      <c r="AA666" s="909"/>
      <c r="AB666" s="910"/>
      <c r="AC666" s="911"/>
      <c r="AD666" s="911"/>
      <c r="AE666" s="909"/>
      <c r="AF666" s="909"/>
      <c r="AG666" s="909"/>
      <c r="AH666" s="917"/>
      <c r="AI666" s="909"/>
      <c r="AJ666" s="916"/>
      <c r="AK666" s="916"/>
      <c r="AL666" s="653"/>
      <c r="AM666" s="918"/>
      <c r="AN666" s="915"/>
      <c r="AO666" s="653"/>
      <c r="AP666" s="653"/>
      <c r="AQ666" s="653"/>
      <c r="AR666" s="653"/>
      <c r="AS666" s="653"/>
      <c r="AT666" s="653"/>
      <c r="AU666" s="653"/>
      <c r="AV666" s="653"/>
      <c r="AW666" s="653"/>
      <c r="AX666" s="653"/>
      <c r="AY666" s="653"/>
      <c r="AZ666" s="653"/>
      <c r="BA666" s="653"/>
      <c r="BB666" s="653"/>
      <c r="BC666" s="653"/>
      <c r="BD666" s="653"/>
      <c r="BE666" s="653"/>
      <c r="BF666" s="653"/>
      <c r="BG666" s="653"/>
      <c r="BH666" s="653"/>
      <c r="BI666" s="653"/>
      <c r="BJ666" s="653"/>
      <c r="BK666" s="653"/>
      <c r="BL666" s="653"/>
      <c r="BM666" s="653"/>
      <c r="BN666" s="653"/>
      <c r="BO666" s="653"/>
      <c r="BP666" s="653"/>
      <c r="BQ666" s="653"/>
      <c r="BR666" s="653"/>
      <c r="BS666" s="653"/>
      <c r="BT666" s="653"/>
      <c r="BU666" s="653"/>
      <c r="BV666" s="654"/>
    </row>
    <row r="667" spans="2:74" x14ac:dyDescent="0.25">
      <c r="B667" s="651"/>
      <c r="C667" s="653"/>
      <c r="D667" s="653"/>
      <c r="E667" s="653"/>
      <c r="F667" s="653"/>
      <c r="G667" s="653"/>
      <c r="H667" s="653"/>
      <c r="I667" s="653"/>
      <c r="J667" s="653"/>
      <c r="K667" s="653"/>
      <c r="L667" s="653"/>
      <c r="M667" s="651"/>
      <c r="N667" s="909"/>
      <c r="O667" s="909"/>
      <c r="P667" s="909"/>
      <c r="Q667" s="910"/>
      <c r="R667" s="909"/>
      <c r="S667" s="909"/>
      <c r="T667" s="909"/>
      <c r="U667" s="909"/>
      <c r="V667" s="909"/>
      <c r="W667" s="909"/>
      <c r="X667" s="909"/>
      <c r="Y667" s="909"/>
      <c r="Z667" s="910"/>
      <c r="AA667" s="909"/>
      <c r="AB667" s="910"/>
      <c r="AC667" s="911"/>
      <c r="AD667" s="911"/>
      <c r="AE667" s="909"/>
      <c r="AF667" s="909"/>
      <c r="AG667" s="909"/>
      <c r="AH667" s="917"/>
      <c r="AI667" s="909"/>
      <c r="AJ667" s="916"/>
      <c r="AK667" s="916"/>
      <c r="AL667" s="653"/>
      <c r="AM667" s="918"/>
      <c r="AN667" s="915"/>
      <c r="AO667" s="653"/>
      <c r="AP667" s="653"/>
      <c r="AQ667" s="653"/>
      <c r="AR667" s="653"/>
      <c r="AS667" s="653"/>
      <c r="AT667" s="653"/>
      <c r="AU667" s="653"/>
      <c r="AV667" s="653"/>
      <c r="AW667" s="653"/>
      <c r="AX667" s="653"/>
      <c r="AY667" s="653"/>
      <c r="AZ667" s="653"/>
      <c r="BA667" s="653"/>
      <c r="BB667" s="653"/>
      <c r="BC667" s="653"/>
      <c r="BD667" s="653"/>
      <c r="BE667" s="653"/>
      <c r="BF667" s="653"/>
      <c r="BG667" s="653"/>
      <c r="BH667" s="653"/>
      <c r="BI667" s="653"/>
      <c r="BJ667" s="653"/>
      <c r="BK667" s="653"/>
      <c r="BL667" s="653"/>
      <c r="BM667" s="653"/>
      <c r="BN667" s="653"/>
      <c r="BO667" s="653"/>
      <c r="BP667" s="653"/>
      <c r="BQ667" s="653"/>
      <c r="BR667" s="653"/>
      <c r="BS667" s="653"/>
      <c r="BT667" s="653"/>
      <c r="BU667" s="653"/>
      <c r="BV667" s="654"/>
    </row>
    <row r="668" spans="2:74" x14ac:dyDescent="0.25">
      <c r="B668" s="651"/>
      <c r="C668" s="653"/>
      <c r="D668" s="653"/>
      <c r="E668" s="653"/>
      <c r="F668" s="653"/>
      <c r="G668" s="653"/>
      <c r="H668" s="653"/>
      <c r="I668" s="653"/>
      <c r="J668" s="653"/>
      <c r="K668" s="653"/>
      <c r="L668" s="653"/>
      <c r="M668" s="651"/>
      <c r="N668" s="909"/>
      <c r="O668" s="909"/>
      <c r="P668" s="909"/>
      <c r="Q668" s="910"/>
      <c r="R668" s="909"/>
      <c r="S668" s="909"/>
      <c r="T668" s="909"/>
      <c r="U668" s="909"/>
      <c r="V668" s="909"/>
      <c r="W668" s="909"/>
      <c r="X668" s="909"/>
      <c r="Y668" s="909"/>
      <c r="Z668" s="910"/>
      <c r="AA668" s="909"/>
      <c r="AB668" s="910"/>
      <c r="AC668" s="911"/>
      <c r="AD668" s="911"/>
      <c r="AE668" s="909"/>
      <c r="AF668" s="909"/>
      <c r="AG668" s="909"/>
      <c r="AH668" s="917"/>
      <c r="AI668" s="909"/>
      <c r="AJ668" s="916"/>
      <c r="AK668" s="916"/>
      <c r="AL668" s="653"/>
      <c r="AM668" s="918"/>
      <c r="AN668" s="915"/>
      <c r="AO668" s="653"/>
      <c r="AP668" s="653"/>
      <c r="AQ668" s="653"/>
      <c r="AR668" s="653"/>
      <c r="AS668" s="653"/>
      <c r="AT668" s="653"/>
      <c r="AU668" s="653"/>
      <c r="AV668" s="653"/>
      <c r="AW668" s="653"/>
      <c r="AX668" s="653"/>
      <c r="AY668" s="653"/>
      <c r="AZ668" s="653"/>
      <c r="BA668" s="653"/>
      <c r="BB668" s="653"/>
      <c r="BC668" s="653"/>
      <c r="BD668" s="653"/>
      <c r="BE668" s="653"/>
      <c r="BF668" s="653"/>
      <c r="BG668" s="653"/>
      <c r="BH668" s="653"/>
      <c r="BI668" s="653"/>
      <c r="BJ668" s="653"/>
      <c r="BK668" s="653"/>
      <c r="BL668" s="653"/>
      <c r="BM668" s="653"/>
      <c r="BN668" s="653"/>
      <c r="BO668" s="653"/>
      <c r="BP668" s="653"/>
      <c r="BQ668" s="653"/>
      <c r="BR668" s="653"/>
      <c r="BS668" s="653"/>
      <c r="BT668" s="653"/>
      <c r="BU668" s="653"/>
      <c r="BV668" s="654"/>
    </row>
    <row r="669" spans="2:74" x14ac:dyDescent="0.25">
      <c r="B669" s="651"/>
      <c r="C669" s="653"/>
      <c r="D669" s="653"/>
      <c r="E669" s="653"/>
      <c r="F669" s="653"/>
      <c r="G669" s="653"/>
      <c r="H669" s="653"/>
      <c r="I669" s="653"/>
      <c r="J669" s="653"/>
      <c r="K669" s="653"/>
      <c r="L669" s="653"/>
      <c r="M669" s="651"/>
      <c r="N669" s="909"/>
      <c r="O669" s="909"/>
      <c r="P669" s="909"/>
      <c r="Q669" s="910"/>
      <c r="R669" s="909"/>
      <c r="S669" s="909"/>
      <c r="T669" s="909"/>
      <c r="U669" s="909"/>
      <c r="V669" s="909"/>
      <c r="W669" s="909"/>
      <c r="X669" s="909"/>
      <c r="Y669" s="909"/>
      <c r="Z669" s="910"/>
      <c r="AA669" s="909"/>
      <c r="AB669" s="910"/>
      <c r="AC669" s="911"/>
      <c r="AD669" s="911"/>
      <c r="AE669" s="909"/>
      <c r="AF669" s="909"/>
      <c r="AG669" s="909"/>
      <c r="AH669" s="917"/>
      <c r="AI669" s="909"/>
      <c r="AJ669" s="916"/>
      <c r="AK669" s="916"/>
      <c r="AL669" s="653"/>
      <c r="AM669" s="918"/>
      <c r="AN669" s="915"/>
      <c r="AO669" s="653"/>
      <c r="AP669" s="653"/>
      <c r="AQ669" s="653"/>
      <c r="AR669" s="653"/>
      <c r="AS669" s="653"/>
      <c r="AT669" s="653"/>
      <c r="AU669" s="653"/>
      <c r="AV669" s="653"/>
      <c r="AW669" s="653"/>
      <c r="AX669" s="653"/>
      <c r="AY669" s="653"/>
      <c r="AZ669" s="653"/>
      <c r="BA669" s="653"/>
      <c r="BB669" s="653"/>
      <c r="BC669" s="653"/>
      <c r="BD669" s="653"/>
      <c r="BE669" s="653"/>
      <c r="BF669" s="653"/>
      <c r="BG669" s="653"/>
      <c r="BH669" s="653"/>
      <c r="BI669" s="653"/>
      <c r="BJ669" s="653"/>
      <c r="BK669" s="653"/>
      <c r="BL669" s="653"/>
      <c r="BM669" s="653"/>
      <c r="BN669" s="653"/>
      <c r="BO669" s="653"/>
      <c r="BP669" s="653"/>
      <c r="BQ669" s="653"/>
      <c r="BR669" s="653"/>
      <c r="BS669" s="653"/>
      <c r="BT669" s="653"/>
      <c r="BU669" s="653"/>
      <c r="BV669" s="654"/>
    </row>
    <row r="670" spans="2:74" x14ac:dyDescent="0.25">
      <c r="B670" s="651"/>
      <c r="C670" s="653"/>
      <c r="D670" s="653"/>
      <c r="E670" s="653"/>
      <c r="F670" s="653"/>
      <c r="G670" s="653"/>
      <c r="H670" s="653"/>
      <c r="I670" s="653"/>
      <c r="J670" s="653"/>
      <c r="K670" s="653"/>
      <c r="L670" s="653"/>
      <c r="M670" s="651"/>
      <c r="N670" s="909"/>
      <c r="O670" s="909"/>
      <c r="P670" s="909"/>
      <c r="Q670" s="910"/>
      <c r="R670" s="909"/>
      <c r="S670" s="909"/>
      <c r="T670" s="909"/>
      <c r="U670" s="909"/>
      <c r="V670" s="909"/>
      <c r="W670" s="909"/>
      <c r="X670" s="909"/>
      <c r="Y670" s="909"/>
      <c r="Z670" s="910"/>
      <c r="AA670" s="909"/>
      <c r="AB670" s="910"/>
      <c r="AC670" s="911"/>
      <c r="AD670" s="911"/>
      <c r="AE670" s="909"/>
      <c r="AF670" s="909"/>
      <c r="AG670" s="909"/>
      <c r="AH670" s="917"/>
      <c r="AI670" s="909"/>
      <c r="AJ670" s="916"/>
      <c r="AK670" s="916"/>
      <c r="AL670" s="653"/>
      <c r="AM670" s="918"/>
      <c r="AN670" s="915"/>
      <c r="AO670" s="653"/>
      <c r="AP670" s="653"/>
      <c r="AQ670" s="653"/>
      <c r="AR670" s="653"/>
      <c r="AS670" s="653"/>
      <c r="AT670" s="653"/>
      <c r="AU670" s="653"/>
      <c r="AV670" s="653"/>
      <c r="AW670" s="653"/>
      <c r="AX670" s="653"/>
      <c r="AY670" s="653"/>
      <c r="AZ670" s="653"/>
      <c r="BA670" s="653"/>
      <c r="BB670" s="653"/>
      <c r="BC670" s="653"/>
      <c r="BD670" s="653"/>
      <c r="BE670" s="653"/>
      <c r="BF670" s="653"/>
      <c r="BG670" s="653"/>
      <c r="BH670" s="653"/>
      <c r="BI670" s="653"/>
      <c r="BJ670" s="653"/>
      <c r="BK670" s="653"/>
      <c r="BL670" s="653"/>
      <c r="BM670" s="653"/>
      <c r="BN670" s="653"/>
      <c r="BO670" s="653"/>
      <c r="BP670" s="653"/>
      <c r="BQ670" s="653"/>
      <c r="BR670" s="653"/>
      <c r="BS670" s="653"/>
      <c r="BT670" s="653"/>
      <c r="BU670" s="653"/>
      <c r="BV670" s="654"/>
    </row>
    <row r="671" spans="2:74" x14ac:dyDescent="0.25">
      <c r="B671" s="651"/>
      <c r="C671" s="653"/>
      <c r="D671" s="653"/>
      <c r="E671" s="653"/>
      <c r="F671" s="653"/>
      <c r="G671" s="653"/>
      <c r="H671" s="653"/>
      <c r="I671" s="653"/>
      <c r="J671" s="653"/>
      <c r="K671" s="653"/>
      <c r="L671" s="653"/>
      <c r="M671" s="651"/>
      <c r="N671" s="909"/>
      <c r="O671" s="909"/>
      <c r="P671" s="909"/>
      <c r="Q671" s="910"/>
      <c r="R671" s="909"/>
      <c r="S671" s="909"/>
      <c r="T671" s="909"/>
      <c r="U671" s="909"/>
      <c r="V671" s="909"/>
      <c r="W671" s="909"/>
      <c r="X671" s="909"/>
      <c r="Y671" s="909"/>
      <c r="Z671" s="910"/>
      <c r="AA671" s="909"/>
      <c r="AB671" s="910"/>
      <c r="AC671" s="911"/>
      <c r="AD671" s="911"/>
      <c r="AE671" s="909"/>
      <c r="AF671" s="909"/>
      <c r="AG671" s="909"/>
      <c r="AH671" s="917"/>
      <c r="AI671" s="909"/>
      <c r="AJ671" s="916"/>
      <c r="AK671" s="916"/>
      <c r="AL671" s="653"/>
      <c r="AM671" s="918"/>
      <c r="AN671" s="915"/>
      <c r="AO671" s="653"/>
      <c r="AP671" s="653"/>
      <c r="AQ671" s="653"/>
      <c r="AR671" s="653"/>
      <c r="AS671" s="653"/>
      <c r="AT671" s="653"/>
      <c r="AU671" s="653"/>
      <c r="AV671" s="653"/>
      <c r="AW671" s="653"/>
      <c r="AX671" s="653"/>
      <c r="AY671" s="653"/>
      <c r="AZ671" s="653"/>
      <c r="BA671" s="653"/>
      <c r="BB671" s="653"/>
      <c r="BC671" s="653"/>
      <c r="BD671" s="653"/>
      <c r="BE671" s="653"/>
      <c r="BF671" s="653"/>
      <c r="BG671" s="653"/>
      <c r="BH671" s="653"/>
      <c r="BI671" s="653"/>
      <c r="BJ671" s="653"/>
      <c r="BK671" s="653"/>
      <c r="BL671" s="653"/>
      <c r="BM671" s="653"/>
      <c r="BN671" s="653"/>
      <c r="BO671" s="653"/>
      <c r="BP671" s="653"/>
      <c r="BQ671" s="653"/>
      <c r="BR671" s="653"/>
      <c r="BS671" s="653"/>
      <c r="BT671" s="653"/>
      <c r="BU671" s="653"/>
      <c r="BV671" s="654"/>
    </row>
    <row r="672" spans="2:74" x14ac:dyDescent="0.25">
      <c r="B672" s="651"/>
      <c r="C672" s="653"/>
      <c r="D672" s="653"/>
      <c r="E672" s="653"/>
      <c r="F672" s="653"/>
      <c r="G672" s="653"/>
      <c r="H672" s="653"/>
      <c r="I672" s="653"/>
      <c r="J672" s="653"/>
      <c r="K672" s="653"/>
      <c r="L672" s="653"/>
      <c r="M672" s="651"/>
      <c r="N672" s="909"/>
      <c r="O672" s="909"/>
      <c r="P672" s="909"/>
      <c r="Q672" s="910"/>
      <c r="R672" s="909"/>
      <c r="S672" s="909"/>
      <c r="T672" s="909"/>
      <c r="U672" s="909"/>
      <c r="V672" s="909"/>
      <c r="W672" s="909"/>
      <c r="X672" s="909"/>
      <c r="Y672" s="909"/>
      <c r="Z672" s="910"/>
      <c r="AA672" s="909"/>
      <c r="AB672" s="910"/>
      <c r="AC672" s="911"/>
      <c r="AD672" s="911"/>
      <c r="AE672" s="909"/>
      <c r="AF672" s="909"/>
      <c r="AG672" s="909"/>
      <c r="AH672" s="917"/>
      <c r="AI672" s="909"/>
      <c r="AJ672" s="916"/>
      <c r="AK672" s="916"/>
      <c r="AL672" s="653"/>
      <c r="AM672" s="918"/>
      <c r="AN672" s="915"/>
      <c r="AO672" s="653"/>
      <c r="AP672" s="653"/>
      <c r="AQ672" s="653"/>
      <c r="AR672" s="653"/>
      <c r="AS672" s="653"/>
      <c r="AT672" s="653"/>
      <c r="AU672" s="653"/>
      <c r="AV672" s="653"/>
      <c r="AW672" s="653"/>
      <c r="AX672" s="653"/>
      <c r="AY672" s="653"/>
      <c r="AZ672" s="653"/>
      <c r="BA672" s="653"/>
      <c r="BB672" s="653"/>
      <c r="BC672" s="653"/>
      <c r="BD672" s="653"/>
      <c r="BE672" s="653"/>
      <c r="BF672" s="653"/>
      <c r="BG672" s="653"/>
      <c r="BH672" s="653"/>
      <c r="BI672" s="653"/>
      <c r="BJ672" s="653"/>
      <c r="BK672" s="653"/>
      <c r="BL672" s="653"/>
      <c r="BM672" s="653"/>
      <c r="BN672" s="653"/>
      <c r="BO672" s="653"/>
      <c r="BP672" s="653"/>
      <c r="BQ672" s="653"/>
      <c r="BR672" s="653"/>
      <c r="BS672" s="653"/>
      <c r="BT672" s="653"/>
      <c r="BU672" s="653"/>
      <c r="BV672" s="654"/>
    </row>
    <row r="673" spans="2:74" x14ac:dyDescent="0.25">
      <c r="B673" s="651"/>
      <c r="C673" s="653"/>
      <c r="D673" s="653"/>
      <c r="E673" s="653"/>
      <c r="F673" s="653"/>
      <c r="G673" s="653"/>
      <c r="H673" s="653"/>
      <c r="I673" s="653"/>
      <c r="J673" s="653"/>
      <c r="K673" s="653"/>
      <c r="L673" s="653"/>
      <c r="M673" s="651"/>
      <c r="N673" s="909"/>
      <c r="O673" s="909"/>
      <c r="P673" s="909"/>
      <c r="Q673" s="910"/>
      <c r="R673" s="909"/>
      <c r="S673" s="909"/>
      <c r="T673" s="909"/>
      <c r="U673" s="909"/>
      <c r="V673" s="909"/>
      <c r="W673" s="909"/>
      <c r="X673" s="909"/>
      <c r="Y673" s="909"/>
      <c r="Z673" s="910"/>
      <c r="AA673" s="909"/>
      <c r="AB673" s="910"/>
      <c r="AC673" s="911"/>
      <c r="AD673" s="911"/>
      <c r="AE673" s="909"/>
      <c r="AF673" s="909"/>
      <c r="AG673" s="909"/>
      <c r="AH673" s="917"/>
      <c r="AI673" s="909"/>
      <c r="AJ673" s="916"/>
      <c r="AK673" s="916"/>
      <c r="AL673" s="653"/>
      <c r="AM673" s="918"/>
      <c r="AN673" s="915"/>
      <c r="AO673" s="653"/>
      <c r="AP673" s="653"/>
      <c r="AQ673" s="653"/>
      <c r="AR673" s="653"/>
      <c r="AS673" s="653"/>
      <c r="AT673" s="653"/>
      <c r="AU673" s="653"/>
      <c r="AV673" s="653"/>
      <c r="AW673" s="653"/>
      <c r="AX673" s="653"/>
      <c r="AY673" s="653"/>
      <c r="AZ673" s="653"/>
      <c r="BA673" s="653"/>
      <c r="BB673" s="653"/>
      <c r="BC673" s="653"/>
      <c r="BD673" s="653"/>
      <c r="BE673" s="653"/>
      <c r="BF673" s="653"/>
      <c r="BG673" s="653"/>
      <c r="BH673" s="653"/>
      <c r="BI673" s="653"/>
      <c r="BJ673" s="653"/>
      <c r="BK673" s="653"/>
      <c r="BL673" s="653"/>
      <c r="BM673" s="653"/>
      <c r="BN673" s="653"/>
      <c r="BO673" s="653"/>
      <c r="BP673" s="653"/>
      <c r="BQ673" s="653"/>
      <c r="BR673" s="653"/>
      <c r="BS673" s="653"/>
      <c r="BT673" s="653"/>
      <c r="BU673" s="653"/>
      <c r="BV673" s="654"/>
    </row>
    <row r="674" spans="2:74" x14ac:dyDescent="0.25">
      <c r="B674" s="651"/>
      <c r="C674" s="653"/>
      <c r="D674" s="653"/>
      <c r="E674" s="653"/>
      <c r="F674" s="653"/>
      <c r="G674" s="653"/>
      <c r="H674" s="653"/>
      <c r="I674" s="653"/>
      <c r="J674" s="653"/>
      <c r="K674" s="653"/>
      <c r="L674" s="653"/>
      <c r="M674" s="651"/>
      <c r="N674" s="909"/>
      <c r="O674" s="909"/>
      <c r="P674" s="909"/>
      <c r="Q674" s="910"/>
      <c r="R674" s="909"/>
      <c r="S674" s="909"/>
      <c r="T674" s="909"/>
      <c r="U674" s="909"/>
      <c r="V674" s="909"/>
      <c r="W674" s="909"/>
      <c r="X674" s="909"/>
      <c r="Y674" s="909"/>
      <c r="Z674" s="910"/>
      <c r="AA674" s="909"/>
      <c r="AB674" s="910"/>
      <c r="AC674" s="911"/>
      <c r="AD674" s="911"/>
      <c r="AE674" s="909"/>
      <c r="AF674" s="909"/>
      <c r="AG674" s="909"/>
      <c r="AH674" s="917"/>
      <c r="AI674" s="909"/>
      <c r="AJ674" s="916"/>
      <c r="AK674" s="916"/>
      <c r="AL674" s="653"/>
      <c r="AM674" s="918"/>
      <c r="AN674" s="915"/>
      <c r="AO674" s="653"/>
      <c r="AP674" s="653"/>
      <c r="AQ674" s="653"/>
      <c r="AR674" s="653"/>
      <c r="AS674" s="653"/>
      <c r="AT674" s="653"/>
      <c r="AU674" s="653"/>
      <c r="AV674" s="653"/>
      <c r="AW674" s="653"/>
      <c r="AX674" s="653"/>
      <c r="AY674" s="653"/>
      <c r="AZ674" s="653"/>
      <c r="BA674" s="653"/>
      <c r="BB674" s="653"/>
      <c r="BC674" s="653"/>
      <c r="BD674" s="653"/>
      <c r="BE674" s="653"/>
      <c r="BF674" s="653"/>
      <c r="BG674" s="653"/>
      <c r="BH674" s="653"/>
      <c r="BI674" s="653"/>
      <c r="BJ674" s="653"/>
      <c r="BK674" s="653"/>
      <c r="BL674" s="653"/>
      <c r="BM674" s="653"/>
      <c r="BN674" s="653"/>
      <c r="BO674" s="653"/>
      <c r="BP674" s="653"/>
      <c r="BQ674" s="653"/>
      <c r="BR674" s="653"/>
      <c r="BS674" s="653"/>
      <c r="BT674" s="653"/>
      <c r="BU674" s="653"/>
      <c r="BV674" s="654"/>
    </row>
    <row r="675" spans="2:74" x14ac:dyDescent="0.25">
      <c r="B675" s="651"/>
      <c r="C675" s="653"/>
      <c r="D675" s="653"/>
      <c r="E675" s="653"/>
      <c r="F675" s="653"/>
      <c r="G675" s="653"/>
      <c r="H675" s="653"/>
      <c r="I675" s="653"/>
      <c r="J675" s="653"/>
      <c r="K675" s="653"/>
      <c r="L675" s="653"/>
      <c r="M675" s="651"/>
      <c r="N675" s="909"/>
      <c r="O675" s="909"/>
      <c r="P675" s="909"/>
      <c r="Q675" s="910"/>
      <c r="R675" s="909"/>
      <c r="S675" s="909"/>
      <c r="T675" s="909"/>
      <c r="U675" s="909"/>
      <c r="V675" s="909"/>
      <c r="W675" s="909"/>
      <c r="X675" s="909"/>
      <c r="Y675" s="909"/>
      <c r="Z675" s="910"/>
      <c r="AA675" s="909"/>
      <c r="AB675" s="910"/>
      <c r="AC675" s="911"/>
      <c r="AD675" s="911"/>
      <c r="AE675" s="909"/>
      <c r="AF675" s="909"/>
      <c r="AG675" s="909"/>
      <c r="AH675" s="917"/>
      <c r="AI675" s="909"/>
      <c r="AJ675" s="916"/>
      <c r="AK675" s="916"/>
      <c r="AL675" s="653"/>
      <c r="AM675" s="918"/>
      <c r="AN675" s="915"/>
      <c r="AO675" s="653"/>
      <c r="AP675" s="653"/>
      <c r="AQ675" s="653"/>
      <c r="AR675" s="653"/>
      <c r="AS675" s="653"/>
      <c r="AT675" s="653"/>
      <c r="AU675" s="653"/>
      <c r="AV675" s="653"/>
      <c r="AW675" s="653"/>
      <c r="AX675" s="653"/>
      <c r="AY675" s="653"/>
      <c r="AZ675" s="653"/>
      <c r="BA675" s="653"/>
      <c r="BB675" s="653"/>
      <c r="BC675" s="653"/>
      <c r="BD675" s="653"/>
      <c r="BE675" s="653"/>
      <c r="BF675" s="653"/>
      <c r="BG675" s="653"/>
      <c r="BH675" s="653"/>
      <c r="BI675" s="653"/>
      <c r="BJ675" s="653"/>
      <c r="BK675" s="653"/>
      <c r="BL675" s="653"/>
      <c r="BM675" s="653"/>
      <c r="BN675" s="653"/>
      <c r="BO675" s="653"/>
      <c r="BP675" s="653"/>
      <c r="BQ675" s="653"/>
      <c r="BR675" s="653"/>
      <c r="BS675" s="653"/>
      <c r="BT675" s="653"/>
      <c r="BU675" s="653"/>
      <c r="BV675" s="654"/>
    </row>
    <row r="676" spans="2:74" x14ac:dyDescent="0.25">
      <c r="B676" s="651"/>
      <c r="C676" s="653"/>
      <c r="D676" s="653"/>
      <c r="E676" s="653"/>
      <c r="F676" s="653"/>
      <c r="G676" s="653"/>
      <c r="H676" s="653"/>
      <c r="I676" s="653"/>
      <c r="J676" s="653"/>
      <c r="K676" s="653"/>
      <c r="L676" s="653"/>
      <c r="M676" s="651"/>
      <c r="N676" s="909"/>
      <c r="O676" s="909"/>
      <c r="P676" s="909"/>
      <c r="Q676" s="910"/>
      <c r="R676" s="909"/>
      <c r="S676" s="909"/>
      <c r="T676" s="909"/>
      <c r="U676" s="909"/>
      <c r="V676" s="909"/>
      <c r="W676" s="909"/>
      <c r="X676" s="909"/>
      <c r="Y676" s="909"/>
      <c r="Z676" s="910"/>
      <c r="AA676" s="909"/>
      <c r="AB676" s="910"/>
      <c r="AC676" s="911"/>
      <c r="AD676" s="911"/>
      <c r="AE676" s="909"/>
      <c r="AF676" s="909"/>
      <c r="AG676" s="909"/>
      <c r="AH676" s="917"/>
      <c r="AI676" s="909"/>
      <c r="AJ676" s="916"/>
      <c r="AK676" s="916"/>
      <c r="AL676" s="653"/>
      <c r="AM676" s="918"/>
      <c r="AN676" s="915"/>
      <c r="AO676" s="653"/>
      <c r="AP676" s="653"/>
      <c r="AQ676" s="653"/>
      <c r="AR676" s="653"/>
      <c r="AS676" s="653"/>
      <c r="AT676" s="653"/>
      <c r="AU676" s="653"/>
      <c r="AV676" s="653"/>
      <c r="AW676" s="653"/>
      <c r="AX676" s="653"/>
      <c r="AY676" s="653"/>
      <c r="AZ676" s="653"/>
      <c r="BA676" s="653"/>
      <c r="BB676" s="653"/>
      <c r="BC676" s="653"/>
      <c r="BD676" s="653"/>
      <c r="BE676" s="653"/>
      <c r="BF676" s="653"/>
      <c r="BG676" s="653"/>
      <c r="BH676" s="653"/>
      <c r="BI676" s="653"/>
      <c r="BJ676" s="653"/>
      <c r="BK676" s="653"/>
      <c r="BL676" s="653"/>
      <c r="BM676" s="653"/>
      <c r="BN676" s="653"/>
      <c r="BO676" s="653"/>
      <c r="BP676" s="653"/>
      <c r="BQ676" s="653"/>
      <c r="BR676" s="653"/>
      <c r="BS676" s="653"/>
      <c r="BT676" s="653"/>
      <c r="BU676" s="653"/>
      <c r="BV676" s="654"/>
    </row>
    <row r="677" spans="2:74" x14ac:dyDescent="0.25">
      <c r="B677" s="651"/>
      <c r="C677" s="653"/>
      <c r="D677" s="653"/>
      <c r="E677" s="653"/>
      <c r="F677" s="653"/>
      <c r="G677" s="653"/>
      <c r="H677" s="653"/>
      <c r="I677" s="653"/>
      <c r="J677" s="653"/>
      <c r="K677" s="653"/>
      <c r="L677" s="653"/>
      <c r="M677" s="651"/>
      <c r="N677" s="909"/>
      <c r="O677" s="909"/>
      <c r="P677" s="909"/>
      <c r="Q677" s="910"/>
      <c r="R677" s="909"/>
      <c r="S677" s="909"/>
      <c r="T677" s="909"/>
      <c r="U677" s="909"/>
      <c r="V677" s="909"/>
      <c r="W677" s="909"/>
      <c r="X677" s="909"/>
      <c r="Y677" s="909"/>
      <c r="Z677" s="910"/>
      <c r="AA677" s="909"/>
      <c r="AB677" s="910"/>
      <c r="AC677" s="911"/>
      <c r="AD677" s="911"/>
      <c r="AE677" s="909"/>
      <c r="AF677" s="909"/>
      <c r="AG677" s="909"/>
      <c r="AH677" s="917"/>
      <c r="AI677" s="909"/>
      <c r="AJ677" s="916"/>
      <c r="AK677" s="916"/>
      <c r="AL677" s="653"/>
      <c r="AM677" s="918"/>
      <c r="AN677" s="915"/>
      <c r="AO677" s="653"/>
      <c r="AP677" s="653"/>
      <c r="AQ677" s="653"/>
      <c r="AR677" s="653"/>
      <c r="AS677" s="653"/>
      <c r="AT677" s="653"/>
      <c r="AU677" s="653"/>
      <c r="AV677" s="653"/>
      <c r="AW677" s="653"/>
      <c r="AX677" s="653"/>
      <c r="AY677" s="653"/>
      <c r="AZ677" s="653"/>
      <c r="BA677" s="653"/>
      <c r="BB677" s="653"/>
      <c r="BC677" s="653"/>
      <c r="BD677" s="653"/>
      <c r="BE677" s="653"/>
      <c r="BF677" s="653"/>
      <c r="BG677" s="653"/>
      <c r="BH677" s="653"/>
      <c r="BI677" s="653"/>
      <c r="BJ677" s="653"/>
      <c r="BK677" s="653"/>
      <c r="BL677" s="653"/>
      <c r="BM677" s="653"/>
      <c r="BN677" s="653"/>
      <c r="BO677" s="653"/>
      <c r="BP677" s="653"/>
      <c r="BQ677" s="653"/>
      <c r="BR677" s="653"/>
      <c r="BS677" s="653"/>
      <c r="BT677" s="653"/>
      <c r="BU677" s="653"/>
      <c r="BV677" s="654"/>
    </row>
    <row r="678" spans="2:74" x14ac:dyDescent="0.25">
      <c r="B678" s="651"/>
      <c r="C678" s="653"/>
      <c r="D678" s="653"/>
      <c r="E678" s="653"/>
      <c r="F678" s="653"/>
      <c r="G678" s="653"/>
      <c r="H678" s="653"/>
      <c r="I678" s="653"/>
      <c r="J678" s="653"/>
      <c r="K678" s="653"/>
      <c r="L678" s="653"/>
      <c r="M678" s="651"/>
      <c r="N678" s="909"/>
      <c r="O678" s="909"/>
      <c r="P678" s="909"/>
      <c r="Q678" s="910"/>
      <c r="R678" s="909"/>
      <c r="S678" s="909"/>
      <c r="T678" s="909"/>
      <c r="U678" s="909"/>
      <c r="V678" s="909"/>
      <c r="W678" s="909"/>
      <c r="X678" s="909"/>
      <c r="Y678" s="909"/>
      <c r="Z678" s="910"/>
      <c r="AA678" s="909"/>
      <c r="AB678" s="910"/>
      <c r="AC678" s="911"/>
      <c r="AD678" s="911"/>
      <c r="AE678" s="909"/>
      <c r="AF678" s="909"/>
      <c r="AG678" s="909"/>
      <c r="AH678" s="917"/>
      <c r="AI678" s="909"/>
      <c r="AJ678" s="916"/>
      <c r="AK678" s="916"/>
      <c r="AL678" s="653"/>
      <c r="AM678" s="918"/>
      <c r="AN678" s="915"/>
      <c r="AO678" s="653"/>
      <c r="AP678" s="653"/>
      <c r="AQ678" s="653"/>
      <c r="AR678" s="653"/>
      <c r="AS678" s="653"/>
      <c r="AT678" s="653"/>
      <c r="AU678" s="653"/>
      <c r="AV678" s="653"/>
      <c r="AW678" s="653"/>
      <c r="AX678" s="653"/>
      <c r="AY678" s="653"/>
      <c r="AZ678" s="653"/>
      <c r="BA678" s="653"/>
      <c r="BB678" s="653"/>
      <c r="BC678" s="653"/>
      <c r="BD678" s="653"/>
      <c r="BE678" s="653"/>
      <c r="BF678" s="653"/>
      <c r="BG678" s="653"/>
      <c r="BH678" s="653"/>
      <c r="BI678" s="653"/>
      <c r="BJ678" s="653"/>
      <c r="BK678" s="653"/>
      <c r="BL678" s="653"/>
      <c r="BM678" s="653"/>
      <c r="BN678" s="653"/>
      <c r="BO678" s="653"/>
      <c r="BP678" s="653"/>
      <c r="BQ678" s="653"/>
      <c r="BR678" s="653"/>
      <c r="BS678" s="653"/>
      <c r="BT678" s="653"/>
      <c r="BU678" s="653"/>
      <c r="BV678" s="654"/>
    </row>
    <row r="679" spans="2:74" x14ac:dyDescent="0.25">
      <c r="B679" s="651"/>
      <c r="C679" s="653"/>
      <c r="D679" s="653"/>
      <c r="E679" s="653"/>
      <c r="F679" s="653"/>
      <c r="G679" s="653"/>
      <c r="H679" s="653"/>
      <c r="I679" s="653"/>
      <c r="J679" s="653"/>
      <c r="K679" s="653"/>
      <c r="L679" s="653"/>
      <c r="M679" s="651"/>
      <c r="N679" s="909"/>
      <c r="O679" s="909"/>
      <c r="P679" s="909"/>
      <c r="Q679" s="910"/>
      <c r="R679" s="909"/>
      <c r="S679" s="909"/>
      <c r="T679" s="909"/>
      <c r="U679" s="909"/>
      <c r="V679" s="909"/>
      <c r="W679" s="909"/>
      <c r="X679" s="909"/>
      <c r="Y679" s="909"/>
      <c r="Z679" s="910"/>
      <c r="AA679" s="909"/>
      <c r="AB679" s="910"/>
      <c r="AC679" s="911"/>
      <c r="AD679" s="911"/>
      <c r="AE679" s="909"/>
      <c r="AF679" s="909"/>
      <c r="AG679" s="909"/>
      <c r="AH679" s="917"/>
      <c r="AI679" s="909"/>
      <c r="AJ679" s="916"/>
      <c r="AK679" s="916"/>
      <c r="AL679" s="653"/>
      <c r="AM679" s="918"/>
      <c r="AN679" s="915"/>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4"/>
    </row>
    <row r="680" spans="2:74" x14ac:dyDescent="0.25">
      <c r="B680" s="651"/>
      <c r="C680" s="653"/>
      <c r="D680" s="653"/>
      <c r="E680" s="653"/>
      <c r="F680" s="653"/>
      <c r="G680" s="653"/>
      <c r="H680" s="653"/>
      <c r="I680" s="653"/>
      <c r="J680" s="653"/>
      <c r="K680" s="653"/>
      <c r="L680" s="653"/>
      <c r="M680" s="651"/>
      <c r="N680" s="909"/>
      <c r="O680" s="909"/>
      <c r="P680" s="909"/>
      <c r="Q680" s="910"/>
      <c r="R680" s="909"/>
      <c r="S680" s="909"/>
      <c r="T680" s="909"/>
      <c r="U680" s="909"/>
      <c r="V680" s="909"/>
      <c r="W680" s="909"/>
      <c r="X680" s="909"/>
      <c r="Y680" s="909"/>
      <c r="Z680" s="910"/>
      <c r="AA680" s="909"/>
      <c r="AB680" s="910"/>
      <c r="AC680" s="911"/>
      <c r="AD680" s="911"/>
      <c r="AE680" s="909"/>
      <c r="AF680" s="909"/>
      <c r="AG680" s="909"/>
      <c r="AH680" s="917"/>
      <c r="AI680" s="909"/>
      <c r="AJ680" s="916"/>
      <c r="AK680" s="916"/>
      <c r="AL680" s="653"/>
      <c r="AM680" s="918"/>
      <c r="AN680" s="915"/>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4"/>
    </row>
    <row r="681" spans="2:74" x14ac:dyDescent="0.25">
      <c r="B681" s="651"/>
      <c r="C681" s="653"/>
      <c r="D681" s="653"/>
      <c r="E681" s="653"/>
      <c r="F681" s="653"/>
      <c r="G681" s="653"/>
      <c r="H681" s="653"/>
      <c r="I681" s="653"/>
      <c r="J681" s="653"/>
      <c r="K681" s="653"/>
      <c r="L681" s="653"/>
      <c r="M681" s="651"/>
      <c r="N681" s="909"/>
      <c r="O681" s="909"/>
      <c r="P681" s="909"/>
      <c r="Q681" s="910"/>
      <c r="R681" s="909"/>
      <c r="S681" s="909"/>
      <c r="T681" s="909"/>
      <c r="U681" s="909"/>
      <c r="V681" s="909"/>
      <c r="W681" s="909"/>
      <c r="X681" s="909"/>
      <c r="Y681" s="909"/>
      <c r="Z681" s="910"/>
      <c r="AA681" s="909"/>
      <c r="AB681" s="910"/>
      <c r="AC681" s="911"/>
      <c r="AD681" s="911"/>
      <c r="AE681" s="909"/>
      <c r="AF681" s="909"/>
      <c r="AG681" s="909"/>
      <c r="AH681" s="917"/>
      <c r="AI681" s="909"/>
      <c r="AJ681" s="916"/>
      <c r="AK681" s="916"/>
      <c r="AL681" s="653"/>
      <c r="AM681" s="918"/>
      <c r="AN681" s="915"/>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4"/>
    </row>
    <row r="682" spans="2:74" x14ac:dyDescent="0.25">
      <c r="B682" s="651"/>
      <c r="C682" s="653"/>
      <c r="D682" s="653"/>
      <c r="E682" s="653"/>
      <c r="F682" s="653"/>
      <c r="G682" s="653"/>
      <c r="H682" s="653"/>
      <c r="I682" s="653"/>
      <c r="J682" s="653"/>
      <c r="K682" s="653"/>
      <c r="L682" s="653"/>
      <c r="M682" s="651"/>
      <c r="N682" s="909"/>
      <c r="O682" s="909"/>
      <c r="P682" s="909"/>
      <c r="Q682" s="910"/>
      <c r="R682" s="909"/>
      <c r="S682" s="909"/>
      <c r="T682" s="909"/>
      <c r="U682" s="909"/>
      <c r="V682" s="909"/>
      <c r="W682" s="909"/>
      <c r="X682" s="909"/>
      <c r="Y682" s="909"/>
      <c r="Z682" s="910"/>
      <c r="AA682" s="909"/>
      <c r="AB682" s="910"/>
      <c r="AC682" s="911"/>
      <c r="AD682" s="911"/>
      <c r="AE682" s="909"/>
      <c r="AF682" s="909"/>
      <c r="AG682" s="909"/>
      <c r="AH682" s="917"/>
      <c r="AI682" s="909"/>
      <c r="AJ682" s="916"/>
      <c r="AK682" s="916"/>
      <c r="AL682" s="653"/>
      <c r="AM682" s="918"/>
      <c r="AN682" s="915"/>
      <c r="AO682" s="653"/>
      <c r="AP682" s="653"/>
      <c r="AQ682" s="653"/>
      <c r="AR682" s="653"/>
      <c r="AS682" s="653"/>
      <c r="AT682" s="653"/>
      <c r="AU682" s="653"/>
      <c r="AV682" s="653"/>
      <c r="AW682" s="653"/>
      <c r="AX682" s="653"/>
      <c r="AY682" s="653"/>
      <c r="AZ682" s="653"/>
      <c r="BA682" s="653"/>
      <c r="BB682" s="653"/>
      <c r="BC682" s="653"/>
      <c r="BD682" s="653"/>
      <c r="BE682" s="653"/>
      <c r="BF682" s="653"/>
      <c r="BG682" s="653"/>
      <c r="BH682" s="653"/>
      <c r="BI682" s="653"/>
      <c r="BJ682" s="653"/>
      <c r="BK682" s="653"/>
      <c r="BL682" s="653"/>
      <c r="BM682" s="653"/>
      <c r="BN682" s="653"/>
      <c r="BO682" s="653"/>
      <c r="BP682" s="653"/>
      <c r="BQ682" s="653"/>
      <c r="BR682" s="653"/>
      <c r="BS682" s="653"/>
      <c r="BT682" s="653"/>
      <c r="BU682" s="653"/>
      <c r="BV682" s="654"/>
    </row>
    <row r="683" spans="2:74" x14ac:dyDescent="0.25">
      <c r="B683" s="651"/>
      <c r="C683" s="653"/>
      <c r="D683" s="653"/>
      <c r="E683" s="653"/>
      <c r="F683" s="653"/>
      <c r="G683" s="653"/>
      <c r="H683" s="653"/>
      <c r="I683" s="653"/>
      <c r="J683" s="653"/>
      <c r="K683" s="653"/>
      <c r="L683" s="653"/>
      <c r="M683" s="651"/>
      <c r="N683" s="909"/>
      <c r="O683" s="909"/>
      <c r="P683" s="909"/>
      <c r="Q683" s="910"/>
      <c r="R683" s="909"/>
      <c r="S683" s="909"/>
      <c r="T683" s="909"/>
      <c r="U683" s="909"/>
      <c r="V683" s="909"/>
      <c r="W683" s="909"/>
      <c r="X683" s="909"/>
      <c r="Y683" s="909"/>
      <c r="Z683" s="910"/>
      <c r="AA683" s="909"/>
      <c r="AB683" s="910"/>
      <c r="AC683" s="911"/>
      <c r="AD683" s="911"/>
      <c r="AE683" s="909"/>
      <c r="AF683" s="909"/>
      <c r="AG683" s="909"/>
      <c r="AH683" s="917"/>
      <c r="AI683" s="909"/>
      <c r="AJ683" s="916"/>
      <c r="AK683" s="916"/>
      <c r="AL683" s="653"/>
      <c r="AM683" s="918"/>
      <c r="AN683" s="915"/>
      <c r="AO683" s="653"/>
      <c r="AP683" s="653"/>
      <c r="AQ683" s="653"/>
      <c r="AR683" s="653"/>
      <c r="AS683" s="653"/>
      <c r="AT683" s="653"/>
      <c r="AU683" s="653"/>
      <c r="AV683" s="653"/>
      <c r="AW683" s="653"/>
      <c r="AX683" s="653"/>
      <c r="AY683" s="653"/>
      <c r="AZ683" s="653"/>
      <c r="BA683" s="653"/>
      <c r="BB683" s="653"/>
      <c r="BC683" s="653"/>
      <c r="BD683" s="653"/>
      <c r="BE683" s="653"/>
      <c r="BF683" s="653"/>
      <c r="BG683" s="653"/>
      <c r="BH683" s="653"/>
      <c r="BI683" s="653"/>
      <c r="BJ683" s="653"/>
      <c r="BK683" s="653"/>
      <c r="BL683" s="653"/>
      <c r="BM683" s="653"/>
      <c r="BN683" s="653"/>
      <c r="BO683" s="653"/>
      <c r="BP683" s="653"/>
      <c r="BQ683" s="653"/>
      <c r="BR683" s="653"/>
      <c r="BS683" s="653"/>
      <c r="BT683" s="653"/>
      <c r="BU683" s="653"/>
      <c r="BV683" s="654"/>
    </row>
    <row r="684" spans="2:74" x14ac:dyDescent="0.25">
      <c r="B684" s="651"/>
      <c r="C684" s="653"/>
      <c r="D684" s="653"/>
      <c r="E684" s="653"/>
      <c r="F684" s="653"/>
      <c r="G684" s="653"/>
      <c r="H684" s="653"/>
      <c r="I684" s="653"/>
      <c r="J684" s="653"/>
      <c r="K684" s="653"/>
      <c r="L684" s="653"/>
      <c r="M684" s="651"/>
      <c r="N684" s="909"/>
      <c r="O684" s="909"/>
      <c r="P684" s="909"/>
      <c r="Q684" s="910"/>
      <c r="R684" s="909"/>
      <c r="S684" s="909"/>
      <c r="T684" s="909"/>
      <c r="U684" s="909"/>
      <c r="V684" s="909"/>
      <c r="W684" s="909"/>
      <c r="X684" s="909"/>
      <c r="Y684" s="909"/>
      <c r="Z684" s="910"/>
      <c r="AA684" s="909"/>
      <c r="AB684" s="910"/>
      <c r="AC684" s="911"/>
      <c r="AD684" s="911"/>
      <c r="AE684" s="909"/>
      <c r="AF684" s="909"/>
      <c r="AG684" s="909"/>
      <c r="AH684" s="917"/>
      <c r="AI684" s="909"/>
      <c r="AJ684" s="916"/>
      <c r="AK684" s="916"/>
      <c r="AL684" s="653"/>
      <c r="AM684" s="918"/>
      <c r="AN684" s="915"/>
      <c r="AO684" s="653"/>
      <c r="AP684" s="653"/>
      <c r="AQ684" s="653"/>
      <c r="AR684" s="653"/>
      <c r="AS684" s="653"/>
      <c r="AT684" s="653"/>
      <c r="AU684" s="653"/>
      <c r="AV684" s="653"/>
      <c r="AW684" s="653"/>
      <c r="AX684" s="653"/>
      <c r="AY684" s="653"/>
      <c r="AZ684" s="653"/>
      <c r="BA684" s="653"/>
      <c r="BB684" s="653"/>
      <c r="BC684" s="653"/>
      <c r="BD684" s="653"/>
      <c r="BE684" s="653"/>
      <c r="BF684" s="653"/>
      <c r="BG684" s="653"/>
      <c r="BH684" s="653"/>
      <c r="BI684" s="653"/>
      <c r="BJ684" s="653"/>
      <c r="BK684" s="653"/>
      <c r="BL684" s="653"/>
      <c r="BM684" s="653"/>
      <c r="BN684" s="653"/>
      <c r="BO684" s="653"/>
      <c r="BP684" s="653"/>
      <c r="BQ684" s="653"/>
      <c r="BR684" s="653"/>
      <c r="BS684" s="653"/>
      <c r="BT684" s="653"/>
      <c r="BU684" s="653"/>
      <c r="BV684" s="654"/>
    </row>
    <row r="685" spans="2:74" x14ac:dyDescent="0.25">
      <c r="B685" s="651"/>
      <c r="C685" s="653"/>
      <c r="D685" s="653"/>
      <c r="E685" s="653"/>
      <c r="F685" s="653"/>
      <c r="G685" s="653"/>
      <c r="H685" s="653"/>
      <c r="I685" s="653"/>
      <c r="J685" s="653"/>
      <c r="K685" s="653"/>
      <c r="L685" s="653"/>
      <c r="M685" s="651"/>
      <c r="N685" s="909"/>
      <c r="O685" s="909"/>
      <c r="P685" s="909"/>
      <c r="Q685" s="910"/>
      <c r="R685" s="909"/>
      <c r="S685" s="909"/>
      <c r="T685" s="909"/>
      <c r="U685" s="909"/>
      <c r="V685" s="909"/>
      <c r="W685" s="909"/>
      <c r="X685" s="909"/>
      <c r="Y685" s="909"/>
      <c r="Z685" s="910"/>
      <c r="AA685" s="909"/>
      <c r="AB685" s="910"/>
      <c r="AC685" s="911"/>
      <c r="AD685" s="911"/>
      <c r="AE685" s="909"/>
      <c r="AF685" s="909"/>
      <c r="AG685" s="909"/>
      <c r="AH685" s="917"/>
      <c r="AI685" s="909"/>
      <c r="AJ685" s="916"/>
      <c r="AK685" s="916"/>
      <c r="AL685" s="653"/>
      <c r="AM685" s="918"/>
      <c r="AN685" s="915"/>
      <c r="AO685" s="653"/>
      <c r="AP685" s="653"/>
      <c r="AQ685" s="653"/>
      <c r="AR685" s="653"/>
      <c r="AS685" s="653"/>
      <c r="AT685" s="653"/>
      <c r="AU685" s="653"/>
      <c r="AV685" s="653"/>
      <c r="AW685" s="653"/>
      <c r="AX685" s="653"/>
      <c r="AY685" s="653"/>
      <c r="AZ685" s="653"/>
      <c r="BA685" s="653"/>
      <c r="BB685" s="653"/>
      <c r="BC685" s="653"/>
      <c r="BD685" s="653"/>
      <c r="BE685" s="653"/>
      <c r="BF685" s="653"/>
      <c r="BG685" s="653"/>
      <c r="BH685" s="653"/>
      <c r="BI685" s="653"/>
      <c r="BJ685" s="653"/>
      <c r="BK685" s="653"/>
      <c r="BL685" s="653"/>
      <c r="BM685" s="653"/>
      <c r="BN685" s="653"/>
      <c r="BO685" s="653"/>
      <c r="BP685" s="653"/>
      <c r="BQ685" s="653"/>
      <c r="BR685" s="653"/>
      <c r="BS685" s="653"/>
      <c r="BT685" s="653"/>
      <c r="BU685" s="653"/>
      <c r="BV685" s="654"/>
    </row>
    <row r="686" spans="2:74" x14ac:dyDescent="0.25">
      <c r="B686" s="651"/>
      <c r="C686" s="653"/>
      <c r="D686" s="653"/>
      <c r="E686" s="653"/>
      <c r="F686" s="653"/>
      <c r="G686" s="653"/>
      <c r="H686" s="653"/>
      <c r="I686" s="653"/>
      <c r="J686" s="653"/>
      <c r="K686" s="653"/>
      <c r="L686" s="653"/>
      <c r="M686" s="651"/>
      <c r="N686" s="909"/>
      <c r="O686" s="909"/>
      <c r="P686" s="909"/>
      <c r="Q686" s="910"/>
      <c r="R686" s="909"/>
      <c r="S686" s="909"/>
      <c r="T686" s="909"/>
      <c r="U686" s="909"/>
      <c r="V686" s="909"/>
      <c r="W686" s="909"/>
      <c r="X686" s="909"/>
      <c r="Y686" s="909"/>
      <c r="Z686" s="910"/>
      <c r="AA686" s="909"/>
      <c r="AB686" s="910"/>
      <c r="AC686" s="911"/>
      <c r="AD686" s="911"/>
      <c r="AE686" s="909"/>
      <c r="AF686" s="909"/>
      <c r="AG686" s="909"/>
      <c r="AH686" s="917"/>
      <c r="AI686" s="909"/>
      <c r="AJ686" s="916"/>
      <c r="AK686" s="916"/>
      <c r="AL686" s="653"/>
      <c r="AM686" s="918"/>
      <c r="AN686" s="915"/>
      <c r="AO686" s="653"/>
      <c r="AP686" s="653"/>
      <c r="AQ686" s="653"/>
      <c r="AR686" s="653"/>
      <c r="AS686" s="653"/>
      <c r="AT686" s="653"/>
      <c r="AU686" s="653"/>
      <c r="AV686" s="653"/>
      <c r="AW686" s="653"/>
      <c r="AX686" s="653"/>
      <c r="AY686" s="653"/>
      <c r="AZ686" s="653"/>
      <c r="BA686" s="653"/>
      <c r="BB686" s="653"/>
      <c r="BC686" s="653"/>
      <c r="BD686" s="653"/>
      <c r="BE686" s="653"/>
      <c r="BF686" s="653"/>
      <c r="BG686" s="653"/>
      <c r="BH686" s="653"/>
      <c r="BI686" s="653"/>
      <c r="BJ686" s="653"/>
      <c r="BK686" s="653"/>
      <c r="BL686" s="653"/>
      <c r="BM686" s="653"/>
      <c r="BN686" s="653"/>
      <c r="BO686" s="653"/>
      <c r="BP686" s="653"/>
      <c r="BQ686" s="653"/>
      <c r="BR686" s="653"/>
      <c r="BS686" s="653"/>
      <c r="BT686" s="653"/>
      <c r="BU686" s="653"/>
      <c r="BV686" s="654"/>
    </row>
    <row r="687" spans="2:74" x14ac:dyDescent="0.25">
      <c r="B687" s="651"/>
      <c r="C687" s="653"/>
      <c r="D687" s="653"/>
      <c r="E687" s="653"/>
      <c r="F687" s="653"/>
      <c r="G687" s="653"/>
      <c r="H687" s="653"/>
      <c r="I687" s="653"/>
      <c r="J687" s="653"/>
      <c r="K687" s="653"/>
      <c r="L687" s="653"/>
      <c r="M687" s="651"/>
      <c r="N687" s="909"/>
      <c r="O687" s="909"/>
      <c r="P687" s="909"/>
      <c r="Q687" s="910"/>
      <c r="R687" s="909"/>
      <c r="S687" s="909"/>
      <c r="T687" s="909"/>
      <c r="U687" s="909"/>
      <c r="V687" s="909"/>
      <c r="W687" s="909"/>
      <c r="X687" s="909"/>
      <c r="Y687" s="909"/>
      <c r="Z687" s="910"/>
      <c r="AA687" s="909"/>
      <c r="AB687" s="910"/>
      <c r="AC687" s="911"/>
      <c r="AD687" s="911"/>
      <c r="AE687" s="909"/>
      <c r="AF687" s="909"/>
      <c r="AG687" s="909"/>
      <c r="AH687" s="917"/>
      <c r="AI687" s="909"/>
      <c r="AJ687" s="916"/>
      <c r="AK687" s="916"/>
      <c r="AL687" s="653"/>
      <c r="AM687" s="918"/>
      <c r="AN687" s="915"/>
      <c r="AO687" s="653"/>
      <c r="AP687" s="653"/>
      <c r="AQ687" s="653"/>
      <c r="AR687" s="653"/>
      <c r="AS687" s="653"/>
      <c r="AT687" s="653"/>
      <c r="AU687" s="653"/>
      <c r="AV687" s="653"/>
      <c r="AW687" s="653"/>
      <c r="AX687" s="653"/>
      <c r="AY687" s="653"/>
      <c r="AZ687" s="653"/>
      <c r="BA687" s="653"/>
      <c r="BB687" s="653"/>
      <c r="BC687" s="653"/>
      <c r="BD687" s="653"/>
      <c r="BE687" s="653"/>
      <c r="BF687" s="653"/>
      <c r="BG687" s="653"/>
      <c r="BH687" s="653"/>
      <c r="BI687" s="653"/>
      <c r="BJ687" s="653"/>
      <c r="BK687" s="653"/>
      <c r="BL687" s="653"/>
      <c r="BM687" s="653"/>
      <c r="BN687" s="653"/>
      <c r="BO687" s="653"/>
      <c r="BP687" s="653"/>
      <c r="BQ687" s="653"/>
      <c r="BR687" s="653"/>
      <c r="BS687" s="653"/>
      <c r="BT687" s="653"/>
      <c r="BU687" s="653"/>
      <c r="BV687" s="654"/>
    </row>
    <row r="688" spans="2:74" x14ac:dyDescent="0.25">
      <c r="B688" s="651"/>
      <c r="C688" s="653"/>
      <c r="D688" s="653"/>
      <c r="E688" s="653"/>
      <c r="F688" s="653"/>
      <c r="G688" s="653"/>
      <c r="H688" s="653"/>
      <c r="I688" s="653"/>
      <c r="J688" s="653"/>
      <c r="K688" s="653"/>
      <c r="L688" s="653"/>
      <c r="M688" s="651"/>
      <c r="N688" s="909"/>
      <c r="O688" s="909"/>
      <c r="P688" s="909"/>
      <c r="Q688" s="910"/>
      <c r="R688" s="909"/>
      <c r="S688" s="909"/>
      <c r="T688" s="909"/>
      <c r="U688" s="909"/>
      <c r="V688" s="909"/>
      <c r="W688" s="909"/>
      <c r="X688" s="909"/>
      <c r="Y688" s="909"/>
      <c r="Z688" s="910"/>
      <c r="AA688" s="909"/>
      <c r="AB688" s="910"/>
      <c r="AC688" s="911"/>
      <c r="AD688" s="911"/>
      <c r="AE688" s="909"/>
      <c r="AF688" s="909"/>
      <c r="AG688" s="909"/>
      <c r="AH688" s="917"/>
      <c r="AI688" s="909"/>
      <c r="AJ688" s="916"/>
      <c r="AK688" s="916"/>
      <c r="AL688" s="653"/>
      <c r="AM688" s="918"/>
      <c r="AN688" s="915"/>
      <c r="AO688" s="653"/>
      <c r="AP688" s="653"/>
      <c r="AQ688" s="653"/>
      <c r="AR688" s="653"/>
      <c r="AS688" s="653"/>
      <c r="AT688" s="653"/>
      <c r="AU688" s="653"/>
      <c r="AV688" s="653"/>
      <c r="AW688" s="653"/>
      <c r="AX688" s="653"/>
      <c r="AY688" s="653"/>
      <c r="AZ688" s="653"/>
      <c r="BA688" s="653"/>
      <c r="BB688" s="653"/>
      <c r="BC688" s="653"/>
      <c r="BD688" s="653"/>
      <c r="BE688" s="653"/>
      <c r="BF688" s="653"/>
      <c r="BG688" s="653"/>
      <c r="BH688" s="653"/>
      <c r="BI688" s="653"/>
      <c r="BJ688" s="653"/>
      <c r="BK688" s="653"/>
      <c r="BL688" s="653"/>
      <c r="BM688" s="653"/>
      <c r="BN688" s="653"/>
      <c r="BO688" s="653"/>
      <c r="BP688" s="653"/>
      <c r="BQ688" s="653"/>
      <c r="BR688" s="653"/>
      <c r="BS688" s="653"/>
      <c r="BT688" s="653"/>
      <c r="BU688" s="653"/>
      <c r="BV688" s="654"/>
    </row>
    <row r="689" spans="2:74" x14ac:dyDescent="0.25">
      <c r="B689" s="651"/>
      <c r="C689" s="653"/>
      <c r="D689" s="653"/>
      <c r="E689" s="653"/>
      <c r="F689" s="653"/>
      <c r="G689" s="653"/>
      <c r="H689" s="653"/>
      <c r="I689" s="653"/>
      <c r="J689" s="653"/>
      <c r="K689" s="653"/>
      <c r="L689" s="653"/>
      <c r="M689" s="651"/>
      <c r="N689" s="909"/>
      <c r="O689" s="909"/>
      <c r="P689" s="909"/>
      <c r="Q689" s="910"/>
      <c r="R689" s="909"/>
      <c r="S689" s="909"/>
      <c r="T689" s="909"/>
      <c r="U689" s="909"/>
      <c r="V689" s="909"/>
      <c r="W689" s="909"/>
      <c r="X689" s="909"/>
      <c r="Y689" s="909"/>
      <c r="Z689" s="910"/>
      <c r="AA689" s="909"/>
      <c r="AB689" s="910"/>
      <c r="AC689" s="911"/>
      <c r="AD689" s="911"/>
      <c r="AE689" s="909"/>
      <c r="AF689" s="909"/>
      <c r="AG689" s="909"/>
      <c r="AH689" s="917"/>
      <c r="AI689" s="909"/>
      <c r="AJ689" s="916"/>
      <c r="AK689" s="916"/>
      <c r="AL689" s="653"/>
      <c r="AM689" s="918"/>
      <c r="AN689" s="915"/>
      <c r="AO689" s="653"/>
      <c r="AP689" s="653"/>
      <c r="AQ689" s="653"/>
      <c r="AR689" s="653"/>
      <c r="AS689" s="653"/>
      <c r="AT689" s="653"/>
      <c r="AU689" s="653"/>
      <c r="AV689" s="653"/>
      <c r="AW689" s="653"/>
      <c r="AX689" s="653"/>
      <c r="AY689" s="653"/>
      <c r="AZ689" s="653"/>
      <c r="BA689" s="653"/>
      <c r="BB689" s="653"/>
      <c r="BC689" s="653"/>
      <c r="BD689" s="653"/>
      <c r="BE689" s="653"/>
      <c r="BF689" s="653"/>
      <c r="BG689" s="653"/>
      <c r="BH689" s="653"/>
      <c r="BI689" s="653"/>
      <c r="BJ689" s="653"/>
      <c r="BK689" s="653"/>
      <c r="BL689" s="653"/>
      <c r="BM689" s="653"/>
      <c r="BN689" s="653"/>
      <c r="BO689" s="653"/>
      <c r="BP689" s="653"/>
      <c r="BQ689" s="653"/>
      <c r="BR689" s="653"/>
      <c r="BS689" s="653"/>
      <c r="BT689" s="653"/>
      <c r="BU689" s="653"/>
      <c r="BV689" s="654"/>
    </row>
    <row r="690" spans="2:74" x14ac:dyDescent="0.25">
      <c r="B690" s="651"/>
      <c r="C690" s="653"/>
      <c r="D690" s="653"/>
      <c r="E690" s="653"/>
      <c r="F690" s="653"/>
      <c r="G690" s="653"/>
      <c r="H690" s="653"/>
      <c r="I690" s="653"/>
      <c r="J690" s="653"/>
      <c r="K690" s="653"/>
      <c r="L690" s="653"/>
      <c r="M690" s="651"/>
      <c r="N690" s="909"/>
      <c r="O690" s="909"/>
      <c r="P690" s="909"/>
      <c r="Q690" s="910"/>
      <c r="R690" s="909"/>
      <c r="S690" s="909"/>
      <c r="T690" s="909"/>
      <c r="U690" s="909"/>
      <c r="V690" s="909"/>
      <c r="W690" s="909"/>
      <c r="X690" s="909"/>
      <c r="Y690" s="909"/>
      <c r="Z690" s="910"/>
      <c r="AA690" s="909"/>
      <c r="AB690" s="910"/>
      <c r="AC690" s="911"/>
      <c r="AD690" s="911"/>
      <c r="AE690" s="909"/>
      <c r="AF690" s="909"/>
      <c r="AG690" s="909"/>
      <c r="AH690" s="917"/>
      <c r="AI690" s="909"/>
      <c r="AJ690" s="916"/>
      <c r="AK690" s="916"/>
      <c r="AL690" s="653"/>
      <c r="AM690" s="918"/>
      <c r="AN690" s="915"/>
      <c r="AO690" s="653"/>
      <c r="AP690" s="653"/>
      <c r="AQ690" s="653"/>
      <c r="AR690" s="653"/>
      <c r="AS690" s="653"/>
      <c r="AT690" s="653"/>
      <c r="AU690" s="653"/>
      <c r="AV690" s="653"/>
      <c r="AW690" s="653"/>
      <c r="AX690" s="653"/>
      <c r="AY690" s="653"/>
      <c r="AZ690" s="653"/>
      <c r="BA690" s="653"/>
      <c r="BB690" s="653"/>
      <c r="BC690" s="653"/>
      <c r="BD690" s="653"/>
      <c r="BE690" s="653"/>
      <c r="BF690" s="653"/>
      <c r="BG690" s="653"/>
      <c r="BH690" s="653"/>
      <c r="BI690" s="653"/>
      <c r="BJ690" s="653"/>
      <c r="BK690" s="653"/>
      <c r="BL690" s="653"/>
      <c r="BM690" s="653"/>
      <c r="BN690" s="653"/>
      <c r="BO690" s="653"/>
      <c r="BP690" s="653"/>
      <c r="BQ690" s="653"/>
      <c r="BR690" s="653"/>
      <c r="BS690" s="653"/>
      <c r="BT690" s="653"/>
      <c r="BU690" s="653"/>
      <c r="BV690" s="654"/>
    </row>
    <row r="691" spans="2:74" x14ac:dyDescent="0.25">
      <c r="B691" s="651"/>
      <c r="C691" s="653"/>
      <c r="D691" s="653"/>
      <c r="E691" s="653"/>
      <c r="F691" s="653"/>
      <c r="G691" s="653"/>
      <c r="H691" s="653"/>
      <c r="I691" s="653"/>
      <c r="J691" s="653"/>
      <c r="K691" s="653"/>
      <c r="L691" s="653"/>
      <c r="M691" s="651"/>
      <c r="N691" s="909"/>
      <c r="O691" s="909"/>
      <c r="P691" s="909"/>
      <c r="Q691" s="910"/>
      <c r="R691" s="909"/>
      <c r="S691" s="909"/>
      <c r="T691" s="909"/>
      <c r="U691" s="909"/>
      <c r="V691" s="909"/>
      <c r="W691" s="909"/>
      <c r="X691" s="909"/>
      <c r="Y691" s="909"/>
      <c r="Z691" s="910"/>
      <c r="AA691" s="909"/>
      <c r="AB691" s="910"/>
      <c r="AC691" s="911"/>
      <c r="AD691" s="911"/>
      <c r="AE691" s="909"/>
      <c r="AF691" s="909"/>
      <c r="AG691" s="909"/>
      <c r="AH691" s="917"/>
      <c r="AI691" s="909"/>
      <c r="AJ691" s="916"/>
      <c r="AK691" s="916"/>
      <c r="AL691" s="653"/>
      <c r="AM691" s="918"/>
      <c r="AN691" s="915"/>
      <c r="AO691" s="653"/>
      <c r="AP691" s="653"/>
      <c r="AQ691" s="653"/>
      <c r="AR691" s="653"/>
      <c r="AS691" s="653"/>
      <c r="AT691" s="653"/>
      <c r="AU691" s="653"/>
      <c r="AV691" s="653"/>
      <c r="AW691" s="653"/>
      <c r="AX691" s="653"/>
      <c r="AY691" s="653"/>
      <c r="AZ691" s="653"/>
      <c r="BA691" s="653"/>
      <c r="BB691" s="653"/>
      <c r="BC691" s="653"/>
      <c r="BD691" s="653"/>
      <c r="BE691" s="653"/>
      <c r="BF691" s="653"/>
      <c r="BG691" s="653"/>
      <c r="BH691" s="653"/>
      <c r="BI691" s="653"/>
      <c r="BJ691" s="653"/>
      <c r="BK691" s="653"/>
      <c r="BL691" s="653"/>
      <c r="BM691" s="653"/>
      <c r="BN691" s="653"/>
      <c r="BO691" s="653"/>
      <c r="BP691" s="653"/>
      <c r="BQ691" s="653"/>
      <c r="BR691" s="653"/>
      <c r="BS691" s="653"/>
      <c r="BT691" s="653"/>
      <c r="BU691" s="653"/>
      <c r="BV691" s="654"/>
    </row>
    <row r="692" spans="2:74" x14ac:dyDescent="0.25">
      <c r="B692" s="651"/>
      <c r="C692" s="653"/>
      <c r="D692" s="653"/>
      <c r="E692" s="653"/>
      <c r="F692" s="653"/>
      <c r="G692" s="653"/>
      <c r="H692" s="653"/>
      <c r="I692" s="653"/>
      <c r="J692" s="653"/>
      <c r="K692" s="653"/>
      <c r="L692" s="653"/>
      <c r="M692" s="651"/>
      <c r="N692" s="909"/>
      <c r="O692" s="909"/>
      <c r="P692" s="909"/>
      <c r="Q692" s="910"/>
      <c r="R692" s="909"/>
      <c r="S692" s="909"/>
      <c r="T692" s="909"/>
      <c r="U692" s="909"/>
      <c r="V692" s="909"/>
      <c r="W692" s="909"/>
      <c r="X692" s="909"/>
      <c r="Y692" s="909"/>
      <c r="Z692" s="910"/>
      <c r="AA692" s="909"/>
      <c r="AB692" s="910"/>
      <c r="AC692" s="911"/>
      <c r="AD692" s="911"/>
      <c r="AE692" s="909"/>
      <c r="AF692" s="909"/>
      <c r="AG692" s="909"/>
      <c r="AH692" s="917"/>
      <c r="AI692" s="909"/>
      <c r="AJ692" s="916"/>
      <c r="AK692" s="916"/>
      <c r="AL692" s="653"/>
      <c r="AM692" s="918"/>
      <c r="AN692" s="915"/>
      <c r="AO692" s="653"/>
      <c r="AP692" s="653"/>
      <c r="AQ692" s="653"/>
      <c r="AR692" s="653"/>
      <c r="AS692" s="653"/>
      <c r="AT692" s="653"/>
      <c r="AU692" s="653"/>
      <c r="AV692" s="653"/>
      <c r="AW692" s="653"/>
      <c r="AX692" s="653"/>
      <c r="AY692" s="653"/>
      <c r="AZ692" s="653"/>
      <c r="BA692" s="653"/>
      <c r="BB692" s="653"/>
      <c r="BC692" s="653"/>
      <c r="BD692" s="653"/>
      <c r="BE692" s="653"/>
      <c r="BF692" s="653"/>
      <c r="BG692" s="653"/>
      <c r="BH692" s="653"/>
      <c r="BI692" s="653"/>
      <c r="BJ692" s="653"/>
      <c r="BK692" s="653"/>
      <c r="BL692" s="653"/>
      <c r="BM692" s="653"/>
      <c r="BN692" s="653"/>
      <c r="BO692" s="653"/>
      <c r="BP692" s="653"/>
      <c r="BQ692" s="653"/>
      <c r="BR692" s="653"/>
      <c r="BS692" s="653"/>
      <c r="BT692" s="653"/>
      <c r="BU692" s="653"/>
      <c r="BV692" s="654"/>
    </row>
    <row r="693" spans="2:74" x14ac:dyDescent="0.25">
      <c r="B693" s="651"/>
      <c r="C693" s="653"/>
      <c r="D693" s="653"/>
      <c r="E693" s="653"/>
      <c r="F693" s="653"/>
      <c r="G693" s="653"/>
      <c r="H693" s="653"/>
      <c r="I693" s="653"/>
      <c r="J693" s="653"/>
      <c r="K693" s="653"/>
      <c r="L693" s="653"/>
      <c r="M693" s="651"/>
      <c r="N693" s="909"/>
      <c r="O693" s="909"/>
      <c r="P693" s="909"/>
      <c r="Q693" s="910"/>
      <c r="R693" s="909"/>
      <c r="S693" s="909"/>
      <c r="T693" s="909"/>
      <c r="U693" s="909"/>
      <c r="V693" s="909"/>
      <c r="W693" s="909"/>
      <c r="X693" s="909"/>
      <c r="Y693" s="909"/>
      <c r="Z693" s="910"/>
      <c r="AA693" s="909"/>
      <c r="AB693" s="910"/>
      <c r="AC693" s="911"/>
      <c r="AD693" s="911"/>
      <c r="AE693" s="909"/>
      <c r="AF693" s="909"/>
      <c r="AG693" s="909"/>
      <c r="AH693" s="917"/>
      <c r="AI693" s="909"/>
      <c r="AJ693" s="916"/>
      <c r="AK693" s="916"/>
      <c r="AL693" s="653"/>
      <c r="AM693" s="918"/>
      <c r="AN693" s="915"/>
      <c r="AO693" s="653"/>
      <c r="AP693" s="653"/>
      <c r="AQ693" s="653"/>
      <c r="AR693" s="653"/>
      <c r="AS693" s="653"/>
      <c r="AT693" s="653"/>
      <c r="AU693" s="653"/>
      <c r="AV693" s="653"/>
      <c r="AW693" s="653"/>
      <c r="AX693" s="653"/>
      <c r="AY693" s="653"/>
      <c r="AZ693" s="653"/>
      <c r="BA693" s="653"/>
      <c r="BB693" s="653"/>
      <c r="BC693" s="653"/>
      <c r="BD693" s="653"/>
      <c r="BE693" s="653"/>
      <c r="BF693" s="653"/>
      <c r="BG693" s="653"/>
      <c r="BH693" s="653"/>
      <c r="BI693" s="653"/>
      <c r="BJ693" s="653"/>
      <c r="BK693" s="653"/>
      <c r="BL693" s="653"/>
      <c r="BM693" s="653"/>
      <c r="BN693" s="653"/>
      <c r="BO693" s="653"/>
      <c r="BP693" s="653"/>
      <c r="BQ693" s="653"/>
      <c r="BR693" s="653"/>
      <c r="BS693" s="653"/>
      <c r="BT693" s="653"/>
      <c r="BU693" s="653"/>
      <c r="BV693" s="654"/>
    </row>
    <row r="694" spans="2:74" ht="15.75" thickBot="1" x14ac:dyDescent="0.3">
      <c r="B694" s="651"/>
      <c r="C694" s="653"/>
      <c r="D694" s="653"/>
      <c r="E694" s="653"/>
      <c r="F694" s="653"/>
      <c r="G694" s="653"/>
      <c r="H694" s="653"/>
      <c r="I694" s="653"/>
      <c r="J694" s="653"/>
      <c r="K694" s="653"/>
      <c r="L694" s="653"/>
      <c r="M694" s="680"/>
      <c r="N694" s="909"/>
      <c r="O694" s="919"/>
      <c r="P694" s="909"/>
      <c r="Q694" s="920"/>
      <c r="R694" s="919"/>
      <c r="S694" s="909"/>
      <c r="T694" s="909"/>
      <c r="U694" s="909"/>
      <c r="V694" s="909"/>
      <c r="W694" s="909"/>
      <c r="X694" s="919"/>
      <c r="Y694" s="909"/>
      <c r="Z694" s="920"/>
      <c r="AA694" s="909"/>
      <c r="AB694" s="920"/>
      <c r="AC694" s="921"/>
      <c r="AD694" s="921"/>
      <c r="AE694" s="919"/>
      <c r="AF694" s="919"/>
      <c r="AG694" s="919"/>
      <c r="AH694" s="922"/>
      <c r="AI694" s="909"/>
      <c r="AJ694" s="916"/>
      <c r="AK694" s="916"/>
      <c r="AL694" s="653"/>
      <c r="AM694" s="918"/>
      <c r="AN694" s="923"/>
      <c r="AO694" s="653"/>
      <c r="AP694" s="653"/>
      <c r="AQ694" s="653"/>
      <c r="AR694" s="653"/>
      <c r="AS694" s="653"/>
      <c r="AT694" s="653"/>
      <c r="AU694" s="653"/>
      <c r="AV694" s="653"/>
      <c r="AW694" s="653"/>
      <c r="AX694" s="653"/>
      <c r="AY694" s="653"/>
      <c r="AZ694" s="653"/>
      <c r="BA694" s="653"/>
      <c r="BB694" s="653"/>
      <c r="BC694" s="653"/>
      <c r="BD694" s="653"/>
      <c r="BE694" s="653"/>
      <c r="BF694" s="653"/>
      <c r="BG694" s="653"/>
      <c r="BH694" s="653"/>
      <c r="BI694" s="653"/>
      <c r="BJ694" s="653"/>
      <c r="BK694" s="653"/>
      <c r="BL694" s="653"/>
      <c r="BM694" s="653"/>
      <c r="BN694" s="653"/>
      <c r="BO694" s="653"/>
      <c r="BP694" s="653"/>
      <c r="BQ694" s="653"/>
      <c r="BR694" s="653"/>
      <c r="BS694" s="653"/>
      <c r="BT694" s="653"/>
      <c r="BU694" s="653"/>
      <c r="BV694" s="654"/>
    </row>
    <row r="695" spans="2:74" x14ac:dyDescent="0.25">
      <c r="B695" s="651"/>
      <c r="C695" s="653"/>
      <c r="D695" s="653"/>
      <c r="E695" s="653"/>
      <c r="F695" s="653"/>
      <c r="G695" s="653"/>
      <c r="H695" s="653"/>
      <c r="I695" s="653"/>
      <c r="J695" s="653"/>
      <c r="K695" s="653"/>
      <c r="L695" s="653"/>
      <c r="M695" s="653"/>
      <c r="N695" s="653"/>
      <c r="O695" s="653"/>
      <c r="P695" s="653"/>
      <c r="Q695" s="653"/>
      <c r="R695" s="653"/>
      <c r="S695" s="653"/>
      <c r="T695" s="653"/>
      <c r="U695" s="653"/>
      <c r="V695" s="653"/>
      <c r="W695" s="653"/>
      <c r="X695" s="653"/>
      <c r="Y695" s="653"/>
      <c r="Z695" s="653"/>
      <c r="AA695" s="653"/>
      <c r="AB695" s="653"/>
      <c r="AC695" s="653"/>
      <c r="AD695" s="653"/>
      <c r="AE695" s="653"/>
      <c r="AF695" s="1063"/>
      <c r="AG695" s="653"/>
      <c r="AH695" s="653"/>
      <c r="AI695" s="653"/>
      <c r="AJ695" s="653"/>
      <c r="AK695" s="653"/>
      <c r="AL695" s="653"/>
      <c r="AM695" s="653"/>
      <c r="AN695" s="653"/>
      <c r="AO695" s="653"/>
      <c r="AP695" s="653"/>
      <c r="AQ695" s="653"/>
      <c r="AR695" s="653"/>
      <c r="AS695" s="653"/>
      <c r="AT695" s="653"/>
      <c r="AU695" s="653"/>
      <c r="AV695" s="653"/>
      <c r="AW695" s="653"/>
      <c r="AX695" s="653"/>
      <c r="AY695" s="653"/>
      <c r="AZ695" s="653"/>
      <c r="BA695" s="653"/>
      <c r="BB695" s="653"/>
      <c r="BC695" s="653"/>
      <c r="BD695" s="653"/>
      <c r="BE695" s="653"/>
      <c r="BF695" s="653"/>
      <c r="BG695" s="653"/>
      <c r="BH695" s="653"/>
      <c r="BI695" s="653"/>
      <c r="BJ695" s="653"/>
      <c r="BK695" s="653"/>
      <c r="BL695" s="653"/>
      <c r="BM695" s="653"/>
      <c r="BN695" s="653"/>
      <c r="BO695" s="653"/>
      <c r="BP695" s="653"/>
      <c r="BQ695" s="653"/>
      <c r="BR695" s="653"/>
      <c r="BS695" s="653"/>
      <c r="BT695" s="653"/>
      <c r="BU695" s="653"/>
      <c r="BV695" s="654"/>
    </row>
    <row r="696" spans="2:74" x14ac:dyDescent="0.25">
      <c r="B696" s="651"/>
      <c r="C696" s="653"/>
      <c r="D696" s="653"/>
      <c r="E696" s="653"/>
      <c r="F696" s="653"/>
      <c r="G696" s="653"/>
      <c r="H696" s="653"/>
      <c r="I696" s="653"/>
      <c r="J696" s="653"/>
      <c r="K696" s="653"/>
      <c r="L696" s="653"/>
      <c r="M696" s="653"/>
      <c r="N696" s="653"/>
      <c r="O696" s="653"/>
      <c r="P696" s="653"/>
      <c r="Q696" s="653"/>
      <c r="R696" s="653"/>
      <c r="S696" s="653"/>
      <c r="T696" s="653"/>
      <c r="U696" s="653"/>
      <c r="V696" s="653"/>
      <c r="W696" s="653"/>
      <c r="X696" s="653"/>
      <c r="Y696" s="653"/>
      <c r="Z696" s="653"/>
      <c r="AA696" s="653"/>
      <c r="AB696" s="653"/>
      <c r="AC696" s="653"/>
      <c r="AD696" s="653"/>
      <c r="AE696" s="653"/>
      <c r="AF696" s="1063"/>
      <c r="AG696" s="653"/>
      <c r="AH696" s="653"/>
      <c r="AI696" s="653"/>
      <c r="AJ696" s="653"/>
      <c r="AK696" s="653"/>
      <c r="AL696" s="653"/>
      <c r="AM696" s="653"/>
      <c r="AN696" s="653"/>
      <c r="AO696" s="653"/>
      <c r="AP696" s="653"/>
      <c r="AQ696" s="653"/>
      <c r="AR696" s="653"/>
      <c r="AS696" s="653"/>
      <c r="AT696" s="653"/>
      <c r="AU696" s="653"/>
      <c r="AV696" s="653"/>
      <c r="AW696" s="653"/>
      <c r="AX696" s="653"/>
      <c r="AY696" s="653"/>
      <c r="AZ696" s="653"/>
      <c r="BA696" s="653"/>
      <c r="BB696" s="653"/>
      <c r="BC696" s="653"/>
      <c r="BD696" s="653"/>
      <c r="BE696" s="653"/>
      <c r="BF696" s="653"/>
      <c r="BG696" s="653"/>
      <c r="BH696" s="653"/>
      <c r="BI696" s="653"/>
      <c r="BJ696" s="653"/>
      <c r="BK696" s="653"/>
      <c r="BL696" s="653"/>
      <c r="BM696" s="653"/>
      <c r="BN696" s="653"/>
      <c r="BO696" s="653"/>
      <c r="BP696" s="653"/>
      <c r="BQ696" s="653"/>
      <c r="BR696" s="653"/>
      <c r="BS696" s="653"/>
      <c r="BT696" s="653"/>
      <c r="BU696" s="653"/>
      <c r="BV696" s="654"/>
    </row>
    <row r="697" spans="2:74" x14ac:dyDescent="0.25">
      <c r="B697" s="651"/>
      <c r="C697" s="653"/>
      <c r="D697" s="653"/>
      <c r="E697" s="653"/>
      <c r="F697" s="653"/>
      <c r="G697" s="653"/>
      <c r="H697" s="653"/>
      <c r="I697" s="653"/>
      <c r="J697" s="653"/>
      <c r="K697" s="653"/>
      <c r="L697" s="653"/>
      <c r="M697" s="653"/>
      <c r="N697" s="653"/>
      <c r="O697" s="653"/>
      <c r="P697" s="653"/>
      <c r="Q697" s="653"/>
      <c r="R697" s="653"/>
      <c r="S697" s="653"/>
      <c r="T697" s="653"/>
      <c r="U697" s="653"/>
      <c r="V697" s="653"/>
      <c r="W697" s="653"/>
      <c r="X697" s="653"/>
      <c r="Y697" s="653"/>
      <c r="Z697" s="653"/>
      <c r="AA697" s="653"/>
      <c r="AB697" s="653"/>
      <c r="AC697" s="653"/>
      <c r="AD697" s="653"/>
      <c r="AE697" s="653"/>
      <c r="AF697" s="1063"/>
      <c r="AG697" s="653"/>
      <c r="AH697" s="653"/>
      <c r="AI697" s="653"/>
      <c r="AJ697" s="653"/>
      <c r="AK697" s="653"/>
      <c r="AL697" s="653"/>
      <c r="AM697" s="653"/>
      <c r="AN697" s="653"/>
      <c r="AO697" s="653"/>
      <c r="AP697" s="653"/>
      <c r="AQ697" s="653"/>
      <c r="AR697" s="653"/>
      <c r="AS697" s="653"/>
      <c r="AT697" s="653"/>
      <c r="AU697" s="653"/>
      <c r="AV697" s="653"/>
      <c r="AW697" s="653"/>
      <c r="AX697" s="653"/>
      <c r="AY697" s="653"/>
      <c r="AZ697" s="653"/>
      <c r="BA697" s="653"/>
      <c r="BB697" s="653"/>
      <c r="BC697" s="653"/>
      <c r="BD697" s="653"/>
      <c r="BE697" s="653"/>
      <c r="BF697" s="653"/>
      <c r="BG697" s="653"/>
      <c r="BH697" s="653"/>
      <c r="BI697" s="653"/>
      <c r="BJ697" s="653"/>
      <c r="BK697" s="653"/>
      <c r="BL697" s="653"/>
      <c r="BM697" s="653"/>
      <c r="BN697" s="653"/>
      <c r="BO697" s="653"/>
      <c r="BP697" s="653"/>
      <c r="BQ697" s="653"/>
      <c r="BR697" s="653"/>
      <c r="BS697" s="653"/>
      <c r="BT697" s="653"/>
      <c r="BU697" s="653"/>
      <c r="BV697" s="654"/>
    </row>
    <row r="698" spans="2:74" x14ac:dyDescent="0.25">
      <c r="B698" s="651"/>
      <c r="C698" s="653"/>
      <c r="D698" s="653"/>
      <c r="E698" s="653"/>
      <c r="F698" s="653"/>
      <c r="G698" s="653"/>
      <c r="H698" s="653"/>
      <c r="I698" s="653"/>
      <c r="J698" s="653"/>
      <c r="K698" s="653"/>
      <c r="L698" s="653"/>
      <c r="M698" s="653"/>
      <c r="N698" s="653"/>
      <c r="O698" s="653"/>
      <c r="P698" s="653"/>
      <c r="Q698" s="653"/>
      <c r="R698" s="653"/>
      <c r="S698" s="653"/>
      <c r="T698" s="653"/>
      <c r="U698" s="653"/>
      <c r="V698" s="653"/>
      <c r="W698" s="653"/>
      <c r="X698" s="653"/>
      <c r="Y698" s="653"/>
      <c r="Z698" s="653"/>
      <c r="AA698" s="653"/>
      <c r="AB698" s="653"/>
      <c r="AC698" s="653"/>
      <c r="AD698" s="653"/>
      <c r="AE698" s="653"/>
      <c r="AF698" s="1063"/>
      <c r="AG698" s="653"/>
      <c r="AH698" s="653"/>
      <c r="AI698" s="653"/>
      <c r="AJ698" s="653"/>
      <c r="AK698" s="653"/>
      <c r="AL698" s="653"/>
      <c r="AM698" s="653"/>
      <c r="AN698" s="653"/>
      <c r="AO698" s="653"/>
      <c r="AP698" s="653"/>
      <c r="AQ698" s="653"/>
      <c r="AR698" s="653"/>
      <c r="AS698" s="653"/>
      <c r="AT698" s="653"/>
      <c r="AU698" s="653"/>
      <c r="AV698" s="653"/>
      <c r="AW698" s="653"/>
      <c r="AX698" s="653"/>
      <c r="AY698" s="653"/>
      <c r="AZ698" s="653"/>
      <c r="BA698" s="653"/>
      <c r="BB698" s="653"/>
      <c r="BC698" s="653"/>
      <c r="BD698" s="653"/>
      <c r="BE698" s="653"/>
      <c r="BF698" s="653"/>
      <c r="BG698" s="653"/>
      <c r="BH698" s="653"/>
      <c r="BI698" s="653"/>
      <c r="BJ698" s="653"/>
      <c r="BK698" s="653"/>
      <c r="BL698" s="653"/>
      <c r="BM698" s="653"/>
      <c r="BN698" s="653"/>
      <c r="BO698" s="653"/>
      <c r="BP698" s="653"/>
      <c r="BQ698" s="653"/>
      <c r="BR698" s="653"/>
      <c r="BS698" s="653"/>
      <c r="BT698" s="653"/>
      <c r="BU698" s="653"/>
      <c r="BV698" s="654"/>
    </row>
    <row r="699" spans="2:74" x14ac:dyDescent="0.25">
      <c r="B699" s="651"/>
      <c r="C699" s="653"/>
      <c r="D699" s="653"/>
      <c r="E699" s="653"/>
      <c r="F699" s="653"/>
      <c r="G699" s="653"/>
      <c r="H699" s="653"/>
      <c r="I699" s="653"/>
      <c r="J699" s="653"/>
      <c r="K699" s="653"/>
      <c r="L699" s="653"/>
      <c r="M699" s="653"/>
      <c r="N699" s="653"/>
      <c r="O699" s="653"/>
      <c r="P699" s="653"/>
      <c r="Q699" s="653"/>
      <c r="R699" s="653"/>
      <c r="S699" s="653"/>
      <c r="T699" s="653"/>
      <c r="U699" s="653"/>
      <c r="V699" s="653"/>
      <c r="W699" s="653"/>
      <c r="X699" s="653"/>
      <c r="Y699" s="653"/>
      <c r="Z699" s="653"/>
      <c r="AA699" s="653"/>
      <c r="AB699" s="653"/>
      <c r="AC699" s="653"/>
      <c r="AD699" s="653"/>
      <c r="AE699" s="653"/>
      <c r="AF699" s="1063"/>
      <c r="AG699" s="653"/>
      <c r="AH699" s="653"/>
      <c r="AI699" s="653"/>
      <c r="AJ699" s="653"/>
      <c r="AK699" s="653"/>
      <c r="AL699" s="653"/>
      <c r="AM699" s="653"/>
      <c r="AN699" s="653"/>
      <c r="AO699" s="653"/>
      <c r="AP699" s="653"/>
      <c r="AQ699" s="653"/>
      <c r="AR699" s="653"/>
      <c r="AS699" s="653"/>
      <c r="AT699" s="653"/>
      <c r="AU699" s="653"/>
      <c r="AV699" s="653"/>
      <c r="AW699" s="653"/>
      <c r="AX699" s="653"/>
      <c r="AY699" s="653"/>
      <c r="AZ699" s="653"/>
      <c r="BA699" s="653"/>
      <c r="BB699" s="653"/>
      <c r="BC699" s="653"/>
      <c r="BD699" s="653"/>
      <c r="BE699" s="653"/>
      <c r="BF699" s="653"/>
      <c r="BG699" s="653"/>
      <c r="BH699" s="653"/>
      <c r="BI699" s="653"/>
      <c r="BJ699" s="653"/>
      <c r="BK699" s="653"/>
      <c r="BL699" s="653"/>
      <c r="BM699" s="653"/>
      <c r="BN699" s="653"/>
      <c r="BO699" s="653"/>
      <c r="BP699" s="653"/>
      <c r="BQ699" s="653"/>
      <c r="BR699" s="653"/>
      <c r="BS699" s="653"/>
      <c r="BT699" s="653"/>
      <c r="BU699" s="653"/>
      <c r="BV699" s="654"/>
    </row>
    <row r="700" spans="2:74" x14ac:dyDescent="0.25">
      <c r="B700" s="651"/>
      <c r="C700" s="653"/>
      <c r="D700" s="653"/>
      <c r="E700" s="653"/>
      <c r="F700" s="653"/>
      <c r="G700" s="653"/>
      <c r="H700" s="653"/>
      <c r="I700" s="653"/>
      <c r="J700" s="653"/>
      <c r="K700" s="653"/>
      <c r="L700" s="653"/>
      <c r="M700" s="653"/>
      <c r="N700" s="653"/>
      <c r="O700" s="653"/>
      <c r="P700" s="653"/>
      <c r="Q700" s="653"/>
      <c r="R700" s="653"/>
      <c r="S700" s="653"/>
      <c r="T700" s="653"/>
      <c r="U700" s="653"/>
      <c r="V700" s="653"/>
      <c r="W700" s="653"/>
      <c r="X700" s="653"/>
      <c r="Y700" s="653"/>
      <c r="Z700" s="653"/>
      <c r="AA700" s="653"/>
      <c r="AB700" s="653"/>
      <c r="AC700" s="653"/>
      <c r="AD700" s="653"/>
      <c r="AE700" s="653"/>
      <c r="AF700" s="1063"/>
      <c r="AG700" s="653"/>
      <c r="AH700" s="653"/>
      <c r="AI700" s="653"/>
      <c r="AJ700" s="653"/>
      <c r="AK700" s="653"/>
      <c r="AL700" s="653"/>
      <c r="AM700" s="653"/>
      <c r="AN700" s="653"/>
      <c r="AO700" s="653"/>
      <c r="AP700" s="653"/>
      <c r="AQ700" s="653"/>
      <c r="AR700" s="653"/>
      <c r="AS700" s="653"/>
      <c r="AT700" s="653"/>
      <c r="AU700" s="653"/>
      <c r="AV700" s="653"/>
      <c r="AW700" s="653"/>
      <c r="AX700" s="653"/>
      <c r="AY700" s="653"/>
      <c r="AZ700" s="653"/>
      <c r="BA700" s="653"/>
      <c r="BB700" s="653"/>
      <c r="BC700" s="653"/>
      <c r="BD700" s="653"/>
      <c r="BE700" s="653"/>
      <c r="BF700" s="653"/>
      <c r="BG700" s="653"/>
      <c r="BH700" s="653"/>
      <c r="BI700" s="653"/>
      <c r="BJ700" s="653"/>
      <c r="BK700" s="653"/>
      <c r="BL700" s="653"/>
      <c r="BM700" s="653"/>
      <c r="BN700" s="653"/>
      <c r="BO700" s="653"/>
      <c r="BP700" s="653"/>
      <c r="BQ700" s="653"/>
      <c r="BR700" s="653"/>
      <c r="BS700" s="653"/>
      <c r="BT700" s="653"/>
      <c r="BU700" s="653"/>
      <c r="BV700" s="654"/>
    </row>
    <row r="701" spans="2:74" ht="15.75" thickBot="1" x14ac:dyDescent="0.3">
      <c r="B701" s="680"/>
      <c r="C701" s="681"/>
      <c r="D701" s="681"/>
      <c r="E701" s="681"/>
      <c r="F701" s="681"/>
      <c r="G701" s="681"/>
      <c r="H701" s="681"/>
      <c r="I701" s="681"/>
      <c r="J701" s="681"/>
      <c r="K701" s="681"/>
      <c r="L701" s="681"/>
      <c r="M701" s="681"/>
      <c r="N701" s="681"/>
      <c r="O701" s="681"/>
      <c r="P701" s="681"/>
      <c r="Q701" s="681"/>
      <c r="R701" s="681"/>
      <c r="S701" s="681"/>
      <c r="T701" s="681"/>
      <c r="U701" s="681"/>
      <c r="V701" s="681"/>
      <c r="W701" s="681"/>
      <c r="X701" s="681"/>
      <c r="Y701" s="681"/>
      <c r="Z701" s="681"/>
      <c r="AA701" s="681"/>
      <c r="AB701" s="681"/>
      <c r="AC701" s="681"/>
      <c r="AD701" s="681"/>
      <c r="AE701" s="681"/>
      <c r="AF701" s="980"/>
      <c r="AG701" s="681"/>
      <c r="AH701" s="681"/>
      <c r="AI701" s="681"/>
      <c r="AJ701" s="681"/>
      <c r="AK701" s="681"/>
      <c r="AL701" s="681"/>
      <c r="AM701" s="681"/>
      <c r="AN701" s="681"/>
      <c r="AO701" s="681"/>
      <c r="AP701" s="681"/>
      <c r="AQ701" s="681"/>
      <c r="AR701" s="681"/>
      <c r="AS701" s="681"/>
      <c r="AT701" s="681"/>
      <c r="AU701" s="681"/>
      <c r="AV701" s="681"/>
      <c r="AW701" s="681"/>
      <c r="AX701" s="681"/>
      <c r="AY701" s="681"/>
      <c r="AZ701" s="681"/>
      <c r="BA701" s="681"/>
      <c r="BB701" s="681"/>
      <c r="BC701" s="681"/>
      <c r="BD701" s="681"/>
      <c r="BE701" s="681"/>
      <c r="BF701" s="681"/>
      <c r="BG701" s="681"/>
      <c r="BH701" s="681"/>
      <c r="BI701" s="681"/>
      <c r="BJ701" s="681"/>
      <c r="BK701" s="681"/>
      <c r="BL701" s="681"/>
      <c r="BM701" s="681"/>
      <c r="BN701" s="681"/>
      <c r="BO701" s="681"/>
      <c r="BP701" s="681"/>
      <c r="BQ701" s="681"/>
      <c r="BR701" s="681"/>
      <c r="BS701" s="681"/>
      <c r="BT701" s="681"/>
      <c r="BU701" s="681"/>
      <c r="BV701" s="666"/>
    </row>
  </sheetData>
  <mergeCells count="61">
    <mergeCell ref="AA592:AB592"/>
    <mergeCell ref="BC592:BI592"/>
    <mergeCell ref="AI587:AL587"/>
    <mergeCell ref="AO587:AQ587"/>
    <mergeCell ref="C588:E588"/>
    <mergeCell ref="O589:AH589"/>
    <mergeCell ref="AI589:AL589"/>
    <mergeCell ref="AI590:AJ590"/>
    <mergeCell ref="AK590:AL590"/>
    <mergeCell ref="AA457:AB457"/>
    <mergeCell ref="BC457:BI457"/>
    <mergeCell ref="AI452:AL452"/>
    <mergeCell ref="AO452:AQ452"/>
    <mergeCell ref="C453:E453"/>
    <mergeCell ref="O454:AH454"/>
    <mergeCell ref="AI454:AL454"/>
    <mergeCell ref="AI455:AJ455"/>
    <mergeCell ref="AK455:AL455"/>
    <mergeCell ref="AA323:AB323"/>
    <mergeCell ref="BC323:BI323"/>
    <mergeCell ref="AI318:AL318"/>
    <mergeCell ref="AO318:AQ318"/>
    <mergeCell ref="C319:E319"/>
    <mergeCell ref="O320:AH320"/>
    <mergeCell ref="AI320:AL320"/>
    <mergeCell ref="AI321:AJ321"/>
    <mergeCell ref="AK321:AL321"/>
    <mergeCell ref="AA189:AB189"/>
    <mergeCell ref="BC189:BI189"/>
    <mergeCell ref="AI184:AL184"/>
    <mergeCell ref="AO184:AQ184"/>
    <mergeCell ref="C185:E185"/>
    <mergeCell ref="O186:AH186"/>
    <mergeCell ref="AI186:AL186"/>
    <mergeCell ref="AI187:AJ187"/>
    <mergeCell ref="AK187:AL187"/>
    <mergeCell ref="AI50:AL50"/>
    <mergeCell ref="AO50:AQ50"/>
    <mergeCell ref="C51:E51"/>
    <mergeCell ref="BC55:BI55"/>
    <mergeCell ref="O52:AH52"/>
    <mergeCell ref="AI52:AL52"/>
    <mergeCell ref="AI53:AJ53"/>
    <mergeCell ref="AK53:AL53"/>
    <mergeCell ref="AA55:AB55"/>
    <mergeCell ref="Q17:R17"/>
    <mergeCell ref="M8:N8"/>
    <mergeCell ref="O8:P8"/>
    <mergeCell ref="I17:J17"/>
    <mergeCell ref="K17:L17"/>
    <mergeCell ref="M17:N17"/>
    <mergeCell ref="O17:P17"/>
    <mergeCell ref="I8:J8"/>
    <mergeCell ref="Q8:R8"/>
    <mergeCell ref="K8:L8"/>
    <mergeCell ref="I3:R3"/>
    <mergeCell ref="I4:J4"/>
    <mergeCell ref="K4:L4"/>
    <mergeCell ref="M4:N4"/>
    <mergeCell ref="O4:P4"/>
    <mergeCell ref="Q4:R4"/>
  </mergeCells>
  <pageMargins left="0.7" right="0.7" top="0.78740157499999996" bottom="0.78740157499999996"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tabColor rgb="FFFFFF00"/>
    <outlinePr summaryBelow="0" summaryRight="0"/>
    <pageSetUpPr fitToPage="1"/>
  </sheetPr>
  <dimension ref="A1:U719"/>
  <sheetViews>
    <sheetView showGridLines="0" showRowColHeaders="0" showZeros="0" zoomScaleNormal="100" workbookViewId="0">
      <pane ySplit="10" topLeftCell="A11" activePane="bottomLeft" state="frozen"/>
      <selection pane="bottomLeft" activeCell="L7" sqref="L7"/>
    </sheetView>
  </sheetViews>
  <sheetFormatPr baseColWidth="10" defaultRowHeight="11.25" x14ac:dyDescent="0.25"/>
  <cols>
    <col min="1" max="1" width="4.28515625" style="327" customWidth="1"/>
    <col min="2" max="2" width="9.7109375" style="327" customWidth="1"/>
    <col min="3" max="3" width="15.85546875" style="327" customWidth="1"/>
    <col min="4" max="4" width="9.7109375" style="327" customWidth="1"/>
    <col min="5" max="5" width="19" style="327" customWidth="1"/>
    <col min="6" max="6" width="8.28515625" style="327" customWidth="1"/>
    <col min="7" max="7" width="6.28515625" style="327" customWidth="1"/>
    <col min="8" max="12" width="15" style="327" customWidth="1"/>
    <col min="13" max="13" width="11" style="327" customWidth="1"/>
    <col min="14" max="14" width="6.140625" style="327" customWidth="1"/>
    <col min="15" max="15" width="2.7109375" style="327" customWidth="1"/>
    <col min="16" max="16" width="6" style="327" customWidth="1"/>
    <col min="17" max="17" width="2.28515625" style="327" customWidth="1"/>
    <col min="18" max="18" width="11.42578125" style="327"/>
    <col min="19" max="19" width="12.5703125" style="327" customWidth="1"/>
    <col min="20" max="20" width="8.5703125" style="327" customWidth="1"/>
    <col min="21" max="21" width="4.28515625" style="327" customWidth="1"/>
    <col min="22" max="22" width="8.85546875" style="327" customWidth="1"/>
    <col min="23" max="16384" width="11.42578125" style="327"/>
  </cols>
  <sheetData>
    <row r="1" spans="1:21" ht="24.95" customHeight="1" x14ac:dyDescent="0.25">
      <c r="A1" s="400"/>
      <c r="B1" s="399" t="s">
        <v>805</v>
      </c>
      <c r="C1" s="439"/>
      <c r="D1" s="400"/>
      <c r="E1" s="400"/>
      <c r="F1" s="400"/>
      <c r="G1" s="400"/>
      <c r="H1" s="400"/>
      <c r="I1" s="400"/>
      <c r="J1" s="400"/>
      <c r="K1" s="400"/>
      <c r="L1" s="400"/>
      <c r="M1" s="400"/>
      <c r="N1" s="400"/>
      <c r="O1" s="400"/>
      <c r="P1" s="400"/>
      <c r="Q1" s="400"/>
      <c r="R1" s="400"/>
      <c r="S1" s="400"/>
      <c r="T1" s="400"/>
      <c r="U1" s="400"/>
    </row>
    <row r="2" spans="1:21" ht="29.25" customHeight="1" x14ac:dyDescent="0.2">
      <c r="A2" s="440"/>
      <c r="B2" s="1164"/>
      <c r="C2" s="1164"/>
      <c r="D2" s="1164"/>
      <c r="E2" s="1164"/>
      <c r="F2" s="1164"/>
      <c r="G2" s="1164"/>
      <c r="H2" s="1164"/>
      <c r="I2" s="1164"/>
      <c r="J2" s="1164"/>
      <c r="K2" s="1164"/>
      <c r="L2" s="1164"/>
      <c r="M2" s="1164"/>
      <c r="N2" s="1164"/>
      <c r="O2" s="1164"/>
      <c r="P2" s="1164"/>
      <c r="Q2" s="1164"/>
      <c r="R2" s="1164"/>
      <c r="S2" s="1164"/>
      <c r="T2" s="1164"/>
      <c r="U2" s="440"/>
    </row>
    <row r="3" spans="1:21" ht="18" customHeight="1" x14ac:dyDescent="0.2">
      <c r="A3" s="440"/>
      <c r="B3" s="1164"/>
      <c r="C3" s="1164"/>
      <c r="D3" s="1164"/>
      <c r="E3" s="1164"/>
      <c r="F3" s="1164"/>
      <c r="G3" s="1164"/>
      <c r="H3" s="1164"/>
      <c r="I3" s="1164"/>
      <c r="J3" s="1164"/>
      <c r="K3" s="1164"/>
      <c r="L3" s="1164"/>
      <c r="M3" s="1164"/>
      <c r="N3" s="1164"/>
      <c r="O3" s="1164"/>
      <c r="P3" s="1164"/>
      <c r="Q3" s="1164"/>
      <c r="R3" s="1164"/>
      <c r="S3" s="1164"/>
      <c r="T3" s="1164"/>
      <c r="U3" s="440"/>
    </row>
    <row r="4" spans="1:21" ht="12.95" customHeight="1" x14ac:dyDescent="0.2">
      <c r="A4" s="440"/>
      <c r="B4" s="1204"/>
      <c r="C4" s="1204"/>
      <c r="D4" s="1204"/>
      <c r="E4" s="1204"/>
      <c r="F4" s="1204"/>
      <c r="G4" s="1204"/>
      <c r="H4" s="1204"/>
      <c r="I4" s="1204"/>
      <c r="J4" s="1204"/>
      <c r="K4" s="1204"/>
      <c r="L4" s="1204"/>
      <c r="M4" s="1204"/>
      <c r="N4" s="1204"/>
      <c r="O4" s="1204"/>
      <c r="P4" s="1204"/>
      <c r="Q4" s="1204"/>
      <c r="R4" s="1204"/>
      <c r="S4" s="1204"/>
      <c r="T4" s="1204"/>
      <c r="U4" s="440"/>
    </row>
    <row r="5" spans="1:21" ht="12.95" customHeight="1" x14ac:dyDescent="0.2">
      <c r="A5" s="440"/>
      <c r="B5" s="1199" t="str">
        <f>'1. Projektangaben'!$B$4</f>
        <v>Bauvorhaben</v>
      </c>
      <c r="C5" s="404" t="str">
        <f>IF('1. Projektangaben'!$C$4="","",'1. Projektangaben'!$C$4)</f>
        <v>KliNaWo</v>
      </c>
      <c r="D5" s="405"/>
      <c r="E5" s="406"/>
      <c r="F5" s="1200"/>
      <c r="G5" s="1199" t="str">
        <f>'1. Projektangaben'!$H$4</f>
        <v>Architekt</v>
      </c>
      <c r="H5" s="1268" t="str">
        <f>IF('1. Projektangaben'!$I$4="","",'1. Projektangaben'!$I$4)</f>
        <v>Walser und Werle Architekten</v>
      </c>
      <c r="I5" s="405"/>
      <c r="J5" s="406"/>
      <c r="K5" s="1204"/>
      <c r="L5" s="1204"/>
      <c r="M5" s="1204"/>
      <c r="N5" s="1204"/>
      <c r="O5" s="1204"/>
      <c r="P5" s="1204"/>
      <c r="Q5" s="1204"/>
      <c r="R5" s="1204"/>
      <c r="S5" s="1204"/>
      <c r="T5" s="1204"/>
      <c r="U5" s="440"/>
    </row>
    <row r="6" spans="1:21" ht="12.95" customHeight="1" x14ac:dyDescent="0.2">
      <c r="A6" s="440"/>
      <c r="B6" s="1199" t="str">
        <f>'1. Projektangaben'!$B$5</f>
        <v>Bauherr</v>
      </c>
      <c r="C6" s="408" t="str">
        <f>IF('1. Projektangaben'!$C$5="","",'1. Projektangaben'!$C$5)</f>
        <v>privater Bauträger</v>
      </c>
      <c r="D6" s="444"/>
      <c r="E6" s="445"/>
      <c r="F6" s="1204"/>
      <c r="G6" s="1199" t="str">
        <f>'1. Projektangaben'!$H$5</f>
        <v>Baujahr</v>
      </c>
      <c r="H6" s="1197">
        <f>IF('1. Projektangaben'!$I$5="","",'1. Projektangaben'!$I$5)</f>
        <v>2017</v>
      </c>
      <c r="I6" s="328"/>
      <c r="J6" s="1204"/>
      <c r="K6" s="1204"/>
      <c r="L6" s="1204"/>
      <c r="M6" s="1204"/>
      <c r="N6" s="1204"/>
      <c r="O6" s="1204"/>
      <c r="P6" s="1204"/>
      <c r="Q6" s="1204"/>
      <c r="R6" s="1204"/>
      <c r="S6" s="1204"/>
      <c r="T6" s="1204"/>
      <c r="U6" s="440"/>
    </row>
    <row r="7" spans="1:21" ht="12.95" customHeight="1" x14ac:dyDescent="0.2">
      <c r="A7" s="440"/>
      <c r="B7" s="1199" t="str">
        <f>'1. Projektangaben'!$B$6</f>
        <v>Adresse, Ort</v>
      </c>
      <c r="C7" s="404" t="str">
        <f>IF('1. Projektangaben'!$C$6="","",'1. Projektangaben'!$C$6)</f>
        <v>Siedlungsstrasse, Feldkirch</v>
      </c>
      <c r="D7" s="442"/>
      <c r="E7" s="443"/>
      <c r="F7" s="1202"/>
      <c r="G7" s="1199" t="str">
        <f>'1. Projektangaben'!$H$6</f>
        <v>Personen</v>
      </c>
      <c r="H7" s="1179">
        <f>IF('1. Projektangaben'!$I$6="","",'1. Projektangaben'!$I$6)</f>
        <v>54</v>
      </c>
      <c r="I7" s="1200"/>
      <c r="J7" s="1204"/>
      <c r="K7" s="1204"/>
      <c r="L7" s="1204"/>
      <c r="M7" s="1204"/>
      <c r="N7" s="1204"/>
      <c r="O7" s="1204"/>
      <c r="P7" s="1204"/>
      <c r="Q7" s="1204"/>
      <c r="R7" s="1204"/>
      <c r="S7" s="1204"/>
      <c r="T7" s="1204"/>
      <c r="U7" s="440"/>
    </row>
    <row r="8" spans="1:21" ht="12.95" customHeight="1" x14ac:dyDescent="0.2">
      <c r="A8" s="440"/>
      <c r="B8" s="1199" t="str">
        <f>'1. Projektangaben'!$B$7</f>
        <v>Gebäudetyp</v>
      </c>
      <c r="C8" s="404" t="str">
        <f>IF('1. Projektangaben'!$C$7="","",'1. Projektangaben'!$C$7)</f>
        <v>Mehrfamilienhaus</v>
      </c>
      <c r="D8" s="404"/>
      <c r="E8" s="447" t="str">
        <f>IF('1. Projektangaben'!$E$7="","",'1. Projektangaben'!$E$7)</f>
        <v>18+1 WE</v>
      </c>
      <c r="F8" s="1202"/>
      <c r="G8" s="1199" t="str">
        <f>'1. Projektangaben'!$H$7</f>
        <v>Anmerkung</v>
      </c>
      <c r="H8" s="1268" t="str">
        <f>IF('1. Projektangaben'!$I$7="","",'1. Projektangaben'!$I$7)</f>
        <v>Beispiele verschiedener Varianten</v>
      </c>
      <c r="I8" s="405"/>
      <c r="J8" s="406"/>
      <c r="K8" s="1204"/>
      <c r="L8" s="1204"/>
      <c r="M8" s="1204"/>
      <c r="N8" s="1204"/>
      <c r="O8" s="1204"/>
      <c r="P8" s="1204"/>
      <c r="Q8" s="1204"/>
      <c r="R8" s="1204"/>
      <c r="S8" s="1204"/>
      <c r="T8" s="1204"/>
      <c r="U8" s="440"/>
    </row>
    <row r="9" spans="1:21" ht="12.95" customHeight="1" x14ac:dyDescent="0.2">
      <c r="A9" s="440"/>
      <c r="B9" s="1204"/>
      <c r="C9" s="1204"/>
      <c r="D9" s="1200"/>
      <c r="E9" s="1200"/>
      <c r="F9" s="1200"/>
      <c r="G9" s="1204"/>
      <c r="H9" s="1204"/>
      <c r="I9" s="1204"/>
      <c r="J9" s="1204"/>
      <c r="K9" s="1204"/>
      <c r="L9" s="1204"/>
      <c r="M9" s="1204"/>
      <c r="N9" s="1204"/>
      <c r="O9" s="1204"/>
      <c r="P9" s="1204"/>
      <c r="Q9" s="1204"/>
      <c r="R9" s="1204"/>
      <c r="S9" s="1204"/>
      <c r="T9" s="1204"/>
      <c r="U9" s="440"/>
    </row>
    <row r="10" spans="1:21" ht="12.95" customHeight="1" x14ac:dyDescent="0.2">
      <c r="A10" s="440"/>
      <c r="B10" s="1199"/>
      <c r="C10" s="1199"/>
      <c r="D10" s="1199"/>
      <c r="E10" s="1199"/>
      <c r="F10" s="1199"/>
      <c r="G10" s="1199"/>
      <c r="H10" s="1204"/>
      <c r="I10" s="1204"/>
      <c r="J10" s="1204"/>
      <c r="K10" s="1204"/>
      <c r="L10" s="1204"/>
      <c r="M10" s="1204"/>
      <c r="N10" s="1204"/>
      <c r="O10" s="1204"/>
      <c r="P10" s="1204"/>
      <c r="Q10" s="1204"/>
      <c r="R10" s="1204"/>
      <c r="S10" s="1204"/>
      <c r="T10" s="1204"/>
      <c r="U10" s="440"/>
    </row>
    <row r="11" spans="1:21" ht="9.75" customHeight="1" x14ac:dyDescent="0.2">
      <c r="A11" s="440"/>
      <c r="B11" s="1164"/>
      <c r="C11" s="1164"/>
      <c r="D11" s="1164"/>
      <c r="E11" s="1164"/>
      <c r="F11" s="1164"/>
      <c r="G11" s="1164"/>
      <c r="H11" s="1164"/>
      <c r="I11" s="1164"/>
      <c r="J11" s="1164"/>
      <c r="K11" s="1164"/>
      <c r="L11" s="1164"/>
      <c r="M11" s="1164"/>
      <c r="N11" s="1164"/>
      <c r="O11" s="1164"/>
      <c r="P11" s="1164"/>
      <c r="Q11" s="1164"/>
      <c r="R11" s="1164"/>
      <c r="S11" s="1164"/>
      <c r="T11" s="1164"/>
      <c r="U11" s="440"/>
    </row>
    <row r="12" spans="1:21" ht="18" customHeight="1" x14ac:dyDescent="0.2">
      <c r="A12" s="440"/>
      <c r="B12" s="1164"/>
      <c r="C12" s="1164"/>
      <c r="D12" s="1164"/>
      <c r="E12" s="1164"/>
      <c r="F12" s="1164"/>
      <c r="G12" s="1164"/>
      <c r="H12" s="1164"/>
      <c r="I12" s="1164"/>
      <c r="J12" s="1164"/>
      <c r="K12" s="1164"/>
      <c r="L12" s="1164"/>
      <c r="M12" s="1164"/>
      <c r="N12" s="1164"/>
      <c r="O12" s="1164"/>
      <c r="P12" s="1164"/>
      <c r="Q12" s="1164"/>
      <c r="R12" s="1164"/>
      <c r="S12" s="1164"/>
      <c r="T12" s="1164"/>
      <c r="U12" s="440"/>
    </row>
    <row r="13" spans="1:21" ht="18" customHeight="1" x14ac:dyDescent="0.2">
      <c r="A13" s="440"/>
      <c r="B13" s="1164"/>
      <c r="C13" s="1164"/>
      <c r="D13" s="1164"/>
      <c r="E13" s="1164"/>
      <c r="F13" s="1164"/>
      <c r="G13" s="1164"/>
      <c r="H13" s="1164"/>
      <c r="I13" s="1164"/>
      <c r="J13" s="1164"/>
      <c r="K13" s="1164"/>
      <c r="L13" s="1164"/>
      <c r="M13" s="1164"/>
      <c r="N13" s="1164"/>
      <c r="O13" s="1164"/>
      <c r="P13" s="1164"/>
      <c r="Q13" s="1164"/>
      <c r="R13" s="1164"/>
      <c r="S13" s="1164"/>
      <c r="T13" s="1164"/>
      <c r="U13" s="440"/>
    </row>
    <row r="14" spans="1:21" ht="15" customHeight="1" x14ac:dyDescent="0.2">
      <c r="A14" s="440"/>
      <c r="B14" s="1204"/>
      <c r="C14" s="1204"/>
      <c r="D14" s="1204"/>
      <c r="E14" s="1204"/>
      <c r="F14" s="1204"/>
      <c r="G14" s="1204"/>
      <c r="H14" s="1204"/>
      <c r="I14" s="1204"/>
      <c r="J14" s="1204"/>
      <c r="K14" s="1204"/>
      <c r="L14" s="1204"/>
      <c r="M14" s="1204"/>
      <c r="N14" s="1204"/>
      <c r="O14" s="1204"/>
      <c r="P14" s="1204"/>
      <c r="Q14" s="1204"/>
      <c r="R14" s="1204"/>
      <c r="S14" s="1204"/>
      <c r="T14" s="1204"/>
      <c r="U14" s="440"/>
    </row>
    <row r="15" spans="1:21" ht="15" customHeight="1" x14ac:dyDescent="0.2">
      <c r="A15" s="440"/>
      <c r="B15" s="1204"/>
      <c r="C15" s="1204"/>
      <c r="D15" s="1204"/>
      <c r="E15" s="1204"/>
      <c r="F15" s="1204"/>
      <c r="G15" s="1204"/>
      <c r="H15" s="1204"/>
      <c r="I15" s="1204"/>
      <c r="J15" s="1204"/>
      <c r="K15" s="1204"/>
      <c r="L15" s="1204"/>
      <c r="M15" s="1204"/>
      <c r="N15" s="1204"/>
      <c r="O15" s="1204"/>
      <c r="P15" s="1204"/>
      <c r="Q15" s="1204"/>
      <c r="R15" s="1204"/>
      <c r="S15" s="1204"/>
      <c r="T15" s="1204"/>
      <c r="U15" s="440"/>
    </row>
    <row r="16" spans="1:21" ht="15" customHeight="1" x14ac:dyDescent="0.2">
      <c r="A16" s="440"/>
      <c r="B16" s="1204"/>
      <c r="C16" s="1513" t="s">
        <v>200</v>
      </c>
      <c r="D16" s="1513"/>
      <c r="E16" s="422">
        <f>'1. Projektangaben'!F12</f>
        <v>35</v>
      </c>
      <c r="F16" s="451" t="s">
        <v>161</v>
      </c>
      <c r="G16" s="1204"/>
      <c r="H16" s="1204"/>
      <c r="I16" s="1204"/>
      <c r="J16" s="1204"/>
      <c r="K16" s="1204"/>
      <c r="L16" s="1204"/>
      <c r="M16" s="1204"/>
      <c r="N16" s="1204"/>
      <c r="O16" s="1204"/>
      <c r="P16" s="1204"/>
      <c r="Q16" s="1204"/>
      <c r="R16" s="1204"/>
      <c r="S16" s="1204"/>
      <c r="T16" s="1204"/>
      <c r="U16" s="440"/>
    </row>
    <row r="17" spans="1:21" ht="15" customHeight="1" x14ac:dyDescent="0.2">
      <c r="A17" s="440"/>
      <c r="B17" s="1204"/>
      <c r="C17" s="1513" t="s">
        <v>376</v>
      </c>
      <c r="D17" s="1513"/>
      <c r="E17" s="1269">
        <f>'1. Projektangaben'!F14</f>
        <v>0.02</v>
      </c>
      <c r="F17" s="451" t="s">
        <v>297</v>
      </c>
      <c r="G17" s="1204"/>
      <c r="H17" s="1204"/>
      <c r="I17" s="1204"/>
      <c r="J17" s="1204"/>
      <c r="K17" s="1204"/>
      <c r="L17" s="1204"/>
      <c r="M17" s="1204"/>
      <c r="N17" s="1204"/>
      <c r="O17" s="1204"/>
      <c r="P17" s="1204"/>
      <c r="Q17" s="1204"/>
      <c r="R17" s="1204"/>
      <c r="S17" s="1204"/>
      <c r="T17" s="1204"/>
      <c r="U17" s="440"/>
    </row>
    <row r="18" spans="1:21" ht="15" customHeight="1" x14ac:dyDescent="0.2">
      <c r="A18" s="440"/>
      <c r="B18" s="1204"/>
      <c r="C18" s="1513" t="s">
        <v>401</v>
      </c>
      <c r="D18" s="1513"/>
      <c r="E18" s="1269">
        <f>'1. Projektangaben'!L12</f>
        <v>0.02</v>
      </c>
      <c r="F18" s="451" t="s">
        <v>297</v>
      </c>
      <c r="G18" s="1204"/>
      <c r="H18" s="1204"/>
      <c r="I18" s="1204"/>
      <c r="J18" s="1204"/>
      <c r="K18" s="1204"/>
      <c r="L18" s="1204"/>
      <c r="M18" s="1204"/>
      <c r="N18" s="1204"/>
      <c r="O18" s="1204"/>
      <c r="P18" s="1204"/>
      <c r="Q18" s="1204"/>
      <c r="R18" s="1204"/>
      <c r="S18" s="1204"/>
      <c r="T18" s="1204"/>
      <c r="U18" s="440"/>
    </row>
    <row r="19" spans="1:21" ht="15" customHeight="1" x14ac:dyDescent="0.2">
      <c r="A19" s="440"/>
      <c r="B19" s="1204"/>
      <c r="C19" s="1517" t="s">
        <v>244</v>
      </c>
      <c r="D19" s="1518"/>
      <c r="E19" s="1270">
        <f>'1. Projektangaben'!I12</f>
        <v>1.6E-2</v>
      </c>
      <c r="F19" s="451" t="s">
        <v>297</v>
      </c>
      <c r="G19" s="1204"/>
      <c r="H19" s="1204"/>
      <c r="I19" s="1204"/>
      <c r="J19" s="1204"/>
      <c r="K19" s="1204"/>
      <c r="L19" s="1204"/>
      <c r="M19" s="1204"/>
      <c r="N19" s="1204"/>
      <c r="O19" s="1204"/>
      <c r="P19" s="1204"/>
      <c r="Q19" s="1204"/>
      <c r="R19" s="1204"/>
      <c r="S19" s="1204"/>
      <c r="T19" s="1204"/>
      <c r="U19" s="440"/>
    </row>
    <row r="20" spans="1:21" ht="15" customHeight="1" thickBot="1" x14ac:dyDescent="0.25">
      <c r="A20" s="440"/>
      <c r="B20" s="1204"/>
      <c r="C20" s="1204"/>
      <c r="D20" s="1204"/>
      <c r="E20" s="1204"/>
      <c r="F20" s="1204"/>
      <c r="G20" s="1204"/>
      <c r="H20" s="1271"/>
      <c r="I20" s="1204"/>
      <c r="J20" s="1204"/>
      <c r="K20" s="1204"/>
      <c r="L20" s="1204"/>
      <c r="M20" s="1204"/>
      <c r="N20" s="1204"/>
      <c r="O20" s="1204"/>
      <c r="P20" s="1204"/>
      <c r="Q20" s="1272"/>
      <c r="R20" s="1272"/>
      <c r="S20" s="1272"/>
      <c r="T20" s="1272"/>
      <c r="U20" s="440"/>
    </row>
    <row r="21" spans="1:21" ht="15" customHeight="1" thickTop="1" x14ac:dyDescent="0.2">
      <c r="A21" s="440"/>
      <c r="B21" s="1204"/>
      <c r="C21" s="1204"/>
      <c r="D21" s="1204"/>
      <c r="E21" s="1204"/>
      <c r="F21" s="1204"/>
      <c r="G21" s="1273"/>
      <c r="H21" s="1274" t="s">
        <v>110</v>
      </c>
      <c r="I21" s="1204"/>
      <c r="J21" s="1204"/>
      <c r="K21" s="1204"/>
      <c r="L21" s="1204"/>
      <c r="M21" s="1272"/>
      <c r="N21" s="1204"/>
      <c r="O21" s="1204"/>
      <c r="P21" s="1204"/>
      <c r="Q21" s="1272"/>
      <c r="R21" s="1272"/>
      <c r="S21" s="1272"/>
      <c r="T21" s="1272"/>
      <c r="U21" s="440"/>
    </row>
    <row r="22" spans="1:21" ht="15" customHeight="1" x14ac:dyDescent="0.2">
      <c r="A22" s="440"/>
      <c r="B22" s="1204"/>
      <c r="C22" s="1204"/>
      <c r="D22" s="1204"/>
      <c r="E22" s="1204"/>
      <c r="F22" s="1204"/>
      <c r="G22" s="1273"/>
      <c r="H22" s="1275" t="str">
        <f>H71</f>
        <v>BTV</v>
      </c>
      <c r="I22" s="1198" t="str">
        <f>I71</f>
        <v>PH</v>
      </c>
      <c r="J22" s="1276" t="str">
        <f>J71</f>
        <v>PHSol</v>
      </c>
      <c r="K22" s="1276" t="str">
        <f>K71</f>
        <v>PHWRGSo</v>
      </c>
      <c r="L22" s="1276" t="str">
        <f>L71</f>
        <v>PHWRGSoPV</v>
      </c>
      <c r="M22" s="1272"/>
      <c r="N22" s="1204"/>
      <c r="O22" s="1204"/>
      <c r="P22" s="1204"/>
      <c r="Q22" s="1272"/>
      <c r="R22" s="1272"/>
      <c r="S22" s="1272"/>
      <c r="T22" s="1272"/>
      <c r="U22" s="440"/>
    </row>
    <row r="23" spans="1:21" ht="15" customHeight="1" x14ac:dyDescent="0.2">
      <c r="A23" s="440"/>
      <c r="B23" s="1204"/>
      <c r="C23" s="1481" t="str">
        <f>'1. Projektangaben'!G22</f>
        <v>EBF</v>
      </c>
      <c r="D23" s="1482"/>
      <c r="E23" s="1483"/>
      <c r="F23" s="1277" t="s">
        <v>67</v>
      </c>
      <c r="G23" s="1278"/>
      <c r="H23" s="1279">
        <f>BERECHNUNG!C93</f>
        <v>1410.2</v>
      </c>
      <c r="I23" s="1280">
        <f>BERECHNUNG!D93</f>
        <v>1421.2</v>
      </c>
      <c r="J23" s="1281">
        <f>IF(J$22="","",BERECHNUNG!E93)</f>
        <v>1421.2</v>
      </c>
      <c r="K23" s="1281">
        <f>IF(K$22="","",BERECHNUNG!F93)</f>
        <v>1421.2</v>
      </c>
      <c r="L23" s="1282">
        <f>IF(L$22="","",BERECHNUNG!G93)</f>
        <v>1421.2</v>
      </c>
      <c r="M23" s="1272"/>
      <c r="N23" s="1204"/>
      <c r="O23" s="1204"/>
      <c r="P23" s="1204"/>
      <c r="Q23" s="1204"/>
      <c r="R23" s="1204"/>
      <c r="S23" s="1204"/>
      <c r="T23" s="1204"/>
      <c r="U23" s="440"/>
    </row>
    <row r="24" spans="1:21" ht="15" customHeight="1" x14ac:dyDescent="0.2">
      <c r="A24" s="440"/>
      <c r="B24" s="1204"/>
      <c r="C24" s="1481" t="s">
        <v>392</v>
      </c>
      <c r="D24" s="1482"/>
      <c r="E24" s="1483"/>
      <c r="F24" s="1283" t="s">
        <v>395</v>
      </c>
      <c r="G24" s="1284"/>
      <c r="H24" s="1285">
        <f>BERECHNUNG!C94</f>
        <v>23.23</v>
      </c>
      <c r="I24" s="1286">
        <f>BERECHNUNG!D94</f>
        <v>13.7</v>
      </c>
      <c r="J24" s="1287">
        <f>IF(J$22="","",BERECHNUNG!E94)</f>
        <v>7.28</v>
      </c>
      <c r="K24" s="1287">
        <f>IF(K$22="","",BERECHNUNG!F94)</f>
        <v>5.64</v>
      </c>
      <c r="L24" s="1288">
        <f ca="1">IF(L$22="","",BERECHNUNG!G94)</f>
        <v>5.64</v>
      </c>
      <c r="M24" s="1272"/>
      <c r="N24" s="1204"/>
      <c r="O24" s="1204"/>
      <c r="P24" s="1204"/>
      <c r="Q24" s="1204"/>
      <c r="R24" s="1204"/>
      <c r="S24" s="1204"/>
      <c r="T24" s="1204"/>
      <c r="U24" s="440"/>
    </row>
    <row r="25" spans="1:21" ht="15" customHeight="1" x14ac:dyDescent="0.2">
      <c r="A25" s="440"/>
      <c r="B25" s="1204"/>
      <c r="C25" s="1481" t="s">
        <v>393</v>
      </c>
      <c r="D25" s="1482"/>
      <c r="E25" s="1483"/>
      <c r="F25" s="1289"/>
      <c r="G25" s="1290"/>
      <c r="H25" s="1291" t="str">
        <f>BERECHNUNG!C95</f>
        <v>Wärmepumpenstrom</v>
      </c>
      <c r="I25" s="1292" t="str">
        <f ca="1">BERECHNUNG!D95</f>
        <v>Wärmepumpenstrom</v>
      </c>
      <c r="J25" s="1293" t="str">
        <f ca="1">IF(J$22="","",BERECHNUNG!E95)</f>
        <v>Wärmepumpenstrom</v>
      </c>
      <c r="K25" s="1293" t="str">
        <f ca="1">IF(K$22="","",BERECHNUNG!F95)</f>
        <v>Wärmepumpenstrom</v>
      </c>
      <c r="L25" s="1294" t="str">
        <f ca="1">IF(L$22="","",BERECHNUNG!G95)</f>
        <v>Wärmepumpenstrom</v>
      </c>
      <c r="M25" s="1272"/>
      <c r="N25" s="1204"/>
      <c r="O25" s="1204"/>
      <c r="P25" s="1204"/>
      <c r="Q25" s="1204"/>
      <c r="R25" s="1204"/>
      <c r="S25" s="1204"/>
      <c r="T25" s="1204"/>
      <c r="U25" s="440"/>
    </row>
    <row r="26" spans="1:21" ht="15" customHeight="1" x14ac:dyDescent="0.2">
      <c r="A26" s="440"/>
      <c r="B26" s="1204"/>
      <c r="C26" s="1481" t="s">
        <v>441</v>
      </c>
      <c r="D26" s="1482"/>
      <c r="E26" s="1483"/>
      <c r="F26" s="1289" t="s">
        <v>345</v>
      </c>
      <c r="G26" s="1290"/>
      <c r="H26" s="1295">
        <f>BERECHNUNG!C96</f>
        <v>0.12156</v>
      </c>
      <c r="I26" s="1296">
        <f ca="1">BERECHNUNG!D96</f>
        <v>0.12156</v>
      </c>
      <c r="J26" s="1297">
        <f ca="1">IF(J$22="","",BERECHNUNG!E96)</f>
        <v>0.12156</v>
      </c>
      <c r="K26" s="1297">
        <f ca="1">IF(K$22="","",BERECHNUNG!F96)</f>
        <v>0.12156</v>
      </c>
      <c r="L26" s="1298">
        <f ca="1">IF(L$22="","",BERECHNUNG!G96)</f>
        <v>0.12156</v>
      </c>
      <c r="M26" s="1272"/>
      <c r="N26" s="1204"/>
      <c r="O26" s="1204"/>
      <c r="P26" s="1204"/>
      <c r="Q26" s="1299"/>
      <c r="R26" s="1299"/>
      <c r="S26" s="1299"/>
      <c r="T26" s="1300"/>
      <c r="U26" s="440"/>
    </row>
    <row r="27" spans="1:21" ht="15" customHeight="1" x14ac:dyDescent="0.25">
      <c r="A27" s="440"/>
      <c r="B27" s="1204"/>
      <c r="C27" s="1301"/>
      <c r="D27" s="1301"/>
      <c r="E27" s="1301"/>
      <c r="F27" s="1301"/>
      <c r="G27" s="1301"/>
      <c r="H27" s="1301"/>
      <c r="I27" s="1301"/>
      <c r="J27" s="1301"/>
      <c r="K27" s="1301"/>
      <c r="L27" s="1301"/>
      <c r="M27" s="449"/>
      <c r="N27" s="1204"/>
      <c r="O27" s="1204"/>
      <c r="P27" s="1204"/>
      <c r="Q27" s="1512"/>
      <c r="R27" s="1512"/>
      <c r="S27" s="1512"/>
      <c r="T27" s="1300"/>
      <c r="U27" s="440"/>
    </row>
    <row r="28" spans="1:21" ht="10.5" customHeight="1" x14ac:dyDescent="0.2">
      <c r="A28" s="440"/>
      <c r="B28" s="1164"/>
      <c r="C28" s="1164"/>
      <c r="D28" s="1164"/>
      <c r="E28" s="1164"/>
      <c r="F28" s="1164"/>
      <c r="G28" s="1164"/>
      <c r="H28" s="1164"/>
      <c r="I28" s="1164"/>
      <c r="J28" s="1164"/>
      <c r="K28" s="1164"/>
      <c r="L28" s="1164"/>
      <c r="M28" s="1164"/>
      <c r="N28" s="1164"/>
      <c r="O28" s="1164"/>
      <c r="P28" s="1164"/>
      <c r="Q28" s="1164"/>
      <c r="R28" s="1164"/>
      <c r="S28" s="1164"/>
      <c r="T28" s="1164"/>
      <c r="U28" s="440"/>
    </row>
    <row r="29" spans="1:21" ht="18" customHeight="1" x14ac:dyDescent="0.2">
      <c r="A29" s="440"/>
      <c r="B29" s="1164"/>
      <c r="C29" s="1164"/>
      <c r="D29" s="1164"/>
      <c r="E29" s="1164"/>
      <c r="F29" s="1164"/>
      <c r="G29" s="1164"/>
      <c r="H29" s="1164"/>
      <c r="I29" s="1164"/>
      <c r="J29" s="1164"/>
      <c r="K29" s="1164"/>
      <c r="L29" s="1164"/>
      <c r="M29" s="1164"/>
      <c r="N29" s="1164"/>
      <c r="O29" s="1164"/>
      <c r="P29" s="1164"/>
      <c r="Q29" s="1164"/>
      <c r="R29" s="1164"/>
      <c r="S29" s="1164"/>
      <c r="T29" s="1164"/>
      <c r="U29" s="440"/>
    </row>
    <row r="30" spans="1:21" ht="18" customHeight="1" x14ac:dyDescent="0.2">
      <c r="A30" s="440"/>
      <c r="B30" s="1164"/>
      <c r="C30" s="1164"/>
      <c r="D30" s="1164"/>
      <c r="E30" s="1164"/>
      <c r="F30" s="1164"/>
      <c r="G30" s="1164"/>
      <c r="H30" s="1164"/>
      <c r="I30" s="1164"/>
      <c r="J30" s="1164"/>
      <c r="K30" s="1164"/>
      <c r="L30" s="1164"/>
      <c r="M30" s="1164"/>
      <c r="N30" s="1164"/>
      <c r="O30" s="1164"/>
      <c r="P30" s="1164"/>
      <c r="Q30" s="1164"/>
      <c r="R30" s="1164"/>
      <c r="S30" s="1164"/>
      <c r="T30" s="1164"/>
      <c r="U30" s="440"/>
    </row>
    <row r="31" spans="1:21" ht="12" thickBot="1" x14ac:dyDescent="0.25">
      <c r="A31" s="440"/>
      <c r="B31" s="1204"/>
      <c r="C31" s="1204"/>
      <c r="D31" s="1204"/>
      <c r="E31" s="1204"/>
      <c r="F31" s="1204"/>
      <c r="G31" s="1204"/>
      <c r="H31" s="1271"/>
      <c r="I31" s="1204"/>
      <c r="J31" s="1204"/>
      <c r="K31" s="1204"/>
      <c r="L31" s="1204"/>
      <c r="M31" s="1204"/>
      <c r="N31" s="1204"/>
      <c r="O31" s="1204"/>
      <c r="P31" s="1204"/>
      <c r="Q31" s="1204"/>
      <c r="R31" s="1204"/>
      <c r="S31" s="1204"/>
      <c r="T31" s="1204"/>
      <c r="U31" s="440"/>
    </row>
    <row r="32" spans="1:21" ht="15" customHeight="1" thickTop="1" x14ac:dyDescent="0.25">
      <c r="A32" s="440"/>
      <c r="B32" s="1204"/>
      <c r="C32" s="1204"/>
      <c r="D32" s="1204"/>
      <c r="E32" s="1204"/>
      <c r="F32" s="1204"/>
      <c r="G32" s="1204"/>
      <c r="H32" s="1302" t="str">
        <f>H71</f>
        <v>BTV</v>
      </c>
      <c r="I32" s="1198" t="str">
        <f>I71</f>
        <v>PH</v>
      </c>
      <c r="J32" s="1276" t="str">
        <f>J71</f>
        <v>PHSol</v>
      </c>
      <c r="K32" s="1276" t="str">
        <f>K71</f>
        <v>PHWRGSo</v>
      </c>
      <c r="L32" s="1276" t="str">
        <f>L71</f>
        <v>PHWRGSoPV</v>
      </c>
      <c r="M32" s="1299"/>
      <c r="N32" s="1204"/>
      <c r="O32" s="1204"/>
      <c r="P32" s="1204"/>
      <c r="Q32" s="1301"/>
      <c r="R32" s="1204"/>
      <c r="S32" s="1204"/>
      <c r="T32" s="1204"/>
      <c r="U32" s="440"/>
    </row>
    <row r="33" spans="1:21" ht="15" customHeight="1" x14ac:dyDescent="0.25">
      <c r="A33" s="440"/>
      <c r="B33" s="1204"/>
      <c r="C33" s="1484" t="s">
        <v>403</v>
      </c>
      <c r="D33" s="1485"/>
      <c r="E33" s="1485"/>
      <c r="F33" s="1303" t="s">
        <v>363</v>
      </c>
      <c r="G33" s="1304"/>
      <c r="H33" s="1305">
        <f>BERECHNUNG!C98</f>
        <v>712336.29599999997</v>
      </c>
      <c r="I33" s="1306">
        <f ca="1">BERECHNUNG!D98</f>
        <v>752523.20399999991</v>
      </c>
      <c r="J33" s="1307">
        <f ca="1">IF(J$22="","",BERECHNUNG!E98)</f>
        <v>752523.20399999991</v>
      </c>
      <c r="K33" s="1307">
        <f ca="1">IF(K$22="","",BERECHNUNG!F98)</f>
        <v>752523.20399999991</v>
      </c>
      <c r="L33" s="1308">
        <f ca="1">IF(L$22="","",BERECHNUNG!G98)</f>
        <v>752523.20399999991</v>
      </c>
      <c r="M33" s="1299"/>
      <c r="N33" s="1204"/>
      <c r="O33" s="1204"/>
      <c r="P33" s="1204"/>
      <c r="Q33" s="1301"/>
      <c r="R33" s="1204"/>
      <c r="S33" s="1204"/>
      <c r="T33" s="1204"/>
      <c r="U33" s="440"/>
    </row>
    <row r="34" spans="1:21" ht="15" customHeight="1" x14ac:dyDescent="0.25">
      <c r="A34" s="440"/>
      <c r="B34" s="1204"/>
      <c r="C34" s="1487"/>
      <c r="D34" s="1488"/>
      <c r="E34" s="1488"/>
      <c r="F34" s="1309"/>
      <c r="G34" s="1310" t="s">
        <v>377</v>
      </c>
      <c r="H34" s="1311"/>
      <c r="I34" s="1312">
        <f ca="1">BERECHNUNG!D99</f>
        <v>40186.907999999938</v>
      </c>
      <c r="J34" s="1313">
        <f ca="1">IF(J$22="","",BERECHNUNG!E99)</f>
        <v>40186.907999999938</v>
      </c>
      <c r="K34" s="1313">
        <f ca="1">IF(K$22="","",BERECHNUNG!F99)</f>
        <v>40186.907999999938</v>
      </c>
      <c r="L34" s="1314">
        <f ca="1">IF(L$22="","",BERECHNUNG!G99)</f>
        <v>40186.907999999938</v>
      </c>
      <c r="M34" s="1299"/>
      <c r="N34" s="1204"/>
      <c r="O34" s="1204"/>
      <c r="P34" s="1204"/>
      <c r="Q34" s="1301"/>
      <c r="R34" s="1204"/>
      <c r="S34" s="1204"/>
      <c r="T34" s="1204"/>
      <c r="U34" s="440"/>
    </row>
    <row r="35" spans="1:21" ht="15" customHeight="1" x14ac:dyDescent="0.25">
      <c r="A35" s="440"/>
      <c r="B35" s="1204"/>
      <c r="C35" s="1484" t="s">
        <v>390</v>
      </c>
      <c r="D35" s="1485"/>
      <c r="E35" s="1485"/>
      <c r="F35" s="1309" t="s">
        <v>363</v>
      </c>
      <c r="G35" s="1315"/>
      <c r="H35" s="1316">
        <f>BERECHNUNG!C100</f>
        <v>244899.27599999998</v>
      </c>
      <c r="I35" s="1317">
        <f ca="1">BERECHNUNG!D100</f>
        <v>219640.476</v>
      </c>
      <c r="J35" s="1318">
        <f ca="1">IF(J$22="","",BERECHNUNG!E100)</f>
        <v>267453.27600000001</v>
      </c>
      <c r="K35" s="1318">
        <f ca="1">IF(K$22="","",BERECHNUNG!F100)</f>
        <v>360792.87599999999</v>
      </c>
      <c r="L35" s="1319">
        <f ca="1">IF(L$22="","",BERECHNUNG!G100)</f>
        <v>400238.076</v>
      </c>
      <c r="M35" s="1299"/>
      <c r="N35" s="1204"/>
      <c r="O35" s="1204"/>
      <c r="P35" s="1204"/>
      <c r="Q35" s="1301"/>
      <c r="R35" s="1204"/>
      <c r="S35" s="1204"/>
      <c r="T35" s="1204"/>
      <c r="U35" s="440"/>
    </row>
    <row r="36" spans="1:21" ht="15" customHeight="1" x14ac:dyDescent="0.25">
      <c r="A36" s="440"/>
      <c r="B36" s="1204"/>
      <c r="C36" s="1487"/>
      <c r="D36" s="1488"/>
      <c r="E36" s="1488"/>
      <c r="F36" s="1320"/>
      <c r="G36" s="1310" t="s">
        <v>377</v>
      </c>
      <c r="H36" s="1311"/>
      <c r="I36" s="1312">
        <f ca="1">BERECHNUNG!D101</f>
        <v>-25258.799999999988</v>
      </c>
      <c r="J36" s="1313">
        <f ca="1">IF(J$22="","",BERECHNUNG!E101)</f>
        <v>22554.000000000029</v>
      </c>
      <c r="K36" s="1313">
        <f ca="1">IF(K$22="","",BERECHNUNG!F101)</f>
        <v>115893.6</v>
      </c>
      <c r="L36" s="1314">
        <f ca="1">IF(L$22="","",BERECHNUNG!G101)</f>
        <v>155338.80000000002</v>
      </c>
      <c r="M36" s="1299"/>
      <c r="N36" s="1204"/>
      <c r="O36" s="1204"/>
      <c r="P36" s="1204"/>
      <c r="Q36" s="1301"/>
      <c r="R36" s="1299"/>
      <c r="S36" s="1299"/>
      <c r="T36" s="1299"/>
      <c r="U36" s="440"/>
    </row>
    <row r="37" spans="1:21" ht="15" customHeight="1" x14ac:dyDescent="0.25">
      <c r="A37" s="440"/>
      <c r="B37" s="1204"/>
      <c r="C37" s="1484" t="s">
        <v>391</v>
      </c>
      <c r="D37" s="1485"/>
      <c r="E37" s="1485"/>
      <c r="F37" s="1309" t="s">
        <v>363</v>
      </c>
      <c r="G37" s="1315"/>
      <c r="H37" s="1316">
        <f>BERECHNUNG!C102</f>
        <v>526746</v>
      </c>
      <c r="I37" s="1317">
        <f ca="1">BERECHNUNG!D102</f>
        <v>526746</v>
      </c>
      <c r="J37" s="1318">
        <f ca="1">IF(J$22="","",BERECHNUNG!E102)</f>
        <v>526746</v>
      </c>
      <c r="K37" s="1318">
        <f ca="1">IF(K$22="","",BERECHNUNG!F102)</f>
        <v>526746</v>
      </c>
      <c r="L37" s="1319">
        <f ca="1">IF(L$22="","",BERECHNUNG!G102)</f>
        <v>526746</v>
      </c>
      <c r="M37" s="1299"/>
      <c r="N37" s="1204"/>
      <c r="O37" s="1204"/>
      <c r="P37" s="1204"/>
      <c r="Q37" s="1301"/>
      <c r="R37" s="1299"/>
      <c r="S37" s="1299"/>
      <c r="T37" s="1299"/>
      <c r="U37" s="440"/>
    </row>
    <row r="38" spans="1:21" ht="15" customHeight="1" x14ac:dyDescent="0.25">
      <c r="A38" s="440"/>
      <c r="B38" s="1204"/>
      <c r="C38" s="1487"/>
      <c r="D38" s="1488"/>
      <c r="E38" s="1488"/>
      <c r="F38" s="1320"/>
      <c r="G38" s="1310" t="s">
        <v>377</v>
      </c>
      <c r="H38" s="1311"/>
      <c r="I38" s="1312">
        <f ca="1">BERECHNUNG!D103</f>
        <v>0</v>
      </c>
      <c r="J38" s="1313">
        <f ca="1">IF(J$22="","",BERECHNUNG!E103)</f>
        <v>0</v>
      </c>
      <c r="K38" s="1313">
        <f ca="1">IF(K$22="","",BERECHNUNG!F103)</f>
        <v>0</v>
      </c>
      <c r="L38" s="1314">
        <f ca="1">IF(L$22="","",BERECHNUNG!G103)</f>
        <v>0</v>
      </c>
      <c r="M38" s="1299"/>
      <c r="N38" s="1204"/>
      <c r="O38" s="1204"/>
      <c r="P38" s="1204"/>
      <c r="Q38" s="1301"/>
      <c r="R38" s="1299"/>
      <c r="S38" s="1299"/>
      <c r="T38" s="1299"/>
      <c r="U38" s="440"/>
    </row>
    <row r="39" spans="1:21" ht="15" customHeight="1" x14ac:dyDescent="0.25">
      <c r="A39" s="440"/>
      <c r="B39" s="1204"/>
      <c r="C39" s="1484" t="s">
        <v>383</v>
      </c>
      <c r="D39" s="1485"/>
      <c r="E39" s="1485"/>
      <c r="F39" s="1309" t="s">
        <v>363</v>
      </c>
      <c r="G39" s="1315"/>
      <c r="H39" s="1316">
        <f>BERECHNUNG!C104</f>
        <v>2525419.8119999999</v>
      </c>
      <c r="I39" s="1317">
        <f ca="1">BERECHNUNG!D104</f>
        <v>2525419.8119999999</v>
      </c>
      <c r="J39" s="1318">
        <f ca="1">IF(J$22="","",BERECHNUNG!E104)</f>
        <v>2525419.8119999999</v>
      </c>
      <c r="K39" s="1318">
        <f ca="1">IF(K$22="","",BERECHNUNG!F104)</f>
        <v>2531355.2159999995</v>
      </c>
      <c r="L39" s="1319">
        <f ca="1">IF(L$22="","",BERECHNUNG!G104)</f>
        <v>2531355.2159999995</v>
      </c>
      <c r="M39" s="1299"/>
      <c r="N39" s="1204"/>
      <c r="O39" s="1204"/>
      <c r="P39" s="1204"/>
      <c r="Q39" s="1301"/>
      <c r="R39" s="1299"/>
      <c r="S39" s="1299"/>
      <c r="T39" s="1299"/>
      <c r="U39" s="440"/>
    </row>
    <row r="40" spans="1:21" ht="15" customHeight="1" thickBot="1" x14ac:dyDescent="0.3">
      <c r="A40" s="440"/>
      <c r="B40" s="1204"/>
      <c r="C40" s="1490"/>
      <c r="D40" s="1472"/>
      <c r="E40" s="1472"/>
      <c r="F40" s="1321"/>
      <c r="G40" s="1322" t="s">
        <v>377</v>
      </c>
      <c r="H40" s="1323"/>
      <c r="I40" s="1324">
        <f ca="1">BERECHNUNG!D105</f>
        <v>0</v>
      </c>
      <c r="J40" s="1325">
        <f ca="1">IF(J$22="","",BERECHNUNG!E105)</f>
        <v>0</v>
      </c>
      <c r="K40" s="1325">
        <f ca="1">IF(K$22="","",BERECHNUNG!F105)</f>
        <v>5935.4039999996312</v>
      </c>
      <c r="L40" s="1326">
        <f ca="1">IF(L$22="","",BERECHNUNG!G105)</f>
        <v>5935.4039999996312</v>
      </c>
      <c r="M40" s="1299"/>
      <c r="N40" s="1204"/>
      <c r="O40" s="1204"/>
      <c r="P40" s="1204"/>
      <c r="Q40" s="1301"/>
      <c r="R40" s="1299"/>
      <c r="S40" s="1299"/>
      <c r="T40" s="1299"/>
      <c r="U40" s="440"/>
    </row>
    <row r="41" spans="1:21" ht="15" customHeight="1" x14ac:dyDescent="0.2">
      <c r="A41" s="440"/>
      <c r="B41" s="1204"/>
      <c r="C41" s="1468" t="s">
        <v>369</v>
      </c>
      <c r="D41" s="1469"/>
      <c r="E41" s="1514"/>
      <c r="F41" s="1327" t="s">
        <v>363</v>
      </c>
      <c r="G41" s="1328"/>
      <c r="H41" s="1329">
        <f>BERECHNUNG!C106</f>
        <v>4009401.3839999996</v>
      </c>
      <c r="I41" s="1330">
        <f ca="1">BERECHNUNG!D106</f>
        <v>4024329.4919999996</v>
      </c>
      <c r="J41" s="1331">
        <f ca="1">IF(J$22="","",BERECHNUNG!E106)</f>
        <v>4072142.2919999999</v>
      </c>
      <c r="K41" s="1331">
        <f ca="1">IF(K$22="","",BERECHNUNG!F106)</f>
        <v>4171417.2959999992</v>
      </c>
      <c r="L41" s="1332">
        <f ca="1">IF(L$22="","",BERECHNUNG!G106)</f>
        <v>4210862.4959999993</v>
      </c>
      <c r="M41" s="1299"/>
      <c r="N41" s="1204"/>
      <c r="O41" s="1204"/>
      <c r="P41" s="1204"/>
      <c r="Q41" s="1204"/>
      <c r="R41" s="1204"/>
      <c r="S41" s="1204"/>
      <c r="T41" s="1204"/>
      <c r="U41" s="440"/>
    </row>
    <row r="42" spans="1:21" ht="15" customHeight="1" x14ac:dyDescent="0.25">
      <c r="A42" s="440"/>
      <c r="B42" s="1204"/>
      <c r="C42" s="1471"/>
      <c r="D42" s="1472"/>
      <c r="E42" s="1515"/>
      <c r="F42" s="1333"/>
      <c r="G42" s="1310" t="s">
        <v>377</v>
      </c>
      <c r="H42" s="1311"/>
      <c r="I42" s="1312">
        <f ca="1">BERECHNUNG!D107</f>
        <v>14928.108000000007</v>
      </c>
      <c r="J42" s="1313">
        <f ca="1">IF(J$22="","",BERECHNUNG!E107)</f>
        <v>62740.908000000287</v>
      </c>
      <c r="K42" s="1313">
        <f ca="1">IF(K$22="","",BERECHNUNG!F107)</f>
        <v>162015.91199999955</v>
      </c>
      <c r="L42" s="1334">
        <f ca="1">IF(L$22="","",BERECHNUNG!G107)</f>
        <v>201461.11199999973</v>
      </c>
      <c r="M42" s="1299"/>
      <c r="N42" s="1204"/>
      <c r="O42" s="1204"/>
      <c r="P42" s="1204"/>
      <c r="Q42" s="1301"/>
      <c r="R42" s="1301"/>
      <c r="S42" s="1301"/>
      <c r="T42" s="1301"/>
      <c r="U42" s="440"/>
    </row>
    <row r="43" spans="1:21" ht="15" customHeight="1" x14ac:dyDescent="0.25">
      <c r="A43" s="440"/>
      <c r="B43" s="1204"/>
      <c r="C43" s="1471"/>
      <c r="D43" s="1472"/>
      <c r="E43" s="1515"/>
      <c r="F43" s="1479" t="s">
        <v>378</v>
      </c>
      <c r="G43" s="1480"/>
      <c r="H43" s="1311"/>
      <c r="I43" s="1312">
        <f ca="1">BERECHNUNG!D108</f>
        <v>10.585809105091482</v>
      </c>
      <c r="J43" s="1313">
        <f ca="1">IF(J$22="","",BERECHNUNG!E108)</f>
        <v>44.490787122394188</v>
      </c>
      <c r="K43" s="1313">
        <f ca="1">IF(K$22="","",BERECHNUNG!F108)</f>
        <v>114.88860587150727</v>
      </c>
      <c r="L43" s="1334">
        <f ca="1">IF(L$22="","",BERECHNUNG!G108)</f>
        <v>142.85995745284336</v>
      </c>
      <c r="M43" s="1299"/>
      <c r="N43" s="1204"/>
      <c r="O43" s="1204"/>
      <c r="P43" s="1204"/>
      <c r="Q43" s="1301"/>
      <c r="R43" s="1204"/>
      <c r="S43" s="1204"/>
      <c r="T43" s="1204"/>
      <c r="U43" s="440"/>
    </row>
    <row r="44" spans="1:21" ht="15" customHeight="1" thickBot="1" x14ac:dyDescent="0.3">
      <c r="A44" s="440"/>
      <c r="B44" s="1204"/>
      <c r="C44" s="1474"/>
      <c r="D44" s="1475"/>
      <c r="E44" s="1516"/>
      <c r="F44" s="1335"/>
      <c r="G44" s="1336" t="s">
        <v>821</v>
      </c>
      <c r="H44" s="1337"/>
      <c r="I44" s="1338">
        <f ca="1">I42/H41</f>
        <v>3.7232760131156797E-3</v>
      </c>
      <c r="J44" s="1338">
        <f t="shared" ref="J44:L44" ca="1" si="0">J42/I41</f>
        <v>1.5590400369732025E-2</v>
      </c>
      <c r="K44" s="1338">
        <f t="shared" ca="1" si="0"/>
        <v>3.9786407345905078E-2</v>
      </c>
      <c r="L44" s="1339">
        <f t="shared" ca="1" si="0"/>
        <v>4.8295602598469871E-2</v>
      </c>
      <c r="M44" s="1299"/>
      <c r="N44" s="1204"/>
      <c r="O44" s="1204"/>
      <c r="P44" s="1204"/>
      <c r="Q44" s="1301"/>
      <c r="R44" s="1204"/>
      <c r="S44" s="1204"/>
      <c r="T44" s="1204"/>
      <c r="U44" s="440"/>
    </row>
    <row r="45" spans="1:21" ht="15" customHeight="1" x14ac:dyDescent="0.25">
      <c r="A45" s="440"/>
      <c r="B45" s="1204"/>
      <c r="C45" s="1204"/>
      <c r="D45" s="1204"/>
      <c r="E45" s="1204"/>
      <c r="F45" s="1204"/>
      <c r="G45" s="1204"/>
      <c r="H45" s="1204"/>
      <c r="I45" s="1204"/>
      <c r="J45" s="1204"/>
      <c r="K45" s="1204"/>
      <c r="L45" s="1204"/>
      <c r="M45" s="449"/>
      <c r="N45" s="1204"/>
      <c r="O45" s="1204"/>
      <c r="P45" s="1204"/>
      <c r="Q45" s="1301"/>
      <c r="R45" s="1204"/>
      <c r="S45" s="1204"/>
      <c r="T45" s="1204"/>
      <c r="U45" s="440"/>
    </row>
    <row r="46" spans="1:21" ht="10.5" customHeight="1" x14ac:dyDescent="0.2">
      <c r="A46" s="440"/>
      <c r="B46" s="1164"/>
      <c r="C46" s="1164"/>
      <c r="D46" s="1164"/>
      <c r="E46" s="1164"/>
      <c r="F46" s="1164"/>
      <c r="G46" s="1164"/>
      <c r="H46" s="1164"/>
      <c r="I46" s="1164"/>
      <c r="J46" s="1164"/>
      <c r="K46" s="1164"/>
      <c r="L46" s="1164"/>
      <c r="M46" s="1164"/>
      <c r="N46" s="1164"/>
      <c r="O46" s="1164"/>
      <c r="P46" s="1164"/>
      <c r="Q46" s="1164"/>
      <c r="R46" s="1164"/>
      <c r="S46" s="1164"/>
      <c r="T46" s="1164"/>
      <c r="U46" s="440"/>
    </row>
    <row r="47" spans="1:21" ht="9" customHeight="1" x14ac:dyDescent="0.2">
      <c r="A47" s="440"/>
      <c r="B47" s="1164"/>
      <c r="C47" s="1164"/>
      <c r="D47" s="1164"/>
      <c r="E47" s="1164"/>
      <c r="F47" s="1164"/>
      <c r="G47" s="1164"/>
      <c r="H47" s="1164"/>
      <c r="I47" s="1164"/>
      <c r="J47" s="1164"/>
      <c r="K47" s="1164"/>
      <c r="L47" s="1164"/>
      <c r="M47" s="1164"/>
      <c r="N47" s="1164"/>
      <c r="O47" s="1164"/>
      <c r="P47" s="1164"/>
      <c r="Q47" s="1164"/>
      <c r="R47" s="1164"/>
      <c r="S47" s="1164"/>
      <c r="T47" s="1164"/>
      <c r="U47" s="440"/>
    </row>
    <row r="48" spans="1:21" ht="18" customHeight="1" x14ac:dyDescent="0.2">
      <c r="A48" s="440"/>
      <c r="B48" s="1164"/>
      <c r="C48" s="1164"/>
      <c r="D48" s="1164"/>
      <c r="E48" s="1164"/>
      <c r="F48" s="1164"/>
      <c r="G48" s="1164"/>
      <c r="H48" s="1164"/>
      <c r="I48" s="1164"/>
      <c r="J48" s="1164"/>
      <c r="K48" s="1164"/>
      <c r="L48" s="1164"/>
      <c r="M48" s="1164"/>
      <c r="N48" s="1164"/>
      <c r="O48" s="1164"/>
      <c r="P48" s="1164"/>
      <c r="Q48" s="1164"/>
      <c r="R48" s="1164"/>
      <c r="S48" s="1164"/>
      <c r="T48" s="1164"/>
      <c r="U48" s="440"/>
    </row>
    <row r="49" spans="1:21" ht="15" customHeight="1" thickBot="1" x14ac:dyDescent="0.25">
      <c r="A49" s="440"/>
      <c r="B49" s="1204"/>
      <c r="C49" s="1204"/>
      <c r="D49" s="1204"/>
      <c r="E49" s="1204"/>
      <c r="F49" s="1204"/>
      <c r="G49" s="1204"/>
      <c r="H49" s="1271"/>
      <c r="I49" s="1204"/>
      <c r="J49" s="1204"/>
      <c r="K49" s="1204"/>
      <c r="L49" s="1204"/>
      <c r="M49" s="1204"/>
      <c r="N49" s="1204"/>
      <c r="O49" s="1204"/>
      <c r="P49" s="1204"/>
      <c r="Q49" s="1204"/>
      <c r="R49" s="1204"/>
      <c r="S49" s="1204"/>
      <c r="T49" s="1204"/>
      <c r="U49" s="440"/>
    </row>
    <row r="50" spans="1:21" ht="16.5" thickTop="1" thickBot="1" x14ac:dyDescent="0.3">
      <c r="A50" s="440"/>
      <c r="B50" s="1204"/>
      <c r="C50" s="1204"/>
      <c r="D50" s="1204"/>
      <c r="E50" s="1204"/>
      <c r="F50" s="1204"/>
      <c r="G50" s="1204"/>
      <c r="H50" s="1302" t="str">
        <f>H71</f>
        <v>BTV</v>
      </c>
      <c r="I50" s="1198" t="str">
        <f>I71</f>
        <v>PH</v>
      </c>
      <c r="J50" s="1276" t="str">
        <f>J71</f>
        <v>PHSol</v>
      </c>
      <c r="K50" s="1276" t="str">
        <f>K71</f>
        <v>PHWRGSo</v>
      </c>
      <c r="L50" s="1276" t="str">
        <f>L71</f>
        <v>PHWRGSoPV</v>
      </c>
      <c r="M50" s="1204"/>
      <c r="N50" s="1204"/>
      <c r="O50" s="1204"/>
      <c r="P50" s="1204"/>
      <c r="Q50" s="1301"/>
      <c r="R50" s="1204"/>
      <c r="S50" s="1204"/>
      <c r="T50" s="1204"/>
      <c r="U50" s="440"/>
    </row>
    <row r="51" spans="1:21" ht="15" customHeight="1" x14ac:dyDescent="0.2">
      <c r="A51" s="440"/>
      <c r="B51" s="1204"/>
      <c r="C51" s="1468" t="s">
        <v>389</v>
      </c>
      <c r="D51" s="1469"/>
      <c r="E51" s="1470"/>
      <c r="F51" s="1340" t="s">
        <v>363</v>
      </c>
      <c r="G51" s="1341"/>
      <c r="H51" s="1329">
        <f>BERECHNUNG!C112</f>
        <v>0</v>
      </c>
      <c r="I51" s="1330">
        <f ca="1">BERECHNUNG!D112</f>
        <v>0</v>
      </c>
      <c r="J51" s="1331">
        <f ca="1">IF(J$22="","",BERECHNUNG!E112)</f>
        <v>0</v>
      </c>
      <c r="K51" s="1331">
        <f ca="1">IF(K$22="","",BERECHNUNG!F112)</f>
        <v>0</v>
      </c>
      <c r="L51" s="1332">
        <f ca="1">IF(L$22="","",BERECHNUNG!G112)</f>
        <v>0</v>
      </c>
      <c r="M51" s="1204"/>
      <c r="N51" s="1204"/>
      <c r="O51" s="1204"/>
      <c r="P51" s="1204"/>
      <c r="Q51" s="1204"/>
      <c r="R51" s="1204"/>
      <c r="S51" s="1204"/>
      <c r="T51" s="1204"/>
      <c r="U51" s="440"/>
    </row>
    <row r="52" spans="1:21" ht="15" customHeight="1" x14ac:dyDescent="0.25">
      <c r="A52" s="440"/>
      <c r="B52" s="1204"/>
      <c r="C52" s="1471"/>
      <c r="D52" s="1472"/>
      <c r="E52" s="1473"/>
      <c r="F52" s="1342"/>
      <c r="G52" s="1310" t="s">
        <v>377</v>
      </c>
      <c r="H52" s="1323"/>
      <c r="I52" s="1324">
        <f ca="1">BERECHNUNG!D113</f>
        <v>0</v>
      </c>
      <c r="J52" s="1325">
        <f ca="1">IF(J$22="","",BERECHNUNG!E113)</f>
        <v>0</v>
      </c>
      <c r="K52" s="1325">
        <f ca="1">IF(K$22="","",BERECHNUNG!F113)</f>
        <v>0</v>
      </c>
      <c r="L52" s="1343">
        <f ca="1">IF(L$22="","",BERECHNUNG!G113)</f>
        <v>0</v>
      </c>
      <c r="M52" s="1204"/>
      <c r="N52" s="1204"/>
      <c r="O52" s="1204"/>
      <c r="P52" s="1204"/>
      <c r="Q52" s="1301"/>
      <c r="R52" s="1204"/>
      <c r="S52" s="1204"/>
      <c r="T52" s="1204"/>
      <c r="U52" s="440"/>
    </row>
    <row r="53" spans="1:21" ht="15" customHeight="1" thickBot="1" x14ac:dyDescent="0.3">
      <c r="A53" s="440"/>
      <c r="B53" s="1204"/>
      <c r="C53" s="1474"/>
      <c r="D53" s="1475"/>
      <c r="E53" s="1476"/>
      <c r="F53" s="1477" t="s">
        <v>378</v>
      </c>
      <c r="G53" s="1478"/>
      <c r="H53" s="1344"/>
      <c r="I53" s="1345">
        <f ca="1">BERECHNUNG!D114</f>
        <v>0</v>
      </c>
      <c r="J53" s="1346">
        <f ca="1">IF(J$22="","",BERECHNUNG!E114)</f>
        <v>0</v>
      </c>
      <c r="K53" s="1346">
        <f ca="1">IF(K$22="","",BERECHNUNG!F114)</f>
        <v>0</v>
      </c>
      <c r="L53" s="1347">
        <f ca="1">IF(L$22="","",BERECHNUNG!G114)</f>
        <v>0</v>
      </c>
      <c r="M53" s="1204"/>
      <c r="N53" s="1204"/>
      <c r="O53" s="1204"/>
      <c r="P53" s="1204"/>
      <c r="Q53" s="1301"/>
      <c r="R53" s="1204"/>
      <c r="S53" s="1204"/>
      <c r="T53" s="1204"/>
      <c r="U53" s="440"/>
    </row>
    <row r="54" spans="1:21" ht="15" customHeight="1" x14ac:dyDescent="0.25">
      <c r="A54" s="440"/>
      <c r="B54" s="1204"/>
      <c r="C54" s="1204"/>
      <c r="D54" s="1204"/>
      <c r="E54" s="1204"/>
      <c r="F54" s="1204"/>
      <c r="G54" s="1204"/>
      <c r="H54" s="1204"/>
      <c r="I54" s="1204"/>
      <c r="J54" s="1204"/>
      <c r="K54" s="1204"/>
      <c r="L54" s="1204"/>
      <c r="M54" s="1204"/>
      <c r="N54" s="1204"/>
      <c r="O54" s="1204"/>
      <c r="P54" s="1204"/>
      <c r="Q54" s="1301"/>
      <c r="R54" s="1204"/>
      <c r="S54" s="1204"/>
      <c r="T54" s="1204"/>
      <c r="U54" s="440"/>
    </row>
    <row r="55" spans="1:21" ht="27" customHeight="1" x14ac:dyDescent="0.2">
      <c r="A55" s="440"/>
      <c r="B55" s="1164"/>
      <c r="C55" s="1164"/>
      <c r="D55" s="1164"/>
      <c r="E55" s="1164"/>
      <c r="F55" s="1164"/>
      <c r="G55" s="1164"/>
      <c r="H55" s="1164"/>
      <c r="I55" s="1164"/>
      <c r="J55" s="1164"/>
      <c r="K55" s="1164"/>
      <c r="L55" s="1164"/>
      <c r="M55" s="1164"/>
      <c r="N55" s="1164"/>
      <c r="O55" s="1164"/>
      <c r="P55" s="1164"/>
      <c r="Q55" s="1164"/>
      <c r="R55" s="1164"/>
      <c r="S55" s="1164"/>
      <c r="T55" s="1164"/>
      <c r="U55" s="440"/>
    </row>
    <row r="56" spans="1:21" ht="18" customHeight="1" x14ac:dyDescent="0.2">
      <c r="A56" s="440"/>
      <c r="B56" s="1164"/>
      <c r="C56" s="1164"/>
      <c r="D56" s="1164"/>
      <c r="E56" s="1164"/>
      <c r="F56" s="1164"/>
      <c r="G56" s="1164"/>
      <c r="H56" s="1164"/>
      <c r="I56" s="1164"/>
      <c r="J56" s="1164"/>
      <c r="K56" s="1164"/>
      <c r="L56" s="1164"/>
      <c r="M56" s="1164"/>
      <c r="N56" s="1164"/>
      <c r="O56" s="1164"/>
      <c r="P56" s="1164"/>
      <c r="Q56" s="1164"/>
      <c r="R56" s="1164"/>
      <c r="S56" s="1164"/>
      <c r="T56" s="1164"/>
      <c r="U56" s="440"/>
    </row>
    <row r="57" spans="1:21" ht="12" thickBot="1" x14ac:dyDescent="0.25">
      <c r="A57" s="440"/>
      <c r="B57" s="1204"/>
      <c r="C57" s="1204"/>
      <c r="D57" s="1204"/>
      <c r="E57" s="1204"/>
      <c r="F57" s="1204"/>
      <c r="G57" s="1204"/>
      <c r="H57" s="1271"/>
      <c r="I57" s="1204"/>
      <c r="J57" s="1204"/>
      <c r="K57" s="1204"/>
      <c r="L57" s="1204"/>
      <c r="M57" s="1204"/>
      <c r="N57" s="1204"/>
      <c r="O57" s="1204"/>
      <c r="P57" s="1204"/>
      <c r="Q57" s="1204"/>
      <c r="R57" s="1204"/>
      <c r="S57" s="1204"/>
      <c r="T57" s="1204"/>
      <c r="U57" s="440"/>
    </row>
    <row r="58" spans="1:21" ht="15" customHeight="1" thickTop="1" x14ac:dyDescent="0.2">
      <c r="A58" s="440"/>
      <c r="B58" s="1204"/>
      <c r="C58" s="1204"/>
      <c r="D58" s="1204"/>
      <c r="E58" s="1204"/>
      <c r="F58" s="1204"/>
      <c r="G58" s="1204"/>
      <c r="H58" s="1302" t="str">
        <f>H71</f>
        <v>BTV</v>
      </c>
      <c r="I58" s="1198" t="str">
        <f>I71</f>
        <v>PH</v>
      </c>
      <c r="J58" s="1276" t="str">
        <f>J71</f>
        <v>PHSol</v>
      </c>
      <c r="K58" s="1276" t="str">
        <f>K71</f>
        <v>PHWRGSo</v>
      </c>
      <c r="L58" s="1276" t="str">
        <f>L71</f>
        <v>PHWRGSoPV</v>
      </c>
      <c r="M58" s="1204"/>
      <c r="N58" s="1204"/>
      <c r="O58" s="1204"/>
      <c r="P58" s="1204"/>
      <c r="Q58" s="1204"/>
      <c r="R58" s="1204"/>
      <c r="S58" s="1204"/>
      <c r="T58" s="1204"/>
      <c r="U58" s="440"/>
    </row>
    <row r="59" spans="1:21" ht="15" customHeight="1" x14ac:dyDescent="0.2">
      <c r="A59" s="440"/>
      <c r="B59" s="1204"/>
      <c r="C59" s="1484" t="s">
        <v>417</v>
      </c>
      <c r="D59" s="1485"/>
      <c r="E59" s="1486"/>
      <c r="F59" s="1348" t="s">
        <v>363</v>
      </c>
      <c r="G59" s="1349"/>
      <c r="H59" s="1305">
        <f ca="1">BERECHNUNG!C118</f>
        <v>13224.18885744</v>
      </c>
      <c r="I59" s="1306">
        <f ca="1">BERECHNUNG!D118</f>
        <v>11460.111577200001</v>
      </c>
      <c r="J59" s="1307">
        <f ca="1">IF(J$22="","",BERECHNUNG!E118)</f>
        <v>8364.2718772799999</v>
      </c>
      <c r="K59" s="1307">
        <f ca="1">IF(K$22="","",BERECHNUNG!F118)</f>
        <v>8469.1298366400006</v>
      </c>
      <c r="L59" s="1308">
        <f ca="1">IF(L$22="","",BERECHNUNG!G118)</f>
        <v>6310.5798366400004</v>
      </c>
      <c r="M59" s="1204"/>
      <c r="N59" s="1204"/>
      <c r="O59" s="1204"/>
      <c r="P59" s="1204"/>
      <c r="Q59" s="1204"/>
      <c r="R59" s="1204"/>
      <c r="S59" s="1204"/>
      <c r="T59" s="1204"/>
      <c r="U59" s="440"/>
    </row>
    <row r="60" spans="1:21" ht="15" customHeight="1" x14ac:dyDescent="0.2">
      <c r="A60" s="440"/>
      <c r="B60" s="1204"/>
      <c r="C60" s="1487"/>
      <c r="D60" s="1488"/>
      <c r="E60" s="1489"/>
      <c r="F60" s="1342"/>
      <c r="G60" s="1310" t="s">
        <v>377</v>
      </c>
      <c r="H60" s="1311"/>
      <c r="I60" s="1312">
        <f ca="1">BERECHNUNG!D119</f>
        <v>-1764.0772802399988</v>
      </c>
      <c r="J60" s="1313">
        <f ca="1">IF(J$22="","",BERECHNUNG!E119)</f>
        <v>-4859.9169801600001</v>
      </c>
      <c r="K60" s="1313">
        <f ca="1">IF(K$22="","",BERECHNUNG!F119)</f>
        <v>-4755.0590207999994</v>
      </c>
      <c r="L60" s="1314">
        <f ca="1">IF(L$22="","",BERECHNUNG!G119)</f>
        <v>-6913.6090207999996</v>
      </c>
      <c r="M60" s="1204"/>
      <c r="N60" s="1204"/>
      <c r="O60" s="1204"/>
      <c r="P60" s="1204"/>
      <c r="Q60" s="1204"/>
      <c r="R60" s="1204"/>
      <c r="S60" s="1204"/>
      <c r="T60" s="1204"/>
      <c r="U60" s="440"/>
    </row>
    <row r="61" spans="1:21" ht="15" customHeight="1" x14ac:dyDescent="0.2">
      <c r="A61" s="440"/>
      <c r="B61" s="1204"/>
      <c r="C61" s="1484" t="s">
        <v>385</v>
      </c>
      <c r="D61" s="1485"/>
      <c r="E61" s="1486"/>
      <c r="F61" s="1350" t="s">
        <v>363</v>
      </c>
      <c r="G61" s="1315"/>
      <c r="H61" s="1316">
        <f ca="1">IFERROR(BERECHNUNG!C120,0)</f>
        <v>-6362.3</v>
      </c>
      <c r="I61" s="1317">
        <f ca="1">IFERROR(BERECHNUNG!D120,0)</f>
        <v>-6362.3</v>
      </c>
      <c r="J61" s="1318">
        <f ca="1">IF(J$22="","",BERECHNUNG!E120)</f>
        <v>-6671.2999999999993</v>
      </c>
      <c r="K61" s="1318">
        <f ca="1">IF(K$22="","",BERECHNUNG!F120)</f>
        <v>-7490.3</v>
      </c>
      <c r="L61" s="1319">
        <f ca="1">IF(L$22="","",BERECHNUNG!G120)</f>
        <v>-7919.3</v>
      </c>
      <c r="M61" s="1204"/>
      <c r="N61" s="1204"/>
      <c r="O61" s="1204"/>
      <c r="P61" s="1204"/>
      <c r="Q61" s="1204"/>
      <c r="R61" s="1351"/>
      <c r="S61" s="1204"/>
      <c r="T61" s="1204"/>
      <c r="U61" s="440"/>
    </row>
    <row r="62" spans="1:21" ht="15" customHeight="1" thickBot="1" x14ac:dyDescent="0.25">
      <c r="A62" s="440"/>
      <c r="B62" s="1204"/>
      <c r="C62" s="1490"/>
      <c r="D62" s="1472"/>
      <c r="E62" s="1473"/>
      <c r="F62" s="1322"/>
      <c r="G62" s="1322" t="s">
        <v>377</v>
      </c>
      <c r="H62" s="1323"/>
      <c r="I62" s="1324">
        <f ca="1">IFERROR(BERECHNUNG!D121,0)</f>
        <v>0</v>
      </c>
      <c r="J62" s="1325">
        <f ca="1">IF(J$22="","",BERECHNUNG!E121)</f>
        <v>-308.99999999999909</v>
      </c>
      <c r="K62" s="1325">
        <f ca="1">IF(K$22="","",BERECHNUNG!F121)</f>
        <v>-1128</v>
      </c>
      <c r="L62" s="1326">
        <f ca="1">IF(L$22="","",BERECHNUNG!G121)</f>
        <v>-1557</v>
      </c>
      <c r="M62" s="1204"/>
      <c r="N62" s="1204"/>
      <c r="O62" s="1204"/>
      <c r="P62" s="1204"/>
      <c r="Q62" s="1204"/>
      <c r="R62" s="1351"/>
      <c r="S62" s="1204"/>
      <c r="T62" s="1204"/>
      <c r="U62" s="440"/>
    </row>
    <row r="63" spans="1:21" ht="15" customHeight="1" x14ac:dyDescent="0.2">
      <c r="A63" s="440"/>
      <c r="B63" s="1204"/>
      <c r="C63" s="1468" t="s">
        <v>369</v>
      </c>
      <c r="D63" s="1469"/>
      <c r="E63" s="1470"/>
      <c r="F63" s="1340" t="s">
        <v>363</v>
      </c>
      <c r="G63" s="1328"/>
      <c r="H63" s="1329">
        <f ca="1">IFERROR(BERECHNUNG!C122,0)</f>
        <v>6861.8888574399998</v>
      </c>
      <c r="I63" s="1330">
        <f ca="1">IFERROR(BERECHNUNG!D122,0)</f>
        <v>5097.811577200001</v>
      </c>
      <c r="J63" s="1331">
        <f ca="1">IF(J$22="","",BERECHNUNG!E122)</f>
        <v>1692.9718772800006</v>
      </c>
      <c r="K63" s="1331">
        <f ca="1">IF(K$22="","",BERECHNUNG!F122)</f>
        <v>978.82983664000039</v>
      </c>
      <c r="L63" s="1332">
        <f ca="1">IF(L$22="","",BERECHNUNG!G122)</f>
        <v>-1608.7201633599998</v>
      </c>
      <c r="M63" s="1204"/>
      <c r="N63" s="1204"/>
      <c r="O63" s="1204"/>
      <c r="P63" s="1204"/>
      <c r="Q63" s="1204"/>
      <c r="R63" s="1204"/>
      <c r="S63" s="1204"/>
      <c r="T63" s="1204"/>
      <c r="U63" s="440"/>
    </row>
    <row r="64" spans="1:21" ht="15" customHeight="1" x14ac:dyDescent="0.2">
      <c r="A64" s="440"/>
      <c r="B64" s="1204"/>
      <c r="C64" s="1471"/>
      <c r="D64" s="1472"/>
      <c r="E64" s="1473"/>
      <c r="F64" s="1310"/>
      <c r="G64" s="1310" t="s">
        <v>377</v>
      </c>
      <c r="H64" s="1311"/>
      <c r="I64" s="1312">
        <f ca="1">IFERROR(BERECHNUNG!D123,0)</f>
        <v>-1764.0772802399988</v>
      </c>
      <c r="J64" s="1313">
        <f ca="1">IF(J$22="","",BERECHNUNG!E123)</f>
        <v>-5168.9169801599992</v>
      </c>
      <c r="K64" s="1313">
        <f ca="1">IF(K$22="","",BERECHNUNG!F123)</f>
        <v>-5883.0590207999994</v>
      </c>
      <c r="L64" s="1334">
        <f ca="1">IF(L$22="","",BERECHNUNG!G123)</f>
        <v>-8470.6090207999987</v>
      </c>
      <c r="M64" s="1204"/>
      <c r="N64" s="1204"/>
      <c r="O64" s="1204"/>
      <c r="P64" s="1204"/>
      <c r="Q64" s="1204"/>
      <c r="R64" s="1204"/>
      <c r="S64" s="1204"/>
      <c r="T64" s="1204"/>
      <c r="U64" s="440"/>
    </row>
    <row r="65" spans="1:21" ht="15" customHeight="1" thickBot="1" x14ac:dyDescent="0.25">
      <c r="A65" s="440"/>
      <c r="B65" s="1204"/>
      <c r="C65" s="1474"/>
      <c r="D65" s="1475"/>
      <c r="E65" s="1476"/>
      <c r="F65" s="1477" t="s">
        <v>378</v>
      </c>
      <c r="G65" s="1478"/>
      <c r="H65" s="1337"/>
      <c r="I65" s="1352">
        <f ca="1">BERECHNUNG!D124</f>
        <v>-1.2509411999999991</v>
      </c>
      <c r="J65" s="1353">
        <f ca="1">IF(J$22="","",BERECHNUNG!E124)</f>
        <v>-3.6653786556233152</v>
      </c>
      <c r="K65" s="1353">
        <f ca="1">IF(K$22="","",BERECHNUNG!F124)</f>
        <v>-4.1717905409161817</v>
      </c>
      <c r="L65" s="1354">
        <f ca="1">IF(L$22="","",BERECHNUNG!G124)</f>
        <v>-6.0066721179974456</v>
      </c>
      <c r="M65" s="1204"/>
      <c r="N65" s="1204"/>
      <c r="O65" s="1204"/>
      <c r="P65" s="1204"/>
      <c r="Q65" s="1204"/>
      <c r="R65" s="1204"/>
      <c r="S65" s="1204"/>
      <c r="T65" s="1204"/>
      <c r="U65" s="440"/>
    </row>
    <row r="66" spans="1:21" ht="15.75" customHeight="1" x14ac:dyDescent="0.2">
      <c r="A66" s="440"/>
      <c r="B66" s="1204"/>
      <c r="C66" s="1204"/>
      <c r="D66" s="1204"/>
      <c r="E66" s="1204"/>
      <c r="F66" s="1204"/>
      <c r="G66" s="1204"/>
      <c r="H66" s="1204"/>
      <c r="I66" s="1204"/>
      <c r="J66" s="1204"/>
      <c r="K66" s="1204"/>
      <c r="L66" s="1204"/>
      <c r="M66" s="1204"/>
      <c r="N66" s="1204"/>
      <c r="O66" s="1204"/>
      <c r="P66" s="1204"/>
      <c r="Q66" s="1204"/>
      <c r="R66" s="1204"/>
      <c r="S66" s="1204"/>
      <c r="T66" s="1204"/>
      <c r="U66" s="440"/>
    </row>
    <row r="67" spans="1:21" ht="7.5" customHeight="1" x14ac:dyDescent="0.2">
      <c r="A67" s="440"/>
      <c r="B67" s="1164"/>
      <c r="C67" s="1164"/>
      <c r="D67" s="1164"/>
      <c r="E67" s="1164"/>
      <c r="F67" s="1164"/>
      <c r="G67" s="1164"/>
      <c r="H67" s="1164"/>
      <c r="I67" s="1164"/>
      <c r="J67" s="1164"/>
      <c r="K67" s="1164"/>
      <c r="L67" s="1164"/>
      <c r="M67" s="1164"/>
      <c r="N67" s="1164"/>
      <c r="O67" s="1164"/>
      <c r="P67" s="1164"/>
      <c r="Q67" s="1164"/>
      <c r="R67" s="1164"/>
      <c r="S67" s="1164"/>
      <c r="T67" s="1164"/>
      <c r="U67" s="440"/>
    </row>
    <row r="68" spans="1:21" ht="18" customHeight="1" x14ac:dyDescent="0.2">
      <c r="A68" s="440"/>
      <c r="B68" s="1164"/>
      <c r="C68" s="1164"/>
      <c r="D68" s="1164"/>
      <c r="E68" s="1164"/>
      <c r="F68" s="1164"/>
      <c r="G68" s="1164"/>
      <c r="H68" s="1164"/>
      <c r="I68" s="1164"/>
      <c r="J68" s="1164"/>
      <c r="K68" s="1164"/>
      <c r="L68" s="1164"/>
      <c r="M68" s="1164"/>
      <c r="N68" s="1164"/>
      <c r="O68" s="1164"/>
      <c r="P68" s="1164"/>
      <c r="Q68" s="1164"/>
      <c r="R68" s="1164"/>
      <c r="S68" s="1164"/>
      <c r="T68" s="1164"/>
      <c r="U68" s="440"/>
    </row>
    <row r="69" spans="1:21" ht="18" customHeight="1" x14ac:dyDescent="0.2">
      <c r="A69" s="440"/>
      <c r="B69" s="1164"/>
      <c r="C69" s="1164"/>
      <c r="D69" s="1164"/>
      <c r="E69" s="1164"/>
      <c r="F69" s="1164"/>
      <c r="G69" s="1164"/>
      <c r="H69" s="1164"/>
      <c r="I69" s="1164"/>
      <c r="J69" s="1164"/>
      <c r="K69" s="1164"/>
      <c r="L69" s="1164"/>
      <c r="M69" s="1164"/>
      <c r="N69" s="1164"/>
      <c r="O69" s="1164"/>
      <c r="P69" s="1164"/>
      <c r="Q69" s="1164"/>
      <c r="R69" s="1164"/>
      <c r="S69" s="1164"/>
      <c r="T69" s="1164"/>
      <c r="U69" s="440"/>
    </row>
    <row r="70" spans="1:21" ht="15" customHeight="1" thickBot="1" x14ac:dyDescent="0.25">
      <c r="A70" s="440"/>
      <c r="B70" s="1204"/>
      <c r="C70" s="1204"/>
      <c r="D70" s="1204"/>
      <c r="E70" s="1204"/>
      <c r="F70" s="1204"/>
      <c r="G70" s="1204"/>
      <c r="H70" s="1271"/>
      <c r="I70" s="1204"/>
      <c r="J70" s="1204"/>
      <c r="K70" s="1204"/>
      <c r="L70" s="1204"/>
      <c r="M70" s="1204"/>
      <c r="N70" s="1204"/>
      <c r="O70" s="1204"/>
      <c r="P70" s="1204"/>
      <c r="Q70" s="1204"/>
      <c r="R70" s="1204"/>
      <c r="S70" s="1204"/>
      <c r="T70" s="1204"/>
      <c r="U70" s="440"/>
    </row>
    <row r="71" spans="1:21" ht="15" customHeight="1" thickTop="1" x14ac:dyDescent="0.2">
      <c r="A71" s="440"/>
      <c r="B71" s="1204"/>
      <c r="C71" s="1204"/>
      <c r="D71" s="1204"/>
      <c r="E71" s="1355" t="s">
        <v>370</v>
      </c>
      <c r="F71" s="1201"/>
      <c r="G71" s="1201"/>
      <c r="H71" s="1302" t="str">
        <f>BERECHNUNG!C28</f>
        <v>BTV</v>
      </c>
      <c r="I71" s="1198" t="str">
        <f>BERECHNUNG!D28</f>
        <v>PH</v>
      </c>
      <c r="J71" s="1276" t="str">
        <f>BERECHNUNG!E28</f>
        <v>PHSol</v>
      </c>
      <c r="K71" s="1276" t="str">
        <f>BERECHNUNG!F28</f>
        <v>PHWRGSo</v>
      </c>
      <c r="L71" s="1276" t="str">
        <f>BERECHNUNG!G28</f>
        <v>PHWRGSoPV</v>
      </c>
      <c r="M71" s="1204"/>
      <c r="N71" s="1204"/>
      <c r="O71" s="1204"/>
      <c r="P71" s="1204"/>
      <c r="Q71" s="1204"/>
      <c r="R71" s="1204"/>
      <c r="S71" s="1204"/>
      <c r="T71" s="1204"/>
      <c r="U71" s="440"/>
    </row>
    <row r="72" spans="1:21" ht="15" customHeight="1" x14ac:dyDescent="0.2">
      <c r="A72" s="440"/>
      <c r="B72" s="1204"/>
      <c r="C72" s="1484" t="s">
        <v>360</v>
      </c>
      <c r="D72" s="1486"/>
      <c r="E72" s="1498">
        <f>'1. Projektangaben'!K23</f>
        <v>0</v>
      </c>
      <c r="F72" s="1492" t="s">
        <v>67</v>
      </c>
      <c r="G72" s="1493"/>
      <c r="H72" s="1356">
        <f>IF(ISNA(LOOKUP(MATCH(H71,'1. Projektangaben'!$E$23:$E$27,0),'1. Projektangaben'!$B$23:$B$27,'1. Projektangaben'!$I$23:$I$27)),0,LOOKUP(MATCH(H71,'1. Projektangaben'!$E$23:$E$27,0),'1. Projektangaben'!$B$23:$B$27,'1. Projektangaben'!$I$23:$I$27))</f>
        <v>0</v>
      </c>
      <c r="I72" s="1357">
        <f>IF(ISNA(LOOKUP(MATCH(I71,'1. Projektangaben'!$E$23:$E$27,0),'1. Projektangaben'!$B$23:$B$27,'1. Projektangaben'!$I$23:$I$27)),0,LOOKUP(MATCH(I71,'1. Projektangaben'!$E$23:$E$27,0),'1. Projektangaben'!$B$23:$B$27,'1. Projektangaben'!$I$23:$I$27))</f>
        <v>0</v>
      </c>
      <c r="J72" s="1357">
        <f>IF(ISNA(LOOKUP(MATCH(J71,'1. Projektangaben'!$E$23:$E$27,0),'1. Projektangaben'!$B$23:$B$27,'1. Projektangaben'!$I$23:$I$27)),0,LOOKUP(MATCH(J71,'1. Projektangaben'!$E$23:$E$27,0),'1. Projektangaben'!$B$23:$B$27,'1. Projektangaben'!$I$23:$I$27))</f>
        <v>0</v>
      </c>
      <c r="K72" s="1357">
        <f>IF(ISNA(LOOKUP(MATCH(K71,'1. Projektangaben'!$E$23:$E$27,0),'1. Projektangaben'!$B$23:$B$27,'1. Projektangaben'!$I$23:$I$27)),0,LOOKUP(MATCH(K71,'1. Projektangaben'!$E$23:$E$27,0),'1. Projektangaben'!$B$23:$B$27,'1. Projektangaben'!$I$23:$I$27))</f>
        <v>0</v>
      </c>
      <c r="L72" s="1357">
        <f>IF(ISNA(LOOKUP(MATCH(L71,'1. Projektangaben'!$E$23:$E$27,0),'1. Projektangaben'!$B$23:$B$27,'1. Projektangaben'!$I$23:$I$27)),0,LOOKUP(MATCH(L71,'1. Projektangaben'!$E$23:$E$27,0),'1. Projektangaben'!$B$23:$B$27,'1. Projektangaben'!$I$23:$I$27))</f>
        <v>0</v>
      </c>
      <c r="M72" s="1204"/>
      <c r="N72" s="1204"/>
      <c r="O72" s="1204"/>
      <c r="P72" s="1204"/>
      <c r="Q72" s="1204"/>
      <c r="R72" s="1204"/>
      <c r="S72" s="1204"/>
      <c r="T72" s="1204"/>
      <c r="U72" s="440"/>
    </row>
    <row r="73" spans="1:21" ht="15" customHeight="1" x14ac:dyDescent="0.2">
      <c r="A73" s="440"/>
      <c r="B73" s="1204"/>
      <c r="C73" s="1490"/>
      <c r="D73" s="1473"/>
      <c r="E73" s="1499"/>
      <c r="F73" s="1491" t="s">
        <v>367</v>
      </c>
      <c r="G73" s="1480"/>
      <c r="H73" s="1358">
        <f>IF(H72=0,0,$H$72-H72)</f>
        <v>0</v>
      </c>
      <c r="I73" s="1359">
        <f>IF(I72=0,0,$H$72-I72)</f>
        <v>0</v>
      </c>
      <c r="J73" s="1357">
        <f>IF(J72=0,0,$H$72-J72)</f>
        <v>0</v>
      </c>
      <c r="K73" s="1357">
        <f>IF(K72=0,0,$H$72-K72)</f>
        <v>0</v>
      </c>
      <c r="L73" s="1360">
        <f>IF(L72=0,0,$H$72-L72)</f>
        <v>0</v>
      </c>
      <c r="M73" s="1204"/>
      <c r="N73" s="1204"/>
      <c r="O73" s="1204"/>
      <c r="P73" s="1204"/>
      <c r="Q73" s="1204"/>
      <c r="R73" s="1204"/>
      <c r="S73" s="1204"/>
      <c r="T73" s="1204"/>
      <c r="U73" s="440"/>
    </row>
    <row r="74" spans="1:21" ht="15" customHeight="1" thickBot="1" x14ac:dyDescent="0.25">
      <c r="A74" s="440"/>
      <c r="B74" s="1204"/>
      <c r="C74" s="1504"/>
      <c r="D74" s="1505"/>
      <c r="E74" s="1500"/>
      <c r="F74" s="1491" t="s">
        <v>368</v>
      </c>
      <c r="G74" s="1480"/>
      <c r="H74" s="1361"/>
      <c r="I74" s="1362">
        <f>$E$72*I73</f>
        <v>0</v>
      </c>
      <c r="J74" s="1363">
        <f>$E$72*J73</f>
        <v>0</v>
      </c>
      <c r="K74" s="1363">
        <f>$E$72*K73</f>
        <v>0</v>
      </c>
      <c r="L74" s="1364">
        <f>$E$72*L73</f>
        <v>0</v>
      </c>
      <c r="M74" s="1204"/>
      <c r="N74" s="1204"/>
      <c r="O74" s="1204"/>
      <c r="P74" s="1204"/>
      <c r="Q74" s="1204"/>
      <c r="R74" s="1204"/>
      <c r="S74" s="1204"/>
      <c r="T74" s="1204"/>
      <c r="U74" s="440"/>
    </row>
    <row r="75" spans="1:21" ht="15" customHeight="1" x14ac:dyDescent="0.2">
      <c r="A75" s="440"/>
      <c r="B75" s="1204"/>
      <c r="C75" s="1496" t="s">
        <v>361</v>
      </c>
      <c r="D75" s="1497"/>
      <c r="E75" s="1501">
        <f>'1. Projektangaben'!O23</f>
        <v>0</v>
      </c>
      <c r="F75" s="1494" t="s">
        <v>67</v>
      </c>
      <c r="G75" s="1495"/>
      <c r="H75" s="1365">
        <f>IF(ISNA(LOOKUP(MATCH(H71,'1. Projektangaben'!$E$23:$E$27,0),'1. Projektangaben'!$B$23:$B$27,'1. Projektangaben'!$M$23:$M$27)),0,LOOKUP(MATCH(H71,'1. Projektangaben'!$E$23:$E$27,0),'1. Projektangaben'!$B$23:$B$27,'1. Projektangaben'!$M$23:$M$27))</f>
        <v>0</v>
      </c>
      <c r="I75" s="1366">
        <f>IF(ISNA(LOOKUP(MATCH(I71,'1. Projektangaben'!$E$23:$E$27,0),'1. Projektangaben'!$B$23:$B$27,'1. Projektangaben'!$M$23:$M$27)),0,LOOKUP(MATCH(I71,'1. Projektangaben'!$E$23:$E$27,0),'1. Projektangaben'!$B$23:$B$27,'1. Projektangaben'!$M$23:$M$27))</f>
        <v>0</v>
      </c>
      <c r="J75" s="1367">
        <f>IF(ISNA(LOOKUP(MATCH(J71,'1. Projektangaben'!$E$23:$E$27,0),'1. Projektangaben'!$B$23:$B$27,'1. Projektangaben'!$M$23:$M$27)),0,LOOKUP(MATCH(J71,'1. Projektangaben'!$E$23:$E$27,0),'1. Projektangaben'!$B$23:$B$27,'1. Projektangaben'!$M$23:$M$27))</f>
        <v>0</v>
      </c>
      <c r="K75" s="1367">
        <f>IF(ISNA(LOOKUP(MATCH(K71,'1. Projektangaben'!$E$23:$E$27,0),'1. Projektangaben'!$B$23:$B$27,'1. Projektangaben'!$M$23:$M$27)),0,LOOKUP(MATCH(K71,'1. Projektangaben'!$E$23:$E$27,0),'1. Projektangaben'!$B$23:$B$27,'1. Projektangaben'!$M$23:$M$27))</f>
        <v>0</v>
      </c>
      <c r="L75" s="1368">
        <f>IF(ISNA(LOOKUP(MATCH(L71,'1. Projektangaben'!$E$23:$E$27,0),'1. Projektangaben'!$B$23:$B$27,'1. Projektangaben'!$M$23:$M$27)),0,LOOKUP(MATCH(L71,'1. Projektangaben'!$E$23:$E$27,0),'1. Projektangaben'!$B$23:$B$27,'1. Projektangaben'!$M$23:$M$27))</f>
        <v>0</v>
      </c>
      <c r="M75" s="1204"/>
      <c r="N75" s="1204"/>
      <c r="O75" s="1204"/>
      <c r="P75" s="1204"/>
      <c r="Q75" s="1204"/>
      <c r="R75" s="1204"/>
      <c r="S75" s="1204"/>
      <c r="T75" s="1204"/>
      <c r="U75" s="440"/>
    </row>
    <row r="76" spans="1:21" ht="15" customHeight="1" x14ac:dyDescent="0.2">
      <c r="A76" s="440"/>
      <c r="B76" s="1204"/>
      <c r="C76" s="1490"/>
      <c r="D76" s="1473"/>
      <c r="E76" s="1499"/>
      <c r="F76" s="1491" t="s">
        <v>367</v>
      </c>
      <c r="G76" s="1480"/>
      <c r="H76" s="1358">
        <f>IF(H75=0,0,$H$75-H75)</f>
        <v>0</v>
      </c>
      <c r="I76" s="1369">
        <f>IF(I75=0,0,$H$75-I75)</f>
        <v>0</v>
      </c>
      <c r="J76" s="1370">
        <f>IF(J75=0,0,$H$75-J75)</f>
        <v>0</v>
      </c>
      <c r="K76" s="1370">
        <f>IF(K75=0,0,$H$75-K75)</f>
        <v>0</v>
      </c>
      <c r="L76" s="1371">
        <f>IF(L75=0,0,$H$75-L75)</f>
        <v>0</v>
      </c>
      <c r="M76" s="1204"/>
      <c r="N76" s="1204"/>
      <c r="O76" s="1204"/>
      <c r="P76" s="1204"/>
      <c r="Q76" s="1204"/>
      <c r="R76" s="1204"/>
      <c r="S76" s="1204"/>
      <c r="T76" s="1204"/>
      <c r="U76" s="440"/>
    </row>
    <row r="77" spans="1:21" ht="15" customHeight="1" thickBot="1" x14ac:dyDescent="0.25">
      <c r="A77" s="440"/>
      <c r="B77" s="1204"/>
      <c r="C77" s="1490"/>
      <c r="D77" s="1473"/>
      <c r="E77" s="1499"/>
      <c r="F77" s="1502" t="s">
        <v>368</v>
      </c>
      <c r="G77" s="1503"/>
      <c r="H77" s="1372"/>
      <c r="I77" s="1373">
        <f>$E$75*I76</f>
        <v>0</v>
      </c>
      <c r="J77" s="1374">
        <f>$E$75*J76</f>
        <v>0</v>
      </c>
      <c r="K77" s="1374">
        <f>$E$75*K76</f>
        <v>0</v>
      </c>
      <c r="L77" s="1374">
        <f>$E$75*L76</f>
        <v>0</v>
      </c>
      <c r="M77" s="1204"/>
      <c r="N77" s="1204"/>
      <c r="O77" s="1204"/>
      <c r="P77" s="1204"/>
      <c r="Q77" s="1204"/>
      <c r="R77" s="1204"/>
      <c r="S77" s="1204"/>
      <c r="T77" s="1204"/>
      <c r="U77" s="440"/>
    </row>
    <row r="78" spans="1:21" ht="15" customHeight="1" x14ac:dyDescent="0.2">
      <c r="A78" s="440"/>
      <c r="B78" s="1204"/>
      <c r="C78" s="1468" t="s">
        <v>369</v>
      </c>
      <c r="D78" s="1508"/>
      <c r="E78" s="1510"/>
      <c r="F78" s="1506" t="s">
        <v>368</v>
      </c>
      <c r="G78" s="1507"/>
      <c r="H78" s="1375"/>
      <c r="I78" s="1376">
        <f>I77+I74</f>
        <v>0</v>
      </c>
      <c r="J78" s="1377">
        <f>J77+J74</f>
        <v>0</v>
      </c>
      <c r="K78" s="1377">
        <f>K77+K74</f>
        <v>0</v>
      </c>
      <c r="L78" s="1378">
        <f>L77+L74</f>
        <v>0</v>
      </c>
      <c r="M78" s="1204"/>
      <c r="N78" s="1204"/>
      <c r="O78" s="1204"/>
      <c r="P78" s="1204"/>
      <c r="Q78" s="1204"/>
      <c r="R78" s="1204"/>
      <c r="S78" s="1204"/>
      <c r="T78" s="1204"/>
      <c r="U78" s="440"/>
    </row>
    <row r="79" spans="1:21" ht="15" customHeight="1" thickBot="1" x14ac:dyDescent="0.25">
      <c r="A79" s="440"/>
      <c r="B79" s="1204"/>
      <c r="C79" s="1474"/>
      <c r="D79" s="1509"/>
      <c r="E79" s="1511"/>
      <c r="F79" s="1477" t="s">
        <v>378</v>
      </c>
      <c r="G79" s="1478"/>
      <c r="H79" s="1379"/>
      <c r="I79" s="1380">
        <f>IF(ISNA(VLOOKUP($H$71,'1. Projektangaben'!$E$23:$I$27,5)),0,IF(VLOOKUP($H$71,'1. Projektangaben'!$E$23:$I$27,5)=0,0,I78/VLOOKUP($H$71,'1. Projektangaben'!$E$23:$I$27,5)))</f>
        <v>0</v>
      </c>
      <c r="J79" s="1380">
        <f>IF(ISNA(VLOOKUP($H$71,'1. Projektangaben'!$E$23:$I$27,5)),0,IF(VLOOKUP($H$71,'1. Projektangaben'!$E$23:$I$27,5)=0,0,J78/VLOOKUP($H$71,'1. Projektangaben'!$E$23:$I$27,5)))</f>
        <v>0</v>
      </c>
      <c r="K79" s="1380">
        <f>IF(ISNA(VLOOKUP($H$71,'1. Projektangaben'!$E$23:$I$27,5)),0,IF(VLOOKUP($H$71,'1. Projektangaben'!$E$23:$I$27,5)=0,0,K78/VLOOKUP($H$71,'1. Projektangaben'!$E$23:$I$27,5)))</f>
        <v>0</v>
      </c>
      <c r="L79" s="1381">
        <f>IF(ISNA(VLOOKUP($H$71,'1. Projektangaben'!$E$23:$I$27,5)),0,IF(VLOOKUP($H$71,'1. Projektangaben'!$E$23:$I$27,5)=0,0,L78/VLOOKUP($H$71,'1. Projektangaben'!$E$23:$I$27,5)))</f>
        <v>0</v>
      </c>
      <c r="M79" s="1204"/>
      <c r="N79" s="1204"/>
      <c r="O79" s="1204"/>
      <c r="P79" s="1204"/>
      <c r="Q79" s="1204"/>
      <c r="R79" s="1204"/>
      <c r="S79" s="1204"/>
      <c r="T79" s="1204"/>
      <c r="U79" s="440"/>
    </row>
    <row r="80" spans="1:21" ht="15" customHeight="1" x14ac:dyDescent="0.2">
      <c r="A80" s="440"/>
      <c r="B80" s="1204"/>
      <c r="C80" s="1204"/>
      <c r="D80" s="1204"/>
      <c r="E80" s="1204"/>
      <c r="F80" s="1204"/>
      <c r="G80" s="1204"/>
      <c r="H80" s="1204"/>
      <c r="I80" s="1204"/>
      <c r="J80" s="1204"/>
      <c r="K80" s="1204"/>
      <c r="L80" s="1204"/>
      <c r="M80" s="1204"/>
      <c r="N80" s="1204"/>
      <c r="O80" s="1204"/>
      <c r="P80" s="1204"/>
      <c r="Q80" s="1204"/>
      <c r="R80" s="1204"/>
      <c r="S80" s="1204"/>
      <c r="T80" s="1204"/>
      <c r="U80" s="440"/>
    </row>
    <row r="81" spans="1:21" ht="15" customHeight="1" x14ac:dyDescent="0.2">
      <c r="A81" s="440"/>
      <c r="B81" s="1204"/>
      <c r="C81" s="1204"/>
      <c r="D81" s="1204"/>
      <c r="E81" s="1204"/>
      <c r="F81" s="1204"/>
      <c r="G81" s="1204"/>
      <c r="H81" s="1204"/>
      <c r="I81" s="1204"/>
      <c r="J81" s="1204"/>
      <c r="K81" s="1204"/>
      <c r="L81" s="1204"/>
      <c r="M81" s="1204"/>
      <c r="N81" s="1204"/>
      <c r="O81" s="1204"/>
      <c r="P81" s="1204"/>
      <c r="Q81" s="1204"/>
      <c r="R81" s="1204"/>
      <c r="S81" s="1204"/>
      <c r="T81" s="1204"/>
      <c r="U81" s="440"/>
    </row>
    <row r="82" spans="1:21" ht="15" customHeight="1" x14ac:dyDescent="0.2">
      <c r="A82" s="440"/>
      <c r="B82" s="440"/>
      <c r="C82" s="440"/>
      <c r="D82" s="440"/>
      <c r="E82" s="440"/>
      <c r="F82" s="440"/>
      <c r="G82" s="440"/>
      <c r="H82" s="440"/>
      <c r="I82" s="440"/>
      <c r="J82" s="440"/>
      <c r="K82" s="440"/>
      <c r="L82" s="440"/>
      <c r="M82" s="440"/>
      <c r="N82" s="440"/>
      <c r="O82" s="440"/>
      <c r="P82" s="440"/>
      <c r="Q82" s="440"/>
      <c r="R82" s="440"/>
      <c r="S82" s="440"/>
      <c r="T82" s="440"/>
      <c r="U82" s="440"/>
    </row>
    <row r="83" spans="1:21" ht="15" customHeight="1" x14ac:dyDescent="0.25"/>
    <row r="84" spans="1:21" ht="15" customHeight="1" x14ac:dyDescent="0.25"/>
    <row r="85" spans="1:21" ht="15" customHeight="1" x14ac:dyDescent="0.25"/>
    <row r="86" spans="1:21" ht="15" customHeight="1" x14ac:dyDescent="0.25"/>
    <row r="87" spans="1:21" ht="15" customHeight="1" x14ac:dyDescent="0.25"/>
    <row r="88" spans="1:21" ht="15" customHeight="1" x14ac:dyDescent="0.25"/>
    <row r="89" spans="1:21" ht="15" customHeight="1" x14ac:dyDescent="0.25"/>
    <row r="90" spans="1:21" ht="15" customHeight="1" x14ac:dyDescent="0.25"/>
    <row r="91" spans="1:21" ht="15" customHeight="1" x14ac:dyDescent="0.25"/>
    <row r="92" spans="1:21" ht="15" customHeight="1" x14ac:dyDescent="0.25"/>
    <row r="93" spans="1:21" ht="15.75" customHeight="1" x14ac:dyDescent="0.25"/>
    <row r="94" spans="1:21" ht="15" customHeight="1" x14ac:dyDescent="0.25"/>
    <row r="95" spans="1:21" ht="15" customHeight="1" x14ac:dyDescent="0.25"/>
    <row r="96" spans="1:21" ht="15" customHeight="1" x14ac:dyDescent="0.25"/>
    <row r="97" ht="15" customHeight="1" x14ac:dyDescent="0.25"/>
    <row r="98" ht="15" customHeight="1" x14ac:dyDescent="0.25"/>
    <row r="99" ht="15.75" customHeight="1" x14ac:dyDescent="0.25"/>
    <row r="100" ht="15.75" customHeight="1" x14ac:dyDescent="0.25"/>
    <row r="101" ht="15.75" customHeight="1" x14ac:dyDescent="0.25"/>
    <row r="102" ht="15.75" customHeight="1" x14ac:dyDescent="0.25"/>
    <row r="103" ht="15" customHeight="1" x14ac:dyDescent="0.25"/>
    <row r="104" ht="15" customHeight="1" x14ac:dyDescent="0.25"/>
    <row r="105" ht="15" customHeight="1" x14ac:dyDescent="0.25"/>
    <row r="106" ht="15.75" customHeight="1" x14ac:dyDescent="0.25"/>
    <row r="107" ht="15.75" customHeight="1" x14ac:dyDescent="0.25"/>
    <row r="108" ht="15" customHeight="1" x14ac:dyDescent="0.25"/>
    <row r="109" ht="15" customHeight="1" x14ac:dyDescent="0.25"/>
    <row r="110" ht="15.75" customHeight="1" x14ac:dyDescent="0.25"/>
    <row r="111" ht="15.75" customHeight="1" x14ac:dyDescent="0.25"/>
    <row r="112" ht="15.75" customHeight="1" x14ac:dyDescent="0.25"/>
    <row r="113" ht="15" customHeight="1" x14ac:dyDescent="0.25"/>
    <row r="114" ht="15.7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75" customHeight="1" x14ac:dyDescent="0.25"/>
    <row r="168" ht="15" customHeight="1" x14ac:dyDescent="0.25"/>
    <row r="169" ht="15.7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7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75" customHeight="1" x14ac:dyDescent="0.25"/>
    <row r="253" ht="11.25" customHeight="1" x14ac:dyDescent="0.25"/>
    <row r="256" ht="11.25" customHeight="1" x14ac:dyDescent="0.25"/>
    <row r="261" ht="11.25" customHeight="1" x14ac:dyDescent="0.25"/>
    <row r="294" ht="11.25" customHeight="1" x14ac:dyDescent="0.25"/>
    <row r="296" ht="11.25" customHeight="1" x14ac:dyDescent="0.25"/>
    <row r="319" ht="11.25" customHeight="1" x14ac:dyDescent="0.25"/>
    <row r="321" ht="11.25" customHeight="1" x14ac:dyDescent="0.25"/>
    <row r="410" ht="11.25" customHeight="1" x14ac:dyDescent="0.25"/>
    <row r="412" ht="11.25" customHeight="1" x14ac:dyDescent="0.25"/>
    <row r="449" ht="11.25" customHeight="1" x14ac:dyDescent="0.25"/>
    <row r="451" ht="11.25" customHeight="1" x14ac:dyDescent="0.25"/>
    <row r="474" ht="11.25" customHeight="1" x14ac:dyDescent="0.25"/>
    <row r="476" ht="11.25" customHeight="1" x14ac:dyDescent="0.25"/>
    <row r="565" ht="11.25" customHeight="1" x14ac:dyDescent="0.25"/>
    <row r="567" ht="11.25" customHeight="1" x14ac:dyDescent="0.25"/>
    <row r="602" ht="11.25" customHeight="1" x14ac:dyDescent="0.25"/>
    <row r="603" ht="11.25" customHeight="1" x14ac:dyDescent="0.25"/>
    <row r="627" ht="11.25" customHeight="1" x14ac:dyDescent="0.25"/>
    <row r="628" ht="11.25" customHeight="1" x14ac:dyDescent="0.25"/>
    <row r="718" ht="11.25" customHeight="1" x14ac:dyDescent="0.25"/>
    <row r="719" ht="11.25" customHeight="1" x14ac:dyDescent="0.25"/>
  </sheetData>
  <sheetProtection sheet="1" objects="1" scenarios="1" selectLockedCells="1"/>
  <mergeCells count="35">
    <mergeCell ref="Q27:S27"/>
    <mergeCell ref="C16:D16"/>
    <mergeCell ref="C17:D17"/>
    <mergeCell ref="C18:D18"/>
    <mergeCell ref="C41:E44"/>
    <mergeCell ref="C19:D19"/>
    <mergeCell ref="C33:E34"/>
    <mergeCell ref="C35:E36"/>
    <mergeCell ref="C37:E38"/>
    <mergeCell ref="C39:E40"/>
    <mergeCell ref="C23:E23"/>
    <mergeCell ref="F79:G79"/>
    <mergeCell ref="F78:G78"/>
    <mergeCell ref="F76:G76"/>
    <mergeCell ref="C78:D79"/>
    <mergeCell ref="E78:E79"/>
    <mergeCell ref="F74:G74"/>
    <mergeCell ref="F72:G72"/>
    <mergeCell ref="F75:G75"/>
    <mergeCell ref="C75:D77"/>
    <mergeCell ref="E72:E74"/>
    <mergeCell ref="E75:E77"/>
    <mergeCell ref="F77:G77"/>
    <mergeCell ref="C72:D74"/>
    <mergeCell ref="F73:G73"/>
    <mergeCell ref="C63:E65"/>
    <mergeCell ref="F65:G65"/>
    <mergeCell ref="F43:G43"/>
    <mergeCell ref="C51:E53"/>
    <mergeCell ref="C24:E24"/>
    <mergeCell ref="C25:E25"/>
    <mergeCell ref="C26:E26"/>
    <mergeCell ref="F53:G53"/>
    <mergeCell ref="C59:E60"/>
    <mergeCell ref="C61:E62"/>
  </mergeCells>
  <conditionalFormatting sqref="I44:L44">
    <cfRule type="top10" dxfId="326" priority="1" rank="1"/>
  </conditionalFormatting>
  <pageMargins left="0.7" right="0.7" top="0.78740157499999996" bottom="0.78740157499999996" header="0.3" footer="0.3"/>
  <pageSetup paperSize="9" scale="45"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tabColor rgb="FFFFFF00"/>
  </sheetPr>
  <dimension ref="A1:AG747"/>
  <sheetViews>
    <sheetView showGridLines="0" showRowColHeaders="0" showZeros="0" zoomScaleNormal="100" workbookViewId="0">
      <pane ySplit="9" topLeftCell="A23" activePane="bottomLeft" state="frozen"/>
      <selection pane="bottomLeft" activeCell="N23" sqref="N23"/>
    </sheetView>
  </sheetViews>
  <sheetFormatPr baseColWidth="10" defaultRowHeight="11.25" x14ac:dyDescent="0.25"/>
  <cols>
    <col min="1" max="1" width="4.28515625" style="327" customWidth="1"/>
    <col min="2" max="2" width="9.85546875" style="327" customWidth="1"/>
    <col min="3" max="3" width="9.140625" style="327" customWidth="1"/>
    <col min="4" max="5" width="9.85546875" style="327" customWidth="1"/>
    <col min="6" max="10" width="12.85546875" style="327" customWidth="1"/>
    <col min="11" max="11" width="5.5703125" style="327" customWidth="1"/>
    <col min="12" max="12" width="8" style="327" customWidth="1"/>
    <col min="13" max="13" width="11.42578125" style="327" customWidth="1"/>
    <col min="14" max="14" width="11" style="327" customWidth="1"/>
    <col min="15" max="19" width="9.140625" style="327" customWidth="1"/>
    <col min="20" max="20" width="21.5703125" style="327" customWidth="1"/>
    <col min="21" max="21" width="4.28515625" style="327" customWidth="1"/>
    <col min="22" max="22" width="11.5703125" style="327" hidden="1" customWidth="1"/>
    <col min="23" max="25" width="11.42578125" style="327" hidden="1" customWidth="1"/>
    <col min="26" max="26" width="17.140625" style="327" hidden="1" customWidth="1"/>
    <col min="27" max="27" width="23.28515625" style="327" hidden="1" customWidth="1"/>
    <col min="28" max="28" width="25" style="327" hidden="1" customWidth="1"/>
    <col min="29" max="33" width="11.42578125" style="327" hidden="1" customWidth="1"/>
    <col min="34" max="34" width="0" style="327" hidden="1" customWidth="1"/>
    <col min="35" max="16384" width="11.42578125" style="327"/>
  </cols>
  <sheetData>
    <row r="1" spans="1:23" ht="24.95" customHeight="1" x14ac:dyDescent="0.25">
      <c r="A1" s="400"/>
      <c r="B1" s="399" t="str">
        <f>"Ergebnis: Wirtschaftliche Auswertung "&amp;LISTEN!E38&amp;""</f>
        <v xml:space="preserve">Ergebnis: Wirtschaftliche Auswertung </v>
      </c>
      <c r="C1" s="439"/>
      <c r="D1" s="400"/>
      <c r="E1" s="400"/>
      <c r="F1" s="400"/>
      <c r="G1" s="400"/>
      <c r="H1" s="400"/>
      <c r="I1" s="400"/>
      <c r="J1" s="400"/>
      <c r="K1" s="400"/>
      <c r="L1" s="400"/>
      <c r="M1" s="400"/>
      <c r="N1" s="400"/>
      <c r="O1" s="400"/>
      <c r="P1" s="400"/>
      <c r="Q1" s="400"/>
      <c r="R1" s="400"/>
      <c r="S1" s="400"/>
      <c r="T1" s="400"/>
      <c r="U1" s="400"/>
    </row>
    <row r="2" spans="1:23" ht="50.1" customHeight="1" x14ac:dyDescent="0.2">
      <c r="A2" s="440"/>
      <c r="B2" s="1164"/>
      <c r="C2" s="1165"/>
      <c r="D2" s="1165"/>
      <c r="E2" s="1165"/>
      <c r="F2" s="1165"/>
      <c r="G2" s="1165"/>
      <c r="H2" s="1165"/>
      <c r="I2" s="1165"/>
      <c r="J2" s="1165"/>
      <c r="K2" s="1165"/>
      <c r="L2" s="1165"/>
      <c r="M2" s="1165"/>
      <c r="N2" s="1165"/>
      <c r="O2" s="1165"/>
      <c r="P2" s="1165"/>
      <c r="Q2" s="1165"/>
      <c r="R2" s="1165"/>
      <c r="S2" s="1165"/>
      <c r="T2" s="1165"/>
      <c r="U2" s="440"/>
    </row>
    <row r="3" spans="1:23" ht="12.95" customHeight="1" x14ac:dyDescent="0.2">
      <c r="A3" s="440"/>
      <c r="B3" s="1056"/>
      <c r="C3" s="1056"/>
      <c r="D3" s="1056"/>
      <c r="E3" s="1056"/>
      <c r="F3" s="1056"/>
      <c r="G3" s="1056"/>
      <c r="H3" s="1056"/>
      <c r="I3" s="1056"/>
      <c r="J3" s="1056"/>
      <c r="K3" s="1056"/>
      <c r="L3" s="1056"/>
      <c r="M3" s="1056"/>
      <c r="N3" s="1056"/>
      <c r="O3" s="1056"/>
      <c r="P3" s="1056"/>
      <c r="Q3" s="1056"/>
      <c r="R3" s="1056"/>
      <c r="S3" s="1056"/>
      <c r="T3" s="1056"/>
      <c r="U3" s="440"/>
    </row>
    <row r="4" spans="1:23" ht="12.95" customHeight="1" x14ac:dyDescent="0.2">
      <c r="A4" s="440"/>
      <c r="B4" s="1052" t="str">
        <f>'1. Projektangaben'!B4</f>
        <v>Bauvorhaben</v>
      </c>
      <c r="C4" s="404" t="str">
        <f>IF('1. Projektangaben'!$C$4="","",'1. Projektangaben'!$C$4)</f>
        <v>KliNaWo</v>
      </c>
      <c r="D4" s="405"/>
      <c r="E4" s="406"/>
      <c r="F4" s="1059"/>
      <c r="G4" s="1052" t="str">
        <f>'1. Projektangaben'!$H$4</f>
        <v>Architekt</v>
      </c>
      <c r="H4" s="404" t="str">
        <f>IF('1. Projektangaben'!$I$4="","",'1. Projektangaben'!$I$4)</f>
        <v>Walser und Werle Architekten</v>
      </c>
      <c r="I4" s="412"/>
      <c r="J4" s="443"/>
      <c r="K4" s="1405"/>
      <c r="L4" s="1405"/>
      <c r="M4" s="1057"/>
      <c r="N4" s="1056"/>
      <c r="O4" s="1056"/>
      <c r="P4" s="1056"/>
      <c r="Q4" s="1056"/>
      <c r="R4" s="1056"/>
      <c r="S4" s="1056"/>
      <c r="T4" s="1056"/>
      <c r="U4" s="440"/>
    </row>
    <row r="5" spans="1:23" ht="12.95" customHeight="1" x14ac:dyDescent="0.2">
      <c r="A5" s="440"/>
      <c r="B5" s="1052" t="str">
        <f>'1. Projektangaben'!B5</f>
        <v>Bauherr</v>
      </c>
      <c r="C5" s="408" t="str">
        <f>IF('1. Projektangaben'!$C$5="","",'1. Projektangaben'!$C$5)</f>
        <v>privater Bauträger</v>
      </c>
      <c r="D5" s="444"/>
      <c r="E5" s="445"/>
      <c r="F5" s="1056"/>
      <c r="G5" s="1052" t="str">
        <f>'1. Projektangaben'!$H$5</f>
        <v>Baujahr</v>
      </c>
      <c r="H5" s="1044">
        <f>IF('1. Projektangaben'!$I$5="","",'1. Projektangaben'!$I$5)</f>
        <v>2017</v>
      </c>
      <c r="I5" s="328"/>
      <c r="J5" s="1057"/>
      <c r="K5" s="1057"/>
      <c r="L5" s="1405"/>
      <c r="M5" s="1056"/>
      <c r="N5" s="1056"/>
      <c r="O5" s="1056"/>
      <c r="P5" s="1056"/>
      <c r="Q5" s="1056"/>
      <c r="R5" s="1056"/>
      <c r="S5" s="1056"/>
      <c r="T5" s="1056"/>
      <c r="U5" s="440"/>
    </row>
    <row r="6" spans="1:23" ht="12.95" customHeight="1" x14ac:dyDescent="0.2">
      <c r="A6" s="440"/>
      <c r="B6" s="1052" t="str">
        <f>'1. Projektangaben'!B6</f>
        <v>Adresse, Ort</v>
      </c>
      <c r="C6" s="404" t="str">
        <f>IF('1. Projektangaben'!$C$6="","",'1. Projektangaben'!$C$6)</f>
        <v>Siedlungsstrasse, Feldkirch</v>
      </c>
      <c r="D6" s="442"/>
      <c r="E6" s="443"/>
      <c r="F6" s="1057"/>
      <c r="G6" s="1052" t="str">
        <f>'1. Projektangaben'!$H$6</f>
        <v>Personen</v>
      </c>
      <c r="H6" s="1044">
        <f>IF('1. Projektangaben'!$I$6="","",'1. Projektangaben'!$I$6)</f>
        <v>54</v>
      </c>
      <c r="I6" s="1059"/>
      <c r="J6" s="1057"/>
      <c r="K6" s="1405"/>
      <c r="L6" s="1405"/>
      <c r="M6" s="1057"/>
      <c r="N6" s="1056"/>
      <c r="O6" s="1056"/>
      <c r="P6" s="1056"/>
      <c r="Q6" s="1056"/>
      <c r="R6" s="1056"/>
      <c r="S6" s="1056"/>
      <c r="T6" s="1056"/>
      <c r="U6" s="440"/>
    </row>
    <row r="7" spans="1:23" ht="12.95" customHeight="1" x14ac:dyDescent="0.2">
      <c r="A7" s="440"/>
      <c r="B7" s="1052" t="str">
        <f>'1. Projektangaben'!B7</f>
        <v>Gebäudetyp</v>
      </c>
      <c r="C7" s="404" t="str">
        <f>IF('1. Projektangaben'!$C$7="","",'1. Projektangaben'!$C$7)</f>
        <v>Mehrfamilienhaus</v>
      </c>
      <c r="D7" s="404"/>
      <c r="E7" s="447" t="str">
        <f>IF('1. Projektangaben'!$E$7="","",'1. Projektangaben'!$E$7)</f>
        <v>18+1 WE</v>
      </c>
      <c r="F7" s="1057"/>
      <c r="G7" s="1052" t="str">
        <f>'1. Projektangaben'!$H$7</f>
        <v>Anmerkung</v>
      </c>
      <c r="H7" s="404" t="str">
        <f>IF('1. Projektangaben'!$I$7="","",'1. Projektangaben'!$I$7)</f>
        <v>Beispiele verschiedener Varianten</v>
      </c>
      <c r="I7" s="422"/>
      <c r="J7" s="443"/>
      <c r="K7" s="1405"/>
      <c r="L7" s="1405"/>
      <c r="M7" s="1057"/>
      <c r="N7" s="1056"/>
      <c r="O7" s="1056"/>
      <c r="P7" s="1056"/>
      <c r="Q7" s="1056"/>
      <c r="R7" s="1056"/>
      <c r="S7" s="1056"/>
      <c r="T7" s="1056"/>
      <c r="U7" s="440"/>
    </row>
    <row r="8" spans="1:23" ht="12.95" customHeight="1" x14ac:dyDescent="0.2">
      <c r="A8" s="440"/>
      <c r="B8" s="1052"/>
      <c r="C8" s="1052"/>
      <c r="D8" s="1059"/>
      <c r="E8" s="1059"/>
      <c r="F8" s="1059"/>
      <c r="G8" s="1052"/>
      <c r="H8" s="1056"/>
      <c r="I8" s="1056"/>
      <c r="J8" s="1056"/>
      <c r="K8" s="1056"/>
      <c r="L8" s="1056"/>
      <c r="M8" s="1056"/>
      <c r="N8" s="1056"/>
      <c r="O8" s="1056"/>
      <c r="P8" s="1056"/>
      <c r="Q8" s="1056"/>
      <c r="R8" s="1056"/>
      <c r="S8" s="1056"/>
      <c r="T8" s="1056"/>
      <c r="U8" s="440"/>
    </row>
    <row r="9" spans="1:23" ht="12.95" customHeight="1" x14ac:dyDescent="0.2">
      <c r="A9" s="440"/>
      <c r="B9" s="1052"/>
      <c r="C9" s="1052"/>
      <c r="D9" s="1052"/>
      <c r="E9" s="1052"/>
      <c r="F9" s="1052"/>
      <c r="G9" s="1052"/>
      <c r="H9" s="1056"/>
      <c r="I9" s="1056"/>
      <c r="J9" s="1056"/>
      <c r="K9" s="1056"/>
      <c r="L9" s="1056"/>
      <c r="M9" s="1056"/>
      <c r="N9" s="1056"/>
      <c r="O9" s="1056"/>
      <c r="P9" s="1056"/>
      <c r="Q9" s="1056"/>
      <c r="R9" s="1056"/>
      <c r="S9" s="1056"/>
      <c r="T9" s="1056"/>
      <c r="U9" s="440"/>
    </row>
    <row r="10" spans="1:23" ht="39.950000000000003" customHeight="1" x14ac:dyDescent="0.25">
      <c r="A10" s="440"/>
      <c r="B10" s="1171" t="s">
        <v>787</v>
      </c>
      <c r="C10" s="1165"/>
      <c r="D10" s="1165"/>
      <c r="E10" s="1165"/>
      <c r="F10" s="1165"/>
      <c r="G10" s="1165"/>
      <c r="H10" s="1165"/>
      <c r="I10" s="1165"/>
      <c r="J10" s="1165"/>
      <c r="K10" s="1165"/>
      <c r="L10" s="1165"/>
      <c r="M10" s="1165"/>
      <c r="N10" s="1165"/>
      <c r="O10" s="1165"/>
      <c r="P10" s="1165"/>
      <c r="Q10" s="1165"/>
      <c r="R10" s="1165"/>
      <c r="S10" s="1165"/>
      <c r="T10" s="1165"/>
      <c r="U10" s="440"/>
    </row>
    <row r="11" spans="1:23" ht="12.95" customHeight="1" x14ac:dyDescent="0.2">
      <c r="A11" s="440"/>
      <c r="B11" s="1056"/>
      <c r="C11" s="1056"/>
      <c r="D11" s="1056"/>
      <c r="E11" s="1056"/>
      <c r="F11" s="1056"/>
      <c r="G11" s="1056"/>
      <c r="H11" s="1056"/>
      <c r="I11" s="1056"/>
      <c r="J11" s="1056"/>
      <c r="K11" s="1056"/>
      <c r="L11" s="1056"/>
      <c r="M11" s="1056"/>
      <c r="N11" s="1056"/>
      <c r="O11" s="1056"/>
      <c r="P11" s="1056"/>
      <c r="Q11" s="1056"/>
      <c r="R11" s="1056"/>
      <c r="S11" s="1056"/>
      <c r="T11" s="1056"/>
      <c r="U11" s="440"/>
    </row>
    <row r="12" spans="1:23" ht="12" customHeight="1" x14ac:dyDescent="0.2">
      <c r="A12" s="440"/>
      <c r="B12" s="1056"/>
      <c r="C12" s="1056"/>
      <c r="D12" s="1056"/>
      <c r="E12" s="328"/>
      <c r="F12" s="328"/>
      <c r="G12" s="1056"/>
      <c r="H12" s="1056"/>
      <c r="I12" s="1056"/>
      <c r="J12" s="1056"/>
      <c r="K12" s="1056"/>
      <c r="L12" s="1056"/>
      <c r="M12" s="1056"/>
      <c r="N12" s="1056"/>
      <c r="O12" s="1056"/>
      <c r="P12" s="1056"/>
      <c r="Q12" s="1056"/>
      <c r="R12" s="1056"/>
      <c r="S12" s="1056"/>
      <c r="T12" s="1056"/>
      <c r="U12" s="440"/>
    </row>
    <row r="13" spans="1:23" ht="17.100000000000001" customHeight="1" x14ac:dyDescent="0.2">
      <c r="A13" s="440"/>
      <c r="B13" s="1056"/>
      <c r="C13" s="1521" t="s">
        <v>456</v>
      </c>
      <c r="D13" s="1522"/>
      <c r="E13" s="1523"/>
      <c r="F13" s="1180" t="str">
        <f>'1. Projektangaben'!C12</f>
        <v>Bauherr/Eigentümer</v>
      </c>
      <c r="G13" s="451"/>
      <c r="H13" s="622"/>
      <c r="I13" s="1481" t="s">
        <v>109</v>
      </c>
      <c r="J13" s="1482"/>
      <c r="K13" s="1482"/>
      <c r="L13" s="1525"/>
      <c r="M13" s="1234" t="s">
        <v>111</v>
      </c>
      <c r="N13" s="1234" t="str">
        <f>'1. Projektangaben'!G22</f>
        <v>EBF</v>
      </c>
      <c r="O13" s="1163"/>
      <c r="P13" s="328"/>
      <c r="Q13" s="328"/>
      <c r="R13" s="1056"/>
      <c r="S13" s="1056"/>
      <c r="T13" s="1056"/>
      <c r="U13" s="440"/>
      <c r="W13" s="327" t="s">
        <v>734</v>
      </c>
    </row>
    <row r="14" spans="1:23" ht="17.100000000000001" customHeight="1" x14ac:dyDescent="0.2">
      <c r="A14" s="440"/>
      <c r="B14" s="1056"/>
      <c r="C14" s="1521" t="s">
        <v>200</v>
      </c>
      <c r="D14" s="1522"/>
      <c r="E14" s="1523"/>
      <c r="F14" s="471">
        <f>'E.1 Kosten'!E16</f>
        <v>35</v>
      </c>
      <c r="G14" s="1216" t="s">
        <v>161</v>
      </c>
      <c r="H14" s="1056"/>
      <c r="I14" s="1520" t="str">
        <f>IF('1. Projektangaben'!C23=0,"",'1. Projektangaben'!C23)</f>
        <v>BTV-WDVS-WP-Abl-ohne Sol_PV</v>
      </c>
      <c r="J14" s="1520"/>
      <c r="K14" s="1520"/>
      <c r="L14" s="1520"/>
      <c r="M14" s="451" t="str">
        <f>IF('1. Projektangaben'!E23=0,"",'1. Projektangaben'!E23)</f>
        <v>BTV</v>
      </c>
      <c r="N14" s="1217">
        <f>IF('1. Projektangaben'!G23=0,"",'1. Projektangaben'!G23)</f>
        <v>1410.2</v>
      </c>
      <c r="O14" s="1163"/>
      <c r="P14" s="1519" t="str">
        <f>IF(OR('1. Projektangaben'!F23="x",'1. Projektangaben'!F23="X",AND('1. Projektangaben'!F23="",'1. Projektangaben'!F24="",'1. Projektangaben'!F25="",'1. Projektangaben'!F26="",'1. Projektangaben'!F27="")),"Referenzvariante","")</f>
        <v>Referenzvariante</v>
      </c>
      <c r="Q14" s="1519"/>
      <c r="R14" s="950" t="str">
        <f>IF(AND(W14,BERECHNUNG!$I$14=TRUE),IF(OR(Annuitätenzuschuss!D53=0,Annuitätenzuschuss!D52=0,Annuitätenzuschuss!D52-Annuitätenzuschuss!D53=0),"keine Grundkosten und/oder Baukosten angegeben!",""),"")</f>
        <v/>
      </c>
      <c r="S14" s="950"/>
      <c r="T14" s="449"/>
      <c r="U14" s="440"/>
      <c r="W14" s="327" t="b">
        <f>'1. Projektangaben'!Z23</f>
        <v>1</v>
      </c>
    </row>
    <row r="15" spans="1:23" ht="17.100000000000001" customHeight="1" x14ac:dyDescent="0.2">
      <c r="A15" s="440"/>
      <c r="B15" s="1056"/>
      <c r="C15" s="1521" t="s">
        <v>376</v>
      </c>
      <c r="D15" s="1522"/>
      <c r="E15" s="1523"/>
      <c r="F15" s="1233">
        <f>'E.1 Kosten'!E17</f>
        <v>0.02</v>
      </c>
      <c r="G15" s="451" t="s">
        <v>297</v>
      </c>
      <c r="H15" s="1056"/>
      <c r="I15" s="1520" t="str">
        <f>IF('1. Projektangaben'!C24=0,"",'1. Projektangaben'!C24)</f>
        <v>PH-WDVS-WP-Abl-ohne Sol_PV</v>
      </c>
      <c r="J15" s="1520"/>
      <c r="K15" s="1520"/>
      <c r="L15" s="1520"/>
      <c r="M15" s="451" t="str">
        <f>IF('1. Projektangaben'!E24=0,"",'1. Projektangaben'!E24)</f>
        <v>PH</v>
      </c>
      <c r="N15" s="1217">
        <f>IF('1. Projektangaben'!G24=0,"",'1. Projektangaben'!G24)</f>
        <v>1421.2</v>
      </c>
      <c r="O15" s="1163"/>
      <c r="P15" s="1519" t="str">
        <f>IF(OR('1. Projektangaben'!F24="X",'1. Projektangaben'!F24="x"),"Referenzvariante","")</f>
        <v/>
      </c>
      <c r="Q15" s="1519"/>
      <c r="R15" s="950" t="str">
        <f>IF(AND(W15,BERECHNUNG!$I$14=TRUE),IF(OR(Annuitätenzuschuss!D187=0,Annuitätenzuschuss!D186=0,Annuitätenzuschuss!D186-Annuitätenzuschuss!D187=0),"keine Grundkosten und/oder Baukosten angegeben!",""),"")</f>
        <v/>
      </c>
      <c r="S15" s="1056"/>
      <c r="T15" s="1058"/>
      <c r="U15" s="440"/>
      <c r="W15" s="327" t="b">
        <f>'1. Projektangaben'!Z24</f>
        <v>1</v>
      </c>
    </row>
    <row r="16" spans="1:23" ht="17.100000000000001" customHeight="1" x14ac:dyDescent="0.2">
      <c r="A16" s="440"/>
      <c r="B16" s="1056"/>
      <c r="C16" s="1521" t="s">
        <v>401</v>
      </c>
      <c r="D16" s="1522"/>
      <c r="E16" s="1523"/>
      <c r="F16" s="1233">
        <f>'E.1 Kosten'!E18</f>
        <v>0.02</v>
      </c>
      <c r="G16" s="451" t="s">
        <v>297</v>
      </c>
      <c r="H16" s="1056"/>
      <c r="I16" s="1520" t="str">
        <f>IF('1. Projektangaben'!C25=0,"",'1. Projektangaben'!C25)</f>
        <v>PH-WDVS-WP-Abl-mittl.Sol-ohne PV</v>
      </c>
      <c r="J16" s="1520"/>
      <c r="K16" s="1520"/>
      <c r="L16" s="1520"/>
      <c r="M16" s="451" t="str">
        <f>IF('1. Projektangaben'!E25=0,"",'1. Projektangaben'!E25)</f>
        <v>PHSol</v>
      </c>
      <c r="N16" s="1217">
        <f>IF('1. Projektangaben'!G25=0,"",'1. Projektangaben'!G25)</f>
        <v>1421.2</v>
      </c>
      <c r="O16" s="1163"/>
      <c r="P16" s="1519" t="str">
        <f>IF(OR('1. Projektangaben'!F25="X",'1. Projektangaben'!F25="x"),"Referenzvariante","")</f>
        <v/>
      </c>
      <c r="Q16" s="1519"/>
      <c r="R16" s="950" t="str">
        <f>IF(AND(W16,BERECHNUNG!$I$14=TRUE),IF(OR(Annuitätenzuschuss!D321=0,Annuitätenzuschuss!D320=0,Annuitätenzuschuss!D320-Annuitätenzuschuss!D321=0),"keine Grundkosten und/oder Baukosten angegeben!",""),"")</f>
        <v/>
      </c>
      <c r="S16" s="1056"/>
      <c r="T16" s="1058"/>
      <c r="U16" s="440"/>
      <c r="W16" s="327" t="b">
        <f>'1. Projektangaben'!Z25</f>
        <v>1</v>
      </c>
    </row>
    <row r="17" spans="1:26" ht="17.100000000000001" customHeight="1" x14ac:dyDescent="0.2">
      <c r="A17" s="440"/>
      <c r="B17" s="1056"/>
      <c r="C17" s="1524" t="s">
        <v>244</v>
      </c>
      <c r="D17" s="1524"/>
      <c r="E17" s="1524"/>
      <c r="F17" s="1233">
        <f>'E.1 Kosten'!E19</f>
        <v>1.6E-2</v>
      </c>
      <c r="G17" s="451" t="s">
        <v>297</v>
      </c>
      <c r="H17" s="1056"/>
      <c r="I17" s="1520" t="str">
        <f>IF('1. Projektangaben'!C26=0,"",'1. Projektangaben'!C26)</f>
        <v>PH-WDVS-WP-WRG-mittl.Sol-ohne PV</v>
      </c>
      <c r="J17" s="1520"/>
      <c r="K17" s="1520"/>
      <c r="L17" s="1520"/>
      <c r="M17" s="451" t="str">
        <f>IF('1. Projektangaben'!E26=0,"",'1. Projektangaben'!E26)</f>
        <v>PHWRGSo</v>
      </c>
      <c r="N17" s="1217">
        <f>IF('1. Projektangaben'!G26=0,"",'1. Projektangaben'!G26)</f>
        <v>1421.2</v>
      </c>
      <c r="O17" s="1163"/>
      <c r="P17" s="1519" t="str">
        <f>IF(OR('1. Projektangaben'!F26="X",'1. Projektangaben'!F26="x"),"Referenzvariante","")</f>
        <v/>
      </c>
      <c r="Q17" s="1519"/>
      <c r="R17" s="950" t="str">
        <f>IF(AND(W17,BERECHNUNG!$I$14=TRUE),IF(OR(Annuitätenzuschuss!D455=0,Annuitätenzuschuss!D454=0,Annuitätenzuschuss!D454-Annuitätenzuschuss!D455=0),"keine Grundkosten und/oder Baukosten angegeben!",""),"")</f>
        <v/>
      </c>
      <c r="S17" s="1056"/>
      <c r="T17" s="1058"/>
      <c r="U17" s="440"/>
      <c r="W17" s="327" t="b">
        <f>'1. Projektangaben'!Z26</f>
        <v>1</v>
      </c>
    </row>
    <row r="18" spans="1:26" ht="17.100000000000001" customHeight="1" x14ac:dyDescent="0.2">
      <c r="A18" s="440"/>
      <c r="B18" s="1056"/>
      <c r="C18" s="712"/>
      <c r="D18" s="712"/>
      <c r="E18" s="712"/>
      <c r="F18" s="712"/>
      <c r="G18" s="712"/>
      <c r="H18" s="1056"/>
      <c r="I18" s="1520" t="str">
        <f>IF('1. Projektangaben'!C27=0,"",'1. Projektangaben'!C27)</f>
        <v>PH-WDVS-WP-WRG-mittl.Sol-mit PV</v>
      </c>
      <c r="J18" s="1520"/>
      <c r="K18" s="1520"/>
      <c r="L18" s="1520"/>
      <c r="M18" s="451" t="str">
        <f>IF('1. Projektangaben'!E27=0,"",'1. Projektangaben'!E27)</f>
        <v>PHWRGSoPV</v>
      </c>
      <c r="N18" s="1217">
        <f>IF('1. Projektangaben'!G27=0,"",'1. Projektangaben'!G27)</f>
        <v>1421.2</v>
      </c>
      <c r="O18" s="1163"/>
      <c r="P18" s="1519" t="str">
        <f>IF(OR('1. Projektangaben'!F27="X",'1. Projektangaben'!F27="x"),"Referenzvariante","")</f>
        <v/>
      </c>
      <c r="Q18" s="1519"/>
      <c r="R18" s="950" t="str">
        <f>IF(AND(W18,BERECHNUNG!$I$14=TRUE),IF(OR(Annuitätenzuschuss!D590=0,Annuitätenzuschuss!D589=0,Annuitätenzuschuss!D589-Annuitätenzuschuss!D590=0),"keine Grundkosten und/oder Baukosten angegeben!",""),"")</f>
        <v/>
      </c>
      <c r="S18" s="1056"/>
      <c r="T18" s="1058"/>
      <c r="U18" s="440"/>
      <c r="W18" s="327" t="b">
        <f>'1. Projektangaben'!Z27</f>
        <v>1</v>
      </c>
    </row>
    <row r="19" spans="1:26" ht="17.100000000000001" customHeight="1" x14ac:dyDescent="0.2">
      <c r="A19" s="440"/>
      <c r="B19" s="1056"/>
      <c r="C19" s="711"/>
      <c r="D19" s="711"/>
      <c r="E19" s="711"/>
      <c r="F19" s="712"/>
      <c r="G19" s="712"/>
      <c r="H19" s="1056"/>
      <c r="I19" s="1056"/>
      <c r="J19" s="1056"/>
      <c r="K19" s="1056"/>
      <c r="L19" s="1056"/>
      <c r="M19" s="1056"/>
      <c r="N19" s="1056"/>
      <c r="O19" s="1056"/>
      <c r="P19" s="1056"/>
      <c r="Q19" s="1056"/>
      <c r="R19" s="328"/>
      <c r="S19" s="328"/>
      <c r="T19" s="1058"/>
      <c r="U19" s="440"/>
    </row>
    <row r="20" spans="1:26" ht="12.75" customHeight="1" x14ac:dyDescent="0.2">
      <c r="A20" s="440"/>
      <c r="B20" s="1056"/>
      <c r="C20" s="1056"/>
      <c r="D20" s="1056"/>
      <c r="E20" s="1056"/>
      <c r="F20" s="1056"/>
      <c r="G20" s="1056"/>
      <c r="H20" s="1056"/>
      <c r="I20" s="1056"/>
      <c r="J20" s="1056"/>
      <c r="K20" s="1056"/>
      <c r="L20" s="1056"/>
      <c r="M20" s="1056"/>
      <c r="N20" s="1056"/>
      <c r="O20" s="1056"/>
      <c r="P20" s="1056"/>
      <c r="Q20" s="1056"/>
      <c r="R20" s="1056"/>
      <c r="S20" s="1056"/>
      <c r="T20" s="1056"/>
      <c r="U20" s="440"/>
    </row>
    <row r="21" spans="1:26" ht="39.950000000000003" customHeight="1" x14ac:dyDescent="0.25">
      <c r="A21" s="440"/>
      <c r="B21" s="1171" t="str">
        <f>C23&amp;" ("&amp;'1. Projektangaben'!C12&amp;")"</f>
        <v>Kapitalwertvergleich (Bauherr/Eigentümer)</v>
      </c>
      <c r="C21" s="1165"/>
      <c r="D21" s="1165"/>
      <c r="E21" s="1165"/>
      <c r="F21" s="1165"/>
      <c r="G21" s="1165"/>
      <c r="H21" s="1165"/>
      <c r="I21" s="1165"/>
      <c r="J21" s="1165"/>
      <c r="K21" s="1165"/>
      <c r="L21" s="1165"/>
      <c r="M21" s="1165"/>
      <c r="N21" s="1165"/>
      <c r="O21" s="1165"/>
      <c r="P21" s="1165"/>
      <c r="Q21" s="1165"/>
      <c r="R21" s="1384"/>
      <c r="S21" s="1384"/>
      <c r="T21" s="1165"/>
      <c r="U21" s="440"/>
      <c r="W21" s="327" t="s">
        <v>830</v>
      </c>
    </row>
    <row r="22" spans="1:26" ht="12.95" customHeight="1" x14ac:dyDescent="0.2">
      <c r="A22" s="440"/>
      <c r="B22" s="1056"/>
      <c r="C22" s="1056"/>
      <c r="D22" s="1056"/>
      <c r="E22" s="1056"/>
      <c r="F22" s="1056"/>
      <c r="G22" s="1056"/>
      <c r="H22" s="1056"/>
      <c r="I22" s="1056"/>
      <c r="J22" s="1056"/>
      <c r="K22" s="1056"/>
      <c r="L22" s="1056"/>
      <c r="M22" s="1056"/>
      <c r="N22" s="1056"/>
      <c r="O22" s="1056"/>
      <c r="P22" s="1056"/>
      <c r="Q22" s="1056"/>
      <c r="R22" s="1056"/>
      <c r="S22" s="1056"/>
      <c r="T22" s="1056"/>
      <c r="U22" s="440"/>
      <c r="W22" s="1386">
        <v>1</v>
      </c>
      <c r="X22" s="1386">
        <v>2</v>
      </c>
      <c r="Y22" s="1386">
        <v>3</v>
      </c>
      <c r="Z22" s="1386">
        <v>4</v>
      </c>
    </row>
    <row r="23" spans="1:26" x14ac:dyDescent="0.2">
      <c r="A23" s="440"/>
      <c r="B23" s="1052"/>
      <c r="C23" s="1208" t="str">
        <f>IF($W$24=1,"Kapitalwertvergleich","Annuitätenvergleich")</f>
        <v>Kapitalwertvergleich</v>
      </c>
      <c r="D23" s="1208"/>
      <c r="E23" s="1208"/>
      <c r="F23" s="1208"/>
      <c r="G23" s="1056"/>
      <c r="H23" s="1056"/>
      <c r="I23" s="1056"/>
      <c r="J23" s="1056"/>
      <c r="K23" s="1056"/>
      <c r="L23" s="1056"/>
      <c r="M23" s="1044" t="str">
        <f>LISTEN!F21</f>
        <v>BTV</v>
      </c>
      <c r="N23" s="313" t="str">
        <f>VLOOKUP(W22,LISTEN!$E$22:$F$25,2,FALSE)</f>
        <v>PH</v>
      </c>
      <c r="O23" s="313" t="str">
        <f>VLOOKUP(X22,LISTEN!$E$22:$F$25,2,FALSE)</f>
        <v>PHSol</v>
      </c>
      <c r="P23" s="313" t="str">
        <f>VLOOKUP(Y22,LISTEN!$E$22:$F$25,2,FALSE)</f>
        <v>PHWRGSo</v>
      </c>
      <c r="Q23" s="313" t="str">
        <f>VLOOKUP(Z22,LISTEN!$E$22:$F$25,2,FALSE)</f>
        <v>PHWRGSoPV</v>
      </c>
      <c r="R23" s="1056"/>
      <c r="S23" s="1056"/>
      <c r="T23" s="1056"/>
      <c r="U23" s="440"/>
    </row>
    <row r="24" spans="1:26" ht="12.95" customHeight="1" x14ac:dyDescent="0.2">
      <c r="A24" s="440"/>
      <c r="B24" s="1056"/>
      <c r="C24" s="1057"/>
      <c r="D24" s="1056"/>
      <c r="E24" s="1056"/>
      <c r="F24" s="1056"/>
      <c r="G24" s="1056"/>
      <c r="H24" s="1056"/>
      <c r="I24" s="1056"/>
      <c r="J24" s="1056"/>
      <c r="K24" s="1056"/>
      <c r="L24" s="1056"/>
      <c r="M24" s="1151" t="s">
        <v>804</v>
      </c>
      <c r="N24" s="1151"/>
      <c r="O24" s="1151"/>
      <c r="P24" s="1151"/>
      <c r="Q24" s="1151"/>
      <c r="R24" s="1056"/>
      <c r="S24" s="1056"/>
      <c r="T24" s="1056"/>
      <c r="U24" s="440"/>
      <c r="W24" s="1387">
        <v>1</v>
      </c>
      <c r="X24" s="327" t="s">
        <v>829</v>
      </c>
    </row>
    <row r="25" spans="1:26" ht="12.95" customHeight="1" x14ac:dyDescent="0.2">
      <c r="A25" s="440"/>
      <c r="B25" s="1056"/>
      <c r="C25" s="1161" t="s">
        <v>795</v>
      </c>
      <c r="D25" s="1056"/>
      <c r="E25" s="1056"/>
      <c r="F25" s="1056"/>
      <c r="G25" s="1056"/>
      <c r="H25" s="1056"/>
      <c r="I25" s="1056"/>
      <c r="J25" s="1056"/>
      <c r="K25" s="1056"/>
      <c r="L25" s="1056"/>
      <c r="M25" s="1056"/>
      <c r="N25" s="1056"/>
      <c r="O25" s="1056"/>
      <c r="P25" s="1056"/>
      <c r="Q25" s="1056"/>
      <c r="R25" s="1056"/>
      <c r="S25" s="1056"/>
      <c r="T25" s="1056"/>
      <c r="U25" s="440"/>
    </row>
    <row r="26" spans="1:26" ht="12.95" customHeight="1" x14ac:dyDescent="0.2">
      <c r="A26" s="440"/>
      <c r="B26" s="1056"/>
      <c r="C26" s="1056"/>
      <c r="D26" s="1056"/>
      <c r="E26" s="1056"/>
      <c r="F26" s="1056"/>
      <c r="G26" s="1056"/>
      <c r="H26" s="1056"/>
      <c r="I26" s="1056"/>
      <c r="J26" s="1056"/>
      <c r="K26" s="1056"/>
      <c r="L26" s="1056"/>
      <c r="M26" s="1056"/>
      <c r="N26" s="1056"/>
      <c r="O26" s="1056"/>
      <c r="P26" s="1056"/>
      <c r="Q26" s="1056"/>
      <c r="R26" s="1056"/>
      <c r="S26" s="1056"/>
      <c r="T26" s="1056"/>
      <c r="U26" s="440"/>
    </row>
    <row r="27" spans="1:26" ht="12.95" customHeight="1" x14ac:dyDescent="0.2">
      <c r="A27" s="440"/>
      <c r="B27" s="1056"/>
      <c r="C27" s="1056"/>
      <c r="D27" s="1056"/>
      <c r="E27" s="1056"/>
      <c r="F27" s="1056"/>
      <c r="G27" s="1056"/>
      <c r="H27" s="1056"/>
      <c r="I27" s="1056"/>
      <c r="J27" s="1056"/>
      <c r="K27" s="1056"/>
      <c r="L27" s="1056"/>
      <c r="M27" s="1056"/>
      <c r="N27" s="1056"/>
      <c r="O27" s="1056"/>
      <c r="P27" s="1056"/>
      <c r="Q27" s="1056"/>
      <c r="R27" s="1056"/>
      <c r="S27" s="1056"/>
      <c r="T27" s="1056"/>
      <c r="U27" s="440"/>
    </row>
    <row r="28" spans="1:26" ht="12.95" customHeight="1" x14ac:dyDescent="0.2">
      <c r="A28" s="440"/>
      <c r="B28" s="1056"/>
      <c r="C28" s="1056"/>
      <c r="D28" s="1056"/>
      <c r="E28" s="1056"/>
      <c r="F28" s="1056"/>
      <c r="G28" s="1056"/>
      <c r="H28" s="1056"/>
      <c r="I28" s="1056"/>
      <c r="J28" s="1056"/>
      <c r="K28" s="1056"/>
      <c r="L28" s="1056"/>
      <c r="M28" s="1056"/>
      <c r="N28" s="1056"/>
      <c r="O28" s="1056"/>
      <c r="P28" s="1056"/>
      <c r="Q28" s="1056"/>
      <c r="R28" s="1056"/>
      <c r="S28" s="1056"/>
      <c r="T28" s="1056"/>
      <c r="U28" s="440"/>
    </row>
    <row r="29" spans="1:26" ht="12.95" customHeight="1" x14ac:dyDescent="0.2">
      <c r="A29" s="440"/>
      <c r="B29" s="1056"/>
      <c r="C29" s="1056"/>
      <c r="D29" s="1058"/>
      <c r="E29" s="1058"/>
      <c r="F29" s="1058"/>
      <c r="G29" s="1058"/>
      <c r="H29" s="1058"/>
      <c r="I29" s="1056"/>
      <c r="J29" s="1056"/>
      <c r="K29" s="1056"/>
      <c r="L29" s="1056"/>
      <c r="M29" s="1056"/>
      <c r="N29" s="1056"/>
      <c r="O29" s="1056"/>
      <c r="P29" s="1056"/>
      <c r="Q29" s="1056"/>
      <c r="R29" s="1056"/>
      <c r="S29" s="1056"/>
      <c r="T29" s="1056"/>
      <c r="U29" s="440"/>
    </row>
    <row r="30" spans="1:26" ht="12.95" customHeight="1" x14ac:dyDescent="0.2">
      <c r="A30" s="440"/>
      <c r="B30" s="1056"/>
      <c r="C30" s="1056"/>
      <c r="D30" s="1058"/>
      <c r="E30" s="1058"/>
      <c r="F30" s="1058"/>
      <c r="G30" s="1058"/>
      <c r="H30" s="1058"/>
      <c r="I30" s="1056"/>
      <c r="J30" s="1056"/>
      <c r="K30" s="1056"/>
      <c r="L30" s="1056"/>
      <c r="M30" s="1056"/>
      <c r="N30" s="1056"/>
      <c r="O30" s="1056"/>
      <c r="P30" s="1056"/>
      <c r="Q30" s="1056"/>
      <c r="R30" s="1056"/>
      <c r="S30" s="1056"/>
      <c r="T30" s="1056"/>
      <c r="U30" s="440"/>
    </row>
    <row r="31" spans="1:26" ht="12.95" customHeight="1" thickBot="1" x14ac:dyDescent="0.25">
      <c r="A31" s="440"/>
      <c r="B31" s="1056"/>
      <c r="C31" s="822"/>
      <c r="D31" s="1056"/>
      <c r="E31" s="1056"/>
      <c r="F31" s="1056"/>
      <c r="G31" s="1056"/>
      <c r="H31" s="1056"/>
      <c r="I31" s="1056"/>
      <c r="J31" s="1056"/>
      <c r="K31" s="1056"/>
      <c r="L31" s="1056"/>
      <c r="M31" s="1056"/>
      <c r="N31" s="1056"/>
      <c r="O31" s="1056"/>
      <c r="P31" s="1056"/>
      <c r="Q31" s="1056"/>
      <c r="R31" s="1056"/>
      <c r="S31" s="1056"/>
      <c r="T31" s="1056"/>
      <c r="U31" s="440"/>
    </row>
    <row r="32" spans="1:26" ht="12.95" customHeight="1" thickTop="1" x14ac:dyDescent="0.2">
      <c r="A32" s="440"/>
      <c r="B32" s="1056"/>
      <c r="C32" s="1056"/>
      <c r="D32" s="1056"/>
      <c r="E32" s="1211"/>
      <c r="F32" s="1212" t="s">
        <v>110</v>
      </c>
      <c r="G32" s="1056"/>
      <c r="H32" s="1056"/>
      <c r="I32" s="1056"/>
      <c r="J32" s="1056"/>
      <c r="K32" s="1056"/>
      <c r="L32" s="1056"/>
      <c r="M32" s="1056"/>
      <c r="N32" s="1056"/>
      <c r="O32" s="1056"/>
      <c r="P32" s="1056"/>
      <c r="Q32" s="1056"/>
      <c r="R32" s="1056"/>
      <c r="S32" s="1056"/>
      <c r="T32" s="1056"/>
      <c r="U32" s="440"/>
    </row>
    <row r="33" spans="1:27" ht="12.95" customHeight="1" x14ac:dyDescent="0.2">
      <c r="A33" s="440"/>
      <c r="B33" s="1056"/>
      <c r="C33" s="324"/>
      <c r="D33" s="324"/>
      <c r="E33" s="1225"/>
      <c r="F33" s="1213" t="str">
        <f>BERECHNUNG!C28</f>
        <v>BTV</v>
      </c>
      <c r="G33" s="1156" t="str">
        <f>BERECHNUNG!D28</f>
        <v>PH</v>
      </c>
      <c r="H33" s="726" t="str">
        <f>BERECHNUNG!E28</f>
        <v>PHSol</v>
      </c>
      <c r="I33" s="726" t="str">
        <f>BERECHNUNG!F28</f>
        <v>PHWRGSo</v>
      </c>
      <c r="J33" s="726" t="str">
        <f>BERECHNUNG!G28</f>
        <v>PHWRGSoPV</v>
      </c>
      <c r="K33" s="1056"/>
      <c r="L33" s="1056"/>
      <c r="M33" s="1056"/>
      <c r="N33" s="1056"/>
      <c r="O33" s="1056"/>
      <c r="P33" s="1056"/>
      <c r="Q33" s="1056"/>
      <c r="R33" s="1056"/>
      <c r="S33" s="1056"/>
      <c r="T33" s="1056"/>
      <c r="U33" s="440"/>
    </row>
    <row r="34" spans="1:27" ht="12.95" customHeight="1" x14ac:dyDescent="0.2">
      <c r="A34" s="440"/>
      <c r="B34" s="1056"/>
      <c r="C34" s="1518" t="s">
        <v>192</v>
      </c>
      <c r="D34" s="1541"/>
      <c r="E34" s="1542"/>
      <c r="F34" s="1214">
        <f>BERECHNUNG!BW57</f>
        <v>3649462.4014117629</v>
      </c>
      <c r="G34" s="1209">
        <f ca="1">BERECHNUNG!BX57</f>
        <v>3643185.4023934924</v>
      </c>
      <c r="H34" s="453">
        <f ca="1">BERECHNUNG!BY57</f>
        <v>3678751.3990175691</v>
      </c>
      <c r="I34" s="453">
        <f ca="1">BERECHNUNG!BZ57</f>
        <v>3753760.1907152468</v>
      </c>
      <c r="J34" s="453">
        <f ca="1">BERECHNUNG!CA57</f>
        <v>3790937.5801008861</v>
      </c>
      <c r="K34" s="1056"/>
      <c r="L34" s="1056"/>
      <c r="M34" s="1056"/>
      <c r="N34" s="1056"/>
      <c r="O34" s="1056"/>
      <c r="P34" s="1056"/>
      <c r="Q34" s="1056"/>
      <c r="R34" s="1056"/>
      <c r="S34" s="1056"/>
      <c r="T34" s="1056"/>
      <c r="U34" s="440"/>
      <c r="V34" s="867">
        <f>BERECHNUNG!AR173</f>
        <v>0</v>
      </c>
      <c r="W34" s="867">
        <f t="shared" ref="W34:W43" ca="1" si="0">V34-G34</f>
        <v>-3643185.4023934924</v>
      </c>
    </row>
    <row r="35" spans="1:27" ht="12.95" customHeight="1" x14ac:dyDescent="0.2">
      <c r="A35" s="440"/>
      <c r="B35" s="1056"/>
      <c r="C35" s="1532" t="s">
        <v>280</v>
      </c>
      <c r="D35" s="1513"/>
      <c r="E35" s="1533"/>
      <c r="F35" s="1214">
        <f>BERECHNUNG!BW58</f>
        <v>162563.98574370297</v>
      </c>
      <c r="G35" s="1209">
        <f ca="1">BERECHNUNG!BX58</f>
        <v>160483.18952455575</v>
      </c>
      <c r="H35" s="453">
        <f ca="1">BERECHNUNG!BY58</f>
        <v>190104.15357788268</v>
      </c>
      <c r="I35" s="453">
        <f ca="1">BERECHNUNG!BZ58</f>
        <v>194060.34107996113</v>
      </c>
      <c r="J35" s="453">
        <f ca="1">BERECHNUNG!CA58</f>
        <v>219625.87420927419</v>
      </c>
      <c r="K35" s="1056"/>
      <c r="L35" s="1056"/>
      <c r="M35" s="1056"/>
      <c r="N35" s="1056"/>
      <c r="O35" s="1056"/>
      <c r="P35" s="1056"/>
      <c r="Q35" s="1056"/>
      <c r="R35" s="1056"/>
      <c r="S35" s="1056"/>
      <c r="T35" s="1056"/>
      <c r="U35" s="440"/>
      <c r="V35" s="867">
        <f>BERECHNUNG!AS173</f>
        <v>0</v>
      </c>
      <c r="W35" s="867">
        <f t="shared" ca="1" si="0"/>
        <v>-160483.18952455575</v>
      </c>
    </row>
    <row r="36" spans="1:27" ht="12.95" customHeight="1" x14ac:dyDescent="0.2">
      <c r="A36" s="440"/>
      <c r="B36" s="1056"/>
      <c r="C36" s="1532" t="s">
        <v>284</v>
      </c>
      <c r="D36" s="1513"/>
      <c r="E36" s="1533"/>
      <c r="F36" s="1214">
        <f>BERECHNUNG!BW59</f>
        <v>-843133.80791602586</v>
      </c>
      <c r="G36" s="1209">
        <f ca="1">BERECHNUNG!BX59</f>
        <v>-846827.36363887391</v>
      </c>
      <c r="H36" s="453">
        <f ca="1">BERECHNUNG!BY59</f>
        <v>-863677.35351344733</v>
      </c>
      <c r="I36" s="453">
        <f ca="1">BERECHNUNG!BZ59</f>
        <v>-879404.63356217626</v>
      </c>
      <c r="J36" s="453">
        <f ca="1">BERECHNUNG!CA59</f>
        <v>-897901.31938302296</v>
      </c>
      <c r="K36" s="1056"/>
      <c r="L36" s="1056"/>
      <c r="M36" s="1056"/>
      <c r="N36" s="1056"/>
      <c r="O36" s="1056"/>
      <c r="P36" s="1056"/>
      <c r="Q36" s="1056"/>
      <c r="R36" s="1056"/>
      <c r="S36" s="1056"/>
      <c r="T36" s="1056"/>
      <c r="U36" s="440"/>
      <c r="V36" s="867">
        <f>BERECHNUNG!AT173</f>
        <v>0</v>
      </c>
      <c r="W36" s="867">
        <f t="shared" ca="1" si="0"/>
        <v>846827.36363887391</v>
      </c>
    </row>
    <row r="37" spans="1:27" ht="12.95" customHeight="1" x14ac:dyDescent="0.2">
      <c r="A37" s="440"/>
      <c r="B37" s="1056"/>
      <c r="C37" s="1532" t="s">
        <v>332</v>
      </c>
      <c r="D37" s="1513"/>
      <c r="E37" s="1533"/>
      <c r="F37" s="1214">
        <f>BERECHNUNG!BW60</f>
        <v>0</v>
      </c>
      <c r="G37" s="1209">
        <f ca="1">BERECHNUNG!BX60</f>
        <v>0</v>
      </c>
      <c r="H37" s="453">
        <f ca="1">BERECHNUNG!BY60</f>
        <v>0</v>
      </c>
      <c r="I37" s="453">
        <f ca="1">BERECHNUNG!BZ60</f>
        <v>0</v>
      </c>
      <c r="J37" s="453">
        <f ca="1">BERECHNUNG!CA60</f>
        <v>0</v>
      </c>
      <c r="K37" s="1056"/>
      <c r="L37" s="1056"/>
      <c r="M37" s="1056"/>
      <c r="N37" s="1056"/>
      <c r="O37" s="1056"/>
      <c r="P37" s="1056"/>
      <c r="Q37" s="1056"/>
      <c r="R37" s="1056"/>
      <c r="S37" s="1056"/>
      <c r="T37" s="1056"/>
      <c r="U37" s="440"/>
      <c r="V37" s="867">
        <f>BERECHNUNG!AU173</f>
        <v>0</v>
      </c>
      <c r="W37" s="867">
        <f t="shared" ca="1" si="0"/>
        <v>0</v>
      </c>
    </row>
    <row r="38" spans="1:27" ht="12.95" customHeight="1" x14ac:dyDescent="0.2">
      <c r="A38" s="440"/>
      <c r="B38" s="1056"/>
      <c r="C38" s="1532" t="s">
        <v>281</v>
      </c>
      <c r="D38" s="1513"/>
      <c r="E38" s="1533"/>
      <c r="F38" s="1214">
        <f ca="1">BERECHNUNG!BW61</f>
        <v>204368.53935014899</v>
      </c>
      <c r="G38" s="1209">
        <f ca="1">BERECHNUNG!BX61</f>
        <v>204368.53935014899</v>
      </c>
      <c r="H38" s="453">
        <f ca="1">BERECHNUNG!BY61</f>
        <v>214294.1760945961</v>
      </c>
      <c r="I38" s="453">
        <f ca="1">BERECHNUNG!BZ61</f>
        <v>240601.93173764535</v>
      </c>
      <c r="J38" s="453">
        <f ca="1">BERECHNUNG!CA61</f>
        <v>254382.18469352828</v>
      </c>
      <c r="K38" s="1056"/>
      <c r="L38" s="1056"/>
      <c r="M38" s="1056"/>
      <c r="N38" s="1056"/>
      <c r="O38" s="1056"/>
      <c r="P38" s="1056"/>
      <c r="Q38" s="1056"/>
      <c r="R38" s="1056"/>
      <c r="S38" s="1056"/>
      <c r="T38" s="1056"/>
      <c r="U38" s="440"/>
      <c r="V38" s="867">
        <f>BERECHNUNG!AV173</f>
        <v>0</v>
      </c>
      <c r="W38" s="867">
        <f t="shared" ca="1" si="0"/>
        <v>-204368.53935014899</v>
      </c>
    </row>
    <row r="39" spans="1:27" ht="12.95" customHeight="1" x14ac:dyDescent="0.2">
      <c r="A39" s="440"/>
      <c r="B39" s="1056"/>
      <c r="C39" s="1534" t="s">
        <v>282</v>
      </c>
      <c r="D39" s="1535"/>
      <c r="E39" s="1536"/>
      <c r="F39" s="1215">
        <f>BERECHNUNG!BW62</f>
        <v>544398.5625023779</v>
      </c>
      <c r="G39" s="1210">
        <f ca="1">BERECHNUNG!BX62</f>
        <v>466141.08349033294</v>
      </c>
      <c r="H39" s="454">
        <f ca="1">BERECHNUNG!BY62</f>
        <v>328612.06792090967</v>
      </c>
      <c r="I39" s="454">
        <f ca="1">BERECHNUNG!BZ62</f>
        <v>330523.55920145707</v>
      </c>
      <c r="J39" s="454">
        <f ca="1">BERECHNUNG!CA62</f>
        <v>330523.55920145707</v>
      </c>
      <c r="K39" s="1056"/>
      <c r="L39" s="1056"/>
      <c r="M39" s="1056"/>
      <c r="N39" s="1056"/>
      <c r="O39" s="1056"/>
      <c r="P39" s="1056"/>
      <c r="Q39" s="1056"/>
      <c r="R39" s="1056"/>
      <c r="S39" s="1056"/>
      <c r="T39" s="1056"/>
      <c r="U39" s="440"/>
      <c r="V39" s="867">
        <f>BERECHNUNG!AW173</f>
        <v>0</v>
      </c>
      <c r="W39" s="867">
        <f t="shared" ca="1" si="0"/>
        <v>-466141.08349033294</v>
      </c>
    </row>
    <row r="40" spans="1:27" ht="12.95" customHeight="1" x14ac:dyDescent="0.2">
      <c r="A40" s="440"/>
      <c r="B40" s="1056"/>
      <c r="C40" s="1539" t="str">
        <f>BERECHNUNG!B43</f>
        <v>PV-Eingennutzung</v>
      </c>
      <c r="D40" s="1539"/>
      <c r="E40" s="1540"/>
      <c r="F40" s="1215">
        <f>BERECHNUNG!BW63</f>
        <v>0</v>
      </c>
      <c r="G40" s="1210">
        <f ca="1">BERECHNUNG!BX63</f>
        <v>0</v>
      </c>
      <c r="H40" s="454">
        <f ca="1">BERECHNUNG!BY63</f>
        <v>0</v>
      </c>
      <c r="I40" s="454">
        <f ca="1">BERECHNUNG!BZ63</f>
        <v>0</v>
      </c>
      <c r="J40" s="454">
        <f>BERECHNUNG!CA63</f>
        <v>-58061.253662397947</v>
      </c>
      <c r="K40" s="1056"/>
      <c r="L40" s="1056"/>
      <c r="M40" s="1056"/>
      <c r="N40" s="1056"/>
      <c r="O40" s="1056"/>
      <c r="P40" s="1056"/>
      <c r="Q40" s="1056"/>
      <c r="R40" s="1056"/>
      <c r="S40" s="1056"/>
      <c r="T40" s="1056"/>
      <c r="U40" s="440"/>
      <c r="V40" s="867">
        <f>BERECHNUNG!AY173</f>
        <v>0</v>
      </c>
      <c r="W40" s="867">
        <f t="shared" ca="1" si="0"/>
        <v>0</v>
      </c>
    </row>
    <row r="41" spans="1:27" ht="12.95" customHeight="1" x14ac:dyDescent="0.2">
      <c r="A41" s="440"/>
      <c r="B41" s="1056"/>
      <c r="C41" s="1539" t="str">
        <f>BERECHNUNG!B44</f>
        <v>PV-Einspeisung</v>
      </c>
      <c r="D41" s="1539"/>
      <c r="E41" s="1540"/>
      <c r="F41" s="1215">
        <f ca="1">BERECHNUNG!BW64</f>
        <v>0</v>
      </c>
      <c r="G41" s="1210">
        <f ca="1">BERECHNUNG!BX64</f>
        <v>0</v>
      </c>
      <c r="H41" s="454">
        <f ca="1">BERECHNUNG!BY64</f>
        <v>0</v>
      </c>
      <c r="I41" s="454">
        <f ca="1">BERECHNUNG!BZ64</f>
        <v>0</v>
      </c>
      <c r="J41" s="454">
        <f ca="1">BERECHNUNG!CA64</f>
        <v>-12154.257261502009</v>
      </c>
      <c r="K41" s="1056"/>
      <c r="L41" s="1056"/>
      <c r="M41" s="1056"/>
      <c r="N41" s="1056"/>
      <c r="O41" s="1056"/>
      <c r="P41" s="1056"/>
      <c r="Q41" s="1056"/>
      <c r="R41" s="1056"/>
      <c r="S41" s="1056"/>
      <c r="T41" s="1056"/>
      <c r="U41" s="440"/>
      <c r="V41" s="867">
        <f ca="1">BERECHNUNG!AX173</f>
        <v>-12154.257261502009</v>
      </c>
      <c r="W41" s="867">
        <f t="shared" ca="1" si="0"/>
        <v>-12154.257261502009</v>
      </c>
    </row>
    <row r="42" spans="1:27" ht="12.95" customHeight="1" x14ac:dyDescent="0.2">
      <c r="A42" s="440"/>
      <c r="B42" s="1056"/>
      <c r="C42" s="1530" t="s">
        <v>396</v>
      </c>
      <c r="D42" s="1530"/>
      <c r="E42" s="1531"/>
      <c r="F42" s="1215">
        <f>BERECHNUNG!BW65</f>
        <v>0</v>
      </c>
      <c r="G42" s="1210">
        <f>BERECHNUNG!BX65</f>
        <v>0</v>
      </c>
      <c r="H42" s="454">
        <f>BERECHNUNG!BY65</f>
        <v>0</v>
      </c>
      <c r="I42" s="454">
        <f>BERECHNUNG!BZ65</f>
        <v>0</v>
      </c>
      <c r="J42" s="454">
        <f>BERECHNUNG!CA65</f>
        <v>0</v>
      </c>
      <c r="K42" s="1056"/>
      <c r="L42" s="1056"/>
      <c r="M42" s="1056"/>
      <c r="N42" s="1056"/>
      <c r="O42" s="1056"/>
      <c r="P42" s="1056"/>
      <c r="Q42" s="1056"/>
      <c r="R42" s="1056"/>
      <c r="S42" s="1056"/>
      <c r="T42" s="1056"/>
      <c r="U42" s="440"/>
      <c r="V42" s="867">
        <f>BERECHNUNG!AZ173</f>
        <v>0</v>
      </c>
      <c r="W42" s="867">
        <f t="shared" si="0"/>
        <v>0</v>
      </c>
    </row>
    <row r="43" spans="1:27" ht="12.95" customHeight="1" thickBot="1" x14ac:dyDescent="0.25">
      <c r="A43" s="440"/>
      <c r="B43" s="1056"/>
      <c r="C43" s="1537" t="s">
        <v>414</v>
      </c>
      <c r="D43" s="1537"/>
      <c r="E43" s="1538"/>
      <c r="F43" s="1221">
        <f>BERECHNUNG!BW66</f>
        <v>0</v>
      </c>
      <c r="G43" s="1222">
        <f ca="1">BERECHNUNG!BX66</f>
        <v>0</v>
      </c>
      <c r="H43" s="1223">
        <f ca="1">BERECHNUNG!BY66</f>
        <v>0</v>
      </c>
      <c r="I43" s="1223">
        <f ca="1">BERECHNUNG!BZ66</f>
        <v>0</v>
      </c>
      <c r="J43" s="1223">
        <f ca="1">BERECHNUNG!CA66</f>
        <v>0</v>
      </c>
      <c r="K43" s="1056"/>
      <c r="L43" s="1056"/>
      <c r="M43" s="1056"/>
      <c r="N43" s="1056"/>
      <c r="O43" s="1056"/>
      <c r="P43" s="1056"/>
      <c r="Q43" s="1056"/>
      <c r="R43" s="1056"/>
      <c r="S43" s="1056"/>
      <c r="T43" s="1056"/>
      <c r="U43" s="440"/>
      <c r="V43" s="867">
        <f>BERECHNUNG!BA173</f>
        <v>0</v>
      </c>
      <c r="W43" s="867">
        <f t="shared" ca="1" si="0"/>
        <v>0</v>
      </c>
    </row>
    <row r="44" spans="1:27" ht="12.95" customHeight="1" x14ac:dyDescent="0.2">
      <c r="A44" s="440"/>
      <c r="B44" s="1056"/>
      <c r="C44" s="455"/>
      <c r="D44" s="455"/>
      <c r="E44" s="1224" t="str">
        <f>IF($W$24=1,"Kapitalwert (gesamt)","Annuität (gesamt)")</f>
        <v>Kapitalwert (gesamt)</v>
      </c>
      <c r="F44" s="1226">
        <f ca="1">BERECHNUNG!BW67</f>
        <v>3717659.681091967</v>
      </c>
      <c r="G44" s="1219">
        <f ca="1">BERECHNUNG!BX67</f>
        <v>3627350.8511196566</v>
      </c>
      <c r="H44" s="1220">
        <f ca="1">BERECHNUNG!BY67</f>
        <v>3548084.4430975108</v>
      </c>
      <c r="I44" s="1220">
        <f ca="1">BERECHNUNG!BZ67</f>
        <v>3639541.3891721345</v>
      </c>
      <c r="J44" s="1219">
        <f ca="1">BERECHNUNG!CA67</f>
        <v>3627352.3678982225</v>
      </c>
      <c r="K44" s="1056"/>
      <c r="L44" s="1056"/>
      <c r="M44" s="1056"/>
      <c r="N44" s="1056"/>
      <c r="O44" s="1056"/>
      <c r="P44" s="1056"/>
      <c r="Q44" s="1056"/>
      <c r="R44" s="1056"/>
      <c r="S44" s="1056"/>
      <c r="T44" s="1056"/>
      <c r="U44" s="440"/>
    </row>
    <row r="45" spans="1:27" ht="12.95" customHeight="1" thickBot="1" x14ac:dyDescent="0.25">
      <c r="A45" s="440"/>
      <c r="B45" s="1056"/>
      <c r="C45" s="1056"/>
      <c r="D45" s="1056"/>
      <c r="E45" s="1225"/>
      <c r="F45" s="1227"/>
      <c r="G45" s="1056"/>
      <c r="H45" s="1056"/>
      <c r="I45" s="1056"/>
      <c r="J45" s="1163"/>
      <c r="K45" s="1056"/>
      <c r="L45" s="1056"/>
      <c r="M45" s="1056"/>
      <c r="N45" s="1056"/>
      <c r="O45" s="1056"/>
      <c r="P45" s="1056"/>
      <c r="Q45" s="1056"/>
      <c r="R45" s="1056"/>
      <c r="S45" s="1056"/>
      <c r="T45" s="1056"/>
      <c r="U45" s="440"/>
      <c r="V45" s="819">
        <f ca="1">BERECHNUNG!AP119</f>
        <v>-9446.6937911822897</v>
      </c>
    </row>
    <row r="46" spans="1:27" ht="12.95" customHeight="1" thickTop="1" x14ac:dyDescent="0.2">
      <c r="A46" s="440"/>
      <c r="B46" s="1056"/>
      <c r="C46" s="1526" t="s">
        <v>798</v>
      </c>
      <c r="D46" s="1526"/>
      <c r="E46" s="1527"/>
      <c r="F46" s="1228">
        <f ca="1">F44-$F$44</f>
        <v>0</v>
      </c>
      <c r="G46" s="1209">
        <f ca="1">G44-$F$44</f>
        <v>-90308.829972310457</v>
      </c>
      <c r="H46" s="453">
        <f t="shared" ref="H46:J46" ca="1" si="1">H44-$F$44</f>
        <v>-169575.2379944562</v>
      </c>
      <c r="I46" s="453">
        <f t="shared" ca="1" si="1"/>
        <v>-78118.291919832584</v>
      </c>
      <c r="J46" s="453">
        <f t="shared" ca="1" si="1"/>
        <v>-90307.313193744514</v>
      </c>
      <c r="K46" s="1056"/>
      <c r="L46" s="1056"/>
      <c r="M46" s="1056"/>
      <c r="N46" s="1056"/>
      <c r="O46" s="1056"/>
      <c r="P46" s="1056"/>
      <c r="Q46" s="1056"/>
      <c r="R46" s="1056"/>
      <c r="S46" s="1056"/>
      <c r="T46" s="1056"/>
      <c r="U46" s="440"/>
      <c r="W46" s="327" t="s">
        <v>799</v>
      </c>
    </row>
    <row r="47" spans="1:27" ht="12.95" customHeight="1" thickBot="1" x14ac:dyDescent="0.25">
      <c r="A47" s="440"/>
      <c r="B47" s="1056"/>
      <c r="C47" s="1528"/>
      <c r="D47" s="1528"/>
      <c r="E47" s="1529"/>
      <c r="F47" s="1229"/>
      <c r="G47" s="1218">
        <f ca="1">G46/$F$44</f>
        <v>-2.429184963637784E-2</v>
      </c>
      <c r="H47" s="1218">
        <f t="shared" ref="H47:J47" ca="1" si="2">H46/$F$44</f>
        <v>-4.5613437630377139E-2</v>
      </c>
      <c r="I47" s="1218">
        <f t="shared" ca="1" si="2"/>
        <v>-2.1012760344133314E-2</v>
      </c>
      <c r="J47" s="1218">
        <f t="shared" ca="1" si="2"/>
        <v>-2.4291441643528561E-2</v>
      </c>
      <c r="K47" s="1056"/>
      <c r="L47" s="1056"/>
      <c r="M47" s="1056"/>
      <c r="N47" s="1056"/>
      <c r="O47" s="1056"/>
      <c r="P47" s="1056"/>
      <c r="Q47" s="1056"/>
      <c r="R47" s="1056"/>
      <c r="S47" s="1056"/>
      <c r="T47" s="1056"/>
      <c r="U47" s="440"/>
      <c r="V47" s="327" t="s">
        <v>800</v>
      </c>
      <c r="W47" s="327" t="str">
        <f>F33</f>
        <v>BTV</v>
      </c>
      <c r="X47" s="327" t="str">
        <f t="shared" ref="X47:AA47" si="3">G33</f>
        <v>PH</v>
      </c>
      <c r="Y47" s="327" t="str">
        <f t="shared" si="3"/>
        <v>PHSol</v>
      </c>
      <c r="Z47" s="327" t="str">
        <f t="shared" si="3"/>
        <v>PHWRGSo</v>
      </c>
      <c r="AA47" s="327" t="str">
        <f t="shared" si="3"/>
        <v>PHWRGSoPV</v>
      </c>
    </row>
    <row r="48" spans="1:27" ht="12.95" customHeight="1" x14ac:dyDescent="0.2">
      <c r="A48" s="440"/>
      <c r="B48" s="1056"/>
      <c r="C48" s="1056"/>
      <c r="D48" s="1056"/>
      <c r="E48" s="1056"/>
      <c r="F48" s="1056"/>
      <c r="G48" s="1056"/>
      <c r="H48" s="1056"/>
      <c r="I48" s="1056"/>
      <c r="J48" s="1056"/>
      <c r="K48" s="1056"/>
      <c r="L48" s="1056"/>
      <c r="M48" s="1056"/>
      <c r="N48" s="1056"/>
      <c r="O48" s="1056"/>
      <c r="P48" s="1056"/>
      <c r="Q48" s="1056"/>
      <c r="R48" s="1056"/>
      <c r="S48" s="1056"/>
      <c r="T48" s="1056"/>
      <c r="U48" s="440"/>
      <c r="V48" s="327" t="s">
        <v>801</v>
      </c>
      <c r="W48" s="1231">
        <f ca="1">ROUND(F44,0)</f>
        <v>3717660</v>
      </c>
      <c r="X48" s="1231">
        <f t="shared" ref="X48:AA48" ca="1" si="4">ROUND(G44,0)</f>
        <v>3627351</v>
      </c>
      <c r="Y48" s="1231">
        <f t="shared" ca="1" si="4"/>
        <v>3548084</v>
      </c>
      <c r="Z48" s="1231">
        <f t="shared" ca="1" si="4"/>
        <v>3639541</v>
      </c>
      <c r="AA48" s="1231">
        <f t="shared" ca="1" si="4"/>
        <v>3627352</v>
      </c>
    </row>
    <row r="49" spans="1:33" ht="12.95" customHeight="1" x14ac:dyDescent="0.2">
      <c r="A49" s="440"/>
      <c r="B49" s="1056"/>
      <c r="C49" s="1056"/>
      <c r="D49" s="1056"/>
      <c r="E49" s="1163"/>
      <c r="F49" s="1056"/>
      <c r="G49" s="1056"/>
      <c r="H49" s="1056"/>
      <c r="I49" s="1056"/>
      <c r="J49" s="1056"/>
      <c r="K49" s="1056"/>
      <c r="L49" s="1056"/>
      <c r="M49" s="1056"/>
      <c r="N49" s="1056"/>
      <c r="O49" s="1056"/>
      <c r="P49" s="1056"/>
      <c r="Q49" s="1056"/>
      <c r="R49" s="1056"/>
      <c r="S49" s="1056"/>
      <c r="T49" s="1056"/>
      <c r="U49" s="440"/>
      <c r="V49" s="327" t="s">
        <v>802</v>
      </c>
      <c r="W49" s="1232">
        <f>ROUND(F47,3)*100</f>
        <v>0</v>
      </c>
      <c r="X49" s="1232">
        <f t="shared" ref="X49:AA49" ca="1" si="5">ROUND(G47,3)*100</f>
        <v>-2.4</v>
      </c>
      <c r="Y49" s="1232">
        <f t="shared" ca="1" si="5"/>
        <v>-4.5999999999999996</v>
      </c>
      <c r="Z49" s="1232">
        <f t="shared" ca="1" si="5"/>
        <v>-2.1</v>
      </c>
      <c r="AA49" s="1232">
        <f t="shared" ca="1" si="5"/>
        <v>-2.4</v>
      </c>
    </row>
    <row r="50" spans="1:33" ht="12.95" customHeight="1" x14ac:dyDescent="0.2">
      <c r="A50" s="440"/>
      <c r="B50" s="1056"/>
      <c r="C50" s="1056"/>
      <c r="D50" s="1056"/>
      <c r="E50" s="1056"/>
      <c r="F50" s="1056"/>
      <c r="G50" s="1056"/>
      <c r="H50" s="1056"/>
      <c r="I50" s="1056"/>
      <c r="J50" s="1056"/>
      <c r="K50" s="1056"/>
      <c r="L50" s="1056"/>
      <c r="M50" s="1056"/>
      <c r="N50" s="1056"/>
      <c r="O50" s="1056"/>
      <c r="P50" s="1056"/>
      <c r="Q50" s="1056"/>
      <c r="R50" s="1056"/>
      <c r="S50" s="1056"/>
      <c r="T50" s="1056"/>
      <c r="U50" s="440"/>
      <c r="V50" s="327" t="s">
        <v>803</v>
      </c>
      <c r="W50" s="327" t="str">
        <f ca="1">W56&amp;W55&amp;W54&amp;" € ("&amp;W49&amp;"%)"</f>
        <v>3.717.660 € (0%)</v>
      </c>
      <c r="X50" s="327" t="str">
        <f t="shared" ref="X50:AA50" ca="1" si="6">X56&amp;X55&amp;X54&amp;" € ("&amp;X49&amp;"%)"</f>
        <v>3.627.351 € (-2,4%)</v>
      </c>
      <c r="Y50" s="327" t="str">
        <f t="shared" ca="1" si="6"/>
        <v>3.548.084 € (-4,6%)</v>
      </c>
      <c r="Z50" s="327" t="str">
        <f t="shared" ca="1" si="6"/>
        <v>3.639.541 € (-2,1%)</v>
      </c>
      <c r="AA50" s="327" t="str">
        <f t="shared" ca="1" si="6"/>
        <v>3.627.352 € (-2,4%)</v>
      </c>
    </row>
    <row r="51" spans="1:33" ht="12.95" customHeight="1" x14ac:dyDescent="0.2">
      <c r="A51" s="440"/>
      <c r="B51" s="1056"/>
      <c r="C51" s="1056"/>
      <c r="D51" s="1056"/>
      <c r="E51" s="1056"/>
      <c r="F51" s="1056"/>
      <c r="G51" s="1056"/>
      <c r="H51" s="1056"/>
      <c r="I51" s="1056"/>
      <c r="J51" s="1056"/>
      <c r="K51" s="1056"/>
      <c r="L51" s="1056"/>
      <c r="M51" s="1056"/>
      <c r="N51" s="1056"/>
      <c r="O51" s="1056"/>
      <c r="P51" s="1056"/>
      <c r="Q51" s="1056"/>
      <c r="R51" s="1056"/>
      <c r="S51" s="1056"/>
      <c r="T51" s="1056"/>
      <c r="U51" s="440"/>
      <c r="V51" s="327" t="s">
        <v>844</v>
      </c>
      <c r="W51" s="1426">
        <f ca="1">LEN(TEXT(W$48,0))</f>
        <v>7</v>
      </c>
      <c r="X51" s="1426">
        <f t="shared" ref="X51:AA51" ca="1" si="7">LEN(TEXT(X$48,0))</f>
        <v>7</v>
      </c>
      <c r="Y51" s="1426">
        <f t="shared" ca="1" si="7"/>
        <v>7</v>
      </c>
      <c r="Z51" s="1426">
        <f t="shared" ca="1" si="7"/>
        <v>7</v>
      </c>
      <c r="AA51" s="1426">
        <f t="shared" ca="1" si="7"/>
        <v>7</v>
      </c>
      <c r="AB51" s="566"/>
    </row>
    <row r="52" spans="1:33" ht="12.95" customHeight="1" x14ac:dyDescent="0.2">
      <c r="A52" s="440"/>
      <c r="B52" s="1163"/>
      <c r="C52" s="1163"/>
      <c r="D52" s="1163"/>
      <c r="E52" s="1163"/>
      <c r="F52" s="1163"/>
      <c r="G52" s="1163"/>
      <c r="H52" s="1163"/>
      <c r="I52" s="1163"/>
      <c r="J52" s="1163"/>
      <c r="K52" s="1163"/>
      <c r="L52" s="1163"/>
      <c r="M52" s="1163"/>
      <c r="N52" s="1163"/>
      <c r="O52" s="1163"/>
      <c r="P52" s="1163"/>
      <c r="Q52" s="1163"/>
      <c r="R52" s="1163"/>
      <c r="S52" s="1163"/>
      <c r="T52" s="1163"/>
      <c r="U52" s="440"/>
      <c r="V52" s="327" t="s">
        <v>845</v>
      </c>
      <c r="W52" s="1426" t="str">
        <f ca="1">TEXT(W48,0)</f>
        <v>3717660</v>
      </c>
      <c r="X52" s="1426" t="str">
        <f t="shared" ref="X52:AA52" ca="1" si="8">TEXT(X48,0)</f>
        <v>3627351</v>
      </c>
      <c r="Y52" s="1426" t="str">
        <f t="shared" ca="1" si="8"/>
        <v>3548084</v>
      </c>
      <c r="Z52" s="1426" t="str">
        <f t="shared" ca="1" si="8"/>
        <v>3639541</v>
      </c>
      <c r="AA52" s="1426" t="str">
        <f t="shared" ca="1" si="8"/>
        <v>3627352</v>
      </c>
      <c r="AB52" s="566"/>
    </row>
    <row r="53" spans="1:33" ht="39.950000000000003" customHeight="1" x14ac:dyDescent="0.25">
      <c r="A53" s="440"/>
      <c r="B53" s="1171" t="s">
        <v>790</v>
      </c>
      <c r="C53" s="1230"/>
      <c r="D53" s="1230"/>
      <c r="E53" s="1230"/>
      <c r="F53" s="1230"/>
      <c r="G53" s="1230"/>
      <c r="H53" s="1230"/>
      <c r="I53" s="1230"/>
      <c r="J53" s="1230"/>
      <c r="K53" s="1230"/>
      <c r="L53" s="1230"/>
      <c r="M53" s="1230"/>
      <c r="N53" s="1230"/>
      <c r="O53" s="1230"/>
      <c r="P53" s="1230"/>
      <c r="Q53" s="1230"/>
      <c r="R53" s="1230"/>
      <c r="S53" s="1230"/>
      <c r="T53" s="1230"/>
      <c r="U53" s="440"/>
      <c r="W53" s="1426"/>
      <c r="X53" s="1426"/>
      <c r="Y53" s="1426"/>
      <c r="Z53" s="1426"/>
      <c r="AA53" s="1426"/>
      <c r="AB53" s="566"/>
    </row>
    <row r="54" spans="1:33" ht="12.95" customHeight="1" x14ac:dyDescent="0.2">
      <c r="A54" s="440"/>
      <c r="B54" s="1056"/>
      <c r="C54" s="486"/>
      <c r="D54" s="486"/>
      <c r="E54" s="486"/>
      <c r="F54" s="486"/>
      <c r="G54" s="1137"/>
      <c r="H54" s="1137"/>
      <c r="I54" s="1137"/>
      <c r="J54" s="1137"/>
      <c r="K54" s="1056"/>
      <c r="L54" s="1056"/>
      <c r="M54" s="1056"/>
      <c r="N54" s="1056"/>
      <c r="O54" s="1056"/>
      <c r="P54" s="1056"/>
      <c r="Q54" s="1056"/>
      <c r="R54" s="1056"/>
      <c r="S54" s="1056"/>
      <c r="T54" s="1056"/>
      <c r="U54" s="440"/>
      <c r="V54" s="327" t="s">
        <v>841</v>
      </c>
      <c r="W54" s="1426" t="str">
        <f ca="1">RIGHT(W$52,3)</f>
        <v>660</v>
      </c>
      <c r="X54" s="1426" t="str">
        <f t="shared" ref="X54:AA54" ca="1" si="9">RIGHT(X$52,3)</f>
        <v>351</v>
      </c>
      <c r="Y54" s="1426" t="str">
        <f t="shared" ca="1" si="9"/>
        <v>084</v>
      </c>
      <c r="Z54" s="1426" t="str">
        <f t="shared" ca="1" si="9"/>
        <v>541</v>
      </c>
      <c r="AA54" s="1426" t="str">
        <f t="shared" ca="1" si="9"/>
        <v>352</v>
      </c>
    </row>
    <row r="55" spans="1:33" ht="12.95" customHeight="1" x14ac:dyDescent="0.2">
      <c r="A55" s="440"/>
      <c r="B55" s="1056"/>
      <c r="C55" s="1172" t="s">
        <v>846</v>
      </c>
      <c r="D55" s="1056"/>
      <c r="E55" s="1056"/>
      <c r="F55" s="1056"/>
      <c r="G55" s="1056"/>
      <c r="H55" s="1056"/>
      <c r="I55" s="1056"/>
      <c r="J55" s="1056"/>
      <c r="K55" s="1056"/>
      <c r="L55" s="1056"/>
      <c r="M55" s="1056"/>
      <c r="N55" s="1056"/>
      <c r="O55" s="1056"/>
      <c r="P55" s="1056"/>
      <c r="Q55" s="1056"/>
      <c r="R55" s="1056"/>
      <c r="S55" s="1056"/>
      <c r="T55" s="1056"/>
      <c r="U55" s="440"/>
      <c r="V55" s="327" t="s">
        <v>842</v>
      </c>
      <c r="W55" s="1426" t="str">
        <f ca="1">IF(W$51&lt;4,"",IF(W$51&gt;6,MID(W$52,W$51-6+1,3)&amp;".",MID(W$52,1,W$51-3)&amp;"."))</f>
        <v>717.</v>
      </c>
      <c r="X55" s="1426" t="str">
        <f t="shared" ref="X55:AA55" ca="1" si="10">IF(X$51&lt;4,"",IF(X$51&gt;6,MID(X$52,X$51-6+1,3)&amp;".",MID(X$52,1,X$51-3)&amp;"."))</f>
        <v>627.</v>
      </c>
      <c r="Y55" s="1426" t="str">
        <f t="shared" ca="1" si="10"/>
        <v>548.</v>
      </c>
      <c r="Z55" s="1426" t="str">
        <f t="shared" ca="1" si="10"/>
        <v>639.</v>
      </c>
      <c r="AA55" s="1426" t="str">
        <f t="shared" ca="1" si="10"/>
        <v>627.</v>
      </c>
    </row>
    <row r="56" spans="1:33" ht="12.95" customHeight="1" x14ac:dyDescent="0.2">
      <c r="A56" s="440"/>
      <c r="B56" s="1056"/>
      <c r="C56" s="418"/>
      <c r="D56" s="1056"/>
      <c r="E56" s="1056"/>
      <c r="F56" s="1056"/>
      <c r="G56" s="1056"/>
      <c r="H56" s="1056"/>
      <c r="I56" s="1056"/>
      <c r="J56" s="1056"/>
      <c r="K56" s="1056"/>
      <c r="L56" s="1056"/>
      <c r="M56" s="1056"/>
      <c r="N56" s="1056"/>
      <c r="O56" s="1056"/>
      <c r="P56" s="1056"/>
      <c r="Q56" s="1056"/>
      <c r="R56" s="1056"/>
      <c r="S56" s="1056"/>
      <c r="T56" s="1056"/>
      <c r="U56" s="440"/>
      <c r="V56" s="327" t="s">
        <v>843</v>
      </c>
      <c r="W56" s="1426" t="str">
        <f ca="1">IF(W$51&lt;7,"",MID(W$52,1,W$51-6)&amp;".")</f>
        <v>3.</v>
      </c>
      <c r="X56" s="1426" t="str">
        <f t="shared" ref="X56:AA56" ca="1" si="11">IF(X$51&lt;7,"",MID(X$52,1,X$51-6)&amp;".")</f>
        <v>3.</v>
      </c>
      <c r="Y56" s="1426" t="str">
        <f t="shared" ca="1" si="11"/>
        <v>3.</v>
      </c>
      <c r="Z56" s="1426" t="str">
        <f t="shared" ca="1" si="11"/>
        <v>3.</v>
      </c>
      <c r="AA56" s="1426" t="str">
        <f t="shared" ca="1" si="11"/>
        <v>3.</v>
      </c>
    </row>
    <row r="57" spans="1:33" ht="12.95" customHeight="1" x14ac:dyDescent="0.2">
      <c r="A57" s="440"/>
      <c r="B57" s="1056"/>
      <c r="C57" s="418"/>
      <c r="D57" s="1056"/>
      <c r="E57" s="1056"/>
      <c r="F57" s="1056"/>
      <c r="G57" s="1056"/>
      <c r="H57" s="1056"/>
      <c r="I57" s="1056"/>
      <c r="J57" s="1056"/>
      <c r="K57" s="1056"/>
      <c r="L57" s="1056"/>
      <c r="M57" s="1056"/>
      <c r="N57" s="1056"/>
      <c r="O57" s="1056"/>
      <c r="P57" s="1056"/>
      <c r="Q57" s="1056"/>
      <c r="R57" s="1056"/>
      <c r="S57" s="1056"/>
      <c r="T57" s="1056"/>
      <c r="U57" s="440"/>
    </row>
    <row r="58" spans="1:33" ht="12.95" customHeight="1" x14ac:dyDescent="0.2">
      <c r="A58" s="440"/>
      <c r="B58" s="1056"/>
      <c r="C58" s="1206" t="str">
        <f>VLOOKUP(E58-1,LISTEN!$E$21:$F$25,2,FALSE)</f>
        <v>PHWRGSoPV</v>
      </c>
      <c r="D58" s="1207"/>
      <c r="E58" s="1383">
        <v>5</v>
      </c>
      <c r="F58" s="1056"/>
      <c r="G58" s="1056"/>
      <c r="H58" s="1056"/>
      <c r="I58" s="1056"/>
      <c r="J58" s="1056"/>
      <c r="K58" s="1056"/>
      <c r="L58" s="1056"/>
      <c r="M58" s="1056"/>
      <c r="N58" s="1056"/>
      <c r="O58" s="1056"/>
      <c r="P58" s="1056"/>
      <c r="Q58" s="1056"/>
      <c r="R58" s="1056"/>
      <c r="S58" s="1056"/>
      <c r="T58" s="1056"/>
      <c r="U58" s="440"/>
    </row>
    <row r="59" spans="1:33" ht="12.95" customHeight="1" x14ac:dyDescent="0.2">
      <c r="A59" s="440"/>
      <c r="B59" s="1056"/>
      <c r="C59" s="1056" t="s">
        <v>789</v>
      </c>
      <c r="D59" s="1056"/>
      <c r="E59" s="1056"/>
      <c r="F59" s="1056"/>
      <c r="G59" s="1056"/>
      <c r="H59" s="1056"/>
      <c r="I59" s="1056"/>
      <c r="J59" s="1056"/>
      <c r="K59" s="1056"/>
      <c r="L59" s="1056"/>
      <c r="M59" s="1056"/>
      <c r="N59" s="1056"/>
      <c r="O59" s="1056"/>
      <c r="P59" s="1056"/>
      <c r="Q59" s="1056"/>
      <c r="R59" s="1056"/>
      <c r="S59" s="1056"/>
      <c r="T59" s="1056"/>
      <c r="U59" s="440"/>
    </row>
    <row r="60" spans="1:33" ht="12.95" customHeight="1" x14ac:dyDescent="0.2">
      <c r="A60" s="440"/>
      <c r="B60" s="1056"/>
      <c r="C60" s="1056"/>
      <c r="D60" s="1056"/>
      <c r="E60" s="1056"/>
      <c r="F60" s="1056"/>
      <c r="G60" s="1056"/>
      <c r="H60" s="1056"/>
      <c r="I60" s="1056"/>
      <c r="J60" s="1056"/>
      <c r="K60" s="1056"/>
      <c r="L60" s="1056"/>
      <c r="M60" s="1056"/>
      <c r="N60" s="1056"/>
      <c r="O60" s="1056"/>
      <c r="P60" s="1056"/>
      <c r="Q60" s="1056"/>
      <c r="R60" s="1056"/>
      <c r="S60" s="1056"/>
      <c r="T60" s="1056"/>
      <c r="U60" s="440"/>
    </row>
    <row r="61" spans="1:33" ht="12.95" customHeight="1" x14ac:dyDescent="0.2">
      <c r="A61" s="440"/>
      <c r="B61" s="1056"/>
      <c r="C61" s="1056"/>
      <c r="D61" s="1056"/>
      <c r="E61" s="1056"/>
      <c r="F61" s="1056"/>
      <c r="G61" s="1056"/>
      <c r="H61" s="1056"/>
      <c r="I61" s="1056"/>
      <c r="J61" s="1056"/>
      <c r="K61" s="1056"/>
      <c r="L61" s="1056"/>
      <c r="M61" s="1056"/>
      <c r="N61" s="1056"/>
      <c r="O61" s="1056"/>
      <c r="P61" s="1056"/>
      <c r="Q61" s="1056"/>
      <c r="R61" s="1056"/>
      <c r="S61" s="1056"/>
      <c r="T61" s="1056"/>
      <c r="U61" s="440"/>
    </row>
    <row r="62" spans="1:33" ht="12.95" customHeight="1" x14ac:dyDescent="0.2">
      <c r="A62" s="440"/>
      <c r="B62" s="1056"/>
      <c r="C62" s="418" t="s">
        <v>692</v>
      </c>
      <c r="D62" s="1056"/>
      <c r="E62" s="1056"/>
      <c r="F62" s="1056"/>
      <c r="G62" s="1056"/>
      <c r="H62" s="1056"/>
      <c r="I62" s="1056"/>
      <c r="J62" s="1056"/>
      <c r="K62" s="1056"/>
      <c r="L62" s="1056"/>
      <c r="M62" s="1056"/>
      <c r="N62" s="1056"/>
      <c r="O62" s="1056"/>
      <c r="P62" s="1056"/>
      <c r="Q62" s="1056"/>
      <c r="R62" s="1056"/>
      <c r="S62" s="1056"/>
      <c r="T62" s="1056"/>
      <c r="U62" s="440"/>
      <c r="X62" s="327" t="s">
        <v>192</v>
      </c>
      <c r="Y62" s="327" t="s">
        <v>280</v>
      </c>
      <c r="Z62" s="327" t="s">
        <v>284</v>
      </c>
      <c r="AA62" s="327" t="s">
        <v>332</v>
      </c>
      <c r="AB62" s="327" t="s">
        <v>281</v>
      </c>
      <c r="AC62" s="327" t="s">
        <v>282</v>
      </c>
      <c r="AD62" s="327" t="s">
        <v>544</v>
      </c>
      <c r="AE62" s="327" t="s">
        <v>542</v>
      </c>
      <c r="AF62" s="327" t="s">
        <v>396</v>
      </c>
      <c r="AG62" s="327" t="s">
        <v>413</v>
      </c>
    </row>
    <row r="63" spans="1:33" ht="12.95" customHeight="1" x14ac:dyDescent="0.2">
      <c r="A63" s="440"/>
      <c r="B63" s="1056"/>
      <c r="C63" s="446"/>
      <c r="D63" s="1056"/>
      <c r="E63" s="1056"/>
      <c r="F63" s="1056"/>
      <c r="G63" s="1056"/>
      <c r="H63" s="1056"/>
      <c r="I63" s="1056"/>
      <c r="J63" s="1056"/>
      <c r="K63" s="1056"/>
      <c r="L63" s="1056"/>
      <c r="M63" s="1056"/>
      <c r="N63" s="1056"/>
      <c r="O63" s="1056"/>
      <c r="P63" s="1056"/>
      <c r="Q63" s="1056"/>
      <c r="R63" s="1056"/>
      <c r="S63" s="1056"/>
      <c r="T63" s="1056"/>
      <c r="U63" s="440"/>
      <c r="X63" s="1267" t="b">
        <v>0</v>
      </c>
      <c r="Y63" s="1267" t="b">
        <v>0</v>
      </c>
      <c r="Z63" s="1267" t="b">
        <v>0</v>
      </c>
      <c r="AA63" s="1267" t="b">
        <v>0</v>
      </c>
      <c r="AB63" s="1267" t="b">
        <v>0</v>
      </c>
      <c r="AC63" s="1267" t="b">
        <v>0</v>
      </c>
      <c r="AD63" s="1267" t="b">
        <v>1</v>
      </c>
      <c r="AE63" s="1267" t="b">
        <v>0</v>
      </c>
      <c r="AF63" s="1267" t="b">
        <v>0</v>
      </c>
      <c r="AG63" s="1267" t="b">
        <v>0</v>
      </c>
    </row>
    <row r="64" spans="1:33" ht="12.95" customHeight="1" x14ac:dyDescent="0.2">
      <c r="A64" s="440"/>
      <c r="B64" s="578"/>
      <c r="C64" s="579"/>
      <c r="D64" s="874"/>
      <c r="E64" s="1056"/>
      <c r="F64" s="1056"/>
      <c r="G64" s="1056"/>
      <c r="H64" s="1056"/>
      <c r="I64" s="1056"/>
      <c r="J64" s="1056"/>
      <c r="K64" s="1056"/>
      <c r="L64" s="1056"/>
      <c r="M64" s="1056"/>
      <c r="N64" s="1056"/>
      <c r="O64" s="1056"/>
      <c r="P64" s="1056"/>
      <c r="Q64" s="1056"/>
      <c r="R64" s="1056"/>
      <c r="S64" s="1056"/>
      <c r="T64" s="1056"/>
      <c r="U64" s="440"/>
    </row>
    <row r="65" spans="1:21" ht="12.95" customHeight="1" x14ac:dyDescent="0.2">
      <c r="A65" s="440"/>
      <c r="B65" s="578"/>
      <c r="C65" s="578"/>
      <c r="D65" s="874"/>
      <c r="E65" s="1056"/>
      <c r="F65" s="1056"/>
      <c r="G65" s="1056"/>
      <c r="H65" s="1056"/>
      <c r="I65" s="1056"/>
      <c r="J65" s="1056"/>
      <c r="K65" s="1056"/>
      <c r="L65" s="1056"/>
      <c r="M65" s="1056"/>
      <c r="N65" s="1056"/>
      <c r="O65" s="1056"/>
      <c r="P65" s="1056"/>
      <c r="Q65" s="1056"/>
      <c r="R65" s="1056"/>
      <c r="S65" s="1056"/>
      <c r="T65" s="1056"/>
      <c r="U65" s="440"/>
    </row>
    <row r="66" spans="1:21" ht="12.95" customHeight="1" x14ac:dyDescent="0.2">
      <c r="A66" s="440"/>
      <c r="B66" s="578"/>
      <c r="C66" s="579"/>
      <c r="D66" s="874"/>
      <c r="E66" s="1056"/>
      <c r="F66" s="1056"/>
      <c r="G66" s="1056"/>
      <c r="H66" s="1056"/>
      <c r="I66" s="1056"/>
      <c r="J66" s="1056"/>
      <c r="K66" s="1056"/>
      <c r="L66" s="1056"/>
      <c r="M66" s="1056"/>
      <c r="N66" s="1056"/>
      <c r="O66" s="1056"/>
      <c r="P66" s="1056"/>
      <c r="Q66" s="1056"/>
      <c r="R66" s="1056"/>
      <c r="S66" s="1056"/>
      <c r="T66" s="1056"/>
      <c r="U66" s="440"/>
    </row>
    <row r="67" spans="1:21" ht="12.95" customHeight="1" x14ac:dyDescent="0.2">
      <c r="A67" s="440"/>
      <c r="B67" s="578"/>
      <c r="C67" s="578"/>
      <c r="D67" s="874"/>
      <c r="E67" s="1056"/>
      <c r="F67" s="1056"/>
      <c r="G67" s="1056"/>
      <c r="H67" s="1056"/>
      <c r="I67" s="1056"/>
      <c r="J67" s="1056"/>
      <c r="K67" s="1056"/>
      <c r="L67" s="1056"/>
      <c r="M67" s="1056"/>
      <c r="N67" s="1056"/>
      <c r="O67" s="1056"/>
      <c r="P67" s="1056"/>
      <c r="Q67" s="1056"/>
      <c r="R67" s="1056"/>
      <c r="S67" s="1056"/>
      <c r="T67" s="1056"/>
      <c r="U67" s="440"/>
    </row>
    <row r="68" spans="1:21" ht="12.95" customHeight="1" x14ac:dyDescent="0.2">
      <c r="A68" s="440"/>
      <c r="B68" s="578"/>
      <c r="C68" s="579"/>
      <c r="D68" s="874"/>
      <c r="E68" s="1056"/>
      <c r="F68" s="1056"/>
      <c r="G68" s="1056"/>
      <c r="H68" s="1056"/>
      <c r="I68" s="1056"/>
      <c r="J68" s="1056"/>
      <c r="K68" s="1056"/>
      <c r="L68" s="1056"/>
      <c r="M68" s="1056"/>
      <c r="N68" s="1056"/>
      <c r="O68" s="1056"/>
      <c r="P68" s="1056"/>
      <c r="Q68" s="1056"/>
      <c r="R68" s="1056"/>
      <c r="S68" s="1056"/>
      <c r="T68" s="1056"/>
      <c r="U68" s="440"/>
    </row>
    <row r="69" spans="1:21" ht="12.95" customHeight="1" x14ac:dyDescent="0.2">
      <c r="A69" s="440"/>
      <c r="B69" s="578"/>
      <c r="C69" s="578"/>
      <c r="D69" s="874"/>
      <c r="E69" s="1056"/>
      <c r="F69" s="1056"/>
      <c r="G69" s="1056"/>
      <c r="H69" s="1056"/>
      <c r="I69" s="1056"/>
      <c r="J69" s="1056"/>
      <c r="K69" s="1056"/>
      <c r="L69" s="1056"/>
      <c r="M69" s="1056"/>
      <c r="N69" s="1056"/>
      <c r="O69" s="1056"/>
      <c r="P69" s="1056"/>
      <c r="Q69" s="1056"/>
      <c r="R69" s="1056"/>
      <c r="S69" s="1056"/>
      <c r="T69" s="1056"/>
      <c r="U69" s="440"/>
    </row>
    <row r="70" spans="1:21" ht="12.95" customHeight="1" x14ac:dyDescent="0.2">
      <c r="A70" s="440"/>
      <c r="B70" s="578"/>
      <c r="C70" s="579"/>
      <c r="D70" s="874"/>
      <c r="E70" s="1056"/>
      <c r="F70" s="1056"/>
      <c r="G70" s="1056"/>
      <c r="H70" s="1056"/>
      <c r="I70" s="1056"/>
      <c r="J70" s="1056"/>
      <c r="K70" s="1056"/>
      <c r="L70" s="1056"/>
      <c r="M70" s="1056"/>
      <c r="N70" s="1056"/>
      <c r="O70" s="1056"/>
      <c r="P70" s="1056"/>
      <c r="Q70" s="1056"/>
      <c r="R70" s="1056"/>
      <c r="S70" s="1056"/>
      <c r="T70" s="1056"/>
      <c r="U70" s="440"/>
    </row>
    <row r="71" spans="1:21" ht="12.95" customHeight="1" x14ac:dyDescent="0.2">
      <c r="A71" s="440"/>
      <c r="B71" s="578"/>
      <c r="C71" s="578"/>
      <c r="D71" s="874"/>
      <c r="E71" s="1056"/>
      <c r="F71" s="1056"/>
      <c r="G71" s="1056"/>
      <c r="H71" s="1056"/>
      <c r="I71" s="1056"/>
      <c r="J71" s="1056"/>
      <c r="K71" s="1056"/>
      <c r="L71" s="1056"/>
      <c r="M71" s="1056"/>
      <c r="N71" s="1056"/>
      <c r="O71" s="1056"/>
      <c r="P71" s="1056"/>
      <c r="Q71" s="1056"/>
      <c r="R71" s="1056"/>
      <c r="S71" s="1056"/>
      <c r="T71" s="1056"/>
      <c r="U71" s="440"/>
    </row>
    <row r="72" spans="1:21" ht="12.95" customHeight="1" x14ac:dyDescent="0.2">
      <c r="A72" s="440"/>
      <c r="B72" s="578"/>
      <c r="C72" s="579"/>
      <c r="D72" s="874"/>
      <c r="E72" s="1056"/>
      <c r="F72" s="1056"/>
      <c r="G72" s="1056"/>
      <c r="H72" s="1056"/>
      <c r="I72" s="1056"/>
      <c r="J72" s="1056"/>
      <c r="K72" s="1056"/>
      <c r="L72" s="1056"/>
      <c r="M72" s="1056"/>
      <c r="N72" s="1056"/>
      <c r="O72" s="1056"/>
      <c r="P72" s="1056"/>
      <c r="Q72" s="1056"/>
      <c r="R72" s="1056"/>
      <c r="S72" s="1056"/>
      <c r="T72" s="1056"/>
      <c r="U72" s="440"/>
    </row>
    <row r="73" spans="1:21" ht="12.95" customHeight="1" x14ac:dyDescent="0.2">
      <c r="A73" s="440"/>
      <c r="B73" s="578"/>
      <c r="C73" s="578"/>
      <c r="D73" s="874"/>
      <c r="E73" s="1056"/>
      <c r="F73" s="1056"/>
      <c r="G73" s="1056"/>
      <c r="H73" s="1056"/>
      <c r="I73" s="1056"/>
      <c r="J73" s="1056"/>
      <c r="K73" s="1056"/>
      <c r="L73" s="1056"/>
      <c r="M73" s="1056"/>
      <c r="N73" s="1056"/>
      <c r="O73" s="1056"/>
      <c r="P73" s="1056"/>
      <c r="Q73" s="1056"/>
      <c r="R73" s="1056"/>
      <c r="S73" s="1056"/>
      <c r="T73" s="1056"/>
      <c r="U73" s="440"/>
    </row>
    <row r="74" spans="1:21" ht="12.75" customHeight="1" x14ac:dyDescent="0.2">
      <c r="A74" s="440"/>
      <c r="B74" s="578"/>
      <c r="C74" s="579"/>
      <c r="D74" s="874"/>
      <c r="E74" s="1056"/>
      <c r="F74" s="1056"/>
      <c r="G74" s="1056"/>
      <c r="H74" s="1056"/>
      <c r="I74" s="1056"/>
      <c r="J74" s="1056"/>
      <c r="K74" s="1056"/>
      <c r="L74" s="1056"/>
      <c r="M74" s="1056"/>
      <c r="N74" s="1056"/>
      <c r="O74" s="1056"/>
      <c r="P74" s="1056"/>
      <c r="Q74" s="1056"/>
      <c r="R74" s="1056"/>
      <c r="S74" s="1056"/>
      <c r="T74" s="1056"/>
      <c r="U74" s="440"/>
    </row>
    <row r="75" spans="1:21" ht="12.95" customHeight="1" x14ac:dyDescent="0.2">
      <c r="A75" s="440"/>
      <c r="B75" s="578"/>
      <c r="C75" s="578"/>
      <c r="D75" s="874"/>
      <c r="E75" s="1056"/>
      <c r="F75" s="1056"/>
      <c r="G75" s="1056"/>
      <c r="H75" s="1056"/>
      <c r="I75" s="1056"/>
      <c r="J75" s="1056"/>
      <c r="K75" s="1056"/>
      <c r="L75" s="1056"/>
      <c r="M75" s="1056"/>
      <c r="N75" s="1056"/>
      <c r="O75" s="1056"/>
      <c r="P75" s="1056"/>
      <c r="Q75" s="1056"/>
      <c r="R75" s="1056"/>
      <c r="S75" s="1056"/>
      <c r="T75" s="1056"/>
      <c r="U75" s="440"/>
    </row>
    <row r="76" spans="1:21" ht="12.95" customHeight="1" x14ac:dyDescent="0.2">
      <c r="A76" s="440"/>
      <c r="B76" s="578"/>
      <c r="C76" s="579"/>
      <c r="D76" s="874"/>
      <c r="E76" s="1056"/>
      <c r="F76" s="1056"/>
      <c r="G76" s="1056"/>
      <c r="H76" s="1056"/>
      <c r="I76" s="1056"/>
      <c r="J76" s="1056"/>
      <c r="K76" s="1056"/>
      <c r="L76" s="1056"/>
      <c r="M76" s="1056"/>
      <c r="N76" s="1056"/>
      <c r="O76" s="1056"/>
      <c r="P76" s="1056"/>
      <c r="Q76" s="1056"/>
      <c r="R76" s="1056"/>
      <c r="S76" s="1056"/>
      <c r="T76" s="1056"/>
      <c r="U76" s="440"/>
    </row>
    <row r="77" spans="1:21" ht="12.95" customHeight="1" x14ac:dyDescent="0.2">
      <c r="A77" s="440"/>
      <c r="B77" s="578"/>
      <c r="C77" s="578"/>
      <c r="D77" s="874"/>
      <c r="E77" s="1056"/>
      <c r="F77" s="1056"/>
      <c r="G77" s="1056"/>
      <c r="H77" s="1056"/>
      <c r="I77" s="1056"/>
      <c r="J77" s="1056"/>
      <c r="K77" s="1056"/>
      <c r="L77" s="1056"/>
      <c r="M77" s="1056"/>
      <c r="N77" s="1056"/>
      <c r="O77" s="1056"/>
      <c r="P77" s="1056"/>
      <c r="Q77" s="1056"/>
      <c r="R77" s="1056"/>
      <c r="S77" s="1056"/>
      <c r="T77" s="872"/>
      <c r="U77" s="440"/>
    </row>
    <row r="78" spans="1:21" ht="12.95" customHeight="1" x14ac:dyDescent="0.2">
      <c r="A78" s="440"/>
      <c r="B78" s="578"/>
      <c r="C78" s="579"/>
      <c r="D78" s="874"/>
      <c r="E78" s="1056"/>
      <c r="F78" s="1056"/>
      <c r="G78" s="1056"/>
      <c r="H78" s="1056"/>
      <c r="I78" s="1056"/>
      <c r="J78" s="1056"/>
      <c r="K78" s="1056"/>
      <c r="L78" s="1056"/>
      <c r="M78" s="1056"/>
      <c r="N78" s="1056"/>
      <c r="O78" s="1056"/>
      <c r="P78" s="1056"/>
      <c r="Q78" s="1056"/>
      <c r="R78" s="1056"/>
      <c r="S78" s="1056"/>
      <c r="T78" s="872"/>
      <c r="U78" s="440"/>
    </row>
    <row r="79" spans="1:21" ht="12.95" customHeight="1" x14ac:dyDescent="0.2">
      <c r="A79" s="440"/>
      <c r="B79" s="578"/>
      <c r="C79" s="578"/>
      <c r="D79" s="874"/>
      <c r="E79" s="1056"/>
      <c r="F79" s="1056"/>
      <c r="G79" s="1056"/>
      <c r="H79" s="1056"/>
      <c r="I79" s="1056"/>
      <c r="J79" s="1056"/>
      <c r="K79" s="1056"/>
      <c r="L79" s="1056"/>
      <c r="M79" s="1056"/>
      <c r="N79" s="1056"/>
      <c r="O79" s="1056"/>
      <c r="P79" s="1056"/>
      <c r="Q79" s="1056"/>
      <c r="R79" s="1056"/>
      <c r="S79" s="1056"/>
      <c r="T79" s="872"/>
      <c r="U79" s="440"/>
    </row>
    <row r="80" spans="1:21" ht="12.95" customHeight="1" x14ac:dyDescent="0.2">
      <c r="A80" s="440"/>
      <c r="B80" s="578"/>
      <c r="C80" s="579"/>
      <c r="D80" s="874"/>
      <c r="E80" s="1056"/>
      <c r="F80" s="1056"/>
      <c r="G80" s="1056"/>
      <c r="H80" s="1056"/>
      <c r="I80" s="1056"/>
      <c r="J80" s="1056"/>
      <c r="K80" s="1056"/>
      <c r="L80" s="1056"/>
      <c r="M80" s="1056"/>
      <c r="N80" s="1056"/>
      <c r="O80" s="1056"/>
      <c r="P80" s="1056"/>
      <c r="Q80" s="1056"/>
      <c r="R80" s="1056"/>
      <c r="S80" s="1056"/>
      <c r="T80" s="872"/>
      <c r="U80" s="440"/>
    </row>
    <row r="81" spans="1:21" ht="12.95" customHeight="1" x14ac:dyDescent="0.2">
      <c r="A81" s="440"/>
      <c r="B81" s="578"/>
      <c r="C81" s="578"/>
      <c r="D81" s="874"/>
      <c r="E81" s="1056"/>
      <c r="F81" s="1056"/>
      <c r="G81" s="1056"/>
      <c r="H81" s="1056"/>
      <c r="I81" s="1056"/>
      <c r="J81" s="1056"/>
      <c r="K81" s="1056"/>
      <c r="L81" s="1056"/>
      <c r="M81" s="1056"/>
      <c r="N81" s="1056"/>
      <c r="O81" s="1056"/>
      <c r="P81" s="1056"/>
      <c r="Q81" s="1056"/>
      <c r="R81" s="1056"/>
      <c r="S81" s="1056"/>
      <c r="T81" s="872"/>
      <c r="U81" s="440"/>
    </row>
    <row r="82" spans="1:21" ht="12.95" customHeight="1" x14ac:dyDescent="0.2">
      <c r="A82" s="440"/>
      <c r="B82" s="578"/>
      <c r="C82" s="579"/>
      <c r="D82" s="874"/>
      <c r="E82" s="1056"/>
      <c r="F82" s="1056"/>
      <c r="G82" s="1056"/>
      <c r="H82" s="1056"/>
      <c r="I82" s="1056"/>
      <c r="J82" s="1056"/>
      <c r="K82" s="1056"/>
      <c r="L82" s="1056"/>
      <c r="M82" s="1056"/>
      <c r="N82" s="1056"/>
      <c r="O82" s="1056"/>
      <c r="P82" s="1056"/>
      <c r="Q82" s="1056"/>
      <c r="R82" s="1056"/>
      <c r="S82" s="1056"/>
      <c r="T82" s="1058"/>
      <c r="U82" s="440"/>
    </row>
    <row r="83" spans="1:21" ht="12.95" customHeight="1" x14ac:dyDescent="0.2">
      <c r="A83" s="440"/>
      <c r="B83" s="1056"/>
      <c r="C83" s="1204"/>
      <c r="D83" s="1056"/>
      <c r="E83" s="1056"/>
      <c r="F83" s="1056"/>
      <c r="G83" s="1056"/>
      <c r="H83" s="1056"/>
      <c r="I83" s="1056"/>
      <c r="J83" s="1056"/>
      <c r="K83" s="1056"/>
      <c r="L83" s="1056"/>
      <c r="M83" s="1056"/>
      <c r="N83" s="1056"/>
      <c r="O83" s="1056"/>
      <c r="P83" s="1056"/>
      <c r="Q83" s="1056"/>
      <c r="R83" s="1056"/>
      <c r="S83" s="1056"/>
      <c r="T83" s="1058"/>
      <c r="U83" s="440"/>
    </row>
    <row r="84" spans="1:21" ht="12.95" customHeight="1" x14ac:dyDescent="0.2">
      <c r="A84" s="440"/>
      <c r="B84" s="1056"/>
      <c r="C84" s="1056"/>
      <c r="D84" s="1056"/>
      <c r="E84" s="1056"/>
      <c r="F84" s="1056"/>
      <c r="G84" s="1056"/>
      <c r="H84" s="1056"/>
      <c r="I84" s="1056"/>
      <c r="J84" s="1056"/>
      <c r="K84" s="1056"/>
      <c r="L84" s="1056"/>
      <c r="M84" s="1056"/>
      <c r="N84" s="1056"/>
      <c r="O84" s="1056"/>
      <c r="P84" s="1056"/>
      <c r="Q84" s="1056"/>
      <c r="R84" s="1056"/>
      <c r="S84" s="1056"/>
      <c r="T84" s="1058"/>
      <c r="U84" s="440"/>
    </row>
    <row r="85" spans="1:21" ht="12.95" customHeight="1" x14ac:dyDescent="0.2">
      <c r="A85" s="440"/>
      <c r="B85" s="1056"/>
      <c r="C85" s="1056"/>
      <c r="D85" s="1056"/>
      <c r="E85" s="1056"/>
      <c r="F85" s="1056"/>
      <c r="G85" s="1056"/>
      <c r="H85" s="1056"/>
      <c r="I85" s="1056"/>
      <c r="J85" s="1056"/>
      <c r="K85" s="1056"/>
      <c r="L85" s="1056"/>
      <c r="M85" s="1056"/>
      <c r="N85" s="1056"/>
      <c r="O85" s="1056"/>
      <c r="P85" s="1056"/>
      <c r="Q85" s="1056"/>
      <c r="R85" s="1056"/>
      <c r="S85" s="1056"/>
      <c r="T85" s="1058"/>
      <c r="U85" s="440"/>
    </row>
    <row r="86" spans="1:21" ht="15" customHeight="1" x14ac:dyDescent="0.2">
      <c r="A86" s="440"/>
      <c r="B86" s="1056"/>
      <c r="C86" s="1056"/>
      <c r="D86" s="1056"/>
      <c r="E86" s="1056"/>
      <c r="F86" s="1056"/>
      <c r="G86" s="1056"/>
      <c r="H86" s="1056"/>
      <c r="I86" s="1056"/>
      <c r="J86" s="1056"/>
      <c r="K86" s="1056"/>
      <c r="L86" s="1056"/>
      <c r="M86" s="1056"/>
      <c r="N86" s="1056"/>
      <c r="O86" s="1056"/>
      <c r="P86" s="1056"/>
      <c r="Q86" s="1056"/>
      <c r="R86" s="1056"/>
      <c r="S86" s="1056"/>
      <c r="T86" s="1056"/>
      <c r="U86" s="440"/>
    </row>
    <row r="87" spans="1:21" ht="15" customHeight="1" x14ac:dyDescent="0.2">
      <c r="A87" s="440"/>
      <c r="B87" s="440"/>
      <c r="C87" s="440"/>
      <c r="D87" s="440"/>
      <c r="E87" s="440"/>
      <c r="F87" s="440"/>
      <c r="G87" s="440"/>
      <c r="H87" s="440"/>
      <c r="I87" s="440"/>
      <c r="J87" s="440"/>
      <c r="K87" s="440"/>
      <c r="L87" s="440"/>
      <c r="M87" s="440"/>
      <c r="N87" s="440"/>
      <c r="O87" s="440"/>
      <c r="P87" s="440"/>
      <c r="Q87" s="440"/>
      <c r="R87" s="440"/>
      <c r="S87" s="440"/>
      <c r="T87" s="440"/>
      <c r="U87" s="440"/>
    </row>
    <row r="88" spans="1:21" ht="15" customHeight="1" x14ac:dyDescent="0.25"/>
    <row r="89" spans="1:21" ht="15" customHeight="1" x14ac:dyDescent="0.25"/>
    <row r="90" spans="1:21" ht="15.75" customHeight="1" x14ac:dyDescent="0.25"/>
    <row r="91" spans="1:21" ht="15" customHeight="1" x14ac:dyDescent="0.25"/>
    <row r="92" spans="1:21" ht="15.75" customHeight="1" x14ac:dyDescent="0.25"/>
    <row r="93" spans="1:21" ht="15" customHeight="1" x14ac:dyDescent="0.25"/>
    <row r="94" spans="1:21" ht="15" customHeight="1" x14ac:dyDescent="0.25"/>
    <row r="95" spans="1:21" ht="15" customHeight="1" x14ac:dyDescent="0.25"/>
    <row r="96" spans="1:21"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75" customHeight="1" x14ac:dyDescent="0.25"/>
    <row r="122" ht="15" customHeight="1" x14ac:dyDescent="0.25"/>
    <row r="123" ht="15" customHeight="1" x14ac:dyDescent="0.25"/>
    <row r="124" ht="15" customHeight="1" x14ac:dyDescent="0.25"/>
    <row r="125" ht="15" customHeight="1" x14ac:dyDescent="0.25"/>
    <row r="126" ht="15" customHeight="1" x14ac:dyDescent="0.25"/>
    <row r="127" ht="15.75" customHeight="1" x14ac:dyDescent="0.25"/>
    <row r="128" ht="15.75" customHeight="1" x14ac:dyDescent="0.25"/>
    <row r="129" ht="15.75" customHeight="1" x14ac:dyDescent="0.25"/>
    <row r="130" ht="15.75" customHeight="1" x14ac:dyDescent="0.25"/>
    <row r="131" ht="15" customHeight="1" x14ac:dyDescent="0.25"/>
    <row r="132" ht="15" customHeight="1" x14ac:dyDescent="0.25"/>
    <row r="133" ht="15" customHeight="1" x14ac:dyDescent="0.25"/>
    <row r="134" ht="15.75" customHeight="1" x14ac:dyDescent="0.25"/>
    <row r="135" ht="15.75" customHeight="1" x14ac:dyDescent="0.25"/>
    <row r="136" ht="15" customHeight="1" x14ac:dyDescent="0.25"/>
    <row r="137" ht="15" customHeight="1" x14ac:dyDescent="0.25"/>
    <row r="138" ht="15.75" customHeight="1" x14ac:dyDescent="0.25"/>
    <row r="139" ht="15.75" customHeight="1" x14ac:dyDescent="0.25"/>
    <row r="140" ht="15.75" customHeight="1" x14ac:dyDescent="0.25"/>
    <row r="141" ht="15" customHeight="1" x14ac:dyDescent="0.25"/>
    <row r="142" ht="15.7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75" customHeight="1" x14ac:dyDescent="0.25"/>
    <row r="196" ht="15" customHeight="1" x14ac:dyDescent="0.25"/>
    <row r="197" ht="15.7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7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75" customHeight="1" x14ac:dyDescent="0.25"/>
    <row r="281" ht="11.25" customHeight="1" x14ac:dyDescent="0.25"/>
    <row r="284" ht="11.25" customHeight="1" x14ac:dyDescent="0.25"/>
    <row r="289" ht="11.25" customHeight="1" x14ac:dyDescent="0.25"/>
    <row r="322" ht="11.25" customHeight="1" x14ac:dyDescent="0.25"/>
    <row r="324" ht="11.25" customHeight="1" x14ac:dyDescent="0.25"/>
    <row r="347" ht="11.25" customHeight="1" x14ac:dyDescent="0.25"/>
    <row r="349" ht="11.25" customHeight="1" x14ac:dyDescent="0.25"/>
    <row r="438" ht="11.25" customHeight="1" x14ac:dyDescent="0.25"/>
    <row r="440" ht="11.25" customHeight="1" x14ac:dyDescent="0.25"/>
    <row r="477" ht="11.25" customHeight="1" x14ac:dyDescent="0.25"/>
    <row r="479" ht="11.25" customHeight="1" x14ac:dyDescent="0.25"/>
    <row r="502" ht="11.25" customHeight="1" x14ac:dyDescent="0.25"/>
    <row r="504" ht="11.25" customHeight="1" x14ac:dyDescent="0.25"/>
    <row r="593" ht="11.25" customHeight="1" x14ac:dyDescent="0.25"/>
    <row r="595" ht="11.25" customHeight="1" x14ac:dyDescent="0.25"/>
    <row r="630" ht="11.25" customHeight="1" x14ac:dyDescent="0.25"/>
    <row r="631" ht="11.25" customHeight="1" x14ac:dyDescent="0.25"/>
    <row r="655" ht="11.25" customHeight="1" x14ac:dyDescent="0.25"/>
    <row r="656" ht="11.25" customHeight="1" x14ac:dyDescent="0.25"/>
    <row r="746" ht="11.25" customHeight="1" x14ac:dyDescent="0.25"/>
    <row r="747" ht="11.25" customHeight="1" x14ac:dyDescent="0.25"/>
  </sheetData>
  <sheetProtection sheet="1" objects="1" scenarios="1" selectLockedCells="1"/>
  <dataConsolidate/>
  <mergeCells count="27">
    <mergeCell ref="I13:L13"/>
    <mergeCell ref="I14:L14"/>
    <mergeCell ref="I15:L15"/>
    <mergeCell ref="C46:E47"/>
    <mergeCell ref="C14:E14"/>
    <mergeCell ref="C13:E13"/>
    <mergeCell ref="C42:E42"/>
    <mergeCell ref="C38:E38"/>
    <mergeCell ref="C39:E39"/>
    <mergeCell ref="C43:E43"/>
    <mergeCell ref="C40:E40"/>
    <mergeCell ref="C41:E41"/>
    <mergeCell ref="C34:E34"/>
    <mergeCell ref="C35:E35"/>
    <mergeCell ref="C36:E36"/>
    <mergeCell ref="C37:E37"/>
    <mergeCell ref="P18:Q18"/>
    <mergeCell ref="I18:L18"/>
    <mergeCell ref="C15:E15"/>
    <mergeCell ref="C16:E16"/>
    <mergeCell ref="C17:E17"/>
    <mergeCell ref="P14:Q14"/>
    <mergeCell ref="P15:Q15"/>
    <mergeCell ref="P16:Q16"/>
    <mergeCell ref="I16:L16"/>
    <mergeCell ref="I17:L17"/>
    <mergeCell ref="P17:Q17"/>
  </mergeCells>
  <conditionalFormatting sqref="I14:N18">
    <cfRule type="expression" dxfId="325" priority="2">
      <formula>IF($P14="Referenzvariante",TRUE,FALSE)</formula>
    </cfRule>
  </conditionalFormatting>
  <conditionalFormatting sqref="G47:J47">
    <cfRule type="top10" dxfId="324" priority="1" bottom="1" rank="1"/>
  </conditionalFormatting>
  <pageMargins left="0.23622047244094491" right="0.23622047244094491" top="0.74803149606299213" bottom="0.74803149606299213" header="0.31496062992125984" footer="0.31496062992125984"/>
  <pageSetup paperSize="9" scale="52" fitToHeight="2" orientation="landscape" r:id="rId1"/>
  <rowBreaks count="1" manualBreakCount="1">
    <brk id="52" max="20" man="1"/>
  </rowBreaks>
  <ignoredErrors>
    <ignoredError sqref="C58:D5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56075" r:id="rId4" name="Check Box 75">
              <controlPr defaultSize="0" autoFill="0" autoLine="0" autoPict="0">
                <anchor moveWithCells="1">
                  <from>
                    <xdr:col>2</xdr:col>
                    <xdr:colOff>0</xdr:colOff>
                    <xdr:row>63</xdr:row>
                    <xdr:rowOff>0</xdr:rowOff>
                  </from>
                  <to>
                    <xdr:col>5</xdr:col>
                    <xdr:colOff>57150</xdr:colOff>
                    <xdr:row>64</xdr:row>
                    <xdr:rowOff>76200</xdr:rowOff>
                  </to>
                </anchor>
              </controlPr>
            </control>
          </mc:Choice>
        </mc:AlternateContent>
        <mc:AlternateContent xmlns:mc="http://schemas.openxmlformats.org/markup-compatibility/2006">
          <mc:Choice Requires="x14">
            <control shapeId="256079" r:id="rId5" name="Check Box 79">
              <controlPr defaultSize="0" autoFill="0" autoLine="0" autoPict="0">
                <anchor moveWithCells="1">
                  <from>
                    <xdr:col>2</xdr:col>
                    <xdr:colOff>0</xdr:colOff>
                    <xdr:row>64</xdr:row>
                    <xdr:rowOff>142875</xdr:rowOff>
                  </from>
                  <to>
                    <xdr:col>4</xdr:col>
                    <xdr:colOff>495300</xdr:colOff>
                    <xdr:row>66</xdr:row>
                    <xdr:rowOff>38100</xdr:rowOff>
                  </to>
                </anchor>
              </controlPr>
            </control>
          </mc:Choice>
        </mc:AlternateContent>
        <mc:AlternateContent xmlns:mc="http://schemas.openxmlformats.org/markup-compatibility/2006">
          <mc:Choice Requires="x14">
            <control shapeId="256080" r:id="rId6" name="Check Box 80">
              <controlPr defaultSize="0" autoFill="0" autoLine="0" autoPict="0">
                <anchor moveWithCells="1">
                  <from>
                    <xdr:col>2</xdr:col>
                    <xdr:colOff>19050</xdr:colOff>
                    <xdr:row>66</xdr:row>
                    <xdr:rowOff>114300</xdr:rowOff>
                  </from>
                  <to>
                    <xdr:col>4</xdr:col>
                    <xdr:colOff>419100</xdr:colOff>
                    <xdr:row>68</xdr:row>
                    <xdr:rowOff>66675</xdr:rowOff>
                  </to>
                </anchor>
              </controlPr>
            </control>
          </mc:Choice>
        </mc:AlternateContent>
        <mc:AlternateContent xmlns:mc="http://schemas.openxmlformats.org/markup-compatibility/2006">
          <mc:Choice Requires="x14">
            <control shapeId="256081" r:id="rId7" name="Check Box 81">
              <controlPr defaultSize="0" autoFill="0" autoLine="0" autoPict="0">
                <anchor moveWithCells="1">
                  <from>
                    <xdr:col>2</xdr:col>
                    <xdr:colOff>9525</xdr:colOff>
                    <xdr:row>68</xdr:row>
                    <xdr:rowOff>152400</xdr:rowOff>
                  </from>
                  <to>
                    <xdr:col>4</xdr:col>
                    <xdr:colOff>295275</xdr:colOff>
                    <xdr:row>70</xdr:row>
                    <xdr:rowOff>47625</xdr:rowOff>
                  </to>
                </anchor>
              </controlPr>
            </control>
          </mc:Choice>
        </mc:AlternateContent>
        <mc:AlternateContent xmlns:mc="http://schemas.openxmlformats.org/markup-compatibility/2006">
          <mc:Choice Requires="x14">
            <control shapeId="256082" r:id="rId8" name="Check Box 82">
              <controlPr defaultSize="0" autoFill="0" autoLine="0" autoPict="0">
                <anchor moveWithCells="1">
                  <from>
                    <xdr:col>2</xdr:col>
                    <xdr:colOff>0</xdr:colOff>
                    <xdr:row>71</xdr:row>
                    <xdr:rowOff>9525</xdr:rowOff>
                  </from>
                  <to>
                    <xdr:col>4</xdr:col>
                    <xdr:colOff>533400</xdr:colOff>
                    <xdr:row>72</xdr:row>
                    <xdr:rowOff>66675</xdr:rowOff>
                  </to>
                </anchor>
              </controlPr>
            </control>
          </mc:Choice>
        </mc:AlternateContent>
        <mc:AlternateContent xmlns:mc="http://schemas.openxmlformats.org/markup-compatibility/2006">
          <mc:Choice Requires="x14">
            <control shapeId="256083" r:id="rId9" name="Check Box 83">
              <controlPr defaultSize="0" autoFill="0" autoLine="0" autoPict="0">
                <anchor moveWithCells="1">
                  <from>
                    <xdr:col>2</xdr:col>
                    <xdr:colOff>0</xdr:colOff>
                    <xdr:row>73</xdr:row>
                    <xdr:rowOff>9525</xdr:rowOff>
                  </from>
                  <to>
                    <xdr:col>4</xdr:col>
                    <xdr:colOff>542925</xdr:colOff>
                    <xdr:row>74</xdr:row>
                    <xdr:rowOff>66675</xdr:rowOff>
                  </to>
                </anchor>
              </controlPr>
            </control>
          </mc:Choice>
        </mc:AlternateContent>
        <mc:AlternateContent xmlns:mc="http://schemas.openxmlformats.org/markup-compatibility/2006">
          <mc:Choice Requires="x14">
            <control shapeId="256084" r:id="rId10" name="Check Box 84">
              <controlPr defaultSize="0" autoFill="0" autoLine="0" autoPict="0">
                <anchor moveWithCells="1">
                  <from>
                    <xdr:col>2</xdr:col>
                    <xdr:colOff>19050</xdr:colOff>
                    <xdr:row>74</xdr:row>
                    <xdr:rowOff>104775</xdr:rowOff>
                  </from>
                  <to>
                    <xdr:col>4</xdr:col>
                    <xdr:colOff>447675</xdr:colOff>
                    <xdr:row>76</xdr:row>
                    <xdr:rowOff>47625</xdr:rowOff>
                  </to>
                </anchor>
              </controlPr>
            </control>
          </mc:Choice>
        </mc:AlternateContent>
        <mc:AlternateContent xmlns:mc="http://schemas.openxmlformats.org/markup-compatibility/2006">
          <mc:Choice Requires="x14">
            <control shapeId="256085" r:id="rId11" name="Check Box 85">
              <controlPr defaultSize="0" autoFill="0" autoLine="0" autoPict="0">
                <anchor moveWithCells="1">
                  <from>
                    <xdr:col>2</xdr:col>
                    <xdr:colOff>0</xdr:colOff>
                    <xdr:row>76</xdr:row>
                    <xdr:rowOff>114300</xdr:rowOff>
                  </from>
                  <to>
                    <xdr:col>4</xdr:col>
                    <xdr:colOff>561975</xdr:colOff>
                    <xdr:row>78</xdr:row>
                    <xdr:rowOff>9525</xdr:rowOff>
                  </to>
                </anchor>
              </controlPr>
            </control>
          </mc:Choice>
        </mc:AlternateContent>
        <mc:AlternateContent xmlns:mc="http://schemas.openxmlformats.org/markup-compatibility/2006">
          <mc:Choice Requires="x14">
            <control shapeId="256086" r:id="rId12" name="Check Box 86">
              <controlPr defaultSize="0" autoFill="0" autoLine="0" autoPict="0">
                <anchor moveWithCells="1">
                  <from>
                    <xdr:col>2</xdr:col>
                    <xdr:colOff>0</xdr:colOff>
                    <xdr:row>78</xdr:row>
                    <xdr:rowOff>114300</xdr:rowOff>
                  </from>
                  <to>
                    <xdr:col>4</xdr:col>
                    <xdr:colOff>647700</xdr:colOff>
                    <xdr:row>80</xdr:row>
                    <xdr:rowOff>9525</xdr:rowOff>
                  </to>
                </anchor>
              </controlPr>
            </control>
          </mc:Choice>
        </mc:AlternateContent>
        <mc:AlternateContent xmlns:mc="http://schemas.openxmlformats.org/markup-compatibility/2006">
          <mc:Choice Requires="x14">
            <control shapeId="256087" r:id="rId13" name="Check Box 87">
              <controlPr defaultSize="0" autoFill="0" autoLine="0" autoPict="0">
                <anchor moveWithCells="1">
                  <from>
                    <xdr:col>2</xdr:col>
                    <xdr:colOff>0</xdr:colOff>
                    <xdr:row>80</xdr:row>
                    <xdr:rowOff>114300</xdr:rowOff>
                  </from>
                  <to>
                    <xdr:col>4</xdr:col>
                    <xdr:colOff>561975</xdr:colOff>
                    <xdr:row>82</xdr:row>
                    <xdr:rowOff>9525</xdr:rowOff>
                  </to>
                </anchor>
              </controlPr>
            </control>
          </mc:Choice>
        </mc:AlternateContent>
        <mc:AlternateContent xmlns:mc="http://schemas.openxmlformats.org/markup-compatibility/2006">
          <mc:Choice Requires="x14">
            <control shapeId="256097" r:id="rId14" name="Group Box 97">
              <controlPr defaultSize="0" autoFill="0" autoPict="0">
                <anchor moveWithCells="1">
                  <from>
                    <xdr:col>2</xdr:col>
                    <xdr:colOff>9525</xdr:colOff>
                    <xdr:row>25</xdr:row>
                    <xdr:rowOff>19050</xdr:rowOff>
                  </from>
                  <to>
                    <xdr:col>4</xdr:col>
                    <xdr:colOff>304800</xdr:colOff>
                    <xdr:row>29</xdr:row>
                    <xdr:rowOff>0</xdr:rowOff>
                  </to>
                </anchor>
              </controlPr>
            </control>
          </mc:Choice>
        </mc:AlternateContent>
        <mc:AlternateContent xmlns:mc="http://schemas.openxmlformats.org/markup-compatibility/2006">
          <mc:Choice Requires="x14">
            <control shapeId="256098" r:id="rId15" name="Option Button 98">
              <controlPr defaultSize="0" autoFill="0" autoLine="0" autoPict="0">
                <anchor moveWithCells="1">
                  <from>
                    <xdr:col>2</xdr:col>
                    <xdr:colOff>85725</xdr:colOff>
                    <xdr:row>25</xdr:row>
                    <xdr:rowOff>66675</xdr:rowOff>
                  </from>
                  <to>
                    <xdr:col>4</xdr:col>
                    <xdr:colOff>247650</xdr:colOff>
                    <xdr:row>26</xdr:row>
                    <xdr:rowOff>123825</xdr:rowOff>
                  </to>
                </anchor>
              </controlPr>
            </control>
          </mc:Choice>
        </mc:AlternateContent>
        <mc:AlternateContent xmlns:mc="http://schemas.openxmlformats.org/markup-compatibility/2006">
          <mc:Choice Requires="x14">
            <control shapeId="256099" r:id="rId16" name="Option Button 99">
              <controlPr defaultSize="0" autoFill="0" autoLine="0" autoPict="0">
                <anchor moveWithCells="1">
                  <from>
                    <xdr:col>2</xdr:col>
                    <xdr:colOff>85725</xdr:colOff>
                    <xdr:row>27</xdr:row>
                    <xdr:rowOff>0</xdr:rowOff>
                  </from>
                  <to>
                    <xdr:col>4</xdr:col>
                    <xdr:colOff>238125</xdr:colOff>
                    <xdr:row>28</xdr:row>
                    <xdr:rowOff>76200</xdr:rowOff>
                  </to>
                </anchor>
              </controlPr>
            </control>
          </mc:Choice>
        </mc:AlternateContent>
        <mc:AlternateContent xmlns:mc="http://schemas.openxmlformats.org/markup-compatibility/2006">
          <mc:Choice Requires="x14">
            <control shapeId="256110" r:id="rId17" name="Drop Down 110">
              <controlPr locked="0" defaultSize="0" autoLine="0" autoPict="0">
                <anchor moveWithCells="1">
                  <from>
                    <xdr:col>12</xdr:col>
                    <xdr:colOff>742950</xdr:colOff>
                    <xdr:row>21</xdr:row>
                    <xdr:rowOff>133350</xdr:rowOff>
                  </from>
                  <to>
                    <xdr:col>14</xdr:col>
                    <xdr:colOff>142875</xdr:colOff>
                    <xdr:row>23</xdr:row>
                    <xdr:rowOff>9525</xdr:rowOff>
                  </to>
                </anchor>
              </controlPr>
            </control>
          </mc:Choice>
        </mc:AlternateContent>
        <mc:AlternateContent xmlns:mc="http://schemas.openxmlformats.org/markup-compatibility/2006">
          <mc:Choice Requires="x14">
            <control shapeId="256111" r:id="rId18" name="Drop Down 111">
              <controlPr defaultSize="0" autoLine="0" autoPict="0">
                <anchor moveWithCells="1">
                  <from>
                    <xdr:col>14</xdr:col>
                    <xdr:colOff>152400</xdr:colOff>
                    <xdr:row>21</xdr:row>
                    <xdr:rowOff>123825</xdr:rowOff>
                  </from>
                  <to>
                    <xdr:col>15</xdr:col>
                    <xdr:colOff>438150</xdr:colOff>
                    <xdr:row>23</xdr:row>
                    <xdr:rowOff>0</xdr:rowOff>
                  </to>
                </anchor>
              </controlPr>
            </control>
          </mc:Choice>
        </mc:AlternateContent>
        <mc:AlternateContent xmlns:mc="http://schemas.openxmlformats.org/markup-compatibility/2006">
          <mc:Choice Requires="x14">
            <control shapeId="256112" r:id="rId19" name="Drop Down 112">
              <controlPr defaultSize="0" autoLine="0" autoPict="0">
                <anchor moveWithCells="1">
                  <from>
                    <xdr:col>15</xdr:col>
                    <xdr:colOff>447675</xdr:colOff>
                    <xdr:row>21</xdr:row>
                    <xdr:rowOff>123825</xdr:rowOff>
                  </from>
                  <to>
                    <xdr:col>17</xdr:col>
                    <xdr:colOff>123825</xdr:colOff>
                    <xdr:row>23</xdr:row>
                    <xdr:rowOff>0</xdr:rowOff>
                  </to>
                </anchor>
              </controlPr>
            </control>
          </mc:Choice>
        </mc:AlternateContent>
        <mc:AlternateContent xmlns:mc="http://schemas.openxmlformats.org/markup-compatibility/2006">
          <mc:Choice Requires="x14">
            <control shapeId="256113" r:id="rId20" name="Drop Down 113">
              <controlPr defaultSize="0" autoLine="0" autoPict="0">
                <anchor moveWithCells="1">
                  <from>
                    <xdr:col>17</xdr:col>
                    <xdr:colOff>123825</xdr:colOff>
                    <xdr:row>21</xdr:row>
                    <xdr:rowOff>123825</xdr:rowOff>
                  </from>
                  <to>
                    <xdr:col>18</xdr:col>
                    <xdr:colOff>409575</xdr:colOff>
                    <xdr:row>23</xdr:row>
                    <xdr:rowOff>0</xdr:rowOff>
                  </to>
                </anchor>
              </controlPr>
            </control>
          </mc:Choice>
        </mc:AlternateContent>
        <mc:AlternateContent xmlns:mc="http://schemas.openxmlformats.org/markup-compatibility/2006">
          <mc:Choice Requires="x14">
            <control shapeId="256116" r:id="rId21" name="Drop Down 116">
              <controlPr defaultSize="0" autoLine="0" autoPict="0">
                <anchor moveWithCells="1">
                  <from>
                    <xdr:col>1</xdr:col>
                    <xdr:colOff>571500</xdr:colOff>
                    <xdr:row>56</xdr:row>
                    <xdr:rowOff>152400</xdr:rowOff>
                  </from>
                  <to>
                    <xdr:col>5</xdr:col>
                    <xdr:colOff>76200</xdr:colOff>
                    <xdr:row>58</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rgb="FF002060"/>
  </sheetPr>
  <dimension ref="A1:AF95"/>
  <sheetViews>
    <sheetView showGridLines="0" zoomScaleNormal="100" workbookViewId="0">
      <pane ySplit="8" topLeftCell="A9" activePane="bottomLeft" state="frozen"/>
      <selection pane="bottomLeft" activeCell="C6" sqref="C6:F6"/>
    </sheetView>
  </sheetViews>
  <sheetFormatPr baseColWidth="10" defaultRowHeight="14.25" x14ac:dyDescent="0.2"/>
  <cols>
    <col min="1" max="1" width="4.28515625" style="700" customWidth="1"/>
    <col min="2" max="2" width="10.140625" style="700" customWidth="1"/>
    <col min="3" max="3" width="17.5703125" style="700" customWidth="1"/>
    <col min="4" max="4" width="8.140625" style="700" customWidth="1"/>
    <col min="5" max="5" width="9.85546875" style="700" customWidth="1"/>
    <col min="6" max="6" width="8" style="700" customWidth="1"/>
    <col min="7" max="7" width="9.42578125" style="700" customWidth="1"/>
    <col min="8" max="8" width="9" style="700" customWidth="1"/>
    <col min="9" max="9" width="8.28515625" style="700" customWidth="1"/>
    <col min="10" max="10" width="9.28515625" style="700" customWidth="1"/>
    <col min="11" max="11" width="10.140625" style="700" customWidth="1"/>
    <col min="12" max="12" width="10.5703125" style="700" customWidth="1"/>
    <col min="13" max="14" width="10.42578125" style="700" customWidth="1"/>
    <col min="15" max="15" width="10.28515625" style="700" customWidth="1"/>
    <col min="16" max="16" width="10.42578125" style="700" customWidth="1"/>
    <col min="17" max="17" width="11" style="700" customWidth="1"/>
    <col min="18" max="18" width="8.42578125" style="700" customWidth="1"/>
    <col min="19" max="19" width="9.5703125" style="700" customWidth="1"/>
    <col min="20" max="20" width="15.85546875" style="700" customWidth="1"/>
    <col min="21" max="21" width="11.42578125" style="700" hidden="1" customWidth="1"/>
    <col min="22" max="22" width="4.28515625" style="700" customWidth="1"/>
    <col min="23" max="25" width="11.42578125" style="700" hidden="1" customWidth="1"/>
    <col min="26" max="26" width="32.42578125" style="700" hidden="1" customWidth="1"/>
    <col min="27" max="29" width="11.42578125" style="700" hidden="1" customWidth="1"/>
    <col min="30" max="32" width="11.42578125" style="700" customWidth="1"/>
    <col min="33" max="16384" width="11.42578125" style="700"/>
  </cols>
  <sheetData>
    <row r="1" spans="1:22" s="460" customFormat="1" ht="24.95" customHeight="1" x14ac:dyDescent="0.35">
      <c r="A1" s="459"/>
      <c r="B1" s="713" t="s">
        <v>806</v>
      </c>
      <c r="C1" s="459"/>
      <c r="D1" s="459"/>
      <c r="E1" s="459"/>
      <c r="F1" s="459"/>
      <c r="G1" s="459"/>
      <c r="H1" s="459"/>
      <c r="I1" s="459"/>
      <c r="J1" s="459"/>
      <c r="K1" s="459"/>
      <c r="L1" s="459"/>
      <c r="M1" s="459"/>
      <c r="N1" s="459"/>
      <c r="O1" s="459"/>
      <c r="P1" s="459"/>
      <c r="Q1" s="459"/>
      <c r="R1" s="459"/>
      <c r="S1" s="459"/>
      <c r="T1" s="459"/>
      <c r="U1" s="440"/>
      <c r="V1" s="459"/>
    </row>
    <row r="2" spans="1:22" s="327" customFormat="1" ht="50.1" customHeight="1" x14ac:dyDescent="0.2">
      <c r="A2" s="440"/>
      <c r="B2" s="1164"/>
      <c r="C2" s="1165"/>
      <c r="D2" s="1165"/>
      <c r="E2" s="1165"/>
      <c r="F2" s="1165"/>
      <c r="G2" s="1165"/>
      <c r="H2" s="1165"/>
      <c r="I2" s="1165"/>
      <c r="J2" s="1165"/>
      <c r="K2" s="1165"/>
      <c r="L2" s="1165"/>
      <c r="M2" s="1165"/>
      <c r="N2" s="1165"/>
      <c r="O2" s="1165"/>
      <c r="P2" s="1165"/>
      <c r="Q2" s="1165"/>
      <c r="R2" s="1165"/>
      <c r="S2" s="1165"/>
      <c r="T2" s="1165"/>
      <c r="U2" s="440"/>
      <c r="V2" s="440"/>
    </row>
    <row r="3" spans="1:22" s="460" customFormat="1" ht="11.25" x14ac:dyDescent="0.2">
      <c r="A3" s="440"/>
      <c r="B3" s="380"/>
      <c r="C3" s="380"/>
      <c r="D3" s="380"/>
      <c r="E3" s="380"/>
      <c r="F3" s="380"/>
      <c r="G3" s="380"/>
      <c r="H3" s="380"/>
      <c r="I3" s="380"/>
      <c r="J3" s="380"/>
      <c r="K3" s="380"/>
      <c r="L3" s="380"/>
      <c r="M3" s="380"/>
      <c r="N3" s="380"/>
      <c r="O3" s="380"/>
      <c r="P3" s="380"/>
      <c r="Q3" s="380"/>
      <c r="R3" s="380"/>
      <c r="S3" s="380"/>
      <c r="T3" s="380"/>
      <c r="V3" s="440"/>
    </row>
    <row r="4" spans="1:22" s="460" customFormat="1" ht="12.95" customHeight="1" x14ac:dyDescent="0.2">
      <c r="A4" s="440"/>
      <c r="B4" s="1052" t="s">
        <v>404</v>
      </c>
      <c r="C4" s="1573" t="s">
        <v>736</v>
      </c>
      <c r="D4" s="1574"/>
      <c r="E4" s="1574"/>
      <c r="F4" s="1575"/>
      <c r="G4" s="380"/>
      <c r="H4" s="1052" t="s">
        <v>99</v>
      </c>
      <c r="I4" s="1573" t="s">
        <v>773</v>
      </c>
      <c r="J4" s="1574"/>
      <c r="K4" s="1574"/>
      <c r="L4" s="1575"/>
      <c r="M4" s="380"/>
      <c r="N4" s="380"/>
      <c r="O4" s="380"/>
      <c r="P4" s="380"/>
      <c r="Q4" s="380"/>
      <c r="R4" s="380"/>
      <c r="S4" s="380"/>
      <c r="T4" s="380"/>
      <c r="V4" s="440"/>
    </row>
    <row r="5" spans="1:22" s="460" customFormat="1" ht="12.95" customHeight="1" x14ac:dyDescent="0.2">
      <c r="A5" s="440"/>
      <c r="B5" s="1052" t="s">
        <v>96</v>
      </c>
      <c r="C5" s="1573" t="s">
        <v>857</v>
      </c>
      <c r="D5" s="1574"/>
      <c r="E5" s="1574"/>
      <c r="F5" s="1575"/>
      <c r="G5" s="380"/>
      <c r="H5" s="1052" t="s">
        <v>98</v>
      </c>
      <c r="I5" s="730">
        <v>2017</v>
      </c>
      <c r="J5" s="1057"/>
      <c r="K5" s="1056"/>
      <c r="L5" s="1052"/>
      <c r="M5" s="380"/>
      <c r="N5" s="380"/>
      <c r="O5" s="380"/>
      <c r="P5" s="380"/>
      <c r="Q5" s="380"/>
      <c r="R5" s="380"/>
      <c r="S5" s="380"/>
      <c r="T5" s="380"/>
      <c r="V5" s="440"/>
    </row>
    <row r="6" spans="1:22" s="460" customFormat="1" ht="12.95" customHeight="1" x14ac:dyDescent="0.2">
      <c r="A6" s="440"/>
      <c r="B6" s="1052" t="s">
        <v>101</v>
      </c>
      <c r="C6" s="1573" t="s">
        <v>737</v>
      </c>
      <c r="D6" s="1574"/>
      <c r="E6" s="1574"/>
      <c r="F6" s="1575"/>
      <c r="G6" s="380"/>
      <c r="H6" s="1052" t="s">
        <v>124</v>
      </c>
      <c r="I6" s="731">
        <v>54</v>
      </c>
      <c r="J6" s="1057"/>
      <c r="K6" s="446"/>
      <c r="L6" s="1052"/>
      <c r="M6" s="380"/>
      <c r="N6" s="380"/>
      <c r="O6" s="380"/>
      <c r="P6" s="380"/>
      <c r="Q6" s="380"/>
      <c r="R6" s="380"/>
      <c r="S6" s="380"/>
      <c r="T6" s="380"/>
      <c r="V6" s="440"/>
    </row>
    <row r="7" spans="1:22" s="460" customFormat="1" ht="12.95" customHeight="1" x14ac:dyDescent="0.2">
      <c r="A7" s="440"/>
      <c r="B7" s="1052" t="s">
        <v>97</v>
      </c>
      <c r="C7" s="1573" t="s">
        <v>443</v>
      </c>
      <c r="D7" s="1575"/>
      <c r="E7" s="1587" t="s">
        <v>777</v>
      </c>
      <c r="F7" s="1588"/>
      <c r="G7" s="380"/>
      <c r="H7" s="1052" t="s">
        <v>100</v>
      </c>
      <c r="I7" s="1573" t="s">
        <v>780</v>
      </c>
      <c r="J7" s="1574"/>
      <c r="K7" s="1574"/>
      <c r="L7" s="1575"/>
      <c r="M7" s="380"/>
      <c r="N7" s="380"/>
      <c r="O7" s="380"/>
      <c r="P7" s="380"/>
      <c r="Q7" s="380"/>
      <c r="R7" s="380"/>
      <c r="S7" s="380"/>
      <c r="T7" s="380"/>
      <c r="V7" s="440"/>
    </row>
    <row r="8" spans="1:22" s="460" customFormat="1" x14ac:dyDescent="0.2">
      <c r="A8" s="440"/>
      <c r="B8" s="456"/>
      <c r="C8" s="380"/>
      <c r="D8" s="380"/>
      <c r="E8" s="380"/>
      <c r="F8" s="380"/>
      <c r="G8" s="380"/>
      <c r="H8" s="380"/>
      <c r="I8" s="380"/>
      <c r="J8" s="380"/>
      <c r="K8" s="380"/>
      <c r="L8" s="380"/>
      <c r="M8" s="380"/>
      <c r="N8" s="380"/>
      <c r="O8" s="380"/>
      <c r="P8" s="380"/>
      <c r="Q8" s="380"/>
      <c r="R8" s="380"/>
      <c r="S8" s="380"/>
      <c r="T8" s="380"/>
      <c r="V8" s="440"/>
    </row>
    <row r="9" spans="1:22" s="327" customFormat="1" ht="39.950000000000003" customHeight="1" x14ac:dyDescent="0.25">
      <c r="A9" s="440"/>
      <c r="B9" s="1171" t="s">
        <v>791</v>
      </c>
      <c r="C9" s="1165"/>
      <c r="D9" s="1165"/>
      <c r="E9" s="1165"/>
      <c r="F9" s="1165"/>
      <c r="G9" s="1165"/>
      <c r="H9" s="1165"/>
      <c r="I9" s="1165"/>
      <c r="J9" s="1165"/>
      <c r="K9" s="1165"/>
      <c r="L9" s="1165"/>
      <c r="M9" s="1165"/>
      <c r="N9" s="1165"/>
      <c r="O9" s="1165"/>
      <c r="P9" s="1165"/>
      <c r="Q9" s="1165"/>
      <c r="R9" s="1165"/>
      <c r="S9" s="1165"/>
      <c r="T9" s="1165"/>
      <c r="U9" s="440"/>
      <c r="V9" s="440"/>
    </row>
    <row r="10" spans="1:22" ht="14.25" customHeight="1" x14ac:dyDescent="0.2">
      <c r="A10" s="699"/>
      <c r="B10" s="452"/>
      <c r="C10" s="452"/>
      <c r="D10" s="452"/>
      <c r="E10" s="452"/>
      <c r="F10" s="452"/>
      <c r="G10" s="452"/>
      <c r="H10" s="452"/>
      <c r="I10" s="452"/>
      <c r="J10" s="452"/>
      <c r="K10" s="452"/>
      <c r="L10" s="452"/>
      <c r="M10" s="452"/>
      <c r="N10" s="452"/>
      <c r="O10" s="452"/>
      <c r="P10" s="452"/>
      <c r="Q10" s="452"/>
      <c r="R10" s="452"/>
      <c r="S10" s="452"/>
      <c r="T10" s="452"/>
      <c r="V10" s="440"/>
    </row>
    <row r="11" spans="1:22" ht="14.25" customHeight="1" x14ac:dyDescent="0.2">
      <c r="A11" s="699"/>
      <c r="B11" s="452"/>
      <c r="C11" s="449" t="s">
        <v>456</v>
      </c>
      <c r="D11" s="449"/>
      <c r="E11" s="452"/>
      <c r="F11" s="448" t="s">
        <v>200</v>
      </c>
      <c r="G11" s="1056"/>
      <c r="H11" s="715"/>
      <c r="I11" s="448" t="s">
        <v>102</v>
      </c>
      <c r="J11" s="1057"/>
      <c r="K11" s="715"/>
      <c r="L11" s="448" t="s">
        <v>401</v>
      </c>
      <c r="M11" s="715"/>
      <c r="N11" s="715"/>
      <c r="O11" s="448" t="s">
        <v>270</v>
      </c>
      <c r="P11" s="715"/>
      <c r="Q11" s="452"/>
      <c r="R11" s="452"/>
      <c r="S11" s="452"/>
      <c r="T11" s="452"/>
      <c r="V11" s="440"/>
    </row>
    <row r="12" spans="1:22" ht="14.25" customHeight="1" x14ac:dyDescent="0.2">
      <c r="A12" s="699"/>
      <c r="B12" s="452"/>
      <c r="C12" s="1237" t="str">
        <f>VLOOKUP(D12,LISTEN!$B$36:$C$39,2,FALSE)</f>
        <v>Bauherr/Eigentümer</v>
      </c>
      <c r="D12" s="1238">
        <v>1</v>
      </c>
      <c r="E12" s="452"/>
      <c r="F12" s="313">
        <v>35</v>
      </c>
      <c r="G12" s="1057" t="s">
        <v>161</v>
      </c>
      <c r="H12" s="715"/>
      <c r="I12" s="770">
        <v>1.6E-2</v>
      </c>
      <c r="J12" s="1057" t="s">
        <v>297</v>
      </c>
      <c r="K12" s="715"/>
      <c r="L12" s="218">
        <v>0.02</v>
      </c>
      <c r="M12" s="1057" t="s">
        <v>297</v>
      </c>
      <c r="N12" s="715"/>
      <c r="O12" s="1585">
        <v>1114633.632</v>
      </c>
      <c r="P12" s="1586"/>
      <c r="Q12" s="452"/>
      <c r="R12" s="452"/>
      <c r="S12" s="452"/>
      <c r="T12" s="452"/>
      <c r="V12" s="440"/>
    </row>
    <row r="13" spans="1:22" ht="14.25" customHeight="1" x14ac:dyDescent="0.2">
      <c r="A13" s="699"/>
      <c r="B13" s="452"/>
      <c r="C13" s="452"/>
      <c r="D13" s="452"/>
      <c r="E13" s="452"/>
      <c r="F13" s="448" t="s">
        <v>103</v>
      </c>
      <c r="G13" s="1057"/>
      <c r="H13" s="715"/>
      <c r="I13" s="452"/>
      <c r="J13" s="452"/>
      <c r="K13" s="715"/>
      <c r="L13" s="715"/>
      <c r="M13" s="715"/>
      <c r="N13" s="715"/>
      <c r="O13" s="715"/>
      <c r="P13" s="715"/>
      <c r="Q13" s="452"/>
      <c r="R13" s="452"/>
      <c r="S13" s="452"/>
      <c r="T13" s="452"/>
      <c r="V13" s="440"/>
    </row>
    <row r="14" spans="1:22" ht="14.25" customHeight="1" x14ac:dyDescent="0.2">
      <c r="A14" s="699"/>
      <c r="B14" s="452"/>
      <c r="C14" s="452"/>
      <c r="D14" s="452"/>
      <c r="E14" s="452"/>
      <c r="F14" s="218">
        <v>0.02</v>
      </c>
      <c r="G14" s="1057" t="s">
        <v>297</v>
      </c>
      <c r="H14" s="715"/>
      <c r="I14" s="452"/>
      <c r="J14" s="452"/>
      <c r="K14" s="715"/>
      <c r="L14" s="715" t="str">
        <f>IF(COUNTA(F14)=0,"Bitte angeben!","")</f>
        <v/>
      </c>
      <c r="M14" s="715"/>
      <c r="N14" s="715"/>
      <c r="O14" s="715"/>
      <c r="P14" s="715"/>
      <c r="Q14" s="452"/>
      <c r="R14" s="452"/>
      <c r="S14" s="452"/>
      <c r="T14" s="452"/>
      <c r="U14" s="701" t="s">
        <v>398</v>
      </c>
      <c r="V14" s="440"/>
    </row>
    <row r="15" spans="1:22" ht="14.25" customHeight="1" x14ac:dyDescent="0.2">
      <c r="A15" s="699"/>
      <c r="B15" s="452"/>
      <c r="C15" s="452"/>
      <c r="D15" s="452"/>
      <c r="E15" s="452"/>
      <c r="F15" s="452"/>
      <c r="G15" s="452"/>
      <c r="H15" s="452"/>
      <c r="I15" s="452"/>
      <c r="J15" s="452"/>
      <c r="K15" s="452"/>
      <c r="L15" s="461"/>
      <c r="M15" s="452"/>
      <c r="N15" s="452"/>
      <c r="O15" s="452"/>
      <c r="P15" s="452"/>
      <c r="Q15" s="452"/>
      <c r="R15" s="452"/>
      <c r="S15" s="452"/>
      <c r="T15" s="452"/>
      <c r="U15" s="701" t="b">
        <f>IF(C12="Bauträger/Verkäufer",TRUE,FALSE)</f>
        <v>0</v>
      </c>
      <c r="V15" s="440"/>
    </row>
    <row r="16" spans="1:22" ht="14.25" customHeight="1" x14ac:dyDescent="0.2">
      <c r="A16" s="699"/>
      <c r="B16" s="452"/>
      <c r="C16" s="452"/>
      <c r="D16" s="452"/>
      <c r="E16" s="452"/>
      <c r="F16" s="452"/>
      <c r="G16" s="452"/>
      <c r="H16" s="452"/>
      <c r="I16" s="452"/>
      <c r="J16" s="452"/>
      <c r="K16" s="452"/>
      <c r="L16" s="452"/>
      <c r="M16" s="452"/>
      <c r="N16" s="452"/>
      <c r="O16" s="452"/>
      <c r="P16" s="452"/>
      <c r="Q16" s="452"/>
      <c r="R16" s="452"/>
      <c r="S16" s="452"/>
      <c r="T16" s="452"/>
      <c r="V16" s="440"/>
    </row>
    <row r="17" spans="1:28" s="327" customFormat="1" ht="39.950000000000003" customHeight="1" x14ac:dyDescent="0.25">
      <c r="A17" s="440"/>
      <c r="B17" s="1171" t="s">
        <v>808</v>
      </c>
      <c r="C17" s="1165"/>
      <c r="D17" s="1165"/>
      <c r="E17" s="1165"/>
      <c r="F17" s="1165"/>
      <c r="G17" s="1165"/>
      <c r="H17" s="1165"/>
      <c r="I17" s="1165"/>
      <c r="J17" s="1165"/>
      <c r="K17" s="1165"/>
      <c r="L17" s="1165"/>
      <c r="M17" s="1165"/>
      <c r="N17" s="1165"/>
      <c r="O17" s="1165"/>
      <c r="P17" s="1165"/>
      <c r="Q17" s="1165"/>
      <c r="R17" s="1165"/>
      <c r="S17" s="1165"/>
      <c r="T17" s="1165"/>
      <c r="U17" s="440"/>
      <c r="V17" s="440"/>
    </row>
    <row r="18" spans="1:28" ht="15.75" x14ac:dyDescent="0.25">
      <c r="A18" s="699"/>
      <c r="B18" s="452"/>
      <c r="C18" s="702"/>
      <c r="D18" s="452"/>
      <c r="E18" s="452"/>
      <c r="F18" s="452"/>
      <c r="G18" s="452"/>
      <c r="H18" s="452"/>
      <c r="I18" s="452"/>
      <c r="J18" s="452"/>
      <c r="K18" s="452"/>
      <c r="L18" s="452"/>
      <c r="M18" s="452"/>
      <c r="N18" s="452"/>
      <c r="O18" s="452"/>
      <c r="P18" s="452"/>
      <c r="Q18" s="452"/>
      <c r="R18" s="452"/>
      <c r="S18" s="452"/>
      <c r="T18" s="452"/>
      <c r="V18" s="440"/>
    </row>
    <row r="19" spans="1:28" x14ac:dyDescent="0.2">
      <c r="A19" s="699"/>
      <c r="B19" s="452"/>
      <c r="C19" s="452"/>
      <c r="D19" s="452"/>
      <c r="E19" s="452"/>
      <c r="F19" s="452"/>
      <c r="G19" s="452"/>
      <c r="H19" s="452"/>
      <c r="I19" s="452"/>
      <c r="J19" s="452"/>
      <c r="K19" s="452"/>
      <c r="L19" s="452"/>
      <c r="M19" s="452"/>
      <c r="N19" s="452"/>
      <c r="O19" s="452"/>
      <c r="P19" s="452"/>
      <c r="Q19" s="452"/>
      <c r="R19" s="452"/>
      <c r="S19" s="452"/>
      <c r="T19" s="452"/>
      <c r="V19" s="440"/>
    </row>
    <row r="20" spans="1:28" ht="12" customHeight="1" x14ac:dyDescent="0.2">
      <c r="A20" s="699"/>
      <c r="B20" s="452"/>
      <c r="C20" s="715"/>
      <c r="D20" s="715"/>
      <c r="E20" s="715"/>
      <c r="F20" s="715"/>
      <c r="G20" s="715"/>
      <c r="H20" s="452"/>
      <c r="I20" s="452"/>
      <c r="J20" s="452"/>
      <c r="K20" s="452"/>
      <c r="L20" s="452"/>
      <c r="M20" s="452"/>
      <c r="N20" s="452"/>
      <c r="O20" s="452"/>
      <c r="P20" s="452"/>
      <c r="Q20" s="715"/>
      <c r="R20" s="452"/>
      <c r="S20" s="452"/>
      <c r="T20" s="452"/>
      <c r="V20" s="440"/>
    </row>
    <row r="21" spans="1:28" ht="11.25" customHeight="1" x14ac:dyDescent="0.2">
      <c r="A21" s="699"/>
      <c r="B21" s="452"/>
      <c r="C21" s="715"/>
      <c r="D21" s="715"/>
      <c r="E21" s="715"/>
      <c r="F21" s="715"/>
      <c r="G21" s="715"/>
      <c r="H21" s="452"/>
      <c r="I21" s="452"/>
      <c r="J21" s="452"/>
      <c r="K21" s="452"/>
      <c r="L21" s="452"/>
      <c r="M21" s="452"/>
      <c r="N21" s="452"/>
      <c r="O21" s="452"/>
      <c r="P21" s="452"/>
      <c r="Q21" s="715"/>
      <c r="R21" s="452"/>
      <c r="S21" s="452"/>
      <c r="T21" s="452"/>
      <c r="V21" s="440"/>
    </row>
    <row r="22" spans="1:28" ht="24.75" customHeight="1" x14ac:dyDescent="0.2">
      <c r="A22" s="699"/>
      <c r="B22" s="1240" t="s">
        <v>834</v>
      </c>
      <c r="C22" s="1548" t="s">
        <v>109</v>
      </c>
      <c r="D22" s="1549"/>
      <c r="E22" s="1158" t="s">
        <v>111</v>
      </c>
      <c r="F22" s="1157" t="s">
        <v>110</v>
      </c>
      <c r="G22" s="1389" t="str">
        <f>VLOOKUP(AA25,LISTEN!$E$16:$F$18,2,FALSE)</f>
        <v>EBF</v>
      </c>
      <c r="H22" s="1389"/>
      <c r="I22" s="1576" t="s">
        <v>360</v>
      </c>
      <c r="J22" s="1549"/>
      <c r="K22" s="1548" t="s">
        <v>731</v>
      </c>
      <c r="L22" s="1549"/>
      <c r="M22" s="1548" t="s">
        <v>361</v>
      </c>
      <c r="N22" s="1549"/>
      <c r="O22" s="1548" t="s">
        <v>732</v>
      </c>
      <c r="P22" s="1549"/>
      <c r="Q22" s="714"/>
      <c r="R22" s="452"/>
      <c r="S22" s="714"/>
      <c r="T22" s="452"/>
      <c r="V22" s="440"/>
      <c r="AA22" s="700" t="s">
        <v>833</v>
      </c>
    </row>
    <row r="23" spans="1:28" x14ac:dyDescent="0.2">
      <c r="A23" s="699"/>
      <c r="B23" s="1239">
        <v>1</v>
      </c>
      <c r="C23" s="1565" t="s">
        <v>738</v>
      </c>
      <c r="D23" s="1566"/>
      <c r="E23" s="716" t="s">
        <v>743</v>
      </c>
      <c r="F23" s="1390" t="str">
        <f>IF($AA$23=1,"x","")</f>
        <v>x</v>
      </c>
      <c r="G23" s="1191">
        <v>1410.2</v>
      </c>
      <c r="H23" s="1152" t="s">
        <v>67</v>
      </c>
      <c r="I23" s="1396"/>
      <c r="J23" s="718" t="s">
        <v>67</v>
      </c>
      <c r="K23" s="1570"/>
      <c r="L23" s="1577" t="s">
        <v>363</v>
      </c>
      <c r="M23" s="1399"/>
      <c r="N23" s="718" t="s">
        <v>67</v>
      </c>
      <c r="O23" s="1570"/>
      <c r="P23" s="1580" t="s">
        <v>363</v>
      </c>
      <c r="Q23" s="715"/>
      <c r="R23" s="714" t="str">
        <f>IF(AND(COUNTA(G23)=0,COUNTBLANK(C23)=0)=FALSE,"","Bezugsfläche angeben!")</f>
        <v/>
      </c>
      <c r="S23" s="714"/>
      <c r="T23" s="452"/>
      <c r="V23" s="440"/>
      <c r="Y23" s="327">
        <f>COUNTA(C23,E23)</f>
        <v>2</v>
      </c>
      <c r="Z23" s="327" t="b">
        <f>Y23&gt;0</f>
        <v>1</v>
      </c>
      <c r="AA23" s="1393">
        <v>1</v>
      </c>
      <c r="AB23" s="1388" t="s">
        <v>831</v>
      </c>
    </row>
    <row r="24" spans="1:28" x14ac:dyDescent="0.2">
      <c r="A24" s="699"/>
      <c r="B24" s="1239">
        <v>2</v>
      </c>
      <c r="C24" s="1563" t="s">
        <v>739</v>
      </c>
      <c r="D24" s="1564"/>
      <c r="E24" s="719" t="s">
        <v>744</v>
      </c>
      <c r="F24" s="1391" t="str">
        <f>IF($AA$23=2,"x","")</f>
        <v/>
      </c>
      <c r="G24" s="1192">
        <v>1421.2</v>
      </c>
      <c r="H24" s="1153" t="s">
        <v>67</v>
      </c>
      <c r="I24" s="1397"/>
      <c r="J24" s="721" t="s">
        <v>67</v>
      </c>
      <c r="K24" s="1571"/>
      <c r="L24" s="1578"/>
      <c r="M24" s="1400"/>
      <c r="N24" s="721" t="s">
        <v>67</v>
      </c>
      <c r="O24" s="1571"/>
      <c r="P24" s="1581"/>
      <c r="Q24" s="715"/>
      <c r="R24" s="714" t="str">
        <f t="shared" ref="R24:R27" si="0">IF(AND(COUNTA(G24)=0,COUNTBLANK(C24)=0)=FALSE,"","Bezugsfläche angeben!")</f>
        <v/>
      </c>
      <c r="S24" s="714"/>
      <c r="T24" s="452"/>
      <c r="V24" s="440"/>
      <c r="Y24" s="327">
        <f>COUNTA(C24,E24)</f>
        <v>2</v>
      </c>
      <c r="Z24" s="327" t="b">
        <f t="shared" ref="Z24:Z27" si="1">Y24&gt;0</f>
        <v>1</v>
      </c>
    </row>
    <row r="25" spans="1:28" x14ac:dyDescent="0.2">
      <c r="A25" s="699"/>
      <c r="B25" s="1239">
        <v>3</v>
      </c>
      <c r="C25" s="1563" t="s">
        <v>740</v>
      </c>
      <c r="D25" s="1564"/>
      <c r="E25" s="719" t="s">
        <v>768</v>
      </c>
      <c r="F25" s="1391" t="str">
        <f>IF($AA$23=3,"x","")</f>
        <v/>
      </c>
      <c r="G25" s="1192">
        <v>1421.2</v>
      </c>
      <c r="H25" s="1153" t="s">
        <v>67</v>
      </c>
      <c r="I25" s="1397"/>
      <c r="J25" s="721" t="s">
        <v>67</v>
      </c>
      <c r="K25" s="1571"/>
      <c r="L25" s="1578"/>
      <c r="M25" s="1400"/>
      <c r="N25" s="721" t="s">
        <v>67</v>
      </c>
      <c r="O25" s="1571"/>
      <c r="P25" s="1581"/>
      <c r="Q25" s="715"/>
      <c r="R25" s="714" t="str">
        <f t="shared" si="0"/>
        <v/>
      </c>
      <c r="S25" s="714"/>
      <c r="T25" s="452"/>
      <c r="V25" s="440"/>
      <c r="Y25" s="327">
        <f>COUNTA(C25,E25)</f>
        <v>2</v>
      </c>
      <c r="Z25" s="327" t="b">
        <f t="shared" si="1"/>
        <v>1</v>
      </c>
      <c r="AA25" s="1393">
        <v>1</v>
      </c>
      <c r="AB25" s="1388" t="s">
        <v>832</v>
      </c>
    </row>
    <row r="26" spans="1:28" x14ac:dyDescent="0.2">
      <c r="A26" s="699"/>
      <c r="B26" s="1239">
        <v>4</v>
      </c>
      <c r="C26" s="1563" t="s">
        <v>741</v>
      </c>
      <c r="D26" s="1564"/>
      <c r="E26" s="719" t="s">
        <v>769</v>
      </c>
      <c r="F26" s="1391" t="str">
        <f>IF($AA$23=4,"x","")</f>
        <v/>
      </c>
      <c r="G26" s="1192">
        <v>1421.2</v>
      </c>
      <c r="H26" s="1153" t="s">
        <v>67</v>
      </c>
      <c r="I26" s="1397"/>
      <c r="J26" s="721" t="s">
        <v>67</v>
      </c>
      <c r="K26" s="1571"/>
      <c r="L26" s="1578"/>
      <c r="M26" s="1400"/>
      <c r="N26" s="721" t="s">
        <v>67</v>
      </c>
      <c r="O26" s="1571"/>
      <c r="P26" s="1581"/>
      <c r="Q26" s="715"/>
      <c r="R26" s="714" t="str">
        <f t="shared" si="0"/>
        <v/>
      </c>
      <c r="S26" s="714"/>
      <c r="T26" s="452"/>
      <c r="V26" s="440"/>
      <c r="Y26" s="327">
        <f>COUNTA(C26,E26)</f>
        <v>2</v>
      </c>
      <c r="Z26" s="327" t="b">
        <f t="shared" si="1"/>
        <v>1</v>
      </c>
    </row>
    <row r="27" spans="1:28" x14ac:dyDescent="0.2">
      <c r="A27" s="699"/>
      <c r="B27" s="1239">
        <v>5</v>
      </c>
      <c r="C27" s="1567" t="s">
        <v>742</v>
      </c>
      <c r="D27" s="1568"/>
      <c r="E27" s="722" t="s">
        <v>770</v>
      </c>
      <c r="F27" s="1392" t="str">
        <f>IF($AA$23=5,"x","")</f>
        <v/>
      </c>
      <c r="G27" s="1193">
        <v>1421.2</v>
      </c>
      <c r="H27" s="1154" t="s">
        <v>67</v>
      </c>
      <c r="I27" s="1398"/>
      <c r="J27" s="724" t="s">
        <v>67</v>
      </c>
      <c r="K27" s="1572"/>
      <c r="L27" s="1579"/>
      <c r="M27" s="1401"/>
      <c r="N27" s="724" t="s">
        <v>67</v>
      </c>
      <c r="O27" s="1572"/>
      <c r="P27" s="1582"/>
      <c r="Q27" s="715"/>
      <c r="R27" s="714" t="str">
        <f t="shared" si="0"/>
        <v/>
      </c>
      <c r="S27" s="714"/>
      <c r="T27" s="452"/>
      <c r="V27" s="440"/>
      <c r="Y27" s="327">
        <f>COUNTA(C27,E27)</f>
        <v>2</v>
      </c>
      <c r="Z27" s="327" t="b">
        <f t="shared" si="1"/>
        <v>1</v>
      </c>
    </row>
    <row r="28" spans="1:28" x14ac:dyDescent="0.2">
      <c r="A28" s="699"/>
      <c r="B28" s="452"/>
      <c r="C28" s="452"/>
      <c r="D28" s="452"/>
      <c r="E28" s="452"/>
      <c r="F28" s="452"/>
      <c r="G28" s="452"/>
      <c r="H28" s="452"/>
      <c r="I28" s="452"/>
      <c r="J28" s="452"/>
      <c r="K28" s="452"/>
      <c r="L28" s="452"/>
      <c r="M28" s="452"/>
      <c r="N28" s="452"/>
      <c r="O28" s="452"/>
      <c r="P28" s="452"/>
      <c r="Q28" s="452"/>
      <c r="R28" s="452"/>
      <c r="S28" s="452"/>
      <c r="T28" s="452"/>
      <c r="V28" s="440"/>
    </row>
    <row r="29" spans="1:28" x14ac:dyDescent="0.2">
      <c r="A29" s="699"/>
      <c r="B29" s="452"/>
      <c r="C29" s="452"/>
      <c r="D29" s="452"/>
      <c r="E29" s="452"/>
      <c r="F29" s="452"/>
      <c r="G29" s="452"/>
      <c r="H29" s="452"/>
      <c r="I29" s="452"/>
      <c r="J29" s="452"/>
      <c r="K29" s="452"/>
      <c r="L29" s="452"/>
      <c r="M29" s="452"/>
      <c r="N29" s="452"/>
      <c r="O29" s="452"/>
      <c r="P29" s="452"/>
      <c r="Q29" s="452"/>
      <c r="R29" s="452"/>
      <c r="S29" s="452"/>
      <c r="T29" s="452"/>
      <c r="V29" s="440"/>
    </row>
    <row r="30" spans="1:28" s="327" customFormat="1" ht="39.950000000000003" customHeight="1" x14ac:dyDescent="0.25">
      <c r="A30" s="440"/>
      <c r="B30" s="1171" t="s">
        <v>779</v>
      </c>
      <c r="C30" s="1165"/>
      <c r="D30" s="1165"/>
      <c r="E30" s="1165"/>
      <c r="F30" s="1165"/>
      <c r="G30" s="1165"/>
      <c r="H30" s="1165"/>
      <c r="I30" s="1165"/>
      <c r="J30" s="1165"/>
      <c r="K30" s="1165"/>
      <c r="L30" s="1165"/>
      <c r="M30" s="1165"/>
      <c r="N30" s="1165"/>
      <c r="O30" s="1165"/>
      <c r="P30" s="1165"/>
      <c r="Q30" s="1165"/>
      <c r="R30" s="1165"/>
      <c r="S30" s="1165"/>
      <c r="T30" s="1165"/>
      <c r="U30" s="440"/>
      <c r="V30" s="440"/>
    </row>
    <row r="31" spans="1:28" x14ac:dyDescent="0.2">
      <c r="A31" s="699"/>
      <c r="B31" s="452"/>
      <c r="C31" s="452"/>
      <c r="D31" s="452"/>
      <c r="E31" s="452"/>
      <c r="F31" s="452"/>
      <c r="G31" s="452"/>
      <c r="H31" s="452"/>
      <c r="I31" s="452"/>
      <c r="J31" s="452"/>
      <c r="K31" s="452"/>
      <c r="L31" s="452"/>
      <c r="M31" s="452"/>
      <c r="N31" s="452"/>
      <c r="O31" s="452"/>
      <c r="P31" s="452"/>
      <c r="Q31" s="452"/>
      <c r="R31" s="452"/>
      <c r="S31" s="452"/>
      <c r="T31" s="452"/>
      <c r="V31" s="440"/>
    </row>
    <row r="32" spans="1:28" x14ac:dyDescent="0.2">
      <c r="A32" s="699"/>
      <c r="B32" s="452"/>
      <c r="C32" s="725" t="s">
        <v>810</v>
      </c>
      <c r="D32" s="452"/>
      <c r="E32" s="452"/>
      <c r="F32" s="452"/>
      <c r="G32" s="452"/>
      <c r="H32" s="452"/>
      <c r="I32" s="452"/>
      <c r="J32" s="452"/>
      <c r="K32" s="452"/>
      <c r="L32" s="452"/>
      <c r="M32" s="727" t="s">
        <v>523</v>
      </c>
      <c r="N32" s="715"/>
      <c r="O32" s="1488" t="s">
        <v>196</v>
      </c>
      <c r="P32" s="1488"/>
      <c r="Q32" s="1045" t="s">
        <v>411</v>
      </c>
      <c r="R32" s="452"/>
      <c r="S32" s="452"/>
      <c r="T32" s="452"/>
      <c r="V32" s="440"/>
    </row>
    <row r="33" spans="1:32" x14ac:dyDescent="0.2">
      <c r="A33" s="699"/>
      <c r="B33" s="452"/>
      <c r="C33" s="452"/>
      <c r="D33" s="452"/>
      <c r="E33" s="452"/>
      <c r="F33" s="452"/>
      <c r="G33" s="452"/>
      <c r="H33" s="452"/>
      <c r="I33" s="452"/>
      <c r="J33" s="452"/>
      <c r="K33" s="452"/>
      <c r="L33" s="706"/>
      <c r="M33" s="728"/>
      <c r="N33" s="729" t="s">
        <v>524</v>
      </c>
      <c r="O33" s="1583"/>
      <c r="P33" s="1584"/>
      <c r="Q33" s="783"/>
      <c r="R33" s="452"/>
      <c r="S33" s="452"/>
      <c r="T33" s="452"/>
      <c r="V33" s="440"/>
    </row>
    <row r="34" spans="1:32" x14ac:dyDescent="0.2">
      <c r="A34" s="699"/>
      <c r="B34" s="452"/>
      <c r="C34" s="452"/>
      <c r="D34" s="452"/>
      <c r="E34" s="452"/>
      <c r="F34" s="452"/>
      <c r="G34" s="452"/>
      <c r="H34" s="452"/>
      <c r="I34" s="452"/>
      <c r="J34" s="452"/>
      <c r="K34" s="452"/>
      <c r="L34" s="456"/>
      <c r="M34" s="452"/>
      <c r="N34" s="452"/>
      <c r="O34" s="452"/>
      <c r="P34" s="452"/>
      <c r="Q34" s="452"/>
      <c r="R34" s="452"/>
      <c r="S34" s="452"/>
      <c r="T34" s="452"/>
      <c r="V34" s="440"/>
    </row>
    <row r="35" spans="1:32" ht="30.75" customHeight="1" x14ac:dyDescent="0.2">
      <c r="A35" s="699"/>
      <c r="B35" s="452"/>
      <c r="C35" s="715"/>
      <c r="D35" s="1487" t="s">
        <v>520</v>
      </c>
      <c r="E35" s="1569"/>
      <c r="F35" s="1487" t="s">
        <v>196</v>
      </c>
      <c r="G35" s="1569"/>
      <c r="H35" s="726" t="s">
        <v>411</v>
      </c>
      <c r="I35" s="1543" t="s">
        <v>525</v>
      </c>
      <c r="J35" s="1547"/>
      <c r="K35" s="1543" t="s">
        <v>521</v>
      </c>
      <c r="L35" s="1547"/>
      <c r="M35" s="1543" t="s">
        <v>528</v>
      </c>
      <c r="N35" s="1547"/>
      <c r="O35" s="1487" t="s">
        <v>196</v>
      </c>
      <c r="P35" s="1569"/>
      <c r="Q35" s="1049" t="s">
        <v>411</v>
      </c>
      <c r="R35" s="1543" t="s">
        <v>522</v>
      </c>
      <c r="S35" s="1544"/>
      <c r="T35" s="734"/>
      <c r="V35" s="440"/>
    </row>
    <row r="36" spans="1:32" ht="15" customHeight="1" x14ac:dyDescent="0.2">
      <c r="A36" s="699"/>
      <c r="B36" s="703">
        <v>1</v>
      </c>
      <c r="C36" s="580" t="s">
        <v>116</v>
      </c>
      <c r="D36" s="349"/>
      <c r="E36" s="1055" t="str">
        <f>IF(D36="","","[€/kWhEnd]")</f>
        <v/>
      </c>
      <c r="F36" s="1551"/>
      <c r="G36" s="1552"/>
      <c r="H36" s="732"/>
      <c r="I36" s="769"/>
      <c r="J36" s="1055" t="str">
        <f>IF(I36="","","[€/a]")</f>
        <v/>
      </c>
      <c r="K36" s="217"/>
      <c r="L36" s="1055" t="str">
        <f>IF(K36="","","[%/a]")</f>
        <v/>
      </c>
      <c r="M36" s="1048"/>
      <c r="N36" s="1055" t="str">
        <f>IF(M36="","","[kg/kWhEnd]")</f>
        <v/>
      </c>
      <c r="O36" s="1545"/>
      <c r="P36" s="1546"/>
      <c r="Q36" s="732"/>
      <c r="R36" s="733">
        <f>IFERROR($M$33/1000*M36,"")</f>
        <v>0</v>
      </c>
      <c r="S36" s="422" t="str">
        <f t="shared" ref="S36:S43" si="2">IF($M$33="","","[€/kWhEnd]")</f>
        <v/>
      </c>
      <c r="T36" s="328"/>
      <c r="V36" s="440"/>
    </row>
    <row r="37" spans="1:32" ht="15" customHeight="1" x14ac:dyDescent="0.2">
      <c r="A37" s="699"/>
      <c r="B37" s="703">
        <v>2</v>
      </c>
      <c r="C37" s="580" t="s">
        <v>119</v>
      </c>
      <c r="D37" s="349"/>
      <c r="E37" s="1055" t="str">
        <f t="shared" ref="E37:E43" si="3">IF(D37="","","[€/kWhEnd]")</f>
        <v/>
      </c>
      <c r="F37" s="1551"/>
      <c r="G37" s="1552"/>
      <c r="H37" s="732"/>
      <c r="I37" s="769"/>
      <c r="J37" s="1055" t="str">
        <f t="shared" ref="J37:J43" si="4">IF(I37="","","[€/a]")</f>
        <v/>
      </c>
      <c r="K37" s="217"/>
      <c r="L37" s="1055" t="str">
        <f t="shared" ref="L37:L43" si="5">IF(K37="","","[%/a]")</f>
        <v/>
      </c>
      <c r="M37" s="1048"/>
      <c r="N37" s="1055" t="str">
        <f t="shared" ref="N37:N43" si="6">IF(M37="","","[kg/kWhEnd]")</f>
        <v/>
      </c>
      <c r="O37" s="1545"/>
      <c r="P37" s="1546"/>
      <c r="Q37" s="732"/>
      <c r="R37" s="733">
        <f t="shared" ref="R37:R43" si="7">IFERROR($M$33/1000*M37,"")</f>
        <v>0</v>
      </c>
      <c r="S37" s="422" t="str">
        <f t="shared" si="2"/>
        <v/>
      </c>
      <c r="T37" s="328"/>
      <c r="V37" s="440"/>
    </row>
    <row r="38" spans="1:32" ht="15" customHeight="1" x14ac:dyDescent="0.2">
      <c r="A38" s="699"/>
      <c r="B38" s="703">
        <v>3</v>
      </c>
      <c r="C38" s="580" t="s">
        <v>464</v>
      </c>
      <c r="D38" s="349"/>
      <c r="E38" s="1055" t="str">
        <f t="shared" si="3"/>
        <v/>
      </c>
      <c r="F38" s="1551"/>
      <c r="G38" s="1552"/>
      <c r="H38" s="732"/>
      <c r="I38" s="769"/>
      <c r="J38" s="1055" t="str">
        <f t="shared" si="4"/>
        <v/>
      </c>
      <c r="K38" s="217"/>
      <c r="L38" s="1055" t="str">
        <f t="shared" si="5"/>
        <v/>
      </c>
      <c r="M38" s="1048"/>
      <c r="N38" s="1055" t="str">
        <f t="shared" si="6"/>
        <v/>
      </c>
      <c r="O38" s="1545"/>
      <c r="P38" s="1546"/>
      <c r="Q38" s="732"/>
      <c r="R38" s="733">
        <f t="shared" si="7"/>
        <v>0</v>
      </c>
      <c r="S38" s="422" t="str">
        <f t="shared" si="2"/>
        <v/>
      </c>
      <c r="T38" s="328"/>
      <c r="V38" s="440"/>
    </row>
    <row r="39" spans="1:32" ht="15" customHeight="1" x14ac:dyDescent="0.2">
      <c r="A39" s="699"/>
      <c r="B39" s="703">
        <v>4</v>
      </c>
      <c r="C39" s="580" t="s">
        <v>526</v>
      </c>
      <c r="D39" s="349"/>
      <c r="E39" s="1055" t="str">
        <f t="shared" si="3"/>
        <v/>
      </c>
      <c r="F39" s="1551"/>
      <c r="G39" s="1552"/>
      <c r="H39" s="732"/>
      <c r="I39" s="769"/>
      <c r="J39" s="1055" t="str">
        <f t="shared" si="4"/>
        <v/>
      </c>
      <c r="K39" s="217"/>
      <c r="L39" s="1055" t="str">
        <f t="shared" si="5"/>
        <v/>
      </c>
      <c r="M39" s="1048"/>
      <c r="N39" s="1055" t="str">
        <f t="shared" si="6"/>
        <v/>
      </c>
      <c r="O39" s="1545"/>
      <c r="P39" s="1546"/>
      <c r="Q39" s="732"/>
      <c r="R39" s="733">
        <f t="shared" si="7"/>
        <v>0</v>
      </c>
      <c r="S39" s="422" t="str">
        <f t="shared" si="2"/>
        <v/>
      </c>
      <c r="T39" s="328"/>
      <c r="V39" s="440"/>
    </row>
    <row r="40" spans="1:32" ht="15" customHeight="1" x14ac:dyDescent="0.2">
      <c r="A40" s="699"/>
      <c r="B40" s="703">
        <v>5</v>
      </c>
      <c r="C40" s="580" t="s">
        <v>465</v>
      </c>
      <c r="D40" s="349"/>
      <c r="E40" s="1055" t="str">
        <f t="shared" si="3"/>
        <v/>
      </c>
      <c r="F40" s="1551"/>
      <c r="G40" s="1552"/>
      <c r="H40" s="732"/>
      <c r="I40" s="769"/>
      <c r="J40" s="1055" t="str">
        <f t="shared" si="4"/>
        <v/>
      </c>
      <c r="K40" s="217"/>
      <c r="L40" s="1055" t="str">
        <f t="shared" si="5"/>
        <v/>
      </c>
      <c r="M40" s="1048"/>
      <c r="N40" s="1055" t="str">
        <f t="shared" si="6"/>
        <v/>
      </c>
      <c r="O40" s="1545"/>
      <c r="P40" s="1546"/>
      <c r="Q40" s="732"/>
      <c r="R40" s="733">
        <f t="shared" si="7"/>
        <v>0</v>
      </c>
      <c r="S40" s="422" t="str">
        <f t="shared" si="2"/>
        <v/>
      </c>
      <c r="T40" s="328"/>
      <c r="V40" s="440"/>
    </row>
    <row r="41" spans="1:32" ht="15" customHeight="1" x14ac:dyDescent="0.2">
      <c r="A41" s="699"/>
      <c r="B41" s="703">
        <v>6</v>
      </c>
      <c r="C41" s="580" t="s">
        <v>164</v>
      </c>
      <c r="D41" s="349"/>
      <c r="E41" s="1055" t="str">
        <f t="shared" si="3"/>
        <v/>
      </c>
      <c r="F41" s="1551"/>
      <c r="G41" s="1552"/>
      <c r="H41" s="732"/>
      <c r="I41" s="769"/>
      <c r="J41" s="1055" t="str">
        <f t="shared" si="4"/>
        <v/>
      </c>
      <c r="K41" s="217"/>
      <c r="L41" s="1055" t="str">
        <f t="shared" si="5"/>
        <v/>
      </c>
      <c r="M41" s="1048"/>
      <c r="N41" s="1055" t="str">
        <f t="shared" si="6"/>
        <v/>
      </c>
      <c r="O41" s="1545"/>
      <c r="P41" s="1546"/>
      <c r="Q41" s="732"/>
      <c r="R41" s="733">
        <f t="shared" si="7"/>
        <v>0</v>
      </c>
      <c r="S41" s="422" t="str">
        <f t="shared" si="2"/>
        <v/>
      </c>
      <c r="T41" s="328"/>
      <c r="V41" s="440"/>
    </row>
    <row r="42" spans="1:32" ht="15" customHeight="1" x14ac:dyDescent="0.2">
      <c r="A42" s="699"/>
      <c r="B42" s="703">
        <v>7</v>
      </c>
      <c r="C42" s="580" t="s">
        <v>82</v>
      </c>
      <c r="D42" s="349">
        <f>0.1296*1.2</f>
        <v>0.15551999999999999</v>
      </c>
      <c r="E42" s="1055" t="str">
        <f t="shared" si="3"/>
        <v>[€/kWhEnd]</v>
      </c>
      <c r="F42" s="1551" t="s">
        <v>856</v>
      </c>
      <c r="G42" s="1552"/>
      <c r="H42" s="732">
        <v>42186</v>
      </c>
      <c r="I42" s="769">
        <f>1557*1.2</f>
        <v>1868.3999999999999</v>
      </c>
      <c r="J42" s="1055" t="str">
        <f t="shared" si="4"/>
        <v>[€/a]</v>
      </c>
      <c r="K42" s="217">
        <v>2.5000000000000001E-2</v>
      </c>
      <c r="L42" s="1055" t="str">
        <f t="shared" si="5"/>
        <v>[%/a]</v>
      </c>
      <c r="M42" s="1048"/>
      <c r="N42" s="1055" t="str">
        <f t="shared" si="6"/>
        <v/>
      </c>
      <c r="O42" s="1545"/>
      <c r="P42" s="1546"/>
      <c r="Q42" s="732"/>
      <c r="R42" s="733">
        <f t="shared" si="7"/>
        <v>0</v>
      </c>
      <c r="S42" s="422" t="str">
        <f t="shared" si="2"/>
        <v/>
      </c>
      <c r="T42" s="328"/>
      <c r="V42" s="440"/>
    </row>
    <row r="43" spans="1:32" ht="15" customHeight="1" x14ac:dyDescent="0.2">
      <c r="A43" s="699"/>
      <c r="B43" s="703">
        <v>8</v>
      </c>
      <c r="C43" s="580" t="s">
        <v>412</v>
      </c>
      <c r="D43" s="349">
        <f>0.1013*1.2</f>
        <v>0.12156</v>
      </c>
      <c r="E43" s="1055" t="str">
        <f t="shared" si="3"/>
        <v>[€/kWhEnd]</v>
      </c>
      <c r="F43" s="1551" t="s">
        <v>856</v>
      </c>
      <c r="G43" s="1552"/>
      <c r="H43" s="732">
        <v>42186</v>
      </c>
      <c r="I43" s="769">
        <f>940*1.2</f>
        <v>1128</v>
      </c>
      <c r="J43" s="1055" t="str">
        <f t="shared" si="4"/>
        <v>[€/a]</v>
      </c>
      <c r="K43" s="217">
        <v>3.5000000000000003E-2</v>
      </c>
      <c r="L43" s="1055" t="str">
        <f t="shared" si="5"/>
        <v>[%/a]</v>
      </c>
      <c r="M43" s="1048"/>
      <c r="N43" s="1055" t="str">
        <f t="shared" si="6"/>
        <v/>
      </c>
      <c r="O43" s="1545"/>
      <c r="P43" s="1546"/>
      <c r="Q43" s="732"/>
      <c r="R43" s="733">
        <f t="shared" si="7"/>
        <v>0</v>
      </c>
      <c r="S43" s="422" t="str">
        <f t="shared" si="2"/>
        <v/>
      </c>
      <c r="T43" s="328"/>
      <c r="V43" s="440"/>
      <c r="AC43" s="704"/>
      <c r="AD43" s="704"/>
      <c r="AE43" s="704"/>
      <c r="AF43" s="704"/>
    </row>
    <row r="44" spans="1:32" x14ac:dyDescent="0.2">
      <c r="A44" s="699"/>
      <c r="B44" s="452"/>
      <c r="C44" s="452"/>
      <c r="D44" s="452"/>
      <c r="E44" s="452"/>
      <c r="F44" s="452"/>
      <c r="G44" s="452"/>
      <c r="H44" s="452"/>
      <c r="I44" s="452"/>
      <c r="J44" s="452"/>
      <c r="K44" s="452"/>
      <c r="L44" s="452"/>
      <c r="M44" s="452"/>
      <c r="N44" s="452"/>
      <c r="O44" s="452"/>
      <c r="P44" s="452"/>
      <c r="Q44" s="452"/>
      <c r="R44" s="452"/>
      <c r="S44" s="452"/>
      <c r="T44" s="452"/>
      <c r="V44" s="440"/>
      <c r="AC44" s="704"/>
      <c r="AD44" s="704"/>
      <c r="AE44" s="704"/>
      <c r="AF44" s="704"/>
    </row>
    <row r="45" spans="1:32" ht="15" x14ac:dyDescent="0.25">
      <c r="A45" s="699"/>
      <c r="B45" s="452"/>
      <c r="C45" s="1259" t="s">
        <v>823</v>
      </c>
      <c r="D45" s="1258" t="s">
        <v>822</v>
      </c>
      <c r="E45" s="452"/>
      <c r="F45" s="452"/>
      <c r="G45" s="452"/>
      <c r="H45" s="452"/>
      <c r="I45" s="452"/>
      <c r="J45" s="452"/>
      <c r="K45" s="452"/>
      <c r="L45" s="452"/>
      <c r="M45" s="452"/>
      <c r="N45" s="452"/>
      <c r="O45" s="452"/>
      <c r="P45" s="452"/>
      <c r="Q45" s="452"/>
      <c r="R45" s="452"/>
      <c r="S45" s="452"/>
      <c r="T45" s="452"/>
      <c r="V45" s="440"/>
      <c r="AC45" s="704"/>
      <c r="AD45" s="704"/>
      <c r="AE45" s="704"/>
      <c r="AF45" s="704"/>
    </row>
    <row r="46" spans="1:32" ht="15.75" x14ac:dyDescent="0.3">
      <c r="A46" s="699"/>
      <c r="B46" s="452"/>
      <c r="C46" s="1259" t="s">
        <v>825</v>
      </c>
      <c r="D46" s="1258" t="s">
        <v>824</v>
      </c>
      <c r="E46" s="452"/>
      <c r="F46" s="452"/>
      <c r="G46" s="452"/>
      <c r="H46" s="452"/>
      <c r="I46" s="452"/>
      <c r="J46" s="452"/>
      <c r="K46" s="452"/>
      <c r="L46" s="452"/>
      <c r="M46" s="452"/>
      <c r="N46" s="452"/>
      <c r="O46" s="452"/>
      <c r="P46" s="452"/>
      <c r="Q46" s="452"/>
      <c r="R46" s="452"/>
      <c r="S46" s="452"/>
      <c r="T46" s="452"/>
      <c r="V46" s="440"/>
      <c r="AC46" s="704"/>
      <c r="AD46" s="704"/>
      <c r="AE46" s="704"/>
      <c r="AF46" s="704"/>
    </row>
    <row r="47" spans="1:32" x14ac:dyDescent="0.2">
      <c r="A47" s="699"/>
      <c r="B47" s="452"/>
      <c r="C47" s="452"/>
      <c r="D47" s="452"/>
      <c r="E47" s="452"/>
      <c r="F47" s="452"/>
      <c r="G47" s="452"/>
      <c r="H47" s="452"/>
      <c r="I47" s="452"/>
      <c r="J47" s="452"/>
      <c r="K47" s="452"/>
      <c r="L47" s="452"/>
      <c r="M47" s="452"/>
      <c r="N47" s="452"/>
      <c r="O47" s="452"/>
      <c r="P47" s="452"/>
      <c r="Q47" s="452"/>
      <c r="R47" s="452"/>
      <c r="S47" s="452"/>
      <c r="T47" s="452"/>
      <c r="V47" s="440"/>
      <c r="AC47" s="705"/>
      <c r="AE47" s="704"/>
      <c r="AF47" s="704"/>
    </row>
    <row r="48" spans="1:32" x14ac:dyDescent="0.2">
      <c r="A48" s="699"/>
      <c r="B48" s="452"/>
      <c r="C48" s="725" t="s">
        <v>541</v>
      </c>
      <c r="D48" s="452"/>
      <c r="E48" s="452"/>
      <c r="F48" s="452"/>
      <c r="G48" s="452"/>
      <c r="H48" s="452"/>
      <c r="I48" s="452"/>
      <c r="J48" s="452"/>
      <c r="K48" s="452"/>
      <c r="L48" s="452"/>
      <c r="M48" s="452"/>
      <c r="N48" s="452"/>
      <c r="O48" s="452"/>
      <c r="P48" s="452"/>
      <c r="Q48" s="452"/>
      <c r="R48" s="452"/>
      <c r="S48" s="452"/>
      <c r="T48" s="452"/>
      <c r="V48" s="440"/>
    </row>
    <row r="49" spans="1:22" x14ac:dyDescent="0.2">
      <c r="A49" s="699"/>
      <c r="B49" s="452"/>
      <c r="C49" s="452"/>
      <c r="D49" s="452"/>
      <c r="E49" s="452"/>
      <c r="F49" s="452"/>
      <c r="G49" s="452"/>
      <c r="H49" s="452"/>
      <c r="I49" s="452"/>
      <c r="J49" s="452"/>
      <c r="K49" s="452"/>
      <c r="L49" s="452"/>
      <c r="M49" s="452"/>
      <c r="N49" s="452"/>
      <c r="O49" s="452"/>
      <c r="P49" s="452"/>
      <c r="Q49" s="452"/>
      <c r="R49" s="452"/>
      <c r="S49" s="452"/>
      <c r="T49" s="452"/>
      <c r="V49" s="440"/>
    </row>
    <row r="50" spans="1:22" ht="15" x14ac:dyDescent="0.25">
      <c r="A50" s="699"/>
      <c r="B50" s="452"/>
      <c r="C50" s="452"/>
      <c r="D50" s="1554" t="s">
        <v>495</v>
      </c>
      <c r="E50" s="1555"/>
      <c r="F50" s="1555"/>
      <c r="G50" s="1555"/>
      <c r="H50" s="1555"/>
      <c r="I50" s="1556"/>
      <c r="J50" s="1554" t="s">
        <v>539</v>
      </c>
      <c r="K50" s="1555"/>
      <c r="L50" s="1555"/>
      <c r="M50" s="1555"/>
      <c r="N50" s="1555"/>
      <c r="O50" s="1555"/>
      <c r="P50" s="452"/>
      <c r="Q50" s="452"/>
      <c r="R50" s="452"/>
      <c r="S50" s="452"/>
      <c r="T50" s="452"/>
      <c r="V50" s="440"/>
    </row>
    <row r="51" spans="1:22" s="768" customFormat="1" ht="34.5" customHeight="1" x14ac:dyDescent="0.2">
      <c r="A51" s="766"/>
      <c r="B51" s="767"/>
      <c r="C51" s="767"/>
      <c r="D51" s="1543" t="s">
        <v>535</v>
      </c>
      <c r="E51" s="1547"/>
      <c r="F51" s="1543" t="s">
        <v>536</v>
      </c>
      <c r="G51" s="1547"/>
      <c r="H51" s="1543" t="s">
        <v>537</v>
      </c>
      <c r="I51" s="1547"/>
      <c r="J51" s="1046" t="s">
        <v>500</v>
      </c>
      <c r="K51" s="1047" t="s">
        <v>501</v>
      </c>
      <c r="L51" s="1543" t="s">
        <v>538</v>
      </c>
      <c r="M51" s="1544"/>
      <c r="N51" s="1544" t="s">
        <v>540</v>
      </c>
      <c r="O51" s="1547"/>
      <c r="P51" s="452"/>
      <c r="Q51" s="452"/>
      <c r="R51" s="767"/>
      <c r="S51" s="767"/>
      <c r="T51" s="767"/>
      <c r="V51" s="440"/>
    </row>
    <row r="52" spans="1:22" x14ac:dyDescent="0.2">
      <c r="A52" s="699"/>
      <c r="B52" s="452"/>
      <c r="C52" s="580" t="s">
        <v>786</v>
      </c>
      <c r="D52" s="349">
        <v>0.05</v>
      </c>
      <c r="E52" s="1055" t="str">
        <f>IF(D52="","","[€/kWh]")</f>
        <v>[€/kWh]</v>
      </c>
      <c r="F52" s="349">
        <v>0</v>
      </c>
      <c r="G52" s="1055" t="str">
        <f>IF(F52="","","[€/a]")</f>
        <v>[€/a]</v>
      </c>
      <c r="H52" s="217">
        <v>2.5000000000000001E-2</v>
      </c>
      <c r="I52" s="1055" t="str">
        <f>IF(H52="","","[%/a]")</f>
        <v>[%/a]</v>
      </c>
      <c r="J52" s="771">
        <v>1</v>
      </c>
      <c r="K52" s="769">
        <v>3</v>
      </c>
      <c r="L52" s="733">
        <v>0</v>
      </c>
      <c r="M52" s="1055" t="str">
        <f>IF(L52="","","[kWh/a]")</f>
        <v>[kWh/a]</v>
      </c>
      <c r="N52" s="349"/>
      <c r="O52" s="1055" t="str">
        <f>IF(N52="","unbeschränkt","[kWh/a]")</f>
        <v>unbeschränkt</v>
      </c>
      <c r="P52" s="452"/>
      <c r="Q52" s="452"/>
      <c r="R52" s="452"/>
      <c r="S52" s="452"/>
      <c r="T52" s="452"/>
      <c r="V52" s="440"/>
    </row>
    <row r="53" spans="1:22" ht="3.75" customHeight="1" x14ac:dyDescent="0.2">
      <c r="A53" s="699"/>
      <c r="B53" s="452"/>
      <c r="C53" s="452"/>
      <c r="D53" s="452"/>
      <c r="E53" s="452"/>
      <c r="F53" s="452"/>
      <c r="G53" s="452"/>
      <c r="H53" s="452"/>
      <c r="I53" s="452"/>
      <c r="J53" s="452"/>
      <c r="K53" s="452"/>
      <c r="L53" s="452"/>
      <c r="M53" s="452"/>
      <c r="N53" s="452"/>
      <c r="O53" s="452"/>
      <c r="P53" s="452"/>
      <c r="Q53" s="452"/>
      <c r="R53" s="452"/>
      <c r="S53" s="452"/>
      <c r="T53" s="452"/>
      <c r="V53" s="440"/>
    </row>
    <row r="54" spans="1:22" x14ac:dyDescent="0.2">
      <c r="A54" s="699"/>
      <c r="B54" s="452"/>
      <c r="C54" s="580" t="s">
        <v>817</v>
      </c>
      <c r="D54" s="349">
        <v>2.5000000000000001E-2</v>
      </c>
      <c r="E54" s="1055" t="str">
        <f>IF(D54="","","[€/kWh]")</f>
        <v>[€/kWh]</v>
      </c>
      <c r="F54" s="349">
        <v>0</v>
      </c>
      <c r="G54" s="1055" t="str">
        <f>IF(F54="","","[€/a]")</f>
        <v>[€/a]</v>
      </c>
      <c r="H54" s="217">
        <v>2.5000000000000001E-2</v>
      </c>
      <c r="I54" s="1055" t="str">
        <f>IF(H54="","","[%/a]")</f>
        <v>[%/a]</v>
      </c>
      <c r="J54" s="769">
        <v>4</v>
      </c>
      <c r="K54" s="769"/>
      <c r="L54" s="349"/>
      <c r="M54" s="1055" t="str">
        <f>IF(L54="","unbeschränkt","[kWh/a]")</f>
        <v>unbeschränkt</v>
      </c>
      <c r="N54" s="349"/>
      <c r="O54" s="1055" t="str">
        <f>IF(N54="","unbeschränkt","[kWh/a]")</f>
        <v>unbeschränkt</v>
      </c>
      <c r="P54" s="452"/>
      <c r="Q54" s="452"/>
      <c r="R54" s="452"/>
      <c r="S54" s="452"/>
      <c r="T54" s="452"/>
      <c r="V54" s="440"/>
    </row>
    <row r="55" spans="1:22" ht="3.75" customHeight="1" x14ac:dyDescent="0.2">
      <c r="A55" s="699"/>
      <c r="B55" s="452"/>
      <c r="C55" s="452"/>
      <c r="D55" s="452"/>
      <c r="E55" s="452"/>
      <c r="F55" s="452"/>
      <c r="G55" s="452"/>
      <c r="H55" s="452"/>
      <c r="I55" s="452"/>
      <c r="J55" s="452"/>
      <c r="K55" s="452"/>
      <c r="L55" s="452"/>
      <c r="M55" s="452"/>
      <c r="N55" s="452"/>
      <c r="O55" s="452"/>
      <c r="P55" s="452"/>
      <c r="Q55" s="452"/>
      <c r="R55" s="452"/>
      <c r="S55" s="452"/>
      <c r="T55" s="452"/>
      <c r="V55" s="440"/>
    </row>
    <row r="56" spans="1:22" x14ac:dyDescent="0.2">
      <c r="A56" s="699"/>
      <c r="B56" s="452"/>
      <c r="C56" s="580" t="s">
        <v>818</v>
      </c>
      <c r="D56" s="349"/>
      <c r="E56" s="1055" t="str">
        <f>IF(D56="","","[€/kWh]")</f>
        <v/>
      </c>
      <c r="F56" s="349"/>
      <c r="G56" s="1055" t="str">
        <f>IF(F56="","","[€/a]")</f>
        <v/>
      </c>
      <c r="H56" s="217"/>
      <c r="I56" s="1055" t="str">
        <f>IF(H56="","","[%/a]")</f>
        <v/>
      </c>
      <c r="J56" s="769"/>
      <c r="K56" s="769"/>
      <c r="L56" s="349"/>
      <c r="M56" s="1055" t="str">
        <f>IF(L56="","unbeschränkt","[kWh/a]")</f>
        <v>unbeschränkt</v>
      </c>
      <c r="N56" s="349"/>
      <c r="O56" s="1055" t="str">
        <f>IF(N56="","unbeschränkt","[kWh/a]")</f>
        <v>unbeschränkt</v>
      </c>
      <c r="P56" s="452"/>
      <c r="Q56" s="452"/>
      <c r="R56" s="452"/>
      <c r="S56" s="452"/>
      <c r="T56" s="452"/>
      <c r="V56" s="440"/>
    </row>
    <row r="57" spans="1:22" ht="15" customHeight="1" x14ac:dyDescent="0.2">
      <c r="A57" s="699"/>
      <c r="B57" s="452"/>
      <c r="C57" s="452"/>
      <c r="D57" s="452"/>
      <c r="E57" s="452"/>
      <c r="F57" s="452"/>
      <c r="G57" s="452"/>
      <c r="H57" s="452"/>
      <c r="I57" s="452"/>
      <c r="J57" s="452"/>
      <c r="K57" s="452"/>
      <c r="L57" s="452"/>
      <c r="M57" s="452"/>
      <c r="N57" s="452"/>
      <c r="O57" s="452"/>
      <c r="P57" s="452"/>
      <c r="Q57" s="452"/>
      <c r="R57" s="452"/>
      <c r="S57" s="452"/>
      <c r="T57" s="452"/>
      <c r="V57" s="440"/>
    </row>
    <row r="58" spans="1:22" x14ac:dyDescent="0.2">
      <c r="A58" s="699"/>
      <c r="B58" s="452"/>
      <c r="C58" s="452"/>
      <c r="D58" s="452"/>
      <c r="E58" s="452"/>
      <c r="F58" s="452"/>
      <c r="G58" s="452"/>
      <c r="H58" s="452"/>
      <c r="I58" s="452"/>
      <c r="J58" s="452"/>
      <c r="K58" s="452"/>
      <c r="L58" s="452"/>
      <c r="M58" s="452"/>
      <c r="N58" s="452"/>
      <c r="O58" s="452"/>
      <c r="P58" s="452"/>
      <c r="Q58" s="452"/>
      <c r="R58" s="452"/>
      <c r="S58" s="452"/>
      <c r="T58" s="452"/>
      <c r="V58" s="440"/>
    </row>
    <row r="59" spans="1:22" x14ac:dyDescent="0.2">
      <c r="A59" s="699"/>
      <c r="B59" s="452"/>
      <c r="C59" s="452"/>
      <c r="D59" s="452"/>
      <c r="E59" s="452"/>
      <c r="F59" s="452"/>
      <c r="G59" s="452"/>
      <c r="H59" s="452"/>
      <c r="I59" s="452"/>
      <c r="J59" s="452"/>
      <c r="K59" s="452"/>
      <c r="L59" s="452"/>
      <c r="M59" s="452"/>
      <c r="N59" s="452"/>
      <c r="O59" s="452"/>
      <c r="P59" s="452"/>
      <c r="Q59" s="452"/>
      <c r="R59" s="452"/>
      <c r="S59" s="452"/>
      <c r="T59" s="452"/>
      <c r="V59" s="440"/>
    </row>
    <row r="60" spans="1:22" s="327" customFormat="1" ht="39.950000000000003" customHeight="1" x14ac:dyDescent="0.2">
      <c r="A60" s="440"/>
      <c r="B60" s="1173" t="str">
        <f>IF(P60="X","Gemeinnützige Bauträger WBF/Annuitätenzuschüsse","")</f>
        <v/>
      </c>
      <c r="C60" s="1165"/>
      <c r="D60" s="1165"/>
      <c r="E60" s="1165"/>
      <c r="F60" s="1165"/>
      <c r="G60" s="1165"/>
      <c r="H60" s="1165"/>
      <c r="I60" s="1165"/>
      <c r="J60" s="1165"/>
      <c r="K60" s="1165"/>
      <c r="L60" s="1165"/>
      <c r="M60" s="1165"/>
      <c r="N60" s="1165"/>
      <c r="O60" s="1165"/>
      <c r="P60" s="1174" t="str">
        <f>IF(C12=LISTEN!C39,"X","")</f>
        <v/>
      </c>
      <c r="Q60" s="1165"/>
      <c r="R60" s="1165"/>
      <c r="S60" s="1165"/>
      <c r="T60" s="1165"/>
      <c r="U60" s="440"/>
      <c r="V60" s="440"/>
    </row>
    <row r="61" spans="1:22" x14ac:dyDescent="0.2">
      <c r="A61" s="699"/>
      <c r="B61" s="452"/>
      <c r="C61" s="452"/>
      <c r="D61" s="452"/>
      <c r="E61" s="452"/>
      <c r="F61" s="452"/>
      <c r="G61" s="452"/>
      <c r="H61" s="452"/>
      <c r="I61" s="452"/>
      <c r="J61" s="452"/>
      <c r="K61" s="452"/>
      <c r="L61" s="452"/>
      <c r="M61" s="452"/>
      <c r="N61" s="452"/>
      <c r="O61" s="452"/>
      <c r="P61" s="452"/>
      <c r="Q61" s="452"/>
      <c r="R61" s="452"/>
      <c r="S61" s="452"/>
      <c r="T61" s="452"/>
      <c r="V61" s="440"/>
    </row>
    <row r="62" spans="1:22" ht="43.5" customHeight="1" x14ac:dyDescent="0.2">
      <c r="A62" s="699"/>
      <c r="B62" s="1550" t="s">
        <v>853</v>
      </c>
      <c r="C62" s="1550"/>
      <c r="D62" s="1550"/>
      <c r="E62" s="1550"/>
      <c r="F62" s="1550"/>
      <c r="G62" s="1550"/>
      <c r="H62" s="1550"/>
      <c r="I62" s="1550"/>
      <c r="J62" s="1550"/>
      <c r="K62" s="1550"/>
      <c r="L62" s="1550"/>
      <c r="M62" s="1550"/>
      <c r="N62" s="1550"/>
      <c r="O62" s="1550"/>
      <c r="P62" s="1550"/>
      <c r="Q62" s="1550"/>
      <c r="R62" s="1550"/>
      <c r="S62" s="1550"/>
      <c r="T62" s="1550"/>
      <c r="V62" s="699"/>
    </row>
    <row r="63" spans="1:22" s="327" customFormat="1" ht="39.950000000000003" customHeight="1" x14ac:dyDescent="0.25">
      <c r="A63" s="440"/>
      <c r="B63" s="1194"/>
      <c r="C63" s="1194" t="s">
        <v>792</v>
      </c>
      <c r="D63" s="1194"/>
      <c r="E63" s="1194"/>
      <c r="F63" s="452"/>
      <c r="G63" s="452"/>
      <c r="H63" s="452"/>
      <c r="I63" s="452"/>
      <c r="J63" s="452"/>
      <c r="K63" s="452"/>
      <c r="L63" s="452"/>
      <c r="M63" s="452"/>
      <c r="N63" s="452"/>
      <c r="O63" s="452"/>
      <c r="P63" s="452"/>
      <c r="Q63" s="452"/>
      <c r="R63" s="452"/>
      <c r="S63" s="452"/>
      <c r="T63" s="452"/>
      <c r="U63" s="440"/>
      <c r="V63" s="1165"/>
    </row>
    <row r="64" spans="1:22" ht="22.5" customHeight="1" x14ac:dyDescent="0.2">
      <c r="A64" s="699"/>
      <c r="B64" s="452"/>
      <c r="C64" s="452"/>
      <c r="D64" s="452"/>
      <c r="E64" s="452"/>
      <c r="F64" s="452"/>
      <c r="G64" s="452"/>
      <c r="H64" s="452"/>
      <c r="I64" s="452"/>
      <c r="J64" s="452"/>
      <c r="K64" s="1056"/>
      <c r="L64" s="1056"/>
      <c r="M64" s="452"/>
      <c r="N64" s="452"/>
      <c r="O64" s="452"/>
      <c r="P64" s="452"/>
      <c r="Q64" s="452"/>
      <c r="R64" s="452"/>
      <c r="S64" s="452"/>
      <c r="T64" s="452"/>
      <c r="V64" s="699"/>
    </row>
    <row r="65" spans="1:22" x14ac:dyDescent="0.2">
      <c r="A65" s="699"/>
      <c r="B65" s="1553" t="s">
        <v>634</v>
      </c>
      <c r="C65" s="1553"/>
      <c r="D65" s="452"/>
      <c r="E65" s="448" t="s">
        <v>672</v>
      </c>
      <c r="F65" s="1056"/>
      <c r="G65" s="452"/>
      <c r="H65" s="448" t="s">
        <v>671</v>
      </c>
      <c r="I65" s="1057"/>
      <c r="J65" s="452"/>
      <c r="K65" s="1056"/>
      <c r="L65" s="1056"/>
      <c r="M65" s="1056"/>
      <c r="N65" s="1056"/>
      <c r="O65" s="1056"/>
      <c r="P65" s="1056"/>
      <c r="Q65" s="1056"/>
      <c r="R65" s="328"/>
      <c r="S65" s="328"/>
      <c r="T65" s="452"/>
      <c r="V65" s="699"/>
    </row>
    <row r="66" spans="1:22" x14ac:dyDescent="0.2">
      <c r="A66" s="699"/>
      <c r="B66" s="1553"/>
      <c r="C66" s="1553"/>
      <c r="D66" s="452"/>
      <c r="E66" s="313">
        <v>25</v>
      </c>
      <c r="F66" s="1057" t="s">
        <v>481</v>
      </c>
      <c r="G66" s="452"/>
      <c r="H66" s="218">
        <v>0.03</v>
      </c>
      <c r="I66" s="1057" t="s">
        <v>771</v>
      </c>
      <c r="J66" s="452"/>
      <c r="K66" s="1056"/>
      <c r="L66" s="1056"/>
      <c r="M66" s="1056"/>
      <c r="N66" s="1056"/>
      <c r="O66" s="1056"/>
      <c r="P66" s="1056"/>
      <c r="Q66" s="1056"/>
      <c r="R66" s="328"/>
      <c r="S66" s="328"/>
      <c r="T66" s="452"/>
      <c r="V66" s="699"/>
    </row>
    <row r="67" spans="1:22" x14ac:dyDescent="0.2">
      <c r="A67" s="699"/>
      <c r="B67" s="952"/>
      <c r="C67" s="952"/>
      <c r="D67" s="941"/>
      <c r="E67" s="941"/>
      <c r="F67" s="944" t="str">
        <f>IF(COUNTA(E66)=0,"Bitte angeben!","")</f>
        <v/>
      </c>
      <c r="G67" s="941"/>
      <c r="H67" s="941"/>
      <c r="I67" s="944" t="str">
        <f>IF(COUNTA(H66)=0,"Bitte angeben!","")</f>
        <v/>
      </c>
      <c r="J67" s="941"/>
      <c r="K67" s="941"/>
      <c r="L67" s="941"/>
      <c r="M67" s="941"/>
      <c r="N67" s="941"/>
      <c r="O67" s="941"/>
      <c r="P67" s="941"/>
      <c r="Q67" s="941"/>
      <c r="R67" s="941"/>
      <c r="S67" s="941"/>
      <c r="T67" s="452"/>
      <c r="V67" s="699"/>
    </row>
    <row r="68" spans="1:22" x14ac:dyDescent="0.2">
      <c r="A68" s="699"/>
      <c r="B68" s="953"/>
      <c r="C68" s="954"/>
      <c r="D68" s="452"/>
      <c r="E68" s="452"/>
      <c r="F68" s="452"/>
      <c r="G68" s="452"/>
      <c r="H68" s="452"/>
      <c r="I68" s="452"/>
      <c r="J68" s="1058"/>
      <c r="K68" s="945" t="str">
        <f>IF(K70&gt;F12,"Achtung, Kreditlaufzeit ist länger als Betrachtungszeitraum!","")</f>
        <v>Achtung, Kreditlaufzeit ist länger als Betrachtungszeitraum!</v>
      </c>
      <c r="L68" s="452"/>
      <c r="M68" s="1058"/>
      <c r="N68" s="1058"/>
      <c r="O68" s="1058"/>
      <c r="P68" s="452"/>
      <c r="Q68" s="452"/>
      <c r="R68" s="452"/>
      <c r="S68" s="452"/>
      <c r="T68" s="452"/>
      <c r="V68" s="699"/>
    </row>
    <row r="69" spans="1:22" x14ac:dyDescent="0.2">
      <c r="A69" s="699"/>
      <c r="B69" s="1553" t="s">
        <v>683</v>
      </c>
      <c r="C69" s="1553"/>
      <c r="D69" s="452"/>
      <c r="E69" s="448" t="s">
        <v>684</v>
      </c>
      <c r="F69" s="1057"/>
      <c r="G69" s="715"/>
      <c r="H69" s="942" t="s">
        <v>685</v>
      </c>
      <c r="I69" s="1058"/>
      <c r="J69" s="1058"/>
      <c r="K69" s="942" t="s">
        <v>203</v>
      </c>
      <c r="L69" s="1058"/>
      <c r="M69" s="1058"/>
      <c r="N69" s="942" t="s">
        <v>351</v>
      </c>
      <c r="O69" s="1051"/>
      <c r="P69" s="1051"/>
      <c r="Q69" s="1051"/>
      <c r="R69" s="820" t="s">
        <v>113</v>
      </c>
      <c r="S69" s="1051" t="s">
        <v>205</v>
      </c>
      <c r="T69" s="452"/>
      <c r="V69" s="699"/>
    </row>
    <row r="70" spans="1:22" x14ac:dyDescent="0.2">
      <c r="A70" s="699"/>
      <c r="B70" s="1553"/>
      <c r="C70" s="1553"/>
      <c r="D70" s="452"/>
      <c r="E70" s="218">
        <v>0</v>
      </c>
      <c r="F70" s="1057" t="s">
        <v>771</v>
      </c>
      <c r="G70" s="714"/>
      <c r="H70" s="313">
        <v>12</v>
      </c>
      <c r="I70" s="1058" t="s">
        <v>686</v>
      </c>
      <c r="J70" s="714"/>
      <c r="K70" s="313">
        <v>50</v>
      </c>
      <c r="L70" s="1058" t="s">
        <v>481</v>
      </c>
      <c r="M70" s="1058"/>
      <c r="N70" s="328" t="s">
        <v>349</v>
      </c>
      <c r="O70" s="328"/>
      <c r="P70" s="328" t="s">
        <v>350</v>
      </c>
      <c r="Q70" s="328"/>
      <c r="R70" s="328" t="s">
        <v>66</v>
      </c>
      <c r="S70" s="328" t="s">
        <v>204</v>
      </c>
      <c r="T70" s="452"/>
      <c r="V70" s="699"/>
    </row>
    <row r="71" spans="1:22" x14ac:dyDescent="0.2">
      <c r="A71" s="699"/>
      <c r="B71" s="952"/>
      <c r="C71" s="952"/>
      <c r="D71" s="941"/>
      <c r="E71" s="944" t="str">
        <f>IF(COUNTA(E70)=0,"Bitte angeben!","")</f>
        <v/>
      </c>
      <c r="F71" s="941"/>
      <c r="G71" s="941"/>
      <c r="H71" s="944" t="str">
        <f>IF(COUNTA(H70)=0,"Bitte angeben!","")</f>
        <v/>
      </c>
      <c r="I71" s="941"/>
      <c r="J71" s="941"/>
      <c r="K71" s="950" t="str">
        <f>IF(COUNTA(K70)=0,"Bitte angeben!","")</f>
        <v/>
      </c>
      <c r="L71" s="1058"/>
      <c r="M71" s="622"/>
      <c r="N71" s="1044">
        <v>1</v>
      </c>
      <c r="O71" s="1044" t="str">
        <f>"-"</f>
        <v>-</v>
      </c>
      <c r="P71" s="313">
        <v>25</v>
      </c>
      <c r="Q71" s="603" t="str">
        <f>IF(P71&gt;$K$70,"Achtung! Wert liegt über gesamster Kreditlaufzeit","")</f>
        <v/>
      </c>
      <c r="R71" s="1044">
        <f>IF(OR(N71="",P71=""),0,P71-N71+1)</f>
        <v>25</v>
      </c>
      <c r="S71" s="1126">
        <v>5.0000000000000001E-3</v>
      </c>
      <c r="T71" s="452"/>
      <c r="V71" s="699"/>
    </row>
    <row r="72" spans="1:22" x14ac:dyDescent="0.2">
      <c r="A72" s="699"/>
      <c r="B72" s="953"/>
      <c r="C72" s="954"/>
      <c r="D72" s="452"/>
      <c r="E72" s="452"/>
      <c r="F72" s="452"/>
      <c r="G72" s="452"/>
      <c r="H72" s="452"/>
      <c r="I72" s="945"/>
      <c r="J72" s="452"/>
      <c r="K72" s="946"/>
      <c r="L72" s="1058"/>
      <c r="M72" s="1058"/>
      <c r="N72" s="1044">
        <f>IF(OR(P71="",P71=0,P71=$K$70),"",1+P71)</f>
        <v>26</v>
      </c>
      <c r="O72" s="1044" t="str">
        <f>"-"</f>
        <v>-</v>
      </c>
      <c r="P72" s="313">
        <v>45</v>
      </c>
      <c r="Q72" s="603" t="str">
        <f>IF(P72&gt;$K$70,"Achtung! Wert liegt über gesamster Kreditlaufzeit","")</f>
        <v/>
      </c>
      <c r="R72" s="1044">
        <f t="shared" ref="R72:R75" si="8">IF(OR(N72="",P72=""),0,P72-N72+1)</f>
        <v>20</v>
      </c>
      <c r="S72" s="1126">
        <v>3.5000000000000003E-2</v>
      </c>
      <c r="T72" s="452"/>
      <c r="V72" s="699"/>
    </row>
    <row r="73" spans="1:22" x14ac:dyDescent="0.2">
      <c r="A73" s="699"/>
      <c r="B73" s="1553" t="s">
        <v>613</v>
      </c>
      <c r="C73" s="1553"/>
      <c r="D73" s="452"/>
      <c r="E73" s="448" t="s">
        <v>617</v>
      </c>
      <c r="F73" s="1057"/>
      <c r="G73" s="1151"/>
      <c r="H73" s="942" t="s">
        <v>614</v>
      </c>
      <c r="I73" s="1058"/>
      <c r="J73" s="452"/>
      <c r="K73" s="947"/>
      <c r="L73" s="1058"/>
      <c r="M73" s="1058"/>
      <c r="N73" s="1044">
        <f>IF(OR(P72="",P72=0,P72=$K$70),"",1+P72)</f>
        <v>46</v>
      </c>
      <c r="O73" s="1044" t="str">
        <f>"-"</f>
        <v>-</v>
      </c>
      <c r="P73" s="313">
        <v>50</v>
      </c>
      <c r="Q73" s="603" t="str">
        <f>IF(P73&gt;$K$70,"Achtung! Wert liegt über gesamster Kreditlaufzeit","")</f>
        <v/>
      </c>
      <c r="R73" s="1044">
        <f t="shared" si="8"/>
        <v>5</v>
      </c>
      <c r="S73" s="1126">
        <v>4.4999999999999998E-2</v>
      </c>
      <c r="T73" s="452"/>
      <c r="V73" s="699"/>
    </row>
    <row r="74" spans="1:22" x14ac:dyDescent="0.2">
      <c r="A74" s="699"/>
      <c r="B74" s="1553"/>
      <c r="C74" s="1553"/>
      <c r="D74" s="452"/>
      <c r="E74" s="949">
        <v>25</v>
      </c>
      <c r="F74" s="1057" t="s">
        <v>481</v>
      </c>
      <c r="G74" s="1151"/>
      <c r="H74" s="313">
        <v>5.0199999999999996</v>
      </c>
      <c r="I74" s="1058" t="s">
        <v>687</v>
      </c>
      <c r="J74" s="452"/>
      <c r="K74" s="947"/>
      <c r="L74" s="712"/>
      <c r="M74" s="712"/>
      <c r="N74" s="1044" t="str">
        <f>IF(OR(P73="",P73=0,P73=$K$70),"",1+P73)</f>
        <v/>
      </c>
      <c r="O74" s="1044" t="str">
        <f>"-"</f>
        <v>-</v>
      </c>
      <c r="P74" s="313"/>
      <c r="Q74" s="603" t="str">
        <f>IF(P74&gt;$K$70,"Achtung! Wert liegt über gesamster Kreditlaufzeit","")</f>
        <v/>
      </c>
      <c r="R74" s="1044">
        <f t="shared" si="8"/>
        <v>0</v>
      </c>
      <c r="S74" s="1126"/>
      <c r="T74" s="452"/>
      <c r="V74" s="699"/>
    </row>
    <row r="75" spans="1:22" x14ac:dyDescent="0.2">
      <c r="A75" s="699"/>
      <c r="B75" s="952"/>
      <c r="C75" s="952"/>
      <c r="D75" s="941"/>
      <c r="E75" s="941"/>
      <c r="F75" s="944" t="str">
        <f>IF(COUNTA(E74)=0,"Bitte angeben!","")</f>
        <v/>
      </c>
      <c r="G75" s="941"/>
      <c r="H75" s="941"/>
      <c r="I75" s="944" t="str">
        <f>IF(COUNTA(H74)=0,"Bitte angeben!","")</f>
        <v/>
      </c>
      <c r="J75" s="941"/>
      <c r="K75" s="943"/>
      <c r="L75" s="1058"/>
      <c r="M75" s="1058"/>
      <c r="N75" s="1044" t="str">
        <f>IF(OR(P74="",P74=0,P74=$F$71),"",1+P74)</f>
        <v/>
      </c>
      <c r="O75" s="1044" t="str">
        <f>"-"</f>
        <v>-</v>
      </c>
      <c r="P75" s="313"/>
      <c r="Q75" s="603" t="str">
        <f>IF(P75&gt;$K$70,"Achtung! Wert liegt über gesamster Kreditlaufzeit","")</f>
        <v/>
      </c>
      <c r="R75" s="1044">
        <f t="shared" si="8"/>
        <v>0</v>
      </c>
      <c r="S75" s="1126"/>
      <c r="T75" s="452"/>
      <c r="V75" s="699"/>
    </row>
    <row r="76" spans="1:22" x14ac:dyDescent="0.2">
      <c r="A76" s="699"/>
      <c r="B76" s="953"/>
      <c r="C76" s="954"/>
      <c r="D76" s="452"/>
      <c r="E76" s="452"/>
      <c r="F76" s="452"/>
      <c r="G76" s="452"/>
      <c r="H76" s="945"/>
      <c r="I76" s="452"/>
      <c r="J76" s="452"/>
      <c r="K76" s="947"/>
      <c r="L76" s="1058"/>
      <c r="M76" s="1058"/>
      <c r="N76" s="328"/>
      <c r="O76" s="328"/>
      <c r="P76" s="328"/>
      <c r="Q76" s="328"/>
      <c r="R76" s="328"/>
      <c r="S76" s="328"/>
      <c r="T76" s="452"/>
      <c r="V76" s="699"/>
    </row>
    <row r="77" spans="1:22" x14ac:dyDescent="0.2">
      <c r="A77" s="699"/>
      <c r="B77" s="1553" t="s">
        <v>689</v>
      </c>
      <c r="C77" s="1553"/>
      <c r="D77" s="452"/>
      <c r="E77" s="942" t="s">
        <v>690</v>
      </c>
      <c r="F77" s="1058"/>
      <c r="G77" s="715"/>
      <c r="H77" s="1150"/>
      <c r="I77" s="1150"/>
      <c r="J77" s="1058"/>
      <c r="K77" s="947"/>
      <c r="L77" s="1058"/>
      <c r="M77" s="1058"/>
      <c r="N77" s="328"/>
      <c r="O77" s="328"/>
      <c r="P77" s="328"/>
      <c r="Q77" s="328"/>
      <c r="R77" s="820" t="s">
        <v>733</v>
      </c>
      <c r="S77" s="1127">
        <f>(S71*R71+S72*R72+S73*R73+S74*R74+S75*R75)</f>
        <v>1.05</v>
      </c>
      <c r="T77" s="452"/>
      <c r="V77" s="699"/>
    </row>
    <row r="78" spans="1:22" x14ac:dyDescent="0.2">
      <c r="A78" s="699"/>
      <c r="B78" s="1553"/>
      <c r="C78" s="1553"/>
      <c r="D78" s="452"/>
      <c r="E78" s="955">
        <v>35</v>
      </c>
      <c r="F78" s="1058" t="s">
        <v>68</v>
      </c>
      <c r="G78" s="714"/>
      <c r="H78" s="1150"/>
      <c r="I78" s="1150"/>
      <c r="J78" s="1058"/>
      <c r="K78" s="947"/>
      <c r="L78" s="1058"/>
      <c r="M78" s="1056"/>
      <c r="N78" s="1056"/>
      <c r="O78" s="1056"/>
      <c r="P78" s="1056"/>
      <c r="Q78" s="1056"/>
      <c r="R78" s="328"/>
      <c r="S78" s="328"/>
      <c r="T78" s="452"/>
      <c r="V78" s="699"/>
    </row>
    <row r="79" spans="1:22" x14ac:dyDescent="0.2">
      <c r="A79" s="699"/>
      <c r="B79" s="952"/>
      <c r="C79" s="952"/>
      <c r="D79" s="941"/>
      <c r="E79" s="944" t="str">
        <f>IF(COUNTA(E78)=0,"Bitte angeben!","")</f>
        <v/>
      </c>
      <c r="F79" s="941"/>
      <c r="G79" s="941"/>
      <c r="H79" s="941"/>
      <c r="I79" s="941"/>
      <c r="J79" s="941"/>
      <c r="K79" s="943"/>
      <c r="L79" s="1058"/>
      <c r="M79" s="941"/>
      <c r="N79" s="941"/>
      <c r="O79" s="941"/>
      <c r="P79" s="941"/>
      <c r="Q79" s="941"/>
      <c r="R79" s="941"/>
      <c r="S79" s="941"/>
      <c r="T79" s="452"/>
      <c r="V79" s="699"/>
    </row>
    <row r="80" spans="1:22" x14ac:dyDescent="0.2">
      <c r="A80" s="699"/>
      <c r="B80" s="953"/>
      <c r="C80" s="954"/>
      <c r="D80" s="452"/>
      <c r="E80" s="452"/>
      <c r="F80" s="452"/>
      <c r="G80" s="452"/>
      <c r="H80" s="452"/>
      <c r="I80" s="945"/>
      <c r="J80" s="452"/>
      <c r="K80" s="1058"/>
      <c r="L80" s="951"/>
      <c r="M80" s="951"/>
      <c r="N80" s="951"/>
      <c r="O80" s="951"/>
      <c r="P80" s="1058"/>
      <c r="Q80" s="1058"/>
      <c r="R80" s="1058"/>
      <c r="S80" s="1058"/>
      <c r="T80" s="452"/>
      <c r="V80" s="699"/>
    </row>
    <row r="81" spans="1:27" x14ac:dyDescent="0.2">
      <c r="A81" s="699"/>
      <c r="B81" s="1553" t="s">
        <v>688</v>
      </c>
      <c r="C81" s="1553"/>
      <c r="D81" s="452"/>
      <c r="E81" s="448" t="s">
        <v>781</v>
      </c>
      <c r="F81" s="1057"/>
      <c r="G81" s="452"/>
      <c r="H81" s="452"/>
      <c r="I81" s="942" t="s">
        <v>794</v>
      </c>
      <c r="J81" s="1058"/>
      <c r="K81" s="452"/>
      <c r="L81" s="942" t="s">
        <v>782</v>
      </c>
      <c r="M81" s="1058"/>
      <c r="N81" s="456"/>
      <c r="O81" s="942" t="s">
        <v>855</v>
      </c>
      <c r="P81" s="1058"/>
      <c r="Q81" s="1151"/>
      <c r="R81" s="1436"/>
      <c r="S81" s="1436"/>
      <c r="T81" s="452"/>
      <c r="V81" s="699"/>
    </row>
    <row r="82" spans="1:27" x14ac:dyDescent="0.2">
      <c r="A82" s="699"/>
      <c r="B82" s="1553"/>
      <c r="C82" s="1553"/>
      <c r="D82" s="452"/>
      <c r="E82" s="1455">
        <v>0.05</v>
      </c>
      <c r="F82" s="1057"/>
      <c r="G82" s="452"/>
      <c r="H82" s="452"/>
      <c r="I82" s="948">
        <v>0.02</v>
      </c>
      <c r="J82" s="1058" t="s">
        <v>771</v>
      </c>
      <c r="K82" s="452"/>
      <c r="L82" s="948">
        <v>1</v>
      </c>
      <c r="M82" s="1057" t="s">
        <v>772</v>
      </c>
      <c r="N82" s="456"/>
      <c r="O82" s="1127">
        <v>0</v>
      </c>
      <c r="P82" s="1058" t="s">
        <v>771</v>
      </c>
      <c r="Q82" s="1151"/>
      <c r="R82" s="1436"/>
      <c r="S82" s="1436"/>
      <c r="T82" s="452"/>
      <c r="V82" s="699"/>
    </row>
    <row r="83" spans="1:27" x14ac:dyDescent="0.2">
      <c r="A83" s="699"/>
      <c r="B83" s="578"/>
      <c r="C83" s="578"/>
      <c r="D83" s="1058"/>
      <c r="E83" s="1058"/>
      <c r="F83" s="950" t="str">
        <f>IF(COUNTA(E82)=0,"Bitte angeben!","")</f>
        <v/>
      </c>
      <c r="G83" s="1058"/>
      <c r="H83" s="1058"/>
      <c r="I83" s="950" t="str">
        <f>IF(COUNTA(I82)=0,"Bitte angeben!","")</f>
        <v/>
      </c>
      <c r="J83" s="1058"/>
      <c r="K83" s="1058"/>
      <c r="L83" s="950" t="str">
        <f>IF(COUNTA(L82)=0,"Bitte angeben!","")</f>
        <v/>
      </c>
      <c r="M83" s="1058"/>
      <c r="N83" s="1058"/>
      <c r="O83" s="1058"/>
      <c r="P83" s="1058"/>
      <c r="Q83" s="1058"/>
      <c r="R83" s="1058"/>
      <c r="S83" s="1058"/>
      <c r="T83" s="452"/>
      <c r="V83" s="699"/>
      <c r="AA83" s="1457">
        <v>1</v>
      </c>
    </row>
    <row r="84" spans="1:27" s="327" customFormat="1" ht="39.950000000000003" customHeight="1" x14ac:dyDescent="0.25">
      <c r="A84" s="440"/>
      <c r="B84" s="702"/>
      <c r="C84" s="1194" t="s">
        <v>854</v>
      </c>
      <c r="D84" s="452"/>
      <c r="E84" s="452"/>
      <c r="F84" s="452"/>
      <c r="G84" s="452"/>
      <c r="H84" s="452"/>
      <c r="I84" s="452"/>
      <c r="J84" s="452"/>
      <c r="K84" s="452"/>
      <c r="L84" s="452"/>
      <c r="M84" s="452"/>
      <c r="N84" s="452"/>
      <c r="O84" s="452"/>
      <c r="P84" s="452"/>
      <c r="Q84" s="452"/>
      <c r="R84" s="452"/>
      <c r="S84" s="452"/>
      <c r="T84" s="452"/>
      <c r="U84" s="440"/>
      <c r="V84" s="1165"/>
    </row>
    <row r="85" spans="1:27" x14ac:dyDescent="0.2">
      <c r="A85" s="699"/>
      <c r="B85" s="1056"/>
      <c r="C85" s="452"/>
      <c r="D85" s="452"/>
      <c r="E85" s="452"/>
      <c r="F85" s="452"/>
      <c r="G85" s="452"/>
      <c r="H85" s="452"/>
      <c r="I85" s="1056"/>
      <c r="J85" s="1056"/>
      <c r="K85" s="1056"/>
      <c r="L85" s="1056"/>
      <c r="M85" s="1056"/>
      <c r="N85" s="1056"/>
      <c r="O85" s="1056"/>
      <c r="P85" s="1056"/>
      <c r="Q85" s="1056"/>
      <c r="R85" s="1056"/>
      <c r="S85" s="1056"/>
      <c r="T85" s="452"/>
      <c r="V85" s="699"/>
    </row>
    <row r="86" spans="1:27" x14ac:dyDescent="0.2">
      <c r="A86" s="699"/>
      <c r="B86" s="1056"/>
      <c r="C86" s="452"/>
      <c r="D86" s="452"/>
      <c r="E86" s="452"/>
      <c r="F86" s="452"/>
      <c r="G86" s="452"/>
      <c r="H86" s="452"/>
      <c r="I86" s="715"/>
      <c r="J86" s="715"/>
      <c r="K86" s="715"/>
      <c r="L86" s="715"/>
      <c r="M86" s="715"/>
      <c r="N86" s="1056"/>
      <c r="O86" s="1056"/>
      <c r="P86" s="1056"/>
      <c r="Q86" s="1056"/>
      <c r="R86" s="1056"/>
      <c r="S86" s="1056"/>
      <c r="T86" s="452"/>
      <c r="V86" s="699"/>
    </row>
    <row r="87" spans="1:27" ht="21" customHeight="1" x14ac:dyDescent="0.2">
      <c r="A87" s="699"/>
      <c r="B87" s="1056"/>
      <c r="C87" s="1548" t="s">
        <v>109</v>
      </c>
      <c r="D87" s="1549"/>
      <c r="E87" s="1136" t="s">
        <v>111</v>
      </c>
      <c r="F87" s="1548" t="s">
        <v>361</v>
      </c>
      <c r="G87" s="1549"/>
      <c r="H87" s="1548" t="s">
        <v>691</v>
      </c>
      <c r="I87" s="1549"/>
      <c r="J87" s="1548" t="s">
        <v>784</v>
      </c>
      <c r="K87" s="1549"/>
      <c r="L87" s="1056"/>
      <c r="M87" s="1056"/>
      <c r="N87" s="1056"/>
      <c r="O87" s="1056"/>
      <c r="P87" s="1056"/>
      <c r="Q87" s="1056"/>
      <c r="R87" s="452"/>
      <c r="S87" s="452"/>
      <c r="T87" s="452"/>
      <c r="V87" s="699"/>
    </row>
    <row r="88" spans="1:27" x14ac:dyDescent="0.2">
      <c r="A88" s="699"/>
      <c r="B88" s="1056"/>
      <c r="C88" s="1561" t="str">
        <f>IF(OR(C23="",C23=0),"",C23)</f>
        <v>BTV-WDVS-WP-Abl-ohne Sol_PV</v>
      </c>
      <c r="D88" s="1562"/>
      <c r="E88" s="1128" t="str">
        <f>IF(OR(E23="",E23=0),"",E23)</f>
        <v>BTV</v>
      </c>
      <c r="F88" s="1138">
        <v>1287.0999999999999</v>
      </c>
      <c r="G88" s="717" t="s">
        <v>67</v>
      </c>
      <c r="H88" s="1138">
        <v>0</v>
      </c>
      <c r="I88" s="717" t="s">
        <v>68</v>
      </c>
      <c r="J88" s="1138">
        <v>10250</v>
      </c>
      <c r="K88" s="1152" t="s">
        <v>363</v>
      </c>
      <c r="L88" s="1030" t="str">
        <f>IF(ISBLANK(C88),"",IF(COUNTA(F88)=0,"Bitte Nutzfläche angeben!",""))</f>
        <v/>
      </c>
      <c r="M88" s="1030"/>
      <c r="N88" s="1056"/>
      <c r="O88" s="950" t="str">
        <f>IF(ISBLANK(C88),"",IF(COUNTA(H88)=0,"Bitte WBF Darlehen angeben!",""))</f>
        <v/>
      </c>
      <c r="P88" s="1056"/>
      <c r="Q88" s="452"/>
      <c r="R88" s="1031" t="str">
        <f>IF(ISBLANK(C88),"",IF(COUNTA(J88)=0,"Bitte verl. Zuschuss angeben!",""))</f>
        <v/>
      </c>
      <c r="S88" s="452"/>
      <c r="T88" s="452"/>
      <c r="V88" s="699"/>
    </row>
    <row r="89" spans="1:27" x14ac:dyDescent="0.2">
      <c r="A89" s="699"/>
      <c r="B89" s="1056"/>
      <c r="C89" s="1557" t="str">
        <f t="shared" ref="C89:C92" si="9">IF(OR(C24="",C24=0),"",C24)</f>
        <v>PH-WDVS-WP-Abl-ohne Sol_PV</v>
      </c>
      <c r="D89" s="1558"/>
      <c r="E89" s="1129" t="str">
        <f t="shared" ref="E89:E92" si="10">IF(OR(E24="",E24=0),"",E24)</f>
        <v>PH</v>
      </c>
      <c r="F89" s="1139">
        <v>1287.0999999999999</v>
      </c>
      <c r="G89" s="720" t="s">
        <v>67</v>
      </c>
      <c r="H89" s="1139">
        <v>0</v>
      </c>
      <c r="I89" s="720" t="s">
        <v>68</v>
      </c>
      <c r="J89" s="1139">
        <v>10250</v>
      </c>
      <c r="K89" s="1153" t="s">
        <v>363</v>
      </c>
      <c r="L89" s="1030" t="str">
        <f>IF(ISBLANK(C89),"",IF(COUNTA(F89)=0,"Bitte Nutzfläche angeben!",""))</f>
        <v/>
      </c>
      <c r="M89" s="1030"/>
      <c r="N89" s="1056"/>
      <c r="O89" s="950" t="str">
        <f>IF(ISBLANK(C89),"",IF(COUNTA(H89)=0,"Bitte WBF Darlehen angeben!",""))</f>
        <v/>
      </c>
      <c r="P89" s="1056"/>
      <c r="Q89" s="452"/>
      <c r="R89" s="1031" t="str">
        <f>IF(ISBLANK(C89),"",IF(COUNTA(J89)=0,"Bitte verl. Zuschuss angeben!",""))</f>
        <v/>
      </c>
      <c r="S89" s="452"/>
      <c r="T89" s="452"/>
      <c r="V89" s="699"/>
    </row>
    <row r="90" spans="1:27" x14ac:dyDescent="0.2">
      <c r="A90" s="699"/>
      <c r="B90" s="1056"/>
      <c r="C90" s="1557" t="str">
        <f t="shared" si="9"/>
        <v>PH-WDVS-WP-Abl-mittl.Sol-ohne PV</v>
      </c>
      <c r="D90" s="1558"/>
      <c r="E90" s="1129" t="str">
        <f t="shared" si="10"/>
        <v>PHSol</v>
      </c>
      <c r="F90" s="1139">
        <v>1287.0999999999999</v>
      </c>
      <c r="G90" s="720" t="s">
        <v>67</v>
      </c>
      <c r="H90" s="1139">
        <v>1340</v>
      </c>
      <c r="I90" s="720" t="s">
        <v>68</v>
      </c>
      <c r="J90" s="1139">
        <v>20750</v>
      </c>
      <c r="K90" s="1153" t="s">
        <v>363</v>
      </c>
      <c r="L90" s="1030" t="str">
        <f>IF(ISBLANK(C90),"",IF(COUNTA(F90)=0,"Bitte Nutzfläche angeben!",""))</f>
        <v/>
      </c>
      <c r="M90" s="1030"/>
      <c r="N90" s="1056"/>
      <c r="O90" s="950" t="str">
        <f>IF(ISBLANK(C90),"",IF(COUNTA(H90)=0,"Bitte WBF Darlehen angeben!",""))</f>
        <v/>
      </c>
      <c r="P90" s="1056"/>
      <c r="Q90" s="452"/>
      <c r="R90" s="1031" t="str">
        <f>IF(ISBLANK(C90),"",IF(COUNTA(J90)=0,"Bitte verl. Zuschuss angeben!",""))</f>
        <v/>
      </c>
      <c r="S90" s="452"/>
      <c r="T90" s="452"/>
      <c r="V90" s="699"/>
    </row>
    <row r="91" spans="1:27" x14ac:dyDescent="0.2">
      <c r="A91" s="699"/>
      <c r="B91" s="1056"/>
      <c r="C91" s="1557" t="str">
        <f t="shared" si="9"/>
        <v>PH-WDVS-WP-WRG-mittl.Sol-ohne PV</v>
      </c>
      <c r="D91" s="1558"/>
      <c r="E91" s="1129" t="str">
        <f t="shared" si="10"/>
        <v>PHWRGSo</v>
      </c>
      <c r="F91" s="1139">
        <v>1287.0999999999999</v>
      </c>
      <c r="G91" s="720" t="s">
        <v>67</v>
      </c>
      <c r="H91" s="1139">
        <v>1450</v>
      </c>
      <c r="I91" s="720" t="s">
        <v>68</v>
      </c>
      <c r="J91" s="1139">
        <v>43250</v>
      </c>
      <c r="K91" s="1153" t="s">
        <v>363</v>
      </c>
      <c r="L91" s="1030" t="str">
        <f>IF(ISBLANK(C91),"",IF(COUNTA(F91)=0,"Bitte Nutzfläche angeben!",""))</f>
        <v/>
      </c>
      <c r="M91" s="1030"/>
      <c r="N91" s="1056"/>
      <c r="O91" s="1030" t="str">
        <f>IF(ISBLANK(C91),"",IF(COUNTA(H91)=0,"Bitte WBF Darlehen angeben!",""))</f>
        <v/>
      </c>
      <c r="P91" s="1056"/>
      <c r="Q91" s="452"/>
      <c r="R91" s="1031" t="str">
        <f>IF(ISBLANK(C91),"",IF(COUNTA(J91)=0,"Bitte verl. Zuschuss angeben!",""))</f>
        <v/>
      </c>
      <c r="S91" s="452"/>
      <c r="T91" s="452"/>
      <c r="V91" s="699"/>
    </row>
    <row r="92" spans="1:27" x14ac:dyDescent="0.2">
      <c r="A92" s="699"/>
      <c r="B92" s="1056"/>
      <c r="C92" s="1559" t="str">
        <f t="shared" si="9"/>
        <v>PH-WDVS-WP-WRG-mittl.Sol-mit PV</v>
      </c>
      <c r="D92" s="1560"/>
      <c r="E92" s="1130" t="str">
        <f t="shared" si="10"/>
        <v>PHWRGSoPV</v>
      </c>
      <c r="F92" s="1140">
        <v>1287.0999999999999</v>
      </c>
      <c r="G92" s="723" t="s">
        <v>67</v>
      </c>
      <c r="H92" s="1140">
        <v>1496</v>
      </c>
      <c r="I92" s="723" t="s">
        <v>68</v>
      </c>
      <c r="J92" s="1140">
        <v>43250</v>
      </c>
      <c r="K92" s="1154" t="s">
        <v>363</v>
      </c>
      <c r="L92" s="1030" t="str">
        <f>IF(ISBLANK(C92),"",IF(COUNTA(F92)=0,"Bitte Nutzfläche angeben!",""))</f>
        <v/>
      </c>
      <c r="M92" s="1030"/>
      <c r="N92" s="1056"/>
      <c r="O92" s="950" t="str">
        <f>IF(ISBLANK(C92),"",IF(COUNTA(H92)=0,"Bitte WBF Darlehen angeben!",""))</f>
        <v/>
      </c>
      <c r="P92" s="1056"/>
      <c r="Q92" s="452"/>
      <c r="R92" s="1031" t="str">
        <f>IF(ISBLANK(C92),"",IF(COUNTA(J92)=0,"Bitte verl. Zuschuss angeben!",""))</f>
        <v/>
      </c>
      <c r="S92" s="452"/>
      <c r="T92" s="452"/>
      <c r="V92" s="699"/>
    </row>
    <row r="93" spans="1:27" x14ac:dyDescent="0.2">
      <c r="A93" s="699"/>
      <c r="B93" s="1056"/>
      <c r="C93" s="1056"/>
      <c r="D93" s="1056"/>
      <c r="E93" s="1056"/>
      <c r="F93" s="1056"/>
      <c r="G93" s="1056"/>
      <c r="H93" s="1056"/>
      <c r="I93" s="1056"/>
      <c r="J93" s="1056"/>
      <c r="K93" s="1056"/>
      <c r="L93" s="1056"/>
      <c r="M93" s="1056"/>
      <c r="N93" s="1056"/>
      <c r="O93" s="1056"/>
      <c r="P93" s="1056"/>
      <c r="Q93" s="1056"/>
      <c r="R93" s="1056"/>
      <c r="S93" s="1056"/>
      <c r="T93" s="452"/>
      <c r="V93" s="699"/>
    </row>
    <row r="94" spans="1:27" x14ac:dyDescent="0.2">
      <c r="A94" s="699"/>
      <c r="B94" s="452"/>
      <c r="C94" s="452"/>
      <c r="D94" s="452"/>
      <c r="E94" s="452"/>
      <c r="F94" s="452"/>
      <c r="G94" s="452"/>
      <c r="H94" s="452"/>
      <c r="I94" s="452"/>
      <c r="J94" s="452"/>
      <c r="K94" s="452"/>
      <c r="L94" s="452"/>
      <c r="M94" s="452"/>
      <c r="N94" s="452"/>
      <c r="O94" s="452"/>
      <c r="P94" s="452"/>
      <c r="Q94" s="452"/>
      <c r="R94" s="452"/>
      <c r="S94" s="452"/>
      <c r="T94" s="452"/>
      <c r="V94" s="699"/>
    </row>
    <row r="95" spans="1:27" x14ac:dyDescent="0.2">
      <c r="A95" s="699"/>
      <c r="B95" s="699"/>
      <c r="C95" s="699"/>
      <c r="D95" s="699"/>
      <c r="E95" s="699"/>
      <c r="F95" s="699"/>
      <c r="G95" s="699"/>
      <c r="H95" s="699"/>
      <c r="I95" s="699"/>
      <c r="J95" s="699"/>
      <c r="K95" s="699"/>
      <c r="L95" s="699"/>
      <c r="M95" s="699"/>
      <c r="N95" s="699"/>
      <c r="O95" s="699"/>
      <c r="P95" s="699"/>
      <c r="Q95" s="699"/>
      <c r="R95" s="699"/>
      <c r="S95" s="699"/>
      <c r="T95" s="699"/>
      <c r="U95" s="699"/>
      <c r="V95" s="699"/>
    </row>
  </sheetData>
  <sheetProtection sheet="1" objects="1" scenarios="1" selectLockedCells="1"/>
  <dataConsolidate/>
  <mergeCells count="69">
    <mergeCell ref="O42:P42"/>
    <mergeCell ref="F37:G37"/>
    <mergeCell ref="F38:G38"/>
    <mergeCell ref="F39:G39"/>
    <mergeCell ref="F40:G40"/>
    <mergeCell ref="O41:P41"/>
    <mergeCell ref="J50:O50"/>
    <mergeCell ref="F51:G51"/>
    <mergeCell ref="H51:I51"/>
    <mergeCell ref="L51:M51"/>
    <mergeCell ref="N51:O51"/>
    <mergeCell ref="C4:F4"/>
    <mergeCell ref="C5:F5"/>
    <mergeCell ref="C6:F6"/>
    <mergeCell ref="E7:F7"/>
    <mergeCell ref="C7:D7"/>
    <mergeCell ref="K23:K27"/>
    <mergeCell ref="O23:O27"/>
    <mergeCell ref="O35:P35"/>
    <mergeCell ref="M22:N22"/>
    <mergeCell ref="I4:L4"/>
    <mergeCell ref="I7:L7"/>
    <mergeCell ref="O22:P22"/>
    <mergeCell ref="K22:L22"/>
    <mergeCell ref="I22:J22"/>
    <mergeCell ref="K35:L35"/>
    <mergeCell ref="L23:L27"/>
    <mergeCell ref="P23:P27"/>
    <mergeCell ref="O33:P33"/>
    <mergeCell ref="O32:P32"/>
    <mergeCell ref="I35:J35"/>
    <mergeCell ref="O12:P12"/>
    <mergeCell ref="F36:G36"/>
    <mergeCell ref="C25:D25"/>
    <mergeCell ref="C22:D22"/>
    <mergeCell ref="C23:D23"/>
    <mergeCell ref="C24:D24"/>
    <mergeCell ref="C26:D26"/>
    <mergeCell ref="C27:D27"/>
    <mergeCell ref="D35:E35"/>
    <mergeCell ref="F35:G35"/>
    <mergeCell ref="C90:D90"/>
    <mergeCell ref="C91:D91"/>
    <mergeCell ref="C92:D92"/>
    <mergeCell ref="F87:G87"/>
    <mergeCell ref="C87:D87"/>
    <mergeCell ref="C88:D88"/>
    <mergeCell ref="C89:D89"/>
    <mergeCell ref="H87:I87"/>
    <mergeCell ref="J87:K87"/>
    <mergeCell ref="B62:T62"/>
    <mergeCell ref="O39:P39"/>
    <mergeCell ref="O40:P40"/>
    <mergeCell ref="F41:G41"/>
    <mergeCell ref="F42:G42"/>
    <mergeCell ref="F43:G43"/>
    <mergeCell ref="O43:P43"/>
    <mergeCell ref="B65:C66"/>
    <mergeCell ref="B69:C70"/>
    <mergeCell ref="B73:C74"/>
    <mergeCell ref="B77:C78"/>
    <mergeCell ref="B81:C82"/>
    <mergeCell ref="D51:E51"/>
    <mergeCell ref="D50:I50"/>
    <mergeCell ref="R35:S35"/>
    <mergeCell ref="O36:P36"/>
    <mergeCell ref="O37:P37"/>
    <mergeCell ref="O38:P38"/>
    <mergeCell ref="M35:N35"/>
  </mergeCells>
  <conditionalFormatting sqref="B62:T62">
    <cfRule type="expression" dxfId="323" priority="70">
      <formula>OR($P$60="0",$P$60="")</formula>
    </cfRule>
  </conditionalFormatting>
  <conditionalFormatting sqref="A64:V64 T77:V77 A79:V80 A63 A87:V95 A84 U84:V84 U63:V63 A67:V72 A65:F66 A75:V76 A73:F74 J78:V78 A77:G78 J77:R77 A83:V83 A81:F82 K65:V66 H65:I66 K73:V74 H73:I74 L81:P81 A85:B86 I85:V86 R81:V82 H81:J82 L82:N82 P82">
    <cfRule type="expression" dxfId="322" priority="71">
      <formula>OR($P$60="0",$P$60="")</formula>
    </cfRule>
  </conditionalFormatting>
  <conditionalFormatting sqref="S77">
    <cfRule type="expression" dxfId="321" priority="28">
      <formula>OR($P$60="0",$P$60="")</formula>
    </cfRule>
  </conditionalFormatting>
  <conditionalFormatting sqref="P60">
    <cfRule type="expression" dxfId="320" priority="27">
      <formula>OR($P$60="0",$P$60="")</formula>
    </cfRule>
  </conditionalFormatting>
  <conditionalFormatting sqref="C60:T60">
    <cfRule type="expression" dxfId="319" priority="26">
      <formula>IF($P$60="X",FALSE,TRUE)</formula>
    </cfRule>
  </conditionalFormatting>
  <conditionalFormatting sqref="F63:T63">
    <cfRule type="expression" dxfId="318" priority="20">
      <formula>OR($P$60="0",$P$60="")</formula>
    </cfRule>
  </conditionalFormatting>
  <conditionalFormatting sqref="I84:T84">
    <cfRule type="expression" dxfId="317" priority="19">
      <formula>OR($P$60="0",$P$60="")</formula>
    </cfRule>
  </conditionalFormatting>
  <conditionalFormatting sqref="B84">
    <cfRule type="expression" dxfId="316" priority="18">
      <formula>OR($P$60="0",$P$60="")</formula>
    </cfRule>
  </conditionalFormatting>
  <conditionalFormatting sqref="B60">
    <cfRule type="expression" dxfId="315" priority="21">
      <formula>IF($P$60="X",FALSE,TRUE)</formula>
    </cfRule>
  </conditionalFormatting>
  <conditionalFormatting sqref="G65:G66">
    <cfRule type="expression" dxfId="314" priority="16">
      <formula>OR($P$60="0",$P$60="")</formula>
    </cfRule>
  </conditionalFormatting>
  <conditionalFormatting sqref="G73:G74">
    <cfRule type="expression" dxfId="313" priority="15">
      <formula>OR($P$60="0",$P$60="")</formula>
    </cfRule>
  </conditionalFormatting>
  <conditionalFormatting sqref="H77:I78">
    <cfRule type="expression" dxfId="312" priority="14">
      <formula>OR($P$60="0",$P$60="")</formula>
    </cfRule>
  </conditionalFormatting>
  <conditionalFormatting sqref="G81:G82">
    <cfRule type="expression" dxfId="311" priority="13">
      <formula>OR($P$60="0",$P$60="")</formula>
    </cfRule>
  </conditionalFormatting>
  <conditionalFormatting sqref="J65:J66">
    <cfRule type="expression" dxfId="310" priority="12">
      <formula>OR($P$60="0",$P$60="")</formula>
    </cfRule>
  </conditionalFormatting>
  <conditionalFormatting sqref="J73:J74">
    <cfRule type="expression" dxfId="309" priority="11">
      <formula>OR($P$60="0",$P$60="")</formula>
    </cfRule>
  </conditionalFormatting>
  <conditionalFormatting sqref="K81:K82">
    <cfRule type="expression" dxfId="308" priority="10">
      <formula>OR($P$60="0",$P$60="")</formula>
    </cfRule>
  </conditionalFormatting>
  <conditionalFormatting sqref="Q81:Q82">
    <cfRule type="expression" dxfId="307" priority="9">
      <formula>OR($P$60="0",$P$60="")</formula>
    </cfRule>
  </conditionalFormatting>
  <conditionalFormatting sqref="C84:H86">
    <cfRule type="expression" dxfId="306" priority="7">
      <formula>OR($P$60="0",$P$60="")</formula>
    </cfRule>
  </conditionalFormatting>
  <conditionalFormatting sqref="B63:E63">
    <cfRule type="expression" dxfId="305" priority="6">
      <formula>OR($P$60="0",$P$60="")</formula>
    </cfRule>
  </conditionalFormatting>
  <conditionalFormatting sqref="I22:P27">
    <cfRule type="expression" dxfId="304" priority="75">
      <formula>$C$12&lt;&gt;"Bauträger/Verkäufer"</formula>
    </cfRule>
  </conditionalFormatting>
  <conditionalFormatting sqref="C23:G27">
    <cfRule type="expression" dxfId="303" priority="77">
      <formula>IF($B23=$AA$23,TRUE,FALSE)</formula>
    </cfRule>
  </conditionalFormatting>
  <conditionalFormatting sqref="O11:P12">
    <cfRule type="expression" dxfId="302" priority="4">
      <formula>IF($D$12=4,TRUE,FALSE)</formula>
    </cfRule>
  </conditionalFormatting>
  <conditionalFormatting sqref="E82">
    <cfRule type="expression" dxfId="301" priority="2">
      <formula>AA83=1</formula>
    </cfRule>
    <cfRule type="expression" dxfId="300" priority="3">
      <formula>AA83=2</formula>
    </cfRule>
  </conditionalFormatting>
  <conditionalFormatting sqref="O82">
    <cfRule type="expression" dxfId="299" priority="1">
      <formula>OR($P$60="0",$P$60="")</formula>
    </cfRule>
  </conditionalFormatting>
  <dataValidations count="5">
    <dataValidation type="whole" operator="lessThanOrEqual" allowBlank="1" showInputMessage="1" showErrorMessage="1" errorTitle="Bereichsfehler" error="Betrachtungen größer 50 Jahre liefern keine realistischen Werte und können auch nicht berechnet werden" sqref="F12 E66">
      <formula1>50</formula1>
    </dataValidation>
    <dataValidation type="list" allowBlank="1" showInputMessage="1" sqref="C7">
      <formula1>Liste_Gebtyp</formula1>
    </dataValidation>
    <dataValidation type="textLength" operator="lessThanOrEqual" allowBlank="1" showInputMessage="1" showErrorMessage="1" sqref="E88:E92">
      <formula1>7</formula1>
    </dataValidation>
    <dataValidation type="custom" allowBlank="1" showInputMessage="1" showErrorMessage="1" errorTitle="Fehler in der Eingabe" error="Nachfolgender Wert muss größer als vorheriger sein!!!" sqref="P72:P75">
      <formula1>P72&gt;P71</formula1>
    </dataValidation>
    <dataValidation type="textLength" operator="lessThanOrEqual" allowBlank="1" showInputMessage="1" showErrorMessage="1" sqref="E23:E27">
      <formula1>9</formula1>
    </dataValidation>
  </dataValidations>
  <hyperlinks>
    <hyperlink ref="D45" r:id="rId1"/>
    <hyperlink ref="D46" r:id="rId2"/>
  </hyperlinks>
  <pageMargins left="0.70866141732283472" right="0.70866141732283472" top="0.78740157480314965" bottom="0.78740157480314965" header="0.31496062992125984" footer="0.31496062992125984"/>
  <pageSetup paperSize="9" scale="45" fitToHeight="2" orientation="portrait" r:id="rId3"/>
  <rowBreaks count="1" manualBreakCount="1">
    <brk id="59" max="23" man="1"/>
  </rowBreaks>
  <ignoredErrors>
    <ignoredError sqref="P60 F23:F27 G22" unlocked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384152" r:id="rId6" name="Group Box 152">
              <controlPr defaultSize="0" autoFill="0" autoPict="0">
                <anchor moveWithCells="1">
                  <from>
                    <xdr:col>5</xdr:col>
                    <xdr:colOff>0</xdr:colOff>
                    <xdr:row>22</xdr:row>
                    <xdr:rowOff>0</xdr:rowOff>
                  </from>
                  <to>
                    <xdr:col>6</xdr:col>
                    <xdr:colOff>0</xdr:colOff>
                    <xdr:row>27</xdr:row>
                    <xdr:rowOff>0</xdr:rowOff>
                  </to>
                </anchor>
              </controlPr>
            </control>
          </mc:Choice>
        </mc:AlternateContent>
        <mc:AlternateContent xmlns:mc="http://schemas.openxmlformats.org/markup-compatibility/2006">
          <mc:Choice Requires="x14">
            <control shapeId="384153" r:id="rId7" name="Option Button 153">
              <controlPr defaultSize="0" autoFill="0" autoLine="0" autoPict="0">
                <anchor moveWithCells="1">
                  <from>
                    <xdr:col>5</xdr:col>
                    <xdr:colOff>161925</xdr:colOff>
                    <xdr:row>22</xdr:row>
                    <xdr:rowOff>9525</xdr:rowOff>
                  </from>
                  <to>
                    <xdr:col>5</xdr:col>
                    <xdr:colOff>466725</xdr:colOff>
                    <xdr:row>22</xdr:row>
                    <xdr:rowOff>152400</xdr:rowOff>
                  </to>
                </anchor>
              </controlPr>
            </control>
          </mc:Choice>
        </mc:AlternateContent>
        <mc:AlternateContent xmlns:mc="http://schemas.openxmlformats.org/markup-compatibility/2006">
          <mc:Choice Requires="x14">
            <control shapeId="384154" r:id="rId8" name="Option Button 154">
              <controlPr defaultSize="0" autoFill="0" autoLine="0" autoPict="0">
                <anchor moveWithCells="1">
                  <from>
                    <xdr:col>5</xdr:col>
                    <xdr:colOff>171450</xdr:colOff>
                    <xdr:row>23</xdr:row>
                    <xdr:rowOff>19050</xdr:rowOff>
                  </from>
                  <to>
                    <xdr:col>5</xdr:col>
                    <xdr:colOff>476250</xdr:colOff>
                    <xdr:row>23</xdr:row>
                    <xdr:rowOff>161925</xdr:rowOff>
                  </to>
                </anchor>
              </controlPr>
            </control>
          </mc:Choice>
        </mc:AlternateContent>
        <mc:AlternateContent xmlns:mc="http://schemas.openxmlformats.org/markup-compatibility/2006">
          <mc:Choice Requires="x14">
            <control shapeId="384155" r:id="rId9" name="Option Button 155">
              <controlPr defaultSize="0" autoFill="0" autoLine="0" autoPict="0">
                <anchor moveWithCells="1">
                  <from>
                    <xdr:col>5</xdr:col>
                    <xdr:colOff>171450</xdr:colOff>
                    <xdr:row>24</xdr:row>
                    <xdr:rowOff>28575</xdr:rowOff>
                  </from>
                  <to>
                    <xdr:col>5</xdr:col>
                    <xdr:colOff>476250</xdr:colOff>
                    <xdr:row>24</xdr:row>
                    <xdr:rowOff>171450</xdr:rowOff>
                  </to>
                </anchor>
              </controlPr>
            </control>
          </mc:Choice>
        </mc:AlternateContent>
        <mc:AlternateContent xmlns:mc="http://schemas.openxmlformats.org/markup-compatibility/2006">
          <mc:Choice Requires="x14">
            <control shapeId="384156" r:id="rId10" name="Option Button 156">
              <controlPr defaultSize="0" autoFill="0" autoLine="0" autoPict="0">
                <anchor moveWithCells="1">
                  <from>
                    <xdr:col>5</xdr:col>
                    <xdr:colOff>161925</xdr:colOff>
                    <xdr:row>25</xdr:row>
                    <xdr:rowOff>28575</xdr:rowOff>
                  </from>
                  <to>
                    <xdr:col>5</xdr:col>
                    <xdr:colOff>466725</xdr:colOff>
                    <xdr:row>25</xdr:row>
                    <xdr:rowOff>171450</xdr:rowOff>
                  </to>
                </anchor>
              </controlPr>
            </control>
          </mc:Choice>
        </mc:AlternateContent>
        <mc:AlternateContent xmlns:mc="http://schemas.openxmlformats.org/markup-compatibility/2006">
          <mc:Choice Requires="x14">
            <control shapeId="384159" r:id="rId11" name="Option Button 159">
              <controlPr defaultSize="0" autoFill="0" autoLine="0" autoPict="0">
                <anchor moveWithCells="1">
                  <from>
                    <xdr:col>5</xdr:col>
                    <xdr:colOff>161925</xdr:colOff>
                    <xdr:row>26</xdr:row>
                    <xdr:rowOff>9525</xdr:rowOff>
                  </from>
                  <to>
                    <xdr:col>5</xdr:col>
                    <xdr:colOff>390525</xdr:colOff>
                    <xdr:row>26</xdr:row>
                    <xdr:rowOff>171450</xdr:rowOff>
                  </to>
                </anchor>
              </controlPr>
            </control>
          </mc:Choice>
        </mc:AlternateContent>
        <mc:AlternateContent xmlns:mc="http://schemas.openxmlformats.org/markup-compatibility/2006">
          <mc:Choice Requires="x14">
            <control shapeId="384161" r:id="rId12" name="Drop Down 161">
              <controlPr defaultSize="0" autoLine="0" autoPict="0">
                <anchor moveWithCells="1">
                  <from>
                    <xdr:col>6</xdr:col>
                    <xdr:colOff>9525</xdr:colOff>
                    <xdr:row>21</xdr:row>
                    <xdr:rowOff>66675</xdr:rowOff>
                  </from>
                  <to>
                    <xdr:col>8</xdr:col>
                    <xdr:colOff>9525</xdr:colOff>
                    <xdr:row>21</xdr:row>
                    <xdr:rowOff>285750</xdr:rowOff>
                  </to>
                </anchor>
              </controlPr>
            </control>
          </mc:Choice>
        </mc:AlternateContent>
        <mc:AlternateContent xmlns:mc="http://schemas.openxmlformats.org/markup-compatibility/2006">
          <mc:Choice Requires="x14">
            <control shapeId="384180" r:id="rId13" name="Drop Down 180">
              <controlPr defaultSize="0" autoLine="0" autoPict="0">
                <anchor moveWithCells="1">
                  <from>
                    <xdr:col>2</xdr:col>
                    <xdr:colOff>0</xdr:colOff>
                    <xdr:row>11</xdr:row>
                    <xdr:rowOff>0</xdr:rowOff>
                  </from>
                  <to>
                    <xdr:col>4</xdr:col>
                    <xdr:colOff>38100</xdr:colOff>
                    <xdr:row>12</xdr:row>
                    <xdr:rowOff>9525</xdr:rowOff>
                  </to>
                </anchor>
              </controlPr>
            </control>
          </mc:Choice>
        </mc:AlternateContent>
        <mc:AlternateContent xmlns:mc="http://schemas.openxmlformats.org/markup-compatibility/2006">
          <mc:Choice Requires="x14">
            <control shapeId="384184" r:id="rId14" name="Drop Down 184">
              <controlPr defaultSize="0" autoLine="0" autoPict="0">
                <anchor moveWithCells="1">
                  <from>
                    <xdr:col>5</xdr:col>
                    <xdr:colOff>19050</xdr:colOff>
                    <xdr:row>81</xdr:row>
                    <xdr:rowOff>0</xdr:rowOff>
                  </from>
                  <to>
                    <xdr:col>7</xdr:col>
                    <xdr:colOff>495300</xdr:colOff>
                    <xdr:row>82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6" id="{6ABC3741-CD2B-4091-9F7C-52F41F4F8CBC}">
            <xm:f>IF($C$12=LISTEN!$C$38,FALSE,TRUE)</xm:f>
            <x14:dxf>
              <font>
                <color theme="0" tint="-0.14996795556505021"/>
              </font>
              <fill>
                <patternFill>
                  <bgColor theme="0" tint="-0.14996795556505021"/>
                </patternFill>
              </fill>
              <border>
                <vertical/>
                <horizontal/>
              </border>
            </x14:dxf>
          </x14:cfRule>
          <xm:sqref>I22:P27</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14:formula1>
            <xm:f>LISTEN!$E$6:$E$7</xm:f>
          </x14:formula1>
          <xm:sqref>L61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tabColor rgb="FF92D050"/>
  </sheetPr>
  <dimension ref="A1:Y164"/>
  <sheetViews>
    <sheetView showGridLines="0" showRowColHeaders="0" showZeros="0" zoomScaleNormal="100" workbookViewId="0">
      <pane ySplit="8" topLeftCell="A9" activePane="bottomLeft" state="frozen"/>
      <selection pane="bottomLeft" activeCell="B15" sqref="B15"/>
    </sheetView>
  </sheetViews>
  <sheetFormatPr baseColWidth="10" defaultRowHeight="11.25" x14ac:dyDescent="0.25"/>
  <cols>
    <col min="1" max="1" width="4.28515625" style="327" customWidth="1"/>
    <col min="2" max="2" width="2.7109375" style="327" customWidth="1"/>
    <col min="3" max="3" width="3.85546875" style="327" customWidth="1"/>
    <col min="4" max="4" width="3.28515625" style="327" customWidth="1"/>
    <col min="5" max="5" width="16.42578125" style="327" customWidth="1"/>
    <col min="6" max="6" width="37.28515625" style="327" customWidth="1"/>
    <col min="7" max="7" width="25" style="327" customWidth="1"/>
    <col min="8" max="8" width="16.28515625" style="327" customWidth="1"/>
    <col min="9" max="9" width="13.28515625" style="327" customWidth="1"/>
    <col min="10" max="10" width="9.85546875" style="428" customWidth="1"/>
    <col min="11" max="11" width="5.7109375" style="327" customWidth="1"/>
    <col min="12" max="12" width="19.28515625" style="327" customWidth="1"/>
    <col min="13" max="13" width="16.5703125" style="327" customWidth="1"/>
    <col min="14" max="14" width="12.42578125" style="327" customWidth="1"/>
    <col min="15" max="15" width="22.28515625" style="428" customWidth="1"/>
    <col min="16" max="16" width="8.28515625" style="327" customWidth="1"/>
    <col min="17" max="17" width="4.5703125" style="327" customWidth="1"/>
    <col min="18" max="18" width="7.5703125" style="327" hidden="1" customWidth="1"/>
    <col min="19" max="20" width="11.42578125" style="327" hidden="1" customWidth="1"/>
    <col min="21" max="21" width="8.5703125" style="327" hidden="1" customWidth="1"/>
    <col min="22" max="22" width="4.7109375" style="327" hidden="1" customWidth="1"/>
    <col min="23" max="23" width="4.85546875" style="327" hidden="1" customWidth="1"/>
    <col min="24" max="26" width="0" style="327" hidden="1" customWidth="1"/>
    <col min="27" max="16384" width="11.42578125" style="327"/>
  </cols>
  <sheetData>
    <row r="1" spans="1:25" ht="24.95" customHeight="1" x14ac:dyDescent="0.25">
      <c r="A1" s="315"/>
      <c r="B1" s="399" t="str">
        <f>"Eingabe: Energiekennwerte (beziehen sich auf die "&amp;$N$13&amp;")"</f>
        <v>Eingabe: Energiekennwerte (beziehen sich auf die Energiebezugsfläche)</v>
      </c>
      <c r="C1" s="400"/>
      <c r="D1" s="400"/>
      <c r="E1" s="400"/>
      <c r="F1" s="400"/>
      <c r="G1" s="400"/>
      <c r="H1" s="400"/>
      <c r="I1" s="400"/>
      <c r="J1" s="401"/>
      <c r="K1" s="400"/>
      <c r="L1" s="400"/>
      <c r="M1" s="400"/>
      <c r="N1" s="400"/>
      <c r="O1" s="401"/>
      <c r="P1" s="400"/>
      <c r="Q1" s="400"/>
    </row>
    <row r="2" spans="1:25" ht="50.1" customHeight="1" x14ac:dyDescent="0.2">
      <c r="A2" s="440"/>
      <c r="B2" s="1164"/>
      <c r="C2" s="1165"/>
      <c r="D2" s="1165"/>
      <c r="E2" s="1165"/>
      <c r="F2" s="1165"/>
      <c r="G2" s="1165"/>
      <c r="H2" s="1165"/>
      <c r="I2" s="1165"/>
      <c r="J2" s="1165"/>
      <c r="K2" s="1165"/>
      <c r="L2" s="1165"/>
      <c r="M2" s="1165"/>
      <c r="N2" s="1165"/>
      <c r="O2" s="1165"/>
      <c r="P2" s="1165"/>
      <c r="Q2" s="1165"/>
    </row>
    <row r="3" spans="1:25" ht="12.95" customHeight="1" x14ac:dyDescent="0.25">
      <c r="A3" s="402"/>
      <c r="B3" s="434"/>
      <c r="C3" s="323"/>
      <c r="D3" s="323"/>
      <c r="E3" s="323"/>
      <c r="F3" s="323"/>
      <c r="G3" s="323"/>
      <c r="H3" s="323"/>
      <c r="I3" s="323"/>
      <c r="J3" s="322"/>
      <c r="K3" s="323"/>
      <c r="L3" s="323"/>
      <c r="M3" s="323"/>
      <c r="N3" s="323"/>
      <c r="O3" s="403"/>
      <c r="P3" s="316"/>
      <c r="Q3" s="1165"/>
    </row>
    <row r="4" spans="1:25" ht="12.95" customHeight="1" x14ac:dyDescent="0.25">
      <c r="A4" s="402"/>
      <c r="B4" s="1593" t="str">
        <f>'1. Projektangaben'!B4</f>
        <v>Bauvorhaben</v>
      </c>
      <c r="C4" s="1593"/>
      <c r="D4" s="1594"/>
      <c r="E4" s="404" t="str">
        <f>IF('1. Projektangaben'!$C$4="","",'1. Projektangaben'!$C$4)</f>
        <v>KliNaWo</v>
      </c>
      <c r="F4" s="406"/>
      <c r="G4" s="1148" t="str">
        <f>'1. Projektangaben'!H4</f>
        <v>Architekt</v>
      </c>
      <c r="H4" s="404" t="str">
        <f>IF('1. Projektangaben'!$I$4="","",'1. Projektangaben'!$I$4)</f>
        <v>Walser und Werle Architekten</v>
      </c>
      <c r="I4" s="412"/>
      <c r="J4" s="447"/>
      <c r="K4" s="1151"/>
      <c r="L4" s="1150"/>
      <c r="M4" s="316"/>
      <c r="N4" s="323"/>
      <c r="O4" s="403"/>
      <c r="P4" s="316"/>
      <c r="Q4" s="1165"/>
    </row>
    <row r="5" spans="1:25" ht="12.95" customHeight="1" x14ac:dyDescent="0.25">
      <c r="A5" s="402"/>
      <c r="B5" s="1595" t="str">
        <f>'1. Projektangaben'!B5</f>
        <v>Bauherr</v>
      </c>
      <c r="C5" s="1595"/>
      <c r="D5" s="1595"/>
      <c r="E5" s="408" t="str">
        <f>IF('1. Projektangaben'!$C$5="","",'1. Projektangaben'!$C$5)</f>
        <v>privater Bauträger</v>
      </c>
      <c r="F5" s="1178"/>
      <c r="G5" s="1149" t="str">
        <f>'1. Projektangaben'!H5</f>
        <v>Baujahr</v>
      </c>
      <c r="H5" s="471">
        <f>IF('1. Projektangaben'!$I$5="","",'1. Projektangaben'!$I$5)</f>
        <v>2017</v>
      </c>
      <c r="I5" s="416"/>
      <c r="J5" s="1150"/>
      <c r="K5" s="1151"/>
      <c r="L5" s="1150"/>
      <c r="M5" s="316"/>
      <c r="N5" s="323"/>
      <c r="O5" s="403"/>
      <c r="P5" s="316"/>
      <c r="Q5" s="1165"/>
    </row>
    <row r="6" spans="1:25" ht="12.95" customHeight="1" x14ac:dyDescent="0.25">
      <c r="A6" s="402"/>
      <c r="B6" s="1595" t="str">
        <f>'1. Projektangaben'!B6</f>
        <v>Adresse, Ort</v>
      </c>
      <c r="C6" s="1595"/>
      <c r="D6" s="1595"/>
      <c r="E6" s="404" t="str">
        <f>IF('1. Projektangaben'!$C$6="","",'1. Projektangaben'!$C$6)</f>
        <v>Siedlungsstrasse, Feldkirch</v>
      </c>
      <c r="F6" s="467"/>
      <c r="G6" s="1148" t="str">
        <f>'1. Projektangaben'!H6</f>
        <v>Personen</v>
      </c>
      <c r="H6" s="1179">
        <f>IF('1. Projektangaben'!$I$6="","",'1. Projektangaben'!$I$6)</f>
        <v>54</v>
      </c>
      <c r="I6" s="380"/>
      <c r="J6" s="1150"/>
      <c r="K6" s="1151"/>
      <c r="L6" s="1150"/>
      <c r="M6" s="316"/>
      <c r="N6" s="316"/>
      <c r="O6" s="403"/>
      <c r="P6" s="316"/>
      <c r="Q6" s="1165"/>
    </row>
    <row r="7" spans="1:25" ht="12.95" customHeight="1" x14ac:dyDescent="0.25">
      <c r="A7" s="402"/>
      <c r="B7" s="1595" t="str">
        <f>'1. Projektangaben'!B7</f>
        <v>Gebäudetyp</v>
      </c>
      <c r="C7" s="1595"/>
      <c r="D7" s="1595"/>
      <c r="E7" s="404" t="str">
        <f>IF('1. Projektangaben'!$C$7="","",'1. Projektangaben'!$C$7)</f>
        <v>Mehrfamilienhaus</v>
      </c>
      <c r="F7" s="1180" t="str">
        <f>'1. Projektangaben'!E7</f>
        <v>18+1 WE</v>
      </c>
      <c r="G7" s="1148" t="str">
        <f>'1. Projektangaben'!H7</f>
        <v>Anmerkung</v>
      </c>
      <c r="H7" s="404" t="str">
        <f>IF('1. Projektangaben'!$I$7="","",'1. Projektangaben'!$I$7)</f>
        <v>Beispiele verschiedener Varianten</v>
      </c>
      <c r="I7" s="412"/>
      <c r="J7" s="447"/>
      <c r="K7" s="1151"/>
      <c r="L7" s="1150"/>
      <c r="M7" s="316"/>
      <c r="N7" s="323"/>
      <c r="O7" s="403"/>
      <c r="P7" s="316"/>
      <c r="Q7" s="1165"/>
    </row>
    <row r="8" spans="1:25" ht="12.95" customHeight="1" x14ac:dyDescent="0.25">
      <c r="A8" s="402"/>
      <c r="B8" s="323"/>
      <c r="C8" s="323"/>
      <c r="D8" s="323"/>
      <c r="E8" s="323"/>
      <c r="F8" s="323"/>
      <c r="G8" s="323"/>
      <c r="H8" s="323"/>
      <c r="I8" s="323"/>
      <c r="J8" s="322"/>
      <c r="K8" s="323"/>
      <c r="L8" s="323"/>
      <c r="M8" s="323"/>
      <c r="N8" s="323"/>
      <c r="O8" s="403"/>
      <c r="P8" s="316"/>
      <c r="Q8" s="1165"/>
    </row>
    <row r="9" spans="1:25" ht="39.950000000000003" customHeight="1" x14ac:dyDescent="0.25">
      <c r="A9" s="440"/>
      <c r="B9" s="1171" t="str">
        <f>"Energiekennwert Variante 1: "&amp;'1. Projektangaben'!$E$23</f>
        <v>Energiekennwert Variante 1: BTV</v>
      </c>
      <c r="C9" s="1165"/>
      <c r="D9" s="1165"/>
      <c r="E9" s="1165"/>
      <c r="F9" s="1165"/>
      <c r="G9" s="1165"/>
      <c r="H9" s="1165"/>
      <c r="I9" s="1165"/>
      <c r="J9" s="1165"/>
      <c r="K9" s="1165"/>
      <c r="L9" s="1165"/>
      <c r="M9" s="1165"/>
      <c r="N9" s="1165"/>
      <c r="O9" s="1165"/>
      <c r="P9" s="1165"/>
      <c r="Q9" s="1165"/>
      <c r="Y9" s="327" t="s">
        <v>819</v>
      </c>
    </row>
    <row r="10" spans="1:25" ht="12.95" customHeight="1" x14ac:dyDescent="0.25">
      <c r="A10" s="402"/>
      <c r="B10" s="413"/>
      <c r="C10" s="323"/>
      <c r="D10" s="323"/>
      <c r="E10" s="414"/>
      <c r="F10" s="414"/>
      <c r="G10" s="414"/>
      <c r="H10" s="414"/>
      <c r="I10" s="414"/>
      <c r="J10" s="415"/>
      <c r="K10" s="403"/>
      <c r="L10" s="403"/>
      <c r="M10" s="403"/>
      <c r="N10" s="403"/>
      <c r="O10" s="403"/>
      <c r="P10" s="403"/>
      <c r="Q10" s="1165"/>
      <c r="Y10" s="1385">
        <v>25</v>
      </c>
    </row>
    <row r="11" spans="1:25" ht="12.95" customHeight="1" x14ac:dyDescent="0.25">
      <c r="A11" s="402"/>
      <c r="B11" s="413"/>
      <c r="C11" s="323"/>
      <c r="D11" s="323"/>
      <c r="E11" s="414"/>
      <c r="F11" s="1484" t="s">
        <v>104</v>
      </c>
      <c r="G11" s="1485"/>
      <c r="H11" s="1485"/>
      <c r="I11" s="1485"/>
      <c r="J11" s="1590"/>
      <c r="K11" s="403"/>
      <c r="L11" s="403"/>
      <c r="M11" s="403"/>
      <c r="N11" s="403"/>
      <c r="O11" s="403"/>
      <c r="P11" s="403"/>
      <c r="Q11" s="1165"/>
    </row>
    <row r="12" spans="1:25" ht="12.95" customHeight="1" thickBot="1" x14ac:dyDescent="0.3">
      <c r="A12" s="402"/>
      <c r="B12" s="1592" t="s">
        <v>811</v>
      </c>
      <c r="C12" s="323"/>
      <c r="D12" s="323"/>
      <c r="E12" s="414"/>
      <c r="F12" s="1487" t="str">
        <f>IF('1. Projektangaben'!C23="","",'1. Projektangaben'!C23)</f>
        <v>BTV-WDVS-WP-Abl-ohne Sol_PV</v>
      </c>
      <c r="G12" s="1488"/>
      <c r="H12" s="1488"/>
      <c r="I12" s="1488"/>
      <c r="J12" s="1569"/>
      <c r="K12" s="403"/>
      <c r="L12" s="403"/>
      <c r="M12" s="403"/>
      <c r="N12" s="403"/>
      <c r="O12" s="403"/>
      <c r="P12" s="403"/>
      <c r="Q12" s="1165"/>
    </row>
    <row r="13" spans="1:25" ht="12.95" customHeight="1" x14ac:dyDescent="0.25">
      <c r="A13" s="402"/>
      <c r="B13" s="1592"/>
      <c r="C13" s="316"/>
      <c r="D13" s="316"/>
      <c r="E13" s="316"/>
      <c r="F13" s="1146" t="s">
        <v>92</v>
      </c>
      <c r="G13" s="1147" t="s">
        <v>308</v>
      </c>
      <c r="H13" s="1147" t="s">
        <v>331</v>
      </c>
      <c r="I13" s="1147" t="s">
        <v>310</v>
      </c>
      <c r="J13" s="1189" t="s">
        <v>166</v>
      </c>
      <c r="K13" s="403"/>
      <c r="L13" s="403"/>
      <c r="M13" s="1235" t="s">
        <v>809</v>
      </c>
      <c r="N13" s="1236" t="str">
        <f>VLOOKUP('1. Projektangaben'!$AA$25,LISTEN!$E$16:$G$18,3,FALSE)</f>
        <v>Energiebezugsfläche</v>
      </c>
      <c r="O13" s="403"/>
      <c r="P13" s="403"/>
      <c r="Q13" s="1165"/>
      <c r="S13" s="327" t="s">
        <v>816</v>
      </c>
      <c r="T13" s="327" t="s">
        <v>813</v>
      </c>
      <c r="U13" s="327" t="s">
        <v>814</v>
      </c>
    </row>
    <row r="14" spans="1:25" ht="12.95" customHeight="1" thickBot="1" x14ac:dyDescent="0.3">
      <c r="A14" s="402"/>
      <c r="B14" s="1592"/>
      <c r="C14" s="316"/>
      <c r="D14" s="316"/>
      <c r="E14" s="316"/>
      <c r="F14" s="1144"/>
      <c r="G14" s="398"/>
      <c r="H14" s="398" t="s">
        <v>121</v>
      </c>
      <c r="I14" s="398" t="s">
        <v>309</v>
      </c>
      <c r="J14" s="1190" t="s">
        <v>121</v>
      </c>
      <c r="K14" s="403"/>
      <c r="L14" s="403"/>
      <c r="M14" s="403"/>
      <c r="N14" s="403"/>
      <c r="O14" s="403"/>
      <c r="P14" s="403"/>
      <c r="Q14" s="1165"/>
      <c r="R14" s="327">
        <v>1</v>
      </c>
      <c r="S14" s="327" t="s">
        <v>707</v>
      </c>
      <c r="Y14" s="618" t="s">
        <v>839</v>
      </c>
    </row>
    <row r="15" spans="1:25" ht="15" customHeight="1" x14ac:dyDescent="0.25">
      <c r="A15" s="402"/>
      <c r="B15" s="1394">
        <v>9</v>
      </c>
      <c r="C15" s="324"/>
      <c r="D15" s="324"/>
      <c r="E15" s="420" t="s">
        <v>117</v>
      </c>
      <c r="F15" s="1195" t="str">
        <f>IF(B15="","",VLOOKUP(B15,LISTEN!$B$6:$C$14,2,FALSE))</f>
        <v>Wärmepumpenstrom</v>
      </c>
      <c r="G15" s="215"/>
      <c r="H15" s="955">
        <v>23.23</v>
      </c>
      <c r="I15" s="1252">
        <v>1</v>
      </c>
      <c r="J15" s="1188">
        <f>H15/I15</f>
        <v>23.23</v>
      </c>
      <c r="K15" s="403"/>
      <c r="L15" s="403"/>
      <c r="M15" s="403"/>
      <c r="N15" s="403"/>
      <c r="O15" s="403"/>
      <c r="P15" s="403"/>
      <c r="Q15" s="1165"/>
      <c r="R15" s="327">
        <v>2</v>
      </c>
      <c r="S15" s="327" t="s">
        <v>104</v>
      </c>
      <c r="T15" s="327">
        <v>15</v>
      </c>
      <c r="U15" s="327">
        <v>37</v>
      </c>
      <c r="Y15" s="1250">
        <f>IF($F15=0,1,VLOOKUP($F15,LISTEN!$C$6:$D$14,2,FALSE))</f>
        <v>9</v>
      </c>
    </row>
    <row r="16" spans="1:25" ht="15" customHeight="1" x14ac:dyDescent="0.25">
      <c r="A16" s="402"/>
      <c r="B16" s="1394">
        <v>1</v>
      </c>
      <c r="C16" s="405"/>
      <c r="D16" s="405"/>
      <c r="E16" s="421" t="s">
        <v>311</v>
      </c>
      <c r="F16" s="1195">
        <f>IF(B16="","",VLOOKUP(B16,LISTEN!$B$6:$C$14,2,FALSE))</f>
        <v>0</v>
      </c>
      <c r="G16" s="215"/>
      <c r="H16" s="1185"/>
      <c r="I16" s="1253">
        <v>1</v>
      </c>
      <c r="J16" s="392">
        <f t="shared" ref="J16:J20" si="0">H16/I16</f>
        <v>0</v>
      </c>
      <c r="K16" s="403"/>
      <c r="L16" s="403"/>
      <c r="M16" s="403"/>
      <c r="N16" s="403"/>
      <c r="O16" s="403"/>
      <c r="P16" s="403"/>
      <c r="Q16" s="1165"/>
      <c r="R16" s="327">
        <v>3</v>
      </c>
      <c r="S16" s="327" t="s">
        <v>105</v>
      </c>
      <c r="T16" s="327">
        <v>46</v>
      </c>
      <c r="U16" s="327">
        <v>68</v>
      </c>
      <c r="Y16" s="1250">
        <f>IF($F16=0,1,VLOOKUP($F16,LISTEN!$C$6:$D$14,2,FALSE))</f>
        <v>1</v>
      </c>
    </row>
    <row r="17" spans="1:25" ht="15" customHeight="1" x14ac:dyDescent="0.25">
      <c r="A17" s="402"/>
      <c r="B17" s="1394">
        <v>9</v>
      </c>
      <c r="C17" s="405"/>
      <c r="D17" s="405"/>
      <c r="E17" s="421" t="s">
        <v>118</v>
      </c>
      <c r="F17" s="1195" t="str">
        <f>IF(B17="","",VLOOKUP(B17,LISTEN!$B$6:$C$14,2,FALSE))</f>
        <v>Wärmepumpenstrom</v>
      </c>
      <c r="G17" s="215"/>
      <c r="H17" s="955">
        <v>18.27</v>
      </c>
      <c r="I17" s="1252">
        <v>1</v>
      </c>
      <c r="J17" s="392">
        <f t="shared" si="0"/>
        <v>18.27</v>
      </c>
      <c r="K17" s="403"/>
      <c r="L17" s="403"/>
      <c r="M17" s="403"/>
      <c r="N17" s="403"/>
      <c r="O17" s="403"/>
      <c r="P17" s="403"/>
      <c r="Q17" s="1165"/>
      <c r="R17" s="327">
        <v>4</v>
      </c>
      <c r="S17" s="327" t="s">
        <v>106</v>
      </c>
      <c r="T17" s="327">
        <v>77</v>
      </c>
      <c r="U17" s="327">
        <v>99</v>
      </c>
      <c r="Y17" s="1250">
        <f>IF($F17=0,1,VLOOKUP($F17,LISTEN!$C$6:$D$14,2,FALSE))</f>
        <v>9</v>
      </c>
    </row>
    <row r="18" spans="1:25" ht="15" customHeight="1" x14ac:dyDescent="0.25">
      <c r="A18" s="402"/>
      <c r="B18" s="1394">
        <v>1</v>
      </c>
      <c r="C18" s="405"/>
      <c r="D18" s="405"/>
      <c r="E18" s="421" t="s">
        <v>312</v>
      </c>
      <c r="F18" s="1195">
        <f>IF(B18="","",VLOOKUP(B18,LISTEN!$B$6:$C$14,2,FALSE))</f>
        <v>0</v>
      </c>
      <c r="G18" s="215"/>
      <c r="H18" s="1186"/>
      <c r="I18" s="1254">
        <v>1</v>
      </c>
      <c r="J18" s="392">
        <f t="shared" si="0"/>
        <v>0</v>
      </c>
      <c r="K18" s="403"/>
      <c r="L18" s="403"/>
      <c r="M18" s="403"/>
      <c r="N18" s="403"/>
      <c r="O18" s="403"/>
      <c r="P18" s="403"/>
      <c r="Q18" s="1165"/>
      <c r="R18" s="327">
        <v>5</v>
      </c>
      <c r="S18" s="327" t="s">
        <v>107</v>
      </c>
      <c r="T18" s="327">
        <v>108</v>
      </c>
      <c r="U18" s="327">
        <v>130</v>
      </c>
      <c r="Y18" s="1250">
        <f>IF($F18=0,1,VLOOKUP($F18,LISTEN!$C$6:$D$14,2,FALSE))</f>
        <v>1</v>
      </c>
    </row>
    <row r="19" spans="1:25" ht="15" customHeight="1" x14ac:dyDescent="0.25">
      <c r="A19" s="402"/>
      <c r="B19" s="1394">
        <v>1</v>
      </c>
      <c r="C19" s="405"/>
      <c r="D19" s="405"/>
      <c r="E19" s="421" t="s">
        <v>337</v>
      </c>
      <c r="F19" s="1195">
        <f>IF(B19="","",VLOOKUP(B19,LISTEN!$B$6:$C$14,2,FALSE))</f>
        <v>0</v>
      </c>
      <c r="G19" s="215"/>
      <c r="H19" s="1186"/>
      <c r="I19" s="1254">
        <v>1</v>
      </c>
      <c r="J19" s="392">
        <f t="shared" si="0"/>
        <v>0</v>
      </c>
      <c r="K19" s="403"/>
      <c r="L19" s="403"/>
      <c r="M19" s="403"/>
      <c r="N19" s="403"/>
      <c r="O19" s="403"/>
      <c r="P19" s="403"/>
      <c r="Q19" s="1165"/>
      <c r="V19" s="327">
        <f t="shared" ref="V19" si="1">U19-T19</f>
        <v>0</v>
      </c>
      <c r="Y19" s="1250">
        <f>IF($F19=0,1,VLOOKUP($F19,LISTEN!$C$6:$D$14,2,FALSE))</f>
        <v>1</v>
      </c>
    </row>
    <row r="20" spans="1:25" ht="15" customHeight="1" x14ac:dyDescent="0.25">
      <c r="A20" s="402"/>
      <c r="B20" s="1394">
        <v>1</v>
      </c>
      <c r="C20" s="405"/>
      <c r="D20" s="405"/>
      <c r="E20" s="421" t="s">
        <v>315</v>
      </c>
      <c r="F20" s="1195">
        <f>IF(B20="","",VLOOKUP(B20,LISTEN!$B$6:$C$14,2,FALSE))</f>
        <v>0</v>
      </c>
      <c r="G20" s="1050"/>
      <c r="H20" s="1186"/>
      <c r="I20" s="1253">
        <v>1</v>
      </c>
      <c r="J20" s="392">
        <f t="shared" si="0"/>
        <v>0</v>
      </c>
      <c r="K20" s="403"/>
      <c r="L20" s="403"/>
      <c r="M20" s="403"/>
      <c r="N20" s="403"/>
      <c r="O20" s="403"/>
      <c r="P20" s="403"/>
      <c r="Q20" s="1165"/>
      <c r="Y20" s="1250">
        <f>IF($F20=0,1,VLOOKUP($F20,LISTEN!$C$6:$D$14,2,FALSE))</f>
        <v>1</v>
      </c>
    </row>
    <row r="21" spans="1:25" ht="15" customHeight="1" x14ac:dyDescent="0.25">
      <c r="A21" s="402"/>
      <c r="B21" s="1394">
        <v>8</v>
      </c>
      <c r="C21" s="405"/>
      <c r="D21" s="405"/>
      <c r="E21" s="421" t="s">
        <v>313</v>
      </c>
      <c r="F21" s="1203" t="s">
        <v>82</v>
      </c>
      <c r="G21" s="1145"/>
      <c r="H21" s="1186">
        <v>0.96</v>
      </c>
      <c r="I21" s="1182"/>
      <c r="J21" s="392">
        <f>H21</f>
        <v>0.96</v>
      </c>
      <c r="K21" s="403"/>
      <c r="L21" s="403"/>
      <c r="M21" s="403"/>
      <c r="N21" s="403"/>
      <c r="O21" s="403"/>
      <c r="P21" s="403"/>
      <c r="Q21" s="1165"/>
      <c r="R21" s="327" t="s">
        <v>819</v>
      </c>
      <c r="S21" s="1385">
        <v>2</v>
      </c>
      <c r="T21" s="1385">
        <v>10</v>
      </c>
      <c r="Y21" s="1247"/>
    </row>
    <row r="22" spans="1:25" ht="15" customHeight="1" x14ac:dyDescent="0.25">
      <c r="A22" s="402"/>
      <c r="B22" s="1394">
        <v>8</v>
      </c>
      <c r="C22" s="324"/>
      <c r="D22" s="324"/>
      <c r="E22" s="420" t="s">
        <v>341</v>
      </c>
      <c r="F22" s="1203" t="s">
        <v>82</v>
      </c>
      <c r="G22" s="1145"/>
      <c r="H22" s="1186">
        <v>0.5</v>
      </c>
      <c r="I22" s="1183"/>
      <c r="J22" s="392">
        <f t="shared" ref="J22:J29" si="2">H22</f>
        <v>0.5</v>
      </c>
      <c r="K22" s="403"/>
      <c r="L22" s="403"/>
      <c r="M22" s="403"/>
      <c r="N22" s="403"/>
      <c r="O22" s="403"/>
      <c r="P22" s="403"/>
      <c r="Q22" s="1165"/>
      <c r="Y22" s="1247"/>
    </row>
    <row r="23" spans="1:25" ht="15" customHeight="1" x14ac:dyDescent="0.25">
      <c r="A23" s="402"/>
      <c r="B23" s="1394">
        <v>8</v>
      </c>
      <c r="C23" s="405"/>
      <c r="D23" s="405"/>
      <c r="E23" s="421" t="s">
        <v>314</v>
      </c>
      <c r="F23" s="1203" t="s">
        <v>82</v>
      </c>
      <c r="G23" s="1145"/>
      <c r="H23" s="1186"/>
      <c r="I23" s="1183"/>
      <c r="J23" s="392">
        <f t="shared" si="2"/>
        <v>0</v>
      </c>
      <c r="K23" s="403"/>
      <c r="L23" s="403"/>
      <c r="M23" s="403"/>
      <c r="N23" s="403"/>
      <c r="O23" s="403"/>
      <c r="P23" s="403"/>
      <c r="Q23" s="1165"/>
      <c r="Y23" s="1247"/>
    </row>
    <row r="24" spans="1:25" ht="15" customHeight="1" x14ac:dyDescent="0.25">
      <c r="A24" s="402"/>
      <c r="B24" s="1394">
        <v>8</v>
      </c>
      <c r="C24" s="324"/>
      <c r="D24" s="324"/>
      <c r="E24" s="420" t="s">
        <v>340</v>
      </c>
      <c r="F24" s="1203" t="s">
        <v>82</v>
      </c>
      <c r="G24" s="1145"/>
      <c r="H24" s="1186"/>
      <c r="I24" s="1183"/>
      <c r="J24" s="392">
        <f t="shared" si="2"/>
        <v>0</v>
      </c>
      <c r="K24" s="403"/>
      <c r="L24" s="403"/>
      <c r="M24" s="403"/>
      <c r="N24" s="403"/>
      <c r="O24" s="403"/>
      <c r="P24" s="403"/>
      <c r="Q24" s="1165"/>
      <c r="Y24" s="1247"/>
    </row>
    <row r="25" spans="1:25" ht="15" customHeight="1" x14ac:dyDescent="0.25">
      <c r="A25" s="402"/>
      <c r="B25" s="1394">
        <v>8</v>
      </c>
      <c r="C25" s="324"/>
      <c r="D25" s="324"/>
      <c r="E25" s="420" t="s">
        <v>339</v>
      </c>
      <c r="F25" s="1203" t="s">
        <v>82</v>
      </c>
      <c r="G25" s="1145"/>
      <c r="H25" s="1186">
        <v>1.4</v>
      </c>
      <c r="I25" s="1183"/>
      <c r="J25" s="392">
        <f t="shared" si="2"/>
        <v>1.4</v>
      </c>
      <c r="K25" s="403"/>
      <c r="L25" s="403"/>
      <c r="M25" s="403"/>
      <c r="N25" s="403"/>
      <c r="O25" s="403"/>
      <c r="P25" s="403"/>
      <c r="Q25" s="1165"/>
      <c r="Y25" s="1247"/>
    </row>
    <row r="26" spans="1:25" ht="15" customHeight="1" x14ac:dyDescent="0.25">
      <c r="A26" s="402"/>
      <c r="B26" s="1394">
        <v>8</v>
      </c>
      <c r="C26" s="324"/>
      <c r="D26" s="324"/>
      <c r="E26" s="423" t="s">
        <v>338</v>
      </c>
      <c r="F26" s="1203" t="s">
        <v>82</v>
      </c>
      <c r="G26" s="1145"/>
      <c r="H26" s="1186"/>
      <c r="I26" s="1183"/>
      <c r="J26" s="392">
        <f t="shared" si="2"/>
        <v>0</v>
      </c>
      <c r="K26" s="403"/>
      <c r="L26" s="403"/>
      <c r="M26" s="403"/>
      <c r="N26" s="403"/>
      <c r="O26" s="403"/>
      <c r="P26" s="403"/>
      <c r="Q26" s="1165"/>
      <c r="Y26" s="1247"/>
    </row>
    <row r="27" spans="1:25" ht="15" customHeight="1" x14ac:dyDescent="0.25">
      <c r="A27" s="402"/>
      <c r="B27" s="1394">
        <v>8</v>
      </c>
      <c r="C27" s="405"/>
      <c r="D27" s="405"/>
      <c r="E27" s="421" t="s">
        <v>316</v>
      </c>
      <c r="F27" s="1203" t="s">
        <v>82</v>
      </c>
      <c r="G27" s="1145"/>
      <c r="H27" s="1186"/>
      <c r="I27" s="1183"/>
      <c r="J27" s="392">
        <f t="shared" si="2"/>
        <v>0</v>
      </c>
      <c r="K27" s="403"/>
      <c r="L27" s="403"/>
      <c r="M27" s="403"/>
      <c r="N27" s="403"/>
      <c r="O27" s="403"/>
      <c r="P27" s="403"/>
      <c r="Q27" s="1165"/>
      <c r="Y27" s="1247"/>
    </row>
    <row r="28" spans="1:25" ht="15" customHeight="1" x14ac:dyDescent="0.25">
      <c r="A28" s="402"/>
      <c r="B28" s="1394">
        <v>8</v>
      </c>
      <c r="C28" s="324"/>
      <c r="D28" s="324"/>
      <c r="E28" s="420" t="s">
        <v>302</v>
      </c>
      <c r="F28" s="1203" t="s">
        <v>82</v>
      </c>
      <c r="G28" s="1145"/>
      <c r="H28" s="1186"/>
      <c r="I28" s="1183"/>
      <c r="J28" s="392">
        <f t="shared" si="2"/>
        <v>0</v>
      </c>
      <c r="K28" s="403"/>
      <c r="L28" s="403"/>
      <c r="M28" s="403"/>
      <c r="N28" s="403"/>
      <c r="O28" s="403"/>
      <c r="P28" s="403"/>
      <c r="Q28" s="1165"/>
      <c r="Y28" s="1247"/>
    </row>
    <row r="29" spans="1:25" ht="15" customHeight="1" x14ac:dyDescent="0.25">
      <c r="A29" s="402"/>
      <c r="B29" s="1394">
        <v>8</v>
      </c>
      <c r="C29" s="324"/>
      <c r="D29" s="324"/>
      <c r="E29" s="423" t="s">
        <v>460</v>
      </c>
      <c r="F29" s="1203" t="s">
        <v>82</v>
      </c>
      <c r="G29" s="1145"/>
      <c r="H29" s="1186">
        <v>25</v>
      </c>
      <c r="I29" s="1184"/>
      <c r="J29" s="392">
        <f t="shared" si="2"/>
        <v>25</v>
      </c>
      <c r="K29" s="403"/>
      <c r="L29" s="403"/>
      <c r="M29" s="403"/>
      <c r="N29" s="403"/>
      <c r="O29" s="403"/>
      <c r="P29" s="403"/>
      <c r="Q29" s="1165"/>
      <c r="Y29" s="1247"/>
    </row>
    <row r="30" spans="1:25" ht="15" customHeight="1" x14ac:dyDescent="0.25">
      <c r="A30" s="402"/>
      <c r="B30" s="1394">
        <v>1</v>
      </c>
      <c r="C30" s="405"/>
      <c r="D30" s="405"/>
      <c r="E30" s="421" t="s">
        <v>317</v>
      </c>
      <c r="F30" s="1195">
        <f>IF(B30="","",VLOOKUP(B30,LISTEN!$B$6:$C$14,2,FALSE))</f>
        <v>0</v>
      </c>
      <c r="G30" s="215"/>
      <c r="H30" s="1187"/>
      <c r="I30" s="1253">
        <v>1</v>
      </c>
      <c r="J30" s="393">
        <f>H30/I30</f>
        <v>0</v>
      </c>
      <c r="K30" s="403"/>
      <c r="L30" s="403"/>
      <c r="M30" s="403"/>
      <c r="N30" s="403"/>
      <c r="O30" s="403"/>
      <c r="P30" s="403"/>
      <c r="Q30" s="1165"/>
      <c r="Y30" s="1250">
        <f>IF($F30=0,1,VLOOKUP($F30,LISTEN!$C$6:$D$14,2,FALSE))</f>
        <v>1</v>
      </c>
    </row>
    <row r="31" spans="1:25" ht="15" customHeight="1" x14ac:dyDescent="0.25">
      <c r="A31" s="402"/>
      <c r="B31" s="1394">
        <v>1</v>
      </c>
      <c r="C31" s="324"/>
      <c r="D31" s="324"/>
      <c r="E31" s="420" t="s">
        <v>318</v>
      </c>
      <c r="F31" s="1195">
        <f>IF(B31="","",VLOOKUP(B31,LISTEN!$B$6:$C$14,2,FALSE))</f>
        <v>0</v>
      </c>
      <c r="G31" s="215"/>
      <c r="H31" s="1187"/>
      <c r="I31" s="1255">
        <v>1</v>
      </c>
      <c r="J31" s="393">
        <f>H31/I31</f>
        <v>0</v>
      </c>
      <c r="K31" s="403"/>
      <c r="L31" s="403"/>
      <c r="M31" s="403"/>
      <c r="N31" s="403"/>
      <c r="O31" s="403"/>
      <c r="P31" s="403"/>
      <c r="Q31" s="1165"/>
      <c r="Y31" s="1250">
        <f>IF($F31=0,1,VLOOKUP($F31,LISTEN!$C$6:$D$14,2,FALSE))</f>
        <v>1</v>
      </c>
    </row>
    <row r="32" spans="1:25" ht="15" customHeight="1" thickBot="1" x14ac:dyDescent="0.3">
      <c r="A32" s="402"/>
      <c r="B32" s="1394">
        <v>1</v>
      </c>
      <c r="C32" s="405"/>
      <c r="D32" s="405"/>
      <c r="E32" s="421" t="s">
        <v>91</v>
      </c>
      <c r="F32" s="1196">
        <f>IF(B32="","",VLOOKUP(B32,LISTEN!$B$6:$C$14,2,FALSE))</f>
        <v>0</v>
      </c>
      <c r="G32" s="1242"/>
      <c r="H32" s="1187"/>
      <c r="I32" s="1256">
        <v>1</v>
      </c>
      <c r="J32" s="394">
        <f>H32/I32</f>
        <v>0</v>
      </c>
      <c r="K32" s="403"/>
      <c r="L32" s="403"/>
      <c r="M32" s="403"/>
      <c r="N32" s="403"/>
      <c r="O32" s="403"/>
      <c r="P32" s="403"/>
      <c r="Q32" s="1165"/>
      <c r="Y32" s="1250">
        <f>IF($F32=0,1,VLOOKUP($F32,LISTEN!$C$6:$D$14,2,FALSE))</f>
        <v>1</v>
      </c>
    </row>
    <row r="33" spans="1:25" ht="12.95" customHeight="1" x14ac:dyDescent="0.25">
      <c r="A33" s="402"/>
      <c r="B33" s="316"/>
      <c r="C33" s="316"/>
      <c r="D33" s="316"/>
      <c r="E33" s="316"/>
      <c r="F33" s="1243"/>
      <c r="G33" s="605"/>
      <c r="H33" s="424"/>
      <c r="I33" s="424"/>
      <c r="J33" s="419"/>
      <c r="K33" s="403"/>
      <c r="L33" s="403"/>
      <c r="M33" s="403"/>
      <c r="N33" s="403"/>
      <c r="O33" s="403"/>
      <c r="P33" s="403"/>
      <c r="Q33" s="1165"/>
      <c r="Y33" s="1247"/>
    </row>
    <row r="34" spans="1:25" ht="12.95" customHeight="1" x14ac:dyDescent="0.25">
      <c r="A34" s="402"/>
      <c r="B34" s="316"/>
      <c r="C34" s="1056"/>
      <c r="D34" s="1056"/>
      <c r="E34" s="1056"/>
      <c r="F34" s="416"/>
      <c r="G34" s="1163"/>
      <c r="H34" s="328"/>
      <c r="I34" s="328"/>
      <c r="J34" s="419"/>
      <c r="K34" s="403"/>
      <c r="L34" s="418" t="s">
        <v>785</v>
      </c>
      <c r="M34" s="316"/>
      <c r="N34" s="403"/>
      <c r="O34" s="403"/>
      <c r="P34" s="403"/>
      <c r="Q34" s="1165"/>
      <c r="Y34" s="1247"/>
    </row>
    <row r="35" spans="1:25" ht="12.95" customHeight="1" thickBot="1" x14ac:dyDescent="0.3">
      <c r="A35" s="402"/>
      <c r="B35" s="418"/>
      <c r="C35" s="1056"/>
      <c r="D35" s="1056"/>
      <c r="E35" s="1052"/>
      <c r="F35" s="471" t="s">
        <v>167</v>
      </c>
      <c r="G35" s="1156"/>
      <c r="H35" s="1184" t="s">
        <v>123</v>
      </c>
      <c r="I35" s="471"/>
      <c r="J35" s="419" t="s">
        <v>123</v>
      </c>
      <c r="K35" s="403"/>
      <c r="L35" s="1151" t="s">
        <v>775</v>
      </c>
      <c r="M35" s="1151"/>
      <c r="N35" s="403"/>
      <c r="O35" s="403"/>
      <c r="P35" s="403"/>
      <c r="Q35" s="1165"/>
      <c r="Y35" s="1247"/>
    </row>
    <row r="36" spans="1:25" ht="12.95" customHeight="1" x14ac:dyDescent="0.25">
      <c r="A36" s="402"/>
      <c r="B36" s="316"/>
      <c r="C36" s="405"/>
      <c r="D36" s="405"/>
      <c r="E36" s="425" t="s">
        <v>533</v>
      </c>
      <c r="F36" s="1162" t="s">
        <v>730</v>
      </c>
      <c r="G36" s="1162" t="s">
        <v>487</v>
      </c>
      <c r="H36" s="1155"/>
      <c r="I36" s="1183"/>
      <c r="J36" s="1244">
        <f t="shared" ref="J36:J37" si="3">H36</f>
        <v>0</v>
      </c>
      <c r="K36" s="403"/>
      <c r="L36" s="1589" t="s">
        <v>774</v>
      </c>
      <c r="M36" s="1589"/>
      <c r="N36" s="1589"/>
      <c r="O36" s="403"/>
      <c r="P36" s="403"/>
      <c r="Q36" s="1165"/>
      <c r="Y36" s="1247"/>
    </row>
    <row r="37" spans="1:25" ht="12.95" customHeight="1" thickBot="1" x14ac:dyDescent="0.3">
      <c r="A37" s="402"/>
      <c r="B37" s="1160"/>
      <c r="C37" s="1163"/>
      <c r="D37" s="1163"/>
      <c r="E37" s="1241"/>
      <c r="F37" s="1245"/>
      <c r="G37" s="1162" t="s">
        <v>776</v>
      </c>
      <c r="H37" s="1155"/>
      <c r="I37" s="1183"/>
      <c r="J37" s="1246">
        <f t="shared" si="3"/>
        <v>0</v>
      </c>
      <c r="K37" s="403"/>
      <c r="L37" s="1159"/>
      <c r="M37" s="1159"/>
      <c r="N37" s="1159"/>
      <c r="O37" s="403"/>
      <c r="P37" s="403"/>
      <c r="Q37" s="1165"/>
      <c r="Y37" s="1247"/>
    </row>
    <row r="38" spans="1:25" ht="12.95" customHeight="1" x14ac:dyDescent="0.25">
      <c r="A38" s="402"/>
      <c r="B38" s="316"/>
      <c r="C38" s="1056"/>
      <c r="D38" s="1056"/>
      <c r="E38" s="1056"/>
      <c r="F38" s="426"/>
      <c r="G38" s="324"/>
      <c r="H38" s="324"/>
      <c r="I38" s="324"/>
      <c r="J38" s="427"/>
      <c r="K38" s="403"/>
      <c r="L38" s="403"/>
      <c r="M38" s="403"/>
      <c r="N38" s="403"/>
      <c r="O38" s="403"/>
      <c r="P38" s="403"/>
      <c r="Q38" s="1165"/>
    </row>
    <row r="39" spans="1:25" ht="15" x14ac:dyDescent="0.25">
      <c r="A39" s="402"/>
      <c r="B39" s="316"/>
      <c r="C39" s="316"/>
      <c r="D39" s="316"/>
      <c r="E39" s="316"/>
      <c r="F39" s="316"/>
      <c r="G39" s="316"/>
      <c r="H39" s="316"/>
      <c r="I39" s="316"/>
      <c r="J39" s="403"/>
      <c r="K39" s="403"/>
      <c r="L39" s="403"/>
      <c r="M39" s="403"/>
      <c r="N39" s="403"/>
      <c r="O39" s="403"/>
      <c r="P39" s="403"/>
      <c r="Q39" s="1165"/>
      <c r="U39" s="327" t="s">
        <v>820</v>
      </c>
    </row>
    <row r="40" spans="1:25" ht="39.950000000000003" customHeight="1" x14ac:dyDescent="0.25">
      <c r="A40" s="440"/>
      <c r="B40" s="1171" t="str">
        <f>"Energiekennwert Variante 2: "&amp;'1. Projektangaben'!$E$24</f>
        <v>Energiekennwert Variante 2: PH</v>
      </c>
      <c r="C40" s="1165"/>
      <c r="D40" s="1165"/>
      <c r="E40" s="1165"/>
      <c r="F40" s="1165"/>
      <c r="G40" s="1165"/>
      <c r="H40" s="1165"/>
      <c r="I40" s="1165"/>
      <c r="J40" s="1165"/>
      <c r="K40" s="1165"/>
      <c r="L40" s="1165"/>
      <c r="M40" s="1165"/>
      <c r="N40" s="1165"/>
      <c r="O40" s="1165"/>
      <c r="P40" s="1165"/>
      <c r="Q40" s="1165"/>
      <c r="S40" s="327" t="s">
        <v>815</v>
      </c>
      <c r="T40" s="327" t="str">
        <f>VLOOKUP(U40,$R$14:$S$18,2,FALSE)</f>
        <v>Variante 1</v>
      </c>
      <c r="U40" s="1387">
        <v>2</v>
      </c>
    </row>
    <row r="41" spans="1:25" ht="15" x14ac:dyDescent="0.25">
      <c r="A41" s="402"/>
      <c r="B41" s="413"/>
      <c r="C41" s="1150"/>
      <c r="D41" s="1150"/>
      <c r="E41" s="414"/>
      <c r="F41" s="323"/>
      <c r="G41" s="323"/>
      <c r="H41" s="323"/>
      <c r="I41" s="323"/>
      <c r="J41" s="322"/>
      <c r="K41" s="403"/>
      <c r="L41" s="403"/>
      <c r="M41" s="403"/>
      <c r="N41" s="403"/>
      <c r="O41" s="403"/>
      <c r="P41" s="403"/>
      <c r="Q41" s="1165"/>
      <c r="S41" s="327" t="s">
        <v>813</v>
      </c>
      <c r="T41" s="327">
        <f>VLOOKUP(T40,$S$13:$U$18,2,FALSE)</f>
        <v>15</v>
      </c>
      <c r="V41" s="460" t="s">
        <v>721</v>
      </c>
    </row>
    <row r="42" spans="1:25" ht="15" x14ac:dyDescent="0.25">
      <c r="A42" s="402"/>
      <c r="B42" s="413"/>
      <c r="C42" s="1150"/>
      <c r="D42" s="1150"/>
      <c r="E42" s="1251" t="s">
        <v>812</v>
      </c>
      <c r="F42" s="1484" t="s">
        <v>105</v>
      </c>
      <c r="G42" s="1485"/>
      <c r="H42" s="1485"/>
      <c r="I42" s="1485"/>
      <c r="J42" s="1590"/>
      <c r="K42" s="403"/>
      <c r="L42" s="403"/>
      <c r="M42" s="403"/>
      <c r="N42" s="403"/>
      <c r="O42" s="403"/>
      <c r="P42" s="403"/>
      <c r="Q42" s="1165"/>
      <c r="S42" s="327" t="s">
        <v>814</v>
      </c>
      <c r="T42" s="327">
        <f>VLOOKUP(T40,$S$13:$U$18,3,FALSE)</f>
        <v>37</v>
      </c>
      <c r="V42" s="1078" t="s">
        <v>722</v>
      </c>
    </row>
    <row r="43" spans="1:25" ht="15.75" thickBot="1" x14ac:dyDescent="0.3">
      <c r="A43" s="402"/>
      <c r="B43" s="1592" t="s">
        <v>811</v>
      </c>
      <c r="C43" s="1150"/>
      <c r="D43" s="1150"/>
      <c r="E43" s="414"/>
      <c r="F43" s="1487" t="str">
        <f>IF('1. Projektangaben'!C24="","",'1. Projektangaben'!C24)</f>
        <v>PH-WDVS-WP-Abl-ohne Sol_PV</v>
      </c>
      <c r="G43" s="1488"/>
      <c r="H43" s="1488"/>
      <c r="I43" s="1488"/>
      <c r="J43" s="1569"/>
      <c r="K43" s="403"/>
      <c r="L43" s="403"/>
      <c r="M43" s="403"/>
      <c r="N43" s="403"/>
      <c r="O43" s="403"/>
      <c r="P43" s="403"/>
      <c r="Q43" s="1165"/>
    </row>
    <row r="44" spans="1:25" ht="15" x14ac:dyDescent="0.25">
      <c r="A44" s="402"/>
      <c r="B44" s="1592"/>
      <c r="C44" s="1151"/>
      <c r="D44" s="1151"/>
      <c r="E44" s="1160"/>
      <c r="F44" s="1146" t="s">
        <v>92</v>
      </c>
      <c r="G44" s="1147" t="s">
        <v>308</v>
      </c>
      <c r="H44" s="1147" t="s">
        <v>331</v>
      </c>
      <c r="I44" s="1147" t="s">
        <v>310</v>
      </c>
      <c r="J44" s="1189" t="s">
        <v>166</v>
      </c>
      <c r="K44" s="403"/>
      <c r="L44" s="403"/>
      <c r="M44" s="1235" t="s">
        <v>809</v>
      </c>
      <c r="N44" s="1236" t="str">
        <f>VLOOKUP('1. Projektangaben'!$AA$25,LISTEN!$E$16:$G$18,3,FALSE)</f>
        <v>Energiebezugsfläche</v>
      </c>
      <c r="O44" s="403"/>
      <c r="P44" s="403"/>
      <c r="Q44" s="1165"/>
    </row>
    <row r="45" spans="1:25" ht="15.75" thickBot="1" x14ac:dyDescent="0.3">
      <c r="A45" s="402"/>
      <c r="B45" s="1592"/>
      <c r="C45" s="1151"/>
      <c r="D45" s="1151"/>
      <c r="E45" s="1151"/>
      <c r="F45" s="1144"/>
      <c r="G45" s="398"/>
      <c r="H45" s="398" t="s">
        <v>121</v>
      </c>
      <c r="I45" s="398" t="s">
        <v>309</v>
      </c>
      <c r="J45" s="1190" t="s">
        <v>121</v>
      </c>
      <c r="K45" s="403"/>
      <c r="L45" s="403"/>
      <c r="M45" s="403"/>
      <c r="N45" s="403"/>
      <c r="O45" s="403"/>
      <c r="P45" s="403"/>
      <c r="Q45" s="1165"/>
      <c r="S45" s="618" t="s">
        <v>840</v>
      </c>
      <c r="T45" s="1248" t="s">
        <v>166</v>
      </c>
      <c r="V45" s="618" t="s">
        <v>811</v>
      </c>
      <c r="W45" s="1248" t="s">
        <v>166</v>
      </c>
      <c r="Y45" s="618" t="s">
        <v>838</v>
      </c>
    </row>
    <row r="46" spans="1:25" ht="15" customHeight="1" x14ac:dyDescent="0.25">
      <c r="A46" s="402"/>
      <c r="B46" s="1394">
        <v>1</v>
      </c>
      <c r="C46" s="324"/>
      <c r="D46" s="324"/>
      <c r="E46" s="420" t="s">
        <v>117</v>
      </c>
      <c r="F46" s="1195" t="str">
        <f ca="1">IF(V46="E",VLOOKUP(B46,LISTEN!$B$6:$C$14,2,FALSE),VLOOKUP(S46,LISTEN!$B$6:$C$14,2,FALSE))</f>
        <v>Wärmepumpenstrom</v>
      </c>
      <c r="G46" s="1145"/>
      <c r="H46" s="955">
        <v>13.7</v>
      </c>
      <c r="I46" s="1252">
        <v>1</v>
      </c>
      <c r="J46" s="1188">
        <f>IF(W46="E",H46/I46,T46)</f>
        <v>13.7</v>
      </c>
      <c r="K46" s="403"/>
      <c r="L46" s="403"/>
      <c r="M46" s="403"/>
      <c r="N46" s="403"/>
      <c r="O46" s="403"/>
      <c r="P46" s="403"/>
      <c r="Q46" s="1165"/>
      <c r="R46" s="327">
        <f>T41</f>
        <v>15</v>
      </c>
      <c r="S46" s="1250">
        <f ca="1">IF($U$40=1,"",INDIRECT("Z"&amp;R46&amp;"S"&amp;$Y$10,))</f>
        <v>9</v>
      </c>
      <c r="T46" s="1249">
        <f ca="1">IF($U$40=1,"",INDIRECT("Z"&amp;R46&amp;"S"&amp;$T$21,))</f>
        <v>23.23</v>
      </c>
      <c r="V46" s="1250" t="str">
        <f>IF($T$40=$S$14,"E",IF(B46&gt;1,"E","U"))</f>
        <v>U</v>
      </c>
      <c r="W46" s="1249" t="str">
        <f>IF($T$40=$S$14,"E",IF(ISNUMBER(H46),"E","U"))</f>
        <v>E</v>
      </c>
      <c r="Y46" s="1250">
        <f ca="1">IF($F46=0,1,VLOOKUP($F46,LISTEN!$C$6:$D$14,2,FALSE))</f>
        <v>9</v>
      </c>
    </row>
    <row r="47" spans="1:25" ht="15" customHeight="1" x14ac:dyDescent="0.25">
      <c r="A47" s="402"/>
      <c r="B47" s="1394">
        <v>1</v>
      </c>
      <c r="C47" s="405"/>
      <c r="D47" s="405"/>
      <c r="E47" s="421" t="s">
        <v>311</v>
      </c>
      <c r="F47" s="1195">
        <f ca="1">IF(V47="E",VLOOKUP(B47,LISTEN!$B$6:$C$14,2,FALSE),VLOOKUP(S47,LISTEN!$B$6:$C$14,2,FALSE))</f>
        <v>0</v>
      </c>
      <c r="G47" s="1145"/>
      <c r="H47" s="1185"/>
      <c r="I47" s="1253">
        <v>1</v>
      </c>
      <c r="J47" s="392">
        <f t="shared" ref="J47:J63" ca="1" si="4">IF(W47="E",H47/I47,T47)</f>
        <v>0</v>
      </c>
      <c r="K47" s="403"/>
      <c r="L47" s="403"/>
      <c r="M47" s="403"/>
      <c r="N47" s="403"/>
      <c r="O47" s="403"/>
      <c r="P47" s="403"/>
      <c r="Q47" s="1165"/>
      <c r="R47" s="327">
        <f>R46+1</f>
        <v>16</v>
      </c>
      <c r="S47" s="1250">
        <f t="shared" ref="S47:S51" ca="1" si="5">IF($U$40=1,"",INDIRECT("Z"&amp;R47&amp;"S"&amp;$Y$10,))</f>
        <v>1</v>
      </c>
      <c r="T47" s="1249">
        <f t="shared" ref="T47:T63" ca="1" si="6">IF($U$40=1,"",INDIRECT("Z"&amp;R47&amp;"S"&amp;$T$21,))</f>
        <v>0</v>
      </c>
      <c r="V47" s="1250" t="str">
        <f t="shared" ref="V47:V51" si="7">IF($T$40=$S$14,"E",IF(B47&gt;1,"E","U"))</f>
        <v>U</v>
      </c>
      <c r="W47" s="1249" t="str">
        <f t="shared" ref="W47:W63" si="8">IF($T$40=$S$14,"E",IF(ISNUMBER(H47),"E","U"))</f>
        <v>U</v>
      </c>
      <c r="Y47" s="1250">
        <f ca="1">IF($F47=0,1,VLOOKUP($F47,LISTEN!$C$6:$D$14,2,FALSE))</f>
        <v>1</v>
      </c>
    </row>
    <row r="48" spans="1:25" ht="15" customHeight="1" x14ac:dyDescent="0.25">
      <c r="A48" s="402"/>
      <c r="B48" s="1394">
        <v>1</v>
      </c>
      <c r="C48" s="405"/>
      <c r="D48" s="405"/>
      <c r="E48" s="421" t="s">
        <v>118</v>
      </c>
      <c r="F48" s="1195" t="str">
        <f ca="1">IF(V48="E",VLOOKUP(B48,LISTEN!$B$6:$C$14,2,FALSE),VLOOKUP(S48,LISTEN!$B$6:$C$14,2,FALSE))</f>
        <v>Wärmepumpenstrom</v>
      </c>
      <c r="G48" s="1145"/>
      <c r="H48" s="955">
        <v>17.649999999999999</v>
      </c>
      <c r="I48" s="1252">
        <v>1</v>
      </c>
      <c r="J48" s="392">
        <f t="shared" si="4"/>
        <v>17.649999999999999</v>
      </c>
      <c r="K48" s="403"/>
      <c r="L48" s="403"/>
      <c r="M48" s="403"/>
      <c r="N48" s="403"/>
      <c r="O48" s="403"/>
      <c r="P48" s="403"/>
      <c r="Q48" s="1165"/>
      <c r="R48" s="327">
        <f t="shared" ref="R48:R63" si="9">R47+1</f>
        <v>17</v>
      </c>
      <c r="S48" s="1250">
        <f t="shared" ca="1" si="5"/>
        <v>9</v>
      </c>
      <c r="T48" s="1249">
        <f t="shared" ca="1" si="6"/>
        <v>18.27</v>
      </c>
      <c r="V48" s="1250" t="str">
        <f t="shared" si="7"/>
        <v>U</v>
      </c>
      <c r="W48" s="1249" t="str">
        <f t="shared" si="8"/>
        <v>E</v>
      </c>
      <c r="Y48" s="1250">
        <f ca="1">IF($F48=0,1,VLOOKUP($F48,LISTEN!$C$6:$D$14,2,FALSE))</f>
        <v>9</v>
      </c>
    </row>
    <row r="49" spans="1:25" ht="15" customHeight="1" x14ac:dyDescent="0.25">
      <c r="A49" s="402"/>
      <c r="B49" s="1394">
        <v>1</v>
      </c>
      <c r="C49" s="405"/>
      <c r="D49" s="405"/>
      <c r="E49" s="421" t="s">
        <v>312</v>
      </c>
      <c r="F49" s="1195">
        <f ca="1">IF(V49="E",VLOOKUP(B49,LISTEN!$B$6:$C$14,2,FALSE),VLOOKUP(S49,LISTEN!$B$6:$C$14,2,FALSE))</f>
        <v>0</v>
      </c>
      <c r="G49" s="1145"/>
      <c r="H49" s="1186"/>
      <c r="I49" s="1254">
        <v>1</v>
      </c>
      <c r="J49" s="392">
        <f t="shared" ca="1" si="4"/>
        <v>0</v>
      </c>
      <c r="K49" s="403"/>
      <c r="L49" s="403"/>
      <c r="M49" s="403"/>
      <c r="N49" s="403"/>
      <c r="O49" s="403"/>
      <c r="P49" s="403"/>
      <c r="Q49" s="1165"/>
      <c r="R49" s="327">
        <f t="shared" si="9"/>
        <v>18</v>
      </c>
      <c r="S49" s="1250">
        <f t="shared" ca="1" si="5"/>
        <v>1</v>
      </c>
      <c r="T49" s="1249">
        <f t="shared" ca="1" si="6"/>
        <v>0</v>
      </c>
      <c r="V49" s="1250" t="str">
        <f t="shared" si="7"/>
        <v>U</v>
      </c>
      <c r="W49" s="1249" t="str">
        <f t="shared" si="8"/>
        <v>U</v>
      </c>
      <c r="Y49" s="1250">
        <f ca="1">IF($F49=0,1,VLOOKUP($F49,LISTEN!$C$6:$D$14,2,FALSE))</f>
        <v>1</v>
      </c>
    </row>
    <row r="50" spans="1:25" ht="15" customHeight="1" x14ac:dyDescent="0.25">
      <c r="A50" s="402"/>
      <c r="B50" s="1394">
        <v>1</v>
      </c>
      <c r="C50" s="405"/>
      <c r="D50" s="405"/>
      <c r="E50" s="421" t="s">
        <v>337</v>
      </c>
      <c r="F50" s="1195">
        <f ca="1">IF(V50="E",VLOOKUP(B50,LISTEN!$B$6:$C$14,2,FALSE),VLOOKUP(S50,LISTEN!$B$6:$C$14,2,FALSE))</f>
        <v>0</v>
      </c>
      <c r="G50" s="1145"/>
      <c r="H50" s="1186"/>
      <c r="I50" s="1254">
        <v>1</v>
      </c>
      <c r="J50" s="392">
        <f t="shared" ca="1" si="4"/>
        <v>0</v>
      </c>
      <c r="K50" s="403"/>
      <c r="L50" s="403"/>
      <c r="M50" s="403"/>
      <c r="N50" s="403"/>
      <c r="O50" s="403"/>
      <c r="P50" s="403"/>
      <c r="Q50" s="1165"/>
      <c r="R50" s="327">
        <f t="shared" si="9"/>
        <v>19</v>
      </c>
      <c r="S50" s="1250">
        <f t="shared" ca="1" si="5"/>
        <v>1</v>
      </c>
      <c r="T50" s="1249">
        <f t="shared" ca="1" si="6"/>
        <v>0</v>
      </c>
      <c r="V50" s="1250" t="str">
        <f t="shared" si="7"/>
        <v>U</v>
      </c>
      <c r="W50" s="1249" t="str">
        <f t="shared" si="8"/>
        <v>U</v>
      </c>
      <c r="Y50" s="1250">
        <f ca="1">IF($F50=0,1,VLOOKUP($F50,LISTEN!$C$6:$D$14,2,FALSE))</f>
        <v>1</v>
      </c>
    </row>
    <row r="51" spans="1:25" ht="15" customHeight="1" x14ac:dyDescent="0.25">
      <c r="A51" s="402"/>
      <c r="B51" s="1394">
        <v>1</v>
      </c>
      <c r="C51" s="405"/>
      <c r="D51" s="405"/>
      <c r="E51" s="421" t="s">
        <v>315</v>
      </c>
      <c r="F51" s="1195">
        <f ca="1">IF(V51="E",VLOOKUP(B51,LISTEN!$B$6:$C$14,2,FALSE),VLOOKUP(S51,LISTEN!$B$6:$C$14,2,FALSE))</f>
        <v>0</v>
      </c>
      <c r="G51" s="1145"/>
      <c r="H51" s="1186"/>
      <c r="I51" s="1253">
        <v>1</v>
      </c>
      <c r="J51" s="392">
        <f t="shared" ca="1" si="4"/>
        <v>0</v>
      </c>
      <c r="K51" s="403"/>
      <c r="L51" s="403"/>
      <c r="M51" s="403"/>
      <c r="N51" s="403"/>
      <c r="O51" s="403"/>
      <c r="P51" s="403"/>
      <c r="Q51" s="1165"/>
      <c r="R51" s="327">
        <f t="shared" si="9"/>
        <v>20</v>
      </c>
      <c r="S51" s="1250">
        <f t="shared" ca="1" si="5"/>
        <v>1</v>
      </c>
      <c r="T51" s="1249">
        <f t="shared" ca="1" si="6"/>
        <v>0</v>
      </c>
      <c r="V51" s="1250" t="str">
        <f t="shared" si="7"/>
        <v>U</v>
      </c>
      <c r="W51" s="1249" t="str">
        <f t="shared" si="8"/>
        <v>U</v>
      </c>
      <c r="Y51" s="1250">
        <f ca="1">IF($F51=0,1,VLOOKUP($F51,LISTEN!$C$6:$D$14,2,FALSE))</f>
        <v>1</v>
      </c>
    </row>
    <row r="52" spans="1:25" ht="15" customHeight="1" x14ac:dyDescent="0.25">
      <c r="A52" s="402"/>
      <c r="B52" s="1394">
        <v>8</v>
      </c>
      <c r="C52" s="405"/>
      <c r="D52" s="405"/>
      <c r="E52" s="421" t="s">
        <v>313</v>
      </c>
      <c r="F52" s="1203" t="s">
        <v>82</v>
      </c>
      <c r="G52" s="1145"/>
      <c r="H52" s="1186">
        <v>0.85</v>
      </c>
      <c r="I52" s="1182"/>
      <c r="J52" s="392">
        <f>IF(W52="E",H52,T52)</f>
        <v>0.85</v>
      </c>
      <c r="K52" s="403"/>
      <c r="L52" s="403"/>
      <c r="M52" s="403"/>
      <c r="N52" s="403"/>
      <c r="O52" s="403"/>
      <c r="P52" s="403"/>
      <c r="Q52" s="1165"/>
      <c r="R52" s="327">
        <f t="shared" si="9"/>
        <v>21</v>
      </c>
      <c r="S52" s="1247"/>
      <c r="T52" s="1249">
        <f t="shared" ca="1" si="6"/>
        <v>0.96</v>
      </c>
      <c r="V52" s="1247"/>
      <c r="W52" s="1249" t="str">
        <f t="shared" si="8"/>
        <v>E</v>
      </c>
      <c r="Y52" s="1247"/>
    </row>
    <row r="53" spans="1:25" ht="15" customHeight="1" x14ac:dyDescent="0.25">
      <c r="A53" s="402"/>
      <c r="B53" s="1394">
        <v>8</v>
      </c>
      <c r="C53" s="324"/>
      <c r="D53" s="324"/>
      <c r="E53" s="420" t="s">
        <v>341</v>
      </c>
      <c r="F53" s="1203" t="s">
        <v>82</v>
      </c>
      <c r="G53" s="1145"/>
      <c r="H53" s="1186"/>
      <c r="I53" s="1183"/>
      <c r="J53" s="392">
        <f t="shared" ref="J53:J60" ca="1" si="10">IF(W53="E",H53,T53)</f>
        <v>0.5</v>
      </c>
      <c r="K53" s="403"/>
      <c r="L53" s="403"/>
      <c r="M53" s="403"/>
      <c r="N53" s="403"/>
      <c r="O53" s="403"/>
      <c r="P53" s="403"/>
      <c r="Q53" s="1165"/>
      <c r="R53" s="327">
        <f t="shared" si="9"/>
        <v>22</v>
      </c>
      <c r="S53" s="1247"/>
      <c r="T53" s="1249">
        <f t="shared" ca="1" si="6"/>
        <v>0.5</v>
      </c>
      <c r="V53" s="1247"/>
      <c r="W53" s="1249" t="str">
        <f t="shared" si="8"/>
        <v>U</v>
      </c>
      <c r="Y53" s="1247"/>
    </row>
    <row r="54" spans="1:25" ht="15" customHeight="1" x14ac:dyDescent="0.25">
      <c r="A54" s="402"/>
      <c r="B54" s="1394">
        <v>8</v>
      </c>
      <c r="C54" s="405"/>
      <c r="D54" s="405"/>
      <c r="E54" s="421" t="s">
        <v>314</v>
      </c>
      <c r="F54" s="1203" t="s">
        <v>82</v>
      </c>
      <c r="G54" s="1145"/>
      <c r="H54" s="1186"/>
      <c r="I54" s="1183"/>
      <c r="J54" s="392">
        <f t="shared" ca="1" si="10"/>
        <v>0</v>
      </c>
      <c r="K54" s="403"/>
      <c r="L54" s="403"/>
      <c r="M54" s="403"/>
      <c r="N54" s="403"/>
      <c r="O54" s="403"/>
      <c r="P54" s="403"/>
      <c r="Q54" s="1165"/>
      <c r="R54" s="327">
        <f t="shared" si="9"/>
        <v>23</v>
      </c>
      <c r="S54" s="1247"/>
      <c r="T54" s="1249">
        <f t="shared" ca="1" si="6"/>
        <v>0</v>
      </c>
      <c r="V54" s="1247"/>
      <c r="W54" s="1249" t="str">
        <f t="shared" si="8"/>
        <v>U</v>
      </c>
      <c r="Y54" s="1247"/>
    </row>
    <row r="55" spans="1:25" ht="15" customHeight="1" x14ac:dyDescent="0.25">
      <c r="A55" s="402"/>
      <c r="B55" s="1394">
        <v>8</v>
      </c>
      <c r="C55" s="324"/>
      <c r="D55" s="324"/>
      <c r="E55" s="420" t="s">
        <v>340</v>
      </c>
      <c r="F55" s="1203" t="s">
        <v>82</v>
      </c>
      <c r="G55" s="1145"/>
      <c r="H55" s="1186"/>
      <c r="I55" s="1183"/>
      <c r="J55" s="392">
        <f t="shared" ca="1" si="10"/>
        <v>0</v>
      </c>
      <c r="K55" s="403"/>
      <c r="L55" s="403"/>
      <c r="M55" s="403"/>
      <c r="N55" s="403"/>
      <c r="O55" s="403"/>
      <c r="P55" s="403"/>
      <c r="Q55" s="1165"/>
      <c r="R55" s="327">
        <f t="shared" si="9"/>
        <v>24</v>
      </c>
      <c r="S55" s="1247"/>
      <c r="T55" s="1249">
        <f t="shared" ca="1" si="6"/>
        <v>0</v>
      </c>
      <c r="V55" s="1247"/>
      <c r="W55" s="1249" t="str">
        <f t="shared" si="8"/>
        <v>U</v>
      </c>
      <c r="Y55" s="1247"/>
    </row>
    <row r="56" spans="1:25" ht="15" customHeight="1" x14ac:dyDescent="0.25">
      <c r="A56" s="402"/>
      <c r="B56" s="1394">
        <v>8</v>
      </c>
      <c r="C56" s="324"/>
      <c r="D56" s="324"/>
      <c r="E56" s="420" t="s">
        <v>339</v>
      </c>
      <c r="F56" s="1203" t="s">
        <v>82</v>
      </c>
      <c r="G56" s="1145"/>
      <c r="H56" s="1186"/>
      <c r="I56" s="1183"/>
      <c r="J56" s="392">
        <f t="shared" ca="1" si="10"/>
        <v>1.4</v>
      </c>
      <c r="K56" s="403"/>
      <c r="L56" s="403"/>
      <c r="M56" s="403"/>
      <c r="N56" s="403"/>
      <c r="O56" s="403"/>
      <c r="P56" s="403"/>
      <c r="Q56" s="1165"/>
      <c r="R56" s="327">
        <f t="shared" si="9"/>
        <v>25</v>
      </c>
      <c r="S56" s="1247"/>
      <c r="T56" s="1249">
        <f t="shared" ca="1" si="6"/>
        <v>1.4</v>
      </c>
      <c r="V56" s="1247"/>
      <c r="W56" s="1249" t="str">
        <f t="shared" si="8"/>
        <v>U</v>
      </c>
      <c r="Y56" s="1247"/>
    </row>
    <row r="57" spans="1:25" ht="15" customHeight="1" x14ac:dyDescent="0.25">
      <c r="A57" s="402"/>
      <c r="B57" s="1394">
        <v>8</v>
      </c>
      <c r="C57" s="324"/>
      <c r="D57" s="324"/>
      <c r="E57" s="423" t="s">
        <v>338</v>
      </c>
      <c r="F57" s="1203" t="s">
        <v>82</v>
      </c>
      <c r="G57" s="1145"/>
      <c r="H57" s="1186"/>
      <c r="I57" s="1183"/>
      <c r="J57" s="392">
        <f t="shared" ca="1" si="10"/>
        <v>0</v>
      </c>
      <c r="K57" s="403"/>
      <c r="L57" s="403"/>
      <c r="M57" s="403"/>
      <c r="N57" s="403"/>
      <c r="O57" s="403"/>
      <c r="P57" s="403"/>
      <c r="Q57" s="1165"/>
      <c r="R57" s="327">
        <f t="shared" si="9"/>
        <v>26</v>
      </c>
      <c r="S57" s="1247"/>
      <c r="T57" s="1249">
        <f t="shared" ca="1" si="6"/>
        <v>0</v>
      </c>
      <c r="V57" s="1247"/>
      <c r="W57" s="1249" t="str">
        <f t="shared" si="8"/>
        <v>U</v>
      </c>
      <c r="Y57" s="1247"/>
    </row>
    <row r="58" spans="1:25" ht="15" customHeight="1" x14ac:dyDescent="0.25">
      <c r="A58" s="402"/>
      <c r="B58" s="1394">
        <v>8</v>
      </c>
      <c r="C58" s="405"/>
      <c r="D58" s="405"/>
      <c r="E58" s="421" t="s">
        <v>316</v>
      </c>
      <c r="F58" s="1203" t="s">
        <v>82</v>
      </c>
      <c r="G58" s="1145"/>
      <c r="H58" s="1186"/>
      <c r="I58" s="1183"/>
      <c r="J58" s="392">
        <f t="shared" ca="1" si="10"/>
        <v>0</v>
      </c>
      <c r="K58" s="403"/>
      <c r="L58" s="403"/>
      <c r="M58" s="403"/>
      <c r="N58" s="403"/>
      <c r="O58" s="403"/>
      <c r="P58" s="403"/>
      <c r="Q58" s="1165"/>
      <c r="R58" s="327">
        <f t="shared" si="9"/>
        <v>27</v>
      </c>
      <c r="S58" s="1247"/>
      <c r="T58" s="1249">
        <f t="shared" ca="1" si="6"/>
        <v>0</v>
      </c>
      <c r="V58" s="1247"/>
      <c r="W58" s="1249" t="str">
        <f t="shared" si="8"/>
        <v>U</v>
      </c>
      <c r="Y58" s="1247"/>
    </row>
    <row r="59" spans="1:25" ht="15" customHeight="1" x14ac:dyDescent="0.25">
      <c r="A59" s="402"/>
      <c r="B59" s="1394">
        <v>8</v>
      </c>
      <c r="C59" s="324"/>
      <c r="D59" s="324"/>
      <c r="E59" s="420" t="s">
        <v>302</v>
      </c>
      <c r="F59" s="1203" t="s">
        <v>82</v>
      </c>
      <c r="G59" s="1145"/>
      <c r="H59" s="1186"/>
      <c r="I59" s="1183"/>
      <c r="J59" s="392">
        <f t="shared" ca="1" si="10"/>
        <v>0</v>
      </c>
      <c r="K59" s="403"/>
      <c r="L59" s="403"/>
      <c r="M59" s="403"/>
      <c r="N59" s="403"/>
      <c r="O59" s="403"/>
      <c r="P59" s="403"/>
      <c r="Q59" s="1165"/>
      <c r="R59" s="327">
        <f t="shared" si="9"/>
        <v>28</v>
      </c>
      <c r="S59" s="1247"/>
      <c r="T59" s="1249">
        <f t="shared" ca="1" si="6"/>
        <v>0</v>
      </c>
      <c r="V59" s="1247"/>
      <c r="W59" s="1249" t="str">
        <f t="shared" si="8"/>
        <v>U</v>
      </c>
      <c r="Y59" s="1247"/>
    </row>
    <row r="60" spans="1:25" ht="15" customHeight="1" x14ac:dyDescent="0.25">
      <c r="A60" s="402"/>
      <c r="B60" s="1394">
        <v>8</v>
      </c>
      <c r="C60" s="324"/>
      <c r="D60" s="324"/>
      <c r="E60" s="423" t="s">
        <v>460</v>
      </c>
      <c r="F60" s="1203" t="s">
        <v>82</v>
      </c>
      <c r="G60" s="1145"/>
      <c r="H60" s="1186"/>
      <c r="I60" s="1184"/>
      <c r="J60" s="392">
        <f t="shared" ca="1" si="10"/>
        <v>25</v>
      </c>
      <c r="K60" s="403"/>
      <c r="L60" s="403"/>
      <c r="M60" s="403"/>
      <c r="N60" s="403"/>
      <c r="O60" s="403"/>
      <c r="P60" s="403"/>
      <c r="Q60" s="1165"/>
      <c r="R60" s="327">
        <f t="shared" si="9"/>
        <v>29</v>
      </c>
      <c r="S60" s="1247"/>
      <c r="T60" s="1249">
        <f t="shared" ca="1" si="6"/>
        <v>25</v>
      </c>
      <c r="V60" s="1247"/>
      <c r="W60" s="1249" t="str">
        <f t="shared" si="8"/>
        <v>U</v>
      </c>
      <c r="Y60" s="1247"/>
    </row>
    <row r="61" spans="1:25" ht="15" customHeight="1" x14ac:dyDescent="0.25">
      <c r="A61" s="402"/>
      <c r="B61" s="1394">
        <v>1</v>
      </c>
      <c r="C61" s="405"/>
      <c r="D61" s="405"/>
      <c r="E61" s="421" t="s">
        <v>317</v>
      </c>
      <c r="F61" s="1195">
        <f ca="1">IF(V61="E",VLOOKUP(B61,LISTEN!$B$6:$C$14,2,FALSE),VLOOKUP(S61,LISTEN!$B$6:$C$14,2,FALSE))</f>
        <v>0</v>
      </c>
      <c r="G61" s="1145"/>
      <c r="H61" s="1187"/>
      <c r="I61" s="1253">
        <v>1</v>
      </c>
      <c r="J61" s="393">
        <f t="shared" ca="1" si="4"/>
        <v>0</v>
      </c>
      <c r="K61" s="403"/>
      <c r="L61" s="403"/>
      <c r="M61" s="403"/>
      <c r="N61" s="403"/>
      <c r="O61" s="403"/>
      <c r="P61" s="403"/>
      <c r="Q61" s="1165"/>
      <c r="R61" s="327">
        <f t="shared" si="9"/>
        <v>30</v>
      </c>
      <c r="S61" s="1250">
        <f t="shared" ref="S61:S63" ca="1" si="11">IF($U$40=1,"",INDIRECT("Z"&amp;R61&amp;"S"&amp;$Y$10,))</f>
        <v>1</v>
      </c>
      <c r="T61" s="1249">
        <f t="shared" ca="1" si="6"/>
        <v>0</v>
      </c>
      <c r="V61" s="1250" t="str">
        <f t="shared" ref="V61:V63" si="12">IF($T$40=$S$14,"E",IF(B61&gt;1,"E","U"))</f>
        <v>U</v>
      </c>
      <c r="W61" s="1249" t="str">
        <f t="shared" si="8"/>
        <v>U</v>
      </c>
      <c r="Y61" s="1250">
        <f ca="1">IF($F61=0,1,VLOOKUP($F61,LISTEN!$C$6:$D$14,2,FALSE))</f>
        <v>1</v>
      </c>
    </row>
    <row r="62" spans="1:25" ht="15" customHeight="1" x14ac:dyDescent="0.25">
      <c r="A62" s="402"/>
      <c r="B62" s="1394">
        <v>1</v>
      </c>
      <c r="C62" s="324"/>
      <c r="D62" s="324"/>
      <c r="E62" s="420" t="s">
        <v>318</v>
      </c>
      <c r="F62" s="1195">
        <f ca="1">IF(V62="E",VLOOKUP(B62,LISTEN!$B$6:$C$14,2,FALSE),VLOOKUP(S62,LISTEN!$B$6:$C$14,2,FALSE))</f>
        <v>0</v>
      </c>
      <c r="G62" s="1145"/>
      <c r="H62" s="1187"/>
      <c r="I62" s="1255">
        <v>1</v>
      </c>
      <c r="J62" s="393">
        <f t="shared" ca="1" si="4"/>
        <v>0</v>
      </c>
      <c r="K62" s="403"/>
      <c r="L62" s="403"/>
      <c r="M62" s="403"/>
      <c r="N62" s="403"/>
      <c r="O62" s="403"/>
      <c r="P62" s="403"/>
      <c r="Q62" s="1165"/>
      <c r="R62" s="327">
        <f t="shared" si="9"/>
        <v>31</v>
      </c>
      <c r="S62" s="1250">
        <f t="shared" ca="1" si="11"/>
        <v>1</v>
      </c>
      <c r="T62" s="1249">
        <f t="shared" ca="1" si="6"/>
        <v>0</v>
      </c>
      <c r="V62" s="1250" t="str">
        <f t="shared" si="12"/>
        <v>U</v>
      </c>
      <c r="W62" s="1249" t="str">
        <f t="shared" si="8"/>
        <v>U</v>
      </c>
      <c r="Y62" s="1250">
        <f ca="1">IF($F62=0,1,VLOOKUP($F62,LISTEN!$C$6:$D$14,2,FALSE))</f>
        <v>1</v>
      </c>
    </row>
    <row r="63" spans="1:25" ht="15" customHeight="1" thickBot="1" x14ac:dyDescent="0.3">
      <c r="A63" s="402"/>
      <c r="B63" s="1394">
        <v>1</v>
      </c>
      <c r="C63" s="405"/>
      <c r="D63" s="405"/>
      <c r="E63" s="421" t="s">
        <v>91</v>
      </c>
      <c r="F63" s="1196">
        <f ca="1">IF(V63="E",VLOOKUP(B63,LISTEN!$B$6:$C$14,2,FALSE),VLOOKUP(S63,LISTEN!$B$6:$C$14,2,FALSE))</f>
        <v>0</v>
      </c>
      <c r="G63" s="1145"/>
      <c r="H63" s="955"/>
      <c r="I63" s="1257">
        <v>1</v>
      </c>
      <c r="J63" s="394">
        <f t="shared" ca="1" si="4"/>
        <v>0</v>
      </c>
      <c r="K63" s="403"/>
      <c r="L63" s="403"/>
      <c r="M63" s="403"/>
      <c r="N63" s="403"/>
      <c r="O63" s="403"/>
      <c r="P63" s="403"/>
      <c r="Q63" s="1165"/>
      <c r="R63" s="327">
        <f t="shared" si="9"/>
        <v>32</v>
      </c>
      <c r="S63" s="1250">
        <f t="shared" ca="1" si="11"/>
        <v>1</v>
      </c>
      <c r="T63" s="1249">
        <f t="shared" ca="1" si="6"/>
        <v>0</v>
      </c>
      <c r="V63" s="1250" t="str">
        <f t="shared" si="12"/>
        <v>U</v>
      </c>
      <c r="W63" s="1249" t="str">
        <f t="shared" si="8"/>
        <v>U</v>
      </c>
      <c r="Y63" s="1250">
        <f ca="1">IF($F63=0,1,VLOOKUP($F63,LISTEN!$C$6:$D$14,2,FALSE))</f>
        <v>1</v>
      </c>
    </row>
    <row r="64" spans="1:25" ht="15" x14ac:dyDescent="0.25">
      <c r="A64" s="402"/>
      <c r="B64" s="1151"/>
      <c r="C64" s="1151"/>
      <c r="D64" s="1151"/>
      <c r="E64" s="1151"/>
      <c r="F64" s="416"/>
      <c r="G64" s="323"/>
      <c r="H64" s="328"/>
      <c r="I64" s="328"/>
      <c r="J64" s="419"/>
      <c r="K64" s="403"/>
      <c r="L64" s="403"/>
      <c r="M64" s="403"/>
      <c r="N64" s="403"/>
      <c r="O64" s="403"/>
      <c r="P64" s="403"/>
      <c r="Q64" s="1165"/>
      <c r="R64" s="327">
        <f>R63+1</f>
        <v>33</v>
      </c>
      <c r="S64" s="1247"/>
      <c r="T64" s="1247"/>
      <c r="V64" s="1247"/>
      <c r="W64" s="1247"/>
      <c r="Y64" s="1247"/>
    </row>
    <row r="65" spans="1:25" ht="15" x14ac:dyDescent="0.25">
      <c r="A65" s="402"/>
      <c r="B65" s="1151"/>
      <c r="C65" s="1151"/>
      <c r="D65" s="1151"/>
      <c r="E65" s="1151"/>
      <c r="F65" s="416"/>
      <c r="G65" s="1163"/>
      <c r="H65" s="328"/>
      <c r="I65" s="328"/>
      <c r="J65" s="419"/>
      <c r="K65" s="403"/>
      <c r="L65" s="418" t="s">
        <v>785</v>
      </c>
      <c r="M65" s="1151"/>
      <c r="N65" s="403"/>
      <c r="O65" s="403"/>
      <c r="P65" s="403"/>
      <c r="Q65" s="1165"/>
      <c r="R65" s="327">
        <f t="shared" ref="R65:R68" si="13">R64+1</f>
        <v>34</v>
      </c>
      <c r="S65" s="1247"/>
      <c r="T65" s="1247"/>
      <c r="V65" s="1247"/>
      <c r="W65" s="1247"/>
      <c r="Y65" s="1247"/>
    </row>
    <row r="66" spans="1:25" ht="15.75" thickBot="1" x14ac:dyDescent="0.3">
      <c r="A66" s="402"/>
      <c r="B66" s="418"/>
      <c r="C66" s="1151"/>
      <c r="D66" s="1151"/>
      <c r="E66" s="1149"/>
      <c r="F66" s="471" t="s">
        <v>167</v>
      </c>
      <c r="G66" s="1156"/>
      <c r="H66" s="1184" t="s">
        <v>123</v>
      </c>
      <c r="I66" s="471"/>
      <c r="J66" s="419" t="s">
        <v>123</v>
      </c>
      <c r="K66" s="403"/>
      <c r="L66" s="1151" t="s">
        <v>775</v>
      </c>
      <c r="M66" s="1151"/>
      <c r="N66" s="403"/>
      <c r="O66" s="403"/>
      <c r="P66" s="403"/>
      <c r="Q66" s="1165"/>
      <c r="R66" s="327">
        <f t="shared" si="13"/>
        <v>35</v>
      </c>
      <c r="S66" s="1247"/>
      <c r="T66" s="1247"/>
      <c r="V66" s="1247"/>
      <c r="W66" s="1247"/>
      <c r="Y66" s="1247"/>
    </row>
    <row r="67" spans="1:25" ht="15" x14ac:dyDescent="0.25">
      <c r="A67" s="402"/>
      <c r="B67" s="1151"/>
      <c r="C67" s="405"/>
      <c r="D67" s="405"/>
      <c r="E67" s="425" t="s">
        <v>533</v>
      </c>
      <c r="F67" s="1162" t="s">
        <v>730</v>
      </c>
      <c r="G67" s="1162" t="s">
        <v>487</v>
      </c>
      <c r="H67" s="1155"/>
      <c r="I67" s="1183"/>
      <c r="J67" s="1244">
        <f t="shared" ref="J67:J68" ca="1" si="14">IF(W67="E",H67,T67)</f>
        <v>0</v>
      </c>
      <c r="K67" s="403"/>
      <c r="L67" s="1589" t="s">
        <v>774</v>
      </c>
      <c r="M67" s="1589"/>
      <c r="N67" s="1589"/>
      <c r="O67" s="403"/>
      <c r="P67" s="403"/>
      <c r="Q67" s="1165"/>
      <c r="R67" s="327">
        <f t="shared" si="13"/>
        <v>36</v>
      </c>
      <c r="S67" s="1247"/>
      <c r="T67" s="1249">
        <f t="shared" ref="T67:T68" ca="1" si="15">IF($U$40=1,"",INDIRECT("Z"&amp;R67&amp;"S"&amp;$T$21,))</f>
        <v>0</v>
      </c>
      <c r="V67" s="1247"/>
      <c r="W67" s="1249" t="str">
        <f t="shared" ref="W67:W68" si="16">IF($T$40=$S$14,"E",IF(ISNUMBER(H67),"E","U"))</f>
        <v>U</v>
      </c>
      <c r="Y67" s="1247"/>
    </row>
    <row r="68" spans="1:25" ht="15.75" thickBot="1" x14ac:dyDescent="0.3">
      <c r="A68" s="402"/>
      <c r="B68" s="1151"/>
      <c r="C68" s="1151"/>
      <c r="D68" s="1151"/>
      <c r="E68" s="1151"/>
      <c r="F68" s="1245"/>
      <c r="G68" s="1162" t="s">
        <v>776</v>
      </c>
      <c r="H68" s="1155"/>
      <c r="I68" s="1183"/>
      <c r="J68" s="1246">
        <f t="shared" ca="1" si="14"/>
        <v>0</v>
      </c>
      <c r="K68" s="403"/>
      <c r="L68" s="403"/>
      <c r="M68" s="403"/>
      <c r="N68" s="403"/>
      <c r="O68" s="403"/>
      <c r="P68" s="403"/>
      <c r="Q68" s="1165"/>
      <c r="R68" s="327">
        <f t="shared" si="13"/>
        <v>37</v>
      </c>
      <c r="S68" s="1247"/>
      <c r="T68" s="1249">
        <f t="shared" ca="1" si="15"/>
        <v>0</v>
      </c>
      <c r="V68" s="1247"/>
      <c r="W68" s="1249" t="str">
        <f t="shared" si="16"/>
        <v>U</v>
      </c>
      <c r="Y68" s="1247"/>
    </row>
    <row r="69" spans="1:25" ht="15" x14ac:dyDescent="0.25">
      <c r="A69" s="402"/>
      <c r="B69" s="1151"/>
      <c r="C69" s="1151"/>
      <c r="D69" s="1151"/>
      <c r="E69" s="1151"/>
      <c r="F69" s="426"/>
      <c r="G69" s="324"/>
      <c r="H69" s="324"/>
      <c r="I69" s="324"/>
      <c r="J69" s="427"/>
      <c r="K69" s="403"/>
      <c r="L69" s="403"/>
      <c r="M69" s="403"/>
      <c r="N69" s="403"/>
      <c r="O69" s="403"/>
      <c r="P69" s="403"/>
      <c r="Q69" s="1165"/>
    </row>
    <row r="70" spans="1:25" ht="15" x14ac:dyDescent="0.25">
      <c r="A70" s="402"/>
      <c r="B70" s="1151"/>
      <c r="C70" s="1151"/>
      <c r="D70" s="1151"/>
      <c r="E70" s="1151"/>
      <c r="F70" s="316"/>
      <c r="G70" s="316"/>
      <c r="H70" s="316"/>
      <c r="I70" s="316"/>
      <c r="J70" s="403"/>
      <c r="K70" s="403"/>
      <c r="L70" s="403"/>
      <c r="M70" s="403"/>
      <c r="N70" s="403"/>
      <c r="O70" s="403"/>
      <c r="P70" s="403"/>
      <c r="Q70" s="1165"/>
      <c r="U70" s="327" t="s">
        <v>820</v>
      </c>
    </row>
    <row r="71" spans="1:25" ht="39.950000000000003" customHeight="1" x14ac:dyDescent="0.25">
      <c r="A71" s="440"/>
      <c r="B71" s="1171" t="str">
        <f>"Energiekennwert Variante 3: "&amp;'1. Projektangaben'!$E$25</f>
        <v>Energiekennwert Variante 3: PHSol</v>
      </c>
      <c r="C71" s="1165"/>
      <c r="D71" s="1165"/>
      <c r="E71" s="1165"/>
      <c r="F71" s="1165"/>
      <c r="G71" s="1165"/>
      <c r="H71" s="1165"/>
      <c r="I71" s="1165"/>
      <c r="J71" s="1165"/>
      <c r="K71" s="1165"/>
      <c r="L71" s="1165"/>
      <c r="M71" s="1165"/>
      <c r="N71" s="1165"/>
      <c r="O71" s="1165"/>
      <c r="P71" s="1165"/>
      <c r="Q71" s="1165"/>
      <c r="S71" s="327" t="s">
        <v>815</v>
      </c>
      <c r="T71" s="327" t="str">
        <f>VLOOKUP(U71,$R$14:$S$18,2,FALSE)</f>
        <v>Variante 1</v>
      </c>
      <c r="U71" s="1387">
        <v>2</v>
      </c>
    </row>
    <row r="72" spans="1:25" ht="15" x14ac:dyDescent="0.25">
      <c r="A72" s="402"/>
      <c r="B72" s="413"/>
      <c r="C72" s="1150"/>
      <c r="D72" s="1150"/>
      <c r="E72" s="414"/>
      <c r="F72" s="323"/>
      <c r="G72" s="323"/>
      <c r="H72" s="323"/>
      <c r="I72" s="323"/>
      <c r="J72" s="322"/>
      <c r="K72" s="403"/>
      <c r="L72" s="403"/>
      <c r="M72" s="403"/>
      <c r="N72" s="403"/>
      <c r="O72" s="403"/>
      <c r="P72" s="403"/>
      <c r="Q72" s="1165"/>
      <c r="S72" s="327" t="s">
        <v>813</v>
      </c>
      <c r="T72" s="327">
        <f>VLOOKUP(T71,$S$13:$U$18,2,FALSE)</f>
        <v>15</v>
      </c>
      <c r="V72" s="460" t="s">
        <v>721</v>
      </c>
    </row>
    <row r="73" spans="1:25" ht="15" x14ac:dyDescent="0.25">
      <c r="A73" s="402"/>
      <c r="B73" s="413"/>
      <c r="C73" s="1150"/>
      <c r="D73" s="1150"/>
      <c r="E73" s="1251" t="s">
        <v>812</v>
      </c>
      <c r="F73" s="1484" t="s">
        <v>106</v>
      </c>
      <c r="G73" s="1485"/>
      <c r="H73" s="1485"/>
      <c r="I73" s="1485"/>
      <c r="J73" s="1590"/>
      <c r="K73" s="403"/>
      <c r="L73" s="403"/>
      <c r="M73" s="403"/>
      <c r="N73" s="403"/>
      <c r="O73" s="403"/>
      <c r="P73" s="403"/>
      <c r="Q73" s="1165"/>
      <c r="S73" s="327" t="s">
        <v>814</v>
      </c>
      <c r="T73" s="327">
        <f>VLOOKUP(T71,$S$13:$U$18,3,FALSE)</f>
        <v>37</v>
      </c>
      <c r="V73" s="1078" t="s">
        <v>722</v>
      </c>
    </row>
    <row r="74" spans="1:25" ht="15.75" thickBot="1" x14ac:dyDescent="0.3">
      <c r="A74" s="402"/>
      <c r="B74" s="1592" t="s">
        <v>811</v>
      </c>
      <c r="C74" s="1150"/>
      <c r="D74" s="1150"/>
      <c r="E74" s="414"/>
      <c r="F74" s="1487" t="str">
        <f>IF('1. Projektangaben'!C25="","",'1. Projektangaben'!C25)</f>
        <v>PH-WDVS-WP-Abl-mittl.Sol-ohne PV</v>
      </c>
      <c r="G74" s="1488"/>
      <c r="H74" s="1488"/>
      <c r="I74" s="1488"/>
      <c r="J74" s="1569"/>
      <c r="K74" s="403"/>
      <c r="L74" s="403"/>
      <c r="M74" s="403"/>
      <c r="N74" s="403"/>
      <c r="O74" s="403"/>
      <c r="P74" s="403"/>
      <c r="Q74" s="1165"/>
    </row>
    <row r="75" spans="1:25" ht="15" x14ac:dyDescent="0.25">
      <c r="A75" s="402"/>
      <c r="B75" s="1592"/>
      <c r="C75" s="1151"/>
      <c r="D75" s="1151"/>
      <c r="E75" s="1160"/>
      <c r="F75" s="1146" t="s">
        <v>92</v>
      </c>
      <c r="G75" s="1147" t="s">
        <v>308</v>
      </c>
      <c r="H75" s="1147" t="s">
        <v>331</v>
      </c>
      <c r="I75" s="1147" t="s">
        <v>310</v>
      </c>
      <c r="J75" s="1189" t="s">
        <v>166</v>
      </c>
      <c r="K75" s="403"/>
      <c r="L75" s="403"/>
      <c r="M75" s="1235" t="s">
        <v>809</v>
      </c>
      <c r="N75" s="1236" t="str">
        <f>VLOOKUP('1. Projektangaben'!$AA$25,LISTEN!$E$16:$G$18,3,FALSE)</f>
        <v>Energiebezugsfläche</v>
      </c>
      <c r="O75" s="403"/>
      <c r="P75" s="403"/>
      <c r="Q75" s="1165"/>
    </row>
    <row r="76" spans="1:25" ht="15.75" thickBot="1" x14ac:dyDescent="0.3">
      <c r="A76" s="402"/>
      <c r="B76" s="1592"/>
      <c r="C76" s="1151"/>
      <c r="D76" s="1151"/>
      <c r="E76" s="1151"/>
      <c r="F76" s="1144"/>
      <c r="G76" s="398"/>
      <c r="H76" s="398" t="s">
        <v>121</v>
      </c>
      <c r="I76" s="398" t="s">
        <v>309</v>
      </c>
      <c r="J76" s="1190" t="s">
        <v>121</v>
      </c>
      <c r="K76" s="403"/>
      <c r="L76" s="403"/>
      <c r="M76" s="403"/>
      <c r="N76" s="403"/>
      <c r="O76" s="403"/>
      <c r="P76" s="403"/>
      <c r="Q76" s="1165"/>
      <c r="S76" s="618" t="s">
        <v>840</v>
      </c>
      <c r="T76" s="1248" t="s">
        <v>166</v>
      </c>
      <c r="V76" s="618" t="s">
        <v>811</v>
      </c>
      <c r="W76" s="1248" t="s">
        <v>166</v>
      </c>
      <c r="Y76" s="618" t="s">
        <v>837</v>
      </c>
    </row>
    <row r="77" spans="1:25" ht="15" customHeight="1" x14ac:dyDescent="0.25">
      <c r="A77" s="402"/>
      <c r="B77" s="1394">
        <v>1</v>
      </c>
      <c r="C77" s="324"/>
      <c r="D77" s="324"/>
      <c r="E77" s="420" t="s">
        <v>117</v>
      </c>
      <c r="F77" s="1195" t="str">
        <f ca="1">IF(V77="E",VLOOKUP(B77,LISTEN!$B$6:$C$14,2,FALSE),VLOOKUP(S77,LISTEN!$B$6:$C$14,2,FALSE))</f>
        <v>Wärmepumpenstrom</v>
      </c>
      <c r="G77" s="1145"/>
      <c r="H77" s="955">
        <v>7.28</v>
      </c>
      <c r="I77" s="1252">
        <v>1</v>
      </c>
      <c r="J77" s="1188">
        <f>IF(W77="E",H77/I77,T77)</f>
        <v>7.28</v>
      </c>
      <c r="K77" s="403"/>
      <c r="L77" s="403"/>
      <c r="M77" s="403"/>
      <c r="N77" s="403"/>
      <c r="O77" s="403"/>
      <c r="P77" s="403"/>
      <c r="Q77" s="1165"/>
      <c r="R77" s="327">
        <f>T72</f>
        <v>15</v>
      </c>
      <c r="S77" s="1250">
        <f ca="1">IF($U$71=1,"",INDIRECT("Z"&amp;R77&amp;"S"&amp;$Y$10,))</f>
        <v>9</v>
      </c>
      <c r="T77" s="1249">
        <f ca="1">IF($U$71=1,"",INDIRECT("Z"&amp;R77&amp;"S"&amp;$T$21,))</f>
        <v>23.23</v>
      </c>
      <c r="V77" s="1250" t="str">
        <f>IF($T$71=$S$14,"E",IF(B77&gt;1,"E","U"))</f>
        <v>U</v>
      </c>
      <c r="W77" s="1249" t="str">
        <f>IF($T$71=$S$14,"E",IF(ISNUMBER(H77),"E","U"))</f>
        <v>E</v>
      </c>
      <c r="Y77" s="1250">
        <f ca="1">IF($F77=0,1,VLOOKUP($F77,LISTEN!$C$6:$D$14,2,FALSE))</f>
        <v>9</v>
      </c>
    </row>
    <row r="78" spans="1:25" ht="15" customHeight="1" x14ac:dyDescent="0.25">
      <c r="A78" s="402"/>
      <c r="B78" s="1394">
        <v>1</v>
      </c>
      <c r="C78" s="405"/>
      <c r="D78" s="405"/>
      <c r="E78" s="421" t="s">
        <v>311</v>
      </c>
      <c r="F78" s="1195">
        <f ca="1">IF(V78="E",VLOOKUP(B78,LISTEN!$B$6:$C$14,2,FALSE),VLOOKUP(S78,LISTEN!$B$6:$C$14,2,FALSE))</f>
        <v>0</v>
      </c>
      <c r="G78" s="1145"/>
      <c r="H78" s="1185"/>
      <c r="I78" s="1253">
        <v>1</v>
      </c>
      <c r="J78" s="392">
        <f t="shared" ref="J78:J94" ca="1" si="17">IF(W78="E",H78/I78,T78)</f>
        <v>0</v>
      </c>
      <c r="K78" s="403"/>
      <c r="L78" s="403"/>
      <c r="M78" s="403"/>
      <c r="N78" s="403"/>
      <c r="O78" s="403"/>
      <c r="P78" s="403"/>
      <c r="Q78" s="1165"/>
      <c r="R78" s="327">
        <f>R77+1</f>
        <v>16</v>
      </c>
      <c r="S78" s="1250">
        <f t="shared" ref="S78:S82" ca="1" si="18">IF($U$71=1,"",INDIRECT("Z"&amp;R78&amp;"S"&amp;$Y$10,))</f>
        <v>1</v>
      </c>
      <c r="T78" s="1249">
        <f t="shared" ref="T78:T94" ca="1" si="19">IF($U$71=1,"",INDIRECT("Z"&amp;R78&amp;"S"&amp;$T$21,))</f>
        <v>0</v>
      </c>
      <c r="V78" s="1250" t="str">
        <f t="shared" ref="V78:V82" si="20">IF($T$71=$S$14,"E",IF(B78&gt;1,"E","U"))</f>
        <v>U</v>
      </c>
      <c r="W78" s="1249" t="str">
        <f t="shared" ref="W78:W94" si="21">IF($T$71=$S$14,"E",IF(ISNUMBER(H78),"E","U"))</f>
        <v>U</v>
      </c>
      <c r="Y78" s="1250">
        <f ca="1">IF($F78=0,1,VLOOKUP($F78,LISTEN!$C$6:$D$14,2,FALSE))</f>
        <v>1</v>
      </c>
    </row>
    <row r="79" spans="1:25" ht="15" customHeight="1" x14ac:dyDescent="0.25">
      <c r="A79" s="402"/>
      <c r="B79" s="1394">
        <v>1</v>
      </c>
      <c r="C79" s="405"/>
      <c r="D79" s="405"/>
      <c r="E79" s="421" t="s">
        <v>118</v>
      </c>
      <c r="F79" s="1195" t="str">
        <f ca="1">IF(V79="E",VLOOKUP(B79,LISTEN!$B$6:$C$14,2,FALSE),VLOOKUP(S79,LISTEN!$B$6:$C$14,2,FALSE))</f>
        <v>Wärmepumpenstrom</v>
      </c>
      <c r="G79" s="1145"/>
      <c r="H79" s="955">
        <v>6.1</v>
      </c>
      <c r="I79" s="1252">
        <v>1</v>
      </c>
      <c r="J79" s="392">
        <f t="shared" si="17"/>
        <v>6.1</v>
      </c>
      <c r="K79" s="403"/>
      <c r="L79" s="403"/>
      <c r="M79" s="403"/>
      <c r="N79" s="403"/>
      <c r="O79" s="403"/>
      <c r="P79" s="403"/>
      <c r="Q79" s="1165"/>
      <c r="R79" s="327">
        <f t="shared" ref="R79:R94" si="22">R78+1</f>
        <v>17</v>
      </c>
      <c r="S79" s="1250">
        <f t="shared" ca="1" si="18"/>
        <v>9</v>
      </c>
      <c r="T79" s="1249">
        <f t="shared" ca="1" si="19"/>
        <v>18.27</v>
      </c>
      <c r="V79" s="1250" t="str">
        <f t="shared" si="20"/>
        <v>U</v>
      </c>
      <c r="W79" s="1249" t="str">
        <f t="shared" si="21"/>
        <v>E</v>
      </c>
      <c r="Y79" s="1250">
        <f ca="1">IF($F79=0,1,VLOOKUP($F79,LISTEN!$C$6:$D$14,2,FALSE))</f>
        <v>9</v>
      </c>
    </row>
    <row r="80" spans="1:25" ht="15" customHeight="1" x14ac:dyDescent="0.25">
      <c r="A80" s="402"/>
      <c r="B80" s="1394">
        <v>1</v>
      </c>
      <c r="C80" s="405"/>
      <c r="D80" s="405"/>
      <c r="E80" s="421" t="s">
        <v>312</v>
      </c>
      <c r="F80" s="1195">
        <f ca="1">IF(V80="E",VLOOKUP(B80,LISTEN!$B$6:$C$14,2,FALSE),VLOOKUP(S80,LISTEN!$B$6:$C$14,2,FALSE))</f>
        <v>0</v>
      </c>
      <c r="G80" s="1145"/>
      <c r="H80" s="1186"/>
      <c r="I80" s="1254">
        <v>1</v>
      </c>
      <c r="J80" s="392">
        <f t="shared" ca="1" si="17"/>
        <v>0</v>
      </c>
      <c r="K80" s="403"/>
      <c r="L80" s="403"/>
      <c r="M80" s="403"/>
      <c r="N80" s="403"/>
      <c r="O80" s="403"/>
      <c r="P80" s="403"/>
      <c r="Q80" s="1165"/>
      <c r="R80" s="327">
        <f t="shared" si="22"/>
        <v>18</v>
      </c>
      <c r="S80" s="1250">
        <f t="shared" ca="1" si="18"/>
        <v>1</v>
      </c>
      <c r="T80" s="1249">
        <f t="shared" ca="1" si="19"/>
        <v>0</v>
      </c>
      <c r="V80" s="1250" t="str">
        <f t="shared" si="20"/>
        <v>U</v>
      </c>
      <c r="W80" s="1249" t="str">
        <f t="shared" si="21"/>
        <v>U</v>
      </c>
      <c r="Y80" s="1250">
        <f ca="1">IF($F80=0,1,VLOOKUP($F80,LISTEN!$C$6:$D$14,2,FALSE))</f>
        <v>1</v>
      </c>
    </row>
    <row r="81" spans="1:25" ht="15" customHeight="1" x14ac:dyDescent="0.25">
      <c r="A81" s="402"/>
      <c r="B81" s="1394">
        <v>1</v>
      </c>
      <c r="C81" s="405"/>
      <c r="D81" s="405"/>
      <c r="E81" s="421" t="s">
        <v>337</v>
      </c>
      <c r="F81" s="1195">
        <f ca="1">IF(V81="E",VLOOKUP(B81,LISTEN!$B$6:$C$14,2,FALSE),VLOOKUP(S81,LISTEN!$B$6:$C$14,2,FALSE))</f>
        <v>0</v>
      </c>
      <c r="G81" s="1145"/>
      <c r="H81" s="1186"/>
      <c r="I81" s="1254">
        <v>1</v>
      </c>
      <c r="J81" s="392">
        <f t="shared" ca="1" si="17"/>
        <v>0</v>
      </c>
      <c r="K81" s="403"/>
      <c r="L81" s="403"/>
      <c r="M81" s="403"/>
      <c r="N81" s="403"/>
      <c r="O81" s="403"/>
      <c r="P81" s="403"/>
      <c r="Q81" s="1165"/>
      <c r="R81" s="327">
        <f t="shared" si="22"/>
        <v>19</v>
      </c>
      <c r="S81" s="1250">
        <f t="shared" ca="1" si="18"/>
        <v>1</v>
      </c>
      <c r="T81" s="1249">
        <f t="shared" ca="1" si="19"/>
        <v>0</v>
      </c>
      <c r="V81" s="1250" t="str">
        <f t="shared" si="20"/>
        <v>U</v>
      </c>
      <c r="W81" s="1249" t="str">
        <f t="shared" si="21"/>
        <v>U</v>
      </c>
      <c r="Y81" s="1250">
        <f ca="1">IF($F81=0,1,VLOOKUP($F81,LISTEN!$C$6:$D$14,2,FALSE))</f>
        <v>1</v>
      </c>
    </row>
    <row r="82" spans="1:25" ht="15" customHeight="1" x14ac:dyDescent="0.25">
      <c r="A82" s="402"/>
      <c r="B82" s="1394">
        <v>1</v>
      </c>
      <c r="C82" s="405"/>
      <c r="D82" s="405"/>
      <c r="E82" s="421" t="s">
        <v>315</v>
      </c>
      <c r="F82" s="1195">
        <f ca="1">IF(V82="E",VLOOKUP(B82,LISTEN!$B$6:$C$14,2,FALSE),VLOOKUP(S82,LISTEN!$B$6:$C$14,2,FALSE))</f>
        <v>0</v>
      </c>
      <c r="G82" s="1145"/>
      <c r="H82" s="1186"/>
      <c r="I82" s="1253">
        <v>1</v>
      </c>
      <c r="J82" s="392">
        <f t="shared" ca="1" si="17"/>
        <v>0</v>
      </c>
      <c r="K82" s="403"/>
      <c r="L82" s="403"/>
      <c r="M82" s="403"/>
      <c r="N82" s="403"/>
      <c r="O82" s="403"/>
      <c r="P82" s="403"/>
      <c r="Q82" s="1165"/>
      <c r="R82" s="327">
        <f t="shared" si="22"/>
        <v>20</v>
      </c>
      <c r="S82" s="1250">
        <f t="shared" ca="1" si="18"/>
        <v>1</v>
      </c>
      <c r="T82" s="1249">
        <f t="shared" ca="1" si="19"/>
        <v>0</v>
      </c>
      <c r="V82" s="1250" t="str">
        <f t="shared" si="20"/>
        <v>U</v>
      </c>
      <c r="W82" s="1249" t="str">
        <f t="shared" si="21"/>
        <v>U</v>
      </c>
      <c r="Y82" s="1250">
        <f ca="1">IF($F82=0,1,VLOOKUP($F82,LISTEN!$C$6:$D$14,2,FALSE))</f>
        <v>1</v>
      </c>
    </row>
    <row r="83" spans="1:25" ht="15" customHeight="1" x14ac:dyDescent="0.25">
      <c r="A83" s="402"/>
      <c r="B83" s="1394">
        <v>8</v>
      </c>
      <c r="C83" s="405"/>
      <c r="D83" s="405"/>
      <c r="E83" s="421" t="s">
        <v>313</v>
      </c>
      <c r="F83" s="1203" t="s">
        <v>82</v>
      </c>
      <c r="G83" s="1145"/>
      <c r="H83" s="1186">
        <v>0.78</v>
      </c>
      <c r="I83" s="1182"/>
      <c r="J83" s="392">
        <f>IF(W83="E",H83,T83)</f>
        <v>0.78</v>
      </c>
      <c r="K83" s="403"/>
      <c r="L83" s="403"/>
      <c r="M83" s="403"/>
      <c r="N83" s="403"/>
      <c r="O83" s="403"/>
      <c r="P83" s="403"/>
      <c r="Q83" s="1165"/>
      <c r="R83" s="327">
        <f t="shared" si="22"/>
        <v>21</v>
      </c>
      <c r="S83" s="1247"/>
      <c r="T83" s="1249">
        <f t="shared" ca="1" si="19"/>
        <v>0.96</v>
      </c>
      <c r="V83" s="1247"/>
      <c r="W83" s="1249" t="str">
        <f t="shared" si="21"/>
        <v>E</v>
      </c>
      <c r="Y83" s="1247"/>
    </row>
    <row r="84" spans="1:25" ht="15" customHeight="1" x14ac:dyDescent="0.25">
      <c r="A84" s="402"/>
      <c r="B84" s="1394">
        <v>8</v>
      </c>
      <c r="C84" s="324"/>
      <c r="D84" s="324"/>
      <c r="E84" s="420" t="s">
        <v>341</v>
      </c>
      <c r="F84" s="1203" t="s">
        <v>82</v>
      </c>
      <c r="G84" s="1145"/>
      <c r="H84" s="1186">
        <v>0.5</v>
      </c>
      <c r="I84" s="1183"/>
      <c r="J84" s="392">
        <f t="shared" ref="J84:J91" si="23">IF(W84="E",H84,T84)</f>
        <v>0.5</v>
      </c>
      <c r="K84" s="403"/>
      <c r="L84" s="403"/>
      <c r="M84" s="403"/>
      <c r="N84" s="403"/>
      <c r="O84" s="403"/>
      <c r="P84" s="403"/>
      <c r="Q84" s="1165"/>
      <c r="R84" s="327">
        <f t="shared" si="22"/>
        <v>22</v>
      </c>
      <c r="S84" s="1247"/>
      <c r="T84" s="1249">
        <f t="shared" ca="1" si="19"/>
        <v>0.5</v>
      </c>
      <c r="V84" s="1247"/>
      <c r="W84" s="1249" t="str">
        <f t="shared" si="21"/>
        <v>E</v>
      </c>
      <c r="Y84" s="1247"/>
    </row>
    <row r="85" spans="1:25" ht="15" customHeight="1" x14ac:dyDescent="0.25">
      <c r="A85" s="402"/>
      <c r="B85" s="1394">
        <v>8</v>
      </c>
      <c r="C85" s="405"/>
      <c r="D85" s="405"/>
      <c r="E85" s="421" t="s">
        <v>314</v>
      </c>
      <c r="F85" s="1203" t="s">
        <v>82</v>
      </c>
      <c r="G85" s="1145"/>
      <c r="H85" s="1186"/>
      <c r="I85" s="1183"/>
      <c r="J85" s="392">
        <f t="shared" ca="1" si="23"/>
        <v>0</v>
      </c>
      <c r="K85" s="403"/>
      <c r="L85" s="403"/>
      <c r="M85" s="403"/>
      <c r="N85" s="403"/>
      <c r="O85" s="403"/>
      <c r="P85" s="403"/>
      <c r="Q85" s="1165"/>
      <c r="R85" s="327">
        <f t="shared" si="22"/>
        <v>23</v>
      </c>
      <c r="S85" s="1247"/>
      <c r="T85" s="1249">
        <f t="shared" ca="1" si="19"/>
        <v>0</v>
      </c>
      <c r="V85" s="1247"/>
      <c r="W85" s="1249" t="str">
        <f t="shared" si="21"/>
        <v>U</v>
      </c>
      <c r="Y85" s="1247"/>
    </row>
    <row r="86" spans="1:25" ht="15" customHeight="1" x14ac:dyDescent="0.25">
      <c r="A86" s="402"/>
      <c r="B86" s="1394">
        <v>8</v>
      </c>
      <c r="C86" s="324"/>
      <c r="D86" s="324"/>
      <c r="E86" s="420" t="s">
        <v>340</v>
      </c>
      <c r="F86" s="1203" t="s">
        <v>82</v>
      </c>
      <c r="G86" s="1145"/>
      <c r="H86" s="1186"/>
      <c r="I86" s="1183"/>
      <c r="J86" s="392">
        <f t="shared" ca="1" si="23"/>
        <v>0</v>
      </c>
      <c r="K86" s="403"/>
      <c r="L86" s="403"/>
      <c r="M86" s="403"/>
      <c r="N86" s="403"/>
      <c r="O86" s="403"/>
      <c r="P86" s="403"/>
      <c r="Q86" s="1165"/>
      <c r="R86" s="327">
        <f t="shared" si="22"/>
        <v>24</v>
      </c>
      <c r="S86" s="1247"/>
      <c r="T86" s="1249">
        <f t="shared" ca="1" si="19"/>
        <v>0</v>
      </c>
      <c r="V86" s="1247"/>
      <c r="W86" s="1249" t="str">
        <f t="shared" si="21"/>
        <v>U</v>
      </c>
      <c r="Y86" s="1247"/>
    </row>
    <row r="87" spans="1:25" ht="15" customHeight="1" x14ac:dyDescent="0.25">
      <c r="A87" s="402"/>
      <c r="B87" s="1394">
        <v>8</v>
      </c>
      <c r="C87" s="324"/>
      <c r="D87" s="324"/>
      <c r="E87" s="420" t="s">
        <v>339</v>
      </c>
      <c r="F87" s="1203" t="s">
        <v>82</v>
      </c>
      <c r="G87" s="1145"/>
      <c r="H87" s="1186"/>
      <c r="I87" s="1183"/>
      <c r="J87" s="392">
        <f t="shared" ca="1" si="23"/>
        <v>1.4</v>
      </c>
      <c r="K87" s="403"/>
      <c r="L87" s="403"/>
      <c r="M87" s="403"/>
      <c r="N87" s="403"/>
      <c r="O87" s="403"/>
      <c r="P87" s="403"/>
      <c r="Q87" s="1165"/>
      <c r="R87" s="327">
        <f t="shared" si="22"/>
        <v>25</v>
      </c>
      <c r="S87" s="1247"/>
      <c r="T87" s="1249">
        <f t="shared" ca="1" si="19"/>
        <v>1.4</v>
      </c>
      <c r="V87" s="1247"/>
      <c r="W87" s="1249" t="str">
        <f t="shared" si="21"/>
        <v>U</v>
      </c>
      <c r="Y87" s="1247"/>
    </row>
    <row r="88" spans="1:25" ht="15" customHeight="1" x14ac:dyDescent="0.25">
      <c r="A88" s="402"/>
      <c r="B88" s="1394">
        <v>8</v>
      </c>
      <c r="C88" s="324"/>
      <c r="D88" s="324"/>
      <c r="E88" s="423" t="s">
        <v>338</v>
      </c>
      <c r="F88" s="1203" t="s">
        <v>82</v>
      </c>
      <c r="G88" s="1145"/>
      <c r="H88" s="1186"/>
      <c r="I88" s="1183"/>
      <c r="J88" s="392">
        <f t="shared" ca="1" si="23"/>
        <v>0</v>
      </c>
      <c r="K88" s="403"/>
      <c r="L88" s="403"/>
      <c r="M88" s="403"/>
      <c r="N88" s="403"/>
      <c r="O88" s="403"/>
      <c r="P88" s="403"/>
      <c r="Q88" s="1165"/>
      <c r="R88" s="327">
        <f t="shared" si="22"/>
        <v>26</v>
      </c>
      <c r="S88" s="1247"/>
      <c r="T88" s="1249">
        <f t="shared" ca="1" si="19"/>
        <v>0</v>
      </c>
      <c r="V88" s="1247"/>
      <c r="W88" s="1249" t="str">
        <f t="shared" si="21"/>
        <v>U</v>
      </c>
      <c r="Y88" s="1247"/>
    </row>
    <row r="89" spans="1:25" ht="15" customHeight="1" x14ac:dyDescent="0.25">
      <c r="A89" s="402"/>
      <c r="B89" s="1394">
        <v>8</v>
      </c>
      <c r="C89" s="405"/>
      <c r="D89" s="405"/>
      <c r="E89" s="421" t="s">
        <v>316</v>
      </c>
      <c r="F89" s="1203" t="s">
        <v>82</v>
      </c>
      <c r="G89" s="1145"/>
      <c r="H89" s="1186"/>
      <c r="I89" s="1183"/>
      <c r="J89" s="392">
        <f t="shared" ca="1" si="23"/>
        <v>0</v>
      </c>
      <c r="K89" s="403"/>
      <c r="L89" s="403"/>
      <c r="M89" s="403"/>
      <c r="N89" s="403"/>
      <c r="O89" s="403"/>
      <c r="P89" s="403"/>
      <c r="Q89" s="1165"/>
      <c r="R89" s="327">
        <f t="shared" si="22"/>
        <v>27</v>
      </c>
      <c r="S89" s="1247"/>
      <c r="T89" s="1249">
        <f t="shared" ca="1" si="19"/>
        <v>0</v>
      </c>
      <c r="V89" s="1247"/>
      <c r="W89" s="1249" t="str">
        <f t="shared" si="21"/>
        <v>U</v>
      </c>
      <c r="Y89" s="1247"/>
    </row>
    <row r="90" spans="1:25" ht="15" customHeight="1" x14ac:dyDescent="0.25">
      <c r="A90" s="402"/>
      <c r="B90" s="1394">
        <v>8</v>
      </c>
      <c r="C90" s="324"/>
      <c r="D90" s="324"/>
      <c r="E90" s="420" t="s">
        <v>302</v>
      </c>
      <c r="F90" s="1203" t="s">
        <v>82</v>
      </c>
      <c r="G90" s="1145"/>
      <c r="H90" s="1186"/>
      <c r="I90" s="1183"/>
      <c r="J90" s="392">
        <f t="shared" ca="1" si="23"/>
        <v>0</v>
      </c>
      <c r="K90" s="403"/>
      <c r="L90" s="403"/>
      <c r="M90" s="403"/>
      <c r="N90" s="403"/>
      <c r="O90" s="403"/>
      <c r="P90" s="403"/>
      <c r="Q90" s="1165"/>
      <c r="R90" s="327">
        <f t="shared" si="22"/>
        <v>28</v>
      </c>
      <c r="S90" s="1247"/>
      <c r="T90" s="1249">
        <f t="shared" ca="1" si="19"/>
        <v>0</v>
      </c>
      <c r="V90" s="1247"/>
      <c r="W90" s="1249" t="str">
        <f t="shared" si="21"/>
        <v>U</v>
      </c>
      <c r="Y90" s="1247"/>
    </row>
    <row r="91" spans="1:25" ht="15" customHeight="1" x14ac:dyDescent="0.25">
      <c r="A91" s="402"/>
      <c r="B91" s="1394">
        <v>8</v>
      </c>
      <c r="C91" s="324"/>
      <c r="D91" s="324"/>
      <c r="E91" s="423" t="s">
        <v>460</v>
      </c>
      <c r="F91" s="1203" t="s">
        <v>82</v>
      </c>
      <c r="G91" s="1145"/>
      <c r="H91" s="1186"/>
      <c r="I91" s="1184"/>
      <c r="J91" s="392">
        <f t="shared" ca="1" si="23"/>
        <v>25</v>
      </c>
      <c r="K91" s="403"/>
      <c r="L91" s="403"/>
      <c r="M91" s="403"/>
      <c r="N91" s="403"/>
      <c r="O91" s="403"/>
      <c r="P91" s="403"/>
      <c r="Q91" s="1165"/>
      <c r="R91" s="327">
        <f t="shared" si="22"/>
        <v>29</v>
      </c>
      <c r="S91" s="1247"/>
      <c r="T91" s="1249">
        <f t="shared" ca="1" si="19"/>
        <v>25</v>
      </c>
      <c r="V91" s="1247"/>
      <c r="W91" s="1249" t="str">
        <f t="shared" si="21"/>
        <v>U</v>
      </c>
      <c r="Y91" s="1247"/>
    </row>
    <row r="92" spans="1:25" ht="15" customHeight="1" x14ac:dyDescent="0.25">
      <c r="A92" s="402"/>
      <c r="B92" s="1394">
        <v>1</v>
      </c>
      <c r="C92" s="405"/>
      <c r="D92" s="405"/>
      <c r="E92" s="421" t="s">
        <v>317</v>
      </c>
      <c r="F92" s="1195">
        <f ca="1">IF(V92="E",VLOOKUP(B92,LISTEN!$B$6:$C$14,2,FALSE),VLOOKUP(S92,LISTEN!$B$6:$C$14,2,FALSE))</f>
        <v>0</v>
      </c>
      <c r="G92" s="1145"/>
      <c r="H92" s="1187"/>
      <c r="I92" s="1253">
        <v>1</v>
      </c>
      <c r="J92" s="393">
        <f t="shared" ca="1" si="17"/>
        <v>0</v>
      </c>
      <c r="K92" s="403"/>
      <c r="L92" s="403"/>
      <c r="M92" s="403"/>
      <c r="N92" s="403"/>
      <c r="O92" s="403"/>
      <c r="P92" s="403"/>
      <c r="Q92" s="1165"/>
      <c r="R92" s="327">
        <f t="shared" si="22"/>
        <v>30</v>
      </c>
      <c r="S92" s="1250">
        <f t="shared" ref="S92:S94" ca="1" si="24">IF($U$71=1,"",INDIRECT("Z"&amp;R92&amp;"S"&amp;$Y$10,))</f>
        <v>1</v>
      </c>
      <c r="T92" s="1249">
        <f t="shared" ca="1" si="19"/>
        <v>0</v>
      </c>
      <c r="V92" s="1250" t="str">
        <f t="shared" ref="V92:V94" si="25">IF($T$71=$S$14,"E",IF(B92&gt;1,"E","U"))</f>
        <v>U</v>
      </c>
      <c r="W92" s="1249" t="str">
        <f t="shared" si="21"/>
        <v>U</v>
      </c>
      <c r="Y92" s="1250">
        <f ca="1">IF($F92=0,1,VLOOKUP($F92,LISTEN!$C$6:$D$14,2,FALSE))</f>
        <v>1</v>
      </c>
    </row>
    <row r="93" spans="1:25" ht="15" customHeight="1" x14ac:dyDescent="0.25">
      <c r="A93" s="402"/>
      <c r="B93" s="1394">
        <v>1</v>
      </c>
      <c r="C93" s="324"/>
      <c r="D93" s="324"/>
      <c r="E93" s="420" t="s">
        <v>318</v>
      </c>
      <c r="F93" s="1195">
        <f ca="1">IF(V93="E",VLOOKUP(B93,LISTEN!$B$6:$C$14,2,FALSE),VLOOKUP(S93,LISTEN!$B$6:$C$14,2,FALSE))</f>
        <v>0</v>
      </c>
      <c r="G93" s="1145"/>
      <c r="H93" s="1187"/>
      <c r="I93" s="1255">
        <v>1</v>
      </c>
      <c r="J93" s="393">
        <f t="shared" ca="1" si="17"/>
        <v>0</v>
      </c>
      <c r="K93" s="403"/>
      <c r="L93" s="403"/>
      <c r="M93" s="403"/>
      <c r="N93" s="403"/>
      <c r="O93" s="403"/>
      <c r="P93" s="403"/>
      <c r="Q93" s="1165"/>
      <c r="R93" s="327">
        <f t="shared" si="22"/>
        <v>31</v>
      </c>
      <c r="S93" s="1250">
        <f t="shared" ca="1" si="24"/>
        <v>1</v>
      </c>
      <c r="T93" s="1249">
        <f t="shared" ca="1" si="19"/>
        <v>0</v>
      </c>
      <c r="V93" s="1250" t="str">
        <f t="shared" si="25"/>
        <v>U</v>
      </c>
      <c r="W93" s="1249" t="str">
        <f t="shared" si="21"/>
        <v>U</v>
      </c>
      <c r="Y93" s="1250">
        <f ca="1">IF($F93=0,1,VLOOKUP($F93,LISTEN!$C$6:$D$14,2,FALSE))</f>
        <v>1</v>
      </c>
    </row>
    <row r="94" spans="1:25" ht="15" customHeight="1" thickBot="1" x14ac:dyDescent="0.3">
      <c r="A94" s="402"/>
      <c r="B94" s="1394">
        <v>1</v>
      </c>
      <c r="C94" s="405"/>
      <c r="D94" s="405"/>
      <c r="E94" s="421" t="s">
        <v>91</v>
      </c>
      <c r="F94" s="1196">
        <f ca="1">IF(V94="E",VLOOKUP(B94,LISTEN!$B$6:$C$14,2,FALSE),VLOOKUP(S94,LISTEN!$B$6:$C$14,2,FALSE))</f>
        <v>0</v>
      </c>
      <c r="G94" s="1145"/>
      <c r="H94" s="955"/>
      <c r="I94" s="1257">
        <v>1</v>
      </c>
      <c r="J94" s="394">
        <f t="shared" ca="1" si="17"/>
        <v>0</v>
      </c>
      <c r="K94" s="403"/>
      <c r="L94" s="403"/>
      <c r="M94" s="403"/>
      <c r="N94" s="403"/>
      <c r="O94" s="403"/>
      <c r="P94" s="403"/>
      <c r="Q94" s="1165"/>
      <c r="R94" s="327">
        <f t="shared" si="22"/>
        <v>32</v>
      </c>
      <c r="S94" s="1250">
        <f t="shared" ca="1" si="24"/>
        <v>1</v>
      </c>
      <c r="T94" s="1249">
        <f t="shared" ca="1" si="19"/>
        <v>0</v>
      </c>
      <c r="V94" s="1250" t="str">
        <f t="shared" si="25"/>
        <v>U</v>
      </c>
      <c r="W94" s="1249" t="str">
        <f t="shared" si="21"/>
        <v>U</v>
      </c>
      <c r="Y94" s="1250">
        <f ca="1">IF($F94=0,1,VLOOKUP($F94,LISTEN!$C$6:$D$14,2,FALSE))</f>
        <v>1</v>
      </c>
    </row>
    <row r="95" spans="1:25" ht="15" x14ac:dyDescent="0.25">
      <c r="A95" s="402"/>
      <c r="B95" s="1151"/>
      <c r="C95" s="1151"/>
      <c r="D95" s="1151"/>
      <c r="E95" s="1151"/>
      <c r="F95" s="416"/>
      <c r="G95" s="323"/>
      <c r="H95" s="328"/>
      <c r="I95" s="328"/>
      <c r="J95" s="419"/>
      <c r="K95" s="403"/>
      <c r="L95" s="403"/>
      <c r="M95" s="403"/>
      <c r="N95" s="403"/>
      <c r="O95" s="403"/>
      <c r="P95" s="403"/>
      <c r="Q95" s="1165"/>
      <c r="R95" s="327">
        <f>R94+1</f>
        <v>33</v>
      </c>
      <c r="S95" s="1247"/>
      <c r="T95" s="1247"/>
      <c r="V95" s="1247"/>
      <c r="W95" s="1247"/>
      <c r="Y95" s="1247"/>
    </row>
    <row r="96" spans="1:25" ht="15" x14ac:dyDescent="0.25">
      <c r="A96" s="402"/>
      <c r="B96" s="1151"/>
      <c r="C96" s="1151"/>
      <c r="D96" s="1151"/>
      <c r="E96" s="1151"/>
      <c r="F96" s="416"/>
      <c r="G96" s="1163"/>
      <c r="H96" s="328"/>
      <c r="I96" s="328"/>
      <c r="J96" s="419"/>
      <c r="K96" s="403"/>
      <c r="L96" s="418" t="s">
        <v>785</v>
      </c>
      <c r="M96" s="1151"/>
      <c r="N96" s="403"/>
      <c r="O96" s="403"/>
      <c r="P96" s="403"/>
      <c r="Q96" s="1165"/>
      <c r="R96" s="327">
        <f t="shared" ref="R96:R99" si="26">R95+1</f>
        <v>34</v>
      </c>
      <c r="S96" s="1247"/>
      <c r="T96" s="1247"/>
      <c r="V96" s="1247"/>
      <c r="W96" s="1247"/>
      <c r="Y96" s="1247"/>
    </row>
    <row r="97" spans="1:25" ht="15.75" thickBot="1" x14ac:dyDescent="0.3">
      <c r="A97" s="402"/>
      <c r="B97" s="418"/>
      <c r="C97" s="1151"/>
      <c r="D97" s="1151"/>
      <c r="E97" s="1149"/>
      <c r="F97" s="471" t="s">
        <v>167</v>
      </c>
      <c r="G97" s="1156"/>
      <c r="H97" s="1184" t="s">
        <v>123</v>
      </c>
      <c r="I97" s="471"/>
      <c r="J97" s="419" t="s">
        <v>123</v>
      </c>
      <c r="K97" s="403"/>
      <c r="L97" s="1151" t="s">
        <v>775</v>
      </c>
      <c r="M97" s="1151"/>
      <c r="N97" s="403"/>
      <c r="O97" s="403"/>
      <c r="P97" s="403"/>
      <c r="Q97" s="1165"/>
      <c r="R97" s="327">
        <f t="shared" si="26"/>
        <v>35</v>
      </c>
      <c r="S97" s="1247"/>
      <c r="T97" s="1247"/>
      <c r="V97" s="1247"/>
      <c r="W97" s="1247"/>
      <c r="Y97" s="1247"/>
    </row>
    <row r="98" spans="1:25" ht="15" x14ac:dyDescent="0.25">
      <c r="A98" s="402"/>
      <c r="B98" s="1151"/>
      <c r="C98" s="405"/>
      <c r="D98" s="405"/>
      <c r="E98" s="425" t="s">
        <v>533</v>
      </c>
      <c r="F98" s="1162" t="s">
        <v>730</v>
      </c>
      <c r="G98" s="1162" t="s">
        <v>487</v>
      </c>
      <c r="H98" s="1155"/>
      <c r="I98" s="1183"/>
      <c r="J98" s="1244">
        <f t="shared" ref="J98:J99" ca="1" si="27">IF(W98="E",H98,T98)</f>
        <v>0</v>
      </c>
      <c r="K98" s="403"/>
      <c r="L98" s="1589" t="s">
        <v>774</v>
      </c>
      <c r="M98" s="1589"/>
      <c r="N98" s="1589"/>
      <c r="O98" s="403"/>
      <c r="P98" s="403"/>
      <c r="Q98" s="1165"/>
      <c r="R98" s="327">
        <f t="shared" si="26"/>
        <v>36</v>
      </c>
      <c r="S98" s="1247"/>
      <c r="T98" s="1249">
        <f t="shared" ref="T98:T99" ca="1" si="28">IF($U$71=1,"",INDIRECT("Z"&amp;R98&amp;"S"&amp;$T$21,))</f>
        <v>0</v>
      </c>
      <c r="V98" s="1247"/>
      <c r="W98" s="1249" t="str">
        <f t="shared" ref="W98:W99" si="29">IF($T$71=$S$14,"E",IF(ISNUMBER(H98),"E","U"))</f>
        <v>U</v>
      </c>
      <c r="Y98" s="1247"/>
    </row>
    <row r="99" spans="1:25" ht="15.75" thickBot="1" x14ac:dyDescent="0.3">
      <c r="A99" s="402"/>
      <c r="B99" s="1151"/>
      <c r="C99" s="1151"/>
      <c r="D99" s="1151"/>
      <c r="E99" s="1151"/>
      <c r="F99" s="1245"/>
      <c r="G99" s="1162" t="s">
        <v>776</v>
      </c>
      <c r="H99" s="1155"/>
      <c r="I99" s="1183"/>
      <c r="J99" s="1246">
        <f t="shared" ca="1" si="27"/>
        <v>0</v>
      </c>
      <c r="K99" s="403"/>
      <c r="L99" s="403"/>
      <c r="M99" s="403"/>
      <c r="N99" s="403"/>
      <c r="O99" s="403"/>
      <c r="P99" s="403"/>
      <c r="Q99" s="1165"/>
      <c r="R99" s="327">
        <f t="shared" si="26"/>
        <v>37</v>
      </c>
      <c r="S99" s="1247"/>
      <c r="T99" s="1249">
        <f t="shared" ca="1" si="28"/>
        <v>0</v>
      </c>
      <c r="V99" s="1247"/>
      <c r="W99" s="1249" t="str">
        <f t="shared" si="29"/>
        <v>U</v>
      </c>
      <c r="Y99" s="1247"/>
    </row>
    <row r="100" spans="1:25" ht="15" x14ac:dyDescent="0.25">
      <c r="A100" s="402"/>
      <c r="B100" s="1151"/>
      <c r="C100" s="1151"/>
      <c r="D100" s="1151"/>
      <c r="E100" s="1151"/>
      <c r="F100" s="426"/>
      <c r="G100" s="324"/>
      <c r="H100" s="324"/>
      <c r="I100" s="324"/>
      <c r="J100" s="427"/>
      <c r="K100" s="403"/>
      <c r="L100" s="403"/>
      <c r="M100" s="403"/>
      <c r="N100" s="403"/>
      <c r="O100" s="403"/>
      <c r="P100" s="403"/>
      <c r="Q100" s="1165"/>
    </row>
    <row r="101" spans="1:25" ht="15" x14ac:dyDescent="0.25">
      <c r="A101" s="402"/>
      <c r="B101" s="1151"/>
      <c r="C101" s="1151"/>
      <c r="D101" s="1151"/>
      <c r="E101" s="1151"/>
      <c r="F101" s="316"/>
      <c r="G101" s="316"/>
      <c r="H101" s="316"/>
      <c r="I101" s="316"/>
      <c r="J101" s="403"/>
      <c r="K101" s="403"/>
      <c r="L101" s="403"/>
      <c r="M101" s="403"/>
      <c r="N101" s="403"/>
      <c r="O101" s="403"/>
      <c r="P101" s="403"/>
      <c r="Q101" s="1165"/>
      <c r="U101" s="327" t="s">
        <v>820</v>
      </c>
    </row>
    <row r="102" spans="1:25" ht="39.950000000000003" customHeight="1" x14ac:dyDescent="0.25">
      <c r="A102" s="440"/>
      <c r="B102" s="1171" t="str">
        <f>"Energiekennwert Variante 4: "&amp;'1. Projektangaben'!$E$26</f>
        <v>Energiekennwert Variante 4: PHWRGSo</v>
      </c>
      <c r="C102" s="1165"/>
      <c r="D102" s="1165"/>
      <c r="E102" s="1165"/>
      <c r="F102" s="1165"/>
      <c r="G102" s="1165"/>
      <c r="H102" s="1165"/>
      <c r="I102" s="1165"/>
      <c r="J102" s="1165"/>
      <c r="K102" s="1165"/>
      <c r="L102" s="1165"/>
      <c r="M102" s="1165"/>
      <c r="N102" s="1165"/>
      <c r="O102" s="1165"/>
      <c r="P102" s="1165"/>
      <c r="Q102" s="1165"/>
      <c r="S102" s="327" t="s">
        <v>815</v>
      </c>
      <c r="T102" s="327" t="str">
        <f>VLOOKUP(U102,$R$14:$S$18,2,FALSE)</f>
        <v>Variante 1</v>
      </c>
      <c r="U102" s="1387">
        <v>2</v>
      </c>
    </row>
    <row r="103" spans="1:25" ht="15" x14ac:dyDescent="0.25">
      <c r="A103" s="402"/>
      <c r="B103" s="413"/>
      <c r="C103" s="1150"/>
      <c r="D103" s="1150"/>
      <c r="E103" s="414"/>
      <c r="F103" s="323"/>
      <c r="G103" s="323"/>
      <c r="H103" s="323"/>
      <c r="I103" s="323"/>
      <c r="J103" s="322"/>
      <c r="K103" s="403"/>
      <c r="L103" s="403"/>
      <c r="M103" s="403"/>
      <c r="N103" s="403"/>
      <c r="O103" s="403"/>
      <c r="P103" s="403"/>
      <c r="Q103" s="1165"/>
      <c r="S103" s="327" t="s">
        <v>813</v>
      </c>
      <c r="T103" s="327">
        <f>VLOOKUP(T102,$S$13:$U$18,2,FALSE)</f>
        <v>15</v>
      </c>
      <c r="V103" s="460" t="s">
        <v>721</v>
      </c>
    </row>
    <row r="104" spans="1:25" ht="15" x14ac:dyDescent="0.25">
      <c r="A104" s="402"/>
      <c r="B104" s="413"/>
      <c r="C104" s="1150"/>
      <c r="D104" s="1150"/>
      <c r="E104" s="1251" t="s">
        <v>812</v>
      </c>
      <c r="F104" s="1484" t="s">
        <v>107</v>
      </c>
      <c r="G104" s="1485"/>
      <c r="H104" s="1485"/>
      <c r="I104" s="1485"/>
      <c r="J104" s="1590"/>
      <c r="K104" s="403"/>
      <c r="L104" s="403"/>
      <c r="M104" s="403"/>
      <c r="N104" s="403"/>
      <c r="O104" s="403"/>
      <c r="P104" s="403"/>
      <c r="Q104" s="1165"/>
      <c r="S104" s="327" t="s">
        <v>814</v>
      </c>
      <c r="T104" s="327">
        <f>VLOOKUP(T102,$S$13:$U$18,3,FALSE)</f>
        <v>37</v>
      </c>
      <c r="V104" s="1078" t="s">
        <v>722</v>
      </c>
    </row>
    <row r="105" spans="1:25" ht="15.75" thickBot="1" x14ac:dyDescent="0.3">
      <c r="A105" s="402"/>
      <c r="B105" s="1592" t="s">
        <v>811</v>
      </c>
      <c r="C105" s="1150"/>
      <c r="D105" s="1150"/>
      <c r="E105" s="414"/>
      <c r="F105" s="1487" t="str">
        <f>IF('1. Projektangaben'!C26="","",'1. Projektangaben'!C26)</f>
        <v>PH-WDVS-WP-WRG-mittl.Sol-ohne PV</v>
      </c>
      <c r="G105" s="1488"/>
      <c r="H105" s="1488"/>
      <c r="I105" s="1488"/>
      <c r="J105" s="1569"/>
      <c r="K105" s="403"/>
      <c r="L105" s="403"/>
      <c r="M105" s="403"/>
      <c r="N105" s="403"/>
      <c r="O105" s="403"/>
      <c r="P105" s="403"/>
      <c r="Q105" s="1165"/>
    </row>
    <row r="106" spans="1:25" ht="15" x14ac:dyDescent="0.25">
      <c r="A106" s="402"/>
      <c r="B106" s="1592"/>
      <c r="C106" s="1151"/>
      <c r="D106" s="1151"/>
      <c r="E106" s="1160"/>
      <c r="F106" s="1146" t="s">
        <v>92</v>
      </c>
      <c r="G106" s="1147" t="s">
        <v>308</v>
      </c>
      <c r="H106" s="1147" t="s">
        <v>331</v>
      </c>
      <c r="I106" s="1147" t="s">
        <v>310</v>
      </c>
      <c r="J106" s="1189" t="s">
        <v>166</v>
      </c>
      <c r="K106" s="403"/>
      <c r="L106" s="403"/>
      <c r="M106" s="1235" t="s">
        <v>809</v>
      </c>
      <c r="N106" s="1236" t="str">
        <f>VLOOKUP('1. Projektangaben'!$AA$25,LISTEN!$E$16:$G$18,3,FALSE)</f>
        <v>Energiebezugsfläche</v>
      </c>
      <c r="O106" s="403"/>
      <c r="P106" s="403"/>
      <c r="Q106" s="1165"/>
    </row>
    <row r="107" spans="1:25" ht="15.75" thickBot="1" x14ac:dyDescent="0.3">
      <c r="A107" s="402"/>
      <c r="B107" s="1592"/>
      <c r="C107" s="1151"/>
      <c r="D107" s="1151"/>
      <c r="E107" s="1151"/>
      <c r="F107" s="1144"/>
      <c r="G107" s="398"/>
      <c r="H107" s="398" t="s">
        <v>121</v>
      </c>
      <c r="I107" s="398" t="s">
        <v>309</v>
      </c>
      <c r="J107" s="1190" t="s">
        <v>121</v>
      </c>
      <c r="K107" s="403"/>
      <c r="L107" s="403"/>
      <c r="M107" s="403"/>
      <c r="N107" s="403"/>
      <c r="O107" s="403"/>
      <c r="P107" s="403"/>
      <c r="Q107" s="1165"/>
      <c r="S107" s="618" t="s">
        <v>840</v>
      </c>
      <c r="T107" s="1248" t="s">
        <v>166</v>
      </c>
      <c r="V107" s="618" t="s">
        <v>811</v>
      </c>
      <c r="W107" s="1248" t="s">
        <v>166</v>
      </c>
      <c r="Y107" s="618" t="s">
        <v>835</v>
      </c>
    </row>
    <row r="108" spans="1:25" ht="15" customHeight="1" x14ac:dyDescent="0.25">
      <c r="A108" s="402"/>
      <c r="B108" s="1394">
        <v>1</v>
      </c>
      <c r="C108" s="324"/>
      <c r="D108" s="324"/>
      <c r="E108" s="420" t="s">
        <v>117</v>
      </c>
      <c r="F108" s="1195" t="str">
        <f ca="1">IF(V108="E",VLOOKUP(B108,LISTEN!$B$6:$C$14,2,FALSE),VLOOKUP(S108,LISTEN!$B$6:$C$14,2,FALSE))</f>
        <v>Wärmepumpenstrom</v>
      </c>
      <c r="G108" s="1145"/>
      <c r="H108" s="955">
        <v>5.64</v>
      </c>
      <c r="I108" s="1252">
        <v>1</v>
      </c>
      <c r="J108" s="1188">
        <f>IF(W108="E",H108/I108,T108)</f>
        <v>5.64</v>
      </c>
      <c r="K108" s="403"/>
      <c r="L108" s="403"/>
      <c r="M108" s="403"/>
      <c r="N108" s="403"/>
      <c r="O108" s="403"/>
      <c r="P108" s="403"/>
      <c r="Q108" s="1165"/>
      <c r="R108" s="327">
        <f>T103</f>
        <v>15</v>
      </c>
      <c r="S108" s="1250">
        <f ca="1">IF($U$102=1,"",INDIRECT("Z"&amp;R108&amp;"S"&amp;$Y$10,))</f>
        <v>9</v>
      </c>
      <c r="T108" s="1249">
        <f ca="1">IF($U$102=1,"",INDIRECT("Z"&amp;R108&amp;"S"&amp;$T$21,))</f>
        <v>23.23</v>
      </c>
      <c r="V108" s="1250" t="str">
        <f>IF($T$102=$S$14,"E",IF(B108&gt;1,"E","U"))</f>
        <v>U</v>
      </c>
      <c r="W108" s="1249" t="str">
        <f>IF($T$102=$S$14,"E",IF(ISNUMBER(H108),"E","U"))</f>
        <v>E</v>
      </c>
      <c r="Y108" s="1250">
        <f ca="1">IF($F108=0,1,VLOOKUP($F108,LISTEN!$C$6:$D$14,2,FALSE))</f>
        <v>9</v>
      </c>
    </row>
    <row r="109" spans="1:25" ht="15" customHeight="1" x14ac:dyDescent="0.25">
      <c r="A109" s="402"/>
      <c r="B109" s="1394">
        <v>1</v>
      </c>
      <c r="C109" s="405"/>
      <c r="D109" s="405"/>
      <c r="E109" s="421" t="s">
        <v>311</v>
      </c>
      <c r="F109" s="1195">
        <f ca="1">IF(V109="E",VLOOKUP(B109,LISTEN!$B$6:$C$14,2,FALSE),VLOOKUP(S109,LISTEN!$B$6:$C$14,2,FALSE))</f>
        <v>0</v>
      </c>
      <c r="G109" s="1145"/>
      <c r="H109" s="1185"/>
      <c r="I109" s="1253">
        <v>1</v>
      </c>
      <c r="J109" s="392">
        <f t="shared" ref="J109:J125" ca="1" si="30">IF(W109="E",H109/I109,T109)</f>
        <v>0</v>
      </c>
      <c r="K109" s="403"/>
      <c r="L109" s="403"/>
      <c r="M109" s="403"/>
      <c r="N109" s="403"/>
      <c r="O109" s="403"/>
      <c r="P109" s="403"/>
      <c r="Q109" s="1165"/>
      <c r="R109" s="327">
        <f>R108+1</f>
        <v>16</v>
      </c>
      <c r="S109" s="1250">
        <f t="shared" ref="S109:S113" ca="1" si="31">IF($U$102=1,"",INDIRECT("Z"&amp;R109&amp;"S"&amp;$Y$10,))</f>
        <v>1</v>
      </c>
      <c r="T109" s="1249">
        <f t="shared" ref="T109:T125" ca="1" si="32">IF($U$102=1,"",INDIRECT("Z"&amp;R109&amp;"S"&amp;$T$21,))</f>
        <v>0</v>
      </c>
      <c r="V109" s="1250" t="str">
        <f t="shared" ref="V109:V113" si="33">IF($T$102=$S$14,"E",IF(B109&gt;1,"E","U"))</f>
        <v>U</v>
      </c>
      <c r="W109" s="1249" t="str">
        <f t="shared" ref="W109:W122" si="34">IF($T$102=$S$14,"E",IF(ISNUMBER(H109),"E","U"))</f>
        <v>U</v>
      </c>
      <c r="Y109" s="1250">
        <f ca="1">IF($F109=0,1,VLOOKUP($F109,LISTEN!$C$6:$D$14,2,FALSE))</f>
        <v>1</v>
      </c>
    </row>
    <row r="110" spans="1:25" ht="15" customHeight="1" x14ac:dyDescent="0.25">
      <c r="A110" s="402"/>
      <c r="B110" s="1394">
        <v>1</v>
      </c>
      <c r="C110" s="405"/>
      <c r="D110" s="405"/>
      <c r="E110" s="421" t="s">
        <v>118</v>
      </c>
      <c r="F110" s="1195" t="str">
        <f ca="1">IF(V110="E",VLOOKUP(B110,LISTEN!$B$6:$C$14,2,FALSE),VLOOKUP(S110,LISTEN!$B$6:$C$14,2,FALSE))</f>
        <v>Wärmepumpenstrom</v>
      </c>
      <c r="G110" s="1145"/>
      <c r="H110" s="955">
        <v>6.1</v>
      </c>
      <c r="I110" s="1252">
        <v>1</v>
      </c>
      <c r="J110" s="392">
        <f t="shared" si="30"/>
        <v>6.1</v>
      </c>
      <c r="K110" s="403"/>
      <c r="L110" s="403"/>
      <c r="M110" s="403"/>
      <c r="N110" s="403"/>
      <c r="O110" s="403"/>
      <c r="P110" s="403"/>
      <c r="Q110" s="1165"/>
      <c r="R110" s="327">
        <f t="shared" ref="R110:R125" si="35">R109+1</f>
        <v>17</v>
      </c>
      <c r="S110" s="1250">
        <f t="shared" ca="1" si="31"/>
        <v>9</v>
      </c>
      <c r="T110" s="1249">
        <f t="shared" ca="1" si="32"/>
        <v>18.27</v>
      </c>
      <c r="V110" s="1250" t="str">
        <f t="shared" si="33"/>
        <v>U</v>
      </c>
      <c r="W110" s="1249" t="str">
        <f t="shared" si="34"/>
        <v>E</v>
      </c>
      <c r="Y110" s="1250">
        <f ca="1">IF($F110=0,1,VLOOKUP($F110,LISTEN!$C$6:$D$14,2,FALSE))</f>
        <v>9</v>
      </c>
    </row>
    <row r="111" spans="1:25" ht="15" customHeight="1" x14ac:dyDescent="0.25">
      <c r="A111" s="402"/>
      <c r="B111" s="1394">
        <v>1</v>
      </c>
      <c r="C111" s="405"/>
      <c r="D111" s="405"/>
      <c r="E111" s="421" t="s">
        <v>312</v>
      </c>
      <c r="F111" s="1195">
        <f ca="1">IF(V111="E",VLOOKUP(B111,LISTEN!$B$6:$C$14,2,FALSE),VLOOKUP(S111,LISTEN!$B$6:$C$14,2,FALSE))</f>
        <v>0</v>
      </c>
      <c r="G111" s="1145"/>
      <c r="H111" s="1186"/>
      <c r="I111" s="1254">
        <v>1</v>
      </c>
      <c r="J111" s="392">
        <f t="shared" ca="1" si="30"/>
        <v>0</v>
      </c>
      <c r="K111" s="403"/>
      <c r="L111" s="403"/>
      <c r="M111" s="403"/>
      <c r="N111" s="403"/>
      <c r="O111" s="403"/>
      <c r="P111" s="403"/>
      <c r="Q111" s="1165"/>
      <c r="R111" s="327">
        <f t="shared" si="35"/>
        <v>18</v>
      </c>
      <c r="S111" s="1250">
        <f t="shared" ca="1" si="31"/>
        <v>1</v>
      </c>
      <c r="T111" s="1249">
        <f t="shared" ca="1" si="32"/>
        <v>0</v>
      </c>
      <c r="V111" s="1250" t="str">
        <f t="shared" si="33"/>
        <v>U</v>
      </c>
      <c r="W111" s="1249" t="str">
        <f t="shared" si="34"/>
        <v>U</v>
      </c>
      <c r="Y111" s="1250">
        <f ca="1">IF($F111=0,1,VLOOKUP($F111,LISTEN!$C$6:$D$14,2,FALSE))</f>
        <v>1</v>
      </c>
    </row>
    <row r="112" spans="1:25" ht="15" customHeight="1" x14ac:dyDescent="0.25">
      <c r="A112" s="402"/>
      <c r="B112" s="1394">
        <v>1</v>
      </c>
      <c r="C112" s="405"/>
      <c r="D112" s="405"/>
      <c r="E112" s="421" t="s">
        <v>337</v>
      </c>
      <c r="F112" s="1195">
        <f ca="1">IF(V112="E",VLOOKUP(B112,LISTEN!$B$6:$C$14,2,FALSE),VLOOKUP(S112,LISTEN!$B$6:$C$14,2,FALSE))</f>
        <v>0</v>
      </c>
      <c r="G112" s="1145"/>
      <c r="H112" s="1186"/>
      <c r="I112" s="1254">
        <v>1</v>
      </c>
      <c r="J112" s="392">
        <f t="shared" ca="1" si="30"/>
        <v>0</v>
      </c>
      <c r="K112" s="403"/>
      <c r="L112" s="403"/>
      <c r="M112" s="403"/>
      <c r="N112" s="403"/>
      <c r="O112" s="403"/>
      <c r="P112" s="403"/>
      <c r="Q112" s="1165"/>
      <c r="R112" s="327">
        <f t="shared" si="35"/>
        <v>19</v>
      </c>
      <c r="S112" s="1250">
        <f t="shared" ca="1" si="31"/>
        <v>1</v>
      </c>
      <c r="T112" s="1249">
        <f t="shared" ca="1" si="32"/>
        <v>0</v>
      </c>
      <c r="V112" s="1250" t="str">
        <f t="shared" si="33"/>
        <v>U</v>
      </c>
      <c r="W112" s="1249" t="str">
        <f t="shared" si="34"/>
        <v>U</v>
      </c>
      <c r="Y112" s="1250">
        <f ca="1">IF($F112=0,1,VLOOKUP($F112,LISTEN!$C$6:$D$14,2,FALSE))</f>
        <v>1</v>
      </c>
    </row>
    <row r="113" spans="1:25" ht="15" customHeight="1" x14ac:dyDescent="0.25">
      <c r="A113" s="402"/>
      <c r="B113" s="1394">
        <v>1</v>
      </c>
      <c r="C113" s="405"/>
      <c r="D113" s="405"/>
      <c r="E113" s="421" t="s">
        <v>315</v>
      </c>
      <c r="F113" s="1195">
        <f ca="1">IF(V113="E",VLOOKUP(B113,LISTEN!$B$6:$C$14,2,FALSE),VLOOKUP(S113,LISTEN!$B$6:$C$14,2,FALSE))</f>
        <v>0</v>
      </c>
      <c r="G113" s="1145"/>
      <c r="H113" s="1186"/>
      <c r="I113" s="1253">
        <v>1</v>
      </c>
      <c r="J113" s="392">
        <f t="shared" ca="1" si="30"/>
        <v>0</v>
      </c>
      <c r="K113" s="403"/>
      <c r="L113" s="403"/>
      <c r="M113" s="403"/>
      <c r="N113" s="403"/>
      <c r="O113" s="403"/>
      <c r="P113" s="403"/>
      <c r="Q113" s="1165"/>
      <c r="R113" s="327">
        <f t="shared" si="35"/>
        <v>20</v>
      </c>
      <c r="S113" s="1250">
        <f t="shared" ca="1" si="31"/>
        <v>1</v>
      </c>
      <c r="T113" s="1249">
        <f t="shared" ca="1" si="32"/>
        <v>0</v>
      </c>
      <c r="V113" s="1250" t="str">
        <f t="shared" si="33"/>
        <v>U</v>
      </c>
      <c r="W113" s="1249" t="str">
        <f t="shared" si="34"/>
        <v>U</v>
      </c>
      <c r="Y113" s="1250">
        <f ca="1">IF($F113=0,1,VLOOKUP($F113,LISTEN!$C$6:$D$14,2,FALSE))</f>
        <v>1</v>
      </c>
    </row>
    <row r="114" spans="1:25" ht="15" customHeight="1" x14ac:dyDescent="0.25">
      <c r="A114" s="402"/>
      <c r="B114" s="1394">
        <v>8</v>
      </c>
      <c r="C114" s="405"/>
      <c r="D114" s="405"/>
      <c r="E114" s="421" t="s">
        <v>313</v>
      </c>
      <c r="F114" s="1203" t="s">
        <v>82</v>
      </c>
      <c r="G114" s="1145"/>
      <c r="H114" s="1186">
        <v>0.74</v>
      </c>
      <c r="I114" s="1182"/>
      <c r="J114" s="392">
        <f>IF(W114="E",H114,T114)</f>
        <v>0.74</v>
      </c>
      <c r="K114" s="403"/>
      <c r="L114" s="403"/>
      <c r="M114" s="403"/>
      <c r="N114" s="403"/>
      <c r="O114" s="403"/>
      <c r="P114" s="403"/>
      <c r="Q114" s="1165"/>
      <c r="R114" s="327">
        <f t="shared" si="35"/>
        <v>21</v>
      </c>
      <c r="S114" s="1247"/>
      <c r="T114" s="1249">
        <f t="shared" ca="1" si="32"/>
        <v>0.96</v>
      </c>
      <c r="V114" s="1247"/>
      <c r="W114" s="1249" t="str">
        <f t="shared" si="34"/>
        <v>E</v>
      </c>
      <c r="Y114" s="1247"/>
    </row>
    <row r="115" spans="1:25" ht="15" customHeight="1" x14ac:dyDescent="0.25">
      <c r="A115" s="402"/>
      <c r="B115" s="1394">
        <v>8</v>
      </c>
      <c r="C115" s="324"/>
      <c r="D115" s="324"/>
      <c r="E115" s="420" t="s">
        <v>341</v>
      </c>
      <c r="F115" s="1203" t="s">
        <v>82</v>
      </c>
      <c r="G115" s="1145"/>
      <c r="H115" s="1186">
        <v>0.5</v>
      </c>
      <c r="I115" s="1183"/>
      <c r="J115" s="392">
        <f t="shared" ref="J115:J122" si="36">IF(W115="E",H115,T115)</f>
        <v>0.5</v>
      </c>
      <c r="K115" s="403"/>
      <c r="L115" s="403"/>
      <c r="M115" s="403"/>
      <c r="N115" s="403"/>
      <c r="O115" s="403"/>
      <c r="P115" s="403"/>
      <c r="Q115" s="1165"/>
      <c r="R115" s="327">
        <f t="shared" si="35"/>
        <v>22</v>
      </c>
      <c r="S115" s="1247"/>
      <c r="T115" s="1249">
        <f t="shared" ca="1" si="32"/>
        <v>0.5</v>
      </c>
      <c r="V115" s="1247"/>
      <c r="W115" s="1249" t="str">
        <f t="shared" si="34"/>
        <v>E</v>
      </c>
      <c r="Y115" s="1247"/>
    </row>
    <row r="116" spans="1:25" ht="15" customHeight="1" x14ac:dyDescent="0.25">
      <c r="A116" s="402"/>
      <c r="B116" s="1394">
        <v>8</v>
      </c>
      <c r="C116" s="405"/>
      <c r="D116" s="405"/>
      <c r="E116" s="421" t="s">
        <v>314</v>
      </c>
      <c r="F116" s="1203" t="s">
        <v>82</v>
      </c>
      <c r="G116" s="1145"/>
      <c r="H116" s="1186"/>
      <c r="I116" s="1183"/>
      <c r="J116" s="392">
        <f t="shared" ca="1" si="36"/>
        <v>0</v>
      </c>
      <c r="K116" s="403"/>
      <c r="L116" s="403"/>
      <c r="M116" s="403"/>
      <c r="N116" s="403"/>
      <c r="O116" s="403"/>
      <c r="P116" s="403"/>
      <c r="Q116" s="1165"/>
      <c r="R116" s="327">
        <f t="shared" si="35"/>
        <v>23</v>
      </c>
      <c r="S116" s="1247"/>
      <c r="T116" s="1249">
        <f t="shared" ca="1" si="32"/>
        <v>0</v>
      </c>
      <c r="V116" s="1247"/>
      <c r="W116" s="1249" t="str">
        <f t="shared" si="34"/>
        <v>U</v>
      </c>
      <c r="Y116" s="1247"/>
    </row>
    <row r="117" spans="1:25" ht="15" customHeight="1" x14ac:dyDescent="0.25">
      <c r="A117" s="402"/>
      <c r="B117" s="1394">
        <v>8</v>
      </c>
      <c r="C117" s="324"/>
      <c r="D117" s="324"/>
      <c r="E117" s="420" t="s">
        <v>340</v>
      </c>
      <c r="F117" s="1203" t="s">
        <v>82</v>
      </c>
      <c r="G117" s="1145"/>
      <c r="H117" s="1186"/>
      <c r="I117" s="1183"/>
      <c r="J117" s="392">
        <f t="shared" ca="1" si="36"/>
        <v>0</v>
      </c>
      <c r="K117" s="403"/>
      <c r="L117" s="403"/>
      <c r="M117" s="403"/>
      <c r="N117" s="403"/>
      <c r="O117" s="403"/>
      <c r="P117" s="403"/>
      <c r="Q117" s="1165"/>
      <c r="R117" s="327">
        <f t="shared" si="35"/>
        <v>24</v>
      </c>
      <c r="S117" s="1247"/>
      <c r="T117" s="1249">
        <f t="shared" ca="1" si="32"/>
        <v>0</v>
      </c>
      <c r="V117" s="1247"/>
      <c r="W117" s="1249" t="str">
        <f t="shared" si="34"/>
        <v>U</v>
      </c>
      <c r="Y117" s="1247"/>
    </row>
    <row r="118" spans="1:25" ht="15" customHeight="1" x14ac:dyDescent="0.25">
      <c r="A118" s="402"/>
      <c r="B118" s="1394">
        <v>8</v>
      </c>
      <c r="C118" s="324"/>
      <c r="D118" s="324"/>
      <c r="E118" s="420" t="s">
        <v>339</v>
      </c>
      <c r="F118" s="1203" t="s">
        <v>82</v>
      </c>
      <c r="G118" s="1145"/>
      <c r="H118" s="1186">
        <v>3.2</v>
      </c>
      <c r="I118" s="1183"/>
      <c r="J118" s="392">
        <f t="shared" si="36"/>
        <v>3.2</v>
      </c>
      <c r="K118" s="403"/>
      <c r="L118" s="403"/>
      <c r="M118" s="403"/>
      <c r="N118" s="403"/>
      <c r="O118" s="403"/>
      <c r="P118" s="403"/>
      <c r="Q118" s="1165"/>
      <c r="R118" s="327">
        <f t="shared" si="35"/>
        <v>25</v>
      </c>
      <c r="S118" s="1247"/>
      <c r="T118" s="1249">
        <f t="shared" ca="1" si="32"/>
        <v>1.4</v>
      </c>
      <c r="V118" s="1247"/>
      <c r="W118" s="1249" t="str">
        <f t="shared" si="34"/>
        <v>E</v>
      </c>
      <c r="Y118" s="1247"/>
    </row>
    <row r="119" spans="1:25" ht="15" customHeight="1" x14ac:dyDescent="0.25">
      <c r="A119" s="402"/>
      <c r="B119" s="1394">
        <v>8</v>
      </c>
      <c r="C119" s="324"/>
      <c r="D119" s="324"/>
      <c r="E119" s="423" t="s">
        <v>338</v>
      </c>
      <c r="F119" s="1203" t="s">
        <v>82</v>
      </c>
      <c r="G119" s="1145"/>
      <c r="H119" s="1186"/>
      <c r="I119" s="1183"/>
      <c r="J119" s="392">
        <f t="shared" ca="1" si="36"/>
        <v>0</v>
      </c>
      <c r="K119" s="403"/>
      <c r="L119" s="403"/>
      <c r="M119" s="403"/>
      <c r="N119" s="403"/>
      <c r="O119" s="403"/>
      <c r="P119" s="403"/>
      <c r="Q119" s="1165"/>
      <c r="R119" s="327">
        <f t="shared" si="35"/>
        <v>26</v>
      </c>
      <c r="S119" s="1247"/>
      <c r="T119" s="1249">
        <f t="shared" ca="1" si="32"/>
        <v>0</v>
      </c>
      <c r="V119" s="1247"/>
      <c r="W119" s="1249" t="str">
        <f t="shared" si="34"/>
        <v>U</v>
      </c>
      <c r="Y119" s="1247"/>
    </row>
    <row r="120" spans="1:25" ht="15" customHeight="1" x14ac:dyDescent="0.25">
      <c r="A120" s="402"/>
      <c r="B120" s="1394">
        <v>8</v>
      </c>
      <c r="C120" s="405"/>
      <c r="D120" s="405"/>
      <c r="E120" s="421" t="s">
        <v>316</v>
      </c>
      <c r="F120" s="1203" t="s">
        <v>82</v>
      </c>
      <c r="G120" s="1145"/>
      <c r="H120" s="1186"/>
      <c r="I120" s="1183"/>
      <c r="J120" s="392">
        <f t="shared" ca="1" si="36"/>
        <v>0</v>
      </c>
      <c r="K120" s="403"/>
      <c r="L120" s="403"/>
      <c r="M120" s="403"/>
      <c r="N120" s="403"/>
      <c r="O120" s="403"/>
      <c r="P120" s="403"/>
      <c r="Q120" s="1165"/>
      <c r="R120" s="327">
        <f t="shared" si="35"/>
        <v>27</v>
      </c>
      <c r="S120" s="1247"/>
      <c r="T120" s="1249">
        <f t="shared" ca="1" si="32"/>
        <v>0</v>
      </c>
      <c r="V120" s="1247"/>
      <c r="W120" s="1249" t="str">
        <f t="shared" si="34"/>
        <v>U</v>
      </c>
      <c r="Y120" s="1247"/>
    </row>
    <row r="121" spans="1:25" ht="15" customHeight="1" x14ac:dyDescent="0.25">
      <c r="A121" s="402"/>
      <c r="B121" s="1394">
        <v>8</v>
      </c>
      <c r="C121" s="324"/>
      <c r="D121" s="324"/>
      <c r="E121" s="420" t="s">
        <v>302</v>
      </c>
      <c r="F121" s="1203" t="s">
        <v>82</v>
      </c>
      <c r="G121" s="1145"/>
      <c r="H121" s="1186"/>
      <c r="I121" s="1183"/>
      <c r="J121" s="392">
        <f t="shared" ca="1" si="36"/>
        <v>0</v>
      </c>
      <c r="K121" s="403"/>
      <c r="L121" s="403"/>
      <c r="M121" s="403"/>
      <c r="N121" s="403"/>
      <c r="O121" s="403"/>
      <c r="P121" s="403"/>
      <c r="Q121" s="1165"/>
      <c r="R121" s="327">
        <f t="shared" si="35"/>
        <v>28</v>
      </c>
      <c r="S121" s="1247"/>
      <c r="T121" s="1249">
        <f t="shared" ca="1" si="32"/>
        <v>0</v>
      </c>
      <c r="V121" s="1247"/>
      <c r="W121" s="1249" t="str">
        <f t="shared" si="34"/>
        <v>U</v>
      </c>
      <c r="Y121" s="1247"/>
    </row>
    <row r="122" spans="1:25" ht="15" customHeight="1" x14ac:dyDescent="0.25">
      <c r="A122" s="402"/>
      <c r="B122" s="1394">
        <v>8</v>
      </c>
      <c r="C122" s="324"/>
      <c r="D122" s="324"/>
      <c r="E122" s="423" t="s">
        <v>460</v>
      </c>
      <c r="F122" s="1203" t="s">
        <v>82</v>
      </c>
      <c r="G122" s="1145"/>
      <c r="H122" s="1186"/>
      <c r="I122" s="1184"/>
      <c r="J122" s="392">
        <f t="shared" ca="1" si="36"/>
        <v>25</v>
      </c>
      <c r="K122" s="403"/>
      <c r="L122" s="403"/>
      <c r="M122" s="403"/>
      <c r="N122" s="403"/>
      <c r="O122" s="403"/>
      <c r="P122" s="403"/>
      <c r="Q122" s="1165"/>
      <c r="R122" s="327">
        <f t="shared" si="35"/>
        <v>29</v>
      </c>
      <c r="S122" s="1247"/>
      <c r="T122" s="1249">
        <f t="shared" ca="1" si="32"/>
        <v>25</v>
      </c>
      <c r="V122" s="1247"/>
      <c r="W122" s="1249" t="str">
        <f t="shared" si="34"/>
        <v>U</v>
      </c>
      <c r="Y122" s="1247"/>
    </row>
    <row r="123" spans="1:25" ht="15" customHeight="1" x14ac:dyDescent="0.25">
      <c r="A123" s="402"/>
      <c r="B123" s="1394">
        <v>1</v>
      </c>
      <c r="C123" s="405"/>
      <c r="D123" s="405"/>
      <c r="E123" s="421" t="s">
        <v>317</v>
      </c>
      <c r="F123" s="1195">
        <f ca="1">IF(V123="E",VLOOKUP(B123,LISTEN!$B$6:$C$14,2,FALSE),VLOOKUP(S123,LISTEN!$B$6:$C$14,2,FALSE))</f>
        <v>0</v>
      </c>
      <c r="G123" s="1145"/>
      <c r="H123" s="1187"/>
      <c r="I123" s="1253">
        <v>1</v>
      </c>
      <c r="J123" s="393">
        <f t="shared" ca="1" si="30"/>
        <v>0</v>
      </c>
      <c r="K123" s="403"/>
      <c r="L123" s="403"/>
      <c r="M123" s="403"/>
      <c r="N123" s="403"/>
      <c r="O123" s="403"/>
      <c r="P123" s="403"/>
      <c r="Q123" s="1165"/>
      <c r="R123" s="327">
        <f t="shared" si="35"/>
        <v>30</v>
      </c>
      <c r="S123" s="1250">
        <f t="shared" ref="S123:S125" ca="1" si="37">IF($U$102=1,"",INDIRECT("Z"&amp;R123&amp;"S"&amp;$Y$10,))</f>
        <v>1</v>
      </c>
      <c r="T123" s="1249">
        <f t="shared" ca="1" si="32"/>
        <v>0</v>
      </c>
      <c r="V123" s="1250" t="str">
        <f t="shared" ref="V123:V125" si="38">IF($T$102=$S$14,"E",IF(B123&gt;1,"E","U"))</f>
        <v>U</v>
      </c>
      <c r="W123" s="1249" t="str">
        <f t="shared" ref="W123:W125" si="39">IF($T$102=$S$14,"E",IF(ISNUMBER(H123),"E","U"))</f>
        <v>U</v>
      </c>
      <c r="Y123" s="1250">
        <f ca="1">IF($F123=0,1,VLOOKUP($F123,LISTEN!$C$6:$D$14,2,FALSE))</f>
        <v>1</v>
      </c>
    </row>
    <row r="124" spans="1:25" ht="15" customHeight="1" x14ac:dyDescent="0.25">
      <c r="A124" s="402"/>
      <c r="B124" s="1394">
        <v>1</v>
      </c>
      <c r="C124" s="324"/>
      <c r="D124" s="324"/>
      <c r="E124" s="420" t="s">
        <v>318</v>
      </c>
      <c r="F124" s="1195">
        <f ca="1">IF(V124="E",VLOOKUP(B124,LISTEN!$B$6:$C$14,2,FALSE),VLOOKUP(S124,LISTEN!$B$6:$C$14,2,FALSE))</f>
        <v>0</v>
      </c>
      <c r="G124" s="1145"/>
      <c r="H124" s="1187"/>
      <c r="I124" s="1255">
        <v>1</v>
      </c>
      <c r="J124" s="393">
        <f t="shared" ca="1" si="30"/>
        <v>0</v>
      </c>
      <c r="K124" s="403"/>
      <c r="L124" s="403"/>
      <c r="M124" s="403"/>
      <c r="N124" s="403"/>
      <c r="O124" s="403"/>
      <c r="P124" s="403"/>
      <c r="Q124" s="1165"/>
      <c r="R124" s="327">
        <f t="shared" si="35"/>
        <v>31</v>
      </c>
      <c r="S124" s="1250">
        <f t="shared" ca="1" si="37"/>
        <v>1</v>
      </c>
      <c r="T124" s="1249">
        <f t="shared" ca="1" si="32"/>
        <v>0</v>
      </c>
      <c r="V124" s="1250" t="str">
        <f t="shared" si="38"/>
        <v>U</v>
      </c>
      <c r="W124" s="1249" t="str">
        <f t="shared" si="39"/>
        <v>U</v>
      </c>
      <c r="Y124" s="1250">
        <f ca="1">IF($F124=0,1,VLOOKUP($F124,LISTEN!$C$6:$D$14,2,FALSE))</f>
        <v>1</v>
      </c>
    </row>
    <row r="125" spans="1:25" ht="15" customHeight="1" thickBot="1" x14ac:dyDescent="0.3">
      <c r="A125" s="402"/>
      <c r="B125" s="1394">
        <v>1</v>
      </c>
      <c r="C125" s="405"/>
      <c r="D125" s="405"/>
      <c r="E125" s="421" t="s">
        <v>91</v>
      </c>
      <c r="F125" s="1196">
        <f ca="1">IF(V125="E",VLOOKUP(B125,LISTEN!$B$6:$C$14,2,FALSE),VLOOKUP(S125,LISTEN!$B$6:$C$14,2,FALSE))</f>
        <v>0</v>
      </c>
      <c r="G125" s="1145"/>
      <c r="H125" s="955"/>
      <c r="I125" s="1257">
        <v>1</v>
      </c>
      <c r="J125" s="394">
        <f t="shared" ca="1" si="30"/>
        <v>0</v>
      </c>
      <c r="K125" s="403"/>
      <c r="L125" s="403"/>
      <c r="M125" s="403"/>
      <c r="N125" s="403"/>
      <c r="O125" s="403"/>
      <c r="P125" s="403"/>
      <c r="Q125" s="1165"/>
      <c r="R125" s="327">
        <f t="shared" si="35"/>
        <v>32</v>
      </c>
      <c r="S125" s="1250">
        <f t="shared" ca="1" si="37"/>
        <v>1</v>
      </c>
      <c r="T125" s="1249">
        <f t="shared" ca="1" si="32"/>
        <v>0</v>
      </c>
      <c r="V125" s="1250" t="str">
        <f t="shared" si="38"/>
        <v>U</v>
      </c>
      <c r="W125" s="1249" t="str">
        <f t="shared" si="39"/>
        <v>U</v>
      </c>
      <c r="Y125" s="1250">
        <f ca="1">IF($F125=0,1,VLOOKUP($F125,LISTEN!$C$6:$D$14,2,FALSE))</f>
        <v>1</v>
      </c>
    </row>
    <row r="126" spans="1:25" ht="15" x14ac:dyDescent="0.25">
      <c r="A126" s="402"/>
      <c r="B126" s="1151"/>
      <c r="C126" s="1151"/>
      <c r="D126" s="1151"/>
      <c r="E126" s="1151"/>
      <c r="F126" s="416"/>
      <c r="G126" s="323"/>
      <c r="H126" s="328"/>
      <c r="I126" s="328"/>
      <c r="J126" s="419"/>
      <c r="K126" s="403"/>
      <c r="L126" s="403"/>
      <c r="M126" s="403"/>
      <c r="N126" s="403"/>
      <c r="O126" s="403"/>
      <c r="P126" s="403"/>
      <c r="Q126" s="1165"/>
      <c r="R126" s="327">
        <f>R125+1</f>
        <v>33</v>
      </c>
      <c r="S126" s="1247"/>
      <c r="T126" s="1247"/>
      <c r="V126" s="1247"/>
      <c r="W126" s="1247"/>
      <c r="Y126" s="1247"/>
    </row>
    <row r="127" spans="1:25" ht="15" x14ac:dyDescent="0.25">
      <c r="A127" s="402"/>
      <c r="B127" s="1151"/>
      <c r="C127" s="1151"/>
      <c r="D127" s="1151"/>
      <c r="E127" s="1151"/>
      <c r="F127" s="416"/>
      <c r="G127" s="1163"/>
      <c r="H127" s="328"/>
      <c r="I127" s="328"/>
      <c r="J127" s="419"/>
      <c r="K127" s="403"/>
      <c r="L127" s="418" t="s">
        <v>785</v>
      </c>
      <c r="M127" s="1151"/>
      <c r="N127" s="403"/>
      <c r="O127" s="403"/>
      <c r="P127" s="403"/>
      <c r="Q127" s="1165"/>
      <c r="R127" s="327">
        <f t="shared" ref="R127:R130" si="40">R126+1</f>
        <v>34</v>
      </c>
      <c r="S127" s="1247"/>
      <c r="T127" s="1247"/>
      <c r="V127" s="1247"/>
      <c r="W127" s="1247"/>
      <c r="Y127" s="1247"/>
    </row>
    <row r="128" spans="1:25" ht="15.75" thickBot="1" x14ac:dyDescent="0.3">
      <c r="A128" s="402"/>
      <c r="B128" s="418"/>
      <c r="C128" s="1151"/>
      <c r="D128" s="1151"/>
      <c r="E128" s="1149"/>
      <c r="F128" s="471" t="s">
        <v>167</v>
      </c>
      <c r="G128" s="1156"/>
      <c r="H128" s="1184" t="s">
        <v>123</v>
      </c>
      <c r="I128" s="471"/>
      <c r="J128" s="419" t="s">
        <v>123</v>
      </c>
      <c r="K128" s="403"/>
      <c r="L128" s="1151" t="s">
        <v>775</v>
      </c>
      <c r="M128" s="1151"/>
      <c r="N128" s="403"/>
      <c r="O128" s="403"/>
      <c r="P128" s="403"/>
      <c r="Q128" s="1165"/>
      <c r="R128" s="327">
        <f t="shared" si="40"/>
        <v>35</v>
      </c>
      <c r="S128" s="1247"/>
      <c r="T128" s="1247"/>
      <c r="V128" s="1247"/>
      <c r="W128" s="1247"/>
      <c r="Y128" s="1247"/>
    </row>
    <row r="129" spans="1:25" ht="15" x14ac:dyDescent="0.25">
      <c r="A129" s="402"/>
      <c r="B129" s="1151"/>
      <c r="C129" s="405"/>
      <c r="D129" s="405"/>
      <c r="E129" s="425" t="s">
        <v>533</v>
      </c>
      <c r="F129" s="1162" t="s">
        <v>730</v>
      </c>
      <c r="G129" s="1162" t="s">
        <v>487</v>
      </c>
      <c r="H129" s="1155"/>
      <c r="I129" s="1183"/>
      <c r="J129" s="1244">
        <f t="shared" ref="J129:J130" ca="1" si="41">IF(W129="E",H129,T129)</f>
        <v>0</v>
      </c>
      <c r="K129" s="403"/>
      <c r="L129" s="1589" t="s">
        <v>774</v>
      </c>
      <c r="M129" s="1589"/>
      <c r="N129" s="1589"/>
      <c r="O129" s="403"/>
      <c r="P129" s="403"/>
      <c r="Q129" s="1165"/>
      <c r="R129" s="327">
        <f t="shared" si="40"/>
        <v>36</v>
      </c>
      <c r="S129" s="1247"/>
      <c r="T129" s="1249">
        <f t="shared" ref="T129:T130" ca="1" si="42">IF($U$102=1,"",INDIRECT("Z"&amp;R129&amp;"S"&amp;$T$21,))</f>
        <v>0</v>
      </c>
      <c r="V129" s="1247"/>
      <c r="W129" s="1249" t="str">
        <f t="shared" ref="W129:W130" si="43">IF($T$102=$S$14,"E",IF(ISNUMBER(H129),"E","U"))</f>
        <v>U</v>
      </c>
      <c r="Y129" s="1247"/>
    </row>
    <row r="130" spans="1:25" ht="15.75" thickBot="1" x14ac:dyDescent="0.3">
      <c r="A130" s="402"/>
      <c r="B130" s="1151"/>
      <c r="C130" s="1151"/>
      <c r="D130" s="1151"/>
      <c r="E130" s="1151"/>
      <c r="F130" s="1245"/>
      <c r="G130" s="1162" t="s">
        <v>776</v>
      </c>
      <c r="H130" s="1155"/>
      <c r="I130" s="1183"/>
      <c r="J130" s="1246">
        <f t="shared" ca="1" si="41"/>
        <v>0</v>
      </c>
      <c r="K130" s="403"/>
      <c r="L130" s="403"/>
      <c r="M130" s="403"/>
      <c r="N130" s="403"/>
      <c r="O130" s="403"/>
      <c r="P130" s="403"/>
      <c r="Q130" s="1165"/>
      <c r="R130" s="327">
        <f t="shared" si="40"/>
        <v>37</v>
      </c>
      <c r="S130" s="1247"/>
      <c r="T130" s="1249">
        <f t="shared" ca="1" si="42"/>
        <v>0</v>
      </c>
      <c r="V130" s="1247"/>
      <c r="W130" s="1249" t="str">
        <f t="shared" si="43"/>
        <v>U</v>
      </c>
      <c r="Y130" s="1247"/>
    </row>
    <row r="131" spans="1:25" ht="15" x14ac:dyDescent="0.25">
      <c r="A131" s="402"/>
      <c r="B131" s="1151"/>
      <c r="C131" s="1151"/>
      <c r="D131" s="1151"/>
      <c r="E131" s="1151"/>
      <c r="F131" s="426"/>
      <c r="G131" s="324"/>
      <c r="H131" s="324"/>
      <c r="I131" s="324"/>
      <c r="J131" s="427"/>
      <c r="K131" s="403"/>
      <c r="L131" s="403"/>
      <c r="M131" s="403"/>
      <c r="N131" s="403"/>
      <c r="O131" s="403"/>
      <c r="P131" s="403"/>
      <c r="Q131" s="1165"/>
    </row>
    <row r="132" spans="1:25" ht="15" x14ac:dyDescent="0.25">
      <c r="A132" s="402"/>
      <c r="B132" s="1151"/>
      <c r="C132" s="1151"/>
      <c r="D132" s="1151"/>
      <c r="E132" s="1151"/>
      <c r="F132" s="316"/>
      <c r="G132" s="316"/>
      <c r="H132" s="316"/>
      <c r="I132" s="316"/>
      <c r="J132" s="403"/>
      <c r="K132" s="403"/>
      <c r="L132" s="403"/>
      <c r="M132" s="403"/>
      <c r="N132" s="403"/>
      <c r="O132" s="403"/>
      <c r="P132" s="403"/>
      <c r="Q132" s="1165"/>
      <c r="U132" s="327" t="s">
        <v>820</v>
      </c>
    </row>
    <row r="133" spans="1:25" ht="39.950000000000003" customHeight="1" x14ac:dyDescent="0.25">
      <c r="A133" s="440"/>
      <c r="B133" s="1171" t="str">
        <f>"Energiekennwert Variante 5: "&amp;'1. Projektangaben'!$E$27</f>
        <v>Energiekennwert Variante 5: PHWRGSoPV</v>
      </c>
      <c r="C133" s="1165"/>
      <c r="D133" s="1165"/>
      <c r="E133" s="1165"/>
      <c r="F133" s="1165"/>
      <c r="G133" s="1165"/>
      <c r="H133" s="1165"/>
      <c r="I133" s="1165"/>
      <c r="J133" s="1165"/>
      <c r="K133" s="1165"/>
      <c r="L133" s="1165"/>
      <c r="M133" s="1165"/>
      <c r="N133" s="1165"/>
      <c r="O133" s="1165"/>
      <c r="P133" s="1165"/>
      <c r="Q133" s="1165"/>
      <c r="S133" s="327" t="s">
        <v>815</v>
      </c>
      <c r="T133" s="327" t="str">
        <f>VLOOKUP(U133,$R$14:$S$18,2,FALSE)</f>
        <v>Variante 4</v>
      </c>
      <c r="U133" s="1387">
        <v>5</v>
      </c>
    </row>
    <row r="134" spans="1:25" ht="15" x14ac:dyDescent="0.25">
      <c r="A134" s="402"/>
      <c r="B134" s="413"/>
      <c r="C134" s="1150"/>
      <c r="D134" s="1150"/>
      <c r="E134" s="414"/>
      <c r="F134" s="323"/>
      <c r="G134" s="323"/>
      <c r="H134" s="323"/>
      <c r="I134" s="323"/>
      <c r="J134" s="322"/>
      <c r="K134" s="403"/>
      <c r="L134" s="403"/>
      <c r="M134" s="403"/>
      <c r="N134" s="403"/>
      <c r="O134" s="403"/>
      <c r="P134" s="403"/>
      <c r="Q134" s="1165"/>
      <c r="S134" s="327" t="s">
        <v>813</v>
      </c>
      <c r="T134" s="327">
        <f>VLOOKUP(T133,$S$13:$U$18,2,FALSE)</f>
        <v>108</v>
      </c>
      <c r="V134" s="460" t="s">
        <v>721</v>
      </c>
    </row>
    <row r="135" spans="1:25" ht="15" x14ac:dyDescent="0.25">
      <c r="A135" s="402"/>
      <c r="B135" s="413"/>
      <c r="C135" s="1150"/>
      <c r="D135" s="1150"/>
      <c r="E135" s="1251" t="s">
        <v>812</v>
      </c>
      <c r="F135" s="1484" t="s">
        <v>108</v>
      </c>
      <c r="G135" s="1485"/>
      <c r="H135" s="1485"/>
      <c r="I135" s="1485"/>
      <c r="J135" s="1590"/>
      <c r="K135" s="403"/>
      <c r="L135" s="403"/>
      <c r="M135" s="403"/>
      <c r="N135" s="403"/>
      <c r="O135" s="403"/>
      <c r="P135" s="403"/>
      <c r="Q135" s="1165"/>
      <c r="S135" s="327" t="s">
        <v>814</v>
      </c>
      <c r="T135" s="327">
        <f>VLOOKUP(T133,$S$13:$U$18,3,FALSE)</f>
        <v>130</v>
      </c>
      <c r="V135" s="1078" t="s">
        <v>722</v>
      </c>
    </row>
    <row r="136" spans="1:25" ht="15.75" thickBot="1" x14ac:dyDescent="0.3">
      <c r="A136" s="402"/>
      <c r="B136" s="1592" t="s">
        <v>811</v>
      </c>
      <c r="C136" s="1150"/>
      <c r="D136" s="1150"/>
      <c r="E136" s="414"/>
      <c r="F136" s="1487" t="str">
        <f>IF('1. Projektangaben'!C27="","",'1. Projektangaben'!C27)</f>
        <v>PH-WDVS-WP-WRG-mittl.Sol-mit PV</v>
      </c>
      <c r="G136" s="1488"/>
      <c r="H136" s="1488"/>
      <c r="I136" s="1488"/>
      <c r="J136" s="1591"/>
      <c r="K136" s="403"/>
      <c r="L136" s="403"/>
      <c r="M136" s="403"/>
      <c r="N136" s="403"/>
      <c r="O136" s="403"/>
      <c r="P136" s="403"/>
      <c r="Q136" s="1165"/>
    </row>
    <row r="137" spans="1:25" ht="15" x14ac:dyDescent="0.25">
      <c r="A137" s="402"/>
      <c r="B137" s="1592"/>
      <c r="C137" s="1151"/>
      <c r="D137" s="1151"/>
      <c r="E137" s="1151"/>
      <c r="F137" s="1146" t="s">
        <v>92</v>
      </c>
      <c r="G137" s="1147" t="s">
        <v>308</v>
      </c>
      <c r="H137" s="1147" t="s">
        <v>331</v>
      </c>
      <c r="I137" s="1147" t="s">
        <v>310</v>
      </c>
      <c r="J137" s="1189" t="s">
        <v>166</v>
      </c>
      <c r="K137" s="403"/>
      <c r="L137" s="403"/>
      <c r="M137" s="1235" t="s">
        <v>809</v>
      </c>
      <c r="N137" s="1236" t="str">
        <f>VLOOKUP('1. Projektangaben'!$AA$25,LISTEN!$E$16:$G$18,3,FALSE)</f>
        <v>Energiebezugsfläche</v>
      </c>
      <c r="O137" s="403"/>
      <c r="P137" s="403"/>
      <c r="Q137" s="1165"/>
    </row>
    <row r="138" spans="1:25" ht="15.75" thickBot="1" x14ac:dyDescent="0.3">
      <c r="A138" s="402"/>
      <c r="B138" s="1592"/>
      <c r="C138" s="1151"/>
      <c r="D138" s="1151"/>
      <c r="E138" s="1151"/>
      <c r="F138" s="1144"/>
      <c r="G138" s="398"/>
      <c r="H138" s="398" t="s">
        <v>121</v>
      </c>
      <c r="I138" s="398" t="s">
        <v>309</v>
      </c>
      <c r="J138" s="1190" t="s">
        <v>121</v>
      </c>
      <c r="K138" s="403"/>
      <c r="L138" s="403"/>
      <c r="M138" s="403"/>
      <c r="N138" s="403"/>
      <c r="O138" s="403"/>
      <c r="P138" s="403"/>
      <c r="Q138" s="1165"/>
      <c r="S138" s="618" t="s">
        <v>840</v>
      </c>
      <c r="T138" s="1248" t="s">
        <v>166</v>
      </c>
      <c r="V138" s="618" t="s">
        <v>811</v>
      </c>
      <c r="W138" s="1248" t="s">
        <v>166</v>
      </c>
      <c r="Y138" s="618" t="s">
        <v>836</v>
      </c>
    </row>
    <row r="139" spans="1:25" ht="15" customHeight="1" x14ac:dyDescent="0.25">
      <c r="A139" s="402"/>
      <c r="B139" s="1394">
        <v>1</v>
      </c>
      <c r="C139" s="324"/>
      <c r="D139" s="324"/>
      <c r="E139" s="420" t="s">
        <v>117</v>
      </c>
      <c r="F139" s="1195" t="str">
        <f ca="1">IF(V139="E",VLOOKUP(B139,LISTEN!$B$6:$C$14,2,FALSE),VLOOKUP(S139,LISTEN!$B$6:$C$14,2,FALSE))</f>
        <v>Wärmepumpenstrom</v>
      </c>
      <c r="G139" s="1145"/>
      <c r="H139" s="955"/>
      <c r="I139" s="1252">
        <v>1</v>
      </c>
      <c r="J139" s="1188">
        <f ca="1">IF(W139="E",H139/I139,T139)</f>
        <v>5.64</v>
      </c>
      <c r="K139" s="403"/>
      <c r="L139" s="403"/>
      <c r="M139" s="403"/>
      <c r="N139" s="403"/>
      <c r="O139" s="403"/>
      <c r="P139" s="403"/>
      <c r="Q139" s="1165"/>
      <c r="R139" s="327">
        <f>T134</f>
        <v>108</v>
      </c>
      <c r="S139" s="1250">
        <f ca="1">IF($U$133=1,"",INDIRECT("Z"&amp;R139&amp;"S"&amp;$Y$10,))</f>
        <v>9</v>
      </c>
      <c r="T139" s="1249">
        <f ca="1">IF($U$133=1,"",INDIRECT("Z"&amp;R139&amp;"S"&amp;$T$21,))</f>
        <v>5.64</v>
      </c>
      <c r="V139" s="1250" t="str">
        <f>IF($T$133=$S$14,"E",IF(B139&gt;1,"E","U"))</f>
        <v>U</v>
      </c>
      <c r="W139" s="1249" t="str">
        <f>IF($T$133=$S$14,"E",IF(ISNUMBER(H139),"E","U"))</f>
        <v>U</v>
      </c>
      <c r="Y139" s="1250">
        <f ca="1">IF($F139=0,1,VLOOKUP($F139,LISTEN!$C$6:$D$14,2,FALSE))</f>
        <v>9</v>
      </c>
    </row>
    <row r="140" spans="1:25" ht="15" customHeight="1" x14ac:dyDescent="0.25">
      <c r="A140" s="402"/>
      <c r="B140" s="1394">
        <v>1</v>
      </c>
      <c r="C140" s="405"/>
      <c r="D140" s="405"/>
      <c r="E140" s="421" t="s">
        <v>311</v>
      </c>
      <c r="F140" s="1195">
        <f ca="1">IF(V140="E",VLOOKUP(B140,LISTEN!$B$6:$C$14,2,FALSE),VLOOKUP(S140,LISTEN!$B$6:$C$14,2,FALSE))</f>
        <v>0</v>
      </c>
      <c r="G140" s="1145"/>
      <c r="H140" s="1185"/>
      <c r="I140" s="1253">
        <v>1</v>
      </c>
      <c r="J140" s="392">
        <f t="shared" ref="J140:J156" ca="1" si="44">IF(W140="E",H140/I140,T140)</f>
        <v>0</v>
      </c>
      <c r="K140" s="403"/>
      <c r="L140" s="403"/>
      <c r="M140" s="403"/>
      <c r="N140" s="403"/>
      <c r="O140" s="403"/>
      <c r="P140" s="403"/>
      <c r="Q140" s="1165"/>
      <c r="R140" s="327">
        <f>R139+1</f>
        <v>109</v>
      </c>
      <c r="S140" s="1250">
        <f t="shared" ref="S140:S144" ca="1" si="45">IF($U$133=1,"",INDIRECT("Z"&amp;R140&amp;"S"&amp;$Y$10,))</f>
        <v>1</v>
      </c>
      <c r="T140" s="1249">
        <f t="shared" ref="T140:T156" ca="1" si="46">IF($U$133=1,"",INDIRECT("Z"&amp;R140&amp;"S"&amp;$T$21,))</f>
        <v>0</v>
      </c>
      <c r="V140" s="1250" t="str">
        <f t="shared" ref="V140:V144" si="47">IF($T$133=$S$14,"E",IF(B140&gt;1,"E","U"))</f>
        <v>U</v>
      </c>
      <c r="W140" s="1249" t="str">
        <f t="shared" ref="W140:W161" si="48">IF($T$133=$S$14,"E",IF(ISNUMBER(H140),"E","U"))</f>
        <v>U</v>
      </c>
      <c r="Y140" s="1250">
        <f ca="1">IF($F140=0,1,VLOOKUP($F140,LISTEN!$C$6:$D$14,2,FALSE))</f>
        <v>1</v>
      </c>
    </row>
    <row r="141" spans="1:25" ht="15" customHeight="1" x14ac:dyDescent="0.25">
      <c r="A141" s="402"/>
      <c r="B141" s="1394">
        <v>1</v>
      </c>
      <c r="C141" s="405"/>
      <c r="D141" s="405"/>
      <c r="E141" s="421" t="s">
        <v>118</v>
      </c>
      <c r="F141" s="1195" t="str">
        <f ca="1">IF(V141="E",VLOOKUP(B141,LISTEN!$B$6:$C$14,2,FALSE),VLOOKUP(S141,LISTEN!$B$6:$C$14,2,FALSE))</f>
        <v>Wärmepumpenstrom</v>
      </c>
      <c r="G141" s="1145"/>
      <c r="H141" s="955"/>
      <c r="I141" s="1252">
        <v>1</v>
      </c>
      <c r="J141" s="392">
        <f t="shared" ca="1" si="44"/>
        <v>6.1</v>
      </c>
      <c r="K141" s="403"/>
      <c r="L141" s="403"/>
      <c r="M141" s="403"/>
      <c r="N141" s="403"/>
      <c r="O141" s="403"/>
      <c r="P141" s="403"/>
      <c r="Q141" s="1165"/>
      <c r="R141" s="327">
        <f t="shared" ref="R141:R161" si="49">R140+1</f>
        <v>110</v>
      </c>
      <c r="S141" s="1250">
        <f t="shared" ca="1" si="45"/>
        <v>9</v>
      </c>
      <c r="T141" s="1249">
        <f t="shared" ca="1" si="46"/>
        <v>6.1</v>
      </c>
      <c r="V141" s="1250" t="str">
        <f t="shared" si="47"/>
        <v>U</v>
      </c>
      <c r="W141" s="1249" t="str">
        <f t="shared" si="48"/>
        <v>U</v>
      </c>
      <c r="Y141" s="1250">
        <f ca="1">IF($F141=0,1,VLOOKUP($F141,LISTEN!$C$6:$D$14,2,FALSE))</f>
        <v>9</v>
      </c>
    </row>
    <row r="142" spans="1:25" ht="15" customHeight="1" x14ac:dyDescent="0.25">
      <c r="A142" s="402"/>
      <c r="B142" s="1394">
        <v>1</v>
      </c>
      <c r="C142" s="405"/>
      <c r="D142" s="405"/>
      <c r="E142" s="421" t="s">
        <v>312</v>
      </c>
      <c r="F142" s="1195">
        <f ca="1">IF(V142="E",VLOOKUP(B142,LISTEN!$B$6:$C$14,2,FALSE),VLOOKUP(S142,LISTEN!$B$6:$C$14,2,FALSE))</f>
        <v>0</v>
      </c>
      <c r="G142" s="1145"/>
      <c r="H142" s="1186"/>
      <c r="I142" s="1254">
        <v>1</v>
      </c>
      <c r="J142" s="392">
        <f t="shared" ca="1" si="44"/>
        <v>0</v>
      </c>
      <c r="K142" s="403"/>
      <c r="L142" s="403"/>
      <c r="M142" s="403"/>
      <c r="N142" s="403"/>
      <c r="O142" s="403"/>
      <c r="P142" s="403"/>
      <c r="Q142" s="1165"/>
      <c r="R142" s="327">
        <f t="shared" si="49"/>
        <v>111</v>
      </c>
      <c r="S142" s="1250">
        <f t="shared" ca="1" si="45"/>
        <v>1</v>
      </c>
      <c r="T142" s="1249">
        <f t="shared" ca="1" si="46"/>
        <v>0</v>
      </c>
      <c r="V142" s="1250" t="str">
        <f t="shared" si="47"/>
        <v>U</v>
      </c>
      <c r="W142" s="1249" t="str">
        <f t="shared" si="48"/>
        <v>U</v>
      </c>
      <c r="Y142" s="1250">
        <f ca="1">IF($F142=0,1,VLOOKUP($F142,LISTEN!$C$6:$D$14,2,FALSE))</f>
        <v>1</v>
      </c>
    </row>
    <row r="143" spans="1:25" ht="15" customHeight="1" x14ac:dyDescent="0.25">
      <c r="A143" s="402"/>
      <c r="B143" s="1394">
        <v>1</v>
      </c>
      <c r="C143" s="405"/>
      <c r="D143" s="405"/>
      <c r="E143" s="421" t="s">
        <v>337</v>
      </c>
      <c r="F143" s="1195">
        <f ca="1">IF(V143="E",VLOOKUP(B143,LISTEN!$B$6:$C$14,2,FALSE),VLOOKUP(S143,LISTEN!$B$6:$C$14,2,FALSE))</f>
        <v>0</v>
      </c>
      <c r="G143" s="1145"/>
      <c r="H143" s="1186"/>
      <c r="I143" s="1254">
        <v>1</v>
      </c>
      <c r="J143" s="392">
        <f t="shared" ca="1" si="44"/>
        <v>0</v>
      </c>
      <c r="K143" s="403"/>
      <c r="L143" s="403"/>
      <c r="M143" s="403"/>
      <c r="N143" s="403"/>
      <c r="O143" s="403"/>
      <c r="P143" s="403"/>
      <c r="Q143" s="1165"/>
      <c r="R143" s="327">
        <f t="shared" si="49"/>
        <v>112</v>
      </c>
      <c r="S143" s="1250">
        <f t="shared" ca="1" si="45"/>
        <v>1</v>
      </c>
      <c r="T143" s="1249">
        <f t="shared" ca="1" si="46"/>
        <v>0</v>
      </c>
      <c r="V143" s="1250" t="str">
        <f t="shared" si="47"/>
        <v>U</v>
      </c>
      <c r="W143" s="1249" t="str">
        <f t="shared" si="48"/>
        <v>U</v>
      </c>
      <c r="Y143" s="1250">
        <f ca="1">IF($F143=0,1,VLOOKUP($F143,LISTEN!$C$6:$D$14,2,FALSE))</f>
        <v>1</v>
      </c>
    </row>
    <row r="144" spans="1:25" ht="15" customHeight="1" x14ac:dyDescent="0.25">
      <c r="A144" s="402"/>
      <c r="B144" s="1394">
        <v>1</v>
      </c>
      <c r="C144" s="405"/>
      <c r="D144" s="405"/>
      <c r="E144" s="421" t="s">
        <v>315</v>
      </c>
      <c r="F144" s="1195">
        <f ca="1">IF(V144="E",VLOOKUP(B144,LISTEN!$B$6:$C$14,2,FALSE),VLOOKUP(S144,LISTEN!$B$6:$C$14,2,FALSE))</f>
        <v>0</v>
      </c>
      <c r="G144" s="1145"/>
      <c r="H144" s="1186"/>
      <c r="I144" s="1253">
        <v>1</v>
      </c>
      <c r="J144" s="392">
        <f t="shared" ca="1" si="44"/>
        <v>0</v>
      </c>
      <c r="K144" s="403"/>
      <c r="L144" s="403"/>
      <c r="M144" s="403"/>
      <c r="N144" s="403"/>
      <c r="O144" s="403"/>
      <c r="P144" s="403"/>
      <c r="Q144" s="1165"/>
      <c r="R144" s="327">
        <f t="shared" si="49"/>
        <v>113</v>
      </c>
      <c r="S144" s="1250">
        <f t="shared" ca="1" si="45"/>
        <v>1</v>
      </c>
      <c r="T144" s="1249">
        <f t="shared" ca="1" si="46"/>
        <v>0</v>
      </c>
      <c r="V144" s="1250" t="str">
        <f t="shared" si="47"/>
        <v>U</v>
      </c>
      <c r="W144" s="1249" t="str">
        <f t="shared" si="48"/>
        <v>U</v>
      </c>
      <c r="Y144" s="1250">
        <f ca="1">IF($F144=0,1,VLOOKUP($F144,LISTEN!$C$6:$D$14,2,FALSE))</f>
        <v>1</v>
      </c>
    </row>
    <row r="145" spans="1:25" ht="15" customHeight="1" x14ac:dyDescent="0.25">
      <c r="A145" s="402"/>
      <c r="B145" s="1394">
        <v>8</v>
      </c>
      <c r="C145" s="405"/>
      <c r="D145" s="405"/>
      <c r="E145" s="421" t="s">
        <v>313</v>
      </c>
      <c r="F145" s="1203" t="s">
        <v>82</v>
      </c>
      <c r="G145" s="1145"/>
      <c r="H145" s="1186"/>
      <c r="I145" s="424"/>
      <c r="J145" s="392">
        <f ca="1">IF(W145="E",H145,T145)</f>
        <v>0.74</v>
      </c>
      <c r="K145" s="403"/>
      <c r="L145" s="403"/>
      <c r="M145" s="403"/>
      <c r="N145" s="403"/>
      <c r="O145" s="403"/>
      <c r="P145" s="403"/>
      <c r="Q145" s="1165"/>
      <c r="R145" s="327">
        <f t="shared" si="49"/>
        <v>114</v>
      </c>
      <c r="S145" s="1247"/>
      <c r="T145" s="1249">
        <f t="shared" ca="1" si="46"/>
        <v>0.74</v>
      </c>
      <c r="V145" s="1247"/>
      <c r="W145" s="1249" t="str">
        <f t="shared" si="48"/>
        <v>U</v>
      </c>
      <c r="Y145" s="1247"/>
    </row>
    <row r="146" spans="1:25" ht="15" customHeight="1" x14ac:dyDescent="0.25">
      <c r="A146" s="402"/>
      <c r="B146" s="1394">
        <v>8</v>
      </c>
      <c r="C146" s="324"/>
      <c r="D146" s="324"/>
      <c r="E146" s="420" t="s">
        <v>341</v>
      </c>
      <c r="F146" s="1203" t="s">
        <v>82</v>
      </c>
      <c r="G146" s="1145"/>
      <c r="H146" s="1186"/>
      <c r="I146" s="328"/>
      <c r="J146" s="392">
        <f t="shared" ref="J146:J153" ca="1" si="50">IF(W146="E",H146,T146)</f>
        <v>0.5</v>
      </c>
      <c r="K146" s="403"/>
      <c r="L146" s="403"/>
      <c r="M146" s="403"/>
      <c r="N146" s="403"/>
      <c r="O146" s="403"/>
      <c r="P146" s="403"/>
      <c r="Q146" s="1165"/>
      <c r="R146" s="327">
        <f t="shared" si="49"/>
        <v>115</v>
      </c>
      <c r="S146" s="1247"/>
      <c r="T146" s="1249">
        <f t="shared" ca="1" si="46"/>
        <v>0.5</v>
      </c>
      <c r="V146" s="1247"/>
      <c r="W146" s="1249" t="str">
        <f t="shared" si="48"/>
        <v>U</v>
      </c>
      <c r="Y146" s="1247"/>
    </row>
    <row r="147" spans="1:25" ht="15" customHeight="1" x14ac:dyDescent="0.25">
      <c r="A147" s="402"/>
      <c r="B147" s="1394">
        <v>8</v>
      </c>
      <c r="C147" s="405"/>
      <c r="D147" s="405"/>
      <c r="E147" s="421" t="s">
        <v>314</v>
      </c>
      <c r="F147" s="1203" t="s">
        <v>82</v>
      </c>
      <c r="G147" s="1145"/>
      <c r="H147" s="1186"/>
      <c r="I147" s="328"/>
      <c r="J147" s="392">
        <f t="shared" ca="1" si="50"/>
        <v>0</v>
      </c>
      <c r="K147" s="403"/>
      <c r="L147" s="403"/>
      <c r="M147" s="403"/>
      <c r="N147" s="403"/>
      <c r="O147" s="403"/>
      <c r="P147" s="403"/>
      <c r="Q147" s="1165"/>
      <c r="R147" s="327">
        <f t="shared" si="49"/>
        <v>116</v>
      </c>
      <c r="S147" s="1247"/>
      <c r="T147" s="1249">
        <f t="shared" ca="1" si="46"/>
        <v>0</v>
      </c>
      <c r="V147" s="1247"/>
      <c r="W147" s="1249" t="str">
        <f t="shared" si="48"/>
        <v>U</v>
      </c>
      <c r="Y147" s="1247"/>
    </row>
    <row r="148" spans="1:25" ht="15" customHeight="1" x14ac:dyDescent="0.25">
      <c r="A148" s="402"/>
      <c r="B148" s="1394">
        <v>8</v>
      </c>
      <c r="C148" s="324"/>
      <c r="D148" s="324"/>
      <c r="E148" s="420" t="s">
        <v>340</v>
      </c>
      <c r="F148" s="1203" t="s">
        <v>82</v>
      </c>
      <c r="G148" s="1145"/>
      <c r="H148" s="1186"/>
      <c r="I148" s="328"/>
      <c r="J148" s="392">
        <f t="shared" ca="1" si="50"/>
        <v>0</v>
      </c>
      <c r="K148" s="403"/>
      <c r="L148" s="403"/>
      <c r="M148" s="403"/>
      <c r="N148" s="403"/>
      <c r="O148" s="403"/>
      <c r="P148" s="403"/>
      <c r="Q148" s="1165"/>
      <c r="R148" s="327">
        <f t="shared" si="49"/>
        <v>117</v>
      </c>
      <c r="S148" s="1247"/>
      <c r="T148" s="1249">
        <f t="shared" ca="1" si="46"/>
        <v>0</v>
      </c>
      <c r="V148" s="1247"/>
      <c r="W148" s="1249" t="str">
        <f t="shared" si="48"/>
        <v>U</v>
      </c>
      <c r="Y148" s="1247"/>
    </row>
    <row r="149" spans="1:25" ht="15" customHeight="1" x14ac:dyDescent="0.25">
      <c r="A149" s="402"/>
      <c r="B149" s="1394">
        <v>8</v>
      </c>
      <c r="C149" s="324"/>
      <c r="D149" s="324"/>
      <c r="E149" s="420" t="s">
        <v>339</v>
      </c>
      <c r="F149" s="1203" t="s">
        <v>82</v>
      </c>
      <c r="G149" s="1145"/>
      <c r="H149" s="1186"/>
      <c r="I149" s="328"/>
      <c r="J149" s="392">
        <f t="shared" ca="1" si="50"/>
        <v>3.2</v>
      </c>
      <c r="K149" s="403"/>
      <c r="L149" s="403"/>
      <c r="M149" s="403"/>
      <c r="N149" s="403"/>
      <c r="O149" s="403"/>
      <c r="P149" s="403"/>
      <c r="Q149" s="1165"/>
      <c r="R149" s="327">
        <f t="shared" si="49"/>
        <v>118</v>
      </c>
      <c r="S149" s="1247"/>
      <c r="T149" s="1249">
        <f t="shared" ca="1" si="46"/>
        <v>3.2</v>
      </c>
      <c r="V149" s="1247"/>
      <c r="W149" s="1249" t="str">
        <f t="shared" si="48"/>
        <v>U</v>
      </c>
      <c r="Y149" s="1247"/>
    </row>
    <row r="150" spans="1:25" ht="15" customHeight="1" x14ac:dyDescent="0.25">
      <c r="A150" s="402"/>
      <c r="B150" s="1394">
        <v>8</v>
      </c>
      <c r="C150" s="324"/>
      <c r="D150" s="324"/>
      <c r="E150" s="423" t="s">
        <v>338</v>
      </c>
      <c r="F150" s="1203" t="s">
        <v>82</v>
      </c>
      <c r="G150" s="1145"/>
      <c r="H150" s="1186"/>
      <c r="I150" s="328"/>
      <c r="J150" s="392">
        <f t="shared" ca="1" si="50"/>
        <v>0</v>
      </c>
      <c r="K150" s="403"/>
      <c r="L150" s="403"/>
      <c r="M150" s="403"/>
      <c r="N150" s="403"/>
      <c r="O150" s="403"/>
      <c r="P150" s="403"/>
      <c r="Q150" s="1165"/>
      <c r="R150" s="327">
        <f t="shared" si="49"/>
        <v>119</v>
      </c>
      <c r="S150" s="1247"/>
      <c r="T150" s="1249">
        <f t="shared" ca="1" si="46"/>
        <v>0</v>
      </c>
      <c r="V150" s="1247"/>
      <c r="W150" s="1249" t="str">
        <f t="shared" si="48"/>
        <v>U</v>
      </c>
      <c r="Y150" s="1247"/>
    </row>
    <row r="151" spans="1:25" ht="15" customHeight="1" x14ac:dyDescent="0.25">
      <c r="A151" s="402"/>
      <c r="B151" s="1394">
        <v>8</v>
      </c>
      <c r="C151" s="405"/>
      <c r="D151" s="405"/>
      <c r="E151" s="421" t="s">
        <v>316</v>
      </c>
      <c r="F151" s="1203" t="s">
        <v>82</v>
      </c>
      <c r="G151" s="1145"/>
      <c r="H151" s="1186"/>
      <c r="I151" s="328"/>
      <c r="J151" s="392">
        <f t="shared" ca="1" si="50"/>
        <v>0</v>
      </c>
      <c r="K151" s="403"/>
      <c r="L151" s="403"/>
      <c r="M151" s="403"/>
      <c r="N151" s="403"/>
      <c r="O151" s="403"/>
      <c r="P151" s="403"/>
      <c r="Q151" s="1165"/>
      <c r="R151" s="327">
        <f t="shared" si="49"/>
        <v>120</v>
      </c>
      <c r="S151" s="1247"/>
      <c r="T151" s="1249">
        <f t="shared" ca="1" si="46"/>
        <v>0</v>
      </c>
      <c r="V151" s="1247"/>
      <c r="W151" s="1249" t="str">
        <f t="shared" si="48"/>
        <v>U</v>
      </c>
      <c r="Y151" s="1247"/>
    </row>
    <row r="152" spans="1:25" ht="15" customHeight="1" x14ac:dyDescent="0.25">
      <c r="A152" s="402"/>
      <c r="B152" s="1394">
        <v>8</v>
      </c>
      <c r="C152" s="324"/>
      <c r="D152" s="324"/>
      <c r="E152" s="420" t="s">
        <v>302</v>
      </c>
      <c r="F152" s="1203" t="s">
        <v>82</v>
      </c>
      <c r="G152" s="1145"/>
      <c r="H152" s="1186"/>
      <c r="I152" s="328"/>
      <c r="J152" s="392">
        <f t="shared" ca="1" si="50"/>
        <v>0</v>
      </c>
      <c r="K152" s="403"/>
      <c r="L152" s="403"/>
      <c r="M152" s="403"/>
      <c r="N152" s="403"/>
      <c r="O152" s="403"/>
      <c r="P152" s="403"/>
      <c r="Q152" s="1165"/>
      <c r="R152" s="327">
        <f t="shared" si="49"/>
        <v>121</v>
      </c>
      <c r="S152" s="1247"/>
      <c r="T152" s="1249">
        <f t="shared" ca="1" si="46"/>
        <v>0</v>
      </c>
      <c r="V152" s="1247"/>
      <c r="W152" s="1249" t="str">
        <f t="shared" si="48"/>
        <v>U</v>
      </c>
      <c r="Y152" s="1247"/>
    </row>
    <row r="153" spans="1:25" ht="15" customHeight="1" x14ac:dyDescent="0.25">
      <c r="A153" s="402"/>
      <c r="B153" s="1394">
        <v>8</v>
      </c>
      <c r="C153" s="324"/>
      <c r="D153" s="324"/>
      <c r="E153" s="423" t="s">
        <v>460</v>
      </c>
      <c r="F153" s="1203" t="s">
        <v>82</v>
      </c>
      <c r="G153" s="1145"/>
      <c r="H153" s="1186"/>
      <c r="I153" s="398"/>
      <c r="J153" s="392">
        <f t="shared" ca="1" si="50"/>
        <v>25</v>
      </c>
      <c r="K153" s="403"/>
      <c r="L153" s="403"/>
      <c r="M153" s="403"/>
      <c r="N153" s="403"/>
      <c r="O153" s="403"/>
      <c r="P153" s="403"/>
      <c r="Q153" s="1165"/>
      <c r="R153" s="327">
        <f t="shared" si="49"/>
        <v>122</v>
      </c>
      <c r="S153" s="1247"/>
      <c r="T153" s="1249">
        <f t="shared" ca="1" si="46"/>
        <v>25</v>
      </c>
      <c r="V153" s="1247"/>
      <c r="W153" s="1249" t="str">
        <f t="shared" si="48"/>
        <v>U</v>
      </c>
      <c r="Y153" s="1247"/>
    </row>
    <row r="154" spans="1:25" ht="15" customHeight="1" x14ac:dyDescent="0.25">
      <c r="A154" s="402"/>
      <c r="B154" s="1394">
        <v>1</v>
      </c>
      <c r="C154" s="405"/>
      <c r="D154" s="405"/>
      <c r="E154" s="421" t="s">
        <v>317</v>
      </c>
      <c r="F154" s="1195">
        <f ca="1">IF(V154="E",VLOOKUP(B154,LISTEN!$B$6:$C$14,2,FALSE),VLOOKUP(S154,LISTEN!$B$6:$C$14,2,FALSE))</f>
        <v>0</v>
      </c>
      <c r="G154" s="1145"/>
      <c r="H154" s="1187"/>
      <c r="I154" s="1253">
        <v>1</v>
      </c>
      <c r="J154" s="393">
        <f t="shared" ca="1" si="44"/>
        <v>0</v>
      </c>
      <c r="K154" s="403"/>
      <c r="L154" s="403"/>
      <c r="M154" s="403"/>
      <c r="N154" s="403"/>
      <c r="O154" s="403"/>
      <c r="P154" s="403"/>
      <c r="Q154" s="1165"/>
      <c r="R154" s="327">
        <f t="shared" si="49"/>
        <v>123</v>
      </c>
      <c r="S154" s="1250">
        <f t="shared" ref="S154:S156" ca="1" si="51">IF($U$133=1,"",INDIRECT("Z"&amp;R154&amp;"S"&amp;$Y$10,))</f>
        <v>1</v>
      </c>
      <c r="T154" s="1249">
        <f t="shared" ca="1" si="46"/>
        <v>0</v>
      </c>
      <c r="V154" s="1250" t="str">
        <f t="shared" ref="V154:V156" si="52">IF($T$133=$S$14,"E",IF(B154&gt;1,"E","U"))</f>
        <v>U</v>
      </c>
      <c r="W154" s="1249" t="str">
        <f t="shared" si="48"/>
        <v>U</v>
      </c>
      <c r="Y154" s="1250">
        <f ca="1">IF($F154=0,1,VLOOKUP($F154,LISTEN!$C$6:$D$14,2,FALSE))</f>
        <v>1</v>
      </c>
    </row>
    <row r="155" spans="1:25" ht="15" customHeight="1" x14ac:dyDescent="0.25">
      <c r="A155" s="402"/>
      <c r="B155" s="1394">
        <v>1</v>
      </c>
      <c r="C155" s="324"/>
      <c r="D155" s="324"/>
      <c r="E155" s="420" t="s">
        <v>318</v>
      </c>
      <c r="F155" s="1195">
        <f ca="1">IF(V155="E",VLOOKUP(B155,LISTEN!$B$6:$C$14,2,FALSE),VLOOKUP(S155,LISTEN!$B$6:$C$14,2,FALSE))</f>
        <v>0</v>
      </c>
      <c r="G155" s="1145"/>
      <c r="H155" s="1187"/>
      <c r="I155" s="1255">
        <v>1</v>
      </c>
      <c r="J155" s="393">
        <f t="shared" ca="1" si="44"/>
        <v>0</v>
      </c>
      <c r="K155" s="403"/>
      <c r="L155" s="403"/>
      <c r="M155" s="403"/>
      <c r="N155" s="403"/>
      <c r="O155" s="403"/>
      <c r="P155" s="403"/>
      <c r="Q155" s="1165"/>
      <c r="R155" s="327">
        <f t="shared" si="49"/>
        <v>124</v>
      </c>
      <c r="S155" s="1250">
        <f t="shared" ca="1" si="51"/>
        <v>1</v>
      </c>
      <c r="T155" s="1249">
        <f t="shared" ca="1" si="46"/>
        <v>0</v>
      </c>
      <c r="V155" s="1250" t="str">
        <f t="shared" si="52"/>
        <v>U</v>
      </c>
      <c r="W155" s="1249" t="str">
        <f t="shared" si="48"/>
        <v>U</v>
      </c>
      <c r="Y155" s="1250">
        <f ca="1">IF($F155=0,1,VLOOKUP($F155,LISTEN!$C$6:$D$14,2,FALSE))</f>
        <v>1</v>
      </c>
    </row>
    <row r="156" spans="1:25" ht="15" customHeight="1" thickBot="1" x14ac:dyDescent="0.3">
      <c r="A156" s="402"/>
      <c r="B156" s="1394">
        <v>1</v>
      </c>
      <c r="C156" s="405"/>
      <c r="D156" s="405"/>
      <c r="E156" s="421" t="s">
        <v>91</v>
      </c>
      <c r="F156" s="1196">
        <f ca="1">IF(V156="E",VLOOKUP(B156,LISTEN!$B$6:$C$14,2,FALSE),VLOOKUP(S156,LISTEN!$B$6:$C$14,2,FALSE))</f>
        <v>0</v>
      </c>
      <c r="G156" s="1145"/>
      <c r="H156" s="955"/>
      <c r="I156" s="1252">
        <v>1</v>
      </c>
      <c r="J156" s="394">
        <f t="shared" ca="1" si="44"/>
        <v>0</v>
      </c>
      <c r="K156" s="403"/>
      <c r="L156" s="403"/>
      <c r="M156" s="403"/>
      <c r="N156" s="403"/>
      <c r="O156" s="403"/>
      <c r="P156" s="403"/>
      <c r="Q156" s="1165"/>
      <c r="R156" s="327">
        <f t="shared" si="49"/>
        <v>125</v>
      </c>
      <c r="S156" s="1250">
        <f t="shared" ca="1" si="51"/>
        <v>1</v>
      </c>
      <c r="T156" s="1249">
        <f t="shared" ca="1" si="46"/>
        <v>0</v>
      </c>
      <c r="V156" s="1250" t="str">
        <f t="shared" si="52"/>
        <v>U</v>
      </c>
      <c r="W156" s="1249" t="str">
        <f t="shared" si="48"/>
        <v>U</v>
      </c>
      <c r="Y156" s="1250">
        <f ca="1">IF($F156=0,1,VLOOKUP($F156,LISTEN!$C$6:$D$14,2,FALSE))</f>
        <v>1</v>
      </c>
    </row>
    <row r="157" spans="1:25" ht="15" x14ac:dyDescent="0.25">
      <c r="A157" s="402"/>
      <c r="B157" s="1151"/>
      <c r="C157" s="1151"/>
      <c r="D157" s="1151"/>
      <c r="E157" s="1151"/>
      <c r="F157" s="416"/>
      <c r="G157" s="323"/>
      <c r="H157" s="328"/>
      <c r="I157" s="328"/>
      <c r="J157" s="419"/>
      <c r="K157" s="403"/>
      <c r="L157" s="403"/>
      <c r="M157" s="403"/>
      <c r="N157" s="403"/>
      <c r="O157" s="403"/>
      <c r="P157" s="403"/>
      <c r="Q157" s="1165"/>
      <c r="R157" s="327">
        <f>R156+1</f>
        <v>126</v>
      </c>
      <c r="S157" s="1247"/>
      <c r="T157" s="1247"/>
      <c r="V157" s="1247"/>
      <c r="W157" s="1247"/>
      <c r="Y157" s="1247"/>
    </row>
    <row r="158" spans="1:25" ht="15" x14ac:dyDescent="0.25">
      <c r="A158" s="402"/>
      <c r="B158" s="1151"/>
      <c r="C158" s="1151"/>
      <c r="D158" s="1151"/>
      <c r="E158" s="1151"/>
      <c r="F158" s="416"/>
      <c r="G158" s="1163"/>
      <c r="H158" s="328"/>
      <c r="I158" s="328"/>
      <c r="J158" s="419"/>
      <c r="K158" s="403"/>
      <c r="L158" s="418" t="s">
        <v>785</v>
      </c>
      <c r="M158" s="1151"/>
      <c r="N158" s="403"/>
      <c r="O158" s="403"/>
      <c r="P158" s="403"/>
      <c r="Q158" s="1165"/>
      <c r="R158" s="327">
        <f t="shared" si="49"/>
        <v>127</v>
      </c>
      <c r="S158" s="1247"/>
      <c r="T158" s="1247"/>
      <c r="V158" s="1247"/>
      <c r="W158" s="1247"/>
      <c r="Y158" s="1247"/>
    </row>
    <row r="159" spans="1:25" ht="15.75" thickBot="1" x14ac:dyDescent="0.3">
      <c r="A159" s="402"/>
      <c r="B159" s="418"/>
      <c r="C159" s="1151"/>
      <c r="D159" s="1151"/>
      <c r="E159" s="1149"/>
      <c r="F159" s="471" t="s">
        <v>167</v>
      </c>
      <c r="G159" s="1156"/>
      <c r="H159" s="1184" t="s">
        <v>123</v>
      </c>
      <c r="I159" s="471"/>
      <c r="J159" s="419" t="s">
        <v>123</v>
      </c>
      <c r="K159" s="403"/>
      <c r="L159" s="1151" t="s">
        <v>775</v>
      </c>
      <c r="M159" s="1151"/>
      <c r="N159" s="403"/>
      <c r="O159" s="403"/>
      <c r="P159" s="403"/>
      <c r="Q159" s="1165"/>
      <c r="R159" s="327">
        <f t="shared" si="49"/>
        <v>128</v>
      </c>
      <c r="S159" s="1247"/>
      <c r="T159" s="1247"/>
      <c r="V159" s="1247"/>
      <c r="W159" s="1247"/>
      <c r="Y159" s="1247"/>
    </row>
    <row r="160" spans="1:25" ht="15" x14ac:dyDescent="0.25">
      <c r="A160" s="402"/>
      <c r="B160" s="1151"/>
      <c r="C160" s="405"/>
      <c r="D160" s="405"/>
      <c r="E160" s="425" t="s">
        <v>533</v>
      </c>
      <c r="F160" s="1162" t="s">
        <v>730</v>
      </c>
      <c r="G160" s="1162" t="s">
        <v>487</v>
      </c>
      <c r="H160" s="1155">
        <v>22067</v>
      </c>
      <c r="I160" s="1183"/>
      <c r="J160" s="1244">
        <f t="shared" ref="J160:J161" si="53">IF(W160="E",H160,T160)</f>
        <v>22067</v>
      </c>
      <c r="K160" s="403"/>
      <c r="L160" s="1589" t="s">
        <v>774</v>
      </c>
      <c r="M160" s="1589"/>
      <c r="N160" s="1589"/>
      <c r="O160" s="403"/>
      <c r="P160" s="403"/>
      <c r="Q160" s="1165"/>
      <c r="R160" s="327">
        <f t="shared" si="49"/>
        <v>129</v>
      </c>
      <c r="S160" s="1247"/>
      <c r="T160" s="1249">
        <f t="shared" ref="T160:T161" ca="1" si="54">IF($U$133=1,"",INDIRECT("Z"&amp;R160&amp;"S"&amp;$T$21,))</f>
        <v>0</v>
      </c>
      <c r="V160" s="1247"/>
      <c r="W160" s="1249" t="str">
        <f t="shared" si="48"/>
        <v>E</v>
      </c>
      <c r="Y160" s="1247"/>
    </row>
    <row r="161" spans="1:25" ht="15.75" thickBot="1" x14ac:dyDescent="0.3">
      <c r="A161" s="402"/>
      <c r="B161" s="1151"/>
      <c r="C161" s="1151"/>
      <c r="D161" s="1151"/>
      <c r="E161" s="1151"/>
      <c r="F161" s="1245"/>
      <c r="G161" s="1162" t="s">
        <v>776</v>
      </c>
      <c r="H161" s="1155">
        <v>10000</v>
      </c>
      <c r="I161" s="1183"/>
      <c r="J161" s="1246">
        <f t="shared" si="53"/>
        <v>10000</v>
      </c>
      <c r="K161" s="403"/>
      <c r="L161" s="403"/>
      <c r="M161" s="403"/>
      <c r="N161" s="403"/>
      <c r="O161" s="403"/>
      <c r="P161" s="403"/>
      <c r="Q161" s="1165"/>
      <c r="R161" s="327">
        <f t="shared" si="49"/>
        <v>130</v>
      </c>
      <c r="S161" s="1247"/>
      <c r="T161" s="1249">
        <f t="shared" ca="1" si="54"/>
        <v>0</v>
      </c>
      <c r="V161" s="1247"/>
      <c r="W161" s="1249" t="str">
        <f t="shared" si="48"/>
        <v>E</v>
      </c>
      <c r="Y161" s="1247"/>
    </row>
    <row r="162" spans="1:25" ht="15" x14ac:dyDescent="0.25">
      <c r="A162" s="402"/>
      <c r="B162" s="1151"/>
      <c r="C162" s="1151"/>
      <c r="D162" s="1151"/>
      <c r="E162" s="1151"/>
      <c r="F162" s="426"/>
      <c r="G162" s="324"/>
      <c r="H162" s="324"/>
      <c r="I162" s="324"/>
      <c r="J162" s="427"/>
      <c r="K162" s="403"/>
      <c r="L162" s="403"/>
      <c r="M162" s="403"/>
      <c r="N162" s="403"/>
      <c r="O162" s="403"/>
      <c r="P162" s="403"/>
      <c r="Q162" s="1165"/>
    </row>
    <row r="163" spans="1:25" ht="15" x14ac:dyDescent="0.25">
      <c r="A163" s="402"/>
      <c r="B163" s="1151"/>
      <c r="C163" s="1151"/>
      <c r="D163" s="1151"/>
      <c r="E163" s="1151"/>
      <c r="F163" s="316"/>
      <c r="G163" s="316"/>
      <c r="H163" s="316"/>
      <c r="I163" s="316"/>
      <c r="J163" s="403"/>
      <c r="K163" s="403"/>
      <c r="L163" s="403"/>
      <c r="M163" s="403"/>
      <c r="N163" s="403"/>
      <c r="O163" s="403"/>
      <c r="P163" s="403"/>
      <c r="Q163" s="1165"/>
    </row>
    <row r="164" spans="1:25" ht="23.25" customHeight="1" x14ac:dyDescent="0.25">
      <c r="A164" s="440"/>
      <c r="B164" s="1171"/>
      <c r="C164" s="1165"/>
      <c r="D164" s="1165"/>
      <c r="E164" s="1165"/>
      <c r="F164" s="1165"/>
      <c r="G164" s="1165"/>
      <c r="H164" s="1165"/>
      <c r="I164" s="1165"/>
      <c r="J164" s="1165"/>
      <c r="K164" s="1165"/>
      <c r="L164" s="1165"/>
      <c r="M164" s="1165"/>
      <c r="N164" s="1165"/>
      <c r="O164" s="1165"/>
      <c r="P164" s="1165"/>
      <c r="Q164" s="1165"/>
    </row>
  </sheetData>
  <sheetProtection sheet="1" objects="1" scenarios="1" selectLockedCells="1"/>
  <mergeCells count="24">
    <mergeCell ref="B136:B138"/>
    <mergeCell ref="B4:D4"/>
    <mergeCell ref="F73:J73"/>
    <mergeCell ref="F74:J74"/>
    <mergeCell ref="F104:J104"/>
    <mergeCell ref="F105:J105"/>
    <mergeCell ref="B5:D5"/>
    <mergeCell ref="B6:D6"/>
    <mergeCell ref="B7:D7"/>
    <mergeCell ref="F11:J11"/>
    <mergeCell ref="B12:B14"/>
    <mergeCell ref="B43:B45"/>
    <mergeCell ref="B74:B76"/>
    <mergeCell ref="B105:B107"/>
    <mergeCell ref="L160:N160"/>
    <mergeCell ref="F135:J135"/>
    <mergeCell ref="F136:J136"/>
    <mergeCell ref="F12:J12"/>
    <mergeCell ref="F42:J42"/>
    <mergeCell ref="F43:J43"/>
    <mergeCell ref="L36:N36"/>
    <mergeCell ref="L67:N67"/>
    <mergeCell ref="L98:N98"/>
    <mergeCell ref="L129:N129"/>
  </mergeCells>
  <dataValidations count="2">
    <dataValidation type="custom" allowBlank="1" showInputMessage="1" showErrorMessage="1" errorTitle="Keine negativen Werte" error="Bitte positiven Wert eintragen!" sqref="H99 H37 H68 H130 H161">
      <formula1>IF(H37&lt;0,FALSE,TRUE)</formula1>
    </dataValidation>
    <dataValidation allowBlank="1" showInputMessage="1" showErrorMessage="1" errorTitle="Kein negativer Wert" error="Sie haben keinen negativen Wert eingetragen" sqref="I99 I68 I37 I130 I161"/>
  </dataValidations>
  <hyperlinks>
    <hyperlink ref="L36" r:id="rId1"/>
    <hyperlink ref="L67" r:id="rId2"/>
    <hyperlink ref="L98" r:id="rId3"/>
    <hyperlink ref="L129" r:id="rId4"/>
    <hyperlink ref="L160" r:id="rId5"/>
  </hyperlinks>
  <pageMargins left="0.70866141732283472" right="0.70866141732283472" top="0.78740157480314965" bottom="0.78740157480314965" header="0.31496062992125984" footer="0.31496062992125984"/>
  <pageSetup paperSize="9" scale="59" orientation="landscape" horizontalDpi="1200" verticalDpi="1200" r:id="rId6"/>
  <headerFooter>
    <oddFooter>&amp;L&amp;D&amp;C&amp;F&amp;R&amp;P</oddFooter>
  </headerFooter>
  <rowBreaks count="4" manualBreakCount="4">
    <brk id="39" max="16" man="1"/>
    <brk id="70" max="16" man="1"/>
    <brk id="101" max="16" man="1"/>
    <brk id="132" max="16" man="1"/>
  </rowBreaks>
  <ignoredErrors>
    <ignoredError sqref="J21:J29" unlockedFormula="1"/>
  </ignoredErrors>
  <drawing r:id="rId7"/>
  <legacyDrawing r:id="rId8"/>
  <mc:AlternateContent xmlns:mc="http://schemas.openxmlformats.org/markup-compatibility/2006">
    <mc:Choice Requires="x14">
      <controls>
        <mc:AlternateContent xmlns:mc="http://schemas.openxmlformats.org/markup-compatibility/2006">
          <mc:Choice Requires="x14">
            <control shapeId="62648" r:id="rId9" name="Drop Down 184">
              <controlPr defaultSize="0" autoLine="0" autoPict="0">
                <anchor moveWithCells="1">
                  <from>
                    <xdr:col>5</xdr:col>
                    <xdr:colOff>9525</xdr:colOff>
                    <xdr:row>14</xdr:row>
                    <xdr:rowOff>9525</xdr:rowOff>
                  </from>
                  <to>
                    <xdr:col>5</xdr:col>
                    <xdr:colOff>1485900</xdr:colOff>
                    <xdr:row>15</xdr:row>
                    <xdr:rowOff>0</xdr:rowOff>
                  </to>
                </anchor>
              </controlPr>
            </control>
          </mc:Choice>
        </mc:AlternateContent>
        <mc:AlternateContent xmlns:mc="http://schemas.openxmlformats.org/markup-compatibility/2006">
          <mc:Choice Requires="x14">
            <control shapeId="62649" r:id="rId10" name="Drop Down 185">
              <controlPr defaultSize="0" autoLine="0" autoPict="0">
                <anchor moveWithCells="1">
                  <from>
                    <xdr:col>5</xdr:col>
                    <xdr:colOff>9525</xdr:colOff>
                    <xdr:row>15</xdr:row>
                    <xdr:rowOff>9525</xdr:rowOff>
                  </from>
                  <to>
                    <xdr:col>5</xdr:col>
                    <xdr:colOff>1485900</xdr:colOff>
                    <xdr:row>16</xdr:row>
                    <xdr:rowOff>0</xdr:rowOff>
                  </to>
                </anchor>
              </controlPr>
            </control>
          </mc:Choice>
        </mc:AlternateContent>
        <mc:AlternateContent xmlns:mc="http://schemas.openxmlformats.org/markup-compatibility/2006">
          <mc:Choice Requires="x14">
            <control shapeId="62650" r:id="rId11" name="Drop Down 186">
              <controlPr defaultSize="0" autoLine="0" autoPict="0">
                <anchor moveWithCells="1">
                  <from>
                    <xdr:col>5</xdr:col>
                    <xdr:colOff>9525</xdr:colOff>
                    <xdr:row>16</xdr:row>
                    <xdr:rowOff>9525</xdr:rowOff>
                  </from>
                  <to>
                    <xdr:col>5</xdr:col>
                    <xdr:colOff>1485900</xdr:colOff>
                    <xdr:row>17</xdr:row>
                    <xdr:rowOff>0</xdr:rowOff>
                  </to>
                </anchor>
              </controlPr>
            </control>
          </mc:Choice>
        </mc:AlternateContent>
        <mc:AlternateContent xmlns:mc="http://schemas.openxmlformats.org/markup-compatibility/2006">
          <mc:Choice Requires="x14">
            <control shapeId="62651" r:id="rId12" name="Drop Down 187">
              <controlPr defaultSize="0" autoLine="0" autoPict="0">
                <anchor moveWithCells="1">
                  <from>
                    <xdr:col>5</xdr:col>
                    <xdr:colOff>9525</xdr:colOff>
                    <xdr:row>17</xdr:row>
                    <xdr:rowOff>9525</xdr:rowOff>
                  </from>
                  <to>
                    <xdr:col>5</xdr:col>
                    <xdr:colOff>1485900</xdr:colOff>
                    <xdr:row>18</xdr:row>
                    <xdr:rowOff>0</xdr:rowOff>
                  </to>
                </anchor>
              </controlPr>
            </control>
          </mc:Choice>
        </mc:AlternateContent>
        <mc:AlternateContent xmlns:mc="http://schemas.openxmlformats.org/markup-compatibility/2006">
          <mc:Choice Requires="x14">
            <control shapeId="62652" r:id="rId13" name="Drop Down 188">
              <controlPr defaultSize="0" autoLine="0" autoPict="0">
                <anchor moveWithCells="1">
                  <from>
                    <xdr:col>5</xdr:col>
                    <xdr:colOff>9525</xdr:colOff>
                    <xdr:row>18</xdr:row>
                    <xdr:rowOff>9525</xdr:rowOff>
                  </from>
                  <to>
                    <xdr:col>5</xdr:col>
                    <xdr:colOff>1485900</xdr:colOff>
                    <xdr:row>19</xdr:row>
                    <xdr:rowOff>0</xdr:rowOff>
                  </to>
                </anchor>
              </controlPr>
            </control>
          </mc:Choice>
        </mc:AlternateContent>
        <mc:AlternateContent xmlns:mc="http://schemas.openxmlformats.org/markup-compatibility/2006">
          <mc:Choice Requires="x14">
            <control shapeId="62653" r:id="rId14" name="Drop Down 189">
              <controlPr defaultSize="0" autoLine="0" autoPict="0">
                <anchor moveWithCells="1">
                  <from>
                    <xdr:col>5</xdr:col>
                    <xdr:colOff>9525</xdr:colOff>
                    <xdr:row>19</xdr:row>
                    <xdr:rowOff>9525</xdr:rowOff>
                  </from>
                  <to>
                    <xdr:col>5</xdr:col>
                    <xdr:colOff>1485900</xdr:colOff>
                    <xdr:row>20</xdr:row>
                    <xdr:rowOff>0</xdr:rowOff>
                  </to>
                </anchor>
              </controlPr>
            </control>
          </mc:Choice>
        </mc:AlternateContent>
        <mc:AlternateContent xmlns:mc="http://schemas.openxmlformats.org/markup-compatibility/2006">
          <mc:Choice Requires="x14">
            <control shapeId="62663" r:id="rId15" name="Drop Down 199">
              <controlPr defaultSize="0" autoLine="0" autoPict="0">
                <anchor moveWithCells="1">
                  <from>
                    <xdr:col>5</xdr:col>
                    <xdr:colOff>9525</xdr:colOff>
                    <xdr:row>29</xdr:row>
                    <xdr:rowOff>9525</xdr:rowOff>
                  </from>
                  <to>
                    <xdr:col>5</xdr:col>
                    <xdr:colOff>1485900</xdr:colOff>
                    <xdr:row>30</xdr:row>
                    <xdr:rowOff>0</xdr:rowOff>
                  </to>
                </anchor>
              </controlPr>
            </control>
          </mc:Choice>
        </mc:AlternateContent>
        <mc:AlternateContent xmlns:mc="http://schemas.openxmlformats.org/markup-compatibility/2006">
          <mc:Choice Requires="x14">
            <control shapeId="62664" r:id="rId16" name="Drop Down 200">
              <controlPr defaultSize="0" autoLine="0" autoPict="0">
                <anchor moveWithCells="1">
                  <from>
                    <xdr:col>5</xdr:col>
                    <xdr:colOff>9525</xdr:colOff>
                    <xdr:row>30</xdr:row>
                    <xdr:rowOff>9525</xdr:rowOff>
                  </from>
                  <to>
                    <xdr:col>5</xdr:col>
                    <xdr:colOff>1485900</xdr:colOff>
                    <xdr:row>31</xdr:row>
                    <xdr:rowOff>0</xdr:rowOff>
                  </to>
                </anchor>
              </controlPr>
            </control>
          </mc:Choice>
        </mc:AlternateContent>
        <mc:AlternateContent xmlns:mc="http://schemas.openxmlformats.org/markup-compatibility/2006">
          <mc:Choice Requires="x14">
            <control shapeId="62665" r:id="rId17" name="Drop Down 201">
              <controlPr defaultSize="0" autoLine="0" autoPict="0">
                <anchor moveWithCells="1">
                  <from>
                    <xdr:col>5</xdr:col>
                    <xdr:colOff>9525</xdr:colOff>
                    <xdr:row>31</xdr:row>
                    <xdr:rowOff>9525</xdr:rowOff>
                  </from>
                  <to>
                    <xdr:col>5</xdr:col>
                    <xdr:colOff>1485900</xdr:colOff>
                    <xdr:row>32</xdr:row>
                    <xdr:rowOff>0</xdr:rowOff>
                  </to>
                </anchor>
              </controlPr>
            </control>
          </mc:Choice>
        </mc:AlternateContent>
        <mc:AlternateContent xmlns:mc="http://schemas.openxmlformats.org/markup-compatibility/2006">
          <mc:Choice Requires="x14">
            <control shapeId="62667" r:id="rId18" name="Drop Down 203">
              <controlPr defaultSize="0" autoLine="0" autoPict="0">
                <anchor moveWithCells="1">
                  <from>
                    <xdr:col>5</xdr:col>
                    <xdr:colOff>9525</xdr:colOff>
                    <xdr:row>45</xdr:row>
                    <xdr:rowOff>9525</xdr:rowOff>
                  </from>
                  <to>
                    <xdr:col>5</xdr:col>
                    <xdr:colOff>1485900</xdr:colOff>
                    <xdr:row>46</xdr:row>
                    <xdr:rowOff>0</xdr:rowOff>
                  </to>
                </anchor>
              </controlPr>
            </control>
          </mc:Choice>
        </mc:AlternateContent>
        <mc:AlternateContent xmlns:mc="http://schemas.openxmlformats.org/markup-compatibility/2006">
          <mc:Choice Requires="x14">
            <control shapeId="62668" r:id="rId19" name="Drop Down 204">
              <controlPr defaultSize="0" autoLine="0" autoPict="0">
                <anchor moveWithCells="1">
                  <from>
                    <xdr:col>5</xdr:col>
                    <xdr:colOff>9525</xdr:colOff>
                    <xdr:row>46</xdr:row>
                    <xdr:rowOff>9525</xdr:rowOff>
                  </from>
                  <to>
                    <xdr:col>5</xdr:col>
                    <xdr:colOff>1485900</xdr:colOff>
                    <xdr:row>47</xdr:row>
                    <xdr:rowOff>0</xdr:rowOff>
                  </to>
                </anchor>
              </controlPr>
            </control>
          </mc:Choice>
        </mc:AlternateContent>
        <mc:AlternateContent xmlns:mc="http://schemas.openxmlformats.org/markup-compatibility/2006">
          <mc:Choice Requires="x14">
            <control shapeId="62669" r:id="rId20" name="Drop Down 205">
              <controlPr defaultSize="0" autoLine="0" autoPict="0">
                <anchor moveWithCells="1">
                  <from>
                    <xdr:col>5</xdr:col>
                    <xdr:colOff>9525</xdr:colOff>
                    <xdr:row>47</xdr:row>
                    <xdr:rowOff>9525</xdr:rowOff>
                  </from>
                  <to>
                    <xdr:col>5</xdr:col>
                    <xdr:colOff>1485900</xdr:colOff>
                    <xdr:row>48</xdr:row>
                    <xdr:rowOff>0</xdr:rowOff>
                  </to>
                </anchor>
              </controlPr>
            </control>
          </mc:Choice>
        </mc:AlternateContent>
        <mc:AlternateContent xmlns:mc="http://schemas.openxmlformats.org/markup-compatibility/2006">
          <mc:Choice Requires="x14">
            <control shapeId="62670" r:id="rId21" name="Drop Down 206">
              <controlPr defaultSize="0" autoLine="0" autoPict="0">
                <anchor moveWithCells="1">
                  <from>
                    <xdr:col>5</xdr:col>
                    <xdr:colOff>9525</xdr:colOff>
                    <xdr:row>48</xdr:row>
                    <xdr:rowOff>9525</xdr:rowOff>
                  </from>
                  <to>
                    <xdr:col>5</xdr:col>
                    <xdr:colOff>1485900</xdr:colOff>
                    <xdr:row>49</xdr:row>
                    <xdr:rowOff>0</xdr:rowOff>
                  </to>
                </anchor>
              </controlPr>
            </control>
          </mc:Choice>
        </mc:AlternateContent>
        <mc:AlternateContent xmlns:mc="http://schemas.openxmlformats.org/markup-compatibility/2006">
          <mc:Choice Requires="x14">
            <control shapeId="62671" r:id="rId22" name="Drop Down 207">
              <controlPr defaultSize="0" autoLine="0" autoPict="0">
                <anchor moveWithCells="1">
                  <from>
                    <xdr:col>5</xdr:col>
                    <xdr:colOff>9525</xdr:colOff>
                    <xdr:row>49</xdr:row>
                    <xdr:rowOff>9525</xdr:rowOff>
                  </from>
                  <to>
                    <xdr:col>5</xdr:col>
                    <xdr:colOff>1485900</xdr:colOff>
                    <xdr:row>50</xdr:row>
                    <xdr:rowOff>0</xdr:rowOff>
                  </to>
                </anchor>
              </controlPr>
            </control>
          </mc:Choice>
        </mc:AlternateContent>
        <mc:AlternateContent xmlns:mc="http://schemas.openxmlformats.org/markup-compatibility/2006">
          <mc:Choice Requires="x14">
            <control shapeId="62672" r:id="rId23" name="Drop Down 208">
              <controlPr defaultSize="0" autoLine="0" autoPict="0">
                <anchor moveWithCells="1">
                  <from>
                    <xdr:col>5</xdr:col>
                    <xdr:colOff>9525</xdr:colOff>
                    <xdr:row>50</xdr:row>
                    <xdr:rowOff>9525</xdr:rowOff>
                  </from>
                  <to>
                    <xdr:col>5</xdr:col>
                    <xdr:colOff>1485900</xdr:colOff>
                    <xdr:row>51</xdr:row>
                    <xdr:rowOff>0</xdr:rowOff>
                  </to>
                </anchor>
              </controlPr>
            </control>
          </mc:Choice>
        </mc:AlternateContent>
        <mc:AlternateContent xmlns:mc="http://schemas.openxmlformats.org/markup-compatibility/2006">
          <mc:Choice Requires="x14">
            <control shapeId="62682" r:id="rId24" name="Drop Down 218">
              <controlPr defaultSize="0" autoLine="0" autoPict="0">
                <anchor moveWithCells="1">
                  <from>
                    <xdr:col>5</xdr:col>
                    <xdr:colOff>9525</xdr:colOff>
                    <xdr:row>60</xdr:row>
                    <xdr:rowOff>9525</xdr:rowOff>
                  </from>
                  <to>
                    <xdr:col>5</xdr:col>
                    <xdr:colOff>1485900</xdr:colOff>
                    <xdr:row>61</xdr:row>
                    <xdr:rowOff>0</xdr:rowOff>
                  </to>
                </anchor>
              </controlPr>
            </control>
          </mc:Choice>
        </mc:AlternateContent>
        <mc:AlternateContent xmlns:mc="http://schemas.openxmlformats.org/markup-compatibility/2006">
          <mc:Choice Requires="x14">
            <control shapeId="62683" r:id="rId25" name="Drop Down 219">
              <controlPr defaultSize="0" autoLine="0" autoPict="0">
                <anchor moveWithCells="1">
                  <from>
                    <xdr:col>5</xdr:col>
                    <xdr:colOff>9525</xdr:colOff>
                    <xdr:row>61</xdr:row>
                    <xdr:rowOff>9525</xdr:rowOff>
                  </from>
                  <to>
                    <xdr:col>5</xdr:col>
                    <xdr:colOff>1485900</xdr:colOff>
                    <xdr:row>62</xdr:row>
                    <xdr:rowOff>0</xdr:rowOff>
                  </to>
                </anchor>
              </controlPr>
            </control>
          </mc:Choice>
        </mc:AlternateContent>
        <mc:AlternateContent xmlns:mc="http://schemas.openxmlformats.org/markup-compatibility/2006">
          <mc:Choice Requires="x14">
            <control shapeId="62684" r:id="rId26" name="Drop Down 220">
              <controlPr defaultSize="0" autoLine="0" autoPict="0">
                <anchor moveWithCells="1">
                  <from>
                    <xdr:col>5</xdr:col>
                    <xdr:colOff>9525</xdr:colOff>
                    <xdr:row>62</xdr:row>
                    <xdr:rowOff>9525</xdr:rowOff>
                  </from>
                  <to>
                    <xdr:col>5</xdr:col>
                    <xdr:colOff>1485900</xdr:colOff>
                    <xdr:row>63</xdr:row>
                    <xdr:rowOff>0</xdr:rowOff>
                  </to>
                </anchor>
              </controlPr>
            </control>
          </mc:Choice>
        </mc:AlternateContent>
        <mc:AlternateContent xmlns:mc="http://schemas.openxmlformats.org/markup-compatibility/2006">
          <mc:Choice Requires="x14">
            <control shapeId="62685" r:id="rId27" name="Drop Down 221">
              <controlPr defaultSize="0" autoLine="0" autoPict="0">
                <anchor moveWithCells="1">
                  <from>
                    <xdr:col>5</xdr:col>
                    <xdr:colOff>9525</xdr:colOff>
                    <xdr:row>76</xdr:row>
                    <xdr:rowOff>9525</xdr:rowOff>
                  </from>
                  <to>
                    <xdr:col>5</xdr:col>
                    <xdr:colOff>1485900</xdr:colOff>
                    <xdr:row>77</xdr:row>
                    <xdr:rowOff>0</xdr:rowOff>
                  </to>
                </anchor>
              </controlPr>
            </control>
          </mc:Choice>
        </mc:AlternateContent>
        <mc:AlternateContent xmlns:mc="http://schemas.openxmlformats.org/markup-compatibility/2006">
          <mc:Choice Requires="x14">
            <control shapeId="62686" r:id="rId28" name="Drop Down 222">
              <controlPr defaultSize="0" autoLine="0" autoPict="0">
                <anchor moveWithCells="1">
                  <from>
                    <xdr:col>5</xdr:col>
                    <xdr:colOff>9525</xdr:colOff>
                    <xdr:row>78</xdr:row>
                    <xdr:rowOff>9525</xdr:rowOff>
                  </from>
                  <to>
                    <xdr:col>5</xdr:col>
                    <xdr:colOff>1485900</xdr:colOff>
                    <xdr:row>79</xdr:row>
                    <xdr:rowOff>0</xdr:rowOff>
                  </to>
                </anchor>
              </controlPr>
            </control>
          </mc:Choice>
        </mc:AlternateContent>
        <mc:AlternateContent xmlns:mc="http://schemas.openxmlformats.org/markup-compatibility/2006">
          <mc:Choice Requires="x14">
            <control shapeId="62687" r:id="rId29" name="Drop Down 223">
              <controlPr defaultSize="0" autoLine="0" autoPict="0">
                <anchor moveWithCells="1">
                  <from>
                    <xdr:col>5</xdr:col>
                    <xdr:colOff>9525</xdr:colOff>
                    <xdr:row>107</xdr:row>
                    <xdr:rowOff>9525</xdr:rowOff>
                  </from>
                  <to>
                    <xdr:col>5</xdr:col>
                    <xdr:colOff>1485900</xdr:colOff>
                    <xdr:row>108</xdr:row>
                    <xdr:rowOff>0</xdr:rowOff>
                  </to>
                </anchor>
              </controlPr>
            </control>
          </mc:Choice>
        </mc:AlternateContent>
        <mc:AlternateContent xmlns:mc="http://schemas.openxmlformats.org/markup-compatibility/2006">
          <mc:Choice Requires="x14">
            <control shapeId="62688" r:id="rId30" name="Drop Down 224">
              <controlPr defaultSize="0" autoLine="0" autoPict="0">
                <anchor moveWithCells="1">
                  <from>
                    <xdr:col>5</xdr:col>
                    <xdr:colOff>9525</xdr:colOff>
                    <xdr:row>109</xdr:row>
                    <xdr:rowOff>9525</xdr:rowOff>
                  </from>
                  <to>
                    <xdr:col>5</xdr:col>
                    <xdr:colOff>1485900</xdr:colOff>
                    <xdr:row>110</xdr:row>
                    <xdr:rowOff>0</xdr:rowOff>
                  </to>
                </anchor>
              </controlPr>
            </control>
          </mc:Choice>
        </mc:AlternateContent>
        <mc:AlternateContent xmlns:mc="http://schemas.openxmlformats.org/markup-compatibility/2006">
          <mc:Choice Requires="x14">
            <control shapeId="62689" r:id="rId31" name="Drop Down 225">
              <controlPr defaultSize="0" autoLine="0" autoPict="0">
                <anchor moveWithCells="1">
                  <from>
                    <xdr:col>5</xdr:col>
                    <xdr:colOff>9525</xdr:colOff>
                    <xdr:row>138</xdr:row>
                    <xdr:rowOff>9525</xdr:rowOff>
                  </from>
                  <to>
                    <xdr:col>5</xdr:col>
                    <xdr:colOff>1485900</xdr:colOff>
                    <xdr:row>139</xdr:row>
                    <xdr:rowOff>0</xdr:rowOff>
                  </to>
                </anchor>
              </controlPr>
            </control>
          </mc:Choice>
        </mc:AlternateContent>
        <mc:AlternateContent xmlns:mc="http://schemas.openxmlformats.org/markup-compatibility/2006">
          <mc:Choice Requires="x14">
            <control shapeId="62690" r:id="rId32" name="Drop Down 226">
              <controlPr defaultSize="0" autoLine="0" autoPict="0">
                <anchor moveWithCells="1">
                  <from>
                    <xdr:col>5</xdr:col>
                    <xdr:colOff>9525</xdr:colOff>
                    <xdr:row>140</xdr:row>
                    <xdr:rowOff>9525</xdr:rowOff>
                  </from>
                  <to>
                    <xdr:col>5</xdr:col>
                    <xdr:colOff>1485900</xdr:colOff>
                    <xdr:row>141</xdr:row>
                    <xdr:rowOff>0</xdr:rowOff>
                  </to>
                </anchor>
              </controlPr>
            </control>
          </mc:Choice>
        </mc:AlternateContent>
        <mc:AlternateContent xmlns:mc="http://schemas.openxmlformats.org/markup-compatibility/2006">
          <mc:Choice Requires="x14">
            <control shapeId="62691" r:id="rId33" name="Drop Down 227">
              <controlPr defaultSize="0" autoLine="0" autoPict="0">
                <anchor moveWithCells="1">
                  <from>
                    <xdr:col>5</xdr:col>
                    <xdr:colOff>9525</xdr:colOff>
                    <xdr:row>77</xdr:row>
                    <xdr:rowOff>9525</xdr:rowOff>
                  </from>
                  <to>
                    <xdr:col>5</xdr:col>
                    <xdr:colOff>1485900</xdr:colOff>
                    <xdr:row>78</xdr:row>
                    <xdr:rowOff>0</xdr:rowOff>
                  </to>
                </anchor>
              </controlPr>
            </control>
          </mc:Choice>
        </mc:AlternateContent>
        <mc:AlternateContent xmlns:mc="http://schemas.openxmlformats.org/markup-compatibility/2006">
          <mc:Choice Requires="x14">
            <control shapeId="62692" r:id="rId34" name="Drop Down 228">
              <controlPr defaultSize="0" autoLine="0" autoPict="0">
                <anchor moveWithCells="1">
                  <from>
                    <xdr:col>5</xdr:col>
                    <xdr:colOff>9525</xdr:colOff>
                    <xdr:row>79</xdr:row>
                    <xdr:rowOff>9525</xdr:rowOff>
                  </from>
                  <to>
                    <xdr:col>5</xdr:col>
                    <xdr:colOff>1485900</xdr:colOff>
                    <xdr:row>80</xdr:row>
                    <xdr:rowOff>0</xdr:rowOff>
                  </to>
                </anchor>
              </controlPr>
            </control>
          </mc:Choice>
        </mc:AlternateContent>
        <mc:AlternateContent xmlns:mc="http://schemas.openxmlformats.org/markup-compatibility/2006">
          <mc:Choice Requires="x14">
            <control shapeId="62693" r:id="rId35" name="Drop Down 229">
              <controlPr defaultSize="0" autoLine="0" autoPict="0">
                <anchor moveWithCells="1">
                  <from>
                    <xdr:col>5</xdr:col>
                    <xdr:colOff>9525</xdr:colOff>
                    <xdr:row>80</xdr:row>
                    <xdr:rowOff>9525</xdr:rowOff>
                  </from>
                  <to>
                    <xdr:col>5</xdr:col>
                    <xdr:colOff>1485900</xdr:colOff>
                    <xdr:row>81</xdr:row>
                    <xdr:rowOff>0</xdr:rowOff>
                  </to>
                </anchor>
              </controlPr>
            </control>
          </mc:Choice>
        </mc:AlternateContent>
        <mc:AlternateContent xmlns:mc="http://schemas.openxmlformats.org/markup-compatibility/2006">
          <mc:Choice Requires="x14">
            <control shapeId="62694" r:id="rId36" name="Drop Down 230">
              <controlPr defaultSize="0" autoLine="0" autoPict="0">
                <anchor moveWithCells="1">
                  <from>
                    <xdr:col>5</xdr:col>
                    <xdr:colOff>9525</xdr:colOff>
                    <xdr:row>81</xdr:row>
                    <xdr:rowOff>9525</xdr:rowOff>
                  </from>
                  <to>
                    <xdr:col>5</xdr:col>
                    <xdr:colOff>1485900</xdr:colOff>
                    <xdr:row>82</xdr:row>
                    <xdr:rowOff>0</xdr:rowOff>
                  </to>
                </anchor>
              </controlPr>
            </control>
          </mc:Choice>
        </mc:AlternateContent>
        <mc:AlternateContent xmlns:mc="http://schemas.openxmlformats.org/markup-compatibility/2006">
          <mc:Choice Requires="x14">
            <control shapeId="62695" r:id="rId37" name="Drop Down 231">
              <controlPr defaultSize="0" autoLine="0" autoPict="0">
                <anchor moveWithCells="1">
                  <from>
                    <xdr:col>5</xdr:col>
                    <xdr:colOff>9525</xdr:colOff>
                    <xdr:row>91</xdr:row>
                    <xdr:rowOff>9525</xdr:rowOff>
                  </from>
                  <to>
                    <xdr:col>5</xdr:col>
                    <xdr:colOff>1485900</xdr:colOff>
                    <xdr:row>92</xdr:row>
                    <xdr:rowOff>0</xdr:rowOff>
                  </to>
                </anchor>
              </controlPr>
            </control>
          </mc:Choice>
        </mc:AlternateContent>
        <mc:AlternateContent xmlns:mc="http://schemas.openxmlformats.org/markup-compatibility/2006">
          <mc:Choice Requires="x14">
            <control shapeId="62696" r:id="rId38" name="Drop Down 232">
              <controlPr defaultSize="0" autoLine="0" autoPict="0">
                <anchor moveWithCells="1">
                  <from>
                    <xdr:col>5</xdr:col>
                    <xdr:colOff>9525</xdr:colOff>
                    <xdr:row>92</xdr:row>
                    <xdr:rowOff>9525</xdr:rowOff>
                  </from>
                  <to>
                    <xdr:col>5</xdr:col>
                    <xdr:colOff>1485900</xdr:colOff>
                    <xdr:row>93</xdr:row>
                    <xdr:rowOff>0</xdr:rowOff>
                  </to>
                </anchor>
              </controlPr>
            </control>
          </mc:Choice>
        </mc:AlternateContent>
        <mc:AlternateContent xmlns:mc="http://schemas.openxmlformats.org/markup-compatibility/2006">
          <mc:Choice Requires="x14">
            <control shapeId="62697" r:id="rId39" name="Drop Down 233">
              <controlPr defaultSize="0" autoLine="0" autoPict="0">
                <anchor moveWithCells="1">
                  <from>
                    <xdr:col>5</xdr:col>
                    <xdr:colOff>9525</xdr:colOff>
                    <xdr:row>93</xdr:row>
                    <xdr:rowOff>9525</xdr:rowOff>
                  </from>
                  <to>
                    <xdr:col>5</xdr:col>
                    <xdr:colOff>1485900</xdr:colOff>
                    <xdr:row>94</xdr:row>
                    <xdr:rowOff>0</xdr:rowOff>
                  </to>
                </anchor>
              </controlPr>
            </control>
          </mc:Choice>
        </mc:AlternateContent>
        <mc:AlternateContent xmlns:mc="http://schemas.openxmlformats.org/markup-compatibility/2006">
          <mc:Choice Requires="x14">
            <control shapeId="62698" r:id="rId40" name="Drop Down 234">
              <controlPr defaultSize="0" autoLine="0" autoPict="0">
                <anchor moveWithCells="1">
                  <from>
                    <xdr:col>5</xdr:col>
                    <xdr:colOff>9525</xdr:colOff>
                    <xdr:row>108</xdr:row>
                    <xdr:rowOff>9525</xdr:rowOff>
                  </from>
                  <to>
                    <xdr:col>5</xdr:col>
                    <xdr:colOff>1485900</xdr:colOff>
                    <xdr:row>109</xdr:row>
                    <xdr:rowOff>0</xdr:rowOff>
                  </to>
                </anchor>
              </controlPr>
            </control>
          </mc:Choice>
        </mc:AlternateContent>
        <mc:AlternateContent xmlns:mc="http://schemas.openxmlformats.org/markup-compatibility/2006">
          <mc:Choice Requires="x14">
            <control shapeId="62699" r:id="rId41" name="Drop Down 235">
              <controlPr defaultSize="0" autoLine="0" autoPict="0">
                <anchor moveWithCells="1">
                  <from>
                    <xdr:col>5</xdr:col>
                    <xdr:colOff>9525</xdr:colOff>
                    <xdr:row>110</xdr:row>
                    <xdr:rowOff>9525</xdr:rowOff>
                  </from>
                  <to>
                    <xdr:col>5</xdr:col>
                    <xdr:colOff>1485900</xdr:colOff>
                    <xdr:row>111</xdr:row>
                    <xdr:rowOff>0</xdr:rowOff>
                  </to>
                </anchor>
              </controlPr>
            </control>
          </mc:Choice>
        </mc:AlternateContent>
        <mc:AlternateContent xmlns:mc="http://schemas.openxmlformats.org/markup-compatibility/2006">
          <mc:Choice Requires="x14">
            <control shapeId="62700" r:id="rId42" name="Drop Down 236">
              <controlPr defaultSize="0" autoLine="0" autoPict="0">
                <anchor moveWithCells="1">
                  <from>
                    <xdr:col>5</xdr:col>
                    <xdr:colOff>9525</xdr:colOff>
                    <xdr:row>111</xdr:row>
                    <xdr:rowOff>9525</xdr:rowOff>
                  </from>
                  <to>
                    <xdr:col>5</xdr:col>
                    <xdr:colOff>1485900</xdr:colOff>
                    <xdr:row>112</xdr:row>
                    <xdr:rowOff>0</xdr:rowOff>
                  </to>
                </anchor>
              </controlPr>
            </control>
          </mc:Choice>
        </mc:AlternateContent>
        <mc:AlternateContent xmlns:mc="http://schemas.openxmlformats.org/markup-compatibility/2006">
          <mc:Choice Requires="x14">
            <control shapeId="62701" r:id="rId43" name="Drop Down 237">
              <controlPr defaultSize="0" autoLine="0" autoPict="0">
                <anchor moveWithCells="1">
                  <from>
                    <xdr:col>5</xdr:col>
                    <xdr:colOff>9525</xdr:colOff>
                    <xdr:row>112</xdr:row>
                    <xdr:rowOff>9525</xdr:rowOff>
                  </from>
                  <to>
                    <xdr:col>5</xdr:col>
                    <xdr:colOff>1485900</xdr:colOff>
                    <xdr:row>113</xdr:row>
                    <xdr:rowOff>0</xdr:rowOff>
                  </to>
                </anchor>
              </controlPr>
            </control>
          </mc:Choice>
        </mc:AlternateContent>
        <mc:AlternateContent xmlns:mc="http://schemas.openxmlformats.org/markup-compatibility/2006">
          <mc:Choice Requires="x14">
            <control shapeId="62702" r:id="rId44" name="Drop Down 238">
              <controlPr defaultSize="0" autoLine="0" autoPict="0">
                <anchor moveWithCells="1">
                  <from>
                    <xdr:col>5</xdr:col>
                    <xdr:colOff>9525</xdr:colOff>
                    <xdr:row>122</xdr:row>
                    <xdr:rowOff>9525</xdr:rowOff>
                  </from>
                  <to>
                    <xdr:col>5</xdr:col>
                    <xdr:colOff>1485900</xdr:colOff>
                    <xdr:row>123</xdr:row>
                    <xdr:rowOff>0</xdr:rowOff>
                  </to>
                </anchor>
              </controlPr>
            </control>
          </mc:Choice>
        </mc:AlternateContent>
        <mc:AlternateContent xmlns:mc="http://schemas.openxmlformats.org/markup-compatibility/2006">
          <mc:Choice Requires="x14">
            <control shapeId="62703" r:id="rId45" name="Drop Down 239">
              <controlPr defaultSize="0" autoLine="0" autoPict="0">
                <anchor moveWithCells="1">
                  <from>
                    <xdr:col>5</xdr:col>
                    <xdr:colOff>9525</xdr:colOff>
                    <xdr:row>123</xdr:row>
                    <xdr:rowOff>9525</xdr:rowOff>
                  </from>
                  <to>
                    <xdr:col>5</xdr:col>
                    <xdr:colOff>1485900</xdr:colOff>
                    <xdr:row>124</xdr:row>
                    <xdr:rowOff>0</xdr:rowOff>
                  </to>
                </anchor>
              </controlPr>
            </control>
          </mc:Choice>
        </mc:AlternateContent>
        <mc:AlternateContent xmlns:mc="http://schemas.openxmlformats.org/markup-compatibility/2006">
          <mc:Choice Requires="x14">
            <control shapeId="62704" r:id="rId46" name="Drop Down 240">
              <controlPr defaultSize="0" autoLine="0" autoPict="0">
                <anchor moveWithCells="1">
                  <from>
                    <xdr:col>5</xdr:col>
                    <xdr:colOff>9525</xdr:colOff>
                    <xdr:row>124</xdr:row>
                    <xdr:rowOff>9525</xdr:rowOff>
                  </from>
                  <to>
                    <xdr:col>5</xdr:col>
                    <xdr:colOff>1485900</xdr:colOff>
                    <xdr:row>125</xdr:row>
                    <xdr:rowOff>0</xdr:rowOff>
                  </to>
                </anchor>
              </controlPr>
            </control>
          </mc:Choice>
        </mc:AlternateContent>
        <mc:AlternateContent xmlns:mc="http://schemas.openxmlformats.org/markup-compatibility/2006">
          <mc:Choice Requires="x14">
            <control shapeId="62705" r:id="rId47" name="Drop Down 241">
              <controlPr defaultSize="0" autoLine="0" autoPict="0">
                <anchor moveWithCells="1">
                  <from>
                    <xdr:col>5</xdr:col>
                    <xdr:colOff>9525</xdr:colOff>
                    <xdr:row>139</xdr:row>
                    <xdr:rowOff>9525</xdr:rowOff>
                  </from>
                  <to>
                    <xdr:col>5</xdr:col>
                    <xdr:colOff>1485900</xdr:colOff>
                    <xdr:row>140</xdr:row>
                    <xdr:rowOff>0</xdr:rowOff>
                  </to>
                </anchor>
              </controlPr>
            </control>
          </mc:Choice>
        </mc:AlternateContent>
        <mc:AlternateContent xmlns:mc="http://schemas.openxmlformats.org/markup-compatibility/2006">
          <mc:Choice Requires="x14">
            <control shapeId="62706" r:id="rId48" name="Drop Down 242">
              <controlPr defaultSize="0" autoLine="0" autoPict="0">
                <anchor moveWithCells="1">
                  <from>
                    <xdr:col>5</xdr:col>
                    <xdr:colOff>9525</xdr:colOff>
                    <xdr:row>141</xdr:row>
                    <xdr:rowOff>9525</xdr:rowOff>
                  </from>
                  <to>
                    <xdr:col>5</xdr:col>
                    <xdr:colOff>1485900</xdr:colOff>
                    <xdr:row>142</xdr:row>
                    <xdr:rowOff>0</xdr:rowOff>
                  </to>
                </anchor>
              </controlPr>
            </control>
          </mc:Choice>
        </mc:AlternateContent>
        <mc:AlternateContent xmlns:mc="http://schemas.openxmlformats.org/markup-compatibility/2006">
          <mc:Choice Requires="x14">
            <control shapeId="62707" r:id="rId49" name="Drop Down 243">
              <controlPr defaultSize="0" autoLine="0" autoPict="0">
                <anchor moveWithCells="1">
                  <from>
                    <xdr:col>5</xdr:col>
                    <xdr:colOff>9525</xdr:colOff>
                    <xdr:row>142</xdr:row>
                    <xdr:rowOff>9525</xdr:rowOff>
                  </from>
                  <to>
                    <xdr:col>5</xdr:col>
                    <xdr:colOff>1485900</xdr:colOff>
                    <xdr:row>143</xdr:row>
                    <xdr:rowOff>0</xdr:rowOff>
                  </to>
                </anchor>
              </controlPr>
            </control>
          </mc:Choice>
        </mc:AlternateContent>
        <mc:AlternateContent xmlns:mc="http://schemas.openxmlformats.org/markup-compatibility/2006">
          <mc:Choice Requires="x14">
            <control shapeId="62708" r:id="rId50" name="Drop Down 244">
              <controlPr defaultSize="0" autoLine="0" autoPict="0">
                <anchor moveWithCells="1">
                  <from>
                    <xdr:col>5</xdr:col>
                    <xdr:colOff>9525</xdr:colOff>
                    <xdr:row>143</xdr:row>
                    <xdr:rowOff>9525</xdr:rowOff>
                  </from>
                  <to>
                    <xdr:col>5</xdr:col>
                    <xdr:colOff>1485900</xdr:colOff>
                    <xdr:row>144</xdr:row>
                    <xdr:rowOff>0</xdr:rowOff>
                  </to>
                </anchor>
              </controlPr>
            </control>
          </mc:Choice>
        </mc:AlternateContent>
        <mc:AlternateContent xmlns:mc="http://schemas.openxmlformats.org/markup-compatibility/2006">
          <mc:Choice Requires="x14">
            <control shapeId="62709" r:id="rId51" name="Drop Down 245">
              <controlPr defaultSize="0" autoLine="0" autoPict="0">
                <anchor moveWithCells="1">
                  <from>
                    <xdr:col>5</xdr:col>
                    <xdr:colOff>9525</xdr:colOff>
                    <xdr:row>153</xdr:row>
                    <xdr:rowOff>9525</xdr:rowOff>
                  </from>
                  <to>
                    <xdr:col>5</xdr:col>
                    <xdr:colOff>1485900</xdr:colOff>
                    <xdr:row>154</xdr:row>
                    <xdr:rowOff>0</xdr:rowOff>
                  </to>
                </anchor>
              </controlPr>
            </control>
          </mc:Choice>
        </mc:AlternateContent>
        <mc:AlternateContent xmlns:mc="http://schemas.openxmlformats.org/markup-compatibility/2006">
          <mc:Choice Requires="x14">
            <control shapeId="62710" r:id="rId52" name="Drop Down 246">
              <controlPr defaultSize="0" autoLine="0" autoPict="0">
                <anchor moveWithCells="1">
                  <from>
                    <xdr:col>5</xdr:col>
                    <xdr:colOff>9525</xdr:colOff>
                    <xdr:row>154</xdr:row>
                    <xdr:rowOff>9525</xdr:rowOff>
                  </from>
                  <to>
                    <xdr:col>5</xdr:col>
                    <xdr:colOff>1485900</xdr:colOff>
                    <xdr:row>155</xdr:row>
                    <xdr:rowOff>0</xdr:rowOff>
                  </to>
                </anchor>
              </controlPr>
            </control>
          </mc:Choice>
        </mc:AlternateContent>
        <mc:AlternateContent xmlns:mc="http://schemas.openxmlformats.org/markup-compatibility/2006">
          <mc:Choice Requires="x14">
            <control shapeId="62711" r:id="rId53" name="Drop Down 247">
              <controlPr defaultSize="0" autoLine="0" autoPict="0">
                <anchor moveWithCells="1">
                  <from>
                    <xdr:col>5</xdr:col>
                    <xdr:colOff>9525</xdr:colOff>
                    <xdr:row>155</xdr:row>
                    <xdr:rowOff>9525</xdr:rowOff>
                  </from>
                  <to>
                    <xdr:col>5</xdr:col>
                    <xdr:colOff>1485900</xdr:colOff>
                    <xdr:row>156</xdr:row>
                    <xdr:rowOff>0</xdr:rowOff>
                  </to>
                </anchor>
              </controlPr>
            </control>
          </mc:Choice>
        </mc:AlternateContent>
        <mc:AlternateContent xmlns:mc="http://schemas.openxmlformats.org/markup-compatibility/2006">
          <mc:Choice Requires="x14">
            <control shapeId="62732" r:id="rId54" name="Drop Down 268">
              <controlPr defaultSize="0" autoLine="0" autoPict="0">
                <anchor moveWithCells="1">
                  <from>
                    <xdr:col>3</xdr:col>
                    <xdr:colOff>200025</xdr:colOff>
                    <xdr:row>134</xdr:row>
                    <xdr:rowOff>171450</xdr:rowOff>
                  </from>
                  <to>
                    <xdr:col>4</xdr:col>
                    <xdr:colOff>1019175</xdr:colOff>
                    <xdr:row>135</xdr:row>
                    <xdr:rowOff>180975</xdr:rowOff>
                  </to>
                </anchor>
              </controlPr>
            </control>
          </mc:Choice>
        </mc:AlternateContent>
        <mc:AlternateContent xmlns:mc="http://schemas.openxmlformats.org/markup-compatibility/2006">
          <mc:Choice Requires="x14">
            <control shapeId="62784" r:id="rId55" name="Drop Down 320">
              <controlPr defaultSize="0" autoLine="0" autoPict="0">
                <anchor moveWithCells="1">
                  <from>
                    <xdr:col>5</xdr:col>
                    <xdr:colOff>9525</xdr:colOff>
                    <xdr:row>153</xdr:row>
                    <xdr:rowOff>9525</xdr:rowOff>
                  </from>
                  <to>
                    <xdr:col>5</xdr:col>
                    <xdr:colOff>1485900</xdr:colOff>
                    <xdr:row>154</xdr:row>
                    <xdr:rowOff>0</xdr:rowOff>
                  </to>
                </anchor>
              </controlPr>
            </control>
          </mc:Choice>
        </mc:AlternateContent>
        <mc:AlternateContent xmlns:mc="http://schemas.openxmlformats.org/markup-compatibility/2006">
          <mc:Choice Requires="x14">
            <control shapeId="62785" r:id="rId56" name="Drop Down 321">
              <controlPr defaultSize="0" autoLine="0" autoPict="0">
                <anchor moveWithCells="1">
                  <from>
                    <xdr:col>5</xdr:col>
                    <xdr:colOff>9525</xdr:colOff>
                    <xdr:row>154</xdr:row>
                    <xdr:rowOff>9525</xdr:rowOff>
                  </from>
                  <to>
                    <xdr:col>5</xdr:col>
                    <xdr:colOff>1485900</xdr:colOff>
                    <xdr:row>155</xdr:row>
                    <xdr:rowOff>0</xdr:rowOff>
                  </to>
                </anchor>
              </controlPr>
            </control>
          </mc:Choice>
        </mc:AlternateContent>
        <mc:AlternateContent xmlns:mc="http://schemas.openxmlformats.org/markup-compatibility/2006">
          <mc:Choice Requires="x14">
            <control shapeId="62786" r:id="rId57" name="Drop Down 322">
              <controlPr defaultSize="0" autoLine="0" autoPict="0">
                <anchor moveWithCells="1">
                  <from>
                    <xdr:col>5</xdr:col>
                    <xdr:colOff>9525</xdr:colOff>
                    <xdr:row>155</xdr:row>
                    <xdr:rowOff>9525</xdr:rowOff>
                  </from>
                  <to>
                    <xdr:col>5</xdr:col>
                    <xdr:colOff>1485900</xdr:colOff>
                    <xdr:row>156</xdr:row>
                    <xdr:rowOff>0</xdr:rowOff>
                  </to>
                </anchor>
              </controlPr>
            </control>
          </mc:Choice>
        </mc:AlternateContent>
        <mc:AlternateContent xmlns:mc="http://schemas.openxmlformats.org/markup-compatibility/2006">
          <mc:Choice Requires="x14">
            <control shapeId="62787" r:id="rId58" name="Drop Down 323">
              <controlPr defaultSize="0" autoLine="0" autoPict="0">
                <anchor moveWithCells="1">
                  <from>
                    <xdr:col>5</xdr:col>
                    <xdr:colOff>9525</xdr:colOff>
                    <xdr:row>139</xdr:row>
                    <xdr:rowOff>9525</xdr:rowOff>
                  </from>
                  <to>
                    <xdr:col>5</xdr:col>
                    <xdr:colOff>1485900</xdr:colOff>
                    <xdr:row>140</xdr:row>
                    <xdr:rowOff>0</xdr:rowOff>
                  </to>
                </anchor>
              </controlPr>
            </control>
          </mc:Choice>
        </mc:AlternateContent>
        <mc:AlternateContent xmlns:mc="http://schemas.openxmlformats.org/markup-compatibility/2006">
          <mc:Choice Requires="x14">
            <control shapeId="62788" r:id="rId59" name="Drop Down 324">
              <controlPr defaultSize="0" autoLine="0" autoPict="0">
                <anchor moveWithCells="1">
                  <from>
                    <xdr:col>5</xdr:col>
                    <xdr:colOff>9525</xdr:colOff>
                    <xdr:row>140</xdr:row>
                    <xdr:rowOff>9525</xdr:rowOff>
                  </from>
                  <to>
                    <xdr:col>5</xdr:col>
                    <xdr:colOff>1485900</xdr:colOff>
                    <xdr:row>141</xdr:row>
                    <xdr:rowOff>0</xdr:rowOff>
                  </to>
                </anchor>
              </controlPr>
            </control>
          </mc:Choice>
        </mc:AlternateContent>
        <mc:AlternateContent xmlns:mc="http://schemas.openxmlformats.org/markup-compatibility/2006">
          <mc:Choice Requires="x14">
            <control shapeId="62789" r:id="rId60" name="Drop Down 325">
              <controlPr defaultSize="0" autoLine="0" autoPict="0">
                <anchor moveWithCells="1">
                  <from>
                    <xdr:col>5</xdr:col>
                    <xdr:colOff>9525</xdr:colOff>
                    <xdr:row>141</xdr:row>
                    <xdr:rowOff>9525</xdr:rowOff>
                  </from>
                  <to>
                    <xdr:col>5</xdr:col>
                    <xdr:colOff>1485900</xdr:colOff>
                    <xdr:row>142</xdr:row>
                    <xdr:rowOff>0</xdr:rowOff>
                  </to>
                </anchor>
              </controlPr>
            </control>
          </mc:Choice>
        </mc:AlternateContent>
        <mc:AlternateContent xmlns:mc="http://schemas.openxmlformats.org/markup-compatibility/2006">
          <mc:Choice Requires="x14">
            <control shapeId="62790" r:id="rId61" name="Drop Down 326">
              <controlPr defaultSize="0" autoLine="0" autoPict="0">
                <anchor moveWithCells="1">
                  <from>
                    <xdr:col>5</xdr:col>
                    <xdr:colOff>9525</xdr:colOff>
                    <xdr:row>142</xdr:row>
                    <xdr:rowOff>9525</xdr:rowOff>
                  </from>
                  <to>
                    <xdr:col>5</xdr:col>
                    <xdr:colOff>1485900</xdr:colOff>
                    <xdr:row>143</xdr:row>
                    <xdr:rowOff>0</xdr:rowOff>
                  </to>
                </anchor>
              </controlPr>
            </control>
          </mc:Choice>
        </mc:AlternateContent>
        <mc:AlternateContent xmlns:mc="http://schemas.openxmlformats.org/markup-compatibility/2006">
          <mc:Choice Requires="x14">
            <control shapeId="62791" r:id="rId62" name="Drop Down 327">
              <controlPr defaultSize="0" autoLine="0" autoPict="0">
                <anchor moveWithCells="1">
                  <from>
                    <xdr:col>5</xdr:col>
                    <xdr:colOff>9525</xdr:colOff>
                    <xdr:row>143</xdr:row>
                    <xdr:rowOff>9525</xdr:rowOff>
                  </from>
                  <to>
                    <xdr:col>5</xdr:col>
                    <xdr:colOff>1485900</xdr:colOff>
                    <xdr:row>144</xdr:row>
                    <xdr:rowOff>0</xdr:rowOff>
                  </to>
                </anchor>
              </controlPr>
            </control>
          </mc:Choice>
        </mc:AlternateContent>
        <mc:AlternateContent xmlns:mc="http://schemas.openxmlformats.org/markup-compatibility/2006">
          <mc:Choice Requires="x14">
            <control shapeId="62792" r:id="rId63" name="Drop Down 328">
              <controlPr defaultSize="0" autoLine="0" autoPict="0">
                <anchor moveWithCells="1">
                  <from>
                    <xdr:col>3</xdr:col>
                    <xdr:colOff>200025</xdr:colOff>
                    <xdr:row>103</xdr:row>
                    <xdr:rowOff>171450</xdr:rowOff>
                  </from>
                  <to>
                    <xdr:col>4</xdr:col>
                    <xdr:colOff>1019175</xdr:colOff>
                    <xdr:row>104</xdr:row>
                    <xdr:rowOff>180975</xdr:rowOff>
                  </to>
                </anchor>
              </controlPr>
            </control>
          </mc:Choice>
        </mc:AlternateContent>
        <mc:AlternateContent xmlns:mc="http://schemas.openxmlformats.org/markup-compatibility/2006">
          <mc:Choice Requires="x14">
            <control shapeId="62793" r:id="rId64" name="Drop Down 329">
              <controlPr defaultSize="0" autoLine="0" autoPict="0">
                <anchor moveWithCells="1">
                  <from>
                    <xdr:col>3</xdr:col>
                    <xdr:colOff>200025</xdr:colOff>
                    <xdr:row>72</xdr:row>
                    <xdr:rowOff>171450</xdr:rowOff>
                  </from>
                  <to>
                    <xdr:col>4</xdr:col>
                    <xdr:colOff>1019175</xdr:colOff>
                    <xdr:row>73</xdr:row>
                    <xdr:rowOff>180975</xdr:rowOff>
                  </to>
                </anchor>
              </controlPr>
            </control>
          </mc:Choice>
        </mc:AlternateContent>
        <mc:AlternateContent xmlns:mc="http://schemas.openxmlformats.org/markup-compatibility/2006">
          <mc:Choice Requires="x14">
            <control shapeId="62794" r:id="rId65" name="Drop Down 330">
              <controlPr defaultSize="0" autoLine="0" autoPict="0">
                <anchor moveWithCells="1">
                  <from>
                    <xdr:col>3</xdr:col>
                    <xdr:colOff>200025</xdr:colOff>
                    <xdr:row>41</xdr:row>
                    <xdr:rowOff>171450</xdr:rowOff>
                  </from>
                  <to>
                    <xdr:col>4</xdr:col>
                    <xdr:colOff>1019175</xdr:colOff>
                    <xdr:row>42</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DropDown="1" showInputMessage="1" showErrorMessage="1">
          <x14:formula1>
            <xm:f>LISTEN!$B$6:$B$14</xm:f>
          </x14:formula1>
          <xm:sqref>B15:B32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1">
    <tabColor theme="9" tint="-0.249977111117893"/>
    <outlinePr summaryBelow="0" summaryRight="0"/>
    <pageSetUpPr fitToPage="1"/>
  </sheetPr>
  <dimension ref="A1:AO622"/>
  <sheetViews>
    <sheetView showGridLines="0" showRowColHeaders="0" showZeros="0" zoomScaleNormal="100" workbookViewId="0">
      <pane ySplit="20" topLeftCell="A27" activePane="bottomLeft" state="frozen"/>
      <selection activeCell="I16" sqref="I16"/>
      <selection pane="bottomLeft" activeCell="M27" sqref="M27"/>
    </sheetView>
  </sheetViews>
  <sheetFormatPr baseColWidth="10" defaultRowHeight="15" x14ac:dyDescent="0.25"/>
  <cols>
    <col min="1" max="1" width="4.28515625" style="460" customWidth="1"/>
    <col min="2" max="2" width="2.42578125" style="566" customWidth="1"/>
    <col min="3" max="3" width="3" style="460" customWidth="1"/>
    <col min="4" max="4" width="7.140625" style="460" customWidth="1"/>
    <col min="5" max="5" width="3" style="460" customWidth="1"/>
    <col min="6" max="6" width="6.42578125" style="460" customWidth="1"/>
    <col min="7" max="7" width="5.85546875" style="460" customWidth="1"/>
    <col min="8" max="9" width="8.28515625" style="460" customWidth="1"/>
    <col min="10" max="10" width="5" style="460" customWidth="1"/>
    <col min="11" max="11" width="5.5703125" style="567" customWidth="1"/>
    <col min="12" max="12" width="1.85546875" style="568" customWidth="1"/>
    <col min="13" max="13" width="6.42578125" style="460" customWidth="1"/>
    <col min="14" max="14" width="4.42578125" style="568" customWidth="1"/>
    <col min="15" max="15" width="11.7109375" style="460" customWidth="1"/>
    <col min="16" max="16" width="6.140625" style="460" customWidth="1"/>
    <col min="17" max="17" width="12.85546875" style="569" customWidth="1"/>
    <col min="18" max="18" width="5.28515625" style="460" customWidth="1"/>
    <col min="19" max="19" width="10.5703125" style="460" customWidth="1"/>
    <col min="20" max="20" width="5.42578125" style="460" customWidth="1"/>
    <col min="21" max="21" width="6" style="569" customWidth="1"/>
    <col min="22" max="22" width="8.42578125" style="460" customWidth="1"/>
    <col min="23" max="23" width="5" style="460" customWidth="1"/>
    <col min="24" max="24" width="6" style="460" customWidth="1"/>
    <col min="25" max="25" width="7.5703125" style="570" customWidth="1"/>
    <col min="26" max="26" width="4.42578125" style="567" customWidth="1"/>
    <col min="27" max="27" width="5.5703125" style="460" customWidth="1"/>
    <col min="28" max="28" width="8.28515625" style="460" customWidth="1"/>
    <col min="29" max="29" width="5" style="460" customWidth="1"/>
    <col min="30" max="30" width="6" style="395" customWidth="1"/>
    <col min="31" max="31" width="7.5703125" style="460" customWidth="1"/>
    <col min="32" max="32" width="2.7109375" style="460" customWidth="1"/>
    <col min="33" max="33" width="4.85546875" style="460" customWidth="1"/>
    <col min="34" max="34" width="2.7109375" style="460" customWidth="1"/>
    <col min="35" max="35" width="5.28515625" style="460" customWidth="1"/>
    <col min="36" max="36" width="2.7109375" style="460" customWidth="1"/>
    <col min="37" max="37" width="4.28515625" style="460" customWidth="1"/>
    <col min="38" max="16384" width="11.42578125" style="460"/>
  </cols>
  <sheetData>
    <row r="1" spans="1:41" ht="24.95" customHeight="1" x14ac:dyDescent="0.2">
      <c r="A1" s="459"/>
      <c r="B1" s="1609" t="str">
        <f>"Eingabe: Investitions- und Wartungskosten - Variante: "&amp;'1. Projektangaben'!C23&amp;" "&amp;LISTEN!E38&amp;""</f>
        <v xml:space="preserve">Eingabe: Investitions- und Wartungskosten - Variante: BTV-WDVS-WP-Abl-ohne Sol_PV </v>
      </c>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459"/>
    </row>
    <row r="2" spans="1:41" s="327" customFormat="1" ht="50.1" customHeight="1" x14ac:dyDescent="0.2">
      <c r="A2" s="440"/>
      <c r="B2" s="1164"/>
      <c r="C2" s="1165"/>
      <c r="D2" s="1165"/>
      <c r="E2" s="1165"/>
      <c r="F2" s="1165"/>
      <c r="G2" s="1165"/>
      <c r="H2" s="1165"/>
      <c r="I2" s="1165"/>
      <c r="J2" s="1165"/>
      <c r="K2" s="1165"/>
      <c r="L2" s="1165"/>
      <c r="M2" s="1165"/>
      <c r="N2" s="1165"/>
      <c r="O2" s="1165"/>
      <c r="P2" s="1165"/>
      <c r="Q2" s="1165"/>
      <c r="R2" s="1165"/>
      <c r="S2" s="1165"/>
      <c r="T2" s="1165"/>
      <c r="U2" s="440"/>
      <c r="V2" s="440"/>
      <c r="W2" s="440"/>
      <c r="X2" s="440"/>
      <c r="Y2" s="440"/>
      <c r="Z2" s="440"/>
      <c r="AA2" s="440"/>
      <c r="AB2" s="440"/>
      <c r="AC2" s="440"/>
      <c r="AD2" s="440"/>
      <c r="AE2" s="440"/>
      <c r="AF2" s="440"/>
      <c r="AG2" s="440"/>
      <c r="AH2" s="440"/>
      <c r="AI2" s="440"/>
      <c r="AJ2" s="440"/>
      <c r="AK2" s="440"/>
    </row>
    <row r="3" spans="1:41" ht="12.95" customHeight="1" x14ac:dyDescent="0.2">
      <c r="A3" s="440"/>
      <c r="B3" s="759" t="s">
        <v>104</v>
      </c>
      <c r="C3" s="380"/>
      <c r="D3" s="380"/>
      <c r="E3" s="380"/>
      <c r="F3" s="380"/>
      <c r="G3" s="380"/>
      <c r="H3" s="380"/>
      <c r="I3" s="380"/>
      <c r="J3" s="380"/>
      <c r="K3" s="463"/>
      <c r="L3" s="463"/>
      <c r="M3" s="380"/>
      <c r="N3" s="463"/>
      <c r="O3" s="380"/>
      <c r="P3" s="380"/>
      <c r="Q3" s="380"/>
      <c r="R3" s="380"/>
      <c r="S3" s="380"/>
      <c r="T3" s="380"/>
      <c r="U3" s="380"/>
      <c r="V3" s="380"/>
      <c r="W3" s="380"/>
      <c r="X3" s="380"/>
      <c r="Y3" s="380"/>
      <c r="Z3" s="380"/>
      <c r="AA3" s="380"/>
      <c r="AB3" s="380"/>
      <c r="AC3" s="380"/>
      <c r="AD3" s="464"/>
      <c r="AE3" s="464"/>
      <c r="AF3" s="464"/>
      <c r="AG3" s="464"/>
      <c r="AH3" s="464"/>
      <c r="AI3" s="464"/>
      <c r="AJ3" s="464"/>
      <c r="AK3" s="440"/>
    </row>
    <row r="4" spans="1:41" ht="12.95" customHeight="1" x14ac:dyDescent="0.25">
      <c r="A4" s="440"/>
      <c r="B4" s="323"/>
      <c r="C4" s="465"/>
      <c r="D4" s="465"/>
      <c r="E4" s="380"/>
      <c r="F4" s="380"/>
      <c r="G4" s="434" t="str">
        <f>'1. Projektangaben'!$B$4</f>
        <v>Bauvorhaben</v>
      </c>
      <c r="H4" s="404" t="str">
        <f>IF('1. Projektangaben'!$C$4="","",'1. Projektangaben'!$C$4)</f>
        <v>KliNaWo</v>
      </c>
      <c r="I4" s="405"/>
      <c r="J4" s="405"/>
      <c r="K4" s="405"/>
      <c r="L4" s="466"/>
      <c r="M4" s="467"/>
      <c r="N4" s="463"/>
      <c r="O4" s="434" t="str">
        <f>'1. Projektangaben'!$H$4</f>
        <v>Architekt</v>
      </c>
      <c r="P4" s="404" t="str">
        <f>IF('1. Projektangaben'!$I$4="","",'1. Projektangaben'!$I$4)</f>
        <v>Walser und Werle Architekten</v>
      </c>
      <c r="Q4" s="412"/>
      <c r="R4" s="422"/>
      <c r="S4" s="407"/>
      <c r="T4" s="380"/>
      <c r="U4" s="380"/>
      <c r="V4" s="380"/>
      <c r="W4" s="380"/>
      <c r="X4" s="380"/>
      <c r="Y4" s="380"/>
      <c r="Z4" s="380"/>
      <c r="AA4" s="380"/>
      <c r="AB4" s="380"/>
      <c r="AC4" s="380"/>
      <c r="AD4" s="464"/>
      <c r="AE4" s="464"/>
      <c r="AF4" s="464"/>
      <c r="AG4" s="464"/>
      <c r="AH4" s="464"/>
      <c r="AI4" s="464"/>
      <c r="AJ4" s="464"/>
      <c r="AK4" s="440"/>
    </row>
    <row r="5" spans="1:41" ht="12.95" customHeight="1" x14ac:dyDescent="0.25">
      <c r="A5" s="440"/>
      <c r="B5" s="323"/>
      <c r="C5" s="465"/>
      <c r="D5" s="465"/>
      <c r="E5" s="380"/>
      <c r="F5" s="380"/>
      <c r="G5" s="434" t="str">
        <f>'1. Projektangaben'!$B$5</f>
        <v>Bauherr</v>
      </c>
      <c r="H5" s="408" t="str">
        <f>IF('1. Projektangaben'!$C$5="","",'1. Projektangaben'!$C$5)</f>
        <v>privater Bauträger</v>
      </c>
      <c r="I5" s="444"/>
      <c r="J5" s="444"/>
      <c r="K5" s="405"/>
      <c r="L5" s="466"/>
      <c r="M5" s="467"/>
      <c r="N5" s="463"/>
      <c r="O5" s="434" t="str">
        <f>'1. Projektangaben'!$H$5</f>
        <v>Baujahr</v>
      </c>
      <c r="P5" s="410">
        <f>IF('1. Projektangaben'!$I$5="","",'1. Projektangaben'!$I$5)</f>
        <v>2017</v>
      </c>
      <c r="Q5" s="328"/>
      <c r="R5" s="380"/>
      <c r="S5" s="380"/>
      <c r="T5" s="380"/>
      <c r="U5" s="380"/>
      <c r="V5" s="380"/>
      <c r="W5" s="380"/>
      <c r="X5" s="380"/>
      <c r="Y5" s="380"/>
      <c r="Z5" s="380"/>
      <c r="AA5" s="380"/>
      <c r="AB5" s="380"/>
      <c r="AC5" s="380"/>
      <c r="AD5" s="464"/>
      <c r="AE5" s="464"/>
      <c r="AF5" s="464"/>
      <c r="AG5" s="464"/>
      <c r="AH5" s="464"/>
      <c r="AI5" s="464"/>
      <c r="AJ5" s="464"/>
      <c r="AK5" s="440"/>
    </row>
    <row r="6" spans="1:41" ht="12.95" customHeight="1" x14ac:dyDescent="0.25">
      <c r="A6" s="440"/>
      <c r="B6" s="323"/>
      <c r="C6" s="465"/>
      <c r="D6" s="465"/>
      <c r="E6" s="380"/>
      <c r="F6" s="380"/>
      <c r="G6" s="434" t="str">
        <f>'1. Projektangaben'!$B$6</f>
        <v>Adresse, Ort</v>
      </c>
      <c r="H6" s="404" t="str">
        <f>IF('1. Projektangaben'!$C$6="","",'1. Projektangaben'!$C$6)</f>
        <v>Siedlungsstrasse, Feldkirch</v>
      </c>
      <c r="I6" s="442"/>
      <c r="J6" s="468"/>
      <c r="K6" s="405"/>
      <c r="L6" s="466"/>
      <c r="M6" s="467"/>
      <c r="N6" s="463"/>
      <c r="O6" s="434" t="str">
        <f>'1. Projektangaben'!$H$6</f>
        <v>Personen</v>
      </c>
      <c r="P6" s="410">
        <f>IF('1. Projektangaben'!$I$6="","",'1. Projektangaben'!$I$6)</f>
        <v>54</v>
      </c>
      <c r="Q6" s="316"/>
      <c r="R6" s="380"/>
      <c r="S6" s="380"/>
      <c r="T6" s="380"/>
      <c r="U6" s="380"/>
      <c r="V6" s="380"/>
      <c r="W6" s="380"/>
      <c r="X6" s="380"/>
      <c r="Y6" s="380"/>
      <c r="Z6" s="380"/>
      <c r="AA6" s="380"/>
      <c r="AB6" s="380"/>
      <c r="AC6" s="380"/>
      <c r="AD6" s="464"/>
      <c r="AE6" s="464"/>
      <c r="AF6" s="464"/>
      <c r="AG6" s="464"/>
      <c r="AH6" s="464"/>
      <c r="AI6" s="464"/>
      <c r="AJ6" s="464"/>
      <c r="AK6" s="440"/>
    </row>
    <row r="7" spans="1:41" ht="12.95" customHeight="1" x14ac:dyDescent="0.25">
      <c r="A7" s="440"/>
      <c r="B7" s="323"/>
      <c r="C7" s="465"/>
      <c r="D7" s="465"/>
      <c r="E7" s="380"/>
      <c r="F7" s="380"/>
      <c r="G7" s="434" t="str">
        <f>'1. Projektangaben'!$B$7</f>
        <v>Gebäudetyp</v>
      </c>
      <c r="H7" s="404" t="str">
        <f>IF('1. Projektangaben'!$C$7="","",'1. Projektangaben'!$C$7)</f>
        <v>Mehrfamilienhaus</v>
      </c>
      <c r="I7" s="412"/>
      <c r="J7" s="404" t="str">
        <f>'1. Projektangaben'!$E$7</f>
        <v>18+1 WE</v>
      </c>
      <c r="K7" s="411"/>
      <c r="L7" s="466"/>
      <c r="M7" s="467"/>
      <c r="N7" s="463"/>
      <c r="O7" s="434" t="str">
        <f>'1. Projektangaben'!$H$7</f>
        <v>Anmerkung</v>
      </c>
      <c r="P7" s="404" t="str">
        <f>IF('1. Projektangaben'!$I$7="","",'1. Projektangaben'!$I$7)</f>
        <v>Beispiele verschiedener Varianten</v>
      </c>
      <c r="Q7" s="422"/>
      <c r="R7" s="422"/>
      <c r="S7" s="407"/>
      <c r="T7" s="380"/>
      <c r="U7" s="380"/>
      <c r="V7" s="380"/>
      <c r="W7" s="380"/>
      <c r="X7" s="380"/>
      <c r="Y7" s="380"/>
      <c r="Z7" s="380"/>
      <c r="AA7" s="380"/>
      <c r="AB7" s="380"/>
      <c r="AC7" s="380"/>
      <c r="AD7" s="464"/>
      <c r="AE7" s="464"/>
      <c r="AF7" s="464"/>
      <c r="AG7" s="464"/>
      <c r="AH7" s="464"/>
      <c r="AI7" s="464"/>
      <c r="AJ7" s="464"/>
      <c r="AK7" s="440"/>
    </row>
    <row r="8" spans="1:41" s="327" customFormat="1" ht="12.95" customHeight="1" x14ac:dyDescent="0.2">
      <c r="A8" s="440"/>
      <c r="B8" s="446"/>
      <c r="C8" s="316"/>
      <c r="D8" s="316"/>
      <c r="E8" s="316"/>
      <c r="F8" s="316"/>
      <c r="G8" s="434" t="s">
        <v>111</v>
      </c>
      <c r="H8" s="469" t="str">
        <f>'1. Projektangaben'!E23</f>
        <v>BTV</v>
      </c>
      <c r="I8" s="446"/>
      <c r="J8" s="470"/>
      <c r="K8" s="328"/>
      <c r="L8" s="316"/>
      <c r="M8" s="316"/>
      <c r="N8" s="328"/>
      <c r="O8" s="434" t="str">
        <f>'1. Projektangaben'!G22</f>
        <v>EBF</v>
      </c>
      <c r="P8" s="471">
        <f>'1. Projektangaben'!G23</f>
        <v>1410.2</v>
      </c>
      <c r="Q8" s="316" t="s">
        <v>67</v>
      </c>
      <c r="R8" s="316"/>
      <c r="S8" s="323"/>
      <c r="T8" s="316"/>
      <c r="U8" s="323"/>
      <c r="V8" s="316"/>
      <c r="W8" s="316"/>
      <c r="X8" s="316"/>
      <c r="Y8" s="316"/>
      <c r="Z8" s="316"/>
      <c r="AA8" s="316"/>
      <c r="AB8" s="316"/>
      <c r="AC8" s="316"/>
      <c r="AD8" s="472"/>
      <c r="AE8" s="472"/>
      <c r="AF8" s="472"/>
      <c r="AG8" s="472"/>
      <c r="AH8" s="472"/>
      <c r="AI8" s="472"/>
      <c r="AJ8" s="472"/>
      <c r="AK8" s="440"/>
    </row>
    <row r="9" spans="1:41" ht="12.95" customHeight="1" x14ac:dyDescent="0.2">
      <c r="A9" s="440"/>
      <c r="B9" s="323"/>
      <c r="C9" s="380"/>
      <c r="D9" s="380"/>
      <c r="E9" s="380"/>
      <c r="F9" s="380"/>
      <c r="G9" s="380"/>
      <c r="H9" s="380"/>
      <c r="I9" s="380"/>
      <c r="J9" s="380"/>
      <c r="K9" s="463"/>
      <c r="L9" s="463"/>
      <c r="M9" s="380"/>
      <c r="N9" s="463"/>
      <c r="O9" s="380"/>
      <c r="P9" s="380"/>
      <c r="Q9" s="380"/>
      <c r="R9" s="380"/>
      <c r="S9" s="380"/>
      <c r="T9" s="380"/>
      <c r="U9" s="380"/>
      <c r="V9" s="380"/>
      <c r="W9" s="380"/>
      <c r="X9" s="380"/>
      <c r="Y9" s="380"/>
      <c r="Z9" s="380"/>
      <c r="AA9" s="380"/>
      <c r="AB9" s="380"/>
      <c r="AC9" s="380"/>
      <c r="AD9" s="464"/>
      <c r="AE9" s="464"/>
      <c r="AF9" s="464"/>
      <c r="AG9" s="464"/>
      <c r="AH9" s="464"/>
      <c r="AI9" s="464"/>
      <c r="AJ9" s="464"/>
      <c r="AK9" s="440"/>
    </row>
    <row r="10" spans="1:41" ht="12.95" customHeight="1" x14ac:dyDescent="0.2">
      <c r="A10" s="440"/>
      <c r="B10" s="1043"/>
      <c r="C10" s="380"/>
      <c r="D10" s="380"/>
      <c r="E10" s="380"/>
      <c r="F10" s="380"/>
      <c r="G10" s="380"/>
      <c r="H10" s="380"/>
      <c r="I10" s="380"/>
      <c r="J10" s="380"/>
      <c r="K10" s="463"/>
      <c r="L10" s="463"/>
      <c r="M10" s="380"/>
      <c r="N10" s="463"/>
      <c r="O10" s="380"/>
      <c r="P10" s="380"/>
      <c r="Q10" s="380"/>
      <c r="R10" s="380"/>
      <c r="S10" s="380"/>
      <c r="T10" s="380"/>
      <c r="U10" s="380"/>
      <c r="V10" s="380"/>
      <c r="W10" s="380"/>
      <c r="X10" s="380"/>
      <c r="Y10" s="380"/>
      <c r="Z10" s="380"/>
      <c r="AA10" s="380"/>
      <c r="AB10" s="380"/>
      <c r="AC10" s="380"/>
      <c r="AD10" s="464"/>
      <c r="AE10" s="464"/>
      <c r="AF10" s="464"/>
      <c r="AG10" s="464"/>
      <c r="AH10" s="464"/>
      <c r="AI10" s="464"/>
      <c r="AJ10" s="464"/>
      <c r="AK10" s="440"/>
    </row>
    <row r="11" spans="1:41" s="327" customFormat="1" ht="39.950000000000003" customHeight="1" x14ac:dyDescent="0.2">
      <c r="A11" s="440"/>
      <c r="B11" s="1164"/>
      <c r="C11" s="1165"/>
      <c r="D11" s="1165"/>
      <c r="E11" s="1165"/>
      <c r="F11" s="1165"/>
      <c r="G11" s="1165"/>
      <c r="H11" s="1165"/>
      <c r="I11" s="1165"/>
      <c r="J11" s="1165"/>
      <c r="K11" s="1165"/>
      <c r="L11" s="1165"/>
      <c r="M11" s="1165"/>
      <c r="N11" s="1165"/>
      <c r="O11" s="1165"/>
      <c r="P11" s="1165"/>
      <c r="Q11" s="1165"/>
      <c r="R11" s="1165"/>
      <c r="S11" s="1165"/>
      <c r="T11" s="1165"/>
      <c r="U11" s="440"/>
      <c r="V11" s="440"/>
      <c r="W11" s="440"/>
      <c r="X11" s="440"/>
      <c r="Y11" s="440"/>
      <c r="Z11" s="440"/>
      <c r="AA11" s="440"/>
      <c r="AB11" s="440"/>
      <c r="AC11" s="440"/>
      <c r="AD11" s="440"/>
      <c r="AE11" s="440"/>
      <c r="AF11" s="440"/>
      <c r="AG11" s="440"/>
      <c r="AH11" s="440"/>
      <c r="AI11" s="440"/>
      <c r="AJ11" s="440"/>
      <c r="AK11" s="440"/>
    </row>
    <row r="12" spans="1:41" ht="12.95" customHeight="1" x14ac:dyDescent="0.2">
      <c r="A12" s="440"/>
      <c r="B12" s="1043"/>
      <c r="C12" s="380"/>
      <c r="D12" s="380"/>
      <c r="E12" s="380"/>
      <c r="F12" s="380"/>
      <c r="G12" s="380"/>
      <c r="H12" s="380"/>
      <c r="I12" s="380"/>
      <c r="J12" s="380"/>
      <c r="K12" s="463"/>
      <c r="L12" s="463"/>
      <c r="M12" s="380"/>
      <c r="N12" s="463"/>
      <c r="O12" s="380"/>
      <c r="P12" s="380"/>
      <c r="Q12" s="380"/>
      <c r="R12" s="380"/>
      <c r="S12" s="380"/>
      <c r="T12" s="380"/>
      <c r="U12" s="380"/>
      <c r="V12" s="380"/>
      <c r="W12" s="380"/>
      <c r="X12" s="380"/>
      <c r="Y12" s="380"/>
      <c r="Z12" s="380"/>
      <c r="AA12" s="380"/>
      <c r="AB12" s="380"/>
      <c r="AC12" s="380"/>
      <c r="AD12" s="464"/>
      <c r="AE12" s="464"/>
      <c r="AF12" s="464"/>
      <c r="AG12" s="464"/>
      <c r="AH12" s="464"/>
      <c r="AI12" s="464"/>
      <c r="AJ12" s="464"/>
      <c r="AK12" s="440"/>
      <c r="AO12" s="1064"/>
    </row>
    <row r="13" spans="1:41" ht="12.95" customHeight="1" x14ac:dyDescent="0.2">
      <c r="A13" s="440"/>
      <c r="B13" s="1043"/>
      <c r="C13" s="380"/>
      <c r="D13" s="380"/>
      <c r="E13" s="1065" t="s">
        <v>704</v>
      </c>
      <c r="F13" s="380"/>
      <c r="G13" s="380"/>
      <c r="H13" s="380"/>
      <c r="I13" s="380"/>
      <c r="J13" s="380"/>
      <c r="K13" s="463"/>
      <c r="L13" s="463"/>
      <c r="M13" s="1600" t="s">
        <v>705</v>
      </c>
      <c r="N13" s="1601"/>
      <c r="O13" s="1602"/>
      <c r="P13" s="380"/>
      <c r="Q13" s="380"/>
      <c r="R13" s="380"/>
      <c r="S13" s="380"/>
      <c r="T13" s="380"/>
      <c r="U13" s="380"/>
      <c r="V13" s="380"/>
      <c r="W13" s="380"/>
      <c r="X13" s="380"/>
      <c r="Y13" s="380"/>
      <c r="Z13" s="380"/>
      <c r="AA13" s="380"/>
      <c r="AB13" s="380"/>
      <c r="AC13" s="380"/>
      <c r="AD13" s="464"/>
      <c r="AE13" s="464"/>
      <c r="AF13" s="464"/>
      <c r="AG13" s="464"/>
      <c r="AH13" s="464"/>
      <c r="AI13" s="464"/>
      <c r="AJ13" s="464"/>
      <c r="AK13" s="440"/>
      <c r="AO13" s="1064"/>
    </row>
    <row r="14" spans="1:41" ht="12.95" customHeight="1" x14ac:dyDescent="0.2">
      <c r="A14" s="440"/>
      <c r="B14" s="1043"/>
      <c r="C14" s="380"/>
      <c r="D14" s="380"/>
      <c r="E14" s="380"/>
      <c r="F14" s="380"/>
      <c r="G14" s="380"/>
      <c r="H14" s="380"/>
      <c r="I14" s="380"/>
      <c r="J14" s="380"/>
      <c r="K14" s="463"/>
      <c r="L14" s="463"/>
      <c r="M14" s="380"/>
      <c r="N14" s="463"/>
      <c r="O14" s="380"/>
      <c r="P14" s="380"/>
      <c r="Q14" s="380"/>
      <c r="R14" s="380"/>
      <c r="S14" s="380"/>
      <c r="T14" s="380"/>
      <c r="U14" s="380"/>
      <c r="V14" s="380"/>
      <c r="W14" s="380"/>
      <c r="X14" s="380"/>
      <c r="Y14" s="380"/>
      <c r="Z14" s="380"/>
      <c r="AA14" s="380"/>
      <c r="AB14" s="380"/>
      <c r="AC14" s="380"/>
      <c r="AD14" s="464"/>
      <c r="AE14" s="464"/>
      <c r="AF14" s="464"/>
      <c r="AG14" s="464"/>
      <c r="AH14" s="464"/>
      <c r="AI14" s="464"/>
      <c r="AJ14" s="464"/>
      <c r="AK14" s="440"/>
      <c r="AO14" s="1064"/>
    </row>
    <row r="15" spans="1:41" ht="12.95" customHeight="1" x14ac:dyDescent="0.2">
      <c r="A15" s="440"/>
      <c r="B15" s="1043"/>
      <c r="C15" s="380"/>
      <c r="D15" s="380"/>
      <c r="E15" s="380"/>
      <c r="F15" s="380"/>
      <c r="G15" s="380"/>
      <c r="H15" s="380"/>
      <c r="I15" s="380"/>
      <c r="J15" s="380"/>
      <c r="K15" s="463"/>
      <c r="L15" s="463"/>
      <c r="M15" s="380"/>
      <c r="N15" s="463"/>
      <c r="O15" s="380"/>
      <c r="P15" s="380"/>
      <c r="Q15" s="380"/>
      <c r="R15" s="380"/>
      <c r="S15" s="380"/>
      <c r="T15" s="380"/>
      <c r="U15" s="380"/>
      <c r="V15" s="380"/>
      <c r="W15" s="380"/>
      <c r="X15" s="380"/>
      <c r="Y15" s="380"/>
      <c r="Z15" s="380"/>
      <c r="AA15" s="380"/>
      <c r="AB15" s="380"/>
      <c r="AC15" s="380"/>
      <c r="AD15" s="464"/>
      <c r="AE15" s="464"/>
      <c r="AF15" s="464"/>
      <c r="AG15" s="464"/>
      <c r="AH15" s="464"/>
      <c r="AI15" s="464"/>
      <c r="AJ15" s="464"/>
      <c r="AK15" s="440"/>
      <c r="AO15" s="1064"/>
    </row>
    <row r="16" spans="1:41" ht="12.95" customHeight="1" x14ac:dyDescent="0.2">
      <c r="A16" s="440"/>
      <c r="B16" s="1043"/>
      <c r="C16" s="380"/>
      <c r="D16" s="380"/>
      <c r="E16" s="380"/>
      <c r="F16" s="380"/>
      <c r="G16" s="380"/>
      <c r="H16" s="380"/>
      <c r="I16" s="380"/>
      <c r="J16" s="380"/>
      <c r="K16" s="463"/>
      <c r="L16" s="463"/>
      <c r="M16" s="380"/>
      <c r="N16" s="463"/>
      <c r="O16" s="380"/>
      <c r="P16" s="380"/>
      <c r="Q16" s="380"/>
      <c r="R16" s="380"/>
      <c r="S16" s="380"/>
      <c r="T16" s="380"/>
      <c r="U16" s="380"/>
      <c r="V16" s="380"/>
      <c r="W16" s="380"/>
      <c r="X16" s="380"/>
      <c r="Y16" s="380"/>
      <c r="Z16" s="380"/>
      <c r="AA16" s="380"/>
      <c r="AB16" s="380"/>
      <c r="AC16" s="380"/>
      <c r="AD16" s="464"/>
      <c r="AE16" s="464"/>
      <c r="AF16" s="464"/>
      <c r="AG16" s="464"/>
      <c r="AH16" s="464"/>
      <c r="AI16" s="464"/>
      <c r="AJ16" s="464"/>
      <c r="AK16" s="440"/>
      <c r="AO16" s="1064"/>
    </row>
    <row r="17" spans="1:37" s="327" customFormat="1" ht="39.950000000000003" customHeight="1" x14ac:dyDescent="0.2">
      <c r="A17" s="440"/>
      <c r="B17" s="1164"/>
      <c r="C17" s="1165"/>
      <c r="D17" s="1165"/>
      <c r="E17" s="1165"/>
      <c r="F17" s="1165"/>
      <c r="G17" s="1165"/>
      <c r="H17" s="1165"/>
      <c r="I17" s="1165"/>
      <c r="J17" s="1165"/>
      <c r="K17" s="1165"/>
      <c r="L17" s="1165"/>
      <c r="M17" s="1165"/>
      <c r="N17" s="1165"/>
      <c r="O17" s="1165"/>
      <c r="P17" s="1165"/>
      <c r="Q17" s="1165"/>
      <c r="R17" s="1165"/>
      <c r="S17" s="1165"/>
      <c r="T17" s="1165"/>
      <c r="U17" s="440"/>
      <c r="V17" s="440"/>
      <c r="W17" s="440"/>
      <c r="X17" s="440"/>
      <c r="Y17" s="440"/>
      <c r="Z17" s="440"/>
      <c r="AA17" s="440"/>
      <c r="AB17" s="440"/>
      <c r="AC17" s="440"/>
      <c r="AD17" s="440"/>
      <c r="AE17" s="440"/>
      <c r="AF17" s="440"/>
      <c r="AG17" s="440"/>
      <c r="AH17" s="440"/>
      <c r="AI17" s="440"/>
      <c r="AJ17" s="440"/>
      <c r="AK17" s="440"/>
    </row>
    <row r="18" spans="1:37" ht="15" customHeight="1" x14ac:dyDescent="0.2">
      <c r="A18" s="440"/>
      <c r="B18" s="413"/>
      <c r="C18" s="380"/>
      <c r="D18" s="380"/>
      <c r="E18" s="380"/>
      <c r="F18" s="380"/>
      <c r="G18" s="380"/>
      <c r="H18" s="380"/>
      <c r="I18" s="473"/>
      <c r="J18" s="1598" t="s">
        <v>176</v>
      </c>
      <c r="K18" s="1598"/>
      <c r="L18" s="474"/>
      <c r="M18" s="475" t="s">
        <v>467</v>
      </c>
      <c r="N18" s="476" t="s">
        <v>141</v>
      </c>
      <c r="O18" s="477" t="s">
        <v>466</v>
      </c>
      <c r="P18" s="478" t="s">
        <v>451</v>
      </c>
      <c r="Q18" s="479" t="s">
        <v>462</v>
      </c>
      <c r="R18" s="479" t="s">
        <v>142</v>
      </c>
      <c r="S18" s="478" t="s">
        <v>62</v>
      </c>
      <c r="T18" s="379"/>
      <c r="U18" s="1598" t="s">
        <v>190</v>
      </c>
      <c r="V18" s="1598"/>
      <c r="W18" s="1598"/>
      <c r="X18" s="1598"/>
      <c r="Y18" s="1598"/>
      <c r="Z18" s="480"/>
      <c r="AA18" s="1598" t="s">
        <v>63</v>
      </c>
      <c r="AB18" s="1598"/>
      <c r="AC18" s="1598"/>
      <c r="AD18" s="1598"/>
      <c r="AE18" s="1598"/>
      <c r="AF18" s="379"/>
      <c r="AG18" s="379"/>
      <c r="AH18" s="379"/>
      <c r="AI18" s="481" t="s">
        <v>175</v>
      </c>
      <c r="AJ18" s="379"/>
      <c r="AK18" s="440"/>
    </row>
    <row r="19" spans="1:37" ht="15" customHeight="1" x14ac:dyDescent="0.2">
      <c r="A19" s="440"/>
      <c r="B19" s="413"/>
      <c r="C19" s="380"/>
      <c r="D19" s="380"/>
      <c r="E19" s="380"/>
      <c r="F19" s="380"/>
      <c r="G19" s="380"/>
      <c r="H19" s="380"/>
      <c r="I19" s="473"/>
      <c r="J19" s="1598" t="s">
        <v>169</v>
      </c>
      <c r="K19" s="1598"/>
      <c r="L19" s="474"/>
      <c r="M19" s="475"/>
      <c r="N19" s="476"/>
      <c r="O19" s="477"/>
      <c r="P19" s="478"/>
      <c r="Q19" s="479"/>
      <c r="R19" s="479"/>
      <c r="S19" s="478"/>
      <c r="T19" s="379"/>
      <c r="U19" s="1598" t="s">
        <v>463</v>
      </c>
      <c r="V19" s="1598"/>
      <c r="W19" s="435"/>
      <c r="X19" s="1598" t="s">
        <v>249</v>
      </c>
      <c r="Y19" s="1598"/>
      <c r="Z19" s="480"/>
      <c r="AA19" s="1598" t="s">
        <v>463</v>
      </c>
      <c r="AB19" s="1598"/>
      <c r="AC19" s="435"/>
      <c r="AD19" s="1598" t="s">
        <v>249</v>
      </c>
      <c r="AE19" s="1598"/>
      <c r="AF19" s="379"/>
      <c r="AG19" s="1598" t="s">
        <v>715</v>
      </c>
      <c r="AH19" s="1598"/>
      <c r="AI19" s="481"/>
      <c r="AJ19" s="379"/>
      <c r="AK19" s="440"/>
    </row>
    <row r="20" spans="1:37" ht="12" customHeight="1" x14ac:dyDescent="0.2">
      <c r="A20" s="440"/>
      <c r="B20" s="413"/>
      <c r="C20" s="380"/>
      <c r="D20" s="380"/>
      <c r="E20" s="380"/>
      <c r="F20" s="380"/>
      <c r="G20" s="380"/>
      <c r="H20" s="380"/>
      <c r="I20" s="473"/>
      <c r="J20" s="473"/>
      <c r="K20" s="473"/>
      <c r="L20" s="473"/>
      <c r="M20" s="473"/>
      <c r="N20" s="473"/>
      <c r="O20" s="473"/>
      <c r="P20" s="473"/>
      <c r="Q20" s="372"/>
      <c r="R20" s="372"/>
      <c r="S20" s="372" t="s">
        <v>65</v>
      </c>
      <c r="T20" s="372"/>
      <c r="U20" s="372" t="s">
        <v>64</v>
      </c>
      <c r="V20" s="319" t="s">
        <v>93</v>
      </c>
      <c r="W20" s="372"/>
      <c r="X20" s="372" t="s">
        <v>64</v>
      </c>
      <c r="Y20" s="319" t="s">
        <v>93</v>
      </c>
      <c r="Z20" s="372"/>
      <c r="AA20" s="372" t="s">
        <v>64</v>
      </c>
      <c r="AB20" s="372" t="s">
        <v>93</v>
      </c>
      <c r="AC20" s="372"/>
      <c r="AD20" s="372" t="s">
        <v>64</v>
      </c>
      <c r="AE20" s="372" t="s">
        <v>93</v>
      </c>
      <c r="AF20" s="372"/>
      <c r="AG20" s="372" t="s">
        <v>66</v>
      </c>
      <c r="AH20" s="372"/>
      <c r="AI20" s="482" t="s">
        <v>66</v>
      </c>
      <c r="AJ20" s="372"/>
      <c r="AK20" s="440"/>
    </row>
    <row r="21" spans="1:37" ht="12" customHeight="1" x14ac:dyDescent="0.2">
      <c r="A21" s="440"/>
      <c r="B21" s="413"/>
      <c r="C21" s="380"/>
      <c r="D21" s="380"/>
      <c r="E21" s="380"/>
      <c r="F21" s="380"/>
      <c r="G21" s="380"/>
      <c r="H21" s="380"/>
      <c r="I21" s="473"/>
      <c r="J21" s="435"/>
      <c r="K21" s="435"/>
      <c r="L21" s="473"/>
      <c r="M21" s="473"/>
      <c r="N21" s="473"/>
      <c r="O21" s="473"/>
      <c r="P21" s="473"/>
      <c r="Q21" s="372"/>
      <c r="R21" s="372"/>
      <c r="S21" s="372"/>
      <c r="T21" s="372"/>
      <c r="U21" s="372"/>
      <c r="V21" s="319"/>
      <c r="W21" s="372"/>
      <c r="X21" s="372"/>
      <c r="Y21" s="319"/>
      <c r="Z21" s="372"/>
      <c r="AA21" s="372"/>
      <c r="AB21" s="372"/>
      <c r="AC21" s="372"/>
      <c r="AD21" s="372"/>
      <c r="AE21" s="372"/>
      <c r="AF21" s="372"/>
      <c r="AG21" s="372"/>
      <c r="AH21" s="372"/>
      <c r="AI21" s="482"/>
      <c r="AJ21" s="372"/>
      <c r="AK21" s="440"/>
    </row>
    <row r="22" spans="1:37" ht="12" customHeight="1" x14ac:dyDescent="0.2">
      <c r="A22" s="440"/>
      <c r="B22" s="413"/>
      <c r="C22" s="380"/>
      <c r="D22" s="380"/>
      <c r="E22" s="380"/>
      <c r="F22" s="380"/>
      <c r="G22" s="380"/>
      <c r="H22" s="380"/>
      <c r="I22" s="473"/>
      <c r="J22" s="435"/>
      <c r="K22" s="435"/>
      <c r="L22" s="473"/>
      <c r="M22" s="473"/>
      <c r="N22" s="473"/>
      <c r="O22" s="473"/>
      <c r="P22" s="473"/>
      <c r="Q22" s="372"/>
      <c r="R22" s="372"/>
      <c r="S22" s="372"/>
      <c r="T22" s="372"/>
      <c r="U22" s="372"/>
      <c r="V22" s="319"/>
      <c r="W22" s="372"/>
      <c r="X22" s="372"/>
      <c r="Y22" s="319"/>
      <c r="Z22" s="372"/>
      <c r="AA22" s="372"/>
      <c r="AB22" s="372"/>
      <c r="AC22" s="372"/>
      <c r="AD22" s="372"/>
      <c r="AE22" s="372"/>
      <c r="AF22" s="372"/>
      <c r="AG22" s="372"/>
      <c r="AH22" s="372"/>
      <c r="AI22" s="482"/>
      <c r="AJ22" s="372"/>
      <c r="AK22" s="440"/>
    </row>
    <row r="23" spans="1:37" s="492" customFormat="1" ht="12.75" customHeight="1" collapsed="1" x14ac:dyDescent="0.25">
      <c r="A23" s="483"/>
      <c r="B23" s="484"/>
      <c r="C23" s="485"/>
      <c r="D23" s="486"/>
      <c r="E23" s="1610" t="s">
        <v>461</v>
      </c>
      <c r="F23" s="1610"/>
      <c r="G23" s="1610"/>
      <c r="H23" s="1610"/>
      <c r="I23" s="1611"/>
      <c r="J23" s="487"/>
      <c r="K23" s="488"/>
      <c r="L23" s="488"/>
      <c r="M23" s="489"/>
      <c r="N23" s="490"/>
      <c r="O23" s="431"/>
      <c r="P23" s="431"/>
      <c r="Q23" s="431"/>
      <c r="R23" s="431"/>
      <c r="S23" s="430">
        <f>SUM(BERECHNUNG!O199:O305)</f>
        <v>4009401.3840000001</v>
      </c>
      <c r="T23" s="431"/>
      <c r="U23" s="431"/>
      <c r="V23" s="431"/>
      <c r="W23" s="431"/>
      <c r="X23" s="431"/>
      <c r="Y23" s="431"/>
      <c r="Z23" s="431"/>
      <c r="AA23" s="431"/>
      <c r="AB23" s="431"/>
      <c r="AC23" s="431"/>
      <c r="AD23" s="431"/>
      <c r="AE23" s="431"/>
      <c r="AF23" s="431"/>
      <c r="AG23" s="431"/>
      <c r="AH23" s="431"/>
      <c r="AI23" s="491"/>
      <c r="AJ23" s="431"/>
      <c r="AK23" s="483"/>
    </row>
    <row r="24" spans="1:37" ht="12.75" customHeight="1" x14ac:dyDescent="0.25">
      <c r="A24" s="440"/>
      <c r="B24" s="493"/>
      <c r="C24" s="494"/>
      <c r="D24" s="495"/>
      <c r="E24" s="496"/>
      <c r="F24" s="496"/>
      <c r="G24" s="496"/>
      <c r="H24" s="496"/>
      <c r="I24" s="465"/>
      <c r="J24" s="497"/>
      <c r="K24" s="462"/>
      <c r="L24" s="462"/>
      <c r="M24" s="498"/>
      <c r="N24" s="359"/>
      <c r="O24" s="363"/>
      <c r="P24" s="363"/>
      <c r="Q24" s="363"/>
      <c r="R24" s="363"/>
      <c r="S24" s="429"/>
      <c r="T24" s="363"/>
      <c r="U24" s="363"/>
      <c r="V24" s="363"/>
      <c r="W24" s="363"/>
      <c r="X24" s="363"/>
      <c r="Y24" s="363"/>
      <c r="Z24" s="363"/>
      <c r="AA24" s="363"/>
      <c r="AB24" s="363"/>
      <c r="AC24" s="363"/>
      <c r="AD24" s="363"/>
      <c r="AE24" s="363"/>
      <c r="AF24" s="363"/>
      <c r="AG24" s="363"/>
      <c r="AH24" s="363"/>
      <c r="AI24" s="358"/>
      <c r="AJ24" s="363"/>
      <c r="AK24" s="440"/>
    </row>
    <row r="25" spans="1:37" ht="12" customHeight="1" x14ac:dyDescent="0.2">
      <c r="A25" s="440"/>
      <c r="B25" s="413"/>
      <c r="C25" s="380"/>
      <c r="D25" s="380"/>
      <c r="E25" s="380"/>
      <c r="F25" s="380"/>
      <c r="G25" s="380"/>
      <c r="H25" s="380"/>
      <c r="I25" s="473"/>
      <c r="J25" s="435"/>
      <c r="K25" s="435"/>
      <c r="L25" s="473"/>
      <c r="M25" s="473"/>
      <c r="N25" s="473"/>
      <c r="O25" s="473"/>
      <c r="P25" s="473"/>
      <c r="Q25" s="372"/>
      <c r="R25" s="372"/>
      <c r="S25" s="372"/>
      <c r="T25" s="372"/>
      <c r="U25" s="372"/>
      <c r="V25" s="319"/>
      <c r="W25" s="372"/>
      <c r="X25" s="372"/>
      <c r="Y25" s="319"/>
      <c r="Z25" s="372"/>
      <c r="AA25" s="372"/>
      <c r="AB25" s="372"/>
      <c r="AC25" s="372"/>
      <c r="AD25" s="372"/>
      <c r="AE25" s="372"/>
      <c r="AF25" s="372"/>
      <c r="AG25" s="372"/>
      <c r="AH25" s="372"/>
      <c r="AI25" s="482"/>
      <c r="AJ25" s="372"/>
      <c r="AK25" s="440"/>
    </row>
    <row r="26" spans="1:37" ht="12" customHeight="1" x14ac:dyDescent="0.25">
      <c r="A26" s="440"/>
      <c r="B26" s="499">
        <v>0</v>
      </c>
      <c r="C26" s="496"/>
      <c r="D26" s="496"/>
      <c r="E26" s="1606" t="s">
        <v>61</v>
      </c>
      <c r="F26" s="1606"/>
      <c r="G26" s="1606"/>
      <c r="H26" s="1606"/>
      <c r="I26" s="1605"/>
      <c r="J26" s="497"/>
      <c r="K26" s="502"/>
      <c r="L26" s="502"/>
      <c r="M26" s="386"/>
      <c r="N26" s="503"/>
      <c r="O26" s="386"/>
      <c r="P26" s="386"/>
      <c r="Q26" s="386"/>
      <c r="R26" s="386"/>
      <c r="S26" s="385">
        <f>SUBTOTAL(109,S27)</f>
        <v>432000</v>
      </c>
      <c r="T26" s="372"/>
      <c r="U26" s="372"/>
      <c r="V26" s="372"/>
      <c r="W26" s="372"/>
      <c r="X26" s="372"/>
      <c r="Y26" s="372"/>
      <c r="Z26" s="372"/>
      <c r="AA26" s="372"/>
      <c r="AB26" s="372"/>
      <c r="AC26" s="372"/>
      <c r="AD26" s="482"/>
      <c r="AE26" s="482"/>
      <c r="AF26" s="482"/>
      <c r="AG26" s="482"/>
      <c r="AH26" s="482"/>
      <c r="AI26" s="482"/>
      <c r="AJ26" s="482"/>
      <c r="AK26" s="440"/>
    </row>
    <row r="27" spans="1:37" ht="12" customHeight="1" x14ac:dyDescent="0.25">
      <c r="A27" s="440"/>
      <c r="B27" s="499"/>
      <c r="C27" s="496"/>
      <c r="D27" s="496"/>
      <c r="E27" s="496"/>
      <c r="F27" s="496"/>
      <c r="G27" s="496"/>
      <c r="H27" s="496"/>
      <c r="I27" s="497"/>
      <c r="J27" s="497"/>
      <c r="K27" s="502"/>
      <c r="L27" s="502"/>
      <c r="M27" s="343"/>
      <c r="N27" s="504" t="s">
        <v>67</v>
      </c>
      <c r="O27" s="344"/>
      <c r="P27" s="504" t="s">
        <v>363</v>
      </c>
      <c r="Q27" s="344">
        <v>432000</v>
      </c>
      <c r="R27" s="504" t="s">
        <v>363</v>
      </c>
      <c r="S27" s="354">
        <f>(M27*O27)+Q27</f>
        <v>432000</v>
      </c>
      <c r="T27" s="372"/>
      <c r="U27" s="380"/>
      <c r="V27" s="380"/>
      <c r="W27" s="380"/>
      <c r="X27" s="380"/>
      <c r="Y27" s="380"/>
      <c r="Z27" s="380"/>
      <c r="AA27" s="380"/>
      <c r="AB27" s="380"/>
      <c r="AC27" s="380"/>
      <c r="AD27" s="380"/>
      <c r="AE27" s="380"/>
      <c r="AF27" s="380"/>
      <c r="AG27" s="1266"/>
      <c r="AH27" s="380"/>
      <c r="AI27" s="1086">
        <f>AG27</f>
        <v>0</v>
      </c>
      <c r="AJ27" s="380"/>
      <c r="AK27" s="440"/>
    </row>
    <row r="28" spans="1:37" ht="12" customHeight="1" x14ac:dyDescent="0.25">
      <c r="A28" s="440"/>
      <c r="B28" s="505"/>
      <c r="C28" s="506"/>
      <c r="D28" s="506"/>
      <c r="E28" s="506"/>
      <c r="F28" s="506"/>
      <c r="G28" s="506"/>
      <c r="H28" s="506"/>
      <c r="I28" s="507"/>
      <c r="J28" s="507"/>
      <c r="K28" s="508"/>
      <c r="L28" s="508"/>
      <c r="M28" s="508"/>
      <c r="N28" s="508"/>
      <c r="O28" s="508"/>
      <c r="P28" s="508"/>
      <c r="Q28" s="508"/>
      <c r="R28" s="508"/>
      <c r="S28" s="382"/>
      <c r="T28" s="509"/>
      <c r="U28" s="378"/>
      <c r="V28" s="378"/>
      <c r="W28" s="378"/>
      <c r="X28" s="378"/>
      <c r="Y28" s="378"/>
      <c r="Z28" s="378"/>
      <c r="AA28" s="378"/>
      <c r="AB28" s="378"/>
      <c r="AC28" s="378"/>
      <c r="AD28" s="378"/>
      <c r="AE28" s="378"/>
      <c r="AF28" s="378"/>
      <c r="AG28" s="378"/>
      <c r="AH28" s="378"/>
      <c r="AI28" s="510"/>
      <c r="AJ28" s="378"/>
      <c r="AK28" s="440"/>
    </row>
    <row r="29" spans="1:37" ht="12" customHeight="1" x14ac:dyDescent="0.2">
      <c r="A29" s="440"/>
      <c r="B29" s="320"/>
      <c r="C29" s="386"/>
      <c r="D29" s="386"/>
      <c r="E29" s="386"/>
      <c r="F29" s="386"/>
      <c r="G29" s="386"/>
      <c r="H29" s="386"/>
      <c r="I29" s="380"/>
      <c r="J29" s="380"/>
      <c r="K29" s="463"/>
      <c r="L29" s="463"/>
      <c r="M29" s="379"/>
      <c r="N29" s="435"/>
      <c r="O29" s="379"/>
      <c r="P29" s="379"/>
      <c r="Q29" s="379"/>
      <c r="R29" s="379"/>
      <c r="S29" s="383"/>
      <c r="T29" s="379"/>
      <c r="U29" s="379"/>
      <c r="V29" s="379"/>
      <c r="W29" s="379"/>
      <c r="X29" s="379"/>
      <c r="Y29" s="379"/>
      <c r="Z29" s="379"/>
      <c r="AA29" s="379"/>
      <c r="AB29" s="379"/>
      <c r="AC29" s="379"/>
      <c r="AD29" s="379"/>
      <c r="AE29" s="379"/>
      <c r="AF29" s="379"/>
      <c r="AG29" s="379"/>
      <c r="AH29" s="379"/>
      <c r="AI29" s="481"/>
      <c r="AJ29" s="379"/>
      <c r="AK29" s="440"/>
    </row>
    <row r="30" spans="1:37" ht="12" customHeight="1" x14ac:dyDescent="0.2">
      <c r="A30" s="440"/>
      <c r="B30" s="320"/>
      <c r="C30" s="386"/>
      <c r="D30" s="386"/>
      <c r="E30" s="386"/>
      <c r="F30" s="386"/>
      <c r="G30" s="386"/>
      <c r="H30" s="386"/>
      <c r="I30" s="380"/>
      <c r="J30" s="380"/>
      <c r="K30" s="463"/>
      <c r="L30" s="463"/>
      <c r="M30" s="386"/>
      <c r="N30" s="503"/>
      <c r="O30" s="386"/>
      <c r="P30" s="386"/>
      <c r="Q30" s="386"/>
      <c r="R30" s="386"/>
      <c r="S30" s="384"/>
      <c r="T30" s="372"/>
      <c r="U30" s="372"/>
      <c r="V30" s="372"/>
      <c r="W30" s="372"/>
      <c r="X30" s="372"/>
      <c r="Y30" s="372"/>
      <c r="Z30" s="372"/>
      <c r="AA30" s="372"/>
      <c r="AB30" s="372"/>
      <c r="AC30" s="372"/>
      <c r="AD30" s="372"/>
      <c r="AE30" s="372"/>
      <c r="AF30" s="372"/>
      <c r="AG30" s="372"/>
      <c r="AH30" s="372"/>
      <c r="AI30" s="482"/>
      <c r="AJ30" s="372"/>
      <c r="AK30" s="440"/>
    </row>
    <row r="31" spans="1:37" ht="14.25" customHeight="1" x14ac:dyDescent="0.25">
      <c r="A31" s="440"/>
      <c r="B31" s="499">
        <v>1</v>
      </c>
      <c r="C31" s="494"/>
      <c r="D31" s="495"/>
      <c r="E31" s="1606" t="s">
        <v>59</v>
      </c>
      <c r="F31" s="1606"/>
      <c r="G31" s="1606"/>
      <c r="H31" s="1606"/>
      <c r="I31" s="1597"/>
      <c r="J31" s="497"/>
      <c r="K31" s="462"/>
      <c r="L31" s="462"/>
      <c r="M31" s="363"/>
      <c r="N31" s="359"/>
      <c r="O31" s="363"/>
      <c r="P31" s="363"/>
      <c r="Q31" s="363"/>
      <c r="R31" s="363"/>
      <c r="S31" s="385">
        <f>S32</f>
        <v>89427.599999999991</v>
      </c>
      <c r="T31" s="363"/>
      <c r="U31" s="386"/>
      <c r="V31" s="386"/>
      <c r="W31" s="386"/>
      <c r="X31" s="386"/>
      <c r="Y31" s="386"/>
      <c r="Z31" s="386"/>
      <c r="AA31" s="386"/>
      <c r="AB31" s="386"/>
      <c r="AC31" s="386"/>
      <c r="AD31" s="386"/>
      <c r="AE31" s="386"/>
      <c r="AF31" s="386"/>
      <c r="AG31" s="1036"/>
      <c r="AH31" s="1036"/>
      <c r="AI31" s="358"/>
      <c r="AJ31" s="1036"/>
      <c r="AK31" s="440"/>
    </row>
    <row r="32" spans="1:37" ht="12" customHeight="1" x14ac:dyDescent="0.25">
      <c r="A32" s="440"/>
      <c r="B32" s="323"/>
      <c r="C32" s="512" t="s">
        <v>58</v>
      </c>
      <c r="D32" s="380"/>
      <c r="E32" s="1596" t="s">
        <v>57</v>
      </c>
      <c r="F32" s="1596"/>
      <c r="G32" s="1596"/>
      <c r="H32" s="1596"/>
      <c r="I32" s="1605"/>
      <c r="J32" s="497"/>
      <c r="K32" s="502"/>
      <c r="L32" s="502"/>
      <c r="M32" s="363"/>
      <c r="N32" s="359"/>
      <c r="O32" s="363"/>
      <c r="P32" s="363"/>
      <c r="Q32" s="363"/>
      <c r="R32" s="363"/>
      <c r="S32" s="355">
        <f>SUBTOTAL(109,S34)</f>
        <v>89427.599999999991</v>
      </c>
      <c r="T32" s="363"/>
      <c r="U32" s="386"/>
      <c r="V32" s="386"/>
      <c r="W32" s="386"/>
      <c r="X32" s="386"/>
      <c r="Y32" s="386"/>
      <c r="Z32" s="386"/>
      <c r="AA32" s="386"/>
      <c r="AB32" s="386"/>
      <c r="AC32" s="386"/>
      <c r="AD32" s="386"/>
      <c r="AE32" s="386"/>
      <c r="AF32" s="386"/>
      <c r="AG32" s="1036"/>
      <c r="AH32" s="1036"/>
      <c r="AI32" s="358"/>
      <c r="AJ32" s="1036"/>
      <c r="AK32" s="440"/>
    </row>
    <row r="33" spans="1:37" ht="12" customHeight="1" x14ac:dyDescent="0.25">
      <c r="A33" s="440"/>
      <c r="B33" s="323"/>
      <c r="C33" s="512"/>
      <c r="D33" s="303" t="s">
        <v>56</v>
      </c>
      <c r="E33" s="1599" t="s">
        <v>50</v>
      </c>
      <c r="F33" s="1599"/>
      <c r="G33" s="1599"/>
      <c r="H33" s="1599"/>
      <c r="I33" s="1605"/>
      <c r="J33" s="497"/>
      <c r="K33" s="502"/>
      <c r="L33" s="502"/>
      <c r="M33" s="363"/>
      <c r="N33" s="359"/>
      <c r="O33" s="363"/>
      <c r="P33" s="363"/>
      <c r="Q33" s="363"/>
      <c r="R33" s="363"/>
      <c r="S33" s="386"/>
      <c r="T33" s="363"/>
      <c r="U33" s="386"/>
      <c r="V33" s="386"/>
      <c r="W33" s="386"/>
      <c r="X33" s="386"/>
      <c r="Y33" s="386"/>
      <c r="Z33" s="386"/>
      <c r="AA33" s="386"/>
      <c r="AB33" s="386"/>
      <c r="AC33" s="386"/>
      <c r="AD33" s="386"/>
      <c r="AE33" s="386"/>
      <c r="AF33" s="386"/>
      <c r="AG33" s="1036"/>
      <c r="AH33" s="1036"/>
      <c r="AI33" s="358"/>
      <c r="AJ33" s="1036"/>
      <c r="AK33" s="440"/>
    </row>
    <row r="34" spans="1:37" ht="12" customHeight="1" x14ac:dyDescent="0.25">
      <c r="A34" s="440"/>
      <c r="B34" s="323"/>
      <c r="C34" s="380"/>
      <c r="D34" s="1598"/>
      <c r="E34" s="1598"/>
      <c r="F34" s="1598"/>
      <c r="G34" s="1598"/>
      <c r="H34" s="1598"/>
      <c r="I34" s="1598"/>
      <c r="J34" s="497"/>
      <c r="K34" s="502"/>
      <c r="L34" s="502"/>
      <c r="M34" s="343"/>
      <c r="N34" s="359"/>
      <c r="O34" s="344"/>
      <c r="P34" s="363"/>
      <c r="Q34" s="344">
        <f>74523*1.2</f>
        <v>89427.599999999991</v>
      </c>
      <c r="R34" s="504" t="s">
        <v>363</v>
      </c>
      <c r="S34" s="353">
        <f>(M34*O34)+Q34</f>
        <v>89427.599999999991</v>
      </c>
      <c r="T34" s="363"/>
      <c r="U34" s="363"/>
      <c r="V34" s="363"/>
      <c r="W34" s="363"/>
      <c r="X34" s="363"/>
      <c r="Y34" s="363"/>
      <c r="Z34" s="363"/>
      <c r="AA34" s="363"/>
      <c r="AB34" s="363"/>
      <c r="AC34" s="363"/>
      <c r="AD34" s="363"/>
      <c r="AE34" s="363"/>
      <c r="AF34" s="386"/>
      <c r="AG34" s="216">
        <v>100</v>
      </c>
      <c r="AH34" s="1036"/>
      <c r="AI34" s="1086">
        <f>AG34</f>
        <v>100</v>
      </c>
      <c r="AJ34" s="1036"/>
      <c r="AK34" s="440"/>
    </row>
    <row r="35" spans="1:37" ht="12" customHeight="1" x14ac:dyDescent="0.25">
      <c r="A35" s="440"/>
      <c r="B35" s="324"/>
      <c r="C35" s="378"/>
      <c r="D35" s="515"/>
      <c r="E35" s="515"/>
      <c r="F35" s="515"/>
      <c r="G35" s="516"/>
      <c r="H35" s="1598"/>
      <c r="I35" s="1598"/>
      <c r="J35" s="507"/>
      <c r="K35" s="508"/>
      <c r="L35" s="508"/>
      <c r="M35" s="371"/>
      <c r="N35" s="517"/>
      <c r="O35" s="371"/>
      <c r="P35" s="371"/>
      <c r="Q35" s="371"/>
      <c r="R35" s="371"/>
      <c r="S35" s="387"/>
      <c r="T35" s="371"/>
      <c r="U35" s="371"/>
      <c r="V35" s="371"/>
      <c r="W35" s="371"/>
      <c r="X35" s="371"/>
      <c r="Y35" s="371"/>
      <c r="Z35" s="371"/>
      <c r="AA35" s="371"/>
      <c r="AB35" s="371"/>
      <c r="AC35" s="371"/>
      <c r="AD35" s="371"/>
      <c r="AE35" s="371"/>
      <c r="AF35" s="370"/>
      <c r="AG35" s="370"/>
      <c r="AH35" s="370"/>
      <c r="AI35" s="373"/>
      <c r="AJ35" s="370"/>
      <c r="AK35" s="440"/>
    </row>
    <row r="36" spans="1:37" s="327" customFormat="1" ht="39.950000000000003" customHeight="1" x14ac:dyDescent="0.2">
      <c r="A36" s="440"/>
      <c r="B36" s="1164"/>
      <c r="C36" s="1165"/>
      <c r="D36" s="1165"/>
      <c r="E36" s="1165"/>
      <c r="F36" s="1165"/>
      <c r="G36" s="1165"/>
      <c r="H36" s="1165"/>
      <c r="I36" s="1165"/>
      <c r="J36" s="1165"/>
      <c r="K36" s="1165"/>
      <c r="L36" s="1165"/>
      <c r="M36" s="1165"/>
      <c r="N36" s="1165"/>
      <c r="O36" s="1165"/>
      <c r="P36" s="1165"/>
      <c r="Q36" s="1165"/>
      <c r="R36" s="1165"/>
      <c r="S36" s="1165"/>
      <c r="T36" s="1165"/>
      <c r="U36" s="440"/>
      <c r="V36" s="440"/>
      <c r="W36" s="440"/>
      <c r="X36" s="440"/>
      <c r="Y36" s="440"/>
      <c r="Z36" s="440"/>
      <c r="AA36" s="440"/>
      <c r="AB36" s="440"/>
      <c r="AC36" s="440"/>
      <c r="AD36" s="440"/>
      <c r="AE36" s="440"/>
      <c r="AF36" s="440"/>
      <c r="AG36" s="440"/>
      <c r="AH36" s="440"/>
      <c r="AI36" s="440"/>
      <c r="AJ36" s="440"/>
      <c r="AK36" s="440"/>
    </row>
    <row r="37" spans="1:37" ht="12" customHeight="1" x14ac:dyDescent="0.25">
      <c r="A37" s="440"/>
      <c r="B37" s="518"/>
      <c r="C37" s="386"/>
      <c r="D37" s="303"/>
      <c r="E37" s="515"/>
      <c r="F37" s="515"/>
      <c r="G37" s="515"/>
      <c r="H37" s="515"/>
      <c r="I37" s="516"/>
      <c r="J37" s="1598"/>
      <c r="K37" s="1598"/>
      <c r="L37" s="435"/>
      <c r="M37" s="379"/>
      <c r="N37" s="435"/>
      <c r="O37" s="379"/>
      <c r="P37" s="379"/>
      <c r="Q37" s="379"/>
      <c r="R37" s="379"/>
      <c r="S37" s="379"/>
      <c r="T37" s="379"/>
      <c r="U37" s="1598"/>
      <c r="V37" s="1598"/>
      <c r="W37" s="435"/>
      <c r="X37" s="1598"/>
      <c r="Y37" s="1598"/>
      <c r="Z37" s="379"/>
      <c r="AA37" s="1598"/>
      <c r="AB37" s="1598"/>
      <c r="AC37" s="379"/>
      <c r="AD37" s="481"/>
      <c r="AE37" s="481"/>
      <c r="AF37" s="481"/>
      <c r="AG37" s="481"/>
      <c r="AH37" s="481"/>
      <c r="AI37" s="481"/>
      <c r="AJ37" s="481"/>
      <c r="AK37" s="440"/>
    </row>
    <row r="38" spans="1:37" ht="12" customHeight="1" x14ac:dyDescent="0.25">
      <c r="A38" s="440"/>
      <c r="B38" s="518"/>
      <c r="C38" s="386"/>
      <c r="D38" s="303"/>
      <c r="E38" s="515"/>
      <c r="F38" s="515"/>
      <c r="G38" s="515"/>
      <c r="H38" s="515"/>
      <c r="I38" s="516"/>
      <c r="J38" s="1598"/>
      <c r="K38" s="1598"/>
      <c r="L38" s="435"/>
      <c r="M38" s="386"/>
      <c r="N38" s="503"/>
      <c r="O38" s="386"/>
      <c r="P38" s="386"/>
      <c r="Q38" s="386"/>
      <c r="R38" s="386"/>
      <c r="S38" s="372"/>
      <c r="T38" s="372"/>
      <c r="U38" s="372"/>
      <c r="V38" s="372"/>
      <c r="W38" s="372"/>
      <c r="X38" s="372"/>
      <c r="Y38" s="372"/>
      <c r="Z38" s="372"/>
      <c r="AA38" s="372"/>
      <c r="AB38" s="372"/>
      <c r="AC38" s="372"/>
      <c r="AD38" s="482"/>
      <c r="AE38" s="482"/>
      <c r="AF38" s="482"/>
      <c r="AG38" s="482"/>
      <c r="AH38" s="482"/>
      <c r="AI38" s="482"/>
      <c r="AJ38" s="482"/>
      <c r="AK38" s="440"/>
    </row>
    <row r="39" spans="1:37" ht="14.25" customHeight="1" x14ac:dyDescent="0.25">
      <c r="A39" s="440"/>
      <c r="B39" s="518" t="s">
        <v>144</v>
      </c>
      <c r="C39" s="494"/>
      <c r="D39" s="303"/>
      <c r="E39" s="1606" t="s">
        <v>143</v>
      </c>
      <c r="F39" s="1606"/>
      <c r="G39" s="1606"/>
      <c r="H39" s="1606"/>
      <c r="I39" s="1597"/>
      <c r="J39" s="497"/>
      <c r="K39" s="462"/>
      <c r="L39" s="462"/>
      <c r="M39" s="386"/>
      <c r="N39" s="503"/>
      <c r="O39" s="386"/>
      <c r="P39" s="386"/>
      <c r="Q39" s="386"/>
      <c r="R39" s="386"/>
      <c r="S39" s="385">
        <f>S40+S53+S73+S92+S102</f>
        <v>527397.09600000002</v>
      </c>
      <c r="T39" s="363"/>
      <c r="U39" s="358"/>
      <c r="V39" s="358"/>
      <c r="W39" s="358"/>
      <c r="X39" s="358"/>
      <c r="Y39" s="358"/>
      <c r="Z39" s="363"/>
      <c r="AA39" s="358"/>
      <c r="AB39" s="358"/>
      <c r="AC39" s="358"/>
      <c r="AD39" s="358"/>
      <c r="AE39" s="358"/>
      <c r="AF39" s="358"/>
      <c r="AG39" s="358"/>
      <c r="AH39" s="358"/>
      <c r="AI39" s="358"/>
      <c r="AJ39" s="358"/>
      <c r="AK39" s="440"/>
    </row>
    <row r="40" spans="1:37" ht="14.25" customHeight="1" x14ac:dyDescent="0.25">
      <c r="A40" s="440"/>
      <c r="B40" s="518"/>
      <c r="C40" s="386" t="s">
        <v>145</v>
      </c>
      <c r="D40" s="494"/>
      <c r="E40" s="386" t="s">
        <v>133</v>
      </c>
      <c r="F40" s="386"/>
      <c r="G40" s="386"/>
      <c r="H40" s="386"/>
      <c r="I40" s="465"/>
      <c r="J40" s="497"/>
      <c r="K40" s="462"/>
      <c r="L40" s="462"/>
      <c r="M40" s="303"/>
      <c r="N40" s="519"/>
      <c r="O40" s="380"/>
      <c r="P40" s="303"/>
      <c r="Q40" s="303"/>
      <c r="R40" s="303"/>
      <c r="S40" s="355">
        <f>S41+S47</f>
        <v>145365.12</v>
      </c>
      <c r="T40" s="363"/>
      <c r="U40" s="358"/>
      <c r="V40" s="358"/>
      <c r="W40" s="358"/>
      <c r="X40" s="358"/>
      <c r="Y40" s="358"/>
      <c r="Z40" s="363"/>
      <c r="AA40" s="358"/>
      <c r="AB40" s="358"/>
      <c r="AC40" s="358"/>
      <c r="AD40" s="358"/>
      <c r="AE40" s="358"/>
      <c r="AF40" s="358"/>
      <c r="AG40" s="358"/>
      <c r="AH40" s="358"/>
      <c r="AI40" s="358"/>
      <c r="AJ40" s="358"/>
      <c r="AK40" s="440"/>
    </row>
    <row r="41" spans="1:37" ht="12" customHeight="1" x14ac:dyDescent="0.25">
      <c r="A41" s="440"/>
      <c r="B41" s="518"/>
      <c r="C41" s="386"/>
      <c r="D41" s="303" t="s">
        <v>146</v>
      </c>
      <c r="E41" s="303" t="s">
        <v>139</v>
      </c>
      <c r="F41" s="303"/>
      <c r="G41" s="303"/>
      <c r="H41" s="303"/>
      <c r="I41" s="465"/>
      <c r="J41" s="497"/>
      <c r="K41" s="497"/>
      <c r="L41" s="503"/>
      <c r="M41" s="303"/>
      <c r="N41" s="519"/>
      <c r="O41" s="303"/>
      <c r="P41" s="497"/>
      <c r="Q41" s="497"/>
      <c r="R41" s="497"/>
      <c r="S41" s="388">
        <f>SUBTOTAL(109,S43:S46)</f>
        <v>145365.12</v>
      </c>
      <c r="T41" s="363"/>
      <c r="U41" s="358"/>
      <c r="V41" s="358"/>
      <c r="W41" s="358"/>
      <c r="X41" s="358"/>
      <c r="Y41" s="358"/>
      <c r="Z41" s="358"/>
      <c r="AA41" s="358"/>
      <c r="AB41" s="358"/>
      <c r="AC41" s="358"/>
      <c r="AD41" s="358"/>
      <c r="AE41" s="358"/>
      <c r="AF41" s="358"/>
      <c r="AG41" s="358"/>
      <c r="AH41" s="358"/>
      <c r="AI41" s="358"/>
      <c r="AJ41" s="358"/>
      <c r="AK41" s="440"/>
    </row>
    <row r="42" spans="1:37" ht="12" customHeight="1" x14ac:dyDescent="0.25">
      <c r="A42" s="440"/>
      <c r="B42" s="518"/>
      <c r="C42" s="386"/>
      <c r="D42" s="303"/>
      <c r="E42" s="303"/>
      <c r="F42" s="303"/>
      <c r="G42" s="303"/>
      <c r="H42" s="303"/>
      <c r="I42" s="465"/>
      <c r="J42" s="1603" t="s">
        <v>170</v>
      </c>
      <c r="K42" s="1603"/>
      <c r="L42" s="503"/>
      <c r="M42" s="303"/>
      <c r="N42" s="519"/>
      <c r="O42" s="303"/>
      <c r="P42" s="497"/>
      <c r="Q42" s="497"/>
      <c r="R42" s="497"/>
      <c r="S42" s="388"/>
      <c r="T42" s="363"/>
      <c r="U42" s="358"/>
      <c r="V42" s="358"/>
      <c r="W42" s="358"/>
      <c r="X42" s="358"/>
      <c r="Y42" s="358"/>
      <c r="Z42" s="358"/>
      <c r="AA42" s="358"/>
      <c r="AB42" s="358"/>
      <c r="AC42" s="358"/>
      <c r="AD42" s="358"/>
      <c r="AE42" s="358"/>
      <c r="AF42" s="358"/>
      <c r="AG42" s="358"/>
      <c r="AH42" s="358"/>
      <c r="AI42" s="358"/>
      <c r="AJ42" s="358"/>
      <c r="AK42" s="440"/>
    </row>
    <row r="43" spans="1:37" ht="12" customHeight="1" x14ac:dyDescent="0.2">
      <c r="A43" s="440"/>
      <c r="B43" s="518"/>
      <c r="C43" s="386"/>
      <c r="D43" s="303"/>
      <c r="E43" s="303"/>
      <c r="F43" s="1088" t="s">
        <v>758</v>
      </c>
      <c r="G43" s="1264"/>
      <c r="H43" s="1264"/>
      <c r="I43" s="1265"/>
      <c r="J43" s="638"/>
      <c r="K43" s="520" t="s">
        <v>177</v>
      </c>
      <c r="L43" s="521"/>
      <c r="M43" s="338"/>
      <c r="N43" s="521" t="s">
        <v>67</v>
      </c>
      <c r="O43" s="344"/>
      <c r="P43" s="504" t="s">
        <v>68</v>
      </c>
      <c r="Q43" s="344">
        <f>59637.6*1.2</f>
        <v>71565.119999999995</v>
      </c>
      <c r="R43" s="522" t="s">
        <v>363</v>
      </c>
      <c r="S43" s="353">
        <f>(M43*O43)+Q43</f>
        <v>71565.119999999995</v>
      </c>
      <c r="T43" s="523"/>
      <c r="U43" s="350"/>
      <c r="V43" s="308"/>
      <c r="W43" s="1090" t="str">
        <f>IF(AND(V43&lt;&gt;0,U43&lt;&gt;0),"X",IF(AND(V43&lt;&gt;0,U43=0),"A",IF(AND(V43=0,U43&lt;&gt;0),"P","")))</f>
        <v/>
      </c>
      <c r="X43" s="1103">
        <f>IFERROR(IF(W43="X",0,IF(U43&gt;0,U43,V43/S43)),0)</f>
        <v>0</v>
      </c>
      <c r="Y43" s="1120">
        <f>IFERROR(IF(W43="X",0,IF(V43&gt;0,V43,S43*U43)),0)</f>
        <v>0</v>
      </c>
      <c r="Z43" s="524"/>
      <c r="AA43" s="350"/>
      <c r="AB43" s="309">
        <v>42.9</v>
      </c>
      <c r="AC43" s="1090" t="str">
        <f>IF(AND(AB43&lt;&gt;0,AA43&lt;&gt;0),"X",IF(AND(AB43&lt;&gt;0,AA43=0),"A",IF(AND(AB43=0,AA43&lt;&gt;0),"P","")))</f>
        <v>A</v>
      </c>
      <c r="AD43" s="1103">
        <f t="shared" ref="AD43:AD46" si="0">IFERROR(IF(AC43="X",0,IF(AA43&gt;0,AA43,AB43/S43)),0)</f>
        <v>5.9945403570901585E-4</v>
      </c>
      <c r="AE43" s="1120">
        <f>IFERROR(IF(AC43="X",0,IF(AB43&gt;0,AB43,S43*AA43)),0)</f>
        <v>42.9</v>
      </c>
      <c r="AF43" s="525"/>
      <c r="AG43" s="637">
        <v>30</v>
      </c>
      <c r="AH43" s="525"/>
      <c r="AI43" s="1086">
        <f>AG43</f>
        <v>30</v>
      </c>
      <c r="AJ43" s="380"/>
      <c r="AK43" s="440"/>
    </row>
    <row r="44" spans="1:37" ht="12" customHeight="1" x14ac:dyDescent="0.2">
      <c r="A44" s="440"/>
      <c r="B44" s="518"/>
      <c r="C44" s="386"/>
      <c r="D44" s="303"/>
      <c r="E44" s="303"/>
      <c r="F44" s="1088" t="s">
        <v>864</v>
      </c>
      <c r="G44" s="1264"/>
      <c r="H44" s="1264"/>
      <c r="I44" s="1265"/>
      <c r="J44" s="638"/>
      <c r="K44" s="520" t="s">
        <v>177</v>
      </c>
      <c r="L44" s="521"/>
      <c r="M44" s="342"/>
      <c r="N44" s="521" t="s">
        <v>67</v>
      </c>
      <c r="O44" s="344"/>
      <c r="P44" s="504" t="s">
        <v>68</v>
      </c>
      <c r="Q44" s="344"/>
      <c r="R44" s="522" t="s">
        <v>363</v>
      </c>
      <c r="S44" s="353">
        <f>(M44*O44)+Q44</f>
        <v>0</v>
      </c>
      <c r="T44" s="525"/>
      <c r="U44" s="350"/>
      <c r="V44" s="308"/>
      <c r="W44" s="1090" t="str">
        <f t="shared" ref="W44:W46" si="1">IF(AND(V44&lt;&gt;0,U44&lt;&gt;0),"X",IF(AND(V44&lt;&gt;0,U44=0),"A",IF(AND(V44=0,U44&lt;&gt;0),"P","")))</f>
        <v/>
      </c>
      <c r="X44" s="1103">
        <f>IFERROR(IF(W44="X",0,IF(U44&gt;0,U44,V44/S44)),0)</f>
        <v>0</v>
      </c>
      <c r="Y44" s="1120">
        <f>IFERROR(IF(W44="X",0,IF(V44&gt;0,V44,S44*U44)),0)</f>
        <v>0</v>
      </c>
      <c r="Z44" s="524"/>
      <c r="AA44" s="350"/>
      <c r="AB44" s="308"/>
      <c r="AC44" s="1090" t="str">
        <f t="shared" ref="AC44:AC46" si="2">IF(AND(AB44&lt;&gt;0,AA44&lt;&gt;0),"X",IF(AND(AB44&lt;&gt;0,AA44=0),"A",IF(AND(AB44=0,AA44&lt;&gt;0),"P","")))</f>
        <v/>
      </c>
      <c r="AD44" s="1103">
        <f t="shared" si="0"/>
        <v>0</v>
      </c>
      <c r="AE44" s="1120">
        <f>IFERROR(IF(AC44="X",0,IF(AB44&gt;0,AB44,S44*AA44)),0)</f>
        <v>0</v>
      </c>
      <c r="AF44" s="525"/>
      <c r="AG44" s="637"/>
      <c r="AH44" s="525"/>
      <c r="AI44" s="1086">
        <f>AG44</f>
        <v>0</v>
      </c>
      <c r="AJ44" s="380"/>
      <c r="AK44" s="440"/>
    </row>
    <row r="45" spans="1:37" ht="12" customHeight="1" x14ac:dyDescent="0.2">
      <c r="A45" s="440"/>
      <c r="B45" s="518"/>
      <c r="C45" s="386"/>
      <c r="D45" s="303"/>
      <c r="E45" s="303"/>
      <c r="F45" s="1088" t="s">
        <v>759</v>
      </c>
      <c r="G45" s="1264"/>
      <c r="H45" s="1264"/>
      <c r="I45" s="1265"/>
      <c r="J45" s="638"/>
      <c r="K45" s="520" t="s">
        <v>177</v>
      </c>
      <c r="L45" s="521"/>
      <c r="M45" s="342">
        <v>625</v>
      </c>
      <c r="N45" s="521" t="s">
        <v>67</v>
      </c>
      <c r="O45" s="344">
        <f>73800/625</f>
        <v>118.08</v>
      </c>
      <c r="P45" s="504" t="s">
        <v>68</v>
      </c>
      <c r="Q45" s="344"/>
      <c r="R45" s="522" t="s">
        <v>363</v>
      </c>
      <c r="S45" s="353">
        <f>(M45*O45)+Q45</f>
        <v>73800</v>
      </c>
      <c r="T45" s="525"/>
      <c r="U45" s="350"/>
      <c r="V45" s="308"/>
      <c r="W45" s="1090" t="str">
        <f t="shared" si="1"/>
        <v/>
      </c>
      <c r="X45" s="1103">
        <f>IFERROR(IF(W45="X",0,IF(U45&gt;0,U45,V45/S45)),0)</f>
        <v>0</v>
      </c>
      <c r="Y45" s="1120">
        <f>IFERROR(IF(W45="X",0,IF(V45&gt;0,V45,S45*U45)),0)</f>
        <v>0</v>
      </c>
      <c r="Z45" s="524"/>
      <c r="AA45" s="350"/>
      <c r="AB45" s="308"/>
      <c r="AC45" s="1090" t="str">
        <f t="shared" si="2"/>
        <v/>
      </c>
      <c r="AD45" s="1103">
        <f t="shared" si="0"/>
        <v>0</v>
      </c>
      <c r="AE45" s="1120">
        <f>IFERROR(IF(AC45="X",0,IF(AB45&gt;0,AB45,S45*AA45)),0)</f>
        <v>0</v>
      </c>
      <c r="AF45" s="525"/>
      <c r="AG45" s="637">
        <v>50</v>
      </c>
      <c r="AH45" s="525"/>
      <c r="AI45" s="1086">
        <f t="shared" ref="AI45:AI46" si="3">AG45</f>
        <v>50</v>
      </c>
      <c r="AJ45" s="380"/>
      <c r="AK45" s="440"/>
    </row>
    <row r="46" spans="1:37" ht="12" customHeight="1" x14ac:dyDescent="0.2">
      <c r="A46" s="440"/>
      <c r="B46" s="518"/>
      <c r="C46" s="386"/>
      <c r="D46" s="303"/>
      <c r="E46" s="303"/>
      <c r="F46" s="1085" t="s">
        <v>865</v>
      </c>
      <c r="G46" s="1264"/>
      <c r="H46" s="1264"/>
      <c r="I46" s="1265"/>
      <c r="J46" s="638"/>
      <c r="K46" s="520" t="s">
        <v>177</v>
      </c>
      <c r="L46" s="521"/>
      <c r="M46" s="342"/>
      <c r="N46" s="521" t="s">
        <v>67</v>
      </c>
      <c r="O46" s="344"/>
      <c r="P46" s="504" t="s">
        <v>68</v>
      </c>
      <c r="Q46" s="344"/>
      <c r="R46" s="522" t="s">
        <v>363</v>
      </c>
      <c r="S46" s="353">
        <f>(M46*O46)+Q46</f>
        <v>0</v>
      </c>
      <c r="T46" s="525"/>
      <c r="U46" s="350"/>
      <c r="V46" s="308"/>
      <c r="W46" s="1090" t="str">
        <f t="shared" si="1"/>
        <v/>
      </c>
      <c r="X46" s="1103">
        <f>IFERROR(IF(W46="X",0,IF(U46&gt;0,U46,V46/S46)),0)</f>
        <v>0</v>
      </c>
      <c r="Y46" s="1120">
        <f>IFERROR(IF(W46="X",0,IF(V46&gt;0,V46,S46*U46)),0)</f>
        <v>0</v>
      </c>
      <c r="Z46" s="524"/>
      <c r="AA46" s="350"/>
      <c r="AB46" s="308"/>
      <c r="AC46" s="1090" t="str">
        <f t="shared" si="2"/>
        <v/>
      </c>
      <c r="AD46" s="1103">
        <f t="shared" si="0"/>
        <v>0</v>
      </c>
      <c r="AE46" s="1120">
        <f>IFERROR(IF(AC46="X",0,IF(AB46&gt;0,AB46,S46*AA46)),0)</f>
        <v>0</v>
      </c>
      <c r="AF46" s="525"/>
      <c r="AG46" s="637"/>
      <c r="AH46" s="525"/>
      <c r="AI46" s="1086">
        <f t="shared" si="3"/>
        <v>0</v>
      </c>
      <c r="AJ46" s="380"/>
      <c r="AK46" s="440"/>
    </row>
    <row r="47" spans="1:37" ht="12" customHeight="1" x14ac:dyDescent="0.25">
      <c r="A47" s="440"/>
      <c r="B47" s="518"/>
      <c r="C47" s="386"/>
      <c r="D47" s="303" t="s">
        <v>147</v>
      </c>
      <c r="E47" s="1599" t="s">
        <v>140</v>
      </c>
      <c r="F47" s="1599"/>
      <c r="G47" s="1599"/>
      <c r="H47" s="1599"/>
      <c r="I47" s="1597"/>
      <c r="J47" s="497"/>
      <c r="K47" s="497"/>
      <c r="L47" s="503"/>
      <c r="M47" s="526"/>
      <c r="N47" s="519"/>
      <c r="O47" s="527"/>
      <c r="P47" s="303"/>
      <c r="Q47" s="303"/>
      <c r="R47" s="303"/>
      <c r="S47" s="354">
        <f>SUBTOTAL(109,S49:S52)</f>
        <v>0</v>
      </c>
      <c r="T47" s="363"/>
      <c r="U47" s="358"/>
      <c r="V47" s="358"/>
      <c r="W47" s="1091"/>
      <c r="X47" s="1104"/>
      <c r="Y47" s="1104"/>
      <c r="Z47" s="358"/>
      <c r="AA47" s="358"/>
      <c r="AB47" s="358"/>
      <c r="AC47" s="1091"/>
      <c r="AD47" s="1104"/>
      <c r="AE47" s="1104"/>
      <c r="AF47" s="358"/>
      <c r="AG47" s="358"/>
      <c r="AH47" s="358"/>
      <c r="AI47" s="358"/>
      <c r="AJ47" s="358"/>
      <c r="AK47" s="440"/>
    </row>
    <row r="48" spans="1:37" ht="12" customHeight="1" x14ac:dyDescent="0.25">
      <c r="A48" s="440"/>
      <c r="B48" s="518"/>
      <c r="C48" s="386"/>
      <c r="D48" s="303"/>
      <c r="E48" s="303"/>
      <c r="F48" s="303"/>
      <c r="G48" s="303"/>
      <c r="H48" s="303"/>
      <c r="I48" s="465"/>
      <c r="J48" s="1603" t="s">
        <v>170</v>
      </c>
      <c r="K48" s="1603"/>
      <c r="L48" s="503"/>
      <c r="M48" s="526"/>
      <c r="N48" s="519"/>
      <c r="O48" s="527"/>
      <c r="P48" s="303"/>
      <c r="Q48" s="303"/>
      <c r="R48" s="303"/>
      <c r="S48" s="354"/>
      <c r="T48" s="363"/>
      <c r="U48" s="358"/>
      <c r="V48" s="358"/>
      <c r="W48" s="1091"/>
      <c r="X48" s="1104"/>
      <c r="Y48" s="1104"/>
      <c r="Z48" s="358"/>
      <c r="AA48" s="358"/>
      <c r="AB48" s="358"/>
      <c r="AC48" s="1091"/>
      <c r="AD48" s="1104"/>
      <c r="AE48" s="1104"/>
      <c r="AF48" s="358"/>
      <c r="AG48" s="358"/>
      <c r="AH48" s="358"/>
      <c r="AI48" s="358"/>
      <c r="AJ48" s="358"/>
      <c r="AK48" s="440"/>
    </row>
    <row r="49" spans="1:37" ht="12" customHeight="1" x14ac:dyDescent="0.2">
      <c r="A49" s="440"/>
      <c r="B49" s="518"/>
      <c r="C49" s="386"/>
      <c r="D49" s="303"/>
      <c r="E49" s="303"/>
      <c r="F49" s="1085"/>
      <c r="G49" s="1264"/>
      <c r="H49" s="1264"/>
      <c r="I49" s="1265"/>
      <c r="J49" s="638"/>
      <c r="K49" s="520" t="s">
        <v>177</v>
      </c>
      <c r="L49" s="521"/>
      <c r="M49" s="342"/>
      <c r="N49" s="528" t="s">
        <v>67</v>
      </c>
      <c r="O49" s="344"/>
      <c r="P49" s="504" t="s">
        <v>68</v>
      </c>
      <c r="Q49" s="344"/>
      <c r="R49" s="522" t="s">
        <v>363</v>
      </c>
      <c r="S49" s="353">
        <f>(M49*O49)+Q49</f>
        <v>0</v>
      </c>
      <c r="T49" s="524"/>
      <c r="U49" s="350"/>
      <c r="V49" s="308"/>
      <c r="W49" s="1090" t="str">
        <f t="shared" ref="W49:W52" si="4">IF(AND(V49&lt;&gt;0,U49&lt;&gt;0),"X",IF(AND(V49&lt;&gt;0,U49=0),"A",IF(AND(V49=0,U49&lt;&gt;0),"P","")))</f>
        <v/>
      </c>
      <c r="X49" s="1103">
        <f>IFERROR(IF(W49="X",0,IF(U49&gt;0,U49,V49/S49)),0)</f>
        <v>0</v>
      </c>
      <c r="Y49" s="1120">
        <f>IFERROR(IF(W49="X",0,IF(V49&gt;0,V49,S49*U49)),0)</f>
        <v>0</v>
      </c>
      <c r="Z49" s="524"/>
      <c r="AA49" s="350"/>
      <c r="AB49" s="308"/>
      <c r="AC49" s="1090" t="str">
        <f t="shared" ref="AC49:AC52" si="5">IF(AND(AB49&lt;&gt;0,AA49&lt;&gt;0),"X",IF(AND(AB49&lt;&gt;0,AA49=0),"A",IF(AND(AB49=0,AA49&lt;&gt;0),"P","")))</f>
        <v/>
      </c>
      <c r="AD49" s="1103">
        <f>IFERROR(IF(AC49="X",0,IF(AA49&gt;0,AA49,AB49/S49)),0)</f>
        <v>0</v>
      </c>
      <c r="AE49" s="1120">
        <f>IFERROR(IF(AC49="X",0,IF(AB49&gt;0,AB49,S49*AA49)),0)</f>
        <v>0</v>
      </c>
      <c r="AF49" s="525"/>
      <c r="AG49" s="637"/>
      <c r="AH49" s="525"/>
      <c r="AI49" s="1086">
        <f t="shared" ref="AI49:AI52" si="6">AG49</f>
        <v>0</v>
      </c>
      <c r="AJ49" s="380"/>
      <c r="AK49" s="440"/>
    </row>
    <row r="50" spans="1:37" ht="12" customHeight="1" x14ac:dyDescent="0.2">
      <c r="A50" s="440"/>
      <c r="B50" s="518"/>
      <c r="C50" s="386"/>
      <c r="D50" s="303"/>
      <c r="E50" s="303"/>
      <c r="F50" s="1085"/>
      <c r="G50" s="1264"/>
      <c r="H50" s="1264"/>
      <c r="I50" s="1265"/>
      <c r="J50" s="638"/>
      <c r="K50" s="520" t="s">
        <v>177</v>
      </c>
      <c r="L50" s="521"/>
      <c r="M50" s="342"/>
      <c r="N50" s="528" t="s">
        <v>67</v>
      </c>
      <c r="O50" s="344"/>
      <c r="P50" s="504" t="s">
        <v>68</v>
      </c>
      <c r="Q50" s="344"/>
      <c r="R50" s="522" t="s">
        <v>363</v>
      </c>
      <c r="S50" s="353">
        <f>(M50*O50)+Q50</f>
        <v>0</v>
      </c>
      <c r="T50" s="524"/>
      <c r="U50" s="350"/>
      <c r="V50" s="308"/>
      <c r="W50" s="1090" t="str">
        <f t="shared" si="4"/>
        <v/>
      </c>
      <c r="X50" s="1103">
        <f>IFERROR(IF(W50="X",0,IF(U50&gt;0,U50,V50/S50)),0)</f>
        <v>0</v>
      </c>
      <c r="Y50" s="1120">
        <f>IFERROR(IF(W50="X",0,IF(V50&gt;0,V50,S50*U50)),0)</f>
        <v>0</v>
      </c>
      <c r="Z50" s="524"/>
      <c r="AA50" s="350"/>
      <c r="AB50" s="308"/>
      <c r="AC50" s="1090" t="str">
        <f t="shared" si="5"/>
        <v/>
      </c>
      <c r="AD50" s="1103">
        <f>IFERROR(IF(AC50="X",0,IF(AA50&gt;0,AA50,AB50/S50)),0)</f>
        <v>0</v>
      </c>
      <c r="AE50" s="1120">
        <f>IFERROR(IF(AC50="X",0,IF(AB50&gt;0,AB50,S50*AA50)),0)</f>
        <v>0</v>
      </c>
      <c r="AF50" s="525"/>
      <c r="AG50" s="637"/>
      <c r="AH50" s="525"/>
      <c r="AI50" s="1086">
        <f t="shared" si="6"/>
        <v>0</v>
      </c>
      <c r="AJ50" s="380"/>
      <c r="AK50" s="440"/>
    </row>
    <row r="51" spans="1:37" ht="12" customHeight="1" x14ac:dyDescent="0.2">
      <c r="A51" s="440"/>
      <c r="B51" s="518"/>
      <c r="C51" s="386"/>
      <c r="D51" s="303"/>
      <c r="E51" s="303"/>
      <c r="F51" s="1085"/>
      <c r="G51" s="1264"/>
      <c r="H51" s="1264"/>
      <c r="I51" s="1265"/>
      <c r="J51" s="638"/>
      <c r="K51" s="520" t="s">
        <v>177</v>
      </c>
      <c r="L51" s="521"/>
      <c r="M51" s="342"/>
      <c r="N51" s="528" t="s">
        <v>67</v>
      </c>
      <c r="O51" s="344"/>
      <c r="P51" s="504" t="s">
        <v>68</v>
      </c>
      <c r="Q51" s="344"/>
      <c r="R51" s="522" t="s">
        <v>363</v>
      </c>
      <c r="S51" s="353">
        <f>(M51*O51)+Q51</f>
        <v>0</v>
      </c>
      <c r="T51" s="524"/>
      <c r="U51" s="350"/>
      <c r="V51" s="308"/>
      <c r="W51" s="1090" t="str">
        <f t="shared" si="4"/>
        <v/>
      </c>
      <c r="X51" s="1103">
        <f>IFERROR(IF(W51="X",0,IF(U51&gt;0,U51,V51/S51)),0)</f>
        <v>0</v>
      </c>
      <c r="Y51" s="1120">
        <f>IFERROR(IF(W51="X",0,IF(V51&gt;0,V51,S51*U51)),0)</f>
        <v>0</v>
      </c>
      <c r="Z51" s="524"/>
      <c r="AA51" s="350"/>
      <c r="AB51" s="308"/>
      <c r="AC51" s="1090" t="str">
        <f t="shared" si="5"/>
        <v/>
      </c>
      <c r="AD51" s="1103">
        <f>IFERROR(IF(AC51="X",0,IF(AA51&gt;0,AA51,AB51/S51)),0)</f>
        <v>0</v>
      </c>
      <c r="AE51" s="1120">
        <f>IFERROR(IF(AC51="X",0,IF(AB51&gt;0,AB51,S51*AA51)),0)</f>
        <v>0</v>
      </c>
      <c r="AF51" s="525"/>
      <c r="AG51" s="637"/>
      <c r="AH51" s="525"/>
      <c r="AI51" s="1086">
        <f t="shared" si="6"/>
        <v>0</v>
      </c>
      <c r="AJ51" s="380"/>
      <c r="AK51" s="440"/>
    </row>
    <row r="52" spans="1:37" ht="12" customHeight="1" x14ac:dyDescent="0.2">
      <c r="A52" s="440"/>
      <c r="B52" s="518"/>
      <c r="C52" s="386"/>
      <c r="D52" s="303"/>
      <c r="E52" s="303"/>
      <c r="F52" s="1085"/>
      <c r="G52" s="1264"/>
      <c r="H52" s="1264"/>
      <c r="I52" s="1265"/>
      <c r="J52" s="638"/>
      <c r="K52" s="520" t="s">
        <v>177</v>
      </c>
      <c r="L52" s="521"/>
      <c r="M52" s="342"/>
      <c r="N52" s="528" t="s">
        <v>67</v>
      </c>
      <c r="O52" s="344"/>
      <c r="P52" s="504" t="s">
        <v>68</v>
      </c>
      <c r="Q52" s="344"/>
      <c r="R52" s="522" t="s">
        <v>363</v>
      </c>
      <c r="S52" s="353">
        <f>(M52*O52)+Q52</f>
        <v>0</v>
      </c>
      <c r="T52" s="524"/>
      <c r="U52" s="350"/>
      <c r="V52" s="308"/>
      <c r="W52" s="1090" t="str">
        <f t="shared" si="4"/>
        <v/>
      </c>
      <c r="X52" s="1103">
        <f>IFERROR(IF(W52="X",0,IF(U52&gt;0,U52,V52/S52)),0)</f>
        <v>0</v>
      </c>
      <c r="Y52" s="1120">
        <f>IFERROR(IF(W52="X",0,IF(V52&gt;0,V52,S52*U52)),0)</f>
        <v>0</v>
      </c>
      <c r="Z52" s="524"/>
      <c r="AA52" s="350"/>
      <c r="AB52" s="308"/>
      <c r="AC52" s="1090" t="str">
        <f t="shared" si="5"/>
        <v/>
      </c>
      <c r="AD52" s="1103">
        <f>IFERROR(IF(AC52="X",0,IF(AA52&gt;0,AA52,AB52/S52)),0)</f>
        <v>0</v>
      </c>
      <c r="AE52" s="1120">
        <f>IFERROR(IF(AC52="X",0,IF(AB52&gt;0,AB52,S52*AA52)),0)</f>
        <v>0</v>
      </c>
      <c r="AF52" s="525"/>
      <c r="AG52" s="637"/>
      <c r="AH52" s="525"/>
      <c r="AI52" s="1086">
        <f t="shared" si="6"/>
        <v>0</v>
      </c>
      <c r="AJ52" s="380"/>
      <c r="AK52" s="440"/>
    </row>
    <row r="53" spans="1:37" ht="14.25" customHeight="1" collapsed="1" x14ac:dyDescent="0.25">
      <c r="A53" s="440"/>
      <c r="B53" s="518"/>
      <c r="C53" s="386" t="s">
        <v>148</v>
      </c>
      <c r="D53" s="494"/>
      <c r="E53" s="1596" t="s">
        <v>134</v>
      </c>
      <c r="F53" s="1596"/>
      <c r="G53" s="1596"/>
      <c r="H53" s="1596"/>
      <c r="I53" s="1597"/>
      <c r="J53" s="497"/>
      <c r="K53" s="529"/>
      <c r="L53" s="529"/>
      <c r="M53" s="526"/>
      <c r="N53" s="519"/>
      <c r="O53" s="530"/>
      <c r="P53" s="303"/>
      <c r="Q53" s="303"/>
      <c r="R53" s="303"/>
      <c r="S53" s="355">
        <f>S54+S59+S64+S68</f>
        <v>75847.319999999992</v>
      </c>
      <c r="T53" s="363"/>
      <c r="U53" s="360"/>
      <c r="V53" s="361"/>
      <c r="W53" s="1092"/>
      <c r="X53" s="1105"/>
      <c r="Y53" s="1121"/>
      <c r="Z53" s="363"/>
      <c r="AA53" s="360"/>
      <c r="AB53" s="361"/>
      <c r="AC53" s="1092"/>
      <c r="AD53" s="1105"/>
      <c r="AE53" s="1121"/>
      <c r="AF53" s="359"/>
      <c r="AG53" s="358"/>
      <c r="AH53" s="359"/>
      <c r="AI53" s="358"/>
      <c r="AJ53" s="359"/>
      <c r="AK53" s="440"/>
    </row>
    <row r="54" spans="1:37" ht="12" customHeight="1" x14ac:dyDescent="0.25">
      <c r="A54" s="440"/>
      <c r="B54" s="518"/>
      <c r="C54" s="386"/>
      <c r="D54" s="303" t="s">
        <v>149</v>
      </c>
      <c r="E54" s="303" t="s">
        <v>136</v>
      </c>
      <c r="F54" s="303"/>
      <c r="G54" s="303"/>
      <c r="H54" s="303"/>
      <c r="I54" s="465"/>
      <c r="J54" s="497"/>
      <c r="K54" s="529"/>
      <c r="L54" s="503"/>
      <c r="M54" s="526"/>
      <c r="N54" s="519"/>
      <c r="O54" s="530"/>
      <c r="P54" s="303"/>
      <c r="Q54" s="303"/>
      <c r="R54" s="303"/>
      <c r="S54" s="354">
        <f>SUBTOTAL(109,S56:S58)</f>
        <v>0</v>
      </c>
      <c r="T54" s="363"/>
      <c r="U54" s="358"/>
      <c r="V54" s="358"/>
      <c r="W54" s="1091"/>
      <c r="X54" s="1104"/>
      <c r="Y54" s="1104"/>
      <c r="Z54" s="358"/>
      <c r="AA54" s="358"/>
      <c r="AB54" s="358"/>
      <c r="AC54" s="1091"/>
      <c r="AD54" s="1104"/>
      <c r="AE54" s="1104"/>
      <c r="AF54" s="358"/>
      <c r="AG54" s="358"/>
      <c r="AH54" s="358"/>
      <c r="AI54" s="358"/>
      <c r="AJ54" s="358"/>
      <c r="AK54" s="440"/>
    </row>
    <row r="55" spans="1:37" ht="12" customHeight="1" x14ac:dyDescent="0.25">
      <c r="A55" s="440"/>
      <c r="B55" s="518"/>
      <c r="C55" s="386"/>
      <c r="D55" s="303"/>
      <c r="E55" s="303"/>
      <c r="F55" s="303"/>
      <c r="G55" s="303"/>
      <c r="H55" s="303"/>
      <c r="I55" s="465"/>
      <c r="J55" s="1603" t="s">
        <v>170</v>
      </c>
      <c r="K55" s="1603"/>
      <c r="L55" s="503"/>
      <c r="M55" s="526"/>
      <c r="N55" s="519"/>
      <c r="O55" s="530"/>
      <c r="P55" s="303"/>
      <c r="Q55" s="303"/>
      <c r="R55" s="303"/>
      <c r="S55" s="354"/>
      <c r="T55" s="363"/>
      <c r="U55" s="358"/>
      <c r="V55" s="358"/>
      <c r="W55" s="1091"/>
      <c r="X55" s="1104"/>
      <c r="Y55" s="1104"/>
      <c r="Z55" s="358"/>
      <c r="AA55" s="358"/>
      <c r="AB55" s="358"/>
      <c r="AC55" s="1091"/>
      <c r="AD55" s="1104"/>
      <c r="AE55" s="1104"/>
      <c r="AF55" s="358"/>
      <c r="AG55" s="358"/>
      <c r="AH55" s="358"/>
      <c r="AI55" s="358"/>
      <c r="AJ55" s="358"/>
      <c r="AK55" s="440"/>
    </row>
    <row r="56" spans="1:37" ht="12" customHeight="1" x14ac:dyDescent="0.2">
      <c r="A56" s="440"/>
      <c r="B56" s="518"/>
      <c r="C56" s="386"/>
      <c r="D56" s="303"/>
      <c r="E56" s="303"/>
      <c r="F56" s="1085"/>
      <c r="G56" s="1264"/>
      <c r="H56" s="1264"/>
      <c r="I56" s="1265"/>
      <c r="J56" s="638"/>
      <c r="K56" s="520" t="s">
        <v>177</v>
      </c>
      <c r="L56" s="521"/>
      <c r="M56" s="342"/>
      <c r="N56" s="521" t="s">
        <v>67</v>
      </c>
      <c r="O56" s="344"/>
      <c r="P56" s="504" t="s">
        <v>68</v>
      </c>
      <c r="Q56" s="344"/>
      <c r="R56" s="522" t="s">
        <v>363</v>
      </c>
      <c r="S56" s="353">
        <f>(M56*O56)+Q56</f>
        <v>0</v>
      </c>
      <c r="T56" s="524"/>
      <c r="U56" s="350"/>
      <c r="V56" s="308"/>
      <c r="W56" s="1090" t="str">
        <f t="shared" ref="W56:W58" si="7">IF(AND(V56&lt;&gt;0,U56&lt;&gt;0),"X",IF(AND(V56&lt;&gt;0,U56=0),"A",IF(AND(V56=0,U56&lt;&gt;0),"P","")))</f>
        <v/>
      </c>
      <c r="X56" s="1103">
        <f>IFERROR(IF(W56="X",0,IF(U56&gt;0,U56,V56/S56)),0)</f>
        <v>0</v>
      </c>
      <c r="Y56" s="1120">
        <f>IFERROR(IF(W56="X",0,IF(V56&gt;0,V56,S56*U56)),0)</f>
        <v>0</v>
      </c>
      <c r="Z56" s="524"/>
      <c r="AA56" s="350"/>
      <c r="AB56" s="308"/>
      <c r="AC56" s="1090" t="str">
        <f t="shared" ref="AC56:AC58" si="8">IF(AND(AB56&lt;&gt;0,AA56&lt;&gt;0),"X",IF(AND(AB56&lt;&gt;0,AA56=0),"A",IF(AND(AB56=0,AA56&lt;&gt;0),"P","")))</f>
        <v/>
      </c>
      <c r="AD56" s="1103">
        <f>IFERROR(IF(AC56="X",0,IF(AA56&gt;0,AA56,AB56/S56)),0)</f>
        <v>0</v>
      </c>
      <c r="AE56" s="1120">
        <f>IFERROR(IF(AC56="X",0,IF(AB56&gt;0,AB56,S56*AA56)),0)</f>
        <v>0</v>
      </c>
      <c r="AF56" s="525"/>
      <c r="AG56" s="637"/>
      <c r="AH56" s="525"/>
      <c r="AI56" s="1086">
        <f t="shared" ref="AI56:AI58" si="9">AG56</f>
        <v>0</v>
      </c>
      <c r="AJ56" s="380"/>
      <c r="AK56" s="440"/>
    </row>
    <row r="57" spans="1:37" ht="12" customHeight="1" x14ac:dyDescent="0.2">
      <c r="A57" s="440"/>
      <c r="B57" s="518"/>
      <c r="C57" s="386"/>
      <c r="D57" s="303"/>
      <c r="E57" s="303"/>
      <c r="F57" s="1085"/>
      <c r="G57" s="1264"/>
      <c r="H57" s="1264"/>
      <c r="I57" s="1265"/>
      <c r="J57" s="638"/>
      <c r="K57" s="520" t="s">
        <v>177</v>
      </c>
      <c r="L57" s="521"/>
      <c r="M57" s="342"/>
      <c r="N57" s="521" t="s">
        <v>67</v>
      </c>
      <c r="O57" s="344"/>
      <c r="P57" s="504" t="s">
        <v>68</v>
      </c>
      <c r="Q57" s="344"/>
      <c r="R57" s="522" t="s">
        <v>363</v>
      </c>
      <c r="S57" s="353">
        <f>(M57*O57)+Q57</f>
        <v>0</v>
      </c>
      <c r="T57" s="524"/>
      <c r="U57" s="350"/>
      <c r="V57" s="308"/>
      <c r="W57" s="1090" t="str">
        <f t="shared" si="7"/>
        <v/>
      </c>
      <c r="X57" s="1103">
        <f>IFERROR(IF(W57="X",0,IF(U57&gt;0,U57,V57/S57)),0)</f>
        <v>0</v>
      </c>
      <c r="Y57" s="1120">
        <f>IFERROR(IF(W57="X",0,IF(V57&gt;0,V57,S57*U57)),0)</f>
        <v>0</v>
      </c>
      <c r="Z57" s="524"/>
      <c r="AA57" s="350"/>
      <c r="AB57" s="308"/>
      <c r="AC57" s="1090" t="str">
        <f t="shared" si="8"/>
        <v/>
      </c>
      <c r="AD57" s="1103">
        <f>IFERROR(IF(AC57="X",0,IF(AA57&gt;0,AA57,AB57/S57)),0)</f>
        <v>0</v>
      </c>
      <c r="AE57" s="1120">
        <f>IFERROR(IF(AC57="X",0,IF(AB57&gt;0,AB57,S57*AA57)),0)</f>
        <v>0</v>
      </c>
      <c r="AF57" s="525"/>
      <c r="AG57" s="637"/>
      <c r="AH57" s="525"/>
      <c r="AI57" s="1086">
        <f t="shared" si="9"/>
        <v>0</v>
      </c>
      <c r="AJ57" s="380"/>
      <c r="AK57" s="440"/>
    </row>
    <row r="58" spans="1:37" ht="12" customHeight="1" x14ac:dyDescent="0.2">
      <c r="A58" s="440"/>
      <c r="B58" s="518"/>
      <c r="C58" s="386"/>
      <c r="D58" s="303"/>
      <c r="E58" s="303"/>
      <c r="F58" s="1085"/>
      <c r="G58" s="1264"/>
      <c r="H58" s="1264"/>
      <c r="I58" s="1265"/>
      <c r="J58" s="638"/>
      <c r="K58" s="520" t="s">
        <v>177</v>
      </c>
      <c r="L58" s="521"/>
      <c r="M58" s="342"/>
      <c r="N58" s="521" t="s">
        <v>67</v>
      </c>
      <c r="O58" s="344"/>
      <c r="P58" s="504" t="s">
        <v>68</v>
      </c>
      <c r="Q58" s="344"/>
      <c r="R58" s="522" t="s">
        <v>363</v>
      </c>
      <c r="S58" s="353">
        <f>(M58*O58)+Q58</f>
        <v>0</v>
      </c>
      <c r="T58" s="524"/>
      <c r="U58" s="350"/>
      <c r="V58" s="308"/>
      <c r="W58" s="1090" t="str">
        <f t="shared" si="7"/>
        <v/>
      </c>
      <c r="X58" s="1103">
        <f>IFERROR(IF(W58="X",0,IF(U58&gt;0,U58,V58/S58)),0)</f>
        <v>0</v>
      </c>
      <c r="Y58" s="1120">
        <f>IFERROR(IF(W58="X",0,IF(V58&gt;0,V58,S58*U58)),0)</f>
        <v>0</v>
      </c>
      <c r="Z58" s="524"/>
      <c r="AA58" s="350"/>
      <c r="AB58" s="308"/>
      <c r="AC58" s="1090" t="str">
        <f t="shared" si="8"/>
        <v/>
      </c>
      <c r="AD58" s="1103">
        <f>IFERROR(IF(AC58="X",0,IF(AA58&gt;0,AA58,AB58/S58)),0)</f>
        <v>0</v>
      </c>
      <c r="AE58" s="1120">
        <f>IFERROR(IF(AC58="X",0,IF(AB58&gt;0,AB58,S58*AA58)),0)</f>
        <v>0</v>
      </c>
      <c r="AF58" s="525"/>
      <c r="AG58" s="637"/>
      <c r="AH58" s="525"/>
      <c r="AI58" s="1086">
        <f t="shared" si="9"/>
        <v>0</v>
      </c>
      <c r="AJ58" s="380"/>
      <c r="AK58" s="440"/>
    </row>
    <row r="59" spans="1:37" ht="12" customHeight="1" x14ac:dyDescent="0.25">
      <c r="A59" s="440"/>
      <c r="B59" s="518"/>
      <c r="C59" s="386"/>
      <c r="D59" s="303" t="s">
        <v>150</v>
      </c>
      <c r="E59" s="1599" t="s">
        <v>138</v>
      </c>
      <c r="F59" s="1599"/>
      <c r="G59" s="1599"/>
      <c r="H59" s="1599"/>
      <c r="I59" s="1597"/>
      <c r="J59" s="497"/>
      <c r="K59" s="529"/>
      <c r="L59" s="503"/>
      <c r="M59" s="526"/>
      <c r="N59" s="519"/>
      <c r="O59" s="527"/>
      <c r="P59" s="303"/>
      <c r="Q59" s="303"/>
      <c r="R59" s="303"/>
      <c r="S59" s="354">
        <f>SUBTOTAL(109,S61:S63)</f>
        <v>0</v>
      </c>
      <c r="T59" s="363"/>
      <c r="U59" s="358"/>
      <c r="V59" s="358"/>
      <c r="W59" s="1091"/>
      <c r="X59" s="1104"/>
      <c r="Y59" s="1104"/>
      <c r="Z59" s="358"/>
      <c r="AA59" s="358"/>
      <c r="AB59" s="358"/>
      <c r="AC59" s="1091"/>
      <c r="AD59" s="1104"/>
      <c r="AE59" s="1104"/>
      <c r="AF59" s="358"/>
      <c r="AG59" s="358"/>
      <c r="AH59" s="358"/>
      <c r="AI59" s="358"/>
      <c r="AJ59" s="358"/>
      <c r="AK59" s="440"/>
    </row>
    <row r="60" spans="1:37" ht="12" customHeight="1" x14ac:dyDescent="0.25">
      <c r="A60" s="440"/>
      <c r="B60" s="518"/>
      <c r="C60" s="386"/>
      <c r="D60" s="303"/>
      <c r="E60" s="303"/>
      <c r="F60" s="303"/>
      <c r="G60" s="303"/>
      <c r="H60" s="303"/>
      <c r="I60" s="465"/>
      <c r="J60" s="1603" t="s">
        <v>170</v>
      </c>
      <c r="K60" s="1603"/>
      <c r="L60" s="503"/>
      <c r="M60" s="526"/>
      <c r="N60" s="519"/>
      <c r="O60" s="527"/>
      <c r="P60" s="303"/>
      <c r="Q60" s="303"/>
      <c r="R60" s="303"/>
      <c r="S60" s="354"/>
      <c r="T60" s="363"/>
      <c r="U60" s="358"/>
      <c r="V60" s="358"/>
      <c r="W60" s="1091"/>
      <c r="X60" s="1104"/>
      <c r="Y60" s="1104"/>
      <c r="Z60" s="358"/>
      <c r="AA60" s="358"/>
      <c r="AB60" s="358"/>
      <c r="AC60" s="1091"/>
      <c r="AD60" s="1104"/>
      <c r="AE60" s="1104"/>
      <c r="AF60" s="358"/>
      <c r="AG60" s="358"/>
      <c r="AH60" s="358"/>
      <c r="AI60" s="358"/>
      <c r="AJ60" s="358"/>
      <c r="AK60" s="440"/>
    </row>
    <row r="61" spans="1:37" ht="12" customHeight="1" x14ac:dyDescent="0.2">
      <c r="A61" s="440"/>
      <c r="B61" s="518"/>
      <c r="C61" s="386"/>
      <c r="D61" s="303"/>
      <c r="E61" s="303"/>
      <c r="F61" s="1085"/>
      <c r="G61" s="1264"/>
      <c r="H61" s="1264"/>
      <c r="I61" s="1265"/>
      <c r="J61" s="638"/>
      <c r="K61" s="520" t="s">
        <v>177</v>
      </c>
      <c r="L61" s="521"/>
      <c r="M61" s="342"/>
      <c r="N61" s="521" t="s">
        <v>67</v>
      </c>
      <c r="O61" s="344"/>
      <c r="P61" s="504" t="s">
        <v>68</v>
      </c>
      <c r="Q61" s="344"/>
      <c r="R61" s="522" t="s">
        <v>363</v>
      </c>
      <c r="S61" s="353">
        <f>(M61*O61)+Q61</f>
        <v>0</v>
      </c>
      <c r="T61" s="524"/>
      <c r="U61" s="350"/>
      <c r="V61" s="308"/>
      <c r="W61" s="1090" t="str">
        <f t="shared" ref="W61:W63" si="10">IF(AND(V61&lt;&gt;0,U61&lt;&gt;0),"X",IF(AND(V61&lt;&gt;0,U61=0),"A",IF(AND(V61=0,U61&lt;&gt;0),"P","")))</f>
        <v/>
      </c>
      <c r="X61" s="1103">
        <f>IFERROR(IF(W61="X",0,IF(U61&gt;0,U61,V61/S61)),0)</f>
        <v>0</v>
      </c>
      <c r="Y61" s="1120">
        <f>IFERROR(IF(W61="X",0,IF(V61&gt;0,V61,S61*U61)),0)</f>
        <v>0</v>
      </c>
      <c r="Z61" s="524"/>
      <c r="AA61" s="350"/>
      <c r="AB61" s="308"/>
      <c r="AC61" s="1090" t="str">
        <f t="shared" ref="AC61:AC63" si="11">IF(AND(AB61&lt;&gt;0,AA61&lt;&gt;0),"X",IF(AND(AB61&lt;&gt;0,AA61=0),"A",IF(AND(AB61=0,AA61&lt;&gt;0),"P","")))</f>
        <v/>
      </c>
      <c r="AD61" s="1103">
        <f>IFERROR(IF(AC61="X",0,IF(AA61&gt;0,AA61,AB61/S61)),0)</f>
        <v>0</v>
      </c>
      <c r="AE61" s="1120">
        <f>IFERROR(IF(AC61="X",0,IF(AB61&gt;0,AB61,S61*AA61)),0)</f>
        <v>0</v>
      </c>
      <c r="AF61" s="525"/>
      <c r="AG61" s="637"/>
      <c r="AH61" s="525"/>
      <c r="AI61" s="1086">
        <f t="shared" ref="AI61:AI63" si="12">AG61</f>
        <v>0</v>
      </c>
      <c r="AJ61" s="380"/>
      <c r="AK61" s="440"/>
    </row>
    <row r="62" spans="1:37" ht="12" customHeight="1" x14ac:dyDescent="0.2">
      <c r="A62" s="440"/>
      <c r="B62" s="518"/>
      <c r="C62" s="386"/>
      <c r="D62" s="303"/>
      <c r="E62" s="303"/>
      <c r="F62" s="1085"/>
      <c r="G62" s="1264"/>
      <c r="H62" s="1264"/>
      <c r="I62" s="1265"/>
      <c r="J62" s="638"/>
      <c r="K62" s="520" t="s">
        <v>177</v>
      </c>
      <c r="L62" s="521"/>
      <c r="M62" s="342"/>
      <c r="N62" s="521" t="s">
        <v>67</v>
      </c>
      <c r="O62" s="344"/>
      <c r="P62" s="504" t="s">
        <v>68</v>
      </c>
      <c r="Q62" s="344"/>
      <c r="R62" s="522" t="s">
        <v>363</v>
      </c>
      <c r="S62" s="353">
        <f>(M62*O62)+Q62</f>
        <v>0</v>
      </c>
      <c r="T62" s="524"/>
      <c r="U62" s="350"/>
      <c r="V62" s="308"/>
      <c r="W62" s="1090" t="str">
        <f t="shared" si="10"/>
        <v/>
      </c>
      <c r="X62" s="1103">
        <f>IFERROR(IF(W62="X",0,IF(U62&gt;0,U62,V62/S62)),0)</f>
        <v>0</v>
      </c>
      <c r="Y62" s="1120">
        <f>IFERROR(IF(W62="X",0,IF(V62&gt;0,V62,S62*U62)),0)</f>
        <v>0</v>
      </c>
      <c r="Z62" s="524"/>
      <c r="AA62" s="350"/>
      <c r="AB62" s="308"/>
      <c r="AC62" s="1090" t="str">
        <f t="shared" si="11"/>
        <v/>
      </c>
      <c r="AD62" s="1103">
        <f>IFERROR(IF(AC62="X",0,IF(AA62&gt;0,AA62,AB62/S62)),0)</f>
        <v>0</v>
      </c>
      <c r="AE62" s="1120">
        <f>IFERROR(IF(AC62="X",0,IF(AB62&gt;0,AB62,S62*AA62)),0)</f>
        <v>0</v>
      </c>
      <c r="AF62" s="525"/>
      <c r="AG62" s="637"/>
      <c r="AH62" s="525"/>
      <c r="AI62" s="1086">
        <f t="shared" si="12"/>
        <v>0</v>
      </c>
      <c r="AJ62" s="380"/>
      <c r="AK62" s="440"/>
    </row>
    <row r="63" spans="1:37" ht="12" customHeight="1" x14ac:dyDescent="0.2">
      <c r="A63" s="440"/>
      <c r="B63" s="518"/>
      <c r="C63" s="386"/>
      <c r="D63" s="303"/>
      <c r="E63" s="303"/>
      <c r="F63" s="1085"/>
      <c r="G63" s="1264"/>
      <c r="H63" s="1264"/>
      <c r="I63" s="1265"/>
      <c r="J63" s="638"/>
      <c r="K63" s="520" t="s">
        <v>177</v>
      </c>
      <c r="L63" s="521"/>
      <c r="M63" s="342"/>
      <c r="N63" s="521" t="s">
        <v>67</v>
      </c>
      <c r="O63" s="344"/>
      <c r="P63" s="504" t="s">
        <v>68</v>
      </c>
      <c r="Q63" s="344"/>
      <c r="R63" s="522" t="s">
        <v>363</v>
      </c>
      <c r="S63" s="353">
        <f>(M63*O63)+Q63</f>
        <v>0</v>
      </c>
      <c r="T63" s="524"/>
      <c r="U63" s="350"/>
      <c r="V63" s="308"/>
      <c r="W63" s="1090" t="str">
        <f t="shared" si="10"/>
        <v/>
      </c>
      <c r="X63" s="1103">
        <f>IFERROR(IF(W63="X",0,IF(U63&gt;0,U63,V63/S63)),0)</f>
        <v>0</v>
      </c>
      <c r="Y63" s="1120">
        <f>IFERROR(IF(W63="X",0,IF(V63&gt;0,V63,S63*U63)),0)</f>
        <v>0</v>
      </c>
      <c r="Z63" s="524"/>
      <c r="AA63" s="350"/>
      <c r="AB63" s="308"/>
      <c r="AC63" s="1090" t="str">
        <f t="shared" si="11"/>
        <v/>
      </c>
      <c r="AD63" s="1103">
        <f>IFERROR(IF(AC63="X",0,IF(AA63&gt;0,AA63,AB63/S63)),0)</f>
        <v>0</v>
      </c>
      <c r="AE63" s="1120">
        <f>IFERROR(IF(AC63="X",0,IF(AB63&gt;0,AB63,S63*AA63)),0)</f>
        <v>0</v>
      </c>
      <c r="AF63" s="525"/>
      <c r="AG63" s="637"/>
      <c r="AH63" s="525"/>
      <c r="AI63" s="1086">
        <f t="shared" si="12"/>
        <v>0</v>
      </c>
      <c r="AJ63" s="380"/>
      <c r="AK63" s="440"/>
    </row>
    <row r="64" spans="1:37" ht="12" customHeight="1" x14ac:dyDescent="0.25">
      <c r="A64" s="440"/>
      <c r="B64" s="518"/>
      <c r="C64" s="386"/>
      <c r="D64" s="303" t="s">
        <v>151</v>
      </c>
      <c r="E64" s="1599" t="s">
        <v>137</v>
      </c>
      <c r="F64" s="1599"/>
      <c r="G64" s="1599"/>
      <c r="H64" s="1599"/>
      <c r="I64" s="1597"/>
      <c r="J64" s="497"/>
      <c r="K64" s="529"/>
      <c r="L64" s="503"/>
      <c r="M64" s="526"/>
      <c r="N64" s="519"/>
      <c r="O64" s="530"/>
      <c r="P64" s="303"/>
      <c r="Q64" s="303"/>
      <c r="R64" s="303"/>
      <c r="S64" s="354">
        <f>SUBTOTAL(109,S66:S67)</f>
        <v>0</v>
      </c>
      <c r="T64" s="363"/>
      <c r="U64" s="358"/>
      <c r="V64" s="358"/>
      <c r="W64" s="1091"/>
      <c r="X64" s="1105"/>
      <c r="Y64" s="1105"/>
      <c r="Z64" s="358"/>
      <c r="AA64" s="358"/>
      <c r="AB64" s="358"/>
      <c r="AC64" s="1091"/>
      <c r="AD64" s="1105"/>
      <c r="AE64" s="1105"/>
      <c r="AF64" s="358"/>
      <c r="AG64" s="358"/>
      <c r="AH64" s="363"/>
      <c r="AI64" s="358"/>
      <c r="AJ64" s="363"/>
      <c r="AK64" s="440"/>
    </row>
    <row r="65" spans="1:37" ht="12" customHeight="1" x14ac:dyDescent="0.25">
      <c r="A65" s="440"/>
      <c r="B65" s="518"/>
      <c r="C65" s="386"/>
      <c r="D65" s="303"/>
      <c r="E65" s="303"/>
      <c r="F65" s="303"/>
      <c r="G65" s="303"/>
      <c r="H65" s="303"/>
      <c r="I65" s="465"/>
      <c r="J65" s="1603" t="s">
        <v>170</v>
      </c>
      <c r="K65" s="1603"/>
      <c r="L65" s="503"/>
      <c r="M65" s="526"/>
      <c r="N65" s="519"/>
      <c r="O65" s="530"/>
      <c r="P65" s="303"/>
      <c r="Q65" s="303"/>
      <c r="R65" s="303"/>
      <c r="S65" s="354"/>
      <c r="T65" s="363"/>
      <c r="U65" s="362"/>
      <c r="V65" s="355"/>
      <c r="W65" s="1092"/>
      <c r="X65" s="1105"/>
      <c r="Y65" s="1105"/>
      <c r="Z65" s="363"/>
      <c r="AA65" s="362"/>
      <c r="AB65" s="355"/>
      <c r="AC65" s="1092"/>
      <c r="AD65" s="1105"/>
      <c r="AE65" s="1105"/>
      <c r="AF65" s="359"/>
      <c r="AG65" s="358"/>
      <c r="AH65" s="363"/>
      <c r="AI65" s="531"/>
      <c r="AJ65" s="363"/>
      <c r="AK65" s="440"/>
    </row>
    <row r="66" spans="1:37" ht="12" customHeight="1" x14ac:dyDescent="0.2">
      <c r="A66" s="440"/>
      <c r="B66" s="518"/>
      <c r="C66" s="386"/>
      <c r="D66" s="303"/>
      <c r="E66" s="303"/>
      <c r="F66" s="1085"/>
      <c r="G66" s="1264"/>
      <c r="H66" s="1264"/>
      <c r="I66" s="1265"/>
      <c r="J66" s="638"/>
      <c r="K66" s="520" t="s">
        <v>177</v>
      </c>
      <c r="L66" s="521"/>
      <c r="M66" s="342"/>
      <c r="N66" s="521" t="s">
        <v>67</v>
      </c>
      <c r="O66" s="344"/>
      <c r="P66" s="504" t="s">
        <v>68</v>
      </c>
      <c r="Q66" s="344"/>
      <c r="R66" s="522" t="s">
        <v>363</v>
      </c>
      <c r="S66" s="353">
        <f>(M66*O66)+Q66</f>
        <v>0</v>
      </c>
      <c r="T66" s="524"/>
      <c r="U66" s="350"/>
      <c r="V66" s="308"/>
      <c r="W66" s="1090" t="str">
        <f t="shared" ref="W66:W67" si="13">IF(AND(V66&lt;&gt;0,U66&lt;&gt;0),"X",IF(AND(V66&lt;&gt;0,U66=0),"A",IF(AND(V66=0,U66&lt;&gt;0),"P","")))</f>
        <v/>
      </c>
      <c r="X66" s="1103">
        <f>IFERROR(IF(W66="X",0,IF(U66&gt;0,U66,V66/S66)),0)</f>
        <v>0</v>
      </c>
      <c r="Y66" s="1120">
        <f>IFERROR(IF(W66="X",0,IF(V66&gt;0,V66,S66*U66)),0)</f>
        <v>0</v>
      </c>
      <c r="Z66" s="524"/>
      <c r="AA66" s="350"/>
      <c r="AB66" s="308"/>
      <c r="AC66" s="1090" t="str">
        <f t="shared" ref="AC66:AC67" si="14">IF(AND(AB66&lt;&gt;0,AA66&lt;&gt;0),"X",IF(AND(AB66&lt;&gt;0,AA66=0),"A",IF(AND(AB66=0,AA66&lt;&gt;0),"P","")))</f>
        <v/>
      </c>
      <c r="AD66" s="1103">
        <f>IFERROR(IF(AC66="X",0,IF(AA66&gt;0,AA66,AB66/S66)),0)</f>
        <v>0</v>
      </c>
      <c r="AE66" s="1120">
        <f>IFERROR(IF(AC66="X",0,IF(AB66&gt;0,AB66,S66*AA66)),0)</f>
        <v>0</v>
      </c>
      <c r="AF66" s="525"/>
      <c r="AG66" s="637"/>
      <c r="AH66" s="525"/>
      <c r="AI66" s="1086">
        <f t="shared" ref="AI66:AI67" si="15">AG66</f>
        <v>0</v>
      </c>
      <c r="AJ66" s="380"/>
      <c r="AK66" s="440"/>
    </row>
    <row r="67" spans="1:37" ht="12" customHeight="1" x14ac:dyDescent="0.2">
      <c r="A67" s="440"/>
      <c r="B67" s="518"/>
      <c r="C67" s="386"/>
      <c r="D67" s="303"/>
      <c r="E67" s="303"/>
      <c r="F67" s="1085"/>
      <c r="G67" s="1264"/>
      <c r="H67" s="1264"/>
      <c r="I67" s="1265"/>
      <c r="J67" s="638"/>
      <c r="K67" s="520" t="s">
        <v>177</v>
      </c>
      <c r="L67" s="521"/>
      <c r="M67" s="342"/>
      <c r="N67" s="521" t="s">
        <v>67</v>
      </c>
      <c r="O67" s="344"/>
      <c r="P67" s="504" t="s">
        <v>68</v>
      </c>
      <c r="Q67" s="344"/>
      <c r="R67" s="522" t="s">
        <v>363</v>
      </c>
      <c r="S67" s="353">
        <f>(M67*O67)+Q67</f>
        <v>0</v>
      </c>
      <c r="T67" s="524"/>
      <c r="U67" s="350"/>
      <c r="V67" s="308"/>
      <c r="W67" s="1090" t="str">
        <f t="shared" si="13"/>
        <v/>
      </c>
      <c r="X67" s="1103">
        <f>IFERROR(IF(W67="X",0,IF(U67&gt;0,U67,V67/S67)),0)</f>
        <v>0</v>
      </c>
      <c r="Y67" s="1120">
        <f>IFERROR(IF(W67="X",0,IF(V67&gt;0,V67,S67*U67)),0)</f>
        <v>0</v>
      </c>
      <c r="Z67" s="524"/>
      <c r="AA67" s="350"/>
      <c r="AB67" s="308"/>
      <c r="AC67" s="1090" t="str">
        <f t="shared" si="14"/>
        <v/>
      </c>
      <c r="AD67" s="1103">
        <f>IFERROR(IF(AC67="X",0,IF(AA67&gt;0,AA67,AB67/S67)),0)</f>
        <v>0</v>
      </c>
      <c r="AE67" s="1120">
        <f>IFERROR(IF(AC67="X",0,IF(AB67&gt;0,AB67,S67*AA67)),0)</f>
        <v>0</v>
      </c>
      <c r="AF67" s="525"/>
      <c r="AG67" s="637"/>
      <c r="AH67" s="525"/>
      <c r="AI67" s="1086">
        <f t="shared" si="15"/>
        <v>0</v>
      </c>
      <c r="AJ67" s="380"/>
      <c r="AK67" s="440"/>
    </row>
    <row r="68" spans="1:37" ht="12" customHeight="1" x14ac:dyDescent="0.25">
      <c r="A68" s="440"/>
      <c r="B68" s="518"/>
      <c r="C68" s="386"/>
      <c r="D68" s="303" t="s">
        <v>322</v>
      </c>
      <c r="E68" s="303" t="s">
        <v>324</v>
      </c>
      <c r="F68" s="519"/>
      <c r="G68" s="519"/>
      <c r="H68" s="519"/>
      <c r="I68" s="519"/>
      <c r="J68" s="497"/>
      <c r="K68" s="529"/>
      <c r="L68" s="503"/>
      <c r="M68" s="532"/>
      <c r="N68" s="503"/>
      <c r="O68" s="527"/>
      <c r="P68" s="386"/>
      <c r="Q68" s="386"/>
      <c r="R68" s="386"/>
      <c r="S68" s="354">
        <f>SUBTOTAL(109,S70:S72)</f>
        <v>75847.319999999992</v>
      </c>
      <c r="T68" s="363"/>
      <c r="U68" s="364"/>
      <c r="V68" s="365"/>
      <c r="W68" s="1093"/>
      <c r="X68" s="1106"/>
      <c r="Y68" s="1122"/>
      <c r="Z68" s="363"/>
      <c r="AA68" s="364"/>
      <c r="AB68" s="365"/>
      <c r="AC68" s="1093"/>
      <c r="AD68" s="1106"/>
      <c r="AE68" s="1122"/>
      <c r="AF68" s="363"/>
      <c r="AG68" s="358"/>
      <c r="AH68" s="363"/>
      <c r="AI68" s="358"/>
      <c r="AJ68" s="363"/>
      <c r="AK68" s="440"/>
    </row>
    <row r="69" spans="1:37" ht="12" customHeight="1" x14ac:dyDescent="0.2">
      <c r="A69" s="440"/>
      <c r="B69" s="518"/>
      <c r="C69" s="386"/>
      <c r="D69" s="303"/>
      <c r="E69" s="303"/>
      <c r="F69" s="519"/>
      <c r="G69" s="519"/>
      <c r="H69" s="519"/>
      <c r="I69" s="519"/>
      <c r="J69" s="1603" t="s">
        <v>170</v>
      </c>
      <c r="K69" s="1603"/>
      <c r="L69" s="503"/>
      <c r="M69" s="532"/>
      <c r="N69" s="503"/>
      <c r="O69" s="527"/>
      <c r="P69" s="386"/>
      <c r="Q69" s="386"/>
      <c r="R69" s="386"/>
      <c r="S69" s="354"/>
      <c r="T69" s="363"/>
      <c r="U69" s="364"/>
      <c r="V69" s="365"/>
      <c r="W69" s="1093"/>
      <c r="X69" s="1106"/>
      <c r="Y69" s="1122"/>
      <c r="Z69" s="363"/>
      <c r="AA69" s="364"/>
      <c r="AB69" s="365"/>
      <c r="AC69" s="1093"/>
      <c r="AD69" s="1106"/>
      <c r="AE69" s="1122"/>
      <c r="AF69" s="363"/>
      <c r="AG69" s="358"/>
      <c r="AH69" s="363"/>
      <c r="AI69" s="358"/>
      <c r="AJ69" s="363"/>
      <c r="AK69" s="440"/>
    </row>
    <row r="70" spans="1:37" ht="12" customHeight="1" x14ac:dyDescent="0.2">
      <c r="A70" s="440"/>
      <c r="B70" s="518"/>
      <c r="C70" s="386"/>
      <c r="D70" s="380"/>
      <c r="E70" s="380"/>
      <c r="F70" s="1085" t="s">
        <v>745</v>
      </c>
      <c r="G70" s="1264"/>
      <c r="H70" s="1264"/>
      <c r="I70" s="1265"/>
      <c r="J70" s="638"/>
      <c r="K70" s="533" t="s">
        <v>177</v>
      </c>
      <c r="L70" s="521"/>
      <c r="M70" s="342"/>
      <c r="N70" s="521" t="s">
        <v>67</v>
      </c>
      <c r="O70" s="344"/>
      <c r="P70" s="504" t="s">
        <v>68</v>
      </c>
      <c r="Q70" s="344">
        <f>52321*1.2</f>
        <v>62785.2</v>
      </c>
      <c r="R70" s="522" t="s">
        <v>363</v>
      </c>
      <c r="S70" s="353">
        <f>(M70*O70)+Q70</f>
        <v>62785.2</v>
      </c>
      <c r="T70" s="524"/>
      <c r="U70" s="350"/>
      <c r="V70" s="308"/>
      <c r="W70" s="1090" t="str">
        <f t="shared" ref="W70:W72" si="16">IF(AND(V70&lt;&gt;0,U70&lt;&gt;0),"X",IF(AND(V70&lt;&gt;0,U70=0),"A",IF(AND(V70=0,U70&lt;&gt;0),"P","")))</f>
        <v/>
      </c>
      <c r="X70" s="1103">
        <f>IFERROR(IF(W70="X",0,IF(U70&gt;0,U70,V70/S70)),0)</f>
        <v>0</v>
      </c>
      <c r="Y70" s="1120">
        <f>IFERROR(IF(W70="X",0,IF(V70&gt;0,V70,S70*U70)),0)</f>
        <v>0</v>
      </c>
      <c r="Z70" s="524"/>
      <c r="AA70" s="350"/>
      <c r="AB70" s="308"/>
      <c r="AC70" s="1090" t="str">
        <f t="shared" ref="AC70:AC72" si="17">IF(AND(AB70&lt;&gt;0,AA70&lt;&gt;0),"X",IF(AND(AB70&lt;&gt;0,AA70=0),"A",IF(AND(AB70=0,AA70&lt;&gt;0),"P","")))</f>
        <v/>
      </c>
      <c r="AD70" s="1103">
        <f>IFERROR(IF(AC70="X",0,IF(AA70&gt;0,AA70,AB70/S70)),0)</f>
        <v>0</v>
      </c>
      <c r="AE70" s="1120">
        <f>IFERROR(IF(AC70="X",0,IF(AB70&gt;0,AB70,S70*AA70)),0)</f>
        <v>0</v>
      </c>
      <c r="AF70" s="525"/>
      <c r="AG70" s="637">
        <v>100</v>
      </c>
      <c r="AH70" s="525"/>
      <c r="AI70" s="1086">
        <f t="shared" ref="AI70:AI72" si="18">AG70</f>
        <v>100</v>
      </c>
      <c r="AJ70" s="380"/>
      <c r="AK70" s="440"/>
    </row>
    <row r="71" spans="1:37" ht="12" customHeight="1" x14ac:dyDescent="0.2">
      <c r="A71" s="440"/>
      <c r="B71" s="518"/>
      <c r="C71" s="386"/>
      <c r="D71" s="380"/>
      <c r="E71" s="380"/>
      <c r="F71" s="1085" t="s">
        <v>746</v>
      </c>
      <c r="G71" s="1264"/>
      <c r="H71" s="1264"/>
      <c r="I71" s="1265"/>
      <c r="J71" s="638"/>
      <c r="K71" s="533" t="s">
        <v>177</v>
      </c>
      <c r="L71" s="503"/>
      <c r="M71" s="343"/>
      <c r="N71" s="521" t="s">
        <v>67</v>
      </c>
      <c r="O71" s="344"/>
      <c r="P71" s="504" t="s">
        <v>68</v>
      </c>
      <c r="Q71" s="344">
        <f>10885.1*1.2</f>
        <v>13062.12</v>
      </c>
      <c r="R71" s="522" t="s">
        <v>363</v>
      </c>
      <c r="S71" s="353">
        <f>(M71*O71)+Q71</f>
        <v>13062.12</v>
      </c>
      <c r="T71" s="363"/>
      <c r="U71" s="350"/>
      <c r="V71" s="308"/>
      <c r="W71" s="1090" t="str">
        <f t="shared" si="16"/>
        <v/>
      </c>
      <c r="X71" s="1103">
        <f>IFERROR(IF(W71="X",0,IF(U71&gt;0,U71,V71/S71)),0)</f>
        <v>0</v>
      </c>
      <c r="Y71" s="1120">
        <f>IFERROR(IF(W71="X",0,IF(V71&gt;0,V71,S71*U71)),0)</f>
        <v>0</v>
      </c>
      <c r="Z71" s="363"/>
      <c r="AA71" s="350"/>
      <c r="AB71" s="308"/>
      <c r="AC71" s="1090" t="str">
        <f t="shared" si="17"/>
        <v/>
      </c>
      <c r="AD71" s="1103">
        <f>IFERROR(IF(AC71="X",0,IF(AA71&gt;0,AA71,AB71/S71)),0)</f>
        <v>0</v>
      </c>
      <c r="AE71" s="1120">
        <f>IFERROR(IF(AC71="X",0,IF(AB71&gt;0,AB71,S71*AA71)),0)</f>
        <v>0</v>
      </c>
      <c r="AF71" s="525"/>
      <c r="AG71" s="637">
        <v>60</v>
      </c>
      <c r="AH71" s="525"/>
      <c r="AI71" s="1086">
        <f t="shared" si="18"/>
        <v>60</v>
      </c>
      <c r="AJ71" s="380"/>
      <c r="AK71" s="440"/>
    </row>
    <row r="72" spans="1:37" ht="12" customHeight="1" x14ac:dyDescent="0.2">
      <c r="A72" s="440"/>
      <c r="B72" s="518"/>
      <c r="C72" s="386"/>
      <c r="D72" s="380"/>
      <c r="E72" s="380"/>
      <c r="F72" s="1085"/>
      <c r="G72" s="1264"/>
      <c r="H72" s="1264"/>
      <c r="I72" s="1265"/>
      <c r="J72" s="638"/>
      <c r="K72" s="533" t="s">
        <v>177</v>
      </c>
      <c r="L72" s="503"/>
      <c r="M72" s="343"/>
      <c r="N72" s="521" t="s">
        <v>67</v>
      </c>
      <c r="O72" s="344"/>
      <c r="P72" s="504" t="s">
        <v>68</v>
      </c>
      <c r="Q72" s="344"/>
      <c r="R72" s="522" t="s">
        <v>363</v>
      </c>
      <c r="S72" s="353">
        <f>(M72*O72)+Q72</f>
        <v>0</v>
      </c>
      <c r="T72" s="363"/>
      <c r="U72" s="350"/>
      <c r="V72" s="308"/>
      <c r="W72" s="1090" t="str">
        <f t="shared" si="16"/>
        <v/>
      </c>
      <c r="X72" s="1103">
        <f>IFERROR(IF(W72="X",0,IF(U72&gt;0,U72,V72/S72)),0)</f>
        <v>0</v>
      </c>
      <c r="Y72" s="1120">
        <f>IFERROR(IF(W72="X",0,IF(V72&gt;0,V72,S72*U72)),0)</f>
        <v>0</v>
      </c>
      <c r="Z72" s="363"/>
      <c r="AA72" s="350"/>
      <c r="AB72" s="308"/>
      <c r="AC72" s="1090" t="str">
        <f t="shared" si="17"/>
        <v/>
      </c>
      <c r="AD72" s="1103">
        <f>IFERROR(IF(AC72="X",0,IF(AA72&gt;0,AA72,AB72/S72)),0)</f>
        <v>0</v>
      </c>
      <c r="AE72" s="1120">
        <f>IFERROR(IF(AC72="X",0,IF(AB72&gt;0,AB72,S72*AA72)),0)</f>
        <v>0</v>
      </c>
      <c r="AF72" s="525"/>
      <c r="AG72" s="637"/>
      <c r="AH72" s="525"/>
      <c r="AI72" s="1086">
        <f t="shared" si="18"/>
        <v>0</v>
      </c>
      <c r="AJ72" s="380"/>
      <c r="AK72" s="440"/>
    </row>
    <row r="73" spans="1:37" ht="14.25" customHeight="1" collapsed="1" x14ac:dyDescent="0.25">
      <c r="A73" s="440"/>
      <c r="B73" s="518"/>
      <c r="C73" s="386" t="s">
        <v>152</v>
      </c>
      <c r="D73" s="494"/>
      <c r="E73" s="1596" t="s">
        <v>135</v>
      </c>
      <c r="F73" s="1596"/>
      <c r="G73" s="1596"/>
      <c r="H73" s="1596"/>
      <c r="I73" s="1597"/>
      <c r="J73" s="497"/>
      <c r="K73" s="529"/>
      <c r="L73" s="529"/>
      <c r="M73" s="526"/>
      <c r="N73" s="519"/>
      <c r="O73" s="530"/>
      <c r="P73" s="303"/>
      <c r="Q73" s="303"/>
      <c r="R73" s="303"/>
      <c r="S73" s="355">
        <f>S74+S82+S87</f>
        <v>165032.25599999999</v>
      </c>
      <c r="T73" s="363"/>
      <c r="U73" s="360"/>
      <c r="V73" s="361"/>
      <c r="W73" s="1092"/>
      <c r="X73" s="1105"/>
      <c r="Y73" s="1121"/>
      <c r="Z73" s="363"/>
      <c r="AA73" s="360"/>
      <c r="AB73" s="361"/>
      <c r="AC73" s="1092"/>
      <c r="AD73" s="1105"/>
      <c r="AE73" s="1121"/>
      <c r="AF73" s="359"/>
      <c r="AG73" s="358"/>
      <c r="AH73" s="359"/>
      <c r="AI73" s="358"/>
      <c r="AJ73" s="359"/>
      <c r="AK73" s="440"/>
    </row>
    <row r="74" spans="1:37" ht="12" customHeight="1" x14ac:dyDescent="0.25">
      <c r="A74" s="440"/>
      <c r="B74" s="518"/>
      <c r="C74" s="386"/>
      <c r="D74" s="303" t="s">
        <v>153</v>
      </c>
      <c r="E74" s="1599" t="s">
        <v>158</v>
      </c>
      <c r="F74" s="1599"/>
      <c r="G74" s="1599"/>
      <c r="H74" s="1599"/>
      <c r="I74" s="1597"/>
      <c r="J74" s="497"/>
      <c r="K74" s="529"/>
      <c r="L74" s="503"/>
      <c r="M74" s="526"/>
      <c r="N74" s="519"/>
      <c r="O74" s="530"/>
      <c r="P74" s="303"/>
      <c r="Q74" s="303"/>
      <c r="R74" s="303"/>
      <c r="S74" s="354">
        <f>SUBTOTAL(109,S76:S81)</f>
        <v>96933.599999999991</v>
      </c>
      <c r="T74" s="363"/>
      <c r="U74" s="358"/>
      <c r="V74" s="358"/>
      <c r="W74" s="1091"/>
      <c r="X74" s="1104"/>
      <c r="Y74" s="1104"/>
      <c r="Z74" s="358"/>
      <c r="AA74" s="358"/>
      <c r="AB74" s="358"/>
      <c r="AC74" s="1091"/>
      <c r="AD74" s="1104"/>
      <c r="AE74" s="1104"/>
      <c r="AF74" s="358"/>
      <c r="AG74" s="358"/>
      <c r="AH74" s="358"/>
      <c r="AI74" s="358"/>
      <c r="AJ74" s="358"/>
      <c r="AK74" s="440"/>
    </row>
    <row r="75" spans="1:37" ht="12" customHeight="1" x14ac:dyDescent="0.25">
      <c r="A75" s="440"/>
      <c r="B75" s="518"/>
      <c r="C75" s="386"/>
      <c r="D75" s="303"/>
      <c r="E75" s="303"/>
      <c r="F75" s="303"/>
      <c r="G75" s="303"/>
      <c r="H75" s="303"/>
      <c r="I75" s="465"/>
      <c r="J75" s="1603" t="s">
        <v>170</v>
      </c>
      <c r="K75" s="1603"/>
      <c r="L75" s="503"/>
      <c r="M75" s="526"/>
      <c r="N75" s="519"/>
      <c r="O75" s="530"/>
      <c r="P75" s="303"/>
      <c r="Q75" s="303"/>
      <c r="R75" s="303"/>
      <c r="S75" s="354"/>
      <c r="T75" s="363"/>
      <c r="U75" s="366"/>
      <c r="V75" s="367"/>
      <c r="W75" s="1092"/>
      <c r="X75" s="1107"/>
      <c r="Y75" s="1123"/>
      <c r="Z75" s="363"/>
      <c r="AA75" s="366"/>
      <c r="AB75" s="367"/>
      <c r="AC75" s="1092"/>
      <c r="AD75" s="1107"/>
      <c r="AE75" s="1123"/>
      <c r="AF75" s="359"/>
      <c r="AG75" s="373"/>
      <c r="AH75" s="359"/>
      <c r="AI75" s="373"/>
      <c r="AJ75" s="359"/>
      <c r="AK75" s="440"/>
    </row>
    <row r="76" spans="1:37" ht="12" customHeight="1" x14ac:dyDescent="0.2">
      <c r="A76" s="440"/>
      <c r="B76" s="518"/>
      <c r="C76" s="386"/>
      <c r="D76" s="303"/>
      <c r="E76" s="303"/>
      <c r="F76" s="1085" t="s">
        <v>867</v>
      </c>
      <c r="G76" s="1264"/>
      <c r="H76" s="1264"/>
      <c r="I76" s="1265"/>
      <c r="J76" s="638"/>
      <c r="K76" s="520" t="s">
        <v>177</v>
      </c>
      <c r="L76" s="521"/>
      <c r="M76" s="342"/>
      <c r="N76" s="521" t="s">
        <v>67</v>
      </c>
      <c r="O76" s="344"/>
      <c r="P76" s="504" t="s">
        <v>68</v>
      </c>
      <c r="Q76" s="344">
        <f>66192*1.2</f>
        <v>79430.399999999994</v>
      </c>
      <c r="R76" s="522" t="s">
        <v>363</v>
      </c>
      <c r="S76" s="353">
        <f t="shared" ref="S76:S81" si="19">(M76*O76)+Q76</f>
        <v>79430.399999999994</v>
      </c>
      <c r="T76" s="524"/>
      <c r="U76" s="350"/>
      <c r="V76" s="308"/>
      <c r="W76" s="1090" t="str">
        <f t="shared" ref="W76:W81" si="20">IF(AND(V76&lt;&gt;0,U76&lt;&gt;0),"X",IF(AND(V76&lt;&gt;0,U76=0),"A",IF(AND(V76=0,U76&lt;&gt;0),"P","")))</f>
        <v/>
      </c>
      <c r="X76" s="1103">
        <f t="shared" ref="X76:X81" si="21">IFERROR(IF(W76="X",0,IF(U76&gt;0,U76,V76/S76)),0)</f>
        <v>0</v>
      </c>
      <c r="Y76" s="1120">
        <f t="shared" ref="Y76:Y81" si="22">IFERROR(IF(W76="X",0,IF(V76&gt;0,V76,S76*U76)),0)</f>
        <v>0</v>
      </c>
      <c r="Z76" s="524"/>
      <c r="AA76" s="350"/>
      <c r="AB76" s="308"/>
      <c r="AC76" s="1090" t="str">
        <f t="shared" ref="AC76:AC81" si="23">IF(AND(AB76&lt;&gt;0,AA76&lt;&gt;0),"X",IF(AND(AB76&lt;&gt;0,AA76=0),"A",IF(AND(AB76=0,AA76&lt;&gt;0),"P","")))</f>
        <v/>
      </c>
      <c r="AD76" s="1103">
        <f t="shared" ref="AD76:AD81" si="24">IFERROR(IF(AC76="X",0,IF(AA76&gt;0,AA76,AB76/S76)),0)</f>
        <v>0</v>
      </c>
      <c r="AE76" s="1120">
        <f t="shared" ref="AE76:AE81" si="25">IFERROR(IF(AC76="X",0,IF(AB76&gt;0,AB76,S76*AA76)),0)</f>
        <v>0</v>
      </c>
      <c r="AF76" s="525"/>
      <c r="AG76" s="637">
        <v>50</v>
      </c>
      <c r="AH76" s="525"/>
      <c r="AI76" s="1086">
        <f t="shared" ref="AI76:AI81" si="26">AG76</f>
        <v>50</v>
      </c>
      <c r="AJ76" s="380"/>
      <c r="AK76" s="440"/>
    </row>
    <row r="77" spans="1:37" ht="12" customHeight="1" x14ac:dyDescent="0.2">
      <c r="A77" s="440"/>
      <c r="B77" s="518"/>
      <c r="C77" s="386"/>
      <c r="D77" s="303"/>
      <c r="E77" s="303"/>
      <c r="F77" s="1085" t="s">
        <v>859</v>
      </c>
      <c r="G77" s="1264"/>
      <c r="H77" s="1264"/>
      <c r="I77" s="1265"/>
      <c r="J77" s="638"/>
      <c r="K77" s="520" t="s">
        <v>177</v>
      </c>
      <c r="L77" s="521"/>
      <c r="M77" s="342"/>
      <c r="N77" s="521" t="s">
        <v>67</v>
      </c>
      <c r="O77" s="344"/>
      <c r="P77" s="504" t="s">
        <v>68</v>
      </c>
      <c r="Q77" s="344">
        <f>12040*1.2</f>
        <v>14448</v>
      </c>
      <c r="R77" s="522" t="s">
        <v>363</v>
      </c>
      <c r="S77" s="353">
        <f t="shared" si="19"/>
        <v>14448</v>
      </c>
      <c r="T77" s="524"/>
      <c r="U77" s="350"/>
      <c r="V77" s="308"/>
      <c r="W77" s="1090" t="str">
        <f t="shared" si="20"/>
        <v/>
      </c>
      <c r="X77" s="1103">
        <f t="shared" si="21"/>
        <v>0</v>
      </c>
      <c r="Y77" s="1120">
        <f t="shared" si="22"/>
        <v>0</v>
      </c>
      <c r="Z77" s="524"/>
      <c r="AA77" s="350"/>
      <c r="AB77" s="308"/>
      <c r="AC77" s="1090" t="str">
        <f t="shared" si="23"/>
        <v/>
      </c>
      <c r="AD77" s="1103">
        <f t="shared" si="24"/>
        <v>0</v>
      </c>
      <c r="AE77" s="1120">
        <f t="shared" si="25"/>
        <v>0</v>
      </c>
      <c r="AF77" s="525"/>
      <c r="AG77" s="637">
        <v>80</v>
      </c>
      <c r="AH77" s="525"/>
      <c r="AI77" s="1086">
        <f t="shared" si="26"/>
        <v>80</v>
      </c>
      <c r="AJ77" s="380"/>
      <c r="AK77" s="440"/>
    </row>
    <row r="78" spans="1:37" ht="12" customHeight="1" x14ac:dyDescent="0.2">
      <c r="A78" s="440"/>
      <c r="B78" s="518"/>
      <c r="C78" s="386"/>
      <c r="D78" s="303"/>
      <c r="E78" s="303"/>
      <c r="F78" s="1085" t="s">
        <v>860</v>
      </c>
      <c r="G78" s="1264"/>
      <c r="H78" s="1264"/>
      <c r="I78" s="1265"/>
      <c r="J78" s="638"/>
      <c r="K78" s="520" t="s">
        <v>177</v>
      </c>
      <c r="L78" s="521"/>
      <c r="M78" s="342"/>
      <c r="N78" s="521" t="s">
        <v>67</v>
      </c>
      <c r="O78" s="344"/>
      <c r="P78" s="504" t="s">
        <v>68</v>
      </c>
      <c r="Q78" s="344">
        <f>2546*1.2</f>
        <v>3055.2</v>
      </c>
      <c r="R78" s="522" t="s">
        <v>363</v>
      </c>
      <c r="S78" s="353">
        <f t="shared" si="19"/>
        <v>3055.2</v>
      </c>
      <c r="T78" s="524"/>
      <c r="U78" s="350"/>
      <c r="V78" s="308"/>
      <c r="W78" s="1090" t="str">
        <f t="shared" si="20"/>
        <v/>
      </c>
      <c r="X78" s="1103">
        <f t="shared" si="21"/>
        <v>0</v>
      </c>
      <c r="Y78" s="1120">
        <f t="shared" si="22"/>
        <v>0</v>
      </c>
      <c r="Z78" s="524"/>
      <c r="AA78" s="350"/>
      <c r="AB78" s="308"/>
      <c r="AC78" s="1090" t="str">
        <f t="shared" si="23"/>
        <v/>
      </c>
      <c r="AD78" s="1103">
        <f t="shared" si="24"/>
        <v>0</v>
      </c>
      <c r="AE78" s="1120">
        <f t="shared" si="25"/>
        <v>0</v>
      </c>
      <c r="AF78" s="525"/>
      <c r="AG78" s="637">
        <v>100</v>
      </c>
      <c r="AH78" s="525"/>
      <c r="AI78" s="1086">
        <f t="shared" si="26"/>
        <v>100</v>
      </c>
      <c r="AJ78" s="380"/>
      <c r="AK78" s="440"/>
    </row>
    <row r="79" spans="1:37" ht="12" customHeight="1" x14ac:dyDescent="0.2">
      <c r="A79" s="440"/>
      <c r="B79" s="518"/>
      <c r="C79" s="386"/>
      <c r="D79" s="303"/>
      <c r="E79" s="303"/>
      <c r="F79" s="1085"/>
      <c r="G79" s="1264"/>
      <c r="H79" s="1264"/>
      <c r="I79" s="1265"/>
      <c r="J79" s="638"/>
      <c r="K79" s="520" t="s">
        <v>177</v>
      </c>
      <c r="L79" s="521"/>
      <c r="M79" s="342"/>
      <c r="N79" s="521" t="s">
        <v>67</v>
      </c>
      <c r="O79" s="344"/>
      <c r="P79" s="504" t="s">
        <v>68</v>
      </c>
      <c r="Q79" s="344"/>
      <c r="R79" s="522" t="s">
        <v>363</v>
      </c>
      <c r="S79" s="353">
        <f t="shared" si="19"/>
        <v>0</v>
      </c>
      <c r="T79" s="524"/>
      <c r="U79" s="350"/>
      <c r="V79" s="308"/>
      <c r="W79" s="1090" t="str">
        <f t="shared" si="20"/>
        <v/>
      </c>
      <c r="X79" s="1103">
        <f t="shared" si="21"/>
        <v>0</v>
      </c>
      <c r="Y79" s="1120">
        <f t="shared" si="22"/>
        <v>0</v>
      </c>
      <c r="Z79" s="524"/>
      <c r="AA79" s="350"/>
      <c r="AB79" s="308"/>
      <c r="AC79" s="1090" t="str">
        <f t="shared" si="23"/>
        <v/>
      </c>
      <c r="AD79" s="1103">
        <f t="shared" si="24"/>
        <v>0</v>
      </c>
      <c r="AE79" s="1120">
        <f t="shared" si="25"/>
        <v>0</v>
      </c>
      <c r="AF79" s="525"/>
      <c r="AG79" s="637"/>
      <c r="AH79" s="525"/>
      <c r="AI79" s="1086">
        <f t="shared" si="26"/>
        <v>0</v>
      </c>
      <c r="AJ79" s="380"/>
      <c r="AK79" s="440"/>
    </row>
    <row r="80" spans="1:37" ht="12" customHeight="1" x14ac:dyDescent="0.2">
      <c r="A80" s="440"/>
      <c r="B80" s="518"/>
      <c r="C80" s="386"/>
      <c r="D80" s="303"/>
      <c r="E80" s="303"/>
      <c r="F80" s="1085"/>
      <c r="G80" s="1264"/>
      <c r="H80" s="1264"/>
      <c r="I80" s="1265"/>
      <c r="J80" s="638"/>
      <c r="K80" s="520" t="s">
        <v>177</v>
      </c>
      <c r="L80" s="521"/>
      <c r="M80" s="342"/>
      <c r="N80" s="521" t="s">
        <v>67</v>
      </c>
      <c r="O80" s="344"/>
      <c r="P80" s="504" t="s">
        <v>68</v>
      </c>
      <c r="Q80" s="344"/>
      <c r="R80" s="522" t="s">
        <v>363</v>
      </c>
      <c r="S80" s="353">
        <f t="shared" si="19"/>
        <v>0</v>
      </c>
      <c r="T80" s="524"/>
      <c r="U80" s="350"/>
      <c r="V80" s="308"/>
      <c r="W80" s="1090" t="str">
        <f t="shared" si="20"/>
        <v/>
      </c>
      <c r="X80" s="1103">
        <f t="shared" si="21"/>
        <v>0</v>
      </c>
      <c r="Y80" s="1120">
        <f t="shared" si="22"/>
        <v>0</v>
      </c>
      <c r="Z80" s="524"/>
      <c r="AA80" s="350"/>
      <c r="AB80" s="308"/>
      <c r="AC80" s="1090" t="str">
        <f t="shared" si="23"/>
        <v/>
      </c>
      <c r="AD80" s="1103">
        <f t="shared" si="24"/>
        <v>0</v>
      </c>
      <c r="AE80" s="1120">
        <f t="shared" si="25"/>
        <v>0</v>
      </c>
      <c r="AF80" s="525"/>
      <c r="AG80" s="637"/>
      <c r="AH80" s="525"/>
      <c r="AI80" s="1086">
        <f t="shared" si="26"/>
        <v>0</v>
      </c>
      <c r="AJ80" s="380"/>
      <c r="AK80" s="440"/>
    </row>
    <row r="81" spans="1:37" ht="12" customHeight="1" x14ac:dyDescent="0.2">
      <c r="A81" s="440"/>
      <c r="B81" s="518"/>
      <c r="C81" s="386"/>
      <c r="D81" s="303"/>
      <c r="E81" s="303"/>
      <c r="F81" s="1085"/>
      <c r="G81" s="1264"/>
      <c r="H81" s="1264"/>
      <c r="I81" s="1265"/>
      <c r="J81" s="638"/>
      <c r="K81" s="520" t="s">
        <v>177</v>
      </c>
      <c r="L81" s="521"/>
      <c r="M81" s="342"/>
      <c r="N81" s="521" t="s">
        <v>67</v>
      </c>
      <c r="O81" s="344"/>
      <c r="P81" s="504" t="s">
        <v>68</v>
      </c>
      <c r="Q81" s="344"/>
      <c r="R81" s="522" t="s">
        <v>363</v>
      </c>
      <c r="S81" s="353">
        <f t="shared" si="19"/>
        <v>0</v>
      </c>
      <c r="T81" s="524"/>
      <c r="U81" s="350"/>
      <c r="V81" s="308"/>
      <c r="W81" s="1090" t="str">
        <f t="shared" si="20"/>
        <v/>
      </c>
      <c r="X81" s="1103">
        <f t="shared" si="21"/>
        <v>0</v>
      </c>
      <c r="Y81" s="1120">
        <f t="shared" si="22"/>
        <v>0</v>
      </c>
      <c r="Z81" s="524"/>
      <c r="AA81" s="350"/>
      <c r="AB81" s="308"/>
      <c r="AC81" s="1090" t="str">
        <f t="shared" si="23"/>
        <v/>
      </c>
      <c r="AD81" s="1103">
        <f t="shared" si="24"/>
        <v>0</v>
      </c>
      <c r="AE81" s="1120">
        <f t="shared" si="25"/>
        <v>0</v>
      </c>
      <c r="AF81" s="525"/>
      <c r="AG81" s="637"/>
      <c r="AH81" s="525"/>
      <c r="AI81" s="1086">
        <f t="shared" si="26"/>
        <v>0</v>
      </c>
      <c r="AJ81" s="380"/>
      <c r="AK81" s="440"/>
    </row>
    <row r="82" spans="1:37" ht="12" customHeight="1" x14ac:dyDescent="0.25">
      <c r="A82" s="440"/>
      <c r="B82" s="518"/>
      <c r="C82" s="386"/>
      <c r="D82" s="303" t="s">
        <v>154</v>
      </c>
      <c r="E82" s="1599" t="s">
        <v>159</v>
      </c>
      <c r="F82" s="1599"/>
      <c r="G82" s="1599"/>
      <c r="H82" s="1599"/>
      <c r="I82" s="1597"/>
      <c r="J82" s="497"/>
      <c r="K82" s="529"/>
      <c r="L82" s="503"/>
      <c r="M82" s="526"/>
      <c r="N82" s="519"/>
      <c r="O82" s="530"/>
      <c r="P82" s="303"/>
      <c r="Q82" s="303"/>
      <c r="R82" s="303"/>
      <c r="S82" s="354">
        <f>SUBTOTAL(109,S84:S86)</f>
        <v>68098.655999999988</v>
      </c>
      <c r="T82" s="363"/>
      <c r="U82" s="358"/>
      <c r="V82" s="358"/>
      <c r="W82" s="1091"/>
      <c r="X82" s="1105"/>
      <c r="Y82" s="1105"/>
      <c r="Z82" s="358"/>
      <c r="AA82" s="358"/>
      <c r="AB82" s="358"/>
      <c r="AC82" s="1091"/>
      <c r="AD82" s="1105"/>
      <c r="AE82" s="1105"/>
      <c r="AF82" s="358"/>
      <c r="AG82" s="360"/>
      <c r="AH82" s="360"/>
      <c r="AI82" s="358"/>
      <c r="AJ82" s="358"/>
      <c r="AK82" s="440"/>
    </row>
    <row r="83" spans="1:37" ht="12" customHeight="1" x14ac:dyDescent="0.25">
      <c r="A83" s="440"/>
      <c r="B83" s="518"/>
      <c r="C83" s="386"/>
      <c r="D83" s="303"/>
      <c r="E83" s="303"/>
      <c r="F83" s="303"/>
      <c r="G83" s="303"/>
      <c r="H83" s="303"/>
      <c r="I83" s="465"/>
      <c r="J83" s="1603" t="s">
        <v>170</v>
      </c>
      <c r="K83" s="1603"/>
      <c r="L83" s="503"/>
      <c r="M83" s="526"/>
      <c r="N83" s="519"/>
      <c r="O83" s="530"/>
      <c r="P83" s="303"/>
      <c r="Q83" s="303"/>
      <c r="R83" s="303"/>
      <c r="S83" s="354"/>
      <c r="T83" s="363"/>
      <c r="U83" s="362"/>
      <c r="V83" s="355"/>
      <c r="W83" s="1092"/>
      <c r="X83" s="1105"/>
      <c r="Y83" s="1105"/>
      <c r="Z83" s="363"/>
      <c r="AA83" s="362"/>
      <c r="AB83" s="355"/>
      <c r="AC83" s="1092"/>
      <c r="AD83" s="1105"/>
      <c r="AE83" s="1105"/>
      <c r="AF83" s="359"/>
      <c r="AG83" s="360"/>
      <c r="AH83" s="360"/>
      <c r="AI83" s="531"/>
      <c r="AJ83" s="359"/>
      <c r="AK83" s="440"/>
    </row>
    <row r="84" spans="1:37" ht="12" customHeight="1" x14ac:dyDescent="0.2">
      <c r="A84" s="440"/>
      <c r="B84" s="518"/>
      <c r="C84" s="386"/>
      <c r="D84" s="303"/>
      <c r="E84" s="303"/>
      <c r="F84" s="1085" t="s">
        <v>861</v>
      </c>
      <c r="G84" s="1264"/>
      <c r="H84" s="1264"/>
      <c r="I84" s="1265"/>
      <c r="J84" s="638"/>
      <c r="K84" s="520" t="s">
        <v>177</v>
      </c>
      <c r="L84" s="521"/>
      <c r="M84" s="342"/>
      <c r="N84" s="521" t="s">
        <v>67</v>
      </c>
      <c r="O84" s="344"/>
      <c r="P84" s="504" t="s">
        <v>68</v>
      </c>
      <c r="Q84" s="344">
        <f>12571.2*1.2</f>
        <v>15085.44</v>
      </c>
      <c r="R84" s="522" t="s">
        <v>363</v>
      </c>
      <c r="S84" s="353">
        <f>(M84*O84)+Q84</f>
        <v>15085.44</v>
      </c>
      <c r="T84" s="524"/>
      <c r="U84" s="350"/>
      <c r="V84" s="308"/>
      <c r="W84" s="1090" t="str">
        <f t="shared" ref="W84:W86" si="27">IF(AND(V84&lt;&gt;0,U84&lt;&gt;0),"X",IF(AND(V84&lt;&gt;0,U84=0),"A",IF(AND(V84=0,U84&lt;&gt;0),"P","")))</f>
        <v/>
      </c>
      <c r="X84" s="1103">
        <f>IFERROR(IF(W84="X",0,IF(U84&gt;0,U84,V84/S84)),0)</f>
        <v>0</v>
      </c>
      <c r="Y84" s="1120">
        <f>IFERROR(IF(W84="X",0,IF(V84&gt;0,V84,S84*U84)),0)</f>
        <v>0</v>
      </c>
      <c r="Z84" s="524"/>
      <c r="AA84" s="350"/>
      <c r="AB84" s="308"/>
      <c r="AC84" s="1090" t="str">
        <f t="shared" ref="AC84:AC86" si="28">IF(AND(AB84&lt;&gt;0,AA84&lt;&gt;0),"X",IF(AND(AB84&lt;&gt;0,AA84=0),"A",IF(AND(AB84=0,AA84&lt;&gt;0),"P","")))</f>
        <v/>
      </c>
      <c r="AD84" s="1103">
        <f>IFERROR(IF(AC84="X",0,IF(AA84&gt;0,AA84,AB84/S84)),0)</f>
        <v>0</v>
      </c>
      <c r="AE84" s="1120">
        <f>IFERROR(IF(AC84="X",0,IF(AB84&gt;0,AB84,S84*AA84)),0)</f>
        <v>0</v>
      </c>
      <c r="AF84" s="525"/>
      <c r="AG84" s="637">
        <v>15</v>
      </c>
      <c r="AH84" s="525"/>
      <c r="AI84" s="1086">
        <f t="shared" ref="AI84:AI86" si="29">AG84</f>
        <v>15</v>
      </c>
      <c r="AJ84" s="380"/>
      <c r="AK84" s="440"/>
    </row>
    <row r="85" spans="1:37" ht="12" customHeight="1" x14ac:dyDescent="0.2">
      <c r="A85" s="440"/>
      <c r="B85" s="518"/>
      <c r="C85" s="386"/>
      <c r="D85" s="303"/>
      <c r="E85" s="303"/>
      <c r="F85" s="1085" t="s">
        <v>862</v>
      </c>
      <c r="G85" s="1264"/>
      <c r="H85" s="1264"/>
      <c r="I85" s="1265"/>
      <c r="J85" s="638"/>
      <c r="K85" s="520" t="s">
        <v>177</v>
      </c>
      <c r="L85" s="521"/>
      <c r="M85" s="342"/>
      <c r="N85" s="521" t="s">
        <v>67</v>
      </c>
      <c r="O85" s="344"/>
      <c r="P85" s="504" t="s">
        <v>68</v>
      </c>
      <c r="Q85" s="344">
        <f>2278.5*1.2</f>
        <v>2734.2</v>
      </c>
      <c r="R85" s="522" t="s">
        <v>363</v>
      </c>
      <c r="S85" s="353">
        <f>(M85*O85)+Q85</f>
        <v>2734.2</v>
      </c>
      <c r="T85" s="524"/>
      <c r="U85" s="350"/>
      <c r="V85" s="308"/>
      <c r="W85" s="1090" t="str">
        <f t="shared" si="27"/>
        <v/>
      </c>
      <c r="X85" s="1103">
        <f>IFERROR(IF(W85="X",0,IF(U85&gt;0,U85,V85/S85)),0)</f>
        <v>0</v>
      </c>
      <c r="Y85" s="1120">
        <f>IFERROR(IF(W85="X",0,IF(V85&gt;0,V85,S85*U85)),0)</f>
        <v>0</v>
      </c>
      <c r="Z85" s="524"/>
      <c r="AA85" s="350"/>
      <c r="AB85" s="308"/>
      <c r="AC85" s="1090" t="str">
        <f t="shared" si="28"/>
        <v/>
      </c>
      <c r="AD85" s="1103">
        <f>IFERROR(IF(AC85="X",0,IF(AA85&gt;0,AA85,AB85/S85)),0)</f>
        <v>0</v>
      </c>
      <c r="AE85" s="1120">
        <f>IFERROR(IF(AC85="X",0,IF(AB85&gt;0,AB85,S85*AA85)),0)</f>
        <v>0</v>
      </c>
      <c r="AF85" s="525"/>
      <c r="AG85" s="637">
        <v>25</v>
      </c>
      <c r="AH85" s="525"/>
      <c r="AI85" s="1086">
        <f t="shared" si="29"/>
        <v>25</v>
      </c>
      <c r="AJ85" s="380"/>
      <c r="AK85" s="440"/>
    </row>
    <row r="86" spans="1:37" ht="12" customHeight="1" x14ac:dyDescent="0.2">
      <c r="A86" s="440"/>
      <c r="B86" s="518"/>
      <c r="C86" s="386"/>
      <c r="D86" s="303"/>
      <c r="E86" s="303"/>
      <c r="F86" s="1085" t="s">
        <v>863</v>
      </c>
      <c r="G86" s="1264"/>
      <c r="H86" s="1264"/>
      <c r="I86" s="1265"/>
      <c r="J86" s="638"/>
      <c r="K86" s="520" t="s">
        <v>177</v>
      </c>
      <c r="L86" s="521"/>
      <c r="M86" s="342"/>
      <c r="N86" s="521" t="s">
        <v>67</v>
      </c>
      <c r="O86" s="344"/>
      <c r="P86" s="504" t="s">
        <v>68</v>
      </c>
      <c r="Q86" s="344">
        <f>41899.18*1.2</f>
        <v>50279.015999999996</v>
      </c>
      <c r="R86" s="522" t="s">
        <v>363</v>
      </c>
      <c r="S86" s="353">
        <f>(M86*O86)+Q86</f>
        <v>50279.015999999996</v>
      </c>
      <c r="T86" s="524"/>
      <c r="U86" s="350"/>
      <c r="V86" s="308"/>
      <c r="W86" s="1090" t="str">
        <f t="shared" si="27"/>
        <v/>
      </c>
      <c r="X86" s="1103">
        <f>IFERROR(IF(W86="X",0,IF(U86&gt;0,U86,V86/S86)),0)</f>
        <v>0</v>
      </c>
      <c r="Y86" s="1120">
        <f>IFERROR(IF(W86="X",0,IF(V86&gt;0,V86,S86*U86)),0)</f>
        <v>0</v>
      </c>
      <c r="Z86" s="524"/>
      <c r="AA86" s="350"/>
      <c r="AB86" s="308"/>
      <c r="AC86" s="1090" t="str">
        <f t="shared" si="28"/>
        <v/>
      </c>
      <c r="AD86" s="1103">
        <f>IFERROR(IF(AC86="X",0,IF(AA86&gt;0,AA86,AB86/S86)),0)</f>
        <v>0</v>
      </c>
      <c r="AE86" s="1120">
        <f>IFERROR(IF(AC86="X",0,IF(AB86&gt;0,AB86,S86*AA86)),0)</f>
        <v>0</v>
      </c>
      <c r="AF86" s="525"/>
      <c r="AG86" s="637">
        <v>65</v>
      </c>
      <c r="AH86" s="525"/>
      <c r="AI86" s="1086">
        <f t="shared" si="29"/>
        <v>65</v>
      </c>
      <c r="AJ86" s="380"/>
      <c r="AK86" s="440"/>
    </row>
    <row r="87" spans="1:37" ht="12" customHeight="1" x14ac:dyDescent="0.25">
      <c r="A87" s="440"/>
      <c r="B87" s="518"/>
      <c r="C87" s="386"/>
      <c r="D87" s="303" t="s">
        <v>155</v>
      </c>
      <c r="E87" s="1599" t="s">
        <v>160</v>
      </c>
      <c r="F87" s="1599"/>
      <c r="G87" s="1599"/>
      <c r="H87" s="1599"/>
      <c r="I87" s="1597"/>
      <c r="J87" s="497"/>
      <c r="K87" s="529"/>
      <c r="L87" s="503"/>
      <c r="M87" s="526"/>
      <c r="N87" s="519"/>
      <c r="O87" s="527"/>
      <c r="P87" s="303"/>
      <c r="Q87" s="303"/>
      <c r="R87" s="303"/>
      <c r="S87" s="354">
        <f>SUBTOTAL(109,S89:S91)</f>
        <v>0</v>
      </c>
      <c r="T87" s="363"/>
      <c r="U87" s="358"/>
      <c r="V87" s="358"/>
      <c r="W87" s="1091"/>
      <c r="X87" s="1105"/>
      <c r="Y87" s="1105"/>
      <c r="Z87" s="358"/>
      <c r="AA87" s="358"/>
      <c r="AB87" s="358"/>
      <c r="AC87" s="1091"/>
      <c r="AD87" s="1105"/>
      <c r="AE87" s="1105"/>
      <c r="AF87" s="358"/>
      <c r="AG87" s="360"/>
      <c r="AH87" s="360"/>
      <c r="AI87" s="358"/>
      <c r="AJ87" s="358"/>
      <c r="AK87" s="440"/>
    </row>
    <row r="88" spans="1:37" ht="12" customHeight="1" x14ac:dyDescent="0.25">
      <c r="A88" s="440"/>
      <c r="B88" s="518"/>
      <c r="C88" s="386"/>
      <c r="D88" s="303"/>
      <c r="E88" s="303"/>
      <c r="F88" s="303"/>
      <c r="G88" s="303"/>
      <c r="H88" s="303"/>
      <c r="I88" s="465"/>
      <c r="J88" s="1603" t="s">
        <v>170</v>
      </c>
      <c r="K88" s="1603"/>
      <c r="L88" s="503"/>
      <c r="M88" s="526"/>
      <c r="N88" s="519"/>
      <c r="O88" s="527"/>
      <c r="P88" s="303"/>
      <c r="Q88" s="303"/>
      <c r="R88" s="303"/>
      <c r="S88" s="354"/>
      <c r="T88" s="363"/>
      <c r="U88" s="368"/>
      <c r="V88" s="369"/>
      <c r="W88" s="1092"/>
      <c r="X88" s="1105"/>
      <c r="Y88" s="1105"/>
      <c r="Z88" s="363"/>
      <c r="AA88" s="368"/>
      <c r="AB88" s="369"/>
      <c r="AC88" s="1092"/>
      <c r="AD88" s="1105"/>
      <c r="AE88" s="1105"/>
      <c r="AF88" s="359"/>
      <c r="AG88" s="360"/>
      <c r="AH88" s="360"/>
      <c r="AI88" s="534"/>
      <c r="AJ88" s="359"/>
      <c r="AK88" s="440"/>
    </row>
    <row r="89" spans="1:37" ht="12" customHeight="1" x14ac:dyDescent="0.2">
      <c r="A89" s="440"/>
      <c r="B89" s="518"/>
      <c r="C89" s="386"/>
      <c r="D89" s="303"/>
      <c r="E89" s="303"/>
      <c r="F89" s="1085"/>
      <c r="G89" s="1264"/>
      <c r="H89" s="1264"/>
      <c r="I89" s="1265"/>
      <c r="J89" s="638"/>
      <c r="K89" s="520" t="s">
        <v>177</v>
      </c>
      <c r="L89" s="521"/>
      <c r="M89" s="342"/>
      <c r="N89" s="521" t="s">
        <v>67</v>
      </c>
      <c r="O89" s="344"/>
      <c r="P89" s="504" t="s">
        <v>68</v>
      </c>
      <c r="Q89" s="344"/>
      <c r="R89" s="522" t="s">
        <v>363</v>
      </c>
      <c r="S89" s="353">
        <f>(M89*O89)+Q89</f>
        <v>0</v>
      </c>
      <c r="T89" s="524"/>
      <c r="U89" s="350"/>
      <c r="V89" s="308"/>
      <c r="W89" s="1090" t="str">
        <f t="shared" ref="W89:W91" si="30">IF(AND(V89&lt;&gt;0,U89&lt;&gt;0),"X",IF(AND(V89&lt;&gt;0,U89=0),"A",IF(AND(V89=0,U89&lt;&gt;0),"P","")))</f>
        <v/>
      </c>
      <c r="X89" s="1103">
        <f>IFERROR(IF(W89="X",0,IF(U89&gt;0,U89,V89/S89)),0)</f>
        <v>0</v>
      </c>
      <c r="Y89" s="1120">
        <f>IFERROR(IF(W89="X",0,IF(V89&gt;0,V89,S89*U89)),0)</f>
        <v>0</v>
      </c>
      <c r="Z89" s="524"/>
      <c r="AA89" s="350"/>
      <c r="AB89" s="308"/>
      <c r="AC89" s="1090" t="str">
        <f t="shared" ref="AC89:AC91" si="31">IF(AND(AB89&lt;&gt;0,AA89&lt;&gt;0),"X",IF(AND(AB89&lt;&gt;0,AA89=0),"A",IF(AND(AB89=0,AA89&lt;&gt;0),"P","")))</f>
        <v/>
      </c>
      <c r="AD89" s="1103">
        <f>IFERROR(IF(AC89="X",0,IF(AA89&gt;0,AA89,AB89/S89)),0)</f>
        <v>0</v>
      </c>
      <c r="AE89" s="1120">
        <f>IFERROR(IF(AC89="X",0,IF(AB89&gt;0,AB89,S89*AA89)),0)</f>
        <v>0</v>
      </c>
      <c r="AF89" s="525"/>
      <c r="AG89" s="637"/>
      <c r="AH89" s="525"/>
      <c r="AI89" s="1086">
        <f t="shared" ref="AI89:AI91" si="32">AG89</f>
        <v>0</v>
      </c>
      <c r="AJ89" s="380"/>
      <c r="AK89" s="440"/>
    </row>
    <row r="90" spans="1:37" ht="12" customHeight="1" x14ac:dyDescent="0.2">
      <c r="A90" s="440"/>
      <c r="B90" s="518"/>
      <c r="C90" s="386"/>
      <c r="D90" s="303"/>
      <c r="E90" s="303"/>
      <c r="F90" s="1085"/>
      <c r="G90" s="1264"/>
      <c r="H90" s="1264"/>
      <c r="I90" s="1265"/>
      <c r="J90" s="638"/>
      <c r="K90" s="520" t="s">
        <v>177</v>
      </c>
      <c r="L90" s="521"/>
      <c r="M90" s="342"/>
      <c r="N90" s="521" t="s">
        <v>67</v>
      </c>
      <c r="O90" s="344"/>
      <c r="P90" s="504" t="s">
        <v>68</v>
      </c>
      <c r="Q90" s="344"/>
      <c r="R90" s="522" t="s">
        <v>363</v>
      </c>
      <c r="S90" s="353">
        <f>(M90*O90)+Q90</f>
        <v>0</v>
      </c>
      <c r="T90" s="524"/>
      <c r="U90" s="350"/>
      <c r="V90" s="308"/>
      <c r="W90" s="1090" t="str">
        <f t="shared" si="30"/>
        <v/>
      </c>
      <c r="X90" s="1103">
        <f>IFERROR(IF(W90="X",0,IF(U90&gt;0,U90,V90/S90)),0)</f>
        <v>0</v>
      </c>
      <c r="Y90" s="1120">
        <f>IFERROR(IF(W90="X",0,IF(V90&gt;0,V90,S90*U90)),0)</f>
        <v>0</v>
      </c>
      <c r="Z90" s="524"/>
      <c r="AA90" s="350"/>
      <c r="AB90" s="308"/>
      <c r="AC90" s="1090" t="str">
        <f t="shared" si="31"/>
        <v/>
      </c>
      <c r="AD90" s="1103">
        <f>IFERROR(IF(AC90="X",0,IF(AA90&gt;0,AA90,AB90/S90)),0)</f>
        <v>0</v>
      </c>
      <c r="AE90" s="1120">
        <f>IFERROR(IF(AC90="X",0,IF(AB90&gt;0,AB90,S90*AA90)),0)</f>
        <v>0</v>
      </c>
      <c r="AF90" s="525"/>
      <c r="AG90" s="637"/>
      <c r="AH90" s="525"/>
      <c r="AI90" s="1086">
        <f t="shared" si="32"/>
        <v>0</v>
      </c>
      <c r="AJ90" s="380"/>
      <c r="AK90" s="440"/>
    </row>
    <row r="91" spans="1:37" ht="12" customHeight="1" x14ac:dyDescent="0.2">
      <c r="A91" s="440"/>
      <c r="B91" s="518"/>
      <c r="C91" s="386"/>
      <c r="D91" s="303"/>
      <c r="E91" s="303"/>
      <c r="F91" s="1085"/>
      <c r="G91" s="1264"/>
      <c r="H91" s="1264"/>
      <c r="I91" s="1265"/>
      <c r="J91" s="638"/>
      <c r="K91" s="520" t="s">
        <v>177</v>
      </c>
      <c r="L91" s="521"/>
      <c r="M91" s="342"/>
      <c r="N91" s="521" t="s">
        <v>67</v>
      </c>
      <c r="O91" s="344"/>
      <c r="P91" s="504" t="s">
        <v>68</v>
      </c>
      <c r="Q91" s="344"/>
      <c r="R91" s="522" t="s">
        <v>363</v>
      </c>
      <c r="S91" s="353">
        <f>(M91*O91)+Q91</f>
        <v>0</v>
      </c>
      <c r="T91" s="524"/>
      <c r="U91" s="350"/>
      <c r="V91" s="308"/>
      <c r="W91" s="1090" t="str">
        <f t="shared" si="30"/>
        <v/>
      </c>
      <c r="X91" s="1103">
        <f>IFERROR(IF(W91="X",0,IF(U91&gt;0,U91,V91/S91)),0)</f>
        <v>0</v>
      </c>
      <c r="Y91" s="1120">
        <f>IFERROR(IF(W91="X",0,IF(V91&gt;0,V91,S91*U91)),0)</f>
        <v>0</v>
      </c>
      <c r="Z91" s="524"/>
      <c r="AA91" s="350"/>
      <c r="AB91" s="308"/>
      <c r="AC91" s="1090" t="str">
        <f t="shared" si="31"/>
        <v/>
      </c>
      <c r="AD91" s="1103">
        <f>IFERROR(IF(AC91="X",0,IF(AA91&gt;0,AA91,AB91/S91)),0)</f>
        <v>0</v>
      </c>
      <c r="AE91" s="1120">
        <f>IFERROR(IF(AC91="X",0,IF(AB91&gt;0,AB91,S91*AA91)),0)</f>
        <v>0</v>
      </c>
      <c r="AF91" s="525"/>
      <c r="AG91" s="637"/>
      <c r="AH91" s="525"/>
      <c r="AI91" s="1086">
        <f t="shared" si="32"/>
        <v>0</v>
      </c>
      <c r="AJ91" s="380"/>
      <c r="AK91" s="440"/>
    </row>
    <row r="92" spans="1:37" ht="14.25" customHeight="1" collapsed="1" x14ac:dyDescent="0.2">
      <c r="A92" s="440"/>
      <c r="B92" s="518"/>
      <c r="C92" s="386" t="s">
        <v>156</v>
      </c>
      <c r="D92" s="494"/>
      <c r="E92" s="1608" t="s">
        <v>186</v>
      </c>
      <c r="F92" s="1608"/>
      <c r="G92" s="1608"/>
      <c r="H92" s="1608"/>
      <c r="I92" s="1608"/>
      <c r="J92" s="1608"/>
      <c r="K92" s="1608"/>
      <c r="L92" s="512"/>
      <c r="M92" s="526"/>
      <c r="N92" s="519"/>
      <c r="O92" s="530"/>
      <c r="P92" s="303"/>
      <c r="Q92" s="303"/>
      <c r="R92" s="303"/>
      <c r="S92" s="355">
        <f>S93+S98</f>
        <v>0</v>
      </c>
      <c r="T92" s="363"/>
      <c r="U92" s="360"/>
      <c r="V92" s="361"/>
      <c r="W92" s="1092"/>
      <c r="X92" s="1105"/>
      <c r="Y92" s="1121"/>
      <c r="Z92" s="363"/>
      <c r="AA92" s="360"/>
      <c r="AB92" s="361"/>
      <c r="AC92" s="1092"/>
      <c r="AD92" s="1105"/>
      <c r="AE92" s="1121"/>
      <c r="AF92" s="359"/>
      <c r="AG92" s="359"/>
      <c r="AH92" s="359"/>
      <c r="AI92" s="358"/>
      <c r="AJ92" s="359"/>
      <c r="AK92" s="440"/>
    </row>
    <row r="93" spans="1:37" ht="12" customHeight="1" x14ac:dyDescent="0.25">
      <c r="A93" s="440"/>
      <c r="B93" s="518"/>
      <c r="C93" s="386"/>
      <c r="D93" s="303" t="s">
        <v>157</v>
      </c>
      <c r="E93" s="303" t="s">
        <v>172</v>
      </c>
      <c r="F93" s="303"/>
      <c r="G93" s="303"/>
      <c r="H93" s="303"/>
      <c r="I93" s="303"/>
      <c r="J93" s="497"/>
      <c r="K93" s="529"/>
      <c r="L93" s="529"/>
      <c r="M93" s="536"/>
      <c r="N93" s="462"/>
      <c r="O93" s="537"/>
      <c r="P93" s="303"/>
      <c r="Q93" s="303"/>
      <c r="R93" s="303"/>
      <c r="S93" s="354">
        <f>SUBTOTAL(109,S95:S97)</f>
        <v>0</v>
      </c>
      <c r="T93" s="363"/>
      <c r="U93" s="358"/>
      <c r="V93" s="358"/>
      <c r="W93" s="1091"/>
      <c r="X93" s="1104"/>
      <c r="Y93" s="1104"/>
      <c r="Z93" s="358"/>
      <c r="AA93" s="358"/>
      <c r="AB93" s="358"/>
      <c r="AC93" s="1091"/>
      <c r="AD93" s="1104"/>
      <c r="AE93" s="1104"/>
      <c r="AF93" s="358"/>
      <c r="AG93" s="358"/>
      <c r="AH93" s="358"/>
      <c r="AI93" s="358"/>
      <c r="AJ93" s="358"/>
      <c r="AK93" s="440"/>
    </row>
    <row r="94" spans="1:37" ht="12" customHeight="1" x14ac:dyDescent="0.25">
      <c r="A94" s="440"/>
      <c r="B94" s="518"/>
      <c r="C94" s="386"/>
      <c r="D94" s="303"/>
      <c r="E94" s="303"/>
      <c r="F94" s="303"/>
      <c r="G94" s="303"/>
      <c r="H94" s="303"/>
      <c r="I94" s="303"/>
      <c r="J94" s="1603" t="s">
        <v>170</v>
      </c>
      <c r="K94" s="1603"/>
      <c r="L94" s="529"/>
      <c r="M94" s="536"/>
      <c r="N94" s="462"/>
      <c r="O94" s="537"/>
      <c r="P94" s="303"/>
      <c r="Q94" s="303"/>
      <c r="R94" s="303"/>
      <c r="S94" s="354"/>
      <c r="T94" s="363"/>
      <c r="U94" s="366"/>
      <c r="V94" s="367"/>
      <c r="W94" s="1092"/>
      <c r="X94" s="1107"/>
      <c r="Y94" s="1123"/>
      <c r="Z94" s="363"/>
      <c r="AA94" s="366"/>
      <c r="AB94" s="367"/>
      <c r="AC94" s="1092"/>
      <c r="AD94" s="1107"/>
      <c r="AE94" s="1123"/>
      <c r="AF94" s="359"/>
      <c r="AG94" s="359"/>
      <c r="AH94" s="359"/>
      <c r="AI94" s="373"/>
      <c r="AJ94" s="359"/>
      <c r="AK94" s="440"/>
    </row>
    <row r="95" spans="1:37" ht="12" customHeight="1" x14ac:dyDescent="0.2">
      <c r="A95" s="440"/>
      <c r="B95" s="518"/>
      <c r="C95" s="386"/>
      <c r="D95" s="303"/>
      <c r="E95" s="303"/>
      <c r="F95" s="1085"/>
      <c r="G95" s="1264"/>
      <c r="H95" s="1264"/>
      <c r="I95" s="1265"/>
      <c r="J95" s="638"/>
      <c r="K95" s="520" t="s">
        <v>177</v>
      </c>
      <c r="L95" s="521"/>
      <c r="M95" s="339"/>
      <c r="N95" s="521" t="s">
        <v>67</v>
      </c>
      <c r="O95" s="339"/>
      <c r="P95" s="504" t="s">
        <v>68</v>
      </c>
      <c r="Q95" s="344"/>
      <c r="R95" s="522" t="s">
        <v>363</v>
      </c>
      <c r="S95" s="353">
        <f>(M95*O95)+Q95</f>
        <v>0</v>
      </c>
      <c r="T95" s="524"/>
      <c r="U95" s="350"/>
      <c r="V95" s="308"/>
      <c r="W95" s="1090" t="str">
        <f t="shared" ref="W95:W97" si="33">IF(AND(V95&lt;&gt;0,U95&lt;&gt;0),"X",IF(AND(V95&lt;&gt;0,U95=0),"A",IF(AND(V95=0,U95&lt;&gt;0),"P","")))</f>
        <v/>
      </c>
      <c r="X95" s="1103">
        <f>IFERROR(IF(W95="X",0,IF(U95&gt;0,U95,V95/S95)),0)</f>
        <v>0</v>
      </c>
      <c r="Y95" s="1120">
        <f>IFERROR(IF(W95="X",0,IF(V95&gt;0,V95,S95*U95)),0)</f>
        <v>0</v>
      </c>
      <c r="Z95" s="524"/>
      <c r="AA95" s="350"/>
      <c r="AB95" s="308"/>
      <c r="AC95" s="1090" t="str">
        <f t="shared" ref="AC95:AC97" si="34">IF(AND(AB95&lt;&gt;0,AA95&lt;&gt;0),"X",IF(AND(AB95&lt;&gt;0,AA95=0),"A",IF(AND(AB95=0,AA95&lt;&gt;0),"P","")))</f>
        <v/>
      </c>
      <c r="AD95" s="1103">
        <f>IFERROR(IF(AC95="X",0,IF(AA95&gt;0,AA95,AB95/S95)),0)</f>
        <v>0</v>
      </c>
      <c r="AE95" s="1120">
        <f>IFERROR(IF(AC95="X",0,IF(AB95&gt;0,AB95,S95*AA95)),0)</f>
        <v>0</v>
      </c>
      <c r="AF95" s="525"/>
      <c r="AG95" s="637"/>
      <c r="AH95" s="525"/>
      <c r="AI95" s="1086">
        <f t="shared" ref="AI95:AI97" si="35">AG95</f>
        <v>0</v>
      </c>
      <c r="AJ95" s="380"/>
      <c r="AK95" s="440"/>
    </row>
    <row r="96" spans="1:37" ht="12" customHeight="1" x14ac:dyDescent="0.2">
      <c r="A96" s="440"/>
      <c r="B96" s="518"/>
      <c r="C96" s="386"/>
      <c r="D96" s="303"/>
      <c r="E96" s="303"/>
      <c r="F96" s="1085"/>
      <c r="G96" s="1264"/>
      <c r="H96" s="1264"/>
      <c r="I96" s="1265"/>
      <c r="J96" s="638"/>
      <c r="K96" s="520" t="s">
        <v>177</v>
      </c>
      <c r="L96" s="521"/>
      <c r="M96" s="339"/>
      <c r="N96" s="521" t="s">
        <v>67</v>
      </c>
      <c r="O96" s="339"/>
      <c r="P96" s="504" t="s">
        <v>68</v>
      </c>
      <c r="Q96" s="344"/>
      <c r="R96" s="522" t="s">
        <v>363</v>
      </c>
      <c r="S96" s="353">
        <f>(M96*O96)+Q96</f>
        <v>0</v>
      </c>
      <c r="T96" s="524"/>
      <c r="U96" s="350"/>
      <c r="V96" s="308"/>
      <c r="W96" s="1090" t="str">
        <f t="shared" si="33"/>
        <v/>
      </c>
      <c r="X96" s="1103">
        <f>IFERROR(IF(W96="X",0,IF(U96&gt;0,U96,V96/S96)),0)</f>
        <v>0</v>
      </c>
      <c r="Y96" s="1120">
        <f>IFERROR(IF(W96="X",0,IF(V96&gt;0,V96,S96*U96)),0)</f>
        <v>0</v>
      </c>
      <c r="Z96" s="524"/>
      <c r="AA96" s="350"/>
      <c r="AB96" s="308"/>
      <c r="AC96" s="1090" t="str">
        <f t="shared" si="34"/>
        <v/>
      </c>
      <c r="AD96" s="1103">
        <f>IFERROR(IF(AC96="X",0,IF(AA96&gt;0,AA96,AB96/S96)),0)</f>
        <v>0</v>
      </c>
      <c r="AE96" s="1120">
        <f>IFERROR(IF(AC96="X",0,IF(AB96&gt;0,AB96,S96*AA96)),0)</f>
        <v>0</v>
      </c>
      <c r="AF96" s="525"/>
      <c r="AG96" s="637"/>
      <c r="AH96" s="525"/>
      <c r="AI96" s="1086">
        <f t="shared" si="35"/>
        <v>0</v>
      </c>
      <c r="AJ96" s="380"/>
      <c r="AK96" s="440"/>
    </row>
    <row r="97" spans="1:37" ht="12" customHeight="1" x14ac:dyDescent="0.2">
      <c r="A97" s="440"/>
      <c r="B97" s="518"/>
      <c r="C97" s="386"/>
      <c r="D97" s="303"/>
      <c r="E97" s="303"/>
      <c r="F97" s="1085"/>
      <c r="G97" s="1264"/>
      <c r="H97" s="1264"/>
      <c r="I97" s="1265"/>
      <c r="J97" s="638"/>
      <c r="K97" s="538" t="s">
        <v>177</v>
      </c>
      <c r="L97" s="503"/>
      <c r="M97" s="339"/>
      <c r="N97" s="521" t="s">
        <v>67</v>
      </c>
      <c r="O97" s="339"/>
      <c r="P97" s="504" t="s">
        <v>68</v>
      </c>
      <c r="Q97" s="344"/>
      <c r="R97" s="522" t="s">
        <v>363</v>
      </c>
      <c r="S97" s="353">
        <f>(M97*O97)+Q97</f>
        <v>0</v>
      </c>
      <c r="T97" s="524"/>
      <c r="U97" s="350"/>
      <c r="V97" s="308"/>
      <c r="W97" s="1090" t="str">
        <f t="shared" si="33"/>
        <v/>
      </c>
      <c r="X97" s="1103">
        <f>IFERROR(IF(W97="X",0,IF(U97&gt;0,U97,V97/S97)),0)</f>
        <v>0</v>
      </c>
      <c r="Y97" s="1120">
        <f>IFERROR(IF(W97="X",0,IF(V97&gt;0,V97,S97*U97)),0)</f>
        <v>0</v>
      </c>
      <c r="Z97" s="524"/>
      <c r="AA97" s="350"/>
      <c r="AB97" s="308"/>
      <c r="AC97" s="1090" t="str">
        <f t="shared" si="34"/>
        <v/>
      </c>
      <c r="AD97" s="1103">
        <f>IFERROR(IF(AC97="X",0,IF(AA97&gt;0,AA97,AB97/S97)),0)</f>
        <v>0</v>
      </c>
      <c r="AE97" s="1120">
        <f>IFERROR(IF(AC97="X",0,IF(AB97&gt;0,AB97,S97*AA97)),0)</f>
        <v>0</v>
      </c>
      <c r="AF97" s="525"/>
      <c r="AG97" s="637"/>
      <c r="AH97" s="525"/>
      <c r="AI97" s="1086">
        <f t="shared" si="35"/>
        <v>0</v>
      </c>
      <c r="AJ97" s="380"/>
      <c r="AK97" s="440"/>
    </row>
    <row r="98" spans="1:37" ht="12" customHeight="1" x14ac:dyDescent="0.25">
      <c r="A98" s="440"/>
      <c r="B98" s="518"/>
      <c r="C98" s="386"/>
      <c r="D98" s="303" t="s">
        <v>162</v>
      </c>
      <c r="E98" s="1607" t="s">
        <v>174</v>
      </c>
      <c r="F98" s="1607"/>
      <c r="G98" s="1607"/>
      <c r="H98" s="1607"/>
      <c r="I98" s="1607"/>
      <c r="J98" s="497"/>
      <c r="K98" s="529"/>
      <c r="L98" s="503"/>
      <c r="M98" s="536"/>
      <c r="N98" s="462"/>
      <c r="O98" s="537"/>
      <c r="P98" s="303"/>
      <c r="Q98" s="303"/>
      <c r="R98" s="303"/>
      <c r="S98" s="354">
        <f>SUBTOTAL(109,S100:S101)</f>
        <v>0</v>
      </c>
      <c r="T98" s="363"/>
      <c r="U98" s="358"/>
      <c r="V98" s="358"/>
      <c r="W98" s="1091"/>
      <c r="X98" s="1105"/>
      <c r="Y98" s="1105"/>
      <c r="Z98" s="358"/>
      <c r="AA98" s="358"/>
      <c r="AB98" s="358"/>
      <c r="AC98" s="1091"/>
      <c r="AD98" s="1105"/>
      <c r="AE98" s="1105"/>
      <c r="AF98" s="358"/>
      <c r="AG98" s="360"/>
      <c r="AH98" s="360"/>
      <c r="AI98" s="358"/>
      <c r="AJ98" s="358"/>
      <c r="AK98" s="440"/>
    </row>
    <row r="99" spans="1:37" ht="12" customHeight="1" x14ac:dyDescent="0.25">
      <c r="A99" s="440"/>
      <c r="B99" s="518"/>
      <c r="C99" s="386"/>
      <c r="D99" s="303"/>
      <c r="E99" s="539"/>
      <c r="F99" s="539"/>
      <c r="G99" s="539"/>
      <c r="H99" s="539"/>
      <c r="I99" s="539"/>
      <c r="J99" s="1603" t="s">
        <v>178</v>
      </c>
      <c r="K99" s="1603"/>
      <c r="L99" s="503"/>
      <c r="M99" s="536"/>
      <c r="N99" s="462"/>
      <c r="O99" s="537"/>
      <c r="P99" s="303"/>
      <c r="Q99" s="303"/>
      <c r="R99" s="303"/>
      <c r="S99" s="354"/>
      <c r="T99" s="363"/>
      <c r="U99" s="368"/>
      <c r="V99" s="369"/>
      <c r="W99" s="1092"/>
      <c r="X99" s="1105"/>
      <c r="Y99" s="1105"/>
      <c r="Z99" s="363"/>
      <c r="AA99" s="368"/>
      <c r="AB99" s="369"/>
      <c r="AC99" s="1092"/>
      <c r="AD99" s="1105"/>
      <c r="AE99" s="1105"/>
      <c r="AF99" s="359"/>
      <c r="AG99" s="360"/>
      <c r="AH99" s="360"/>
      <c r="AI99" s="534"/>
      <c r="AJ99" s="359"/>
      <c r="AK99" s="440"/>
    </row>
    <row r="100" spans="1:37" ht="12" customHeight="1" x14ac:dyDescent="0.25">
      <c r="A100" s="440"/>
      <c r="B100" s="518"/>
      <c r="C100" s="386"/>
      <c r="D100" s="303"/>
      <c r="E100" s="539"/>
      <c r="F100" s="1085"/>
      <c r="G100" s="1264"/>
      <c r="H100" s="1264"/>
      <c r="I100" s="1265"/>
      <c r="J100" s="638"/>
      <c r="K100" s="538" t="s">
        <v>173</v>
      </c>
      <c r="L100" s="503"/>
      <c r="M100" s="339"/>
      <c r="N100" s="462"/>
      <c r="O100" s="339"/>
      <c r="P100" s="303"/>
      <c r="Q100" s="344"/>
      <c r="R100" s="522" t="s">
        <v>363</v>
      </c>
      <c r="S100" s="353">
        <f>(M100*O100)+Q100</f>
        <v>0</v>
      </c>
      <c r="T100" s="524"/>
      <c r="U100" s="350"/>
      <c r="V100" s="308"/>
      <c r="W100" s="1090" t="str">
        <f t="shared" ref="W100:W101" si="36">IF(AND(V100&lt;&gt;0,U100&lt;&gt;0),"X",IF(AND(V100&lt;&gt;0,U100=0),"A",IF(AND(V100=0,U100&lt;&gt;0),"P","")))</f>
        <v/>
      </c>
      <c r="X100" s="1103">
        <f>IFERROR(IF(W100="X",0,IF(U100&gt;0,U100,V100/S100)),0)</f>
        <v>0</v>
      </c>
      <c r="Y100" s="1120">
        <f>IFERROR(IF(W100="X",0,IF(V100&gt;0,V100,S100*U100)),0)</f>
        <v>0</v>
      </c>
      <c r="Z100" s="524"/>
      <c r="AA100" s="350"/>
      <c r="AB100" s="308"/>
      <c r="AC100" s="1090" t="str">
        <f t="shared" ref="AC100:AC101" si="37">IF(AND(AB100&lt;&gt;0,AA100&lt;&gt;0),"X",IF(AND(AB100&lt;&gt;0,AA100=0),"A",IF(AND(AB100=0,AA100&lt;&gt;0),"P","")))</f>
        <v/>
      </c>
      <c r="AD100" s="1103">
        <f>IFERROR(IF(AC100="X",0,IF(AA100&gt;0,AA100,AB100/S100)),0)</f>
        <v>0</v>
      </c>
      <c r="AE100" s="1120">
        <f>IFERROR(IF(AC100="X",0,IF(AB100&gt;0,AB100,S100*AA100)),0)</f>
        <v>0</v>
      </c>
      <c r="AF100" s="525"/>
      <c r="AG100" s="637"/>
      <c r="AH100" s="525"/>
      <c r="AI100" s="1086">
        <f t="shared" ref="AI100:AI101" si="38">AG100</f>
        <v>0</v>
      </c>
      <c r="AJ100" s="380"/>
      <c r="AK100" s="440"/>
    </row>
    <row r="101" spans="1:37" ht="12" customHeight="1" x14ac:dyDescent="0.25">
      <c r="A101" s="440"/>
      <c r="B101" s="518"/>
      <c r="C101" s="386"/>
      <c r="D101" s="303"/>
      <c r="E101" s="303"/>
      <c r="F101" s="1085"/>
      <c r="G101" s="1264"/>
      <c r="H101" s="1264"/>
      <c r="I101" s="1265"/>
      <c r="J101" s="638"/>
      <c r="K101" s="538" t="s">
        <v>173</v>
      </c>
      <c r="L101" s="503"/>
      <c r="M101" s="339"/>
      <c r="N101" s="462"/>
      <c r="O101" s="339"/>
      <c r="P101" s="303"/>
      <c r="Q101" s="344"/>
      <c r="R101" s="522" t="s">
        <v>363</v>
      </c>
      <c r="S101" s="353">
        <f>(M101*O101)+Q101</f>
        <v>0</v>
      </c>
      <c r="T101" s="524"/>
      <c r="U101" s="350"/>
      <c r="V101" s="308"/>
      <c r="W101" s="1090" t="str">
        <f t="shared" si="36"/>
        <v/>
      </c>
      <c r="X101" s="1103">
        <f>IFERROR(IF(W101="X",0,IF(U101&gt;0,U101,V101/S101)),0)</f>
        <v>0</v>
      </c>
      <c r="Y101" s="1120">
        <f>IFERROR(IF(W101="X",0,IF(V101&gt;0,V101,S101*U101)),0)</f>
        <v>0</v>
      </c>
      <c r="Z101" s="524"/>
      <c r="AA101" s="350"/>
      <c r="AB101" s="308"/>
      <c r="AC101" s="1090" t="str">
        <f t="shared" si="37"/>
        <v/>
      </c>
      <c r="AD101" s="1103">
        <f>IFERROR(IF(AC101="X",0,IF(AA101&gt;0,AA101,AB101/S101)),0)</f>
        <v>0</v>
      </c>
      <c r="AE101" s="1120">
        <f>IFERROR(IF(AC101="X",0,IF(AB101&gt;0,AB101,S101*AA101)),0)</f>
        <v>0</v>
      </c>
      <c r="AF101" s="525"/>
      <c r="AG101" s="637"/>
      <c r="AH101" s="525"/>
      <c r="AI101" s="1086">
        <f t="shared" si="38"/>
        <v>0</v>
      </c>
      <c r="AJ101" s="380"/>
      <c r="AK101" s="440"/>
    </row>
    <row r="102" spans="1:37" ht="14.25" customHeight="1" x14ac:dyDescent="0.25">
      <c r="A102" s="440"/>
      <c r="B102" s="518"/>
      <c r="C102" s="386" t="s">
        <v>184</v>
      </c>
      <c r="D102" s="494"/>
      <c r="E102" s="1608" t="s">
        <v>185</v>
      </c>
      <c r="F102" s="1608"/>
      <c r="G102" s="1608"/>
      <c r="H102" s="1608"/>
      <c r="I102" s="1608"/>
      <c r="J102" s="1608"/>
      <c r="K102" s="1608"/>
      <c r="L102" s="529"/>
      <c r="M102" s="536"/>
      <c r="N102" s="462"/>
      <c r="O102" s="537"/>
      <c r="P102" s="303"/>
      <c r="Q102" s="303"/>
      <c r="R102" s="303"/>
      <c r="S102" s="355">
        <f>SUBTOTAL(109,S104:S110)</f>
        <v>141152.4</v>
      </c>
      <c r="T102" s="363"/>
      <c r="U102" s="360"/>
      <c r="V102" s="361"/>
      <c r="W102" s="1092"/>
      <c r="X102" s="1105"/>
      <c r="Y102" s="1121"/>
      <c r="Z102" s="363"/>
      <c r="AA102" s="360"/>
      <c r="AB102" s="361"/>
      <c r="AC102" s="1092"/>
      <c r="AD102" s="1105"/>
      <c r="AE102" s="1121"/>
      <c r="AF102" s="359"/>
      <c r="AG102" s="359"/>
      <c r="AH102" s="359"/>
      <c r="AI102" s="358"/>
      <c r="AJ102" s="380"/>
      <c r="AK102" s="440"/>
    </row>
    <row r="103" spans="1:37" ht="14.25" customHeight="1" x14ac:dyDescent="0.25">
      <c r="A103" s="440"/>
      <c r="B103" s="518"/>
      <c r="C103" s="386"/>
      <c r="D103" s="494"/>
      <c r="E103" s="512"/>
      <c r="F103" s="512"/>
      <c r="G103" s="512"/>
      <c r="H103" s="512"/>
      <c r="I103" s="512"/>
      <c r="J103" s="512"/>
      <c r="K103" s="512"/>
      <c r="L103" s="529"/>
      <c r="M103" s="536"/>
      <c r="N103" s="462"/>
      <c r="O103" s="537"/>
      <c r="P103" s="303"/>
      <c r="Q103" s="303"/>
      <c r="R103" s="303"/>
      <c r="S103" s="355"/>
      <c r="T103" s="363"/>
      <c r="U103" s="360"/>
      <c r="V103" s="361"/>
      <c r="W103" s="1092"/>
      <c r="X103" s="1105"/>
      <c r="Y103" s="1121"/>
      <c r="Z103" s="363"/>
      <c r="AA103" s="360"/>
      <c r="AB103" s="361"/>
      <c r="AC103" s="1092"/>
      <c r="AD103" s="1105"/>
      <c r="AE103" s="1121"/>
      <c r="AF103" s="359"/>
      <c r="AG103" s="359"/>
      <c r="AH103" s="359"/>
      <c r="AI103" s="358"/>
      <c r="AJ103" s="359"/>
      <c r="AK103" s="440"/>
    </row>
    <row r="104" spans="1:37" ht="12" customHeight="1" x14ac:dyDescent="0.25">
      <c r="A104" s="440"/>
      <c r="B104" s="518"/>
      <c r="C104" s="386"/>
      <c r="D104" s="303"/>
      <c r="E104" s="303"/>
      <c r="F104" s="1085" t="s">
        <v>760</v>
      </c>
      <c r="G104" s="1264"/>
      <c r="H104" s="1264"/>
      <c r="I104" s="1265"/>
      <c r="J104" s="638"/>
      <c r="K104" s="538"/>
      <c r="L104" s="503"/>
      <c r="M104" s="339"/>
      <c r="N104" s="462"/>
      <c r="O104" s="339"/>
      <c r="P104" s="303"/>
      <c r="Q104" s="344">
        <f>117627*1.2</f>
        <v>141152.4</v>
      </c>
      <c r="R104" s="522" t="s">
        <v>363</v>
      </c>
      <c r="S104" s="353">
        <f t="shared" ref="S104:S110" si="39">(M104*O104)+Q104</f>
        <v>141152.4</v>
      </c>
      <c r="T104" s="524"/>
      <c r="U104" s="350"/>
      <c r="V104" s="308"/>
      <c r="W104" s="1090" t="str">
        <f t="shared" ref="W104:W110" si="40">IF(AND(V104&lt;&gt;0,U104&lt;&gt;0),"X",IF(AND(V104&lt;&gt;0,U104=0),"A",IF(AND(V104=0,U104&lt;&gt;0),"P","")))</f>
        <v/>
      </c>
      <c r="X104" s="1103">
        <f t="shared" ref="X104:X110" si="41">IFERROR(IF(W104="X",0,IF(U104&gt;0,U104,V104/S104)),0)</f>
        <v>0</v>
      </c>
      <c r="Y104" s="1120">
        <f t="shared" ref="Y104:Y110" si="42">IFERROR(IF(W104="X",0,IF(V104&gt;0,V104,S104*U104)),0)</f>
        <v>0</v>
      </c>
      <c r="Z104" s="524"/>
      <c r="AA104" s="350"/>
      <c r="AB104" s="308"/>
      <c r="AC104" s="1090" t="str">
        <f t="shared" ref="AC104:AC110" si="43">IF(AND(AB104&lt;&gt;0,AA104&lt;&gt;0),"X",IF(AND(AB104&lt;&gt;0,AA104=0),"A",IF(AND(AB104=0,AA104&lt;&gt;0),"P","")))</f>
        <v/>
      </c>
      <c r="AD104" s="1103">
        <f t="shared" ref="AD104:AD110" si="44">IFERROR(IF(AC104="X",0,IF(AA104&gt;0,AA104,AB104/S104)),0)</f>
        <v>0</v>
      </c>
      <c r="AE104" s="1120">
        <f t="shared" ref="AE104:AE110" si="45">IFERROR(IF(AC104="X",0,IF(AB104&gt;0,AB104,S104*AA104)),0)</f>
        <v>0</v>
      </c>
      <c r="AF104" s="525"/>
      <c r="AG104" s="637">
        <v>50</v>
      </c>
      <c r="AH104" s="525"/>
      <c r="AI104" s="1086">
        <f t="shared" ref="AI104:AI110" si="46">AG104</f>
        <v>50</v>
      </c>
      <c r="AJ104" s="380"/>
      <c r="AK104" s="440"/>
    </row>
    <row r="105" spans="1:37" ht="12" customHeight="1" x14ac:dyDescent="0.25">
      <c r="A105" s="440"/>
      <c r="B105" s="518"/>
      <c r="C105" s="386"/>
      <c r="D105" s="303"/>
      <c r="E105" s="303"/>
      <c r="F105" s="1085"/>
      <c r="G105" s="1264"/>
      <c r="H105" s="1264"/>
      <c r="I105" s="1265"/>
      <c r="J105" s="638"/>
      <c r="K105" s="538"/>
      <c r="L105" s="503"/>
      <c r="M105" s="339"/>
      <c r="N105" s="462"/>
      <c r="O105" s="339"/>
      <c r="P105" s="303"/>
      <c r="Q105" s="344"/>
      <c r="R105" s="522" t="s">
        <v>363</v>
      </c>
      <c r="S105" s="353">
        <f t="shared" si="39"/>
        <v>0</v>
      </c>
      <c r="T105" s="524"/>
      <c r="U105" s="350"/>
      <c r="V105" s="308"/>
      <c r="W105" s="1090" t="str">
        <f t="shared" si="40"/>
        <v/>
      </c>
      <c r="X105" s="1103">
        <f t="shared" si="41"/>
        <v>0</v>
      </c>
      <c r="Y105" s="1120">
        <f t="shared" si="42"/>
        <v>0</v>
      </c>
      <c r="Z105" s="524"/>
      <c r="AA105" s="350"/>
      <c r="AB105" s="308"/>
      <c r="AC105" s="1090" t="str">
        <f t="shared" si="43"/>
        <v/>
      </c>
      <c r="AD105" s="1103">
        <f t="shared" si="44"/>
        <v>0</v>
      </c>
      <c r="AE105" s="1120">
        <f t="shared" si="45"/>
        <v>0</v>
      </c>
      <c r="AF105" s="525"/>
      <c r="AG105" s="637"/>
      <c r="AH105" s="525"/>
      <c r="AI105" s="1086">
        <f t="shared" si="46"/>
        <v>0</v>
      </c>
      <c r="AJ105" s="380"/>
      <c r="AK105" s="440"/>
    </row>
    <row r="106" spans="1:37" ht="12" customHeight="1" x14ac:dyDescent="0.25">
      <c r="A106" s="440"/>
      <c r="B106" s="518"/>
      <c r="C106" s="386"/>
      <c r="D106" s="303"/>
      <c r="E106" s="303"/>
      <c r="F106" s="1085"/>
      <c r="G106" s="1264"/>
      <c r="H106" s="1264"/>
      <c r="I106" s="1265"/>
      <c r="J106" s="638"/>
      <c r="K106" s="538"/>
      <c r="L106" s="503"/>
      <c r="M106" s="339"/>
      <c r="N106" s="462"/>
      <c r="O106" s="339"/>
      <c r="P106" s="303"/>
      <c r="Q106" s="344"/>
      <c r="R106" s="522" t="s">
        <v>363</v>
      </c>
      <c r="S106" s="353">
        <f t="shared" si="39"/>
        <v>0</v>
      </c>
      <c r="T106" s="524"/>
      <c r="U106" s="350"/>
      <c r="V106" s="308"/>
      <c r="W106" s="1090" t="str">
        <f t="shared" si="40"/>
        <v/>
      </c>
      <c r="X106" s="1103">
        <f t="shared" si="41"/>
        <v>0</v>
      </c>
      <c r="Y106" s="1120">
        <f t="shared" si="42"/>
        <v>0</v>
      </c>
      <c r="Z106" s="524"/>
      <c r="AA106" s="350"/>
      <c r="AB106" s="308"/>
      <c r="AC106" s="1090" t="str">
        <f t="shared" si="43"/>
        <v/>
      </c>
      <c r="AD106" s="1103">
        <f t="shared" si="44"/>
        <v>0</v>
      </c>
      <c r="AE106" s="1120">
        <f t="shared" si="45"/>
        <v>0</v>
      </c>
      <c r="AF106" s="525"/>
      <c r="AG106" s="637"/>
      <c r="AH106" s="525"/>
      <c r="AI106" s="1086">
        <f t="shared" si="46"/>
        <v>0</v>
      </c>
      <c r="AJ106" s="380"/>
      <c r="AK106" s="440"/>
    </row>
    <row r="107" spans="1:37" ht="12" customHeight="1" x14ac:dyDescent="0.25">
      <c r="A107" s="440"/>
      <c r="B107" s="518"/>
      <c r="C107" s="386"/>
      <c r="D107" s="303"/>
      <c r="E107" s="303"/>
      <c r="F107" s="1085"/>
      <c r="G107" s="1264"/>
      <c r="H107" s="1264"/>
      <c r="I107" s="1265"/>
      <c r="J107" s="638"/>
      <c r="K107" s="538"/>
      <c r="L107" s="503"/>
      <c r="M107" s="339"/>
      <c r="N107" s="462"/>
      <c r="O107" s="339"/>
      <c r="P107" s="303"/>
      <c r="Q107" s="344"/>
      <c r="R107" s="522" t="s">
        <v>363</v>
      </c>
      <c r="S107" s="353">
        <f t="shared" si="39"/>
        <v>0</v>
      </c>
      <c r="T107" s="524"/>
      <c r="U107" s="350"/>
      <c r="V107" s="308"/>
      <c r="W107" s="1090" t="str">
        <f t="shared" si="40"/>
        <v/>
      </c>
      <c r="X107" s="1103">
        <f t="shared" si="41"/>
        <v>0</v>
      </c>
      <c r="Y107" s="1120">
        <f t="shared" si="42"/>
        <v>0</v>
      </c>
      <c r="Z107" s="524"/>
      <c r="AA107" s="350"/>
      <c r="AB107" s="308"/>
      <c r="AC107" s="1090" t="str">
        <f t="shared" si="43"/>
        <v/>
      </c>
      <c r="AD107" s="1103">
        <f t="shared" si="44"/>
        <v>0</v>
      </c>
      <c r="AE107" s="1120">
        <f t="shared" si="45"/>
        <v>0</v>
      </c>
      <c r="AF107" s="525"/>
      <c r="AG107" s="637"/>
      <c r="AH107" s="525"/>
      <c r="AI107" s="1086">
        <f t="shared" si="46"/>
        <v>0</v>
      </c>
      <c r="AJ107" s="380"/>
      <c r="AK107" s="440"/>
    </row>
    <row r="108" spans="1:37" ht="12" customHeight="1" x14ac:dyDescent="0.25">
      <c r="A108" s="440"/>
      <c r="B108" s="518"/>
      <c r="C108" s="386"/>
      <c r="D108" s="303"/>
      <c r="E108" s="303"/>
      <c r="F108" s="1085"/>
      <c r="G108" s="1264"/>
      <c r="H108" s="1264"/>
      <c r="I108" s="1265"/>
      <c r="J108" s="638"/>
      <c r="K108" s="538"/>
      <c r="L108" s="503"/>
      <c r="M108" s="339"/>
      <c r="N108" s="462"/>
      <c r="O108" s="339"/>
      <c r="P108" s="303"/>
      <c r="Q108" s="344"/>
      <c r="R108" s="522" t="s">
        <v>363</v>
      </c>
      <c r="S108" s="353">
        <f t="shared" si="39"/>
        <v>0</v>
      </c>
      <c r="T108" s="524"/>
      <c r="U108" s="350"/>
      <c r="V108" s="308"/>
      <c r="W108" s="1090" t="str">
        <f t="shared" si="40"/>
        <v/>
      </c>
      <c r="X108" s="1103">
        <f t="shared" si="41"/>
        <v>0</v>
      </c>
      <c r="Y108" s="1120">
        <f t="shared" si="42"/>
        <v>0</v>
      </c>
      <c r="Z108" s="524"/>
      <c r="AA108" s="350"/>
      <c r="AB108" s="308"/>
      <c r="AC108" s="1090" t="str">
        <f t="shared" si="43"/>
        <v/>
      </c>
      <c r="AD108" s="1103">
        <f t="shared" si="44"/>
        <v>0</v>
      </c>
      <c r="AE108" s="1120">
        <f t="shared" si="45"/>
        <v>0</v>
      </c>
      <c r="AF108" s="525"/>
      <c r="AG108" s="637"/>
      <c r="AH108" s="525"/>
      <c r="AI108" s="1086">
        <f t="shared" si="46"/>
        <v>0</v>
      </c>
      <c r="AJ108" s="380"/>
      <c r="AK108" s="440"/>
    </row>
    <row r="109" spans="1:37" ht="12" customHeight="1" x14ac:dyDescent="0.25">
      <c r="A109" s="440"/>
      <c r="B109" s="518"/>
      <c r="C109" s="386"/>
      <c r="D109" s="303"/>
      <c r="E109" s="303"/>
      <c r="F109" s="1085"/>
      <c r="G109" s="1264"/>
      <c r="H109" s="1264"/>
      <c r="I109" s="1265"/>
      <c r="J109" s="638"/>
      <c r="K109" s="538"/>
      <c r="L109" s="503"/>
      <c r="M109" s="339"/>
      <c r="N109" s="462"/>
      <c r="O109" s="339"/>
      <c r="P109" s="303"/>
      <c r="Q109" s="344"/>
      <c r="R109" s="522" t="s">
        <v>363</v>
      </c>
      <c r="S109" s="353">
        <f t="shared" si="39"/>
        <v>0</v>
      </c>
      <c r="T109" s="524"/>
      <c r="U109" s="350"/>
      <c r="V109" s="308"/>
      <c r="W109" s="1090" t="str">
        <f t="shared" si="40"/>
        <v/>
      </c>
      <c r="X109" s="1103">
        <f t="shared" si="41"/>
        <v>0</v>
      </c>
      <c r="Y109" s="1120">
        <f t="shared" si="42"/>
        <v>0</v>
      </c>
      <c r="Z109" s="524"/>
      <c r="AA109" s="350"/>
      <c r="AB109" s="308"/>
      <c r="AC109" s="1090" t="str">
        <f t="shared" si="43"/>
        <v/>
      </c>
      <c r="AD109" s="1103">
        <f t="shared" si="44"/>
        <v>0</v>
      </c>
      <c r="AE109" s="1120">
        <f t="shared" si="45"/>
        <v>0</v>
      </c>
      <c r="AF109" s="525"/>
      <c r="AG109" s="637"/>
      <c r="AH109" s="525"/>
      <c r="AI109" s="1086">
        <f t="shared" si="46"/>
        <v>0</v>
      </c>
      <c r="AJ109" s="380"/>
      <c r="AK109" s="440"/>
    </row>
    <row r="110" spans="1:37" ht="12" customHeight="1" x14ac:dyDescent="0.25">
      <c r="A110" s="440"/>
      <c r="B110" s="518"/>
      <c r="C110" s="386"/>
      <c r="D110" s="303"/>
      <c r="E110" s="303"/>
      <c r="F110" s="1085"/>
      <c r="G110" s="1264"/>
      <c r="H110" s="1264"/>
      <c r="I110" s="1265"/>
      <c r="J110" s="638"/>
      <c r="K110" s="538"/>
      <c r="L110" s="503"/>
      <c r="M110" s="339"/>
      <c r="N110" s="462"/>
      <c r="O110" s="339"/>
      <c r="P110" s="303"/>
      <c r="Q110" s="344"/>
      <c r="R110" s="522" t="s">
        <v>363</v>
      </c>
      <c r="S110" s="353">
        <f t="shared" si="39"/>
        <v>0</v>
      </c>
      <c r="T110" s="524"/>
      <c r="U110" s="350"/>
      <c r="V110" s="308"/>
      <c r="W110" s="1090" t="str">
        <f t="shared" si="40"/>
        <v/>
      </c>
      <c r="X110" s="1103">
        <f t="shared" si="41"/>
        <v>0</v>
      </c>
      <c r="Y110" s="1120">
        <f t="shared" si="42"/>
        <v>0</v>
      </c>
      <c r="Z110" s="524"/>
      <c r="AA110" s="350"/>
      <c r="AB110" s="308"/>
      <c r="AC110" s="1090" t="str">
        <f t="shared" si="43"/>
        <v/>
      </c>
      <c r="AD110" s="1103">
        <f t="shared" si="44"/>
        <v>0</v>
      </c>
      <c r="AE110" s="1120">
        <f t="shared" si="45"/>
        <v>0</v>
      </c>
      <c r="AF110" s="525"/>
      <c r="AG110" s="637"/>
      <c r="AH110" s="525"/>
      <c r="AI110" s="1086">
        <f t="shared" si="46"/>
        <v>0</v>
      </c>
      <c r="AJ110" s="380"/>
      <c r="AK110" s="440"/>
    </row>
    <row r="111" spans="1:37" ht="12" customHeight="1" collapsed="1" x14ac:dyDescent="0.25">
      <c r="A111" s="440"/>
      <c r="B111" s="505"/>
      <c r="C111" s="370"/>
      <c r="D111" s="374"/>
      <c r="E111" s="374"/>
      <c r="F111" s="374"/>
      <c r="G111" s="374"/>
      <c r="H111" s="374"/>
      <c r="I111" s="507"/>
      <c r="J111" s="507"/>
      <c r="K111" s="508"/>
      <c r="L111" s="508"/>
      <c r="M111" s="371"/>
      <c r="N111" s="517"/>
      <c r="O111" s="371"/>
      <c r="P111" s="371"/>
      <c r="Q111" s="371"/>
      <c r="R111" s="371"/>
      <c r="S111" s="371"/>
      <c r="T111" s="371"/>
      <c r="U111" s="371"/>
      <c r="V111" s="370"/>
      <c r="W111" s="1094"/>
      <c r="X111" s="1108"/>
      <c r="Y111" s="1124"/>
      <c r="Z111" s="371"/>
      <c r="AA111" s="371"/>
      <c r="AB111" s="370"/>
      <c r="AC111" s="1094"/>
      <c r="AD111" s="1108"/>
      <c r="AE111" s="1124"/>
      <c r="AF111" s="370"/>
      <c r="AG111" s="370"/>
      <c r="AH111" s="370"/>
      <c r="AI111" s="373"/>
      <c r="AJ111" s="370"/>
      <c r="AK111" s="440"/>
    </row>
    <row r="112" spans="1:37" s="327" customFormat="1" ht="39.950000000000003" customHeight="1" x14ac:dyDescent="0.2">
      <c r="A112" s="440"/>
      <c r="B112" s="1164"/>
      <c r="C112" s="1165"/>
      <c r="D112" s="1165"/>
      <c r="E112" s="1165"/>
      <c r="F112" s="1165"/>
      <c r="G112" s="1165"/>
      <c r="H112" s="1165"/>
      <c r="I112" s="1165"/>
      <c r="J112" s="1165"/>
      <c r="K112" s="1165"/>
      <c r="L112" s="1165"/>
      <c r="M112" s="1165"/>
      <c r="N112" s="1165"/>
      <c r="O112" s="1165"/>
      <c r="P112" s="1165"/>
      <c r="Q112" s="1165"/>
      <c r="R112" s="1165"/>
      <c r="S112" s="1165"/>
      <c r="T112" s="1165"/>
      <c r="U112" s="440"/>
      <c r="V112" s="440"/>
      <c r="W112" s="440"/>
      <c r="X112" s="440"/>
      <c r="Y112" s="440"/>
      <c r="Z112" s="440"/>
      <c r="AA112" s="440"/>
      <c r="AB112" s="440"/>
      <c r="AC112" s="440"/>
      <c r="AD112" s="440"/>
      <c r="AE112" s="440"/>
      <c r="AF112" s="440"/>
      <c r="AG112" s="440"/>
      <c r="AH112" s="440"/>
      <c r="AI112" s="440"/>
      <c r="AJ112" s="440"/>
      <c r="AK112" s="440"/>
    </row>
    <row r="113" spans="1:37" ht="12" customHeight="1" x14ac:dyDescent="0.2">
      <c r="A113" s="440"/>
      <c r="B113" s="320"/>
      <c r="C113" s="386"/>
      <c r="D113" s="386"/>
      <c r="E113" s="386"/>
      <c r="F113" s="386"/>
      <c r="G113" s="386"/>
      <c r="H113" s="386"/>
      <c r="I113" s="386"/>
      <c r="J113" s="1598"/>
      <c r="K113" s="1598"/>
      <c r="L113" s="435"/>
      <c r="M113" s="379"/>
      <c r="N113" s="435"/>
      <c r="O113" s="379"/>
      <c r="P113" s="379"/>
      <c r="Q113" s="379"/>
      <c r="R113" s="379"/>
      <c r="S113" s="379"/>
      <c r="T113" s="379"/>
      <c r="U113" s="1598"/>
      <c r="V113" s="1598"/>
      <c r="W113" s="1095"/>
      <c r="X113" s="1109"/>
      <c r="Y113" s="1109"/>
      <c r="Z113" s="379"/>
      <c r="AA113" s="1598"/>
      <c r="AB113" s="1598"/>
      <c r="AC113" s="1095"/>
      <c r="AD113" s="1109"/>
      <c r="AE113" s="1109"/>
      <c r="AF113" s="379"/>
      <c r="AG113" s="379"/>
      <c r="AH113" s="379"/>
      <c r="AI113" s="481"/>
      <c r="AJ113" s="379"/>
      <c r="AK113" s="440"/>
    </row>
    <row r="114" spans="1:37" ht="12" customHeight="1" x14ac:dyDescent="0.2">
      <c r="A114" s="440"/>
      <c r="B114" s="320"/>
      <c r="C114" s="386"/>
      <c r="D114" s="386"/>
      <c r="E114" s="386"/>
      <c r="F114" s="386"/>
      <c r="G114" s="386"/>
      <c r="H114" s="386"/>
      <c r="I114" s="386"/>
      <c r="J114" s="1598"/>
      <c r="K114" s="1598"/>
      <c r="L114" s="435"/>
      <c r="M114" s="386"/>
      <c r="N114" s="503"/>
      <c r="O114" s="386"/>
      <c r="P114" s="386"/>
      <c r="Q114" s="386"/>
      <c r="R114" s="386"/>
      <c r="S114" s="372"/>
      <c r="T114" s="372"/>
      <c r="U114" s="372"/>
      <c r="V114" s="372"/>
      <c r="W114" s="1096"/>
      <c r="X114" s="1110"/>
      <c r="Y114" s="1110"/>
      <c r="Z114" s="372"/>
      <c r="AA114" s="372"/>
      <c r="AB114" s="372"/>
      <c r="AC114" s="1096"/>
      <c r="AD114" s="1110"/>
      <c r="AE114" s="1110"/>
      <c r="AF114" s="372"/>
      <c r="AG114" s="372"/>
      <c r="AH114" s="372"/>
      <c r="AI114" s="482"/>
      <c r="AJ114" s="372"/>
      <c r="AK114" s="440"/>
    </row>
    <row r="115" spans="1:37" ht="14.25" customHeight="1" x14ac:dyDescent="0.25">
      <c r="A115" s="440"/>
      <c r="B115" s="499">
        <v>2</v>
      </c>
      <c r="C115" s="494"/>
      <c r="D115" s="495"/>
      <c r="E115" s="1606" t="s">
        <v>54</v>
      </c>
      <c r="F115" s="1606"/>
      <c r="G115" s="1606"/>
      <c r="H115" s="1606"/>
      <c r="I115" s="1597"/>
      <c r="J115" s="497"/>
      <c r="K115" s="462"/>
      <c r="L115" s="462"/>
      <c r="M115" s="363"/>
      <c r="N115" s="359"/>
      <c r="O115" s="363"/>
      <c r="P115" s="363"/>
      <c r="Q115" s="363"/>
      <c r="R115" s="363"/>
      <c r="S115" s="385">
        <f>S116</f>
        <v>0</v>
      </c>
      <c r="T115" s="363"/>
      <c r="U115" s="358"/>
      <c r="V115" s="358"/>
      <c r="W115" s="1091"/>
      <c r="X115" s="1104"/>
      <c r="Y115" s="1104"/>
      <c r="Z115" s="363"/>
      <c r="AA115" s="358"/>
      <c r="AB115" s="358"/>
      <c r="AC115" s="1091"/>
      <c r="AD115" s="1104"/>
      <c r="AE115" s="1104"/>
      <c r="AF115" s="358"/>
      <c r="AG115" s="358"/>
      <c r="AH115" s="358"/>
      <c r="AI115" s="358"/>
      <c r="AJ115" s="358"/>
      <c r="AK115" s="440"/>
    </row>
    <row r="116" spans="1:37" ht="14.25" customHeight="1" x14ac:dyDescent="0.25">
      <c r="A116" s="440"/>
      <c r="B116" s="323"/>
      <c r="C116" s="386" t="s">
        <v>53</v>
      </c>
      <c r="D116" s="494"/>
      <c r="E116" s="1596" t="s">
        <v>52</v>
      </c>
      <c r="F116" s="1596"/>
      <c r="G116" s="1596"/>
      <c r="H116" s="1596"/>
      <c r="I116" s="1597"/>
      <c r="J116" s="497"/>
      <c r="K116" s="462"/>
      <c r="L116" s="462"/>
      <c r="M116" s="386"/>
      <c r="N116" s="503"/>
      <c r="O116" s="386"/>
      <c r="P116" s="386"/>
      <c r="Q116" s="386"/>
      <c r="R116" s="386"/>
      <c r="S116" s="355">
        <f>S117</f>
        <v>0</v>
      </c>
      <c r="T116" s="363"/>
      <c r="U116" s="358"/>
      <c r="V116" s="358"/>
      <c r="W116" s="1091"/>
      <c r="X116" s="1104"/>
      <c r="Y116" s="1104"/>
      <c r="Z116" s="363"/>
      <c r="AA116" s="358"/>
      <c r="AB116" s="358"/>
      <c r="AC116" s="1091"/>
      <c r="AD116" s="1104"/>
      <c r="AE116" s="1104"/>
      <c r="AF116" s="358"/>
      <c r="AG116" s="358"/>
      <c r="AH116" s="358"/>
      <c r="AI116" s="358"/>
      <c r="AJ116" s="358"/>
      <c r="AK116" s="440"/>
    </row>
    <row r="117" spans="1:37" ht="12" customHeight="1" x14ac:dyDescent="0.25">
      <c r="A117" s="440"/>
      <c r="B117" s="323"/>
      <c r="C117" s="380"/>
      <c r="D117" s="303" t="s">
        <v>325</v>
      </c>
      <c r="E117" s="1599" t="s">
        <v>326</v>
      </c>
      <c r="F117" s="1599"/>
      <c r="G117" s="1599"/>
      <c r="H117" s="1599"/>
      <c r="I117" s="1597"/>
      <c r="J117" s="497"/>
      <c r="K117" s="462"/>
      <c r="L117" s="462"/>
      <c r="M117" s="386"/>
      <c r="N117" s="503"/>
      <c r="O117" s="386"/>
      <c r="P117" s="386"/>
      <c r="Q117" s="386"/>
      <c r="R117" s="386"/>
      <c r="S117" s="354">
        <f>SUBTOTAL(109,S119:S120)</f>
        <v>0</v>
      </c>
      <c r="T117" s="363"/>
      <c r="U117" s="358"/>
      <c r="V117" s="358"/>
      <c r="W117" s="1091"/>
      <c r="X117" s="1104"/>
      <c r="Y117" s="1104"/>
      <c r="Z117" s="358"/>
      <c r="AA117" s="358"/>
      <c r="AB117" s="358"/>
      <c r="AC117" s="1091"/>
      <c r="AD117" s="1104"/>
      <c r="AE117" s="1104"/>
      <c r="AF117" s="358"/>
      <c r="AG117" s="358"/>
      <c r="AH117" s="358"/>
      <c r="AI117" s="358"/>
      <c r="AJ117" s="358"/>
      <c r="AK117" s="440"/>
    </row>
    <row r="118" spans="1:37" ht="12" customHeight="1" x14ac:dyDescent="0.25">
      <c r="A118" s="440"/>
      <c r="B118" s="323"/>
      <c r="C118" s="380"/>
      <c r="D118" s="303"/>
      <c r="E118" s="303"/>
      <c r="F118" s="303"/>
      <c r="G118" s="303"/>
      <c r="H118" s="303"/>
      <c r="I118" s="465"/>
      <c r="J118" s="497"/>
      <c r="K118" s="462"/>
      <c r="L118" s="462"/>
      <c r="M118" s="386"/>
      <c r="N118" s="503"/>
      <c r="O118" s="386"/>
      <c r="P118" s="386"/>
      <c r="Q118" s="386"/>
      <c r="R118" s="386"/>
      <c r="S118" s="354"/>
      <c r="T118" s="363"/>
      <c r="U118" s="373"/>
      <c r="V118" s="373"/>
      <c r="W118" s="1091"/>
      <c r="X118" s="1111"/>
      <c r="Y118" s="1111"/>
      <c r="Z118" s="363"/>
      <c r="AA118" s="373"/>
      <c r="AB118" s="373"/>
      <c r="AC118" s="1091"/>
      <c r="AD118" s="1111"/>
      <c r="AE118" s="1111"/>
      <c r="AF118" s="358"/>
      <c r="AG118" s="358"/>
      <c r="AH118" s="358"/>
      <c r="AI118" s="373"/>
      <c r="AJ118" s="358"/>
      <c r="AK118" s="440"/>
    </row>
    <row r="119" spans="1:37" ht="12" customHeight="1" x14ac:dyDescent="0.2">
      <c r="A119" s="440"/>
      <c r="B119" s="323"/>
      <c r="C119" s="380"/>
      <c r="D119" s="303"/>
      <c r="E119" s="303"/>
      <c r="F119" s="1085"/>
      <c r="G119" s="1264"/>
      <c r="H119" s="1264"/>
      <c r="I119" s="1265"/>
      <c r="J119" s="638"/>
      <c r="K119" s="540" t="s">
        <v>171</v>
      </c>
      <c r="L119" s="541"/>
      <c r="M119" s="340"/>
      <c r="N119" s="528" t="s">
        <v>67</v>
      </c>
      <c r="O119" s="339"/>
      <c r="P119" s="543" t="s">
        <v>68</v>
      </c>
      <c r="Q119" s="344"/>
      <c r="R119" s="522" t="s">
        <v>363</v>
      </c>
      <c r="S119" s="353">
        <f>(M119*O119)+Q119</f>
        <v>0</v>
      </c>
      <c r="T119" s="525"/>
      <c r="U119" s="350"/>
      <c r="V119" s="308"/>
      <c r="W119" s="1090" t="str">
        <f t="shared" ref="W119:W120" si="47">IF(AND(V119&lt;&gt;0,U119&lt;&gt;0),"X",IF(AND(V119&lt;&gt;0,U119=0),"A",IF(AND(V119=0,U119&lt;&gt;0),"P","")))</f>
        <v/>
      </c>
      <c r="X119" s="1103">
        <f>IFERROR(IF(W119="X",0,IF(U119&gt;0,U119,V119/S119)),0)</f>
        <v>0</v>
      </c>
      <c r="Y119" s="1120">
        <f>IFERROR(IF(W119="X",0,IF(V119&gt;0,V119,S119*U119)),0)</f>
        <v>0</v>
      </c>
      <c r="Z119" s="525"/>
      <c r="AA119" s="350"/>
      <c r="AB119" s="308"/>
      <c r="AC119" s="1090" t="str">
        <f t="shared" ref="AC119:AC120" si="48">IF(AND(AB119&lt;&gt;0,AA119&lt;&gt;0),"X",IF(AND(AB119&lt;&gt;0,AA119=0),"A",IF(AND(AB119=0,AA119&lt;&gt;0),"P","")))</f>
        <v/>
      </c>
      <c r="AD119" s="1103">
        <f>IFERROR(IF(AC119="X",0,IF(AA119&gt;0,AA119,AB119/S119)),0)</f>
        <v>0</v>
      </c>
      <c r="AE119" s="1120">
        <f>IFERROR(IF(AC119="X",0,IF(AB119&gt;0,AB119,S119*AA119)),0)</f>
        <v>0</v>
      </c>
      <c r="AF119" s="523"/>
      <c r="AG119" s="637"/>
      <c r="AH119" s="525"/>
      <c r="AI119" s="1086">
        <f t="shared" ref="AI119:AI120" si="49">AG119</f>
        <v>0</v>
      </c>
      <c r="AJ119" s="380"/>
      <c r="AK119" s="440"/>
    </row>
    <row r="120" spans="1:37" ht="12" customHeight="1" x14ac:dyDescent="0.2">
      <c r="A120" s="440"/>
      <c r="B120" s="323"/>
      <c r="C120" s="380"/>
      <c r="D120" s="303"/>
      <c r="E120" s="303"/>
      <c r="F120" s="1085"/>
      <c r="G120" s="1264"/>
      <c r="H120" s="1264"/>
      <c r="I120" s="1265"/>
      <c r="J120" s="638"/>
      <c r="K120" s="538" t="s">
        <v>171</v>
      </c>
      <c r="L120" s="541"/>
      <c r="M120" s="340"/>
      <c r="N120" s="528" t="s">
        <v>67</v>
      </c>
      <c r="O120" s="339"/>
      <c r="P120" s="543" t="s">
        <v>68</v>
      </c>
      <c r="Q120" s="344"/>
      <c r="R120" s="522" t="s">
        <v>363</v>
      </c>
      <c r="S120" s="353">
        <f>(M120*O120)+Q120</f>
        <v>0</v>
      </c>
      <c r="T120" s="525"/>
      <c r="U120" s="350"/>
      <c r="V120" s="308"/>
      <c r="W120" s="1090" t="str">
        <f t="shared" si="47"/>
        <v/>
      </c>
      <c r="X120" s="1103">
        <f>IFERROR(IF(W120="X",0,IF(U120&gt;0,U120,V120/S120)),0)</f>
        <v>0</v>
      </c>
      <c r="Y120" s="1120">
        <f>IFERROR(IF(W120="X",0,IF(V120&gt;0,V120,S120*U120)),0)</f>
        <v>0</v>
      </c>
      <c r="Z120" s="525"/>
      <c r="AA120" s="350"/>
      <c r="AB120" s="308"/>
      <c r="AC120" s="1090" t="str">
        <f t="shared" si="48"/>
        <v/>
      </c>
      <c r="AD120" s="1103">
        <f>IFERROR(IF(AC120="X",0,IF(AA120&gt;0,AA120,AB120/S120)),0)</f>
        <v>0</v>
      </c>
      <c r="AE120" s="1120">
        <f>IFERROR(IF(AC120="X",0,IF(AB120&gt;0,AB120,S120*AA120)),0)</f>
        <v>0</v>
      </c>
      <c r="AF120" s="525"/>
      <c r="AG120" s="637"/>
      <c r="AH120" s="525"/>
      <c r="AI120" s="1086">
        <f t="shared" si="49"/>
        <v>0</v>
      </c>
      <c r="AJ120" s="380"/>
      <c r="AK120" s="440"/>
    </row>
    <row r="121" spans="1:37" ht="12" customHeight="1" collapsed="1" x14ac:dyDescent="0.2">
      <c r="A121" s="440"/>
      <c r="B121" s="324"/>
      <c r="C121" s="378"/>
      <c r="D121" s="374"/>
      <c r="E121" s="374"/>
      <c r="F121" s="374"/>
      <c r="G121" s="374"/>
      <c r="H121" s="374"/>
      <c r="I121" s="374"/>
      <c r="J121" s="374"/>
      <c r="K121" s="544"/>
      <c r="L121" s="544"/>
      <c r="M121" s="545"/>
      <c r="N121" s="544"/>
      <c r="O121" s="374"/>
      <c r="P121" s="374"/>
      <c r="Q121" s="374"/>
      <c r="R121" s="374"/>
      <c r="S121" s="374"/>
      <c r="T121" s="374"/>
      <c r="U121" s="374"/>
      <c r="V121" s="374"/>
      <c r="W121" s="1097"/>
      <c r="X121" s="1112"/>
      <c r="Y121" s="1112"/>
      <c r="Z121" s="374"/>
      <c r="AA121" s="374"/>
      <c r="AB121" s="374"/>
      <c r="AC121" s="1097"/>
      <c r="AD121" s="1112"/>
      <c r="AE121" s="1112"/>
      <c r="AF121" s="374"/>
      <c r="AG121" s="374"/>
      <c r="AH121" s="374"/>
      <c r="AI121" s="546"/>
      <c r="AJ121" s="374"/>
      <c r="AK121" s="440"/>
    </row>
    <row r="122" spans="1:37" ht="12" customHeight="1" x14ac:dyDescent="0.2">
      <c r="A122" s="440"/>
      <c r="B122" s="547"/>
      <c r="C122" s="548"/>
      <c r="D122" s="548"/>
      <c r="E122" s="548"/>
      <c r="F122" s="548"/>
      <c r="G122" s="548"/>
      <c r="H122" s="548"/>
      <c r="I122" s="548"/>
      <c r="J122" s="1598"/>
      <c r="K122" s="1598"/>
      <c r="L122" s="435"/>
      <c r="M122" s="549"/>
      <c r="N122" s="435"/>
      <c r="O122" s="379"/>
      <c r="P122" s="379"/>
      <c r="Q122" s="379"/>
      <c r="R122" s="379"/>
      <c r="S122" s="389"/>
      <c r="T122" s="389"/>
      <c r="U122" s="1598"/>
      <c r="V122" s="1598"/>
      <c r="W122" s="1095"/>
      <c r="X122" s="1113"/>
      <c r="Y122" s="1113"/>
      <c r="Z122" s="389"/>
      <c r="AA122" s="1598"/>
      <c r="AB122" s="1598"/>
      <c r="AC122" s="1095"/>
      <c r="AD122" s="1113"/>
      <c r="AE122" s="1113"/>
      <c r="AF122" s="379"/>
      <c r="AG122" s="379"/>
      <c r="AH122" s="379"/>
      <c r="AI122" s="481"/>
      <c r="AJ122" s="379"/>
      <c r="AK122" s="440"/>
    </row>
    <row r="123" spans="1:37" ht="12" customHeight="1" x14ac:dyDescent="0.2">
      <c r="A123" s="440"/>
      <c r="B123" s="320"/>
      <c r="C123" s="386"/>
      <c r="D123" s="386"/>
      <c r="E123" s="386"/>
      <c r="F123" s="386"/>
      <c r="G123" s="386"/>
      <c r="H123" s="386"/>
      <c r="I123" s="386"/>
      <c r="J123" s="1598"/>
      <c r="K123" s="1598"/>
      <c r="L123" s="435"/>
      <c r="M123" s="498"/>
      <c r="N123" s="503"/>
      <c r="O123" s="386"/>
      <c r="P123" s="386"/>
      <c r="Q123" s="386"/>
      <c r="R123" s="386"/>
      <c r="S123" s="372"/>
      <c r="T123" s="372"/>
      <c r="U123" s="372"/>
      <c r="V123" s="372"/>
      <c r="W123" s="1096"/>
      <c r="X123" s="1110"/>
      <c r="Y123" s="1110"/>
      <c r="Z123" s="372"/>
      <c r="AA123" s="372"/>
      <c r="AB123" s="372"/>
      <c r="AC123" s="1096"/>
      <c r="AD123" s="1110"/>
      <c r="AE123" s="1110"/>
      <c r="AF123" s="372"/>
      <c r="AG123" s="372"/>
      <c r="AH123" s="372"/>
      <c r="AI123" s="482"/>
      <c r="AJ123" s="372"/>
      <c r="AK123" s="440"/>
    </row>
    <row r="124" spans="1:37" ht="14.25" customHeight="1" x14ac:dyDescent="0.25">
      <c r="A124" s="440"/>
      <c r="B124" s="499">
        <v>3</v>
      </c>
      <c r="C124" s="494"/>
      <c r="D124" s="495"/>
      <c r="E124" s="1606" t="s">
        <v>48</v>
      </c>
      <c r="F124" s="1606"/>
      <c r="G124" s="1606"/>
      <c r="H124" s="1606"/>
      <c r="I124" s="1597"/>
      <c r="J124" s="497"/>
      <c r="K124" s="462"/>
      <c r="L124" s="462"/>
      <c r="M124" s="498"/>
      <c r="N124" s="359"/>
      <c r="O124" s="363"/>
      <c r="P124" s="363"/>
      <c r="Q124" s="363"/>
      <c r="R124" s="363"/>
      <c r="S124" s="385">
        <f>S125+S142+S155+S164</f>
        <v>244899.27599999998</v>
      </c>
      <c r="T124" s="363"/>
      <c r="U124" s="358"/>
      <c r="V124" s="358"/>
      <c r="W124" s="1091"/>
      <c r="X124" s="1104"/>
      <c r="Y124" s="1104"/>
      <c r="Z124" s="363"/>
      <c r="AA124" s="358"/>
      <c r="AB124" s="358"/>
      <c r="AC124" s="1091"/>
      <c r="AD124" s="1104"/>
      <c r="AE124" s="1104"/>
      <c r="AF124" s="358"/>
      <c r="AG124" s="358"/>
      <c r="AH124" s="358"/>
      <c r="AI124" s="358"/>
      <c r="AJ124" s="358"/>
      <c r="AK124" s="440"/>
    </row>
    <row r="125" spans="1:37" ht="14.25" customHeight="1" x14ac:dyDescent="0.25">
      <c r="A125" s="440"/>
      <c r="B125" s="323"/>
      <c r="C125" s="386" t="s">
        <v>47</v>
      </c>
      <c r="D125" s="494"/>
      <c r="E125" s="1596" t="s">
        <v>46</v>
      </c>
      <c r="F125" s="1596"/>
      <c r="G125" s="1596"/>
      <c r="H125" s="1596"/>
      <c r="I125" s="1597"/>
      <c r="J125" s="497"/>
      <c r="K125" s="502"/>
      <c r="L125" s="502"/>
      <c r="M125" s="532"/>
      <c r="N125" s="463"/>
      <c r="O125" s="380"/>
      <c r="P125" s="363"/>
      <c r="Q125" s="363"/>
      <c r="R125" s="363"/>
      <c r="S125" s="355">
        <f>S126+S135+S136</f>
        <v>193476.87599999999</v>
      </c>
      <c r="T125" s="363"/>
      <c r="U125" s="358"/>
      <c r="V125" s="358"/>
      <c r="W125" s="1091"/>
      <c r="X125" s="1104"/>
      <c r="Y125" s="1104"/>
      <c r="Z125" s="363"/>
      <c r="AA125" s="358"/>
      <c r="AB125" s="358"/>
      <c r="AC125" s="1091"/>
      <c r="AD125" s="1104"/>
      <c r="AE125" s="1104"/>
      <c r="AF125" s="358"/>
      <c r="AG125" s="358"/>
      <c r="AH125" s="358"/>
      <c r="AI125" s="358"/>
      <c r="AJ125" s="358"/>
      <c r="AK125" s="440"/>
    </row>
    <row r="126" spans="1:37" ht="12" customHeight="1" x14ac:dyDescent="0.25">
      <c r="A126" s="440"/>
      <c r="B126" s="323"/>
      <c r="C126" s="380"/>
      <c r="D126" s="303" t="s">
        <v>45</v>
      </c>
      <c r="E126" s="1599" t="s">
        <v>303</v>
      </c>
      <c r="F126" s="1599"/>
      <c r="G126" s="1599"/>
      <c r="H126" s="1599"/>
      <c r="I126" s="1597"/>
      <c r="J126" s="497"/>
      <c r="K126" s="497"/>
      <c r="L126" s="503"/>
      <c r="M126" s="498"/>
      <c r="N126" s="359"/>
      <c r="O126" s="363"/>
      <c r="P126" s="363"/>
      <c r="Q126" s="363"/>
      <c r="R126" s="363"/>
      <c r="S126" s="354">
        <f>SUBTOTAL(109,S128:S133)</f>
        <v>126936</v>
      </c>
      <c r="T126" s="363"/>
      <c r="U126" s="358"/>
      <c r="V126" s="358"/>
      <c r="W126" s="1091"/>
      <c r="X126" s="1104"/>
      <c r="Y126" s="1104"/>
      <c r="Z126" s="363"/>
      <c r="AA126" s="358"/>
      <c r="AB126" s="358"/>
      <c r="AC126" s="1091"/>
      <c r="AD126" s="1104"/>
      <c r="AE126" s="1104"/>
      <c r="AF126" s="358"/>
      <c r="AG126" s="358"/>
      <c r="AH126" s="358"/>
      <c r="AI126" s="358"/>
      <c r="AJ126" s="358"/>
      <c r="AK126" s="440"/>
    </row>
    <row r="127" spans="1:37" ht="12" customHeight="1" x14ac:dyDescent="0.25">
      <c r="A127" s="440"/>
      <c r="B127" s="323"/>
      <c r="C127" s="380"/>
      <c r="D127" s="303"/>
      <c r="E127" s="303"/>
      <c r="F127" s="303"/>
      <c r="G127" s="303"/>
      <c r="H127" s="303"/>
      <c r="I127" s="465"/>
      <c r="J127" s="1603" t="s">
        <v>188</v>
      </c>
      <c r="K127" s="1603"/>
      <c r="L127" s="503"/>
      <c r="M127" s="498"/>
      <c r="N127" s="359"/>
      <c r="O127" s="363"/>
      <c r="P127" s="363"/>
      <c r="Q127" s="363"/>
      <c r="R127" s="363"/>
      <c r="S127" s="354"/>
      <c r="T127" s="363"/>
      <c r="U127" s="358"/>
      <c r="V127" s="358"/>
      <c r="W127" s="1091"/>
      <c r="X127" s="1104"/>
      <c r="Y127" s="1104"/>
      <c r="Z127" s="363"/>
      <c r="AA127" s="358"/>
      <c r="AB127" s="358"/>
      <c r="AC127" s="1091"/>
      <c r="AD127" s="1104"/>
      <c r="AE127" s="1104"/>
      <c r="AF127" s="358"/>
      <c r="AG127" s="358"/>
      <c r="AH127" s="358"/>
      <c r="AI127" s="358"/>
      <c r="AJ127" s="358"/>
      <c r="AK127" s="440"/>
    </row>
    <row r="128" spans="1:37" ht="12" customHeight="1" x14ac:dyDescent="0.2">
      <c r="A128" s="440"/>
      <c r="B128" s="323"/>
      <c r="C128" s="380"/>
      <c r="D128" s="303"/>
      <c r="E128" s="303"/>
      <c r="F128" s="1085" t="s">
        <v>748</v>
      </c>
      <c r="G128" s="1264"/>
      <c r="H128" s="1264"/>
      <c r="I128" s="1265"/>
      <c r="J128" s="638"/>
      <c r="K128" s="520" t="s">
        <v>179</v>
      </c>
      <c r="L128" s="551"/>
      <c r="M128" s="340"/>
      <c r="N128" s="528" t="s">
        <v>69</v>
      </c>
      <c r="O128" s="339"/>
      <c r="P128" s="543" t="s">
        <v>70</v>
      </c>
      <c r="Q128" s="344">
        <f>24041*1.2</f>
        <v>28849.200000000001</v>
      </c>
      <c r="R128" s="522" t="s">
        <v>363</v>
      </c>
      <c r="S128" s="353">
        <f t="shared" ref="S128:S133" si="50">(M128*O128)+Q128</f>
        <v>28849.200000000001</v>
      </c>
      <c r="T128" s="525"/>
      <c r="U128" s="350"/>
      <c r="V128" s="308"/>
      <c r="W128" s="1090" t="str">
        <f t="shared" ref="W128:W133" si="51">IF(AND(V128&lt;&gt;0,U128&lt;&gt;0),"X",IF(AND(V128&lt;&gt;0,U128=0),"A",IF(AND(V128=0,U128&lt;&gt;0),"P","")))</f>
        <v/>
      </c>
      <c r="X128" s="1103">
        <f t="shared" ref="X128:X133" si="52">IFERROR(IF(W128="X",0,IF(U128&gt;0,U128,V128/S128)),0)</f>
        <v>0</v>
      </c>
      <c r="Y128" s="1120">
        <f t="shared" ref="Y128:Y133" si="53">IFERROR(IF(W128="X",0,IF(V128&gt;0,V128,S128*U128)),0)</f>
        <v>0</v>
      </c>
      <c r="Z128" s="525"/>
      <c r="AA128" s="350"/>
      <c r="AB128" s="308">
        <v>1205</v>
      </c>
      <c r="AC128" s="1090" t="str">
        <f t="shared" ref="AC128:AC133" si="54">IF(AND(AB128&lt;&gt;0,AA128&lt;&gt;0),"X",IF(AND(AB128&lt;&gt;0,AA128=0),"A",IF(AND(AB128=0,AA128&lt;&gt;0),"P","")))</f>
        <v>A</v>
      </c>
      <c r="AD128" s="1103">
        <f t="shared" ref="AD128:AD133" si="55">IFERROR(IF(AC128="X",0,IF(AA128&gt;0,AA128,AB128/S128)),0)</f>
        <v>4.1768922535113627E-2</v>
      </c>
      <c r="AE128" s="1120">
        <f t="shared" ref="AE128:AE133" si="56">IFERROR(IF(AC128="X",0,IF(AB128&gt;0,AB128,S128*AA128)),0)</f>
        <v>1205</v>
      </c>
      <c r="AF128" s="525"/>
      <c r="AG128" s="637">
        <v>20</v>
      </c>
      <c r="AH128" s="525"/>
      <c r="AI128" s="1086">
        <f t="shared" ref="AI128:AI133" si="57">AG128</f>
        <v>20</v>
      </c>
      <c r="AJ128" s="380"/>
      <c r="AK128" s="440"/>
    </row>
    <row r="129" spans="1:37" ht="12" customHeight="1" x14ac:dyDescent="0.2">
      <c r="A129" s="440"/>
      <c r="B129" s="323"/>
      <c r="C129" s="380"/>
      <c r="D129" s="303"/>
      <c r="E129" s="303"/>
      <c r="F129" s="1085" t="s">
        <v>868</v>
      </c>
      <c r="G129" s="1264"/>
      <c r="H129" s="1264"/>
      <c r="I129" s="1265"/>
      <c r="J129" s="638"/>
      <c r="K129" s="520" t="s">
        <v>179</v>
      </c>
      <c r="L129" s="521"/>
      <c r="M129" s="340"/>
      <c r="N129" s="528" t="s">
        <v>69</v>
      </c>
      <c r="O129" s="339"/>
      <c r="P129" s="543" t="s">
        <v>70</v>
      </c>
      <c r="Q129" s="344">
        <f>81739*1.2</f>
        <v>98086.8</v>
      </c>
      <c r="R129" s="522" t="s">
        <v>363</v>
      </c>
      <c r="S129" s="353">
        <f t="shared" si="50"/>
        <v>98086.8</v>
      </c>
      <c r="T129" s="525"/>
      <c r="U129" s="350"/>
      <c r="V129" s="308"/>
      <c r="W129" s="1090" t="str">
        <f t="shared" si="51"/>
        <v/>
      </c>
      <c r="X129" s="1103">
        <f t="shared" si="52"/>
        <v>0</v>
      </c>
      <c r="Y129" s="1120">
        <f t="shared" si="53"/>
        <v>0</v>
      </c>
      <c r="Z129" s="525"/>
      <c r="AA129" s="350"/>
      <c r="AB129" s="308"/>
      <c r="AC129" s="1090" t="str">
        <f t="shared" si="54"/>
        <v/>
      </c>
      <c r="AD129" s="1103">
        <f t="shared" si="55"/>
        <v>0</v>
      </c>
      <c r="AE129" s="1120">
        <f t="shared" si="56"/>
        <v>0</v>
      </c>
      <c r="AF129" s="525"/>
      <c r="AG129" s="637">
        <v>50</v>
      </c>
      <c r="AH129" s="525"/>
      <c r="AI129" s="1086">
        <f t="shared" si="57"/>
        <v>50</v>
      </c>
      <c r="AJ129" s="380"/>
      <c r="AK129" s="440"/>
    </row>
    <row r="130" spans="1:37" ht="12" customHeight="1" x14ac:dyDescent="0.2">
      <c r="A130" s="440"/>
      <c r="B130" s="323"/>
      <c r="C130" s="380"/>
      <c r="D130" s="303"/>
      <c r="E130" s="303"/>
      <c r="F130" s="1085"/>
      <c r="G130" s="1264"/>
      <c r="H130" s="1264"/>
      <c r="I130" s="1265"/>
      <c r="J130" s="638"/>
      <c r="K130" s="520" t="s">
        <v>179</v>
      </c>
      <c r="L130" s="521"/>
      <c r="M130" s="340"/>
      <c r="N130" s="528" t="s">
        <v>69</v>
      </c>
      <c r="O130" s="339"/>
      <c r="P130" s="543" t="s">
        <v>70</v>
      </c>
      <c r="Q130" s="344"/>
      <c r="R130" s="522" t="s">
        <v>363</v>
      </c>
      <c r="S130" s="353">
        <f t="shared" si="50"/>
        <v>0</v>
      </c>
      <c r="T130" s="525"/>
      <c r="U130" s="350"/>
      <c r="V130" s="308"/>
      <c r="W130" s="1090" t="str">
        <f t="shared" si="51"/>
        <v/>
      </c>
      <c r="X130" s="1103">
        <f t="shared" si="52"/>
        <v>0</v>
      </c>
      <c r="Y130" s="1120">
        <f t="shared" si="53"/>
        <v>0</v>
      </c>
      <c r="Z130" s="525"/>
      <c r="AA130" s="350"/>
      <c r="AB130" s="308"/>
      <c r="AC130" s="1090" t="str">
        <f t="shared" si="54"/>
        <v/>
      </c>
      <c r="AD130" s="1103">
        <f t="shared" si="55"/>
        <v>0</v>
      </c>
      <c r="AE130" s="1120">
        <f t="shared" si="56"/>
        <v>0</v>
      </c>
      <c r="AF130" s="525"/>
      <c r="AG130" s="637"/>
      <c r="AH130" s="525"/>
      <c r="AI130" s="1086">
        <f t="shared" si="57"/>
        <v>0</v>
      </c>
      <c r="AJ130" s="380"/>
      <c r="AK130" s="440"/>
    </row>
    <row r="131" spans="1:37" ht="12" customHeight="1" x14ac:dyDescent="0.2">
      <c r="A131" s="440"/>
      <c r="B131" s="323"/>
      <c r="C131" s="380"/>
      <c r="D131" s="303"/>
      <c r="E131" s="303"/>
      <c r="F131" s="1085"/>
      <c r="G131" s="1264"/>
      <c r="H131" s="1264"/>
      <c r="I131" s="1265"/>
      <c r="J131" s="638"/>
      <c r="K131" s="520" t="s">
        <v>179</v>
      </c>
      <c r="L131" s="521"/>
      <c r="M131" s="340"/>
      <c r="N131" s="528" t="s">
        <v>69</v>
      </c>
      <c r="O131" s="339"/>
      <c r="P131" s="543" t="s">
        <v>70</v>
      </c>
      <c r="Q131" s="344"/>
      <c r="R131" s="522" t="s">
        <v>363</v>
      </c>
      <c r="S131" s="353">
        <f t="shared" si="50"/>
        <v>0</v>
      </c>
      <c r="T131" s="525"/>
      <c r="U131" s="350"/>
      <c r="V131" s="308"/>
      <c r="W131" s="1090" t="str">
        <f t="shared" si="51"/>
        <v/>
      </c>
      <c r="X131" s="1103">
        <f t="shared" si="52"/>
        <v>0</v>
      </c>
      <c r="Y131" s="1120">
        <f t="shared" si="53"/>
        <v>0</v>
      </c>
      <c r="Z131" s="525"/>
      <c r="AA131" s="350"/>
      <c r="AB131" s="308"/>
      <c r="AC131" s="1090" t="str">
        <f t="shared" si="54"/>
        <v/>
      </c>
      <c r="AD131" s="1103">
        <f t="shared" si="55"/>
        <v>0</v>
      </c>
      <c r="AE131" s="1120">
        <f t="shared" si="56"/>
        <v>0</v>
      </c>
      <c r="AF131" s="525"/>
      <c r="AG131" s="637"/>
      <c r="AH131" s="525"/>
      <c r="AI131" s="1086">
        <f t="shared" si="57"/>
        <v>0</v>
      </c>
      <c r="AJ131" s="380"/>
      <c r="AK131" s="440"/>
    </row>
    <row r="132" spans="1:37" ht="12" customHeight="1" x14ac:dyDescent="0.2">
      <c r="A132" s="440"/>
      <c r="B132" s="323"/>
      <c r="C132" s="380"/>
      <c r="D132" s="303"/>
      <c r="E132" s="303"/>
      <c r="F132" s="1085"/>
      <c r="G132" s="1264"/>
      <c r="H132" s="1264"/>
      <c r="I132" s="1265"/>
      <c r="J132" s="638"/>
      <c r="K132" s="520" t="s">
        <v>179</v>
      </c>
      <c r="L132" s="521"/>
      <c r="M132" s="340"/>
      <c r="N132" s="528" t="s">
        <v>69</v>
      </c>
      <c r="O132" s="339"/>
      <c r="P132" s="543" t="s">
        <v>70</v>
      </c>
      <c r="Q132" s="344"/>
      <c r="R132" s="522" t="s">
        <v>363</v>
      </c>
      <c r="S132" s="353">
        <f t="shared" si="50"/>
        <v>0</v>
      </c>
      <c r="T132" s="525"/>
      <c r="U132" s="350"/>
      <c r="V132" s="308"/>
      <c r="W132" s="1090" t="str">
        <f t="shared" si="51"/>
        <v/>
      </c>
      <c r="X132" s="1103">
        <f t="shared" si="52"/>
        <v>0</v>
      </c>
      <c r="Y132" s="1120">
        <f t="shared" si="53"/>
        <v>0</v>
      </c>
      <c r="Z132" s="525"/>
      <c r="AA132" s="350"/>
      <c r="AB132" s="308"/>
      <c r="AC132" s="1090" t="str">
        <f t="shared" si="54"/>
        <v/>
      </c>
      <c r="AD132" s="1103">
        <f t="shared" si="55"/>
        <v>0</v>
      </c>
      <c r="AE132" s="1120">
        <f t="shared" si="56"/>
        <v>0</v>
      </c>
      <c r="AF132" s="525"/>
      <c r="AG132" s="637"/>
      <c r="AH132" s="525"/>
      <c r="AI132" s="1086">
        <f t="shared" si="57"/>
        <v>0</v>
      </c>
      <c r="AJ132" s="380"/>
      <c r="AK132" s="440"/>
    </row>
    <row r="133" spans="1:37" ht="12" customHeight="1" x14ac:dyDescent="0.2">
      <c r="A133" s="440"/>
      <c r="B133" s="323"/>
      <c r="C133" s="380"/>
      <c r="D133" s="303"/>
      <c r="E133" s="303"/>
      <c r="F133" s="1085"/>
      <c r="G133" s="1264"/>
      <c r="H133" s="1264"/>
      <c r="I133" s="1265"/>
      <c r="J133" s="638"/>
      <c r="K133" s="520" t="s">
        <v>179</v>
      </c>
      <c r="L133" s="521"/>
      <c r="M133" s="340"/>
      <c r="N133" s="528" t="s">
        <v>69</v>
      </c>
      <c r="O133" s="339"/>
      <c r="P133" s="543" t="s">
        <v>70</v>
      </c>
      <c r="Q133" s="344"/>
      <c r="R133" s="522" t="s">
        <v>363</v>
      </c>
      <c r="S133" s="353">
        <f t="shared" si="50"/>
        <v>0</v>
      </c>
      <c r="T133" s="525"/>
      <c r="U133" s="350"/>
      <c r="V133" s="308"/>
      <c r="W133" s="1090" t="str">
        <f t="shared" si="51"/>
        <v/>
      </c>
      <c r="X133" s="1103">
        <f t="shared" si="52"/>
        <v>0</v>
      </c>
      <c r="Y133" s="1120">
        <f t="shared" si="53"/>
        <v>0</v>
      </c>
      <c r="Z133" s="525"/>
      <c r="AA133" s="350"/>
      <c r="AB133" s="308"/>
      <c r="AC133" s="1090" t="str">
        <f t="shared" si="54"/>
        <v/>
      </c>
      <c r="AD133" s="1103">
        <f t="shared" si="55"/>
        <v>0</v>
      </c>
      <c r="AE133" s="1120">
        <f t="shared" si="56"/>
        <v>0</v>
      </c>
      <c r="AF133" s="525"/>
      <c r="AG133" s="637"/>
      <c r="AH133" s="525"/>
      <c r="AI133" s="1086">
        <f t="shared" si="57"/>
        <v>0</v>
      </c>
      <c r="AJ133" s="380"/>
      <c r="AK133" s="440"/>
    </row>
    <row r="134" spans="1:37" ht="12" customHeight="1" x14ac:dyDescent="0.25">
      <c r="A134" s="440"/>
      <c r="B134" s="323"/>
      <c r="C134" s="380"/>
      <c r="D134" s="303" t="s">
        <v>43</v>
      </c>
      <c r="E134" s="1599" t="s">
        <v>42</v>
      </c>
      <c r="F134" s="1599"/>
      <c r="G134" s="1599"/>
      <c r="H134" s="1599"/>
      <c r="I134" s="1605"/>
      <c r="J134" s="497"/>
      <c r="K134" s="502"/>
      <c r="L134" s="502"/>
      <c r="M134" s="498"/>
      <c r="N134" s="359"/>
      <c r="O134" s="363"/>
      <c r="P134" s="363"/>
      <c r="Q134" s="363"/>
      <c r="R134" s="363"/>
      <c r="S134" s="365"/>
      <c r="T134" s="363"/>
      <c r="U134" s="375"/>
      <c r="V134" s="358"/>
      <c r="W134" s="1091"/>
      <c r="X134" s="1114"/>
      <c r="Y134" s="1104"/>
      <c r="Z134" s="363"/>
      <c r="AA134" s="375"/>
      <c r="AB134" s="358"/>
      <c r="AC134" s="1091"/>
      <c r="AD134" s="1114"/>
      <c r="AE134" s="1104"/>
      <c r="AF134" s="358"/>
      <c r="AG134" s="358"/>
      <c r="AH134" s="358"/>
      <c r="AI134" s="358"/>
      <c r="AJ134" s="380"/>
      <c r="AK134" s="440"/>
    </row>
    <row r="135" spans="1:37" ht="12" customHeight="1" x14ac:dyDescent="0.25">
      <c r="A135" s="440"/>
      <c r="B135" s="323"/>
      <c r="C135" s="380"/>
      <c r="D135" s="303"/>
      <c r="E135" s="303"/>
      <c r="F135" s="303"/>
      <c r="G135" s="303"/>
      <c r="H135" s="303"/>
      <c r="I135" s="497"/>
      <c r="J135" s="497"/>
      <c r="K135" s="502"/>
      <c r="L135" s="502"/>
      <c r="M135" s="339"/>
      <c r="N135" s="528" t="s">
        <v>304</v>
      </c>
      <c r="O135" s="339"/>
      <c r="P135" s="543" t="s">
        <v>305</v>
      </c>
      <c r="Q135" s="344">
        <f>17938.73*1.2</f>
        <v>21526.475999999999</v>
      </c>
      <c r="R135" s="522" t="s">
        <v>363</v>
      </c>
      <c r="S135" s="353">
        <f>(M135*O135)+Q135</f>
        <v>21526.475999999999</v>
      </c>
      <c r="T135" s="523"/>
      <c r="U135" s="350"/>
      <c r="V135" s="308"/>
      <c r="W135" s="1090" t="str">
        <f>IF(AND(V135&lt;&gt;0,U135&lt;&gt;0),"X","")</f>
        <v/>
      </c>
      <c r="X135" s="1103">
        <f>IFERROR(IF(W135="X",0,IF(U135&gt;0,U135,V135/S135)),0)</f>
        <v>0</v>
      </c>
      <c r="Y135" s="1120">
        <f>IFERROR(IF(W135="X",0,IF(V135&gt;0,V135,S135*U135)),0)</f>
        <v>0</v>
      </c>
      <c r="Z135" s="523"/>
      <c r="AA135" s="350"/>
      <c r="AB135" s="308"/>
      <c r="AC135" s="1090" t="str">
        <f>IF(AND(AB135&lt;&gt;0,AA135&lt;&gt;0),"X","")</f>
        <v/>
      </c>
      <c r="AD135" s="1103">
        <f>IFERROR(IF(AC135="X",0,IF(AA135&gt;0,AA135,AB135/S135)),0)</f>
        <v>0</v>
      </c>
      <c r="AE135" s="1120">
        <f>IFERROR(IF(AC135="X",0,IF(AB135&gt;0,AB135,S135*AA135)),0)</f>
        <v>0</v>
      </c>
      <c r="AF135" s="525"/>
      <c r="AG135" s="637">
        <v>50</v>
      </c>
      <c r="AH135" s="525"/>
      <c r="AI135" s="1086">
        <f>AG135</f>
        <v>50</v>
      </c>
      <c r="AJ135" s="380"/>
      <c r="AK135" s="440"/>
    </row>
    <row r="136" spans="1:37" ht="12" customHeight="1" x14ac:dyDescent="0.25">
      <c r="A136" s="440"/>
      <c r="B136" s="323"/>
      <c r="C136" s="380"/>
      <c r="D136" s="303" t="s">
        <v>41</v>
      </c>
      <c r="E136" s="1599" t="s">
        <v>40</v>
      </c>
      <c r="F136" s="1599"/>
      <c r="G136" s="1599"/>
      <c r="H136" s="1599"/>
      <c r="I136" s="1597"/>
      <c r="J136" s="497"/>
      <c r="K136" s="462"/>
      <c r="L136" s="462"/>
      <c r="M136" s="498"/>
      <c r="N136" s="361"/>
      <c r="O136" s="365"/>
      <c r="P136" s="365"/>
      <c r="Q136" s="365"/>
      <c r="R136" s="365"/>
      <c r="S136" s="354">
        <f>SUBTOTAL(109,S138:S141)</f>
        <v>45014.400000000001</v>
      </c>
      <c r="T136" s="363"/>
      <c r="U136" s="375"/>
      <c r="V136" s="358"/>
      <c r="W136" s="1091"/>
      <c r="X136" s="1114"/>
      <c r="Y136" s="1104"/>
      <c r="Z136" s="363"/>
      <c r="AA136" s="375"/>
      <c r="AB136" s="358"/>
      <c r="AC136" s="1091"/>
      <c r="AD136" s="1114"/>
      <c r="AE136" s="1104"/>
      <c r="AF136" s="358"/>
      <c r="AG136" s="358"/>
      <c r="AH136" s="358"/>
      <c r="AI136" s="358"/>
      <c r="AJ136" s="380"/>
      <c r="AK136" s="440"/>
    </row>
    <row r="137" spans="1:37" ht="12" customHeight="1" x14ac:dyDescent="0.25">
      <c r="A137" s="440"/>
      <c r="B137" s="323"/>
      <c r="C137" s="380"/>
      <c r="D137" s="303"/>
      <c r="E137" s="303"/>
      <c r="F137" s="303"/>
      <c r="G137" s="303"/>
      <c r="H137" s="303"/>
      <c r="I137" s="465"/>
      <c r="J137" s="1603" t="s">
        <v>452</v>
      </c>
      <c r="K137" s="1603"/>
      <c r="L137" s="462"/>
      <c r="M137" s="498"/>
      <c r="N137" s="361"/>
      <c r="O137" s="365"/>
      <c r="P137" s="365"/>
      <c r="Q137" s="365"/>
      <c r="R137" s="365"/>
      <c r="S137" s="354"/>
      <c r="T137" s="363"/>
      <c r="U137" s="375"/>
      <c r="V137" s="358"/>
      <c r="W137" s="1091"/>
      <c r="X137" s="1114"/>
      <c r="Y137" s="1104"/>
      <c r="Z137" s="363"/>
      <c r="AA137" s="375"/>
      <c r="AB137" s="358"/>
      <c r="AC137" s="1091"/>
      <c r="AD137" s="1114"/>
      <c r="AE137" s="1104"/>
      <c r="AF137" s="358"/>
      <c r="AG137" s="358"/>
      <c r="AH137" s="358"/>
      <c r="AI137" s="358"/>
      <c r="AJ137" s="380"/>
      <c r="AK137" s="440"/>
    </row>
    <row r="138" spans="1:37" ht="12" customHeight="1" x14ac:dyDescent="0.2">
      <c r="A138" s="440"/>
      <c r="B138" s="323"/>
      <c r="C138" s="380"/>
      <c r="D138" s="303"/>
      <c r="E138" s="303"/>
      <c r="F138" s="1085"/>
      <c r="G138" s="1264"/>
      <c r="H138" s="1264"/>
      <c r="I138" s="1265"/>
      <c r="J138" s="639"/>
      <c r="K138" s="520" t="s">
        <v>180</v>
      </c>
      <c r="L138" s="521"/>
      <c r="M138" s="340"/>
      <c r="N138" s="528" t="s">
        <v>67</v>
      </c>
      <c r="O138" s="339"/>
      <c r="P138" s="543" t="s">
        <v>68</v>
      </c>
      <c r="Q138" s="344"/>
      <c r="R138" s="522" t="s">
        <v>363</v>
      </c>
      <c r="S138" s="353">
        <f>(M138*O138)+Q138</f>
        <v>0</v>
      </c>
      <c r="T138" s="525"/>
      <c r="U138" s="350"/>
      <c r="V138" s="308"/>
      <c r="W138" s="1090" t="str">
        <f t="shared" ref="W138:W141" si="58">IF(AND(V138&lt;&gt;0,U138&lt;&gt;0),"X",IF(AND(V138&lt;&gt;0,U138=0),"A",IF(AND(V138=0,U138&lt;&gt;0),"P","")))</f>
        <v/>
      </c>
      <c r="X138" s="1103">
        <f>IFERROR(IF(W138="X",0,IF(U138&gt;0,U138,V138/S138)),0)</f>
        <v>0</v>
      </c>
      <c r="Y138" s="1120">
        <f>IFERROR(IF(W138="X",0,IF(V138&gt;0,V138,S138*U138)),0)</f>
        <v>0</v>
      </c>
      <c r="Z138" s="525"/>
      <c r="AA138" s="350"/>
      <c r="AB138" s="308"/>
      <c r="AC138" s="1090" t="str">
        <f t="shared" ref="AC138:AC141" si="59">IF(AND(AB138&lt;&gt;0,AA138&lt;&gt;0),"X",IF(AND(AB138&lt;&gt;0,AA138=0),"A",IF(AND(AB138=0,AA138&lt;&gt;0),"P","")))</f>
        <v/>
      </c>
      <c r="AD138" s="1103">
        <f>IFERROR(IF(AC138="X",0,IF(AA138&gt;0,AA138,AB138/S138)),0)</f>
        <v>0</v>
      </c>
      <c r="AE138" s="1120">
        <f>IFERROR(IF(AC138="X",0,IF(AB138&gt;0,AB138,S138*AA138)),0)</f>
        <v>0</v>
      </c>
      <c r="AF138" s="525"/>
      <c r="AG138" s="637"/>
      <c r="AH138" s="525"/>
      <c r="AI138" s="1086">
        <f t="shared" ref="AI138:AI141" si="60">AG138</f>
        <v>0</v>
      </c>
      <c r="AJ138" s="380"/>
      <c r="AK138" s="440"/>
    </row>
    <row r="139" spans="1:37" ht="12" customHeight="1" x14ac:dyDescent="0.2">
      <c r="A139" s="440"/>
      <c r="B139" s="323"/>
      <c r="C139" s="380"/>
      <c r="D139" s="303"/>
      <c r="E139" s="303"/>
      <c r="F139" s="1085" t="s">
        <v>749</v>
      </c>
      <c r="G139" s="1264"/>
      <c r="H139" s="1264"/>
      <c r="I139" s="1265"/>
      <c r="J139" s="638"/>
      <c r="K139" s="520" t="s">
        <v>180</v>
      </c>
      <c r="L139" s="521"/>
      <c r="M139" s="340"/>
      <c r="N139" s="528" t="s">
        <v>67</v>
      </c>
      <c r="O139" s="339"/>
      <c r="P139" s="543" t="s">
        <v>68</v>
      </c>
      <c r="Q139" s="344">
        <f>(36672+840)*1.2</f>
        <v>45014.400000000001</v>
      </c>
      <c r="R139" s="522" t="s">
        <v>363</v>
      </c>
      <c r="S139" s="353">
        <f>(M139*O139)+Q139</f>
        <v>45014.400000000001</v>
      </c>
      <c r="T139" s="525"/>
      <c r="U139" s="350"/>
      <c r="V139" s="308"/>
      <c r="W139" s="1090" t="str">
        <f t="shared" si="58"/>
        <v/>
      </c>
      <c r="X139" s="1103">
        <f>IFERROR(IF(W139="X",0,IF(U139&gt;0,U139,V139/S139)),0)</f>
        <v>0</v>
      </c>
      <c r="Y139" s="1120">
        <f>IFERROR(IF(W139="X",0,IF(V139&gt;0,V139,S139*U139)),0)</f>
        <v>0</v>
      </c>
      <c r="Z139" s="525"/>
      <c r="AA139" s="350"/>
      <c r="AB139" s="308"/>
      <c r="AC139" s="1090" t="str">
        <f t="shared" si="59"/>
        <v/>
      </c>
      <c r="AD139" s="1103">
        <f>IFERROR(IF(AC139="X",0,IF(AA139&gt;0,AA139,AB139/S139)),0)</f>
        <v>0</v>
      </c>
      <c r="AE139" s="1120">
        <f>IFERROR(IF(AC139="X",0,IF(AB139&gt;0,AB139,S139*AA139)),0)</f>
        <v>0</v>
      </c>
      <c r="AF139" s="525"/>
      <c r="AG139" s="637">
        <v>50</v>
      </c>
      <c r="AH139" s="525"/>
      <c r="AI139" s="1086">
        <f t="shared" si="60"/>
        <v>50</v>
      </c>
      <c r="AJ139" s="380"/>
      <c r="AK139" s="440"/>
    </row>
    <row r="140" spans="1:37" ht="12" customHeight="1" x14ac:dyDescent="0.2">
      <c r="A140" s="440"/>
      <c r="B140" s="323"/>
      <c r="C140" s="380"/>
      <c r="D140" s="303"/>
      <c r="E140" s="303"/>
      <c r="F140" s="1085"/>
      <c r="G140" s="1264"/>
      <c r="H140" s="1264"/>
      <c r="I140" s="1265"/>
      <c r="J140" s="638"/>
      <c r="K140" s="520" t="s">
        <v>180</v>
      </c>
      <c r="L140" s="552"/>
      <c r="M140" s="339"/>
      <c r="N140" s="528" t="s">
        <v>67</v>
      </c>
      <c r="O140" s="339"/>
      <c r="P140" s="543" t="s">
        <v>68</v>
      </c>
      <c r="Q140" s="344"/>
      <c r="R140" s="522" t="s">
        <v>363</v>
      </c>
      <c r="S140" s="353">
        <f>(M140*O140)+Q140</f>
        <v>0</v>
      </c>
      <c r="T140" s="525"/>
      <c r="U140" s="350"/>
      <c r="V140" s="308"/>
      <c r="W140" s="1090" t="str">
        <f t="shared" si="58"/>
        <v/>
      </c>
      <c r="X140" s="1103">
        <f>IFERROR(IF(W140="X",0,IF(U140&gt;0,U140,V140/S140)),0)</f>
        <v>0</v>
      </c>
      <c r="Y140" s="1120">
        <f>IFERROR(IF(W140="X",0,IF(V140&gt;0,V140,S140*U140)),0)</f>
        <v>0</v>
      </c>
      <c r="Z140" s="525"/>
      <c r="AA140" s="350"/>
      <c r="AB140" s="308"/>
      <c r="AC140" s="1090" t="str">
        <f t="shared" si="59"/>
        <v/>
      </c>
      <c r="AD140" s="1103">
        <f>IFERROR(IF(AC140="X",0,IF(AA140&gt;0,AA140,AB140/S140)),0)</f>
        <v>0</v>
      </c>
      <c r="AE140" s="1120">
        <f>IFERROR(IF(AC140="X",0,IF(AB140&gt;0,AB140,S140*AA140)),0)</f>
        <v>0</v>
      </c>
      <c r="AF140" s="525"/>
      <c r="AG140" s="637"/>
      <c r="AH140" s="525"/>
      <c r="AI140" s="1086">
        <f t="shared" si="60"/>
        <v>0</v>
      </c>
      <c r="AJ140" s="380"/>
      <c r="AK140" s="440"/>
    </row>
    <row r="141" spans="1:37" ht="12" customHeight="1" x14ac:dyDescent="0.2">
      <c r="A141" s="440"/>
      <c r="B141" s="323"/>
      <c r="C141" s="380"/>
      <c r="D141" s="303"/>
      <c r="E141" s="303"/>
      <c r="F141" s="1085"/>
      <c r="G141" s="1264"/>
      <c r="H141" s="1264"/>
      <c r="I141" s="1265"/>
      <c r="J141" s="638"/>
      <c r="K141" s="520" t="s">
        <v>180</v>
      </c>
      <c r="L141" s="552"/>
      <c r="M141" s="339"/>
      <c r="N141" s="528" t="s">
        <v>67</v>
      </c>
      <c r="O141" s="339"/>
      <c r="P141" s="543" t="s">
        <v>68</v>
      </c>
      <c r="Q141" s="344"/>
      <c r="R141" s="522" t="s">
        <v>363</v>
      </c>
      <c r="S141" s="353">
        <f>(M141*O141)+Q141</f>
        <v>0</v>
      </c>
      <c r="T141" s="525"/>
      <c r="U141" s="350"/>
      <c r="V141" s="308"/>
      <c r="W141" s="1090" t="str">
        <f t="shared" si="58"/>
        <v/>
      </c>
      <c r="X141" s="1103">
        <f>IFERROR(IF(W141="X",0,IF(U141&gt;0,U141,V141/S141)),0)</f>
        <v>0</v>
      </c>
      <c r="Y141" s="1120">
        <f>IFERROR(IF(W141="X",0,IF(V141&gt;0,V141,S141*U141)),0)</f>
        <v>0</v>
      </c>
      <c r="Z141" s="525"/>
      <c r="AA141" s="350"/>
      <c r="AB141" s="308"/>
      <c r="AC141" s="1090" t="str">
        <f t="shared" si="59"/>
        <v/>
      </c>
      <c r="AD141" s="1103">
        <f>IFERROR(IF(AC141="X",0,IF(AA141&gt;0,AA141,AB141/S141)),0)</f>
        <v>0</v>
      </c>
      <c r="AE141" s="1120">
        <f>IFERROR(IF(AC141="X",0,IF(AB141&gt;0,AB141,S141*AA141)),0)</f>
        <v>0</v>
      </c>
      <c r="AF141" s="525"/>
      <c r="AG141" s="637"/>
      <c r="AH141" s="525"/>
      <c r="AI141" s="1086">
        <f t="shared" si="60"/>
        <v>0</v>
      </c>
      <c r="AJ141" s="380"/>
      <c r="AK141" s="440"/>
    </row>
    <row r="142" spans="1:37" ht="14.25" customHeight="1" collapsed="1" x14ac:dyDescent="0.25">
      <c r="A142" s="440"/>
      <c r="B142" s="323"/>
      <c r="C142" s="386" t="s">
        <v>39</v>
      </c>
      <c r="D142" s="494"/>
      <c r="E142" s="1596" t="s">
        <v>38</v>
      </c>
      <c r="F142" s="1596"/>
      <c r="G142" s="1596"/>
      <c r="H142" s="1596"/>
      <c r="I142" s="1597"/>
      <c r="J142" s="497"/>
      <c r="K142" s="462"/>
      <c r="L142" s="462"/>
      <c r="M142" s="498"/>
      <c r="N142" s="359"/>
      <c r="O142" s="363"/>
      <c r="P142" s="363"/>
      <c r="Q142" s="363"/>
      <c r="R142" s="363"/>
      <c r="S142" s="355">
        <f>S143+S147+S151</f>
        <v>51422.400000000001</v>
      </c>
      <c r="T142" s="363"/>
      <c r="U142" s="375"/>
      <c r="V142" s="358"/>
      <c r="W142" s="1091"/>
      <c r="X142" s="1114"/>
      <c r="Y142" s="1104"/>
      <c r="Z142" s="363"/>
      <c r="AA142" s="375"/>
      <c r="AB142" s="358"/>
      <c r="AC142" s="1091"/>
      <c r="AD142" s="1114"/>
      <c r="AE142" s="1104"/>
      <c r="AF142" s="358"/>
      <c r="AG142" s="358"/>
      <c r="AH142" s="358"/>
      <c r="AI142" s="358"/>
      <c r="AJ142" s="380"/>
      <c r="AK142" s="440"/>
    </row>
    <row r="143" spans="1:37" ht="12" customHeight="1" x14ac:dyDescent="0.25">
      <c r="A143" s="440"/>
      <c r="B143" s="323"/>
      <c r="C143" s="380"/>
      <c r="D143" s="303" t="s">
        <v>37</v>
      </c>
      <c r="E143" s="1599" t="s">
        <v>36</v>
      </c>
      <c r="F143" s="1599"/>
      <c r="G143" s="1599"/>
      <c r="H143" s="1599"/>
      <c r="I143" s="1597"/>
      <c r="J143" s="497"/>
      <c r="K143" s="462"/>
      <c r="L143" s="462"/>
      <c r="M143" s="498"/>
      <c r="N143" s="359"/>
      <c r="O143" s="363"/>
      <c r="P143" s="363"/>
      <c r="Q143" s="363"/>
      <c r="R143" s="363"/>
      <c r="S143" s="354">
        <f>SUBTOTAL(109,S145:S146)</f>
        <v>51422.400000000001</v>
      </c>
      <c r="T143" s="363"/>
      <c r="U143" s="375"/>
      <c r="V143" s="358"/>
      <c r="W143" s="1091"/>
      <c r="X143" s="1114"/>
      <c r="Y143" s="1104"/>
      <c r="Z143" s="363"/>
      <c r="AA143" s="375"/>
      <c r="AB143" s="358"/>
      <c r="AC143" s="1091"/>
      <c r="AD143" s="1114"/>
      <c r="AE143" s="1104"/>
      <c r="AF143" s="358"/>
      <c r="AG143" s="358"/>
      <c r="AH143" s="358"/>
      <c r="AI143" s="358"/>
      <c r="AJ143" s="380"/>
      <c r="AK143" s="440"/>
    </row>
    <row r="144" spans="1:37" ht="12" customHeight="1" x14ac:dyDescent="0.25">
      <c r="A144" s="440"/>
      <c r="B144" s="323"/>
      <c r="C144" s="380"/>
      <c r="D144" s="303"/>
      <c r="E144" s="303"/>
      <c r="F144" s="303"/>
      <c r="G144" s="303"/>
      <c r="H144" s="303"/>
      <c r="I144" s="465"/>
      <c r="J144" s="1603"/>
      <c r="K144" s="1603"/>
      <c r="L144" s="462"/>
      <c r="M144" s="498"/>
      <c r="N144" s="359"/>
      <c r="O144" s="363"/>
      <c r="P144" s="363"/>
      <c r="Q144" s="363"/>
      <c r="R144" s="363"/>
      <c r="S144" s="354"/>
      <c r="T144" s="363"/>
      <c r="U144" s="375"/>
      <c r="V144" s="358"/>
      <c r="W144" s="1091"/>
      <c r="X144" s="1114"/>
      <c r="Y144" s="1104"/>
      <c r="Z144" s="363"/>
      <c r="AA144" s="375"/>
      <c r="AB144" s="358"/>
      <c r="AC144" s="1091"/>
      <c r="AD144" s="1114"/>
      <c r="AE144" s="1104"/>
      <c r="AF144" s="358"/>
      <c r="AG144" s="358"/>
      <c r="AH144" s="358"/>
      <c r="AI144" s="358"/>
      <c r="AJ144" s="380"/>
      <c r="AK144" s="440"/>
    </row>
    <row r="145" spans="1:37" ht="12" customHeight="1" x14ac:dyDescent="0.2">
      <c r="A145" s="440"/>
      <c r="B145" s="323"/>
      <c r="C145" s="380"/>
      <c r="D145" s="303"/>
      <c r="E145" s="303"/>
      <c r="F145" s="1085" t="s">
        <v>869</v>
      </c>
      <c r="G145" s="1264"/>
      <c r="H145" s="1264"/>
      <c r="I145" s="1265"/>
      <c r="J145" s="638"/>
      <c r="K145" s="520"/>
      <c r="L145" s="521"/>
      <c r="M145" s="340"/>
      <c r="N145" s="553" t="s">
        <v>71</v>
      </c>
      <c r="O145" s="339"/>
      <c r="P145" s="524" t="s">
        <v>72</v>
      </c>
      <c r="Q145" s="344">
        <f>5700*1.2</f>
        <v>6840</v>
      </c>
      <c r="R145" s="522" t="s">
        <v>363</v>
      </c>
      <c r="S145" s="353">
        <f>(M145*O145)+Q145</f>
        <v>6840</v>
      </c>
      <c r="T145" s="525"/>
      <c r="U145" s="350"/>
      <c r="V145" s="308"/>
      <c r="W145" s="1090" t="str">
        <f t="shared" ref="W145:W146" si="61">IF(AND(V145&lt;&gt;0,U145&lt;&gt;0),"X",IF(AND(V145&lt;&gt;0,U145=0),"A",IF(AND(V145=0,U145&lt;&gt;0),"P","")))</f>
        <v/>
      </c>
      <c r="X145" s="1103">
        <f>IFERROR(IF(W145="X",0,IF(U145&gt;0,U145,V145/S145)),0)</f>
        <v>0</v>
      </c>
      <c r="Y145" s="1120">
        <f>IFERROR(IF(W145="X",0,IF(V145&gt;0,V145,S145*U145)),0)</f>
        <v>0</v>
      </c>
      <c r="Z145" s="525"/>
      <c r="AA145" s="350"/>
      <c r="AB145" s="308"/>
      <c r="AC145" s="1090" t="str">
        <f t="shared" ref="AC145:AC146" si="62">IF(AND(AB145&lt;&gt;0,AA145&lt;&gt;0),"X",IF(AND(AB145&lt;&gt;0,AA145=0),"A",IF(AND(AB145=0,AA145&lt;&gt;0),"P","")))</f>
        <v/>
      </c>
      <c r="AD145" s="1103">
        <f>IFERROR(IF(AC145="X",0,IF(AA145&gt;0,AA145,AB145/S145)),0)</f>
        <v>0</v>
      </c>
      <c r="AE145" s="1120">
        <f>IFERROR(IF(AC145="X",0,IF(AB145&gt;0,AB145,S145*AA145)),0)</f>
        <v>0</v>
      </c>
      <c r="AF145" s="525"/>
      <c r="AG145" s="637">
        <v>15</v>
      </c>
      <c r="AH145" s="525"/>
      <c r="AI145" s="1086">
        <f t="shared" ref="AI145:AI146" si="63">AG145</f>
        <v>15</v>
      </c>
      <c r="AJ145" s="380"/>
      <c r="AK145" s="440"/>
    </row>
    <row r="146" spans="1:37" ht="12" customHeight="1" x14ac:dyDescent="0.2">
      <c r="A146" s="440"/>
      <c r="B146" s="323"/>
      <c r="C146" s="380"/>
      <c r="D146" s="303"/>
      <c r="E146" s="303"/>
      <c r="F146" s="1085" t="s">
        <v>750</v>
      </c>
      <c r="G146" s="1264"/>
      <c r="H146" s="1264"/>
      <c r="I146" s="1265"/>
      <c r="J146" s="638"/>
      <c r="K146" s="520"/>
      <c r="L146" s="521"/>
      <c r="M146" s="340"/>
      <c r="N146" s="553" t="s">
        <v>71</v>
      </c>
      <c r="O146" s="339"/>
      <c r="P146" s="524" t="s">
        <v>72</v>
      </c>
      <c r="Q146" s="344">
        <f>37152*1.2</f>
        <v>44582.400000000001</v>
      </c>
      <c r="R146" s="522" t="s">
        <v>363</v>
      </c>
      <c r="S146" s="353">
        <f>(M146*O146)+Q146</f>
        <v>44582.400000000001</v>
      </c>
      <c r="T146" s="525"/>
      <c r="U146" s="350"/>
      <c r="V146" s="308"/>
      <c r="W146" s="1090" t="str">
        <f t="shared" si="61"/>
        <v/>
      </c>
      <c r="X146" s="1103">
        <f>IFERROR(IF(W146="X",0,IF(U146&gt;0,U146,V146/S146)),0)</f>
        <v>0</v>
      </c>
      <c r="Y146" s="1120">
        <f>IFERROR(IF(W146="X",0,IF(V146&gt;0,V146,S146*U146)),0)</f>
        <v>0</v>
      </c>
      <c r="Z146" s="525"/>
      <c r="AA146" s="350"/>
      <c r="AB146" s="308">
        <v>1390</v>
      </c>
      <c r="AC146" s="1090" t="str">
        <f t="shared" si="62"/>
        <v>A</v>
      </c>
      <c r="AD146" s="1103">
        <f>IFERROR(IF(AC146="X",0,IF(AA146&gt;0,AA146,AB146/S146)),0)</f>
        <v>3.117822279643985E-2</v>
      </c>
      <c r="AE146" s="1120">
        <f>IFERROR(IF(AC146="X",0,IF(AB146&gt;0,AB146,S146*AA146)),0)</f>
        <v>1390</v>
      </c>
      <c r="AF146" s="525"/>
      <c r="AG146" s="637">
        <v>50</v>
      </c>
      <c r="AH146" s="525"/>
      <c r="AI146" s="1086">
        <f t="shared" si="63"/>
        <v>50</v>
      </c>
      <c r="AJ146" s="380"/>
      <c r="AK146" s="440"/>
    </row>
    <row r="147" spans="1:37" ht="12" customHeight="1" x14ac:dyDescent="0.25">
      <c r="A147" s="440"/>
      <c r="B147" s="323"/>
      <c r="C147" s="380"/>
      <c r="D147" s="303" t="s">
        <v>35</v>
      </c>
      <c r="E147" s="1599" t="s">
        <v>194</v>
      </c>
      <c r="F147" s="1599"/>
      <c r="G147" s="1599"/>
      <c r="H147" s="1599"/>
      <c r="I147" s="1597"/>
      <c r="J147" s="497"/>
      <c r="K147" s="462"/>
      <c r="L147" s="462"/>
      <c r="M147" s="498"/>
      <c r="N147" s="359"/>
      <c r="O147" s="365"/>
      <c r="P147" s="363"/>
      <c r="Q147" s="363"/>
      <c r="R147" s="363"/>
      <c r="S147" s="354">
        <f>SUBTOTAL(109,S149:S150)</f>
        <v>0</v>
      </c>
      <c r="T147" s="363"/>
      <c r="U147" s="376"/>
      <c r="V147" s="365"/>
      <c r="W147" s="1093"/>
      <c r="X147" s="1115"/>
      <c r="Y147" s="1122"/>
      <c r="Z147" s="363"/>
      <c r="AA147" s="376"/>
      <c r="AB147" s="365"/>
      <c r="AC147" s="1093"/>
      <c r="AD147" s="1115"/>
      <c r="AE147" s="1122"/>
      <c r="AF147" s="363"/>
      <c r="AG147" s="363"/>
      <c r="AH147" s="363"/>
      <c r="AI147" s="358"/>
      <c r="AJ147" s="380"/>
      <c r="AK147" s="440"/>
    </row>
    <row r="148" spans="1:37" ht="12" customHeight="1" x14ac:dyDescent="0.25">
      <c r="A148" s="440"/>
      <c r="B148" s="323"/>
      <c r="C148" s="380"/>
      <c r="D148" s="303"/>
      <c r="E148" s="303"/>
      <c r="F148" s="303"/>
      <c r="G148" s="303"/>
      <c r="H148" s="303"/>
      <c r="I148" s="465"/>
      <c r="J148" s="1603"/>
      <c r="K148" s="1603"/>
      <c r="L148" s="462"/>
      <c r="M148" s="498"/>
      <c r="N148" s="359"/>
      <c r="O148" s="365"/>
      <c r="P148" s="363"/>
      <c r="Q148" s="363"/>
      <c r="R148" s="363"/>
      <c r="S148" s="354"/>
      <c r="T148" s="363"/>
      <c r="U148" s="376"/>
      <c r="V148" s="365"/>
      <c r="W148" s="1093"/>
      <c r="X148" s="1115"/>
      <c r="Y148" s="1122"/>
      <c r="Z148" s="363"/>
      <c r="AA148" s="376"/>
      <c r="AB148" s="365"/>
      <c r="AC148" s="1093"/>
      <c r="AD148" s="1115"/>
      <c r="AE148" s="1122"/>
      <c r="AF148" s="363"/>
      <c r="AG148" s="363"/>
      <c r="AH148" s="363"/>
      <c r="AI148" s="358"/>
      <c r="AJ148" s="380"/>
      <c r="AK148" s="440"/>
    </row>
    <row r="149" spans="1:37" ht="12" customHeight="1" x14ac:dyDescent="0.2">
      <c r="A149" s="440"/>
      <c r="B149" s="323"/>
      <c r="C149" s="554"/>
      <c r="D149" s="303"/>
      <c r="E149" s="303"/>
      <c r="F149" s="1085"/>
      <c r="G149" s="1264"/>
      <c r="H149" s="1264"/>
      <c r="I149" s="1265"/>
      <c r="J149" s="638"/>
      <c r="K149" s="520"/>
      <c r="L149" s="521"/>
      <c r="M149" s="340"/>
      <c r="N149" s="553" t="s">
        <v>71</v>
      </c>
      <c r="O149" s="339"/>
      <c r="P149" s="524" t="s">
        <v>72</v>
      </c>
      <c r="Q149" s="344"/>
      <c r="R149" s="522" t="s">
        <v>363</v>
      </c>
      <c r="S149" s="353">
        <f>(M149*O149)+Q149</f>
        <v>0</v>
      </c>
      <c r="T149" s="525"/>
      <c r="U149" s="350"/>
      <c r="V149" s="308"/>
      <c r="W149" s="1090" t="str">
        <f t="shared" ref="W149:W150" si="64">IF(AND(V149&lt;&gt;0,U149&lt;&gt;0),"X",IF(AND(V149&lt;&gt;0,U149=0),"A",IF(AND(V149=0,U149&lt;&gt;0),"P","")))</f>
        <v/>
      </c>
      <c r="X149" s="1103">
        <f>IFERROR(IF(W149="X",0,IF(U149&gt;0,U149,V149/S149)),0)</f>
        <v>0</v>
      </c>
      <c r="Y149" s="1120">
        <f>IFERROR(IF(W149="X",0,IF(V149&gt;0,V149,S149*U149)),0)</f>
        <v>0</v>
      </c>
      <c r="Z149" s="525"/>
      <c r="AA149" s="350"/>
      <c r="AB149" s="308"/>
      <c r="AC149" s="1090" t="str">
        <f t="shared" ref="AC149:AC150" si="65">IF(AND(AB149&lt;&gt;0,AA149&lt;&gt;0),"X",IF(AND(AB149&lt;&gt;0,AA149=0),"A",IF(AND(AB149=0,AA149&lt;&gt;0),"P","")))</f>
        <v/>
      </c>
      <c r="AD149" s="1103">
        <f>IFERROR(IF(AC149="X",0,IF(AA149&gt;0,AA149,AB149/S149)),0)</f>
        <v>0</v>
      </c>
      <c r="AE149" s="1120">
        <f>IFERROR(IF(AC149="X",0,IF(AB149&gt;0,AB149,S149*AA149)),0)</f>
        <v>0</v>
      </c>
      <c r="AF149" s="525"/>
      <c r="AG149" s="637"/>
      <c r="AH149" s="525"/>
      <c r="AI149" s="1086">
        <f t="shared" ref="AI149:AI150" si="66">AG149</f>
        <v>0</v>
      </c>
      <c r="AJ149" s="380"/>
      <c r="AK149" s="440"/>
    </row>
    <row r="150" spans="1:37" ht="12" customHeight="1" x14ac:dyDescent="0.2">
      <c r="A150" s="440"/>
      <c r="B150" s="323"/>
      <c r="C150" s="554"/>
      <c r="D150" s="303"/>
      <c r="E150" s="303"/>
      <c r="F150" s="1085"/>
      <c r="G150" s="1264"/>
      <c r="H150" s="1264"/>
      <c r="I150" s="1265"/>
      <c r="J150" s="638"/>
      <c r="K150" s="520"/>
      <c r="L150" s="521"/>
      <c r="M150" s="340"/>
      <c r="N150" s="553" t="s">
        <v>71</v>
      </c>
      <c r="O150" s="339"/>
      <c r="P150" s="524" t="s">
        <v>72</v>
      </c>
      <c r="Q150" s="344"/>
      <c r="R150" s="522" t="s">
        <v>363</v>
      </c>
      <c r="S150" s="353">
        <f>(M150*O150)+Q150</f>
        <v>0</v>
      </c>
      <c r="T150" s="525"/>
      <c r="U150" s="350"/>
      <c r="V150" s="308"/>
      <c r="W150" s="1090" t="str">
        <f t="shared" si="64"/>
        <v/>
      </c>
      <c r="X150" s="1103">
        <f>IFERROR(IF(W150="X",0,IF(U150&gt;0,U150,V150/S150)),0)</f>
        <v>0</v>
      </c>
      <c r="Y150" s="1120">
        <f>IFERROR(IF(W150="X",0,IF(V150&gt;0,V150,S150*U150)),0)</f>
        <v>0</v>
      </c>
      <c r="Z150" s="525"/>
      <c r="AA150" s="350"/>
      <c r="AB150" s="308"/>
      <c r="AC150" s="1090" t="str">
        <f t="shared" si="65"/>
        <v/>
      </c>
      <c r="AD150" s="1103">
        <f>IFERROR(IF(AC150="X",0,IF(AA150&gt;0,AA150,AB150/S150)),0)</f>
        <v>0</v>
      </c>
      <c r="AE150" s="1120">
        <f>IFERROR(IF(AC150="X",0,IF(AB150&gt;0,AB150,S150*AA150)),0)</f>
        <v>0</v>
      </c>
      <c r="AF150" s="525"/>
      <c r="AG150" s="637"/>
      <c r="AH150" s="525"/>
      <c r="AI150" s="1086">
        <f t="shared" si="66"/>
        <v>0</v>
      </c>
      <c r="AJ150" s="380"/>
      <c r="AK150" s="440"/>
    </row>
    <row r="151" spans="1:37" ht="12" customHeight="1" x14ac:dyDescent="0.2">
      <c r="A151" s="440"/>
      <c r="B151" s="323"/>
      <c r="C151" s="554"/>
      <c r="D151" s="303" t="s">
        <v>327</v>
      </c>
      <c r="E151" s="1607" t="s">
        <v>307</v>
      </c>
      <c r="F151" s="1607"/>
      <c r="G151" s="1607"/>
      <c r="H151" s="1607"/>
      <c r="I151" s="1607"/>
      <c r="J151" s="519"/>
      <c r="K151" s="503"/>
      <c r="L151" s="503"/>
      <c r="M151" s="498"/>
      <c r="N151" s="359"/>
      <c r="O151" s="365"/>
      <c r="P151" s="363"/>
      <c r="Q151" s="363"/>
      <c r="R151" s="363"/>
      <c r="S151" s="354">
        <f>SUBTOTAL(109,S153:S154)</f>
        <v>0</v>
      </c>
      <c r="T151" s="363"/>
      <c r="U151" s="376"/>
      <c r="V151" s="365"/>
      <c r="W151" s="1093"/>
      <c r="X151" s="1115"/>
      <c r="Y151" s="1122"/>
      <c r="Z151" s="363"/>
      <c r="AA151" s="376"/>
      <c r="AB151" s="365"/>
      <c r="AC151" s="1093"/>
      <c r="AD151" s="1115"/>
      <c r="AE151" s="1122"/>
      <c r="AF151" s="363"/>
      <c r="AG151" s="363"/>
      <c r="AH151" s="363"/>
      <c r="AI151" s="358"/>
      <c r="AJ151" s="380"/>
      <c r="AK151" s="440"/>
    </row>
    <row r="152" spans="1:37" ht="12" customHeight="1" x14ac:dyDescent="0.2">
      <c r="A152" s="440"/>
      <c r="B152" s="323"/>
      <c r="C152" s="554"/>
      <c r="D152" s="303"/>
      <c r="E152" s="539"/>
      <c r="F152" s="539"/>
      <c r="G152" s="539"/>
      <c r="H152" s="539"/>
      <c r="I152" s="539"/>
      <c r="J152" s="1603"/>
      <c r="K152" s="1603"/>
      <c r="L152" s="503"/>
      <c r="M152" s="498"/>
      <c r="N152" s="359"/>
      <c r="O152" s="365"/>
      <c r="P152" s="363"/>
      <c r="Q152" s="363"/>
      <c r="R152" s="363"/>
      <c r="S152" s="354"/>
      <c r="T152" s="363"/>
      <c r="U152" s="376"/>
      <c r="V152" s="365"/>
      <c r="W152" s="1093"/>
      <c r="X152" s="1115"/>
      <c r="Y152" s="1122"/>
      <c r="Z152" s="363"/>
      <c r="AA152" s="376"/>
      <c r="AB152" s="365"/>
      <c r="AC152" s="1093"/>
      <c r="AD152" s="1115"/>
      <c r="AE152" s="1122"/>
      <c r="AF152" s="363"/>
      <c r="AG152" s="363"/>
      <c r="AH152" s="363"/>
      <c r="AI152" s="358"/>
      <c r="AJ152" s="380"/>
      <c r="AK152" s="440"/>
    </row>
    <row r="153" spans="1:37" ht="12" customHeight="1" x14ac:dyDescent="0.2">
      <c r="A153" s="440"/>
      <c r="B153" s="323"/>
      <c r="C153" s="554"/>
      <c r="D153" s="303"/>
      <c r="E153" s="303"/>
      <c r="F153" s="1085"/>
      <c r="G153" s="1264"/>
      <c r="H153" s="1264"/>
      <c r="I153" s="1265"/>
      <c r="J153" s="638"/>
      <c r="K153" s="520"/>
      <c r="L153" s="521"/>
      <c r="M153" s="340"/>
      <c r="N153" s="553" t="s">
        <v>71</v>
      </c>
      <c r="O153" s="339"/>
      <c r="P153" s="524" t="s">
        <v>72</v>
      </c>
      <c r="Q153" s="344"/>
      <c r="R153" s="522" t="s">
        <v>363</v>
      </c>
      <c r="S153" s="353">
        <f>(M153*O153)+Q153</f>
        <v>0</v>
      </c>
      <c r="T153" s="525"/>
      <c r="U153" s="350"/>
      <c r="V153" s="308"/>
      <c r="W153" s="1090" t="str">
        <f t="shared" ref="W153:W154" si="67">IF(AND(V153&lt;&gt;0,U153&lt;&gt;0),"X",IF(AND(V153&lt;&gt;0,U153=0),"A",IF(AND(V153=0,U153&lt;&gt;0),"P","")))</f>
        <v/>
      </c>
      <c r="X153" s="1103">
        <f>IFERROR(IF(W153="X",0,IF(U153&gt;0,U153,V153/S153)),0)</f>
        <v>0</v>
      </c>
      <c r="Y153" s="1120">
        <f>IFERROR(IF(W153="X",0,IF(V153&gt;0,V153,S153*U153)),0)</f>
        <v>0</v>
      </c>
      <c r="Z153" s="525"/>
      <c r="AA153" s="350"/>
      <c r="AB153" s="308"/>
      <c r="AC153" s="1090" t="str">
        <f t="shared" ref="AC153:AC154" si="68">IF(AND(AB153&lt;&gt;0,AA153&lt;&gt;0),"X",IF(AND(AB153&lt;&gt;0,AA153=0),"A",IF(AND(AB153=0,AA153&lt;&gt;0),"P","")))</f>
        <v/>
      </c>
      <c r="AD153" s="1103">
        <f>IFERROR(IF(AC153="X",0,IF(AA153&gt;0,AA153,AB153/S153)),0)</f>
        <v>0</v>
      </c>
      <c r="AE153" s="1120">
        <f>IFERROR(IF(AC153="X",0,IF(AB153&gt;0,AB153,S153*AA153)),0)</f>
        <v>0</v>
      </c>
      <c r="AF153" s="525"/>
      <c r="AG153" s="637"/>
      <c r="AH153" s="525"/>
      <c r="AI153" s="1086">
        <f t="shared" ref="AI153:AI154" si="69">AG153</f>
        <v>0</v>
      </c>
      <c r="AJ153" s="380"/>
      <c r="AK153" s="440"/>
    </row>
    <row r="154" spans="1:37" ht="12" customHeight="1" x14ac:dyDescent="0.2">
      <c r="A154" s="440"/>
      <c r="B154" s="323"/>
      <c r="C154" s="554"/>
      <c r="D154" s="303"/>
      <c r="E154" s="303"/>
      <c r="F154" s="1085"/>
      <c r="G154" s="1264"/>
      <c r="H154" s="1264"/>
      <c r="I154" s="1265"/>
      <c r="J154" s="638"/>
      <c r="K154" s="520"/>
      <c r="L154" s="521"/>
      <c r="M154" s="340"/>
      <c r="N154" s="553" t="s">
        <v>71</v>
      </c>
      <c r="O154" s="339"/>
      <c r="P154" s="524" t="s">
        <v>72</v>
      </c>
      <c r="Q154" s="344"/>
      <c r="R154" s="522" t="s">
        <v>363</v>
      </c>
      <c r="S154" s="353">
        <f>(M154*O154)+Q154</f>
        <v>0</v>
      </c>
      <c r="T154" s="525"/>
      <c r="U154" s="350"/>
      <c r="V154" s="308"/>
      <c r="W154" s="1090" t="str">
        <f t="shared" si="67"/>
        <v/>
      </c>
      <c r="X154" s="1103">
        <f>IFERROR(IF(W154="X",0,IF(U154&gt;0,U154,V154/S154)),0)</f>
        <v>0</v>
      </c>
      <c r="Y154" s="1120">
        <f>IFERROR(IF(W154="X",0,IF(V154&gt;0,V154,S154*U154)),0)</f>
        <v>0</v>
      </c>
      <c r="Z154" s="525"/>
      <c r="AA154" s="350"/>
      <c r="AB154" s="308"/>
      <c r="AC154" s="1090" t="str">
        <f t="shared" si="68"/>
        <v/>
      </c>
      <c r="AD154" s="1103">
        <f>IFERROR(IF(AC154="X",0,IF(AA154&gt;0,AA154,AB154/S154)),0)</f>
        <v>0</v>
      </c>
      <c r="AE154" s="1120">
        <f>IFERROR(IF(AC154="X",0,IF(AB154&gt;0,AB154,S154*AA154)),0)</f>
        <v>0</v>
      </c>
      <c r="AF154" s="525"/>
      <c r="AG154" s="637"/>
      <c r="AH154" s="525"/>
      <c r="AI154" s="1086">
        <f t="shared" si="69"/>
        <v>0</v>
      </c>
      <c r="AJ154" s="380"/>
      <c r="AK154" s="440"/>
    </row>
    <row r="155" spans="1:37" ht="14.25" customHeight="1" collapsed="1" x14ac:dyDescent="0.25">
      <c r="A155" s="440"/>
      <c r="B155" s="323"/>
      <c r="C155" s="386" t="s">
        <v>34</v>
      </c>
      <c r="D155" s="494"/>
      <c r="E155" s="1596" t="s">
        <v>33</v>
      </c>
      <c r="F155" s="1596"/>
      <c r="G155" s="1596"/>
      <c r="H155" s="1596"/>
      <c r="I155" s="1597"/>
      <c r="J155" s="497"/>
      <c r="K155" s="462"/>
      <c r="L155" s="462"/>
      <c r="M155" s="498"/>
      <c r="N155" s="359"/>
      <c r="O155" s="365"/>
      <c r="P155" s="363"/>
      <c r="Q155" s="363"/>
      <c r="R155" s="363"/>
      <c r="S155" s="355">
        <f>S156+S163</f>
        <v>0</v>
      </c>
      <c r="T155" s="363"/>
      <c r="U155" s="375"/>
      <c r="V155" s="361"/>
      <c r="W155" s="1091"/>
      <c r="X155" s="1114"/>
      <c r="Y155" s="1121"/>
      <c r="Z155" s="363"/>
      <c r="AA155" s="375"/>
      <c r="AB155" s="361"/>
      <c r="AC155" s="1091"/>
      <c r="AD155" s="1114"/>
      <c r="AE155" s="1121"/>
      <c r="AF155" s="358"/>
      <c r="AG155" s="358"/>
      <c r="AH155" s="358"/>
      <c r="AI155" s="358"/>
      <c r="AJ155" s="380"/>
      <c r="AK155" s="440"/>
    </row>
    <row r="156" spans="1:37" ht="12" customHeight="1" x14ac:dyDescent="0.25">
      <c r="A156" s="440"/>
      <c r="B156" s="323"/>
      <c r="C156" s="380"/>
      <c r="D156" s="303" t="s">
        <v>32</v>
      </c>
      <c r="E156" s="1599" t="s">
        <v>31</v>
      </c>
      <c r="F156" s="1599"/>
      <c r="G156" s="1599"/>
      <c r="H156" s="1599"/>
      <c r="I156" s="1597"/>
      <c r="J156" s="497"/>
      <c r="K156" s="462"/>
      <c r="L156" s="462"/>
      <c r="M156" s="498"/>
      <c r="N156" s="359"/>
      <c r="O156" s="365"/>
      <c r="P156" s="363"/>
      <c r="Q156" s="363"/>
      <c r="R156" s="363"/>
      <c r="S156" s="354">
        <f>SUBTOTAL(109,S158:S161)</f>
        <v>0</v>
      </c>
      <c r="T156" s="363"/>
      <c r="U156" s="375"/>
      <c r="V156" s="361"/>
      <c r="W156" s="1091"/>
      <c r="X156" s="1114"/>
      <c r="Y156" s="1121"/>
      <c r="Z156" s="363"/>
      <c r="AA156" s="375"/>
      <c r="AB156" s="361"/>
      <c r="AC156" s="1091"/>
      <c r="AD156" s="1114"/>
      <c r="AE156" s="1121"/>
      <c r="AF156" s="358"/>
      <c r="AG156" s="358"/>
      <c r="AH156" s="358"/>
      <c r="AI156" s="358"/>
      <c r="AJ156" s="380"/>
      <c r="AK156" s="440"/>
    </row>
    <row r="157" spans="1:37" ht="12" customHeight="1" x14ac:dyDescent="0.25">
      <c r="A157" s="440"/>
      <c r="B157" s="323"/>
      <c r="C157" s="380"/>
      <c r="D157" s="303"/>
      <c r="E157" s="303"/>
      <c r="F157" s="303"/>
      <c r="G157" s="303"/>
      <c r="H157" s="303"/>
      <c r="I157" s="465"/>
      <c r="J157" s="1603" t="s">
        <v>188</v>
      </c>
      <c r="K157" s="1603"/>
      <c r="L157" s="462"/>
      <c r="M157" s="498"/>
      <c r="N157" s="359"/>
      <c r="O157" s="365"/>
      <c r="P157" s="363"/>
      <c r="Q157" s="363"/>
      <c r="R157" s="363"/>
      <c r="S157" s="354"/>
      <c r="T157" s="363"/>
      <c r="U157" s="375"/>
      <c r="V157" s="361"/>
      <c r="W157" s="1091"/>
      <c r="X157" s="1114"/>
      <c r="Y157" s="1121"/>
      <c r="Z157" s="363"/>
      <c r="AA157" s="375"/>
      <c r="AB157" s="361"/>
      <c r="AC157" s="1091"/>
      <c r="AD157" s="1114"/>
      <c r="AE157" s="1121"/>
      <c r="AF157" s="358"/>
      <c r="AG157" s="358"/>
      <c r="AH157" s="358"/>
      <c r="AI157" s="358"/>
      <c r="AJ157" s="380"/>
      <c r="AK157" s="440"/>
    </row>
    <row r="158" spans="1:37" ht="12" customHeight="1" x14ac:dyDescent="0.2">
      <c r="A158" s="440"/>
      <c r="B158" s="323"/>
      <c r="C158" s="380"/>
      <c r="D158" s="303"/>
      <c r="E158" s="303"/>
      <c r="F158" s="1085"/>
      <c r="G158" s="1264"/>
      <c r="H158" s="1264"/>
      <c r="I158" s="1265"/>
      <c r="J158" s="638"/>
      <c r="K158" s="550" t="s">
        <v>179</v>
      </c>
      <c r="L158" s="551"/>
      <c r="M158" s="340"/>
      <c r="N158" s="553" t="s">
        <v>559</v>
      </c>
      <c r="O158" s="339"/>
      <c r="P158" s="524" t="s">
        <v>560</v>
      </c>
      <c r="Q158" s="344"/>
      <c r="R158" s="522" t="s">
        <v>363</v>
      </c>
      <c r="S158" s="353">
        <f>(M158*O158)+Q158</f>
        <v>0</v>
      </c>
      <c r="T158" s="525"/>
      <c r="U158" s="350"/>
      <c r="V158" s="307"/>
      <c r="W158" s="1090" t="str">
        <f t="shared" ref="W158:W161" si="70">IF(AND(V158&lt;&gt;0,U158&lt;&gt;0),"X",IF(AND(V158&lt;&gt;0,U158=0),"A",IF(AND(V158=0,U158&lt;&gt;0),"P","")))</f>
        <v/>
      </c>
      <c r="X158" s="1103">
        <f>IFERROR(IF(W158="X",0,IF(U158&gt;0,U158,V158/S158)),0)</f>
        <v>0</v>
      </c>
      <c r="Y158" s="1120">
        <f>IFERROR(IF(W158="X",0,IF(V158&gt;0,V158,S158*U158)),0)</f>
        <v>0</v>
      </c>
      <c r="Z158" s="525"/>
      <c r="AA158" s="350"/>
      <c r="AB158" s="307"/>
      <c r="AC158" s="1090" t="str">
        <f t="shared" ref="AC158:AC161" si="71">IF(AND(AB158&lt;&gt;0,AA158&lt;&gt;0),"X",IF(AND(AB158&lt;&gt;0,AA158=0),"A",IF(AND(AB158=0,AA158&lt;&gt;0),"P","")))</f>
        <v/>
      </c>
      <c r="AD158" s="1103">
        <f>IFERROR(IF(AC158="X",0,IF(AA158&gt;0,AA158,AB158/S158)),0)</f>
        <v>0</v>
      </c>
      <c r="AE158" s="1120">
        <f>IFERROR(IF(AC158="X",0,IF(AB158&gt;0,AB158,S158*AA158)),0)</f>
        <v>0</v>
      </c>
      <c r="AF158" s="525"/>
      <c r="AG158" s="637"/>
      <c r="AH158" s="525"/>
      <c r="AI158" s="1086">
        <f t="shared" ref="AI158:AI161" si="72">AG158</f>
        <v>0</v>
      </c>
      <c r="AJ158" s="380"/>
      <c r="AK158" s="440"/>
    </row>
    <row r="159" spans="1:37" ht="12" customHeight="1" x14ac:dyDescent="0.2">
      <c r="A159" s="440"/>
      <c r="B159" s="751"/>
      <c r="C159" s="380"/>
      <c r="D159" s="750"/>
      <c r="E159" s="750"/>
      <c r="F159" s="1085"/>
      <c r="G159" s="1264"/>
      <c r="H159" s="1264"/>
      <c r="I159" s="1265"/>
      <c r="J159" s="638"/>
      <c r="K159" s="550" t="s">
        <v>179</v>
      </c>
      <c r="L159" s="551"/>
      <c r="M159" s="340"/>
      <c r="N159" s="553" t="s">
        <v>69</v>
      </c>
      <c r="O159" s="339"/>
      <c r="P159" s="524" t="s">
        <v>70</v>
      </c>
      <c r="Q159" s="344"/>
      <c r="R159" s="522" t="s">
        <v>363</v>
      </c>
      <c r="S159" s="353">
        <f t="shared" ref="S159:S160" si="73">(M159*O159)+Q159</f>
        <v>0</v>
      </c>
      <c r="T159" s="525"/>
      <c r="U159" s="350"/>
      <c r="V159" s="307"/>
      <c r="W159" s="1090" t="str">
        <f t="shared" si="70"/>
        <v/>
      </c>
      <c r="X159" s="1103">
        <f t="shared" ref="X159:X160" si="74">IFERROR(IF(W159="X",0,IF(U159&gt;0,U159,V159/S159)),0)</f>
        <v>0</v>
      </c>
      <c r="Y159" s="1120">
        <f t="shared" ref="Y159:Y160" si="75">IFERROR(IF(W159="X",0,IF(V159&gt;0,V159,S159*U159)),0)</f>
        <v>0</v>
      </c>
      <c r="Z159" s="525"/>
      <c r="AA159" s="350"/>
      <c r="AB159" s="307"/>
      <c r="AC159" s="1090" t="str">
        <f t="shared" si="71"/>
        <v/>
      </c>
      <c r="AD159" s="1103">
        <f t="shared" ref="AD159" si="76">IFERROR(IF(AC159="X",0,IF(AA159&gt;0,AA159,AB159/S159)),0)</f>
        <v>0</v>
      </c>
      <c r="AE159" s="1120">
        <f t="shared" ref="AE159:AE160" si="77">IFERROR(IF(AC159="X",0,IF(AB159&gt;0,AB159,S159*AA159)),0)</f>
        <v>0</v>
      </c>
      <c r="AF159" s="525"/>
      <c r="AG159" s="637"/>
      <c r="AH159" s="525"/>
      <c r="AI159" s="1086">
        <f t="shared" si="72"/>
        <v>0</v>
      </c>
      <c r="AJ159" s="380"/>
      <c r="AK159" s="440"/>
    </row>
    <row r="160" spans="1:37" ht="12" customHeight="1" x14ac:dyDescent="0.2">
      <c r="A160" s="440"/>
      <c r="B160" s="751"/>
      <c r="C160" s="380"/>
      <c r="D160" s="750"/>
      <c r="E160" s="750"/>
      <c r="F160" s="1085"/>
      <c r="G160" s="1264"/>
      <c r="H160" s="1264"/>
      <c r="I160" s="1265"/>
      <c r="J160" s="638"/>
      <c r="K160" s="550" t="s">
        <v>179</v>
      </c>
      <c r="L160" s="551"/>
      <c r="M160" s="340"/>
      <c r="N160" s="553" t="s">
        <v>69</v>
      </c>
      <c r="O160" s="339"/>
      <c r="P160" s="524" t="s">
        <v>70</v>
      </c>
      <c r="Q160" s="344"/>
      <c r="R160" s="522" t="s">
        <v>363</v>
      </c>
      <c r="S160" s="353">
        <f t="shared" si="73"/>
        <v>0</v>
      </c>
      <c r="T160" s="525"/>
      <c r="U160" s="350"/>
      <c r="V160" s="307"/>
      <c r="W160" s="1090" t="str">
        <f t="shared" si="70"/>
        <v/>
      </c>
      <c r="X160" s="1103">
        <f t="shared" si="74"/>
        <v>0</v>
      </c>
      <c r="Y160" s="1120">
        <f t="shared" si="75"/>
        <v>0</v>
      </c>
      <c r="Z160" s="525"/>
      <c r="AA160" s="350"/>
      <c r="AB160" s="307"/>
      <c r="AC160" s="1090" t="str">
        <f t="shared" si="71"/>
        <v/>
      </c>
      <c r="AD160" s="1103">
        <f>IFERROR(IF(AC160="X",0,IF(AA160&gt;0,AA160,AB160/S160)),0)</f>
        <v>0</v>
      </c>
      <c r="AE160" s="1120">
        <f t="shared" si="77"/>
        <v>0</v>
      </c>
      <c r="AF160" s="525"/>
      <c r="AG160" s="637"/>
      <c r="AH160" s="525"/>
      <c r="AI160" s="1086">
        <f t="shared" si="72"/>
        <v>0</v>
      </c>
      <c r="AJ160" s="380"/>
      <c r="AK160" s="440"/>
    </row>
    <row r="161" spans="1:37" ht="12" customHeight="1" x14ac:dyDescent="0.2">
      <c r="A161" s="440"/>
      <c r="B161" s="323"/>
      <c r="C161" s="380"/>
      <c r="D161" s="303"/>
      <c r="E161" s="303"/>
      <c r="F161" s="1085"/>
      <c r="G161" s="1264"/>
      <c r="H161" s="1264"/>
      <c r="I161" s="1265"/>
      <c r="J161" s="638"/>
      <c r="K161" s="550" t="s">
        <v>179</v>
      </c>
      <c r="L161" s="551"/>
      <c r="M161" s="340"/>
      <c r="N161" s="553" t="s">
        <v>69</v>
      </c>
      <c r="O161" s="339"/>
      <c r="P161" s="524" t="s">
        <v>70</v>
      </c>
      <c r="Q161" s="344"/>
      <c r="R161" s="522" t="s">
        <v>363</v>
      </c>
      <c r="S161" s="353">
        <f>(M161*O161)+Q161</f>
        <v>0</v>
      </c>
      <c r="T161" s="525"/>
      <c r="U161" s="350"/>
      <c r="V161" s="307"/>
      <c r="W161" s="1090" t="str">
        <f t="shared" si="70"/>
        <v/>
      </c>
      <c r="X161" s="1103">
        <f>IFERROR(IF(W161="X",0,IF(U161&gt;0,U161,V161/S161)),0)</f>
        <v>0</v>
      </c>
      <c r="Y161" s="1120">
        <f>IFERROR(IF(W161="X",0,IF(V161&gt;0,V161,S161*U161)),0)</f>
        <v>0</v>
      </c>
      <c r="Z161" s="525"/>
      <c r="AA161" s="350"/>
      <c r="AB161" s="307"/>
      <c r="AC161" s="1090" t="str">
        <f t="shared" si="71"/>
        <v/>
      </c>
      <c r="AD161" s="1103">
        <f>IFERROR(IF(AC161="X",0,IF(AA161&gt;0,AA161,AB161/S161)),0)</f>
        <v>0</v>
      </c>
      <c r="AE161" s="1120">
        <f>IFERROR(IF(AC161="X",0,IF(AB161&gt;0,AB161,S161*AA161)),0)</f>
        <v>0</v>
      </c>
      <c r="AF161" s="525"/>
      <c r="AG161" s="637"/>
      <c r="AH161" s="525"/>
      <c r="AI161" s="1086">
        <f t="shared" si="72"/>
        <v>0</v>
      </c>
      <c r="AJ161" s="380"/>
      <c r="AK161" s="440"/>
    </row>
    <row r="162" spans="1:37" ht="12" customHeight="1" x14ac:dyDescent="0.25">
      <c r="A162" s="440"/>
      <c r="B162" s="323"/>
      <c r="C162" s="380"/>
      <c r="D162" s="303" t="s">
        <v>30</v>
      </c>
      <c r="E162" s="1599" t="s">
        <v>29</v>
      </c>
      <c r="F162" s="1599"/>
      <c r="G162" s="1599"/>
      <c r="H162" s="1599"/>
      <c r="I162" s="1597"/>
      <c r="J162" s="497"/>
      <c r="K162" s="462"/>
      <c r="L162" s="462"/>
      <c r="M162" s="498"/>
      <c r="N162" s="359"/>
      <c r="O162" s="365"/>
      <c r="P162" s="363"/>
      <c r="Q162" s="363"/>
      <c r="R162" s="363"/>
      <c r="S162" s="355"/>
      <c r="T162" s="363"/>
      <c r="U162" s="375"/>
      <c r="V162" s="361"/>
      <c r="W162" s="1091"/>
      <c r="X162" s="1114"/>
      <c r="Y162" s="1121"/>
      <c r="Z162" s="363"/>
      <c r="AA162" s="375"/>
      <c r="AB162" s="361"/>
      <c r="AC162" s="1091"/>
      <c r="AD162" s="1114"/>
      <c r="AE162" s="1121"/>
      <c r="AF162" s="358"/>
      <c r="AG162" s="358"/>
      <c r="AH162" s="358"/>
      <c r="AI162" s="358"/>
      <c r="AJ162" s="380"/>
      <c r="AK162" s="440"/>
    </row>
    <row r="163" spans="1:37" ht="12" customHeight="1" x14ac:dyDescent="0.25">
      <c r="A163" s="440"/>
      <c r="B163" s="323"/>
      <c r="C163" s="380"/>
      <c r="D163" s="303"/>
      <c r="E163" s="303"/>
      <c r="F163" s="303"/>
      <c r="G163" s="303"/>
      <c r="H163" s="303"/>
      <c r="I163" s="465"/>
      <c r="J163" s="497"/>
      <c r="K163" s="462"/>
      <c r="L163" s="462"/>
      <c r="M163" s="339"/>
      <c r="N163" s="359"/>
      <c r="O163" s="339"/>
      <c r="P163" s="363"/>
      <c r="Q163" s="344"/>
      <c r="R163" s="522" t="s">
        <v>363</v>
      </c>
      <c r="S163" s="353">
        <f>(M163*O163)+Q163</f>
        <v>0</v>
      </c>
      <c r="T163" s="523"/>
      <c r="U163" s="350"/>
      <c r="V163" s="308"/>
      <c r="W163" s="1090" t="str">
        <f>IF(AND(V163&lt;&gt;0,U163&lt;&gt;0),"X",IF(AND(V163&lt;&gt;0,U163=0),"A",IF(AND(V163=0,U163&lt;&gt;0),"P","")))</f>
        <v/>
      </c>
      <c r="X163" s="1103">
        <f>IFERROR(IF(W163="X",0,IF(U163&gt;0,U163,V163/S163)),0)</f>
        <v>0</v>
      </c>
      <c r="Y163" s="1120">
        <f>IFERROR(IF(W163="X",0,IF(V163&gt;0,V163,S163*U163)),0)</f>
        <v>0</v>
      </c>
      <c r="Z163" s="523"/>
      <c r="AA163" s="350"/>
      <c r="AB163" s="308"/>
      <c r="AC163" s="1090" t="str">
        <f>IF(AND(AB163&lt;&gt;0,AA163&lt;&gt;0),"X",IF(AND(AB163&lt;&gt;0,AA163=0),"A",IF(AND(AB163=0,AA163&lt;&gt;0),"P","")))</f>
        <v/>
      </c>
      <c r="AD163" s="1103">
        <f>IFERROR(IF(AC163="X",0,IF(AA163&gt;0,AA163,AB163/S163)),0)</f>
        <v>0</v>
      </c>
      <c r="AE163" s="1120">
        <f>IFERROR(IF(AC163="X",0,IF(AB163&gt;0,AB163,S163*AA163)),0)</f>
        <v>0</v>
      </c>
      <c r="AF163" s="525"/>
      <c r="AG163" s="637"/>
      <c r="AH163" s="525"/>
      <c r="AI163" s="1086">
        <f>AG163</f>
        <v>0</v>
      </c>
      <c r="AJ163" s="380"/>
      <c r="AK163" s="440"/>
    </row>
    <row r="164" spans="1:37" ht="14.25" customHeight="1" x14ac:dyDescent="0.25">
      <c r="A164" s="440"/>
      <c r="B164" s="323"/>
      <c r="C164" s="386" t="s">
        <v>28</v>
      </c>
      <c r="D164" s="494"/>
      <c r="E164" s="1596" t="s">
        <v>27</v>
      </c>
      <c r="F164" s="1596"/>
      <c r="G164" s="1596"/>
      <c r="H164" s="1596"/>
      <c r="I164" s="1597"/>
      <c r="J164" s="497"/>
      <c r="K164" s="462"/>
      <c r="L164" s="462"/>
      <c r="M164" s="498"/>
      <c r="N164" s="359"/>
      <c r="O164" s="365"/>
      <c r="P164" s="363"/>
      <c r="Q164" s="363"/>
      <c r="R164" s="363"/>
      <c r="S164" s="355">
        <f>S165</f>
        <v>0</v>
      </c>
      <c r="T164" s="363"/>
      <c r="U164" s="375"/>
      <c r="V164" s="361"/>
      <c r="W164" s="1091"/>
      <c r="X164" s="1114"/>
      <c r="Y164" s="1121"/>
      <c r="Z164" s="363"/>
      <c r="AA164" s="375"/>
      <c r="AB164" s="361"/>
      <c r="AC164" s="1091"/>
      <c r="AD164" s="1114"/>
      <c r="AE164" s="1121"/>
      <c r="AF164" s="358"/>
      <c r="AG164" s="358"/>
      <c r="AH164" s="358"/>
      <c r="AI164" s="358"/>
      <c r="AJ164" s="380"/>
      <c r="AK164" s="440"/>
    </row>
    <row r="165" spans="1:37" ht="12" customHeight="1" x14ac:dyDescent="0.25">
      <c r="A165" s="440"/>
      <c r="B165" s="323"/>
      <c r="C165" s="380"/>
      <c r="D165" s="303" t="s">
        <v>26</v>
      </c>
      <c r="E165" s="1599" t="s">
        <v>25</v>
      </c>
      <c r="F165" s="1599"/>
      <c r="G165" s="1599"/>
      <c r="H165" s="1599"/>
      <c r="I165" s="1605"/>
      <c r="J165" s="497"/>
      <c r="K165" s="502"/>
      <c r="L165" s="502"/>
      <c r="M165" s="498"/>
      <c r="N165" s="359"/>
      <c r="O165" s="365"/>
      <c r="P165" s="363"/>
      <c r="Q165" s="363"/>
      <c r="R165" s="363"/>
      <c r="S165" s="354">
        <f>SUBTOTAL(109,S167:S170)</f>
        <v>0</v>
      </c>
      <c r="T165" s="363"/>
      <c r="U165" s="375"/>
      <c r="V165" s="361"/>
      <c r="W165" s="1091"/>
      <c r="X165" s="1114"/>
      <c r="Y165" s="1121"/>
      <c r="Z165" s="363"/>
      <c r="AA165" s="375"/>
      <c r="AB165" s="361"/>
      <c r="AC165" s="1091"/>
      <c r="AD165" s="1114"/>
      <c r="AE165" s="1121"/>
      <c r="AF165" s="358"/>
      <c r="AG165" s="358"/>
      <c r="AH165" s="358"/>
      <c r="AI165" s="358"/>
      <c r="AJ165" s="380"/>
      <c r="AK165" s="440"/>
    </row>
    <row r="166" spans="1:37" ht="12" customHeight="1" x14ac:dyDescent="0.25">
      <c r="A166" s="440"/>
      <c r="B166" s="323"/>
      <c r="C166" s="380"/>
      <c r="D166" s="303"/>
      <c r="E166" s="303"/>
      <c r="F166" s="303"/>
      <c r="G166" s="303"/>
      <c r="H166" s="303"/>
      <c r="I166" s="497"/>
      <c r="J166" s="497"/>
      <c r="K166" s="502"/>
      <c r="L166" s="502"/>
      <c r="M166" s="498"/>
      <c r="N166" s="359"/>
      <c r="O166" s="365"/>
      <c r="P166" s="363"/>
      <c r="Q166" s="363"/>
      <c r="R166" s="363"/>
      <c r="S166" s="354"/>
      <c r="T166" s="363"/>
      <c r="U166" s="375"/>
      <c r="V166" s="361"/>
      <c r="W166" s="1091"/>
      <c r="X166" s="1114"/>
      <c r="Y166" s="1121"/>
      <c r="Z166" s="363"/>
      <c r="AA166" s="375"/>
      <c r="AB166" s="361"/>
      <c r="AC166" s="1091"/>
      <c r="AD166" s="1114"/>
      <c r="AE166" s="1121"/>
      <c r="AF166" s="358"/>
      <c r="AG166" s="358"/>
      <c r="AH166" s="358"/>
      <c r="AI166" s="358"/>
      <c r="AJ166" s="380"/>
      <c r="AK166" s="440"/>
    </row>
    <row r="167" spans="1:37" ht="12" customHeight="1" x14ac:dyDescent="0.2">
      <c r="A167" s="440"/>
      <c r="B167" s="323"/>
      <c r="C167" s="380"/>
      <c r="D167" s="303"/>
      <c r="E167" s="303"/>
      <c r="F167" s="1085"/>
      <c r="G167" s="1264"/>
      <c r="H167" s="1264"/>
      <c r="I167" s="1265"/>
      <c r="J167" s="638"/>
      <c r="K167" s="555"/>
      <c r="L167" s="541"/>
      <c r="M167" s="542">
        <v>0</v>
      </c>
      <c r="N167" s="553" t="s">
        <v>69</v>
      </c>
      <c r="O167" s="339"/>
      <c r="P167" s="525" t="s">
        <v>70</v>
      </c>
      <c r="Q167" s="344"/>
      <c r="R167" s="522" t="s">
        <v>363</v>
      </c>
      <c r="S167" s="353">
        <f>(M167*O167)+Q167</f>
        <v>0</v>
      </c>
      <c r="T167" s="525"/>
      <c r="U167" s="350"/>
      <c r="V167" s="307"/>
      <c r="W167" s="1090" t="str">
        <f t="shared" ref="W167:W170" si="78">IF(AND(V167&lt;&gt;0,U167&lt;&gt;0),"X",IF(AND(V167&lt;&gt;0,U167=0),"A",IF(AND(V167=0,U167&lt;&gt;0),"P","")))</f>
        <v/>
      </c>
      <c r="X167" s="1103">
        <f>IFERROR(IF(W167="X",0,IF(U167&gt;0,U167,V167/S167)),0)</f>
        <v>0</v>
      </c>
      <c r="Y167" s="1120">
        <f>IFERROR(IF(W167="X",0,IF(V167&gt;0,V167,S167*U167)),0)</f>
        <v>0</v>
      </c>
      <c r="Z167" s="525"/>
      <c r="AA167" s="350"/>
      <c r="AB167" s="307"/>
      <c r="AC167" s="1090" t="str">
        <f t="shared" ref="AC167:AC170" si="79">IF(AND(AB167&lt;&gt;0,AA167&lt;&gt;0),"X",IF(AND(AB167&lt;&gt;0,AA167=0),"A",IF(AND(AB167=0,AA167&lt;&gt;0),"P","")))</f>
        <v/>
      </c>
      <c r="AD167" s="1103">
        <f>IFERROR(IF(AC167="X",0,IF(AA167&gt;0,AA167,AB167/S167)),0)</f>
        <v>0</v>
      </c>
      <c r="AE167" s="1120">
        <f>IFERROR(IF(AC167="X",0,IF(AB167&gt;0,AB167,S167*AA167)),0)</f>
        <v>0</v>
      </c>
      <c r="AF167" s="525"/>
      <c r="AG167" s="637"/>
      <c r="AH167" s="525"/>
      <c r="AI167" s="1086">
        <f t="shared" ref="AI167:AI170" si="80">AG167</f>
        <v>0</v>
      </c>
      <c r="AJ167" s="380"/>
      <c r="AK167" s="440"/>
    </row>
    <row r="168" spans="1:37" ht="12" customHeight="1" x14ac:dyDescent="0.2">
      <c r="A168" s="440"/>
      <c r="B168" s="323"/>
      <c r="C168" s="380"/>
      <c r="D168" s="303"/>
      <c r="E168" s="303"/>
      <c r="F168" s="1085"/>
      <c r="G168" s="1264"/>
      <c r="H168" s="1264"/>
      <c r="I168" s="1265"/>
      <c r="J168" s="638"/>
      <c r="K168" s="555"/>
      <c r="L168" s="541"/>
      <c r="M168" s="542">
        <v>0</v>
      </c>
      <c r="N168" s="553"/>
      <c r="O168" s="339"/>
      <c r="P168" s="525"/>
      <c r="Q168" s="344"/>
      <c r="R168" s="522" t="s">
        <v>363</v>
      </c>
      <c r="S168" s="353">
        <f>(M168*O168)+Q168</f>
        <v>0</v>
      </c>
      <c r="T168" s="525"/>
      <c r="U168" s="350"/>
      <c r="V168" s="307"/>
      <c r="W168" s="1090" t="str">
        <f t="shared" si="78"/>
        <v/>
      </c>
      <c r="X168" s="1103">
        <f>IFERROR(IF(W168="X",0,IF(U168&gt;0,U168,V168/S168)),0)</f>
        <v>0</v>
      </c>
      <c r="Y168" s="1120">
        <f>IFERROR(IF(W168="X",0,IF(V168&gt;0,V168,S168*U168)),0)</f>
        <v>0</v>
      </c>
      <c r="Z168" s="525"/>
      <c r="AA168" s="350"/>
      <c r="AB168" s="307"/>
      <c r="AC168" s="1090" t="str">
        <f t="shared" si="79"/>
        <v/>
      </c>
      <c r="AD168" s="1103">
        <f>IFERROR(IF(AC168="X",0,IF(AA168&gt;0,AA168,AB168/S168)),0)</f>
        <v>0</v>
      </c>
      <c r="AE168" s="1120">
        <f>IFERROR(IF(AC168="X",0,IF(AB168&gt;0,AB168,S168*AA168)),0)</f>
        <v>0</v>
      </c>
      <c r="AF168" s="525"/>
      <c r="AG168" s="637"/>
      <c r="AH168" s="525"/>
      <c r="AI168" s="1086">
        <f t="shared" si="80"/>
        <v>0</v>
      </c>
      <c r="AJ168" s="380"/>
      <c r="AK168" s="440"/>
    </row>
    <row r="169" spans="1:37" ht="12" customHeight="1" x14ac:dyDescent="0.2">
      <c r="A169" s="440"/>
      <c r="B169" s="323"/>
      <c r="C169" s="380"/>
      <c r="D169" s="303"/>
      <c r="E169" s="303"/>
      <c r="F169" s="1085"/>
      <c r="G169" s="1264"/>
      <c r="H169" s="1264"/>
      <c r="I169" s="1265"/>
      <c r="J169" s="638"/>
      <c r="K169" s="555"/>
      <c r="L169" s="541"/>
      <c r="M169" s="542">
        <v>0</v>
      </c>
      <c r="N169" s="553"/>
      <c r="O169" s="339"/>
      <c r="P169" s="525"/>
      <c r="Q169" s="344"/>
      <c r="R169" s="522" t="s">
        <v>363</v>
      </c>
      <c r="S169" s="353">
        <f>(M169*O169)+Q169</f>
        <v>0</v>
      </c>
      <c r="T169" s="525"/>
      <c r="U169" s="350"/>
      <c r="V169" s="307"/>
      <c r="W169" s="1090" t="str">
        <f t="shared" si="78"/>
        <v/>
      </c>
      <c r="X169" s="1103">
        <f>IFERROR(IF(W169="X",0,IF(U169&gt;0,U169,V169/S169)),0)</f>
        <v>0</v>
      </c>
      <c r="Y169" s="1120">
        <f>IFERROR(IF(W169="X",0,IF(V169&gt;0,V169,S169*U169)),0)</f>
        <v>0</v>
      </c>
      <c r="Z169" s="525"/>
      <c r="AA169" s="350"/>
      <c r="AB169" s="307"/>
      <c r="AC169" s="1090" t="str">
        <f t="shared" si="79"/>
        <v/>
      </c>
      <c r="AD169" s="1103">
        <f>IFERROR(IF(AC169="X",0,IF(AA169&gt;0,AA169,AB169/S169)),0)</f>
        <v>0</v>
      </c>
      <c r="AE169" s="1120">
        <f>IFERROR(IF(AC169="X",0,IF(AB169&gt;0,AB169,S169*AA169)),0)</f>
        <v>0</v>
      </c>
      <c r="AF169" s="525"/>
      <c r="AG169" s="637"/>
      <c r="AH169" s="525"/>
      <c r="AI169" s="1086">
        <f t="shared" si="80"/>
        <v>0</v>
      </c>
      <c r="AJ169" s="380"/>
      <c r="AK169" s="440"/>
    </row>
    <row r="170" spans="1:37" ht="12" customHeight="1" x14ac:dyDescent="0.2">
      <c r="A170" s="440"/>
      <c r="B170" s="323"/>
      <c r="C170" s="380"/>
      <c r="D170" s="303"/>
      <c r="E170" s="303"/>
      <c r="F170" s="1085"/>
      <c r="G170" s="1264"/>
      <c r="H170" s="1264"/>
      <c r="I170" s="1265"/>
      <c r="J170" s="638"/>
      <c r="K170" s="555"/>
      <c r="L170" s="541"/>
      <c r="M170" s="542">
        <v>0</v>
      </c>
      <c r="N170" s="553"/>
      <c r="O170" s="339"/>
      <c r="P170" s="525"/>
      <c r="Q170" s="344"/>
      <c r="R170" s="522" t="s">
        <v>363</v>
      </c>
      <c r="S170" s="353">
        <f>(M170*O170)+Q170</f>
        <v>0</v>
      </c>
      <c r="T170" s="525"/>
      <c r="U170" s="350"/>
      <c r="V170" s="307"/>
      <c r="W170" s="1090" t="str">
        <f t="shared" si="78"/>
        <v/>
      </c>
      <c r="X170" s="1103">
        <f>IFERROR(IF(W170="X",0,IF(U170&gt;0,U170,V170/S170)),0)</f>
        <v>0</v>
      </c>
      <c r="Y170" s="1120">
        <f>IFERROR(IF(W170="X",0,IF(V170&gt;0,V170,S170*U170)),0)</f>
        <v>0</v>
      </c>
      <c r="Z170" s="525"/>
      <c r="AA170" s="350"/>
      <c r="AB170" s="307"/>
      <c r="AC170" s="1090" t="str">
        <f t="shared" si="79"/>
        <v/>
      </c>
      <c r="AD170" s="1103">
        <f>IFERROR(IF(AC170="X",0,IF(AA170&gt;0,AA170,AB170/S170)),0)</f>
        <v>0</v>
      </c>
      <c r="AE170" s="1120">
        <f>IFERROR(IF(AC170="X",0,IF(AB170&gt;0,AB170,S170*AA170)),0)</f>
        <v>0</v>
      </c>
      <c r="AF170" s="525"/>
      <c r="AG170" s="637"/>
      <c r="AH170" s="525"/>
      <c r="AI170" s="1086">
        <f t="shared" si="80"/>
        <v>0</v>
      </c>
      <c r="AJ170" s="380"/>
      <c r="AK170" s="440"/>
    </row>
    <row r="171" spans="1:37" ht="12" customHeight="1" collapsed="1" x14ac:dyDescent="0.2">
      <c r="A171" s="440"/>
      <c r="B171" s="324"/>
      <c r="C171" s="378"/>
      <c r="D171" s="374"/>
      <c r="E171" s="374"/>
      <c r="F171" s="374"/>
      <c r="G171" s="374"/>
      <c r="H171" s="374"/>
      <c r="I171" s="374"/>
      <c r="J171" s="374"/>
      <c r="K171" s="374"/>
      <c r="L171" s="374"/>
      <c r="M171" s="545"/>
      <c r="N171" s="544"/>
      <c r="O171" s="374"/>
      <c r="P171" s="374"/>
      <c r="Q171" s="374"/>
      <c r="R171" s="374"/>
      <c r="S171" s="374"/>
      <c r="T171" s="374"/>
      <c r="U171" s="374"/>
      <c r="V171" s="374"/>
      <c r="W171" s="1097"/>
      <c r="X171" s="1112"/>
      <c r="Y171" s="1112"/>
      <c r="Z171" s="374"/>
      <c r="AA171" s="374"/>
      <c r="AB171" s="374"/>
      <c r="AC171" s="1097"/>
      <c r="AD171" s="1112"/>
      <c r="AE171" s="1112"/>
      <c r="AF171" s="374"/>
      <c r="AG171" s="374"/>
      <c r="AH171" s="374"/>
      <c r="AI171" s="556"/>
      <c r="AJ171" s="374"/>
      <c r="AK171" s="440"/>
    </row>
    <row r="172" spans="1:37" ht="12" customHeight="1" x14ac:dyDescent="0.2">
      <c r="A172" s="440"/>
      <c r="B172" s="547"/>
      <c r="C172" s="548"/>
      <c r="D172" s="548"/>
      <c r="E172" s="548"/>
      <c r="F172" s="548"/>
      <c r="G172" s="548"/>
      <c r="H172" s="548"/>
      <c r="I172" s="548"/>
      <c r="J172" s="1604"/>
      <c r="K172" s="1604"/>
      <c r="L172" s="557"/>
      <c r="M172" s="558"/>
      <c r="N172" s="557"/>
      <c r="O172" s="389"/>
      <c r="P172" s="389"/>
      <c r="Q172" s="379"/>
      <c r="R172" s="379"/>
      <c r="S172" s="379"/>
      <c r="T172" s="379"/>
      <c r="U172" s="1598"/>
      <c r="V172" s="1598"/>
      <c r="W172" s="1095"/>
      <c r="X172" s="1113"/>
      <c r="Y172" s="1113"/>
      <c r="Z172" s="379"/>
      <c r="AA172" s="1598"/>
      <c r="AB172" s="1598"/>
      <c r="AC172" s="1095"/>
      <c r="AD172" s="1113"/>
      <c r="AE172" s="1113"/>
      <c r="AF172" s="379"/>
      <c r="AG172" s="379"/>
      <c r="AH172" s="379"/>
      <c r="AI172" s="481"/>
      <c r="AJ172" s="379"/>
      <c r="AK172" s="440"/>
    </row>
    <row r="173" spans="1:37" ht="12" customHeight="1" x14ac:dyDescent="0.2">
      <c r="A173" s="440"/>
      <c r="B173" s="320"/>
      <c r="C173" s="386"/>
      <c r="D173" s="386"/>
      <c r="E173" s="386"/>
      <c r="F173" s="386"/>
      <c r="G173" s="386"/>
      <c r="H173" s="386"/>
      <c r="I173" s="386"/>
      <c r="J173" s="1598"/>
      <c r="K173" s="1598"/>
      <c r="L173" s="435"/>
      <c r="M173" s="498"/>
      <c r="N173" s="503"/>
      <c r="O173" s="386"/>
      <c r="P173" s="386"/>
      <c r="Q173" s="386"/>
      <c r="R173" s="386"/>
      <c r="S173" s="372"/>
      <c r="T173" s="372"/>
      <c r="U173" s="372"/>
      <c r="V173" s="372"/>
      <c r="W173" s="1096"/>
      <c r="X173" s="1110"/>
      <c r="Y173" s="1110"/>
      <c r="Z173" s="372"/>
      <c r="AA173" s="372"/>
      <c r="AB173" s="372"/>
      <c r="AC173" s="1096"/>
      <c r="AD173" s="1110"/>
      <c r="AE173" s="1110"/>
      <c r="AF173" s="372"/>
      <c r="AG173" s="372"/>
      <c r="AH173" s="372"/>
      <c r="AI173" s="482"/>
      <c r="AJ173" s="372"/>
      <c r="AK173" s="440"/>
    </row>
    <row r="174" spans="1:37" ht="14.25" customHeight="1" x14ac:dyDescent="0.2">
      <c r="A174" s="440"/>
      <c r="B174" s="499">
        <v>4</v>
      </c>
      <c r="C174" s="494"/>
      <c r="D174" s="495"/>
      <c r="E174" s="496" t="s">
        <v>23</v>
      </c>
      <c r="F174" s="496"/>
      <c r="G174" s="496"/>
      <c r="H174" s="496"/>
      <c r="I174" s="380"/>
      <c r="J174" s="380"/>
      <c r="K174" s="463"/>
      <c r="L174" s="463"/>
      <c r="M174" s="498"/>
      <c r="N174" s="359"/>
      <c r="O174" s="363"/>
      <c r="P174" s="363"/>
      <c r="Q174" s="363"/>
      <c r="R174" s="363"/>
      <c r="S174" s="385">
        <f>S175+S181</f>
        <v>184939.19999999998</v>
      </c>
      <c r="T174" s="363"/>
      <c r="U174" s="358"/>
      <c r="V174" s="358"/>
      <c r="W174" s="1091"/>
      <c r="X174" s="1104"/>
      <c r="Y174" s="1104"/>
      <c r="Z174" s="363"/>
      <c r="AA174" s="358"/>
      <c r="AB174" s="358"/>
      <c r="AC174" s="1091"/>
      <c r="AD174" s="1104"/>
      <c r="AE174" s="1104"/>
      <c r="AF174" s="358"/>
      <c r="AG174" s="358"/>
      <c r="AH174" s="358"/>
      <c r="AI174" s="358"/>
      <c r="AJ174" s="358"/>
      <c r="AK174" s="440"/>
    </row>
    <row r="175" spans="1:37" ht="14.25" customHeight="1" x14ac:dyDescent="0.25">
      <c r="A175" s="440"/>
      <c r="B175" s="323"/>
      <c r="C175" s="386" t="s">
        <v>22</v>
      </c>
      <c r="D175" s="494"/>
      <c r="E175" s="1596" t="s">
        <v>21</v>
      </c>
      <c r="F175" s="1596"/>
      <c r="G175" s="1596"/>
      <c r="H175" s="1596"/>
      <c r="I175" s="1597"/>
      <c r="J175" s="497"/>
      <c r="K175" s="462"/>
      <c r="L175" s="462"/>
      <c r="M175" s="498"/>
      <c r="N175" s="359"/>
      <c r="O175" s="363"/>
      <c r="P175" s="363"/>
      <c r="Q175" s="363"/>
      <c r="R175" s="363"/>
      <c r="S175" s="355">
        <f>S176</f>
        <v>0</v>
      </c>
      <c r="T175" s="363"/>
      <c r="U175" s="358"/>
      <c r="V175" s="358"/>
      <c r="W175" s="1091"/>
      <c r="X175" s="1104"/>
      <c r="Y175" s="1104"/>
      <c r="Z175" s="363"/>
      <c r="AA175" s="358"/>
      <c r="AB175" s="358"/>
      <c r="AC175" s="1091"/>
      <c r="AD175" s="1104"/>
      <c r="AE175" s="1104"/>
      <c r="AF175" s="358"/>
      <c r="AG175" s="358"/>
      <c r="AH175" s="358"/>
      <c r="AI175" s="358"/>
      <c r="AJ175" s="358"/>
      <c r="AK175" s="440"/>
    </row>
    <row r="176" spans="1:37" ht="12" customHeight="1" x14ac:dyDescent="0.25">
      <c r="A176" s="440"/>
      <c r="B176" s="323"/>
      <c r="C176" s="380"/>
      <c r="D176" s="303" t="s">
        <v>20</v>
      </c>
      <c r="E176" s="1599" t="s">
        <v>19</v>
      </c>
      <c r="F176" s="1599"/>
      <c r="G176" s="1599"/>
      <c r="H176" s="1599"/>
      <c r="I176" s="1597"/>
      <c r="J176" s="497"/>
      <c r="K176" s="529"/>
      <c r="L176" s="503"/>
      <c r="M176" s="498"/>
      <c r="N176" s="359"/>
      <c r="O176" s="363"/>
      <c r="P176" s="363"/>
      <c r="Q176" s="363"/>
      <c r="R176" s="363"/>
      <c r="S176" s="390">
        <f>SUBTOTAL(109,S178:S180)</f>
        <v>0</v>
      </c>
      <c r="T176" s="363"/>
      <c r="U176" s="358"/>
      <c r="V176" s="358"/>
      <c r="W176" s="1091"/>
      <c r="X176" s="1104"/>
      <c r="Y176" s="1104"/>
      <c r="Z176" s="363"/>
      <c r="AA176" s="358"/>
      <c r="AB176" s="358"/>
      <c r="AC176" s="1091"/>
      <c r="AD176" s="1104"/>
      <c r="AE176" s="1104"/>
      <c r="AF176" s="358"/>
      <c r="AG176" s="358"/>
      <c r="AH176" s="358"/>
      <c r="AI176" s="358"/>
      <c r="AJ176" s="380"/>
      <c r="AK176" s="440"/>
    </row>
    <row r="177" spans="1:37" ht="12" customHeight="1" x14ac:dyDescent="0.25">
      <c r="A177" s="440"/>
      <c r="B177" s="323"/>
      <c r="C177" s="380"/>
      <c r="D177" s="303"/>
      <c r="E177" s="303"/>
      <c r="F177" s="303"/>
      <c r="G177" s="303"/>
      <c r="H177" s="303"/>
      <c r="I177" s="465"/>
      <c r="J177" s="1603" t="s">
        <v>170</v>
      </c>
      <c r="K177" s="1603"/>
      <c r="L177" s="503"/>
      <c r="M177" s="498"/>
      <c r="N177" s="359"/>
      <c r="O177" s="363"/>
      <c r="P177" s="363"/>
      <c r="Q177" s="363"/>
      <c r="R177" s="363"/>
      <c r="S177" s="390"/>
      <c r="T177" s="363"/>
      <c r="U177" s="358"/>
      <c r="V177" s="358"/>
      <c r="W177" s="1091"/>
      <c r="X177" s="1104"/>
      <c r="Y177" s="1104"/>
      <c r="Z177" s="363"/>
      <c r="AA177" s="358"/>
      <c r="AB177" s="358"/>
      <c r="AC177" s="1091"/>
      <c r="AD177" s="1104"/>
      <c r="AE177" s="1104"/>
      <c r="AF177" s="358"/>
      <c r="AG177" s="358"/>
      <c r="AH177" s="358"/>
      <c r="AI177" s="358"/>
      <c r="AJ177" s="380"/>
      <c r="AK177" s="440"/>
    </row>
    <row r="178" spans="1:37" ht="12" customHeight="1" x14ac:dyDescent="0.2">
      <c r="A178" s="440"/>
      <c r="B178" s="323"/>
      <c r="C178" s="380"/>
      <c r="D178" s="303"/>
      <c r="E178" s="303"/>
      <c r="F178" s="1085"/>
      <c r="G178" s="1264"/>
      <c r="H178" s="1264"/>
      <c r="I178" s="1265"/>
      <c r="J178" s="638"/>
      <c r="K178" s="520" t="s">
        <v>177</v>
      </c>
      <c r="L178" s="521"/>
      <c r="M178" s="340"/>
      <c r="N178" s="528" t="s">
        <v>67</v>
      </c>
      <c r="O178" s="339"/>
      <c r="P178" s="543" t="s">
        <v>68</v>
      </c>
      <c r="Q178" s="344"/>
      <c r="R178" s="522" t="s">
        <v>363</v>
      </c>
      <c r="S178" s="353">
        <f>(M178*O178)+Q178</f>
        <v>0</v>
      </c>
      <c r="T178" s="524"/>
      <c r="U178" s="350"/>
      <c r="V178" s="308"/>
      <c r="W178" s="1090" t="str">
        <f t="shared" ref="W178:W180" si="81">IF(AND(V178&lt;&gt;0,U178&lt;&gt;0),"X",IF(AND(V178&lt;&gt;0,U178=0),"A",IF(AND(V178=0,U178&lt;&gt;0),"P","")))</f>
        <v/>
      </c>
      <c r="X178" s="1103">
        <f>IFERROR(IF(W178="X",0,IF(U178&gt;0,U178,V178/S178)),0)</f>
        <v>0</v>
      </c>
      <c r="Y178" s="1120">
        <f>IFERROR(IF(W178="X",0,IF(V178&gt;0,V178,S178*U178)),0)</f>
        <v>0</v>
      </c>
      <c r="Z178" s="524"/>
      <c r="AA178" s="350"/>
      <c r="AB178" s="308"/>
      <c r="AC178" s="1090" t="str">
        <f t="shared" ref="AC178:AC180" si="82">IF(AND(AB178&lt;&gt;0,AA178&lt;&gt;0),"X",IF(AND(AB178&lt;&gt;0,AA178=0),"A",IF(AND(AB178=0,AA178&lt;&gt;0),"P","")))</f>
        <v/>
      </c>
      <c r="AD178" s="1103">
        <f>IFERROR(IF(AC178="X",0,IF(AA178&gt;0,AA178,AB178/S178)),0)</f>
        <v>0</v>
      </c>
      <c r="AE178" s="1120">
        <f>IFERROR(IF(AC178="X",0,IF(AB178&gt;0,AB178,S178*AA178)),0)</f>
        <v>0</v>
      </c>
      <c r="AF178" s="525"/>
      <c r="AG178" s="637"/>
      <c r="AH178" s="525"/>
      <c r="AI178" s="1086">
        <f t="shared" ref="AI178:AI180" si="83">AG178</f>
        <v>0</v>
      </c>
      <c r="AJ178" s="380"/>
      <c r="AK178" s="440"/>
    </row>
    <row r="179" spans="1:37" ht="12" customHeight="1" x14ac:dyDescent="0.2">
      <c r="A179" s="440"/>
      <c r="B179" s="323"/>
      <c r="C179" s="380"/>
      <c r="D179" s="303"/>
      <c r="E179" s="303"/>
      <c r="F179" s="1085"/>
      <c r="G179" s="1264"/>
      <c r="H179" s="1264"/>
      <c r="I179" s="1265"/>
      <c r="J179" s="638"/>
      <c r="K179" s="520" t="s">
        <v>177</v>
      </c>
      <c r="L179" s="521"/>
      <c r="M179" s="340"/>
      <c r="N179" s="528" t="s">
        <v>67</v>
      </c>
      <c r="O179" s="339"/>
      <c r="P179" s="543" t="s">
        <v>68</v>
      </c>
      <c r="Q179" s="344"/>
      <c r="R179" s="522" t="s">
        <v>363</v>
      </c>
      <c r="S179" s="353">
        <f>(M179*O179)+Q179</f>
        <v>0</v>
      </c>
      <c r="T179" s="524"/>
      <c r="U179" s="350"/>
      <c r="V179" s="308"/>
      <c r="W179" s="1090" t="str">
        <f t="shared" si="81"/>
        <v/>
      </c>
      <c r="X179" s="1103">
        <f>IFERROR(IF(W179="X",0,IF(U179&gt;0,U179,V179/S179)),0)</f>
        <v>0</v>
      </c>
      <c r="Y179" s="1120">
        <f>IFERROR(IF(W179="X",0,IF(V179&gt;0,V179,S179*U179)),0)</f>
        <v>0</v>
      </c>
      <c r="Z179" s="524"/>
      <c r="AA179" s="350"/>
      <c r="AB179" s="308"/>
      <c r="AC179" s="1090" t="str">
        <f t="shared" si="82"/>
        <v/>
      </c>
      <c r="AD179" s="1103">
        <f>IFERROR(IF(AC179="X",0,IF(AA179&gt;0,AA179,AB179/S179)),0)</f>
        <v>0</v>
      </c>
      <c r="AE179" s="1120">
        <f>IFERROR(IF(AC179="X",0,IF(AB179&gt;0,AB179,S179*AA179)),0)</f>
        <v>0</v>
      </c>
      <c r="AF179" s="525"/>
      <c r="AG179" s="637"/>
      <c r="AH179" s="525"/>
      <c r="AI179" s="1086">
        <f t="shared" si="83"/>
        <v>0</v>
      </c>
      <c r="AJ179" s="380"/>
      <c r="AK179" s="440"/>
    </row>
    <row r="180" spans="1:37" ht="12" customHeight="1" x14ac:dyDescent="0.2">
      <c r="A180" s="440"/>
      <c r="B180" s="323"/>
      <c r="C180" s="380"/>
      <c r="D180" s="303"/>
      <c r="E180" s="303"/>
      <c r="F180" s="1085"/>
      <c r="G180" s="1264"/>
      <c r="H180" s="1264"/>
      <c r="I180" s="1265"/>
      <c r="J180" s="638"/>
      <c r="K180" s="520" t="s">
        <v>177</v>
      </c>
      <c r="L180" s="521"/>
      <c r="M180" s="340"/>
      <c r="N180" s="528" t="s">
        <v>67</v>
      </c>
      <c r="O180" s="339"/>
      <c r="P180" s="543" t="s">
        <v>68</v>
      </c>
      <c r="Q180" s="344"/>
      <c r="R180" s="522" t="s">
        <v>363</v>
      </c>
      <c r="S180" s="353">
        <f>(M180*O180)+Q180</f>
        <v>0</v>
      </c>
      <c r="T180" s="524"/>
      <c r="U180" s="350"/>
      <c r="V180" s="308"/>
      <c r="W180" s="1090" t="str">
        <f t="shared" si="81"/>
        <v/>
      </c>
      <c r="X180" s="1103">
        <f>IFERROR(IF(W180="X",0,IF(U180&gt;0,U180,V180/S180)),0)</f>
        <v>0</v>
      </c>
      <c r="Y180" s="1120">
        <f>IFERROR(IF(W180="X",0,IF(V180&gt;0,V180,S180*U180)),0)</f>
        <v>0</v>
      </c>
      <c r="Z180" s="524"/>
      <c r="AA180" s="350"/>
      <c r="AB180" s="308"/>
      <c r="AC180" s="1090" t="str">
        <f t="shared" si="82"/>
        <v/>
      </c>
      <c r="AD180" s="1103">
        <f>IFERROR(IF(AC180="X",0,IF(AA180&gt;0,AA180,AB180/S180)),0)</f>
        <v>0</v>
      </c>
      <c r="AE180" s="1120">
        <f>IFERROR(IF(AC180="X",0,IF(AB180&gt;0,AB180,S180*AA180)),0)</f>
        <v>0</v>
      </c>
      <c r="AF180" s="525"/>
      <c r="AG180" s="637"/>
      <c r="AH180" s="525"/>
      <c r="AI180" s="1086">
        <f t="shared" si="83"/>
        <v>0</v>
      </c>
      <c r="AJ180" s="380"/>
      <c r="AK180" s="440"/>
    </row>
    <row r="181" spans="1:37" ht="14.25" customHeight="1" x14ac:dyDescent="0.25">
      <c r="A181" s="440"/>
      <c r="B181" s="323"/>
      <c r="C181" s="386" t="s">
        <v>18</v>
      </c>
      <c r="D181" s="494"/>
      <c r="E181" s="1596" t="s">
        <v>17</v>
      </c>
      <c r="F181" s="1596"/>
      <c r="G181" s="1596"/>
      <c r="H181" s="1596"/>
      <c r="I181" s="1597"/>
      <c r="J181" s="497"/>
      <c r="K181" s="462"/>
      <c r="L181" s="462"/>
      <c r="M181" s="498"/>
      <c r="N181" s="359"/>
      <c r="O181" s="363"/>
      <c r="P181" s="363"/>
      <c r="Q181" s="363"/>
      <c r="R181" s="363"/>
      <c r="S181" s="355">
        <f>S182+S186+S195</f>
        <v>184939.19999999998</v>
      </c>
      <c r="T181" s="363"/>
      <c r="U181" s="375"/>
      <c r="V181" s="358"/>
      <c r="W181" s="1091"/>
      <c r="X181" s="1114"/>
      <c r="Y181" s="1104"/>
      <c r="Z181" s="363"/>
      <c r="AA181" s="375"/>
      <c r="AB181" s="358"/>
      <c r="AC181" s="1091"/>
      <c r="AD181" s="1114"/>
      <c r="AE181" s="1104"/>
      <c r="AF181" s="358"/>
      <c r="AG181" s="358"/>
      <c r="AH181" s="358"/>
      <c r="AI181" s="358"/>
      <c r="AJ181" s="380"/>
      <c r="AK181" s="440"/>
    </row>
    <row r="182" spans="1:37" ht="12" customHeight="1" x14ac:dyDescent="0.25">
      <c r="A182" s="440"/>
      <c r="B182" s="323"/>
      <c r="C182" s="380"/>
      <c r="D182" s="303" t="s">
        <v>342</v>
      </c>
      <c r="E182" s="1599" t="s">
        <v>182</v>
      </c>
      <c r="F182" s="1599"/>
      <c r="G182" s="1599"/>
      <c r="H182" s="1599"/>
      <c r="I182" s="1597"/>
      <c r="J182" s="497"/>
      <c r="K182" s="529"/>
      <c r="L182" s="503"/>
      <c r="M182" s="498"/>
      <c r="N182" s="359"/>
      <c r="O182" s="363"/>
      <c r="P182" s="363"/>
      <c r="Q182" s="363"/>
      <c r="R182" s="363"/>
      <c r="S182" s="390">
        <f>SUBTOTAL(109,S184:S185)</f>
        <v>0</v>
      </c>
      <c r="T182" s="363"/>
      <c r="U182" s="375"/>
      <c r="V182" s="358"/>
      <c r="W182" s="1091"/>
      <c r="X182" s="1114"/>
      <c r="Y182" s="1104"/>
      <c r="Z182" s="363"/>
      <c r="AA182" s="375"/>
      <c r="AB182" s="358"/>
      <c r="AC182" s="1091"/>
      <c r="AD182" s="1114"/>
      <c r="AE182" s="1104"/>
      <c r="AF182" s="358"/>
      <c r="AG182" s="358"/>
      <c r="AH182" s="358"/>
      <c r="AI182" s="358"/>
      <c r="AJ182" s="380"/>
      <c r="AK182" s="440"/>
    </row>
    <row r="183" spans="1:37" ht="12" customHeight="1" x14ac:dyDescent="0.25">
      <c r="A183" s="440"/>
      <c r="B183" s="323"/>
      <c r="C183" s="380"/>
      <c r="D183" s="303"/>
      <c r="E183" s="303"/>
      <c r="F183" s="303"/>
      <c r="G183" s="303"/>
      <c r="H183" s="303"/>
      <c r="I183" s="465"/>
      <c r="J183" s="1603" t="s">
        <v>170</v>
      </c>
      <c r="K183" s="1603"/>
      <c r="L183" s="503"/>
      <c r="M183" s="498"/>
      <c r="N183" s="359"/>
      <c r="O183" s="363"/>
      <c r="P183" s="363"/>
      <c r="Q183" s="363"/>
      <c r="R183" s="363"/>
      <c r="S183" s="390"/>
      <c r="T183" s="363"/>
      <c r="U183" s="375"/>
      <c r="V183" s="358"/>
      <c r="W183" s="1091"/>
      <c r="X183" s="1114"/>
      <c r="Y183" s="1104"/>
      <c r="Z183" s="363"/>
      <c r="AA183" s="375"/>
      <c r="AB183" s="358"/>
      <c r="AC183" s="1091"/>
      <c r="AD183" s="1114"/>
      <c r="AE183" s="1104"/>
      <c r="AF183" s="358"/>
      <c r="AG183" s="358"/>
      <c r="AH183" s="358"/>
      <c r="AI183" s="358"/>
      <c r="AJ183" s="380"/>
      <c r="AK183" s="440"/>
    </row>
    <row r="184" spans="1:37" ht="12" customHeight="1" x14ac:dyDescent="0.2">
      <c r="A184" s="440"/>
      <c r="B184" s="323"/>
      <c r="C184" s="380"/>
      <c r="D184" s="303"/>
      <c r="E184" s="303"/>
      <c r="F184" s="1085"/>
      <c r="G184" s="1264"/>
      <c r="H184" s="1264"/>
      <c r="I184" s="1265"/>
      <c r="J184" s="638"/>
      <c r="K184" s="520" t="s">
        <v>177</v>
      </c>
      <c r="L184" s="521"/>
      <c r="M184" s="340"/>
      <c r="N184" s="528" t="s">
        <v>67</v>
      </c>
      <c r="O184" s="339"/>
      <c r="P184" s="543" t="s">
        <v>68</v>
      </c>
      <c r="Q184" s="344"/>
      <c r="R184" s="522" t="s">
        <v>363</v>
      </c>
      <c r="S184" s="353">
        <f>(M184*O184)+Q184</f>
        <v>0</v>
      </c>
      <c r="T184" s="524"/>
      <c r="U184" s="350"/>
      <c r="V184" s="308"/>
      <c r="W184" s="1090" t="str">
        <f t="shared" ref="W184:W185" si="84">IF(AND(V184&lt;&gt;0,U184&lt;&gt;0),"X",IF(AND(V184&lt;&gt;0,U184=0),"A",IF(AND(V184=0,U184&lt;&gt;0),"P","")))</f>
        <v/>
      </c>
      <c r="X184" s="1103">
        <f>IFERROR(IF(W184="X",0,IF(U184&gt;0,U184,V184/S184)),0)</f>
        <v>0</v>
      </c>
      <c r="Y184" s="1120">
        <f>IFERROR(IF(W184="X",0,IF(V184&gt;0,V184,S184*U184)),0)</f>
        <v>0</v>
      </c>
      <c r="Z184" s="524"/>
      <c r="AA184" s="350"/>
      <c r="AB184" s="308"/>
      <c r="AC184" s="1090" t="str">
        <f t="shared" ref="AC184:AC185" si="85">IF(AND(AB184&lt;&gt;0,AA184&lt;&gt;0),"X",IF(AND(AB184&lt;&gt;0,AA184=0),"A",IF(AND(AB184=0,AA184&lt;&gt;0),"P","")))</f>
        <v/>
      </c>
      <c r="AD184" s="1103">
        <f>IFERROR(IF(AC184="X",0,IF(AA184&gt;0,AA184,AB184/S184)),0)</f>
        <v>0</v>
      </c>
      <c r="AE184" s="1120">
        <f>IFERROR(IF(AC184="X",0,IF(AB184&gt;0,AB184,S184*AA184)),0)</f>
        <v>0</v>
      </c>
      <c r="AF184" s="525"/>
      <c r="AG184" s="637"/>
      <c r="AH184" s="525"/>
      <c r="AI184" s="1086">
        <f t="shared" ref="AI184:AI185" si="86">AG184</f>
        <v>0</v>
      </c>
      <c r="AJ184" s="380"/>
      <c r="AK184" s="440"/>
    </row>
    <row r="185" spans="1:37" ht="12" customHeight="1" x14ac:dyDescent="0.2">
      <c r="A185" s="440"/>
      <c r="B185" s="323"/>
      <c r="C185" s="380"/>
      <c r="D185" s="303"/>
      <c r="E185" s="303"/>
      <c r="F185" s="1085"/>
      <c r="G185" s="1264"/>
      <c r="H185" s="1264"/>
      <c r="I185" s="1265"/>
      <c r="J185" s="638"/>
      <c r="K185" s="520" t="s">
        <v>177</v>
      </c>
      <c r="L185" s="521"/>
      <c r="M185" s="340"/>
      <c r="N185" s="528" t="s">
        <v>67</v>
      </c>
      <c r="O185" s="339"/>
      <c r="P185" s="543" t="s">
        <v>68</v>
      </c>
      <c r="Q185" s="344"/>
      <c r="R185" s="522" t="s">
        <v>363</v>
      </c>
      <c r="S185" s="353">
        <f>(M185*O185)+Q185</f>
        <v>0</v>
      </c>
      <c r="T185" s="524"/>
      <c r="U185" s="350"/>
      <c r="V185" s="308"/>
      <c r="W185" s="1090" t="str">
        <f t="shared" si="84"/>
        <v/>
      </c>
      <c r="X185" s="1103">
        <f>IFERROR(IF(W185="X",0,IF(U185&gt;0,U185,V185/S185)),0)</f>
        <v>0</v>
      </c>
      <c r="Y185" s="1120">
        <f>IFERROR(IF(W185="X",0,IF(V185&gt;0,V185,S185*U185)),0)</f>
        <v>0</v>
      </c>
      <c r="Z185" s="524"/>
      <c r="AA185" s="350"/>
      <c r="AB185" s="308"/>
      <c r="AC185" s="1090" t="str">
        <f t="shared" si="85"/>
        <v/>
      </c>
      <c r="AD185" s="1103">
        <f>IFERROR(IF(AC185="X",0,IF(AA185&gt;0,AA185,AB185/S185)),0)</f>
        <v>0</v>
      </c>
      <c r="AE185" s="1120">
        <f>IFERROR(IF(AC185="X",0,IF(AB185&gt;0,AB185,S185*AA185)),0)</f>
        <v>0</v>
      </c>
      <c r="AF185" s="525"/>
      <c r="AG185" s="637"/>
      <c r="AH185" s="525"/>
      <c r="AI185" s="1086">
        <f t="shared" si="86"/>
        <v>0</v>
      </c>
      <c r="AJ185" s="380"/>
      <c r="AK185" s="440"/>
    </row>
    <row r="186" spans="1:37" ht="12" customHeight="1" x14ac:dyDescent="0.25">
      <c r="A186" s="440"/>
      <c r="B186" s="323"/>
      <c r="C186" s="380"/>
      <c r="D186" s="303" t="s">
        <v>343</v>
      </c>
      <c r="E186" s="1599" t="s">
        <v>183</v>
      </c>
      <c r="F186" s="1599"/>
      <c r="G186" s="1599"/>
      <c r="H186" s="1599"/>
      <c r="I186" s="1597"/>
      <c r="J186" s="497"/>
      <c r="K186" s="529"/>
      <c r="L186" s="503"/>
      <c r="M186" s="498"/>
      <c r="N186" s="361"/>
      <c r="O186" s="365"/>
      <c r="P186" s="365"/>
      <c r="Q186" s="365"/>
      <c r="R186" s="365"/>
      <c r="S186" s="390">
        <f>SUBTOTAL(109,S188:S194)</f>
        <v>152227.19999999998</v>
      </c>
      <c r="T186" s="363"/>
      <c r="U186" s="375"/>
      <c r="V186" s="361"/>
      <c r="W186" s="1091"/>
      <c r="X186" s="1114"/>
      <c r="Y186" s="1121"/>
      <c r="Z186" s="363"/>
      <c r="AA186" s="375"/>
      <c r="AB186" s="361"/>
      <c r="AC186" s="1091"/>
      <c r="AD186" s="1114"/>
      <c r="AE186" s="1121"/>
      <c r="AF186" s="358"/>
      <c r="AG186" s="358"/>
      <c r="AH186" s="358"/>
      <c r="AI186" s="358"/>
      <c r="AJ186" s="380"/>
      <c r="AK186" s="440"/>
    </row>
    <row r="187" spans="1:37" ht="12" customHeight="1" x14ac:dyDescent="0.25">
      <c r="A187" s="440"/>
      <c r="B187" s="323"/>
      <c r="C187" s="380"/>
      <c r="D187" s="303"/>
      <c r="E187" s="303"/>
      <c r="F187" s="303"/>
      <c r="G187" s="303"/>
      <c r="H187" s="303"/>
      <c r="I187" s="465"/>
      <c r="J187" s="1603" t="s">
        <v>306</v>
      </c>
      <c r="K187" s="1603"/>
      <c r="L187" s="503"/>
      <c r="M187" s="498"/>
      <c r="N187" s="361"/>
      <c r="O187" s="365"/>
      <c r="P187" s="365"/>
      <c r="Q187" s="365"/>
      <c r="R187" s="365"/>
      <c r="S187" s="390"/>
      <c r="T187" s="363"/>
      <c r="U187" s="375"/>
      <c r="V187" s="361"/>
      <c r="W187" s="1091"/>
      <c r="X187" s="1114"/>
      <c r="Y187" s="1121"/>
      <c r="Z187" s="363"/>
      <c r="AA187" s="375"/>
      <c r="AB187" s="361"/>
      <c r="AC187" s="1091"/>
      <c r="AD187" s="1114"/>
      <c r="AE187" s="1121"/>
      <c r="AF187" s="358"/>
      <c r="AG187" s="358"/>
      <c r="AH187" s="358"/>
      <c r="AI187" s="358"/>
      <c r="AJ187" s="380"/>
      <c r="AK187" s="440"/>
    </row>
    <row r="188" spans="1:37" ht="12" customHeight="1" x14ac:dyDescent="0.2">
      <c r="A188" s="440"/>
      <c r="B188" s="323"/>
      <c r="C188" s="380"/>
      <c r="D188" s="303"/>
      <c r="E188" s="303"/>
      <c r="F188" s="1085" t="s">
        <v>866</v>
      </c>
      <c r="G188" s="1264"/>
      <c r="H188" s="1264"/>
      <c r="I188" s="1265"/>
      <c r="J188" s="638"/>
      <c r="K188" s="520" t="s">
        <v>177</v>
      </c>
      <c r="L188" s="521"/>
      <c r="M188" s="340"/>
      <c r="N188" s="528" t="s">
        <v>67</v>
      </c>
      <c r="O188" s="339"/>
      <c r="P188" s="543" t="s">
        <v>68</v>
      </c>
      <c r="Q188" s="344">
        <f>126856*1.2</f>
        <v>152227.19999999998</v>
      </c>
      <c r="R188" s="522" t="s">
        <v>363</v>
      </c>
      <c r="S188" s="353">
        <f t="shared" ref="S188:S194" si="87">(M188*O188)+Q188</f>
        <v>152227.19999999998</v>
      </c>
      <c r="T188" s="524"/>
      <c r="U188" s="350"/>
      <c r="V188" s="308"/>
      <c r="W188" s="1090" t="str">
        <f t="shared" ref="W188:W194" si="88">IF(AND(V188&lt;&gt;0,U188&lt;&gt;0),"X",IF(AND(V188&lt;&gt;0,U188=0),"A",IF(AND(V188=0,U188&lt;&gt;0),"P","")))</f>
        <v/>
      </c>
      <c r="X188" s="1103">
        <f t="shared" ref="X188:X194" si="89">IFERROR(IF(W188="X",0,IF(U188&gt;0,U188,V188/S188)),0)</f>
        <v>0</v>
      </c>
      <c r="Y188" s="1120">
        <f t="shared" ref="Y188:Y194" si="90">IFERROR(IF(W188="X",0,IF(V188&gt;0,V188,S188*U188)),0)</f>
        <v>0</v>
      </c>
      <c r="Z188" s="524"/>
      <c r="AA188" s="350"/>
      <c r="AB188" s="308">
        <v>368</v>
      </c>
      <c r="AC188" s="1090" t="str">
        <f t="shared" ref="AC188:AC194" si="91">IF(AND(AB188&lt;&gt;0,AA188&lt;&gt;0),"X",IF(AND(AB188&lt;&gt;0,AA188=0),"A",IF(AND(AB188=0,AA188&lt;&gt;0),"P","")))</f>
        <v>A</v>
      </c>
      <c r="AD188" s="1103">
        <f t="shared" ref="AD188:AD194" si="92">IFERROR(IF(AC188="X",0,IF(AA188&gt;0,AA188,AB188/S188)),0)</f>
        <v>2.4174391961489143E-3</v>
      </c>
      <c r="AE188" s="1120">
        <f t="shared" ref="AE188:AE194" si="93">IFERROR(IF(AC188="X",0,IF(AB188&gt;0,AB188,S188*AA188)),0)</f>
        <v>368</v>
      </c>
      <c r="AF188" s="525"/>
      <c r="AG188" s="637">
        <v>50</v>
      </c>
      <c r="AH188" s="525"/>
      <c r="AI188" s="1086">
        <f t="shared" ref="AI188:AI194" si="94">AG188</f>
        <v>50</v>
      </c>
      <c r="AJ188" s="380"/>
      <c r="AK188" s="440"/>
    </row>
    <row r="189" spans="1:37" ht="12" customHeight="1" x14ac:dyDescent="0.2">
      <c r="A189" s="440"/>
      <c r="B189" s="323"/>
      <c r="C189" s="380"/>
      <c r="D189" s="303"/>
      <c r="E189" s="303"/>
      <c r="F189" s="1085"/>
      <c r="G189" s="1264"/>
      <c r="H189" s="1264"/>
      <c r="I189" s="1265"/>
      <c r="J189" s="638"/>
      <c r="K189" s="520" t="s">
        <v>177</v>
      </c>
      <c r="L189" s="521"/>
      <c r="M189" s="340"/>
      <c r="N189" s="528" t="s">
        <v>67</v>
      </c>
      <c r="O189" s="339"/>
      <c r="P189" s="543" t="s">
        <v>68</v>
      </c>
      <c r="Q189" s="344"/>
      <c r="R189" s="522" t="s">
        <v>363</v>
      </c>
      <c r="S189" s="353">
        <f t="shared" si="87"/>
        <v>0</v>
      </c>
      <c r="T189" s="524"/>
      <c r="U189" s="350"/>
      <c r="V189" s="308"/>
      <c r="W189" s="1090" t="str">
        <f t="shared" si="88"/>
        <v/>
      </c>
      <c r="X189" s="1103">
        <f t="shared" si="89"/>
        <v>0</v>
      </c>
      <c r="Y189" s="1120">
        <f t="shared" si="90"/>
        <v>0</v>
      </c>
      <c r="Z189" s="524"/>
      <c r="AA189" s="350"/>
      <c r="AB189" s="308"/>
      <c r="AC189" s="1090" t="str">
        <f t="shared" si="91"/>
        <v/>
      </c>
      <c r="AD189" s="1103">
        <f t="shared" si="92"/>
        <v>0</v>
      </c>
      <c r="AE189" s="1120">
        <f t="shared" si="93"/>
        <v>0</v>
      </c>
      <c r="AF189" s="525"/>
      <c r="AG189" s="637"/>
      <c r="AH189" s="525"/>
      <c r="AI189" s="1086">
        <f t="shared" si="94"/>
        <v>0</v>
      </c>
      <c r="AJ189" s="380"/>
      <c r="AK189" s="440"/>
    </row>
    <row r="190" spans="1:37" ht="12" customHeight="1" x14ac:dyDescent="0.2">
      <c r="A190" s="440"/>
      <c r="B190" s="323"/>
      <c r="C190" s="380"/>
      <c r="D190" s="303"/>
      <c r="E190" s="303"/>
      <c r="F190" s="1085"/>
      <c r="G190" s="1264"/>
      <c r="H190" s="1264"/>
      <c r="I190" s="1265"/>
      <c r="J190" s="638"/>
      <c r="K190" s="520" t="s">
        <v>177</v>
      </c>
      <c r="L190" s="521"/>
      <c r="M190" s="340"/>
      <c r="N190" s="528" t="s">
        <v>67</v>
      </c>
      <c r="O190" s="339"/>
      <c r="P190" s="543" t="s">
        <v>68</v>
      </c>
      <c r="Q190" s="344"/>
      <c r="R190" s="522" t="s">
        <v>363</v>
      </c>
      <c r="S190" s="353">
        <f t="shared" si="87"/>
        <v>0</v>
      </c>
      <c r="T190" s="524"/>
      <c r="U190" s="350"/>
      <c r="V190" s="308"/>
      <c r="W190" s="1090" t="str">
        <f t="shared" si="88"/>
        <v/>
      </c>
      <c r="X190" s="1103">
        <f t="shared" si="89"/>
        <v>0</v>
      </c>
      <c r="Y190" s="1120">
        <f t="shared" si="90"/>
        <v>0</v>
      </c>
      <c r="Z190" s="524"/>
      <c r="AA190" s="350"/>
      <c r="AB190" s="308"/>
      <c r="AC190" s="1090" t="str">
        <f t="shared" si="91"/>
        <v/>
      </c>
      <c r="AD190" s="1103">
        <f t="shared" si="92"/>
        <v>0</v>
      </c>
      <c r="AE190" s="1120">
        <f t="shared" si="93"/>
        <v>0</v>
      </c>
      <c r="AF190" s="525"/>
      <c r="AG190" s="637"/>
      <c r="AH190" s="525"/>
      <c r="AI190" s="1086">
        <f t="shared" si="94"/>
        <v>0</v>
      </c>
      <c r="AJ190" s="380"/>
      <c r="AK190" s="440"/>
    </row>
    <row r="191" spans="1:37" ht="12" customHeight="1" x14ac:dyDescent="0.2">
      <c r="A191" s="440"/>
      <c r="B191" s="323"/>
      <c r="C191" s="380"/>
      <c r="D191" s="303"/>
      <c r="E191" s="303"/>
      <c r="F191" s="1085"/>
      <c r="G191" s="1264"/>
      <c r="H191" s="1264"/>
      <c r="I191" s="1265"/>
      <c r="J191" s="638"/>
      <c r="K191" s="520" t="s">
        <v>177</v>
      </c>
      <c r="L191" s="521"/>
      <c r="M191" s="340"/>
      <c r="N191" s="528" t="s">
        <v>67</v>
      </c>
      <c r="O191" s="339"/>
      <c r="P191" s="543" t="s">
        <v>68</v>
      </c>
      <c r="Q191" s="344"/>
      <c r="R191" s="522" t="s">
        <v>363</v>
      </c>
      <c r="S191" s="353">
        <f t="shared" si="87"/>
        <v>0</v>
      </c>
      <c r="T191" s="524"/>
      <c r="U191" s="350"/>
      <c r="V191" s="308"/>
      <c r="W191" s="1090" t="str">
        <f t="shared" si="88"/>
        <v/>
      </c>
      <c r="X191" s="1103">
        <f t="shared" si="89"/>
        <v>0</v>
      </c>
      <c r="Y191" s="1120">
        <f t="shared" si="90"/>
        <v>0</v>
      </c>
      <c r="Z191" s="524"/>
      <c r="AA191" s="350"/>
      <c r="AB191" s="308"/>
      <c r="AC191" s="1090" t="str">
        <f t="shared" si="91"/>
        <v/>
      </c>
      <c r="AD191" s="1103">
        <f t="shared" si="92"/>
        <v>0</v>
      </c>
      <c r="AE191" s="1120">
        <f t="shared" si="93"/>
        <v>0</v>
      </c>
      <c r="AF191" s="525"/>
      <c r="AG191" s="637"/>
      <c r="AH191" s="525"/>
      <c r="AI191" s="1086">
        <f t="shared" si="94"/>
        <v>0</v>
      </c>
      <c r="AJ191" s="380"/>
      <c r="AK191" s="440"/>
    </row>
    <row r="192" spans="1:37" ht="12" customHeight="1" x14ac:dyDescent="0.2">
      <c r="A192" s="440"/>
      <c r="B192" s="323"/>
      <c r="C192" s="380"/>
      <c r="D192" s="303"/>
      <c r="E192" s="303"/>
      <c r="F192" s="1085"/>
      <c r="G192" s="1264"/>
      <c r="H192" s="1264"/>
      <c r="I192" s="1265"/>
      <c r="J192" s="638"/>
      <c r="K192" s="520" t="s">
        <v>177</v>
      </c>
      <c r="L192" s="521"/>
      <c r="M192" s="340"/>
      <c r="N192" s="528" t="s">
        <v>67</v>
      </c>
      <c r="O192" s="339"/>
      <c r="P192" s="543" t="s">
        <v>68</v>
      </c>
      <c r="Q192" s="344"/>
      <c r="R192" s="522" t="s">
        <v>363</v>
      </c>
      <c r="S192" s="353">
        <f t="shared" si="87"/>
        <v>0</v>
      </c>
      <c r="T192" s="524"/>
      <c r="U192" s="350"/>
      <c r="V192" s="308"/>
      <c r="W192" s="1090" t="str">
        <f t="shared" si="88"/>
        <v/>
      </c>
      <c r="X192" s="1103">
        <f t="shared" si="89"/>
        <v>0</v>
      </c>
      <c r="Y192" s="1120">
        <f t="shared" si="90"/>
        <v>0</v>
      </c>
      <c r="Z192" s="524"/>
      <c r="AA192" s="350"/>
      <c r="AB192" s="308"/>
      <c r="AC192" s="1090" t="str">
        <f t="shared" si="91"/>
        <v/>
      </c>
      <c r="AD192" s="1103">
        <f t="shared" si="92"/>
        <v>0</v>
      </c>
      <c r="AE192" s="1120">
        <f t="shared" si="93"/>
        <v>0</v>
      </c>
      <c r="AF192" s="525"/>
      <c r="AG192" s="637"/>
      <c r="AH192" s="525"/>
      <c r="AI192" s="1086">
        <f t="shared" si="94"/>
        <v>0</v>
      </c>
      <c r="AJ192" s="380"/>
      <c r="AK192" s="440"/>
    </row>
    <row r="193" spans="1:37" ht="12" customHeight="1" x14ac:dyDescent="0.2">
      <c r="A193" s="440"/>
      <c r="B193" s="323"/>
      <c r="C193" s="380"/>
      <c r="D193" s="303"/>
      <c r="E193" s="303"/>
      <c r="F193" s="1085"/>
      <c r="G193" s="1264"/>
      <c r="H193" s="1264"/>
      <c r="I193" s="1265"/>
      <c r="J193" s="638"/>
      <c r="K193" s="520" t="s">
        <v>177</v>
      </c>
      <c r="L193" s="521"/>
      <c r="M193" s="340"/>
      <c r="N193" s="528" t="s">
        <v>67</v>
      </c>
      <c r="O193" s="339"/>
      <c r="P193" s="543" t="s">
        <v>68</v>
      </c>
      <c r="Q193" s="344"/>
      <c r="R193" s="522" t="s">
        <v>363</v>
      </c>
      <c r="S193" s="353">
        <f t="shared" si="87"/>
        <v>0</v>
      </c>
      <c r="T193" s="524"/>
      <c r="U193" s="350"/>
      <c r="V193" s="308"/>
      <c r="W193" s="1090" t="str">
        <f t="shared" si="88"/>
        <v/>
      </c>
      <c r="X193" s="1103">
        <f t="shared" si="89"/>
        <v>0</v>
      </c>
      <c r="Y193" s="1120">
        <f t="shared" si="90"/>
        <v>0</v>
      </c>
      <c r="Z193" s="524"/>
      <c r="AA193" s="350"/>
      <c r="AB193" s="308"/>
      <c r="AC193" s="1090" t="str">
        <f t="shared" si="91"/>
        <v/>
      </c>
      <c r="AD193" s="1103">
        <f t="shared" si="92"/>
        <v>0</v>
      </c>
      <c r="AE193" s="1120">
        <f t="shared" si="93"/>
        <v>0</v>
      </c>
      <c r="AF193" s="525"/>
      <c r="AG193" s="637"/>
      <c r="AH193" s="525"/>
      <c r="AI193" s="1086">
        <f t="shared" si="94"/>
        <v>0</v>
      </c>
      <c r="AJ193" s="380"/>
      <c r="AK193" s="440"/>
    </row>
    <row r="194" spans="1:37" ht="12" customHeight="1" x14ac:dyDescent="0.2">
      <c r="A194" s="440"/>
      <c r="B194" s="323"/>
      <c r="C194" s="380"/>
      <c r="D194" s="303"/>
      <c r="E194" s="303"/>
      <c r="F194" s="1085"/>
      <c r="G194" s="1264"/>
      <c r="H194" s="1264"/>
      <c r="I194" s="1265"/>
      <c r="J194" s="638"/>
      <c r="K194" s="520" t="s">
        <v>177</v>
      </c>
      <c r="L194" s="521"/>
      <c r="M194" s="340"/>
      <c r="N194" s="528" t="s">
        <v>67</v>
      </c>
      <c r="O194" s="339"/>
      <c r="P194" s="543" t="s">
        <v>68</v>
      </c>
      <c r="Q194" s="344"/>
      <c r="R194" s="522" t="s">
        <v>363</v>
      </c>
      <c r="S194" s="353">
        <f t="shared" si="87"/>
        <v>0</v>
      </c>
      <c r="T194" s="524"/>
      <c r="U194" s="350"/>
      <c r="V194" s="308"/>
      <c r="W194" s="1090" t="str">
        <f t="shared" si="88"/>
        <v/>
      </c>
      <c r="X194" s="1103">
        <f t="shared" si="89"/>
        <v>0</v>
      </c>
      <c r="Y194" s="1120">
        <f t="shared" si="90"/>
        <v>0</v>
      </c>
      <c r="Z194" s="524"/>
      <c r="AA194" s="350"/>
      <c r="AB194" s="308"/>
      <c r="AC194" s="1090" t="str">
        <f t="shared" si="91"/>
        <v/>
      </c>
      <c r="AD194" s="1103">
        <f t="shared" si="92"/>
        <v>0</v>
      </c>
      <c r="AE194" s="1120">
        <f t="shared" si="93"/>
        <v>0</v>
      </c>
      <c r="AF194" s="525"/>
      <c r="AG194" s="637"/>
      <c r="AH194" s="525"/>
      <c r="AI194" s="1086">
        <f t="shared" si="94"/>
        <v>0</v>
      </c>
      <c r="AJ194" s="380"/>
      <c r="AK194" s="440"/>
    </row>
    <row r="195" spans="1:37" ht="12" customHeight="1" x14ac:dyDescent="0.25">
      <c r="A195" s="440"/>
      <c r="B195" s="323"/>
      <c r="C195" s="380"/>
      <c r="D195" s="303" t="s">
        <v>16</v>
      </c>
      <c r="E195" s="1599" t="s">
        <v>15</v>
      </c>
      <c r="F195" s="1599"/>
      <c r="G195" s="1599"/>
      <c r="H195" s="1599"/>
      <c r="I195" s="1597"/>
      <c r="J195" s="497"/>
      <c r="K195" s="529"/>
      <c r="L195" s="503"/>
      <c r="M195" s="498"/>
      <c r="N195" s="361"/>
      <c r="O195" s="365"/>
      <c r="P195" s="365"/>
      <c r="Q195" s="365"/>
      <c r="R195" s="365"/>
      <c r="S195" s="390">
        <f>SUBTOTAL(109,S197:S200)</f>
        <v>32712</v>
      </c>
      <c r="T195" s="363"/>
      <c r="U195" s="375"/>
      <c r="V195" s="361"/>
      <c r="W195" s="1091"/>
      <c r="X195" s="1114"/>
      <c r="Y195" s="1121"/>
      <c r="Z195" s="363"/>
      <c r="AA195" s="375"/>
      <c r="AB195" s="361"/>
      <c r="AC195" s="1091"/>
      <c r="AD195" s="1114"/>
      <c r="AE195" s="1121"/>
      <c r="AF195" s="358"/>
      <c r="AG195" s="358"/>
      <c r="AH195" s="358"/>
      <c r="AI195" s="358"/>
      <c r="AJ195" s="380"/>
      <c r="AK195" s="440"/>
    </row>
    <row r="196" spans="1:37" ht="12" customHeight="1" x14ac:dyDescent="0.25">
      <c r="A196" s="440"/>
      <c r="B196" s="323"/>
      <c r="C196" s="380"/>
      <c r="D196" s="303"/>
      <c r="E196" s="303"/>
      <c r="F196" s="303"/>
      <c r="G196" s="303"/>
      <c r="H196" s="303"/>
      <c r="I196" s="465"/>
      <c r="J196" s="1603" t="s">
        <v>181</v>
      </c>
      <c r="K196" s="1603"/>
      <c r="L196" s="503"/>
      <c r="M196" s="498"/>
      <c r="N196" s="361"/>
      <c r="O196" s="365"/>
      <c r="P196" s="365"/>
      <c r="Q196" s="365"/>
      <c r="R196" s="365"/>
      <c r="S196" s="390"/>
      <c r="T196" s="363"/>
      <c r="U196" s="375"/>
      <c r="V196" s="361"/>
      <c r="W196" s="1091"/>
      <c r="X196" s="1114"/>
      <c r="Y196" s="1121"/>
      <c r="Z196" s="363"/>
      <c r="AA196" s="375"/>
      <c r="AB196" s="361"/>
      <c r="AC196" s="1091"/>
      <c r="AD196" s="1114"/>
      <c r="AE196" s="1121"/>
      <c r="AF196" s="358"/>
      <c r="AG196" s="358"/>
      <c r="AH196" s="358"/>
      <c r="AI196" s="358"/>
      <c r="AJ196" s="380"/>
      <c r="AK196" s="440"/>
    </row>
    <row r="197" spans="1:37" ht="12" customHeight="1" x14ac:dyDescent="0.2">
      <c r="A197" s="440"/>
      <c r="B197" s="323"/>
      <c r="C197" s="380"/>
      <c r="D197" s="303"/>
      <c r="E197" s="303"/>
      <c r="F197" s="1085" t="s">
        <v>752</v>
      </c>
      <c r="G197" s="1264"/>
      <c r="H197" s="1264"/>
      <c r="I197" s="1265"/>
      <c r="J197" s="638"/>
      <c r="K197" s="555" t="s">
        <v>95</v>
      </c>
      <c r="L197" s="541"/>
      <c r="M197" s="340"/>
      <c r="N197" s="528" t="s">
        <v>67</v>
      </c>
      <c r="O197" s="339"/>
      <c r="P197" s="543" t="s">
        <v>68</v>
      </c>
      <c r="Q197" s="344">
        <f>27260*1.2</f>
        <v>32712</v>
      </c>
      <c r="R197" s="522" t="s">
        <v>363</v>
      </c>
      <c r="S197" s="353">
        <f>(M197*O197)+Q197</f>
        <v>32712</v>
      </c>
      <c r="T197" s="524"/>
      <c r="U197" s="350"/>
      <c r="V197" s="308"/>
      <c r="W197" s="1090" t="str">
        <f t="shared" ref="W197:W200" si="95">IF(AND(V197&lt;&gt;0,U197&lt;&gt;0),"X",IF(AND(V197&lt;&gt;0,U197=0),"A",IF(AND(V197=0,U197&lt;&gt;0),"P","")))</f>
        <v/>
      </c>
      <c r="X197" s="1103">
        <f>IFERROR(IF(W197="X",0,IF(U197&gt;0,U197,V197/S197)),0)</f>
        <v>0</v>
      </c>
      <c r="Y197" s="1120">
        <f>IFERROR(IF(W197="X",0,IF(V197&gt;0,V197,S197*U197)),0)</f>
        <v>0</v>
      </c>
      <c r="Z197" s="524"/>
      <c r="AA197" s="350"/>
      <c r="AB197" s="308">
        <v>360</v>
      </c>
      <c r="AC197" s="1090" t="str">
        <f t="shared" ref="AC197:AC200" si="96">IF(AND(AB197&lt;&gt;0,AA197&lt;&gt;0),"X",IF(AND(AB197&lt;&gt;0,AA197=0),"A",IF(AND(AB197=0,AA197&lt;&gt;0),"P","")))</f>
        <v>A</v>
      </c>
      <c r="AD197" s="1103">
        <f>IFERROR(IF(AC197="X",0,IF(AA197&gt;0,AA197,AB197/S197)),0)</f>
        <v>1.1005135730007337E-2</v>
      </c>
      <c r="AE197" s="1120">
        <f>IFERROR(IF(AC197="X",0,IF(AB197&gt;0,AB197,S197*AA197)),0)</f>
        <v>360</v>
      </c>
      <c r="AF197" s="525"/>
      <c r="AG197" s="637">
        <v>25</v>
      </c>
      <c r="AH197" s="525"/>
      <c r="AI197" s="1086">
        <f t="shared" ref="AI197:AI200" si="97">AG197</f>
        <v>25</v>
      </c>
      <c r="AJ197" s="380"/>
      <c r="AK197" s="440"/>
    </row>
    <row r="198" spans="1:37" ht="12" customHeight="1" x14ac:dyDescent="0.2">
      <c r="A198" s="440"/>
      <c r="B198" s="323"/>
      <c r="C198" s="380"/>
      <c r="D198" s="303"/>
      <c r="E198" s="303"/>
      <c r="F198" s="1085"/>
      <c r="G198" s="1264"/>
      <c r="H198" s="1264"/>
      <c r="I198" s="1265"/>
      <c r="J198" s="638"/>
      <c r="K198" s="555" t="s">
        <v>95</v>
      </c>
      <c r="L198" s="541"/>
      <c r="M198" s="341"/>
      <c r="N198" s="528" t="s">
        <v>67</v>
      </c>
      <c r="O198" s="345"/>
      <c r="P198" s="543" t="s">
        <v>68</v>
      </c>
      <c r="Q198" s="344"/>
      <c r="R198" s="522" t="s">
        <v>363</v>
      </c>
      <c r="S198" s="353">
        <f>(M198*O198)+Q198</f>
        <v>0</v>
      </c>
      <c r="T198" s="524"/>
      <c r="U198" s="350"/>
      <c r="V198" s="309"/>
      <c r="W198" s="1090" t="str">
        <f t="shared" si="95"/>
        <v/>
      </c>
      <c r="X198" s="1103">
        <f>IFERROR(IF(W198="X",0,IF(U198&gt;0,U198,V198/S198)),0)</f>
        <v>0</v>
      </c>
      <c r="Y198" s="1120">
        <f>IFERROR(IF(W198="X",0,IF(V198&gt;0,V198,S198*U198)),0)</f>
        <v>0</v>
      </c>
      <c r="Z198" s="524"/>
      <c r="AA198" s="350"/>
      <c r="AB198" s="309"/>
      <c r="AC198" s="1090" t="str">
        <f t="shared" si="96"/>
        <v/>
      </c>
      <c r="AD198" s="1103">
        <f>IFERROR(IF(AC198="X",0,IF(AA198&gt;0,AA198,AB198/S198)),0)</f>
        <v>0</v>
      </c>
      <c r="AE198" s="1120">
        <f>IFERROR(IF(AC198="X",0,IF(AB198&gt;0,AB198,S198*AA198)),0)</f>
        <v>0</v>
      </c>
      <c r="AF198" s="525"/>
      <c r="AG198" s="637"/>
      <c r="AH198" s="525"/>
      <c r="AI198" s="1086">
        <f t="shared" si="97"/>
        <v>0</v>
      </c>
      <c r="AJ198" s="380"/>
      <c r="AK198" s="440"/>
    </row>
    <row r="199" spans="1:37" ht="12" customHeight="1" x14ac:dyDescent="0.2">
      <c r="A199" s="440"/>
      <c r="B199" s="323"/>
      <c r="C199" s="380"/>
      <c r="D199" s="303"/>
      <c r="E199" s="303"/>
      <c r="F199" s="1085"/>
      <c r="G199" s="1264"/>
      <c r="H199" s="1264"/>
      <c r="I199" s="1265"/>
      <c r="J199" s="638"/>
      <c r="K199" s="555" t="s">
        <v>95</v>
      </c>
      <c r="L199" s="541"/>
      <c r="M199" s="341"/>
      <c r="N199" s="528" t="s">
        <v>67</v>
      </c>
      <c r="O199" s="345"/>
      <c r="P199" s="543" t="s">
        <v>68</v>
      </c>
      <c r="Q199" s="344"/>
      <c r="R199" s="522" t="s">
        <v>363</v>
      </c>
      <c r="S199" s="353">
        <f>(M199*O199)+Q199</f>
        <v>0</v>
      </c>
      <c r="T199" s="524"/>
      <c r="U199" s="350"/>
      <c r="V199" s="309"/>
      <c r="W199" s="1090" t="str">
        <f t="shared" si="95"/>
        <v/>
      </c>
      <c r="X199" s="1103">
        <f>IFERROR(IF(W199="X",0,IF(U199&gt;0,U199,V199/S199)),0)</f>
        <v>0</v>
      </c>
      <c r="Y199" s="1120">
        <f>IFERROR(IF(W199="X",0,IF(V199&gt;0,V199,S199*U199)),0)</f>
        <v>0</v>
      </c>
      <c r="Z199" s="524"/>
      <c r="AA199" s="350"/>
      <c r="AB199" s="309"/>
      <c r="AC199" s="1090" t="str">
        <f t="shared" si="96"/>
        <v/>
      </c>
      <c r="AD199" s="1103">
        <f>IFERROR(IF(AC199="X",0,IF(AA199&gt;0,AA199,AB199/S199)),0)</f>
        <v>0</v>
      </c>
      <c r="AE199" s="1120">
        <f>IFERROR(IF(AC199="X",0,IF(AB199&gt;0,AB199,S199*AA199)),0)</f>
        <v>0</v>
      </c>
      <c r="AF199" s="525"/>
      <c r="AG199" s="637"/>
      <c r="AH199" s="525"/>
      <c r="AI199" s="1086">
        <f t="shared" si="97"/>
        <v>0</v>
      </c>
      <c r="AJ199" s="380"/>
      <c r="AK199" s="440"/>
    </row>
    <row r="200" spans="1:37" ht="12" customHeight="1" x14ac:dyDescent="0.2">
      <c r="A200" s="440"/>
      <c r="B200" s="323"/>
      <c r="C200" s="380"/>
      <c r="D200" s="303"/>
      <c r="E200" s="303"/>
      <c r="F200" s="1085"/>
      <c r="G200" s="1264"/>
      <c r="H200" s="1264"/>
      <c r="I200" s="1265"/>
      <c r="J200" s="638"/>
      <c r="K200" s="555" t="s">
        <v>95</v>
      </c>
      <c r="L200" s="541"/>
      <c r="M200" s="340"/>
      <c r="N200" s="528" t="s">
        <v>67</v>
      </c>
      <c r="O200" s="339"/>
      <c r="P200" s="543" t="s">
        <v>68</v>
      </c>
      <c r="Q200" s="344"/>
      <c r="R200" s="522" t="s">
        <v>363</v>
      </c>
      <c r="S200" s="353">
        <f>(M200*O200)+Q200</f>
        <v>0</v>
      </c>
      <c r="T200" s="524"/>
      <c r="U200" s="350"/>
      <c r="V200" s="308"/>
      <c r="W200" s="1090" t="str">
        <f t="shared" si="95"/>
        <v/>
      </c>
      <c r="X200" s="1103">
        <f>IFERROR(IF(W200="X",0,IF(U200&gt;0,U200,V200/S200)),0)</f>
        <v>0</v>
      </c>
      <c r="Y200" s="1120">
        <f>IFERROR(IF(W200="X",0,IF(V200&gt;0,V200,S200*U200)),0)</f>
        <v>0</v>
      </c>
      <c r="Z200" s="524"/>
      <c r="AA200" s="350"/>
      <c r="AB200" s="308"/>
      <c r="AC200" s="1090" t="str">
        <f t="shared" si="96"/>
        <v/>
      </c>
      <c r="AD200" s="1103">
        <f>IFERROR(IF(AC200="X",0,IF(AA200&gt;0,AA200,AB200/S200)),0)</f>
        <v>0</v>
      </c>
      <c r="AE200" s="1120">
        <f>IFERROR(IF(AC200="X",0,IF(AB200&gt;0,AB200,S200*AA200)),0)</f>
        <v>0</v>
      </c>
      <c r="AF200" s="525"/>
      <c r="AG200" s="637"/>
      <c r="AH200" s="525"/>
      <c r="AI200" s="1086">
        <f t="shared" si="97"/>
        <v>0</v>
      </c>
      <c r="AJ200" s="380"/>
      <c r="AK200" s="440"/>
    </row>
    <row r="201" spans="1:37" ht="12" customHeight="1" collapsed="1" x14ac:dyDescent="0.2">
      <c r="A201" s="440"/>
      <c r="B201" s="324"/>
      <c r="C201" s="378"/>
      <c r="D201" s="374"/>
      <c r="E201" s="374"/>
      <c r="F201" s="374"/>
      <c r="G201" s="374"/>
      <c r="H201" s="374"/>
      <c r="I201" s="374"/>
      <c r="J201" s="374"/>
      <c r="K201" s="374"/>
      <c r="L201" s="374"/>
      <c r="M201" s="545"/>
      <c r="N201" s="544"/>
      <c r="O201" s="374"/>
      <c r="P201" s="374"/>
      <c r="Q201" s="374"/>
      <c r="R201" s="374"/>
      <c r="S201" s="374"/>
      <c r="T201" s="374"/>
      <c r="U201" s="374"/>
      <c r="V201" s="374"/>
      <c r="W201" s="1097"/>
      <c r="X201" s="1112"/>
      <c r="Y201" s="1112"/>
      <c r="Z201" s="374"/>
      <c r="AA201" s="374"/>
      <c r="AB201" s="374"/>
      <c r="AC201" s="1097"/>
      <c r="AD201" s="1112"/>
      <c r="AE201" s="1112"/>
      <c r="AF201" s="374"/>
      <c r="AG201" s="374"/>
      <c r="AH201" s="374"/>
      <c r="AI201" s="556"/>
      <c r="AJ201" s="374"/>
      <c r="AK201" s="440"/>
    </row>
    <row r="202" spans="1:37" ht="12" customHeight="1" x14ac:dyDescent="0.2">
      <c r="A202" s="440"/>
      <c r="B202" s="320"/>
      <c r="C202" s="386"/>
      <c r="D202" s="386"/>
      <c r="E202" s="386"/>
      <c r="F202" s="386"/>
      <c r="G202" s="386"/>
      <c r="H202" s="386"/>
      <c r="I202" s="386"/>
      <c r="J202" s="386"/>
      <c r="K202" s="503"/>
      <c r="L202" s="503"/>
      <c r="M202" s="549"/>
      <c r="N202" s="435"/>
      <c r="O202" s="379"/>
      <c r="P202" s="379"/>
      <c r="Q202" s="379"/>
      <c r="R202" s="379"/>
      <c r="S202" s="379"/>
      <c r="T202" s="379"/>
      <c r="U202" s="1598"/>
      <c r="V202" s="1598"/>
      <c r="W202" s="1095"/>
      <c r="X202" s="1113"/>
      <c r="Y202" s="1113"/>
      <c r="Z202" s="379"/>
      <c r="AA202" s="1598"/>
      <c r="AB202" s="1598"/>
      <c r="AC202" s="1095"/>
      <c r="AD202" s="1113"/>
      <c r="AE202" s="1113"/>
      <c r="AF202" s="379"/>
      <c r="AG202" s="379"/>
      <c r="AH202" s="379"/>
      <c r="AI202" s="481"/>
      <c r="AJ202" s="379"/>
      <c r="AK202" s="440"/>
    </row>
    <row r="203" spans="1:37" ht="12" customHeight="1" x14ac:dyDescent="0.2">
      <c r="A203" s="440"/>
      <c r="B203" s="320"/>
      <c r="C203" s="386"/>
      <c r="D203" s="386"/>
      <c r="E203" s="386"/>
      <c r="F203" s="386"/>
      <c r="G203" s="386"/>
      <c r="H203" s="386"/>
      <c r="I203" s="386"/>
      <c r="J203" s="386"/>
      <c r="K203" s="503"/>
      <c r="L203" s="503"/>
      <c r="M203" s="498"/>
      <c r="N203" s="503"/>
      <c r="O203" s="386"/>
      <c r="P203" s="386"/>
      <c r="Q203" s="386"/>
      <c r="R203" s="386"/>
      <c r="S203" s="372"/>
      <c r="T203" s="372"/>
      <c r="U203" s="372"/>
      <c r="V203" s="372"/>
      <c r="W203" s="1096"/>
      <c r="X203" s="1110"/>
      <c r="Y203" s="1110"/>
      <c r="Z203" s="372"/>
      <c r="AA203" s="372"/>
      <c r="AB203" s="372"/>
      <c r="AC203" s="1096"/>
      <c r="AD203" s="1110"/>
      <c r="AE203" s="1110"/>
      <c r="AF203" s="372"/>
      <c r="AG203" s="372"/>
      <c r="AH203" s="372"/>
      <c r="AI203" s="482"/>
      <c r="AJ203" s="372"/>
      <c r="AK203" s="440"/>
    </row>
    <row r="204" spans="1:37" ht="14.25" customHeight="1" x14ac:dyDescent="0.25">
      <c r="A204" s="440"/>
      <c r="B204" s="499">
        <v>5</v>
      </c>
      <c r="C204" s="494"/>
      <c r="D204" s="495"/>
      <c r="E204" s="1606" t="s">
        <v>13</v>
      </c>
      <c r="F204" s="1606"/>
      <c r="G204" s="1606"/>
      <c r="H204" s="1606"/>
      <c r="I204" s="1597"/>
      <c r="J204" s="497"/>
      <c r="K204" s="462"/>
      <c r="L204" s="462"/>
      <c r="M204" s="498"/>
      <c r="N204" s="359"/>
      <c r="O204" s="363"/>
      <c r="P204" s="363"/>
      <c r="Q204" s="363"/>
      <c r="R204" s="363"/>
      <c r="S204" s="385">
        <f>S205</f>
        <v>158175.552</v>
      </c>
      <c r="T204" s="363"/>
      <c r="U204" s="363"/>
      <c r="V204" s="363"/>
      <c r="W204" s="1093"/>
      <c r="X204" s="1116"/>
      <c r="Y204" s="1116"/>
      <c r="Z204" s="363"/>
      <c r="AA204" s="363"/>
      <c r="AB204" s="363"/>
      <c r="AC204" s="1093"/>
      <c r="AD204" s="1116"/>
      <c r="AE204" s="1116"/>
      <c r="AF204" s="363"/>
      <c r="AG204" s="363"/>
      <c r="AH204" s="363"/>
      <c r="AI204" s="358"/>
      <c r="AJ204" s="363"/>
      <c r="AK204" s="440"/>
    </row>
    <row r="205" spans="1:37" ht="14.25" customHeight="1" x14ac:dyDescent="0.25">
      <c r="A205" s="440"/>
      <c r="B205" s="518"/>
      <c r="C205" s="386" t="s">
        <v>12</v>
      </c>
      <c r="D205" s="494"/>
      <c r="E205" s="1596" t="s">
        <v>11</v>
      </c>
      <c r="F205" s="1596"/>
      <c r="G205" s="1596"/>
      <c r="H205" s="1596"/>
      <c r="I205" s="1597"/>
      <c r="J205" s="497"/>
      <c r="K205" s="462"/>
      <c r="L205" s="462"/>
      <c r="M205" s="498"/>
      <c r="N205" s="359"/>
      <c r="O205" s="363"/>
      <c r="P205" s="363"/>
      <c r="Q205" s="363"/>
      <c r="R205" s="363"/>
      <c r="S205" s="355">
        <f>SUBTOTAL(109,S207:S211)</f>
        <v>158175.552</v>
      </c>
      <c r="T205" s="363"/>
      <c r="U205" s="363"/>
      <c r="V205" s="377"/>
      <c r="W205" s="1093"/>
      <c r="X205" s="1116"/>
      <c r="Y205" s="1125"/>
      <c r="Z205" s="363"/>
      <c r="AA205" s="363"/>
      <c r="AB205" s="377"/>
      <c r="AC205" s="1093"/>
      <c r="AD205" s="1116"/>
      <c r="AE205" s="1125"/>
      <c r="AF205" s="363"/>
      <c r="AG205" s="363"/>
      <c r="AH205" s="363"/>
      <c r="AI205" s="358"/>
      <c r="AJ205" s="363"/>
      <c r="AK205" s="440"/>
    </row>
    <row r="206" spans="1:37" ht="14.25" customHeight="1" x14ac:dyDescent="0.25">
      <c r="A206" s="440"/>
      <c r="B206" s="518"/>
      <c r="C206" s="386"/>
      <c r="D206" s="494"/>
      <c r="E206" s="386"/>
      <c r="F206" s="386"/>
      <c r="G206" s="386"/>
      <c r="H206" s="386"/>
      <c r="I206" s="465"/>
      <c r="J206" s="497"/>
      <c r="K206" s="462"/>
      <c r="L206" s="462"/>
      <c r="M206" s="498"/>
      <c r="N206" s="359"/>
      <c r="O206" s="363"/>
      <c r="P206" s="363"/>
      <c r="Q206" s="363"/>
      <c r="R206" s="363"/>
      <c r="S206" s="355"/>
      <c r="T206" s="363"/>
      <c r="U206" s="363"/>
      <c r="V206" s="377"/>
      <c r="W206" s="1093"/>
      <c r="X206" s="1116"/>
      <c r="Y206" s="1125"/>
      <c r="Z206" s="363"/>
      <c r="AA206" s="363"/>
      <c r="AB206" s="377"/>
      <c r="AC206" s="1093"/>
      <c r="AD206" s="1116"/>
      <c r="AE206" s="1125"/>
      <c r="AF206" s="363"/>
      <c r="AG206" s="363"/>
      <c r="AH206" s="363"/>
      <c r="AI206" s="358"/>
      <c r="AJ206" s="363"/>
      <c r="AK206" s="440"/>
    </row>
    <row r="207" spans="1:37" ht="12" customHeight="1" x14ac:dyDescent="0.2">
      <c r="A207" s="440"/>
      <c r="B207" s="323"/>
      <c r="C207" s="380"/>
      <c r="D207" s="380"/>
      <c r="E207" s="380"/>
      <c r="F207" s="1088" t="s">
        <v>753</v>
      </c>
      <c r="G207" s="1264"/>
      <c r="H207" s="1264"/>
      <c r="I207" s="1265"/>
      <c r="J207" s="559"/>
      <c r="K207" s="463"/>
      <c r="L207" s="463"/>
      <c r="M207" s="339"/>
      <c r="N207" s="361"/>
      <c r="O207" s="339"/>
      <c r="P207" s="365"/>
      <c r="Q207" s="344">
        <f>131812.96*1.2</f>
        <v>158175.552</v>
      </c>
      <c r="R207" s="522" t="s">
        <v>363</v>
      </c>
      <c r="S207" s="353">
        <f>(M207*O207)+Q207</f>
        <v>158175.552</v>
      </c>
      <c r="T207" s="363"/>
      <c r="U207" s="350"/>
      <c r="V207" s="305"/>
      <c r="W207" s="1090" t="str">
        <f t="shared" ref="W207:W211" si="98">IF(AND(V207&lt;&gt;0,U207&lt;&gt;0),"X",IF(AND(V207&lt;&gt;0,U207=0),"A",IF(AND(V207=0,U207&lt;&gt;0),"P","")))</f>
        <v/>
      </c>
      <c r="X207" s="1103">
        <f>IFERROR(IF(W207="X",0,IF(U207&gt;0,U207,V207/S207)),0)</f>
        <v>0</v>
      </c>
      <c r="Y207" s="1120">
        <f>IFERROR(IF(W207="X",0,IF(V207&gt;0,V207,S207*U207)),0)</f>
        <v>0</v>
      </c>
      <c r="Z207" s="363"/>
      <c r="AA207" s="350"/>
      <c r="AB207" s="305"/>
      <c r="AC207" s="1090" t="str">
        <f t="shared" ref="AC207:AC211" si="99">IF(AND(AB207&lt;&gt;0,AA207&lt;&gt;0),"X",IF(AND(AB207&lt;&gt;0,AA207=0),"A",IF(AND(AB207=0,AA207&lt;&gt;0),"P","")))</f>
        <v/>
      </c>
      <c r="AD207" s="1103">
        <f>IFERROR(IF(AC207="X",0,IF(AA207&gt;0,AA207,AB207/S207)),0)</f>
        <v>0</v>
      </c>
      <c r="AE207" s="1120">
        <f>IFERROR(IF(AC207="X",0,IF(AB207&gt;0,AB207,S207*AA207)),0)</f>
        <v>0</v>
      </c>
      <c r="AF207" s="363"/>
      <c r="AG207" s="637">
        <v>50</v>
      </c>
      <c r="AH207" s="525"/>
      <c r="AI207" s="1086">
        <f t="shared" ref="AI207:AI211" si="100">AG207</f>
        <v>50</v>
      </c>
      <c r="AJ207" s="380"/>
      <c r="AK207" s="440"/>
    </row>
    <row r="208" spans="1:37" ht="12" customHeight="1" x14ac:dyDescent="0.2">
      <c r="A208" s="440"/>
      <c r="B208" s="323"/>
      <c r="C208" s="380"/>
      <c r="D208" s="380"/>
      <c r="E208" s="380"/>
      <c r="F208" s="1088"/>
      <c r="G208" s="1264"/>
      <c r="H208" s="1264"/>
      <c r="I208" s="1265"/>
      <c r="J208" s="559"/>
      <c r="K208" s="463"/>
      <c r="L208" s="463"/>
      <c r="M208" s="339"/>
      <c r="N208" s="361"/>
      <c r="O208" s="339"/>
      <c r="P208" s="365"/>
      <c r="Q208" s="344"/>
      <c r="R208" s="522" t="s">
        <v>363</v>
      </c>
      <c r="S208" s="353">
        <f>(M208*O208)+Q208</f>
        <v>0</v>
      </c>
      <c r="T208" s="363"/>
      <c r="U208" s="350"/>
      <c r="V208" s="305"/>
      <c r="W208" s="1090" t="str">
        <f t="shared" si="98"/>
        <v/>
      </c>
      <c r="X208" s="1103">
        <f>IFERROR(IF(W208="X",0,IF(U208&gt;0,U208,V208/S208)),0)</f>
        <v>0</v>
      </c>
      <c r="Y208" s="1120">
        <f>IFERROR(IF(W208="X",0,IF(V208&gt;0,V208,S208*U208)),0)</f>
        <v>0</v>
      </c>
      <c r="Z208" s="363"/>
      <c r="AA208" s="350"/>
      <c r="AB208" s="305"/>
      <c r="AC208" s="1090" t="str">
        <f t="shared" si="99"/>
        <v/>
      </c>
      <c r="AD208" s="1103">
        <f>IFERROR(IF(AC208="X",0,IF(AA208&gt;0,AA208,AB208/S208)),0)</f>
        <v>0</v>
      </c>
      <c r="AE208" s="1120">
        <f>IFERROR(IF(AC208="X",0,IF(AB208&gt;0,AB208,S208*AA208)),0)</f>
        <v>0</v>
      </c>
      <c r="AF208" s="363"/>
      <c r="AG208" s="637"/>
      <c r="AH208" s="525"/>
      <c r="AI208" s="1086">
        <f t="shared" si="100"/>
        <v>0</v>
      </c>
      <c r="AJ208" s="380"/>
      <c r="AK208" s="440"/>
    </row>
    <row r="209" spans="1:37" ht="12" customHeight="1" x14ac:dyDescent="0.2">
      <c r="A209" s="440"/>
      <c r="B209" s="323"/>
      <c r="C209" s="380"/>
      <c r="D209" s="380"/>
      <c r="E209" s="380"/>
      <c r="F209" s="1088"/>
      <c r="G209" s="1264"/>
      <c r="H209" s="1264"/>
      <c r="I209" s="1265"/>
      <c r="J209" s="559"/>
      <c r="K209" s="463"/>
      <c r="L209" s="463"/>
      <c r="M209" s="339"/>
      <c r="N209" s="361"/>
      <c r="O209" s="339"/>
      <c r="P209" s="365"/>
      <c r="Q209" s="344"/>
      <c r="R209" s="522" t="s">
        <v>363</v>
      </c>
      <c r="S209" s="353">
        <f>(M209*O209)+Q209</f>
        <v>0</v>
      </c>
      <c r="T209" s="363"/>
      <c r="U209" s="350"/>
      <c r="V209" s="305"/>
      <c r="W209" s="1090" t="str">
        <f t="shared" si="98"/>
        <v/>
      </c>
      <c r="X209" s="1103">
        <f>IFERROR(IF(W209="X",0,IF(U209&gt;0,U209,V209/S209)),0)</f>
        <v>0</v>
      </c>
      <c r="Y209" s="1120">
        <f>IFERROR(IF(W209="X",0,IF(V209&gt;0,V209,S209*U209)),0)</f>
        <v>0</v>
      </c>
      <c r="Z209" s="363"/>
      <c r="AA209" s="350"/>
      <c r="AB209" s="305"/>
      <c r="AC209" s="1090" t="str">
        <f t="shared" si="99"/>
        <v/>
      </c>
      <c r="AD209" s="1103">
        <f>IFERROR(IF(AC209="X",0,IF(AA209&gt;0,AA209,AB209/S209)),0)</f>
        <v>0</v>
      </c>
      <c r="AE209" s="1120">
        <f>IFERROR(IF(AC209="X",0,IF(AB209&gt;0,AB209,S209*AA209)),0)</f>
        <v>0</v>
      </c>
      <c r="AF209" s="363"/>
      <c r="AG209" s="637"/>
      <c r="AH209" s="525"/>
      <c r="AI209" s="1086">
        <f t="shared" si="100"/>
        <v>0</v>
      </c>
      <c r="AJ209" s="380"/>
      <c r="AK209" s="440"/>
    </row>
    <row r="210" spans="1:37" ht="12" customHeight="1" x14ac:dyDescent="0.2">
      <c r="A210" s="440"/>
      <c r="B210" s="323"/>
      <c r="C210" s="380"/>
      <c r="D210" s="380"/>
      <c r="E210" s="380"/>
      <c r="F210" s="1088"/>
      <c r="G210" s="1264"/>
      <c r="H210" s="1264"/>
      <c r="I210" s="1265"/>
      <c r="J210" s="559"/>
      <c r="K210" s="463"/>
      <c r="L210" s="463"/>
      <c r="M210" s="339"/>
      <c r="N210" s="361"/>
      <c r="O210" s="339"/>
      <c r="P210" s="365"/>
      <c r="Q210" s="344"/>
      <c r="R210" s="522" t="s">
        <v>363</v>
      </c>
      <c r="S210" s="353">
        <f>(M210*O210)+Q210</f>
        <v>0</v>
      </c>
      <c r="T210" s="363"/>
      <c r="U210" s="350"/>
      <c r="V210" s="305"/>
      <c r="W210" s="1090" t="str">
        <f t="shared" si="98"/>
        <v/>
      </c>
      <c r="X210" s="1103">
        <f>IFERROR(IF(W210="X",0,IF(U210&gt;0,U210,V210/S210)),0)</f>
        <v>0</v>
      </c>
      <c r="Y210" s="1120">
        <f>IFERROR(IF(W210="X",0,IF(V210&gt;0,V210,S210*U210)),0)</f>
        <v>0</v>
      </c>
      <c r="Z210" s="363"/>
      <c r="AA210" s="350"/>
      <c r="AB210" s="305"/>
      <c r="AC210" s="1090" t="str">
        <f t="shared" si="99"/>
        <v/>
      </c>
      <c r="AD210" s="1103">
        <f>IFERROR(IF(AC210="X",0,IF(AA210&gt;0,AA210,AB210/S210)),0)</f>
        <v>0</v>
      </c>
      <c r="AE210" s="1120">
        <f>IFERROR(IF(AC210="X",0,IF(AB210&gt;0,AB210,S210*AA210)),0)</f>
        <v>0</v>
      </c>
      <c r="AF210" s="363"/>
      <c r="AG210" s="637"/>
      <c r="AH210" s="525"/>
      <c r="AI210" s="1086">
        <f t="shared" si="100"/>
        <v>0</v>
      </c>
      <c r="AJ210" s="380"/>
      <c r="AK210" s="440"/>
    </row>
    <row r="211" spans="1:37" ht="12" customHeight="1" x14ac:dyDescent="0.2">
      <c r="A211" s="440"/>
      <c r="B211" s="323"/>
      <c r="C211" s="380"/>
      <c r="D211" s="380"/>
      <c r="E211" s="380"/>
      <c r="F211" s="1088"/>
      <c r="G211" s="1264"/>
      <c r="H211" s="1264"/>
      <c r="I211" s="1265"/>
      <c r="J211" s="559"/>
      <c r="K211" s="463"/>
      <c r="L211" s="463"/>
      <c r="M211" s="339"/>
      <c r="N211" s="361"/>
      <c r="O211" s="339"/>
      <c r="P211" s="365"/>
      <c r="Q211" s="344"/>
      <c r="R211" s="522" t="s">
        <v>363</v>
      </c>
      <c r="S211" s="353">
        <f>(M211*O211)+Q211</f>
        <v>0</v>
      </c>
      <c r="T211" s="363"/>
      <c r="U211" s="350"/>
      <c r="V211" s="305"/>
      <c r="W211" s="1090" t="str">
        <f t="shared" si="98"/>
        <v/>
      </c>
      <c r="X211" s="1103">
        <f>IFERROR(IF(W211="X",0,IF(U211&gt;0,U211,V211/S211)),0)</f>
        <v>0</v>
      </c>
      <c r="Y211" s="1120">
        <f>IFERROR(IF(W211="X",0,IF(V211&gt;0,V211,S211*U211)),0)</f>
        <v>0</v>
      </c>
      <c r="Z211" s="363"/>
      <c r="AA211" s="350"/>
      <c r="AB211" s="305"/>
      <c r="AC211" s="1090" t="str">
        <f t="shared" si="99"/>
        <v/>
      </c>
      <c r="AD211" s="1103">
        <f>IFERROR(IF(AC211="X",0,IF(AA211&gt;0,AA211,AB211/S211)),0)</f>
        <v>0</v>
      </c>
      <c r="AE211" s="1120">
        <f>IFERROR(IF(AC211="X",0,IF(AB211&gt;0,AB211,S211*AA211)),0)</f>
        <v>0</v>
      </c>
      <c r="AF211" s="363"/>
      <c r="AG211" s="637"/>
      <c r="AH211" s="525"/>
      <c r="AI211" s="1086">
        <f t="shared" si="100"/>
        <v>0</v>
      </c>
      <c r="AJ211" s="380"/>
      <c r="AK211" s="440"/>
    </row>
    <row r="212" spans="1:37" ht="12" customHeight="1" collapsed="1" x14ac:dyDescent="0.2">
      <c r="A212" s="440"/>
      <c r="B212" s="324"/>
      <c r="C212" s="378"/>
      <c r="D212" s="378"/>
      <c r="E212" s="378"/>
      <c r="F212" s="378"/>
      <c r="G212" s="378"/>
      <c r="H212" s="378"/>
      <c r="I212" s="378"/>
      <c r="J212" s="378"/>
      <c r="K212" s="378"/>
      <c r="L212" s="378"/>
      <c r="M212" s="560"/>
      <c r="N212" s="561"/>
      <c r="O212" s="378"/>
      <c r="P212" s="378"/>
      <c r="Q212" s="378"/>
      <c r="R212" s="378"/>
      <c r="S212" s="378"/>
      <c r="T212" s="378"/>
      <c r="U212" s="378"/>
      <c r="V212" s="378"/>
      <c r="W212" s="1098"/>
      <c r="X212" s="1117"/>
      <c r="Y212" s="1117"/>
      <c r="Z212" s="378"/>
      <c r="AA212" s="378"/>
      <c r="AB212" s="378"/>
      <c r="AC212" s="1098"/>
      <c r="AD212" s="1117"/>
      <c r="AE212" s="1117"/>
      <c r="AF212" s="378"/>
      <c r="AG212" s="378"/>
      <c r="AH212" s="378"/>
      <c r="AI212" s="562"/>
      <c r="AJ212" s="378"/>
      <c r="AK212" s="440"/>
    </row>
    <row r="213" spans="1:37" ht="12" customHeight="1" x14ac:dyDescent="0.2">
      <c r="A213" s="440"/>
      <c r="B213" s="320"/>
      <c r="C213" s="386"/>
      <c r="D213" s="386"/>
      <c r="E213" s="386"/>
      <c r="F213" s="386"/>
      <c r="G213" s="386"/>
      <c r="H213" s="386"/>
      <c r="I213" s="386"/>
      <c r="J213" s="386"/>
      <c r="K213" s="503"/>
      <c r="L213" s="503"/>
      <c r="M213" s="549"/>
      <c r="N213" s="435"/>
      <c r="O213" s="379"/>
      <c r="P213" s="379"/>
      <c r="Q213" s="379"/>
      <c r="R213" s="379"/>
      <c r="S213" s="379"/>
      <c r="T213" s="379"/>
      <c r="U213" s="379"/>
      <c r="V213" s="379"/>
      <c r="W213" s="1099"/>
      <c r="X213" s="1118"/>
      <c r="Y213" s="1118"/>
      <c r="Z213" s="379"/>
      <c r="AA213" s="379"/>
      <c r="AB213" s="379"/>
      <c r="AC213" s="1099"/>
      <c r="AD213" s="1118"/>
      <c r="AE213" s="1118"/>
      <c r="AF213" s="379"/>
      <c r="AG213" s="379"/>
      <c r="AH213" s="379"/>
      <c r="AI213" s="481"/>
      <c r="AJ213" s="379"/>
      <c r="AK213" s="440"/>
    </row>
    <row r="214" spans="1:37" ht="12" customHeight="1" x14ac:dyDescent="0.2">
      <c r="A214" s="440"/>
      <c r="B214" s="320"/>
      <c r="C214" s="386"/>
      <c r="D214" s="386"/>
      <c r="E214" s="386"/>
      <c r="F214" s="386"/>
      <c r="G214" s="386"/>
      <c r="H214" s="386"/>
      <c r="I214" s="386"/>
      <c r="J214" s="386"/>
      <c r="K214" s="503"/>
      <c r="L214" s="503"/>
      <c r="M214" s="498"/>
      <c r="N214" s="503"/>
      <c r="O214" s="386"/>
      <c r="P214" s="386"/>
      <c r="Q214" s="386"/>
      <c r="R214" s="386"/>
      <c r="S214" s="372"/>
      <c r="T214" s="372"/>
      <c r="U214" s="372"/>
      <c r="V214" s="372"/>
      <c r="W214" s="1096"/>
      <c r="X214" s="1110"/>
      <c r="Y214" s="1110"/>
      <c r="Z214" s="372"/>
      <c r="AA214" s="372"/>
      <c r="AB214" s="372"/>
      <c r="AC214" s="1096"/>
      <c r="AD214" s="1110"/>
      <c r="AE214" s="1110"/>
      <c r="AF214" s="372"/>
      <c r="AG214" s="372"/>
      <c r="AH214" s="372"/>
      <c r="AI214" s="482"/>
      <c r="AJ214" s="372"/>
      <c r="AK214" s="440"/>
    </row>
    <row r="215" spans="1:37" ht="12" customHeight="1" x14ac:dyDescent="0.25">
      <c r="A215" s="440"/>
      <c r="B215" s="499">
        <v>6</v>
      </c>
      <c r="C215" s="495"/>
      <c r="D215" s="495"/>
      <c r="E215" s="1606" t="s">
        <v>10</v>
      </c>
      <c r="F215" s="1606"/>
      <c r="G215" s="1606"/>
      <c r="H215" s="1606"/>
      <c r="I215" s="1605"/>
      <c r="J215" s="497"/>
      <c r="K215" s="502"/>
      <c r="L215" s="502"/>
      <c r="M215" s="498"/>
      <c r="N215" s="503"/>
      <c r="O215" s="386"/>
      <c r="P215" s="386"/>
      <c r="Q215" s="386"/>
      <c r="R215" s="386"/>
      <c r="S215" s="385">
        <f>SUBTOTAL(109,S216)</f>
        <v>0</v>
      </c>
      <c r="T215" s="372"/>
      <c r="U215" s="372"/>
      <c r="V215" s="372"/>
      <c r="W215" s="1096"/>
      <c r="X215" s="1110"/>
      <c r="Y215" s="1110"/>
      <c r="Z215" s="372"/>
      <c r="AA215" s="372"/>
      <c r="AB215" s="372"/>
      <c r="AC215" s="1096"/>
      <c r="AD215" s="1110"/>
      <c r="AE215" s="1110"/>
      <c r="AF215" s="372"/>
      <c r="AG215" s="372"/>
      <c r="AH215" s="372"/>
      <c r="AI215" s="482"/>
      <c r="AJ215" s="372"/>
      <c r="AK215" s="440"/>
    </row>
    <row r="216" spans="1:37" ht="12" customHeight="1" x14ac:dyDescent="0.25">
      <c r="A216" s="440"/>
      <c r="B216" s="499"/>
      <c r="C216" s="495"/>
      <c r="D216" s="495"/>
      <c r="E216" s="496"/>
      <c r="F216" s="496"/>
      <c r="G216" s="496"/>
      <c r="H216" s="496"/>
      <c r="I216" s="497"/>
      <c r="J216" s="497"/>
      <c r="K216" s="502"/>
      <c r="L216" s="502"/>
      <c r="M216" s="339"/>
      <c r="N216" s="361"/>
      <c r="O216" s="339"/>
      <c r="P216" s="365"/>
      <c r="Q216" s="344"/>
      <c r="R216" s="522" t="s">
        <v>363</v>
      </c>
      <c r="S216" s="353">
        <f>(M216*O216)+Q216</f>
        <v>0</v>
      </c>
      <c r="T216" s="363"/>
      <c r="U216" s="350"/>
      <c r="V216" s="305"/>
      <c r="W216" s="1090" t="str">
        <f>IF(AND(V216&lt;&gt;0,U216&lt;&gt;0),"X",IF(AND(V216&lt;&gt;0,U216=0),"A",IF(AND(V216=0,U216&lt;&gt;0),"P","")))</f>
        <v/>
      </c>
      <c r="X216" s="1103">
        <f>IFERROR(IF(W216="X",0,IF(U216&gt;0,U216,V216/S216)),0)</f>
        <v>0</v>
      </c>
      <c r="Y216" s="1120">
        <f>IFERROR(IF(W216="X",0,IF(V216&gt;0,V216,S216*U216)),0)</f>
        <v>0</v>
      </c>
      <c r="Z216" s="363"/>
      <c r="AA216" s="350"/>
      <c r="AB216" s="305"/>
      <c r="AC216" s="1090" t="str">
        <f>IF(AND(AB216&lt;&gt;0,AA216&lt;&gt;0),"X",IF(AND(AB216&lt;&gt;0,AA216=0),"A",IF(AND(AB216=0,AA216&lt;&gt;0),"P","")))</f>
        <v/>
      </c>
      <c r="AD216" s="1103">
        <f>IFERROR(IF(AC216="X",0,IF(AA216&gt;0,AA216,AB216/S216)),0)</f>
        <v>0</v>
      </c>
      <c r="AE216" s="1120">
        <f>IFERROR(IF(AC216="X",0,IF(AB216&gt;0,AB216,S216*AA216)),0)</f>
        <v>0</v>
      </c>
      <c r="AF216" s="363"/>
      <c r="AG216" s="637"/>
      <c r="AH216" s="525"/>
      <c r="AI216" s="1086">
        <f>AG216</f>
        <v>0</v>
      </c>
      <c r="AJ216" s="380"/>
      <c r="AK216" s="440"/>
    </row>
    <row r="217" spans="1:37" ht="12" customHeight="1" x14ac:dyDescent="0.25">
      <c r="A217" s="440"/>
      <c r="B217" s="505"/>
      <c r="C217" s="563"/>
      <c r="D217" s="563"/>
      <c r="E217" s="506"/>
      <c r="F217" s="506"/>
      <c r="G217" s="506"/>
      <c r="H217" s="506"/>
      <c r="I217" s="507"/>
      <c r="J217" s="507"/>
      <c r="K217" s="508"/>
      <c r="L217" s="508"/>
      <c r="M217" s="564"/>
      <c r="N217" s="517"/>
      <c r="O217" s="371"/>
      <c r="P217" s="371"/>
      <c r="Q217" s="371"/>
      <c r="R217" s="371"/>
      <c r="S217" s="371"/>
      <c r="T217" s="371"/>
      <c r="U217" s="371"/>
      <c r="V217" s="371"/>
      <c r="W217" s="1100"/>
      <c r="X217" s="1108"/>
      <c r="Y217" s="1108"/>
      <c r="Z217" s="371"/>
      <c r="AA217" s="371"/>
      <c r="AB217" s="371"/>
      <c r="AC217" s="1100"/>
      <c r="AD217" s="1108"/>
      <c r="AE217" s="1108"/>
      <c r="AF217" s="371"/>
      <c r="AG217" s="371"/>
      <c r="AH217" s="371"/>
      <c r="AI217" s="565"/>
      <c r="AJ217" s="371"/>
      <c r="AK217" s="440"/>
    </row>
    <row r="218" spans="1:37" ht="12" customHeight="1" x14ac:dyDescent="0.2">
      <c r="A218" s="440"/>
      <c r="B218" s="320"/>
      <c r="C218" s="386"/>
      <c r="D218" s="386"/>
      <c r="E218" s="386"/>
      <c r="F218" s="386"/>
      <c r="G218" s="386"/>
      <c r="H218" s="386"/>
      <c r="I218" s="380"/>
      <c r="J218" s="380"/>
      <c r="K218" s="463"/>
      <c r="L218" s="463"/>
      <c r="M218" s="549"/>
      <c r="N218" s="435"/>
      <c r="O218" s="379"/>
      <c r="P218" s="379"/>
      <c r="Q218" s="379"/>
      <c r="R218" s="379"/>
      <c r="S218" s="379"/>
      <c r="T218" s="379"/>
      <c r="U218" s="379"/>
      <c r="V218" s="379"/>
      <c r="W218" s="1099"/>
      <c r="X218" s="1118"/>
      <c r="Y218" s="1118"/>
      <c r="Z218" s="379"/>
      <c r="AA218" s="379"/>
      <c r="AB218" s="379"/>
      <c r="AC218" s="1099"/>
      <c r="AD218" s="1118"/>
      <c r="AE218" s="1118"/>
      <c r="AF218" s="379"/>
      <c r="AG218" s="379"/>
      <c r="AH218" s="379"/>
      <c r="AI218" s="481"/>
      <c r="AJ218" s="379"/>
      <c r="AK218" s="440"/>
    </row>
    <row r="219" spans="1:37" ht="12" customHeight="1" x14ac:dyDescent="0.2">
      <c r="A219" s="440"/>
      <c r="B219" s="320"/>
      <c r="C219" s="386"/>
      <c r="D219" s="386"/>
      <c r="E219" s="386"/>
      <c r="F219" s="386"/>
      <c r="G219" s="386"/>
      <c r="H219" s="386"/>
      <c r="I219" s="380"/>
      <c r="J219" s="380"/>
      <c r="K219" s="463"/>
      <c r="L219" s="463"/>
      <c r="M219" s="498"/>
      <c r="N219" s="503"/>
      <c r="O219" s="386"/>
      <c r="P219" s="386"/>
      <c r="Q219" s="386"/>
      <c r="R219" s="386"/>
      <c r="S219" s="372"/>
      <c r="T219" s="372"/>
      <c r="U219" s="372"/>
      <c r="V219" s="372"/>
      <c r="W219" s="1096"/>
      <c r="X219" s="1110"/>
      <c r="Y219" s="1110"/>
      <c r="Z219" s="372"/>
      <c r="AA219" s="372"/>
      <c r="AB219" s="372"/>
      <c r="AC219" s="1096"/>
      <c r="AD219" s="1110"/>
      <c r="AE219" s="1110"/>
      <c r="AF219" s="372"/>
      <c r="AG219" s="372"/>
      <c r="AH219" s="372"/>
      <c r="AI219" s="482"/>
      <c r="AJ219" s="372"/>
      <c r="AK219" s="440"/>
    </row>
    <row r="220" spans="1:37" ht="12" customHeight="1" x14ac:dyDescent="0.25">
      <c r="A220" s="440"/>
      <c r="B220" s="499">
        <v>7</v>
      </c>
      <c r="C220" s="494"/>
      <c r="D220" s="495"/>
      <c r="E220" s="1606" t="s">
        <v>9</v>
      </c>
      <c r="F220" s="1606"/>
      <c r="G220" s="1606"/>
      <c r="H220" s="1606"/>
      <c r="I220" s="1597"/>
      <c r="J220" s="497"/>
      <c r="K220" s="462"/>
      <c r="L220" s="462"/>
      <c r="M220" s="363"/>
      <c r="N220" s="363"/>
      <c r="O220" s="363"/>
      <c r="P220" s="363"/>
      <c r="Q220" s="363"/>
      <c r="R220" s="363"/>
      <c r="S220" s="385">
        <f>S221</f>
        <v>526746</v>
      </c>
      <c r="T220" s="363"/>
      <c r="U220" s="363"/>
      <c r="V220" s="363"/>
      <c r="W220" s="1093"/>
      <c r="X220" s="1116"/>
      <c r="Y220" s="1116"/>
      <c r="Z220" s="363"/>
      <c r="AA220" s="363"/>
      <c r="AB220" s="363"/>
      <c r="AC220" s="1093"/>
      <c r="AD220" s="1116"/>
      <c r="AE220" s="1116"/>
      <c r="AF220" s="363"/>
      <c r="AG220" s="363"/>
      <c r="AH220" s="363"/>
      <c r="AI220" s="358"/>
      <c r="AJ220" s="363"/>
      <c r="AK220" s="440"/>
    </row>
    <row r="221" spans="1:37" ht="12" customHeight="1" x14ac:dyDescent="0.25">
      <c r="A221" s="440"/>
      <c r="B221" s="499"/>
      <c r="C221" s="494"/>
      <c r="D221" s="495"/>
      <c r="E221" s="496"/>
      <c r="F221" s="496"/>
      <c r="G221" s="496"/>
      <c r="H221" s="496"/>
      <c r="I221" s="465"/>
      <c r="J221" s="497"/>
      <c r="K221" s="462"/>
      <c r="L221" s="462"/>
      <c r="M221" s="363"/>
      <c r="N221" s="363"/>
      <c r="O221" s="363"/>
      <c r="P221" s="363"/>
      <c r="Q221" s="363"/>
      <c r="R221" s="363"/>
      <c r="S221" s="355">
        <f>SUBTOTAL(109,S222:S227)</f>
        <v>526746</v>
      </c>
      <c r="T221" s="363"/>
      <c r="U221" s="363"/>
      <c r="V221" s="363"/>
      <c r="W221" s="1093"/>
      <c r="X221" s="1116"/>
      <c r="Y221" s="1116"/>
      <c r="Z221" s="363"/>
      <c r="AA221" s="363"/>
      <c r="AB221" s="363"/>
      <c r="AC221" s="1093"/>
      <c r="AD221" s="1116"/>
      <c r="AE221" s="1116"/>
      <c r="AF221" s="363"/>
      <c r="AG221" s="363"/>
      <c r="AH221" s="363"/>
      <c r="AI221" s="358"/>
      <c r="AJ221" s="363"/>
      <c r="AK221" s="440"/>
    </row>
    <row r="222" spans="1:37" ht="12" customHeight="1" x14ac:dyDescent="0.25">
      <c r="A222" s="440"/>
      <c r="B222" s="499"/>
      <c r="C222" s="495"/>
      <c r="D222" s="495"/>
      <c r="E222" s="496"/>
      <c r="F222" s="1085" t="s">
        <v>754</v>
      </c>
      <c r="G222" s="1264"/>
      <c r="H222" s="1264"/>
      <c r="I222" s="1265"/>
      <c r="J222" s="497"/>
      <c r="K222" s="462"/>
      <c r="L222" s="462"/>
      <c r="M222" s="339"/>
      <c r="N222" s="361"/>
      <c r="O222" s="339"/>
      <c r="P222" s="365"/>
      <c r="Q222" s="344">
        <f>438955*1.2</f>
        <v>526746</v>
      </c>
      <c r="R222" s="522" t="s">
        <v>363</v>
      </c>
      <c r="S222" s="353">
        <f t="shared" ref="S222:S227" si="101">(M222*O222)+Q222</f>
        <v>526746</v>
      </c>
      <c r="T222" s="363"/>
      <c r="U222" s="363"/>
      <c r="V222" s="363"/>
      <c r="W222" s="1093"/>
      <c r="X222" s="1116"/>
      <c r="Y222" s="1116"/>
      <c r="Z222" s="363"/>
      <c r="AA222" s="363"/>
      <c r="AB222" s="363"/>
      <c r="AC222" s="1093"/>
      <c r="AD222" s="1116"/>
      <c r="AE222" s="1116"/>
      <c r="AF222" s="363"/>
      <c r="AG222" s="363"/>
      <c r="AH222" s="363"/>
      <c r="AI222" s="358"/>
      <c r="AJ222" s="363"/>
      <c r="AK222" s="440"/>
    </row>
    <row r="223" spans="1:37" ht="12" customHeight="1" x14ac:dyDescent="0.25">
      <c r="A223" s="440"/>
      <c r="B223" s="499"/>
      <c r="C223" s="495"/>
      <c r="D223" s="495"/>
      <c r="E223" s="496"/>
      <c r="F223" s="1085"/>
      <c r="G223" s="1264"/>
      <c r="H223" s="1264"/>
      <c r="I223" s="1265"/>
      <c r="J223" s="497"/>
      <c r="K223" s="462"/>
      <c r="L223" s="462"/>
      <c r="M223" s="339"/>
      <c r="N223" s="361"/>
      <c r="O223" s="339"/>
      <c r="P223" s="365"/>
      <c r="Q223" s="344"/>
      <c r="R223" s="522" t="s">
        <v>363</v>
      </c>
      <c r="S223" s="353">
        <f t="shared" si="101"/>
        <v>0</v>
      </c>
      <c r="T223" s="363"/>
      <c r="U223" s="363"/>
      <c r="V223" s="363"/>
      <c r="W223" s="1093"/>
      <c r="X223" s="1116"/>
      <c r="Y223" s="1116"/>
      <c r="Z223" s="363"/>
      <c r="AA223" s="363"/>
      <c r="AB223" s="363"/>
      <c r="AC223" s="1093"/>
      <c r="AD223" s="1116"/>
      <c r="AE223" s="1116"/>
      <c r="AF223" s="363"/>
      <c r="AG223" s="363"/>
      <c r="AH223" s="363"/>
      <c r="AI223" s="358"/>
      <c r="AJ223" s="363"/>
      <c r="AK223" s="440"/>
    </row>
    <row r="224" spans="1:37" ht="12" customHeight="1" x14ac:dyDescent="0.25">
      <c r="A224" s="440"/>
      <c r="B224" s="499"/>
      <c r="C224" s="495"/>
      <c r="D224" s="495"/>
      <c r="E224" s="496"/>
      <c r="F224" s="1085"/>
      <c r="G224" s="1264"/>
      <c r="H224" s="1264"/>
      <c r="I224" s="1265"/>
      <c r="J224" s="497"/>
      <c r="K224" s="462"/>
      <c r="L224" s="462"/>
      <c r="M224" s="339"/>
      <c r="N224" s="361"/>
      <c r="O224" s="339"/>
      <c r="P224" s="365"/>
      <c r="Q224" s="344"/>
      <c r="R224" s="522" t="s">
        <v>363</v>
      </c>
      <c r="S224" s="353">
        <f t="shared" si="101"/>
        <v>0</v>
      </c>
      <c r="T224" s="363"/>
      <c r="U224" s="363"/>
      <c r="V224" s="363"/>
      <c r="W224" s="1093"/>
      <c r="X224" s="1116"/>
      <c r="Y224" s="1116"/>
      <c r="Z224" s="363"/>
      <c r="AA224" s="363"/>
      <c r="AB224" s="363"/>
      <c r="AC224" s="1093"/>
      <c r="AD224" s="1116"/>
      <c r="AE224" s="1116"/>
      <c r="AF224" s="363"/>
      <c r="AG224" s="363"/>
      <c r="AH224" s="363"/>
      <c r="AI224" s="358"/>
      <c r="AJ224" s="363"/>
      <c r="AK224" s="440"/>
    </row>
    <row r="225" spans="1:37" ht="12" customHeight="1" x14ac:dyDescent="0.25">
      <c r="A225" s="440"/>
      <c r="B225" s="499"/>
      <c r="C225" s="495"/>
      <c r="D225" s="495"/>
      <c r="E225" s="496"/>
      <c r="F225" s="1085"/>
      <c r="G225" s="1264"/>
      <c r="H225" s="1264"/>
      <c r="I225" s="1265"/>
      <c r="J225" s="497"/>
      <c r="K225" s="462"/>
      <c r="L225" s="462"/>
      <c r="M225" s="339"/>
      <c r="N225" s="361"/>
      <c r="O225" s="339"/>
      <c r="P225" s="365"/>
      <c r="Q225" s="344"/>
      <c r="R225" s="522" t="s">
        <v>363</v>
      </c>
      <c r="S225" s="353">
        <f t="shared" si="101"/>
        <v>0</v>
      </c>
      <c r="T225" s="363"/>
      <c r="U225" s="363"/>
      <c r="V225" s="363"/>
      <c r="W225" s="1093"/>
      <c r="X225" s="1116"/>
      <c r="Y225" s="1116"/>
      <c r="Z225" s="363"/>
      <c r="AA225" s="363"/>
      <c r="AB225" s="363"/>
      <c r="AC225" s="1093"/>
      <c r="AD225" s="1116"/>
      <c r="AE225" s="1116"/>
      <c r="AF225" s="363"/>
      <c r="AG225" s="363"/>
      <c r="AH225" s="363"/>
      <c r="AI225" s="358"/>
      <c r="AJ225" s="363"/>
      <c r="AK225" s="440"/>
    </row>
    <row r="226" spans="1:37" ht="12" customHeight="1" x14ac:dyDescent="0.25">
      <c r="A226" s="440"/>
      <c r="B226" s="499"/>
      <c r="C226" s="495"/>
      <c r="D226" s="495"/>
      <c r="E226" s="496"/>
      <c r="F226" s="1085"/>
      <c r="G226" s="1264"/>
      <c r="H226" s="1264"/>
      <c r="I226" s="1265"/>
      <c r="J226" s="497"/>
      <c r="K226" s="462"/>
      <c r="L226" s="462"/>
      <c r="M226" s="339"/>
      <c r="N226" s="361"/>
      <c r="O226" s="339"/>
      <c r="P226" s="365"/>
      <c r="Q226" s="344"/>
      <c r="R226" s="522" t="s">
        <v>363</v>
      </c>
      <c r="S226" s="353">
        <f t="shared" si="101"/>
        <v>0</v>
      </c>
      <c r="T226" s="363"/>
      <c r="U226" s="363"/>
      <c r="V226" s="363"/>
      <c r="W226" s="1093"/>
      <c r="X226" s="1116"/>
      <c r="Y226" s="1116"/>
      <c r="Z226" s="363"/>
      <c r="AA226" s="363"/>
      <c r="AB226" s="363"/>
      <c r="AC226" s="1093"/>
      <c r="AD226" s="1116"/>
      <c r="AE226" s="1116"/>
      <c r="AF226" s="363"/>
      <c r="AG226" s="363"/>
      <c r="AH226" s="363"/>
      <c r="AI226" s="358"/>
      <c r="AJ226" s="363"/>
      <c r="AK226" s="440"/>
    </row>
    <row r="227" spans="1:37" ht="12" customHeight="1" x14ac:dyDescent="0.25">
      <c r="A227" s="440"/>
      <c r="B227" s="499"/>
      <c r="C227" s="495"/>
      <c r="D227" s="495"/>
      <c r="E227" s="496"/>
      <c r="F227" s="1085"/>
      <c r="G227" s="1264"/>
      <c r="H227" s="1264"/>
      <c r="I227" s="1265"/>
      <c r="J227" s="497"/>
      <c r="K227" s="462"/>
      <c r="L227" s="462"/>
      <c r="M227" s="339"/>
      <c r="N227" s="361"/>
      <c r="O227" s="339"/>
      <c r="P227" s="365"/>
      <c r="Q227" s="344"/>
      <c r="R227" s="522" t="s">
        <v>363</v>
      </c>
      <c r="S227" s="353">
        <f t="shared" si="101"/>
        <v>0</v>
      </c>
      <c r="T227" s="363"/>
      <c r="U227" s="363"/>
      <c r="V227" s="363"/>
      <c r="W227" s="1093"/>
      <c r="X227" s="1116"/>
      <c r="Y227" s="1116"/>
      <c r="Z227" s="363"/>
      <c r="AA227" s="363"/>
      <c r="AB227" s="363"/>
      <c r="AC227" s="1093"/>
      <c r="AD227" s="1116"/>
      <c r="AE227" s="1116"/>
      <c r="AF227" s="363"/>
      <c r="AG227" s="363"/>
      <c r="AH227" s="363"/>
      <c r="AI227" s="358"/>
      <c r="AJ227" s="363"/>
      <c r="AK227" s="440"/>
    </row>
    <row r="228" spans="1:37" ht="12" customHeight="1" collapsed="1" x14ac:dyDescent="0.25">
      <c r="A228" s="440"/>
      <c r="B228" s="505"/>
      <c r="C228" s="563"/>
      <c r="D228" s="563"/>
      <c r="E228" s="506"/>
      <c r="F228" s="506"/>
      <c r="G228" s="506"/>
      <c r="H228" s="506"/>
      <c r="I228" s="507"/>
      <c r="J228" s="507"/>
      <c r="K228" s="508"/>
      <c r="L228" s="508"/>
      <c r="M228" s="564"/>
      <c r="N228" s="517"/>
      <c r="O228" s="371"/>
      <c r="P228" s="371"/>
      <c r="Q228" s="371"/>
      <c r="R228" s="371"/>
      <c r="S228" s="391"/>
      <c r="T228" s="371"/>
      <c r="U228" s="371"/>
      <c r="V228" s="371"/>
      <c r="W228" s="1100"/>
      <c r="X228" s="1108"/>
      <c r="Y228" s="1108"/>
      <c r="Z228" s="371"/>
      <c r="AA228" s="371"/>
      <c r="AB228" s="371"/>
      <c r="AC228" s="1100"/>
      <c r="AD228" s="1108"/>
      <c r="AE228" s="1108"/>
      <c r="AF228" s="371"/>
      <c r="AG228" s="371"/>
      <c r="AH228" s="371"/>
      <c r="AI228" s="373"/>
      <c r="AJ228" s="371"/>
      <c r="AK228" s="440"/>
    </row>
    <row r="229" spans="1:37" ht="12" customHeight="1" x14ac:dyDescent="0.2">
      <c r="A229" s="440"/>
      <c r="B229" s="320"/>
      <c r="C229" s="386"/>
      <c r="D229" s="386"/>
      <c r="E229" s="386"/>
      <c r="F229" s="386"/>
      <c r="G229" s="386"/>
      <c r="H229" s="386"/>
      <c r="I229" s="380"/>
      <c r="J229" s="380"/>
      <c r="K229" s="463"/>
      <c r="L229" s="463"/>
      <c r="M229" s="498"/>
      <c r="N229" s="503"/>
      <c r="O229" s="386"/>
      <c r="P229" s="386"/>
      <c r="Q229" s="386"/>
      <c r="R229" s="386"/>
      <c r="S229" s="379"/>
      <c r="T229" s="379"/>
      <c r="U229" s="379"/>
      <c r="V229" s="379"/>
      <c r="W229" s="1099"/>
      <c r="X229" s="1118"/>
      <c r="Y229" s="1118"/>
      <c r="Z229" s="379"/>
      <c r="AA229" s="379"/>
      <c r="AB229" s="379"/>
      <c r="AC229" s="1099"/>
      <c r="AD229" s="1118"/>
      <c r="AE229" s="1118"/>
      <c r="AF229" s="379"/>
      <c r="AG229" s="379"/>
      <c r="AH229" s="379"/>
      <c r="AI229" s="481"/>
      <c r="AJ229" s="379"/>
      <c r="AK229" s="440"/>
    </row>
    <row r="230" spans="1:37" ht="12" customHeight="1" x14ac:dyDescent="0.2">
      <c r="A230" s="440"/>
      <c r="B230" s="320"/>
      <c r="C230" s="386"/>
      <c r="D230" s="386"/>
      <c r="E230" s="386"/>
      <c r="F230" s="386"/>
      <c r="G230" s="386"/>
      <c r="H230" s="386"/>
      <c r="I230" s="380"/>
      <c r="J230" s="380"/>
      <c r="K230" s="463"/>
      <c r="L230" s="463"/>
      <c r="M230" s="498"/>
      <c r="N230" s="503"/>
      <c r="O230" s="386"/>
      <c r="P230" s="386"/>
      <c r="Q230" s="386"/>
      <c r="R230" s="386"/>
      <c r="S230" s="372"/>
      <c r="T230" s="372"/>
      <c r="U230" s="372"/>
      <c r="V230" s="372"/>
      <c r="W230" s="1096"/>
      <c r="X230" s="1110"/>
      <c r="Y230" s="1110"/>
      <c r="Z230" s="372"/>
      <c r="AA230" s="372"/>
      <c r="AB230" s="372"/>
      <c r="AC230" s="1096"/>
      <c r="AD230" s="1110"/>
      <c r="AE230" s="1110"/>
      <c r="AF230" s="372"/>
      <c r="AG230" s="372"/>
      <c r="AH230" s="372"/>
      <c r="AI230" s="482"/>
      <c r="AJ230" s="372"/>
      <c r="AK230" s="440"/>
    </row>
    <row r="231" spans="1:37" ht="14.25" customHeight="1" x14ac:dyDescent="0.25">
      <c r="A231" s="440"/>
      <c r="B231" s="499">
        <v>8</v>
      </c>
      <c r="C231" s="494"/>
      <c r="D231" s="495"/>
      <c r="E231" s="1606" t="s">
        <v>7</v>
      </c>
      <c r="F231" s="1606"/>
      <c r="G231" s="1606"/>
      <c r="H231" s="1606"/>
      <c r="I231" s="1597"/>
      <c r="J231" s="497"/>
      <c r="K231" s="462"/>
      <c r="L231" s="462"/>
      <c r="M231" s="498"/>
      <c r="N231" s="359"/>
      <c r="O231" s="363"/>
      <c r="P231" s="363"/>
      <c r="Q231" s="363"/>
      <c r="R231" s="363"/>
      <c r="S231" s="385">
        <f>S232</f>
        <v>0</v>
      </c>
      <c r="T231" s="363"/>
      <c r="U231" s="363"/>
      <c r="V231" s="363"/>
      <c r="W231" s="1093"/>
      <c r="X231" s="1116"/>
      <c r="Y231" s="1116"/>
      <c r="Z231" s="363"/>
      <c r="AA231" s="363"/>
      <c r="AB231" s="363"/>
      <c r="AC231" s="1093"/>
      <c r="AD231" s="1116"/>
      <c r="AE231" s="1116"/>
      <c r="AF231" s="363"/>
      <c r="AG231" s="363"/>
      <c r="AH231" s="363"/>
      <c r="AI231" s="358"/>
      <c r="AJ231" s="363"/>
      <c r="AK231" s="440"/>
    </row>
    <row r="232" spans="1:37" ht="14.25" customHeight="1" x14ac:dyDescent="0.25">
      <c r="A232" s="440"/>
      <c r="B232" s="323"/>
      <c r="C232" s="386" t="s">
        <v>6</v>
      </c>
      <c r="D232" s="494"/>
      <c r="E232" s="1596" t="s">
        <v>5</v>
      </c>
      <c r="F232" s="1596"/>
      <c r="G232" s="1596"/>
      <c r="H232" s="1596"/>
      <c r="I232" s="1597"/>
      <c r="J232" s="497"/>
      <c r="K232" s="462"/>
      <c r="L232" s="462"/>
      <c r="M232" s="498"/>
      <c r="N232" s="359"/>
      <c r="O232" s="363"/>
      <c r="P232" s="363"/>
      <c r="Q232" s="363"/>
      <c r="R232" s="363"/>
      <c r="S232" s="355">
        <f>SUBTOTAL(109,S233:S234)</f>
        <v>0</v>
      </c>
      <c r="T232" s="363"/>
      <c r="U232" s="363"/>
      <c r="V232" s="363"/>
      <c r="W232" s="1093"/>
      <c r="X232" s="1116"/>
      <c r="Y232" s="1116"/>
      <c r="Z232" s="363"/>
      <c r="AA232" s="363"/>
      <c r="AB232" s="363"/>
      <c r="AC232" s="1093"/>
      <c r="AD232" s="1116"/>
      <c r="AE232" s="1116"/>
      <c r="AF232" s="363"/>
      <c r="AG232" s="363"/>
      <c r="AH232" s="363"/>
      <c r="AI232" s="358"/>
      <c r="AJ232" s="363"/>
      <c r="AK232" s="440"/>
    </row>
    <row r="233" spans="1:37" ht="12" customHeight="1" x14ac:dyDescent="0.25">
      <c r="A233" s="440"/>
      <c r="B233" s="323"/>
      <c r="C233" s="380"/>
      <c r="D233" s="303" t="s">
        <v>4</v>
      </c>
      <c r="E233" s="1599" t="s">
        <v>3</v>
      </c>
      <c r="F233" s="1599"/>
      <c r="G233" s="1599"/>
      <c r="H233" s="1599"/>
      <c r="I233" s="1597"/>
      <c r="J233" s="497"/>
      <c r="K233" s="462"/>
      <c r="L233" s="462"/>
      <c r="M233" s="339"/>
      <c r="N233" s="361"/>
      <c r="O233" s="339"/>
      <c r="P233" s="363"/>
      <c r="Q233" s="351"/>
      <c r="R233" s="522" t="s">
        <v>363</v>
      </c>
      <c r="S233" s="353">
        <f>(M233*O233)+Q233</f>
        <v>0</v>
      </c>
      <c r="T233" s="363"/>
      <c r="U233" s="363"/>
      <c r="V233" s="363"/>
      <c r="W233" s="1093"/>
      <c r="X233" s="1116"/>
      <c r="Y233" s="1116"/>
      <c r="Z233" s="363"/>
      <c r="AA233" s="363"/>
      <c r="AB233" s="363"/>
      <c r="AC233" s="1093"/>
      <c r="AD233" s="1116"/>
      <c r="AE233" s="1116"/>
      <c r="AF233" s="363"/>
      <c r="AG233" s="363"/>
      <c r="AH233" s="363"/>
      <c r="AI233" s="358"/>
      <c r="AJ233" s="363"/>
      <c r="AK233" s="440"/>
    </row>
    <row r="234" spans="1:37" ht="12" customHeight="1" x14ac:dyDescent="0.25">
      <c r="A234" s="440"/>
      <c r="B234" s="323"/>
      <c r="C234" s="380"/>
      <c r="D234" s="303" t="s">
        <v>2</v>
      </c>
      <c r="E234" s="1599" t="s">
        <v>1</v>
      </c>
      <c r="F234" s="1599"/>
      <c r="G234" s="1599"/>
      <c r="H234" s="1599"/>
      <c r="I234" s="1605"/>
      <c r="J234" s="497"/>
      <c r="K234" s="502"/>
      <c r="L234" s="502"/>
      <c r="M234" s="339"/>
      <c r="N234" s="361"/>
      <c r="O234" s="339"/>
      <c r="P234" s="363"/>
      <c r="Q234" s="344"/>
      <c r="R234" s="522" t="s">
        <v>363</v>
      </c>
      <c r="S234" s="353">
        <f>(M234*O234)+Q234</f>
        <v>0</v>
      </c>
      <c r="T234" s="363"/>
      <c r="U234" s="363"/>
      <c r="V234" s="363"/>
      <c r="W234" s="1093"/>
      <c r="X234" s="1116"/>
      <c r="Y234" s="1116"/>
      <c r="Z234" s="363"/>
      <c r="AA234" s="363"/>
      <c r="AB234" s="363"/>
      <c r="AC234" s="1093"/>
      <c r="AD234" s="1116"/>
      <c r="AE234" s="1116"/>
      <c r="AF234" s="363"/>
      <c r="AG234" s="363"/>
      <c r="AH234" s="363"/>
      <c r="AI234" s="358"/>
      <c r="AJ234" s="363"/>
      <c r="AK234" s="440"/>
    </row>
    <row r="235" spans="1:37" ht="12" customHeight="1" collapsed="1" x14ac:dyDescent="0.25">
      <c r="A235" s="440"/>
      <c r="B235" s="324"/>
      <c r="C235" s="378"/>
      <c r="D235" s="374"/>
      <c r="E235" s="374"/>
      <c r="F235" s="374"/>
      <c r="G235" s="374"/>
      <c r="H235" s="374"/>
      <c r="I235" s="374"/>
      <c r="J235" s="507"/>
      <c r="K235" s="508"/>
      <c r="L235" s="508"/>
      <c r="M235" s="564"/>
      <c r="N235" s="517"/>
      <c r="O235" s="371"/>
      <c r="P235" s="371"/>
      <c r="Q235" s="371"/>
      <c r="R235" s="371"/>
      <c r="S235" s="371"/>
      <c r="T235" s="371"/>
      <c r="U235" s="371"/>
      <c r="V235" s="371"/>
      <c r="W235" s="1100"/>
      <c r="X235" s="1108"/>
      <c r="Y235" s="1108"/>
      <c r="Z235" s="371"/>
      <c r="AA235" s="371"/>
      <c r="AB235" s="371"/>
      <c r="AC235" s="1100"/>
      <c r="AD235" s="1108"/>
      <c r="AE235" s="1108"/>
      <c r="AF235" s="371"/>
      <c r="AG235" s="371"/>
      <c r="AH235" s="371"/>
      <c r="AI235" s="373"/>
      <c r="AJ235" s="371"/>
      <c r="AK235" s="440"/>
    </row>
    <row r="236" spans="1:37" ht="12" customHeight="1" x14ac:dyDescent="0.2">
      <c r="A236" s="440"/>
      <c r="B236" s="320"/>
      <c r="C236" s="386"/>
      <c r="D236" s="386"/>
      <c r="E236" s="386"/>
      <c r="F236" s="386"/>
      <c r="G236" s="386"/>
      <c r="H236" s="386"/>
      <c r="I236" s="386"/>
      <c r="J236" s="386"/>
      <c r="K236" s="503"/>
      <c r="L236" s="503"/>
      <c r="M236" s="549"/>
      <c r="N236" s="435"/>
      <c r="O236" s="379"/>
      <c r="P236" s="379"/>
      <c r="Q236" s="379"/>
      <c r="R236" s="379"/>
      <c r="S236" s="379"/>
      <c r="T236" s="379"/>
      <c r="U236" s="379"/>
      <c r="V236" s="379"/>
      <c r="W236" s="1099"/>
      <c r="X236" s="1118"/>
      <c r="Y236" s="1118"/>
      <c r="Z236" s="379"/>
      <c r="AA236" s="379"/>
      <c r="AB236" s="379"/>
      <c r="AC236" s="1099"/>
      <c r="AD236" s="1118"/>
      <c r="AE236" s="1118"/>
      <c r="AF236" s="379"/>
      <c r="AG236" s="379"/>
      <c r="AH236" s="379"/>
      <c r="AI236" s="481"/>
      <c r="AJ236" s="379"/>
      <c r="AK236" s="440"/>
    </row>
    <row r="237" spans="1:37" ht="12" customHeight="1" x14ac:dyDescent="0.2">
      <c r="A237" s="440"/>
      <c r="B237" s="320"/>
      <c r="C237" s="386"/>
      <c r="D237" s="386"/>
      <c r="E237" s="386"/>
      <c r="F237" s="386"/>
      <c r="G237" s="386"/>
      <c r="H237" s="386"/>
      <c r="I237" s="386"/>
      <c r="J237" s="386"/>
      <c r="K237" s="503"/>
      <c r="L237" s="503"/>
      <c r="M237" s="498"/>
      <c r="N237" s="503"/>
      <c r="O237" s="386"/>
      <c r="P237" s="386"/>
      <c r="Q237" s="386"/>
      <c r="R237" s="386"/>
      <c r="S237" s="372"/>
      <c r="T237" s="372"/>
      <c r="U237" s="372"/>
      <c r="V237" s="372"/>
      <c r="W237" s="1096"/>
      <c r="X237" s="1110"/>
      <c r="Y237" s="1110"/>
      <c r="Z237" s="372"/>
      <c r="AA237" s="372"/>
      <c r="AB237" s="372"/>
      <c r="AC237" s="1096"/>
      <c r="AD237" s="1110"/>
      <c r="AE237" s="1110"/>
      <c r="AF237" s="372"/>
      <c r="AG237" s="372"/>
      <c r="AH237" s="372"/>
      <c r="AI237" s="482"/>
      <c r="AJ237" s="372"/>
      <c r="AK237" s="440"/>
    </row>
    <row r="238" spans="1:37" ht="12" customHeight="1" x14ac:dyDescent="0.25">
      <c r="A238" s="440"/>
      <c r="B238" s="499">
        <v>9</v>
      </c>
      <c r="C238" s="380"/>
      <c r="D238" s="495"/>
      <c r="E238" s="1606" t="s">
        <v>0</v>
      </c>
      <c r="F238" s="1606"/>
      <c r="G238" s="1606"/>
      <c r="H238" s="1606"/>
      <c r="I238" s="1605"/>
      <c r="J238" s="497"/>
      <c r="K238" s="502"/>
      <c r="L238" s="502"/>
      <c r="M238" s="498"/>
      <c r="N238" s="503"/>
      <c r="O238" s="386"/>
      <c r="P238" s="386"/>
      <c r="Q238" s="386"/>
      <c r="R238" s="386"/>
      <c r="S238" s="385">
        <f>S239</f>
        <v>0</v>
      </c>
      <c r="T238" s="363"/>
      <c r="U238" s="363"/>
      <c r="V238" s="363"/>
      <c r="W238" s="1093"/>
      <c r="X238" s="1116"/>
      <c r="Y238" s="1116"/>
      <c r="Z238" s="363"/>
      <c r="AA238" s="363"/>
      <c r="AB238" s="363"/>
      <c r="AC238" s="1093"/>
      <c r="AD238" s="1116"/>
      <c r="AE238" s="1116"/>
      <c r="AF238" s="363"/>
      <c r="AG238" s="363"/>
      <c r="AH238" s="363"/>
      <c r="AI238" s="358"/>
      <c r="AJ238" s="363"/>
      <c r="AK238" s="440"/>
    </row>
    <row r="239" spans="1:37" ht="12" customHeight="1" x14ac:dyDescent="0.25">
      <c r="A239" s="440"/>
      <c r="B239" s="499"/>
      <c r="C239" s="380"/>
      <c r="D239" s="495"/>
      <c r="E239" s="496"/>
      <c r="F239" s="496"/>
      <c r="G239" s="496"/>
      <c r="H239" s="496"/>
      <c r="I239" s="497"/>
      <c r="J239" s="497"/>
      <c r="K239" s="502"/>
      <c r="L239" s="502"/>
      <c r="M239" s="339"/>
      <c r="N239" s="361"/>
      <c r="O239" s="339"/>
      <c r="P239" s="363"/>
      <c r="Q239" s="344"/>
      <c r="R239" s="522" t="s">
        <v>363</v>
      </c>
      <c r="S239" s="353">
        <f>(M239*O239)+Q239</f>
        <v>0</v>
      </c>
      <c r="T239" s="363"/>
      <c r="U239" s="363"/>
      <c r="V239" s="363"/>
      <c r="W239" s="1093"/>
      <c r="X239" s="1116"/>
      <c r="Y239" s="1116"/>
      <c r="Z239" s="363"/>
      <c r="AA239" s="363"/>
      <c r="AB239" s="363"/>
      <c r="AC239" s="1093"/>
      <c r="AD239" s="1116"/>
      <c r="AE239" s="1116"/>
      <c r="AF239" s="363"/>
      <c r="AG239" s="363"/>
      <c r="AH239" s="363"/>
      <c r="AI239" s="358"/>
      <c r="AJ239" s="363"/>
      <c r="AK239" s="440"/>
    </row>
    <row r="240" spans="1:37" ht="11.25" x14ac:dyDescent="0.2">
      <c r="A240" s="440"/>
      <c r="B240" s="324"/>
      <c r="C240" s="378"/>
      <c r="D240" s="378"/>
      <c r="E240" s="378"/>
      <c r="F240" s="378"/>
      <c r="G240" s="378"/>
      <c r="H240" s="378"/>
      <c r="I240" s="378"/>
      <c r="J240" s="378"/>
      <c r="K240" s="561"/>
      <c r="L240" s="561"/>
      <c r="M240" s="560"/>
      <c r="N240" s="561"/>
      <c r="O240" s="378"/>
      <c r="P240" s="378"/>
      <c r="Q240" s="378"/>
      <c r="R240" s="378"/>
      <c r="S240" s="378"/>
      <c r="T240" s="378"/>
      <c r="U240" s="378"/>
      <c r="V240" s="378"/>
      <c r="W240" s="1098"/>
      <c r="X240" s="1117"/>
      <c r="Y240" s="1117"/>
      <c r="Z240" s="378"/>
      <c r="AA240" s="378"/>
      <c r="AB240" s="378"/>
      <c r="AC240" s="1098"/>
      <c r="AD240" s="1117"/>
      <c r="AE240" s="1117"/>
      <c r="AF240" s="378"/>
      <c r="AG240" s="378"/>
      <c r="AH240" s="378"/>
      <c r="AI240" s="510"/>
      <c r="AJ240" s="378"/>
      <c r="AK240" s="440"/>
    </row>
    <row r="241" spans="1:37" ht="11.25" x14ac:dyDescent="0.2">
      <c r="A241" s="440"/>
      <c r="B241" s="323"/>
      <c r="C241" s="380"/>
      <c r="D241" s="380"/>
      <c r="E241" s="380"/>
      <c r="F241" s="380"/>
      <c r="G241" s="380"/>
      <c r="H241" s="380"/>
      <c r="I241" s="380"/>
      <c r="J241" s="380"/>
      <c r="K241" s="463"/>
      <c r="L241" s="463"/>
      <c r="M241" s="532"/>
      <c r="N241" s="463"/>
      <c r="O241" s="380"/>
      <c r="P241" s="380"/>
      <c r="Q241" s="380"/>
      <c r="R241" s="380"/>
      <c r="S241" s="380"/>
      <c r="T241" s="380"/>
      <c r="U241" s="380"/>
      <c r="V241" s="380"/>
      <c r="W241" s="1101"/>
      <c r="X241" s="1119"/>
      <c r="Y241" s="1119"/>
      <c r="Z241" s="380"/>
      <c r="AA241" s="380"/>
      <c r="AB241" s="380"/>
      <c r="AC241" s="1101"/>
      <c r="AD241" s="1119"/>
      <c r="AE241" s="1119"/>
      <c r="AF241" s="380"/>
      <c r="AG241" s="380"/>
      <c r="AH241" s="380"/>
      <c r="AI241" s="464"/>
      <c r="AJ241" s="380"/>
      <c r="AK241" s="440"/>
    </row>
    <row r="242" spans="1:37" ht="11.25" x14ac:dyDescent="0.2">
      <c r="A242" s="440"/>
      <c r="B242" s="323"/>
      <c r="C242" s="380"/>
      <c r="D242" s="380"/>
      <c r="E242" s="380"/>
      <c r="F242" s="380"/>
      <c r="G242" s="380"/>
      <c r="H242" s="380"/>
      <c r="I242" s="380"/>
      <c r="J242" s="380"/>
      <c r="K242" s="463"/>
      <c r="L242" s="463"/>
      <c r="M242" s="532"/>
      <c r="N242" s="463"/>
      <c r="O242" s="380"/>
      <c r="P242" s="380"/>
      <c r="Q242" s="380"/>
      <c r="R242" s="380"/>
      <c r="S242" s="380"/>
      <c r="T242" s="380"/>
      <c r="U242" s="380"/>
      <c r="V242" s="380"/>
      <c r="W242" s="1101"/>
      <c r="X242" s="1119"/>
      <c r="Y242" s="1119"/>
      <c r="Z242" s="380"/>
      <c r="AA242" s="380"/>
      <c r="AB242" s="380"/>
      <c r="AC242" s="1101"/>
      <c r="AD242" s="1119"/>
      <c r="AE242" s="1119"/>
      <c r="AF242" s="380"/>
      <c r="AG242" s="380"/>
      <c r="AH242" s="380"/>
      <c r="AI242" s="464"/>
      <c r="AJ242" s="380"/>
      <c r="AK242" s="440"/>
    </row>
    <row r="243" spans="1:37" x14ac:dyDescent="0.25">
      <c r="A243" s="440"/>
      <c r="B243" s="493" t="s">
        <v>362</v>
      </c>
      <c r="C243" s="494"/>
      <c r="D243" s="495"/>
      <c r="E243" s="1606" t="s">
        <v>272</v>
      </c>
      <c r="F243" s="1606"/>
      <c r="G243" s="1606"/>
      <c r="H243" s="1606"/>
      <c r="I243" s="1597"/>
      <c r="J243" s="497"/>
      <c r="K243" s="462"/>
      <c r="L243" s="462"/>
      <c r="M243" s="498"/>
      <c r="N243" s="359"/>
      <c r="O243" s="363"/>
      <c r="P243" s="363"/>
      <c r="Q243" s="363"/>
      <c r="R243" s="363"/>
      <c r="S243" s="385">
        <f>S244</f>
        <v>1845816.6599999997</v>
      </c>
      <c r="T243" s="363"/>
      <c r="U243" s="363"/>
      <c r="V243" s="363"/>
      <c r="W243" s="1093"/>
      <c r="X243" s="1116"/>
      <c r="Y243" s="1116"/>
      <c r="Z243" s="363"/>
      <c r="AA243" s="363"/>
      <c r="AB243" s="363"/>
      <c r="AC243" s="1093"/>
      <c r="AD243" s="1116"/>
      <c r="AE243" s="1116"/>
      <c r="AF243" s="363"/>
      <c r="AG243" s="363"/>
      <c r="AH243" s="363"/>
      <c r="AI243" s="358"/>
      <c r="AJ243" s="363"/>
      <c r="AK243" s="440"/>
    </row>
    <row r="244" spans="1:37" ht="14.25" customHeight="1" x14ac:dyDescent="0.25">
      <c r="A244" s="440"/>
      <c r="B244" s="323"/>
      <c r="C244" s="386"/>
      <c r="D244" s="494"/>
      <c r="E244" s="1596" t="s">
        <v>359</v>
      </c>
      <c r="F244" s="1596"/>
      <c r="G244" s="1596"/>
      <c r="H244" s="1596"/>
      <c r="I244" s="1597"/>
      <c r="J244" s="497"/>
      <c r="K244" s="462"/>
      <c r="L244" s="462"/>
      <c r="M244" s="498"/>
      <c r="N244" s="359"/>
      <c r="O244" s="363"/>
      <c r="P244" s="363"/>
      <c r="Q244" s="363"/>
      <c r="R244" s="363"/>
      <c r="S244" s="355">
        <f>SUBTOTAL(109,S246:S250)</f>
        <v>1845816.6599999997</v>
      </c>
      <c r="T244" s="363"/>
      <c r="U244" s="363"/>
      <c r="V244" s="363"/>
      <c r="W244" s="1093"/>
      <c r="X244" s="1116"/>
      <c r="Y244" s="1116"/>
      <c r="Z244" s="363"/>
      <c r="AA244" s="363"/>
      <c r="AB244" s="363"/>
      <c r="AC244" s="1093"/>
      <c r="AD244" s="1116"/>
      <c r="AE244" s="1116"/>
      <c r="AF244" s="363"/>
      <c r="AG244" s="363"/>
      <c r="AH244" s="363"/>
      <c r="AI244" s="358"/>
      <c r="AJ244" s="363"/>
      <c r="AK244" s="440"/>
    </row>
    <row r="245" spans="1:37" ht="11.25" customHeight="1" x14ac:dyDescent="0.25">
      <c r="A245" s="440"/>
      <c r="B245" s="518"/>
      <c r="C245" s="386"/>
      <c r="D245" s="494"/>
      <c r="E245" s="386"/>
      <c r="F245" s="386"/>
      <c r="G245" s="386"/>
      <c r="H245" s="386"/>
      <c r="I245" s="465"/>
      <c r="J245" s="497"/>
      <c r="K245" s="462"/>
      <c r="L245" s="462"/>
      <c r="M245" s="498"/>
      <c r="N245" s="359"/>
      <c r="O245" s="363"/>
      <c r="P245" s="363"/>
      <c r="Q245" s="363"/>
      <c r="R245" s="363"/>
      <c r="S245" s="355"/>
      <c r="T245" s="363"/>
      <c r="U245" s="363"/>
      <c r="V245" s="363"/>
      <c r="W245" s="1093"/>
      <c r="X245" s="1116"/>
      <c r="Y245" s="1116"/>
      <c r="Z245" s="363"/>
      <c r="AA245" s="363"/>
      <c r="AB245" s="363"/>
      <c r="AC245" s="1093"/>
      <c r="AD245" s="1116"/>
      <c r="AE245" s="1116"/>
      <c r="AF245" s="363"/>
      <c r="AG245" s="363"/>
      <c r="AH245" s="363"/>
      <c r="AI245" s="358"/>
      <c r="AJ245" s="363"/>
      <c r="AK245" s="440"/>
    </row>
    <row r="246" spans="1:37" ht="12" customHeight="1" x14ac:dyDescent="0.25">
      <c r="A246" s="440"/>
      <c r="B246" s="323"/>
      <c r="C246" s="380"/>
      <c r="D246" s="303"/>
      <c r="E246" s="303"/>
      <c r="F246" s="1088" t="s">
        <v>755</v>
      </c>
      <c r="G246" s="1264"/>
      <c r="H246" s="1264"/>
      <c r="I246" s="1265"/>
      <c r="J246" s="497"/>
      <c r="K246" s="462"/>
      <c r="L246" s="462"/>
      <c r="M246" s="345"/>
      <c r="N246" s="528"/>
      <c r="O246" s="345"/>
      <c r="P246" s="543"/>
      <c r="Q246" s="344">
        <f>930503.22*1.2</f>
        <v>1116603.8639999998</v>
      </c>
      <c r="R246" s="522" t="s">
        <v>363</v>
      </c>
      <c r="S246" s="353">
        <f>(M246*O246)+Q246</f>
        <v>1116603.8639999998</v>
      </c>
      <c r="T246" s="524"/>
      <c r="U246" s="350"/>
      <c r="V246" s="309"/>
      <c r="W246" s="1090" t="str">
        <f t="shared" ref="W246:W250" si="102">IF(AND(V246&lt;&gt;0,U246&lt;&gt;0),"X",IF(AND(V246&lt;&gt;0,U246=0),"A",IF(AND(V246=0,U246&lt;&gt;0),"P","")))</f>
        <v/>
      </c>
      <c r="X246" s="1103">
        <f>IFERROR(IF(W246="X",0,IF(U246&gt;0,U246,V246/S246)),0)</f>
        <v>0</v>
      </c>
      <c r="Y246" s="1120">
        <f>IFERROR(IF(W246="X",0,IF(V246&gt;0,V246,S246*U246)),0)</f>
        <v>0</v>
      </c>
      <c r="Z246" s="524"/>
      <c r="AA246" s="350"/>
      <c r="AB246" s="309"/>
      <c r="AC246" s="1090" t="str">
        <f t="shared" ref="AC246:AC250" si="103">IF(AND(AB246&lt;&gt;0,AA246&lt;&gt;0),"X",IF(AND(AB246&lt;&gt;0,AA246=0),"A",IF(AND(AB246=0,AA246&lt;&gt;0),"P","")))</f>
        <v/>
      </c>
      <c r="AD246" s="1103">
        <f>IFERROR(IF(AC246="X",0,IF(AA246&gt;0,AA246,AB246/S246)),0)</f>
        <v>0</v>
      </c>
      <c r="AE246" s="1120">
        <f>IFERROR(IF(AC246="X",0,IF(AB246&gt;0,AB246,S246*AA246)),0)</f>
        <v>0</v>
      </c>
      <c r="AF246" s="525"/>
      <c r="AG246" s="637">
        <v>100</v>
      </c>
      <c r="AH246" s="525"/>
      <c r="AI246" s="1086">
        <f t="shared" ref="AI246:AI250" si="104">AG246</f>
        <v>100</v>
      </c>
      <c r="AJ246" s="380"/>
      <c r="AK246" s="440"/>
    </row>
    <row r="247" spans="1:37" ht="12" customHeight="1" x14ac:dyDescent="0.25">
      <c r="A247" s="440"/>
      <c r="B247" s="323"/>
      <c r="C247" s="380"/>
      <c r="D247" s="303"/>
      <c r="E247" s="303"/>
      <c r="F247" s="1088" t="s">
        <v>756</v>
      </c>
      <c r="G247" s="1264"/>
      <c r="H247" s="1264"/>
      <c r="I247" s="1265"/>
      <c r="J247" s="497"/>
      <c r="K247" s="462"/>
      <c r="L247" s="462"/>
      <c r="M247" s="345"/>
      <c r="N247" s="528"/>
      <c r="O247" s="345"/>
      <c r="P247" s="543"/>
      <c r="Q247" s="344">
        <f>18933.75*1.2</f>
        <v>22720.5</v>
      </c>
      <c r="R247" s="522" t="s">
        <v>363</v>
      </c>
      <c r="S247" s="353">
        <f>(M247*O247)+Q247</f>
        <v>22720.5</v>
      </c>
      <c r="T247" s="524"/>
      <c r="U247" s="350"/>
      <c r="V247" s="309"/>
      <c r="W247" s="1090" t="str">
        <f t="shared" si="102"/>
        <v/>
      </c>
      <c r="X247" s="1103">
        <f>IFERROR(IF(W247="X",0,IF(U247&gt;0,U247,V247/S247)),0)</f>
        <v>0</v>
      </c>
      <c r="Y247" s="1120">
        <f>IFERROR(IF(W247="X",0,IF(V247&gt;0,V247,S247*U247)),0)</f>
        <v>0</v>
      </c>
      <c r="Z247" s="524"/>
      <c r="AA247" s="350"/>
      <c r="AB247" s="309"/>
      <c r="AC247" s="1090" t="str">
        <f t="shared" si="103"/>
        <v/>
      </c>
      <c r="AD247" s="1103">
        <f>IFERROR(IF(AC247="X",0,IF(AA247&gt;0,AA247,AB247/S247)),0)</f>
        <v>0</v>
      </c>
      <c r="AE247" s="1120">
        <f>IFERROR(IF(AC247="X",0,IF(AB247&gt;0,AB247,S247*AA247)),0)</f>
        <v>0</v>
      </c>
      <c r="AF247" s="525"/>
      <c r="AG247" s="637">
        <v>50</v>
      </c>
      <c r="AH247" s="525"/>
      <c r="AI247" s="1086">
        <f t="shared" si="104"/>
        <v>50</v>
      </c>
      <c r="AJ247" s="380"/>
      <c r="AK247" s="440"/>
    </row>
    <row r="248" spans="1:37" ht="12" customHeight="1" x14ac:dyDescent="0.25">
      <c r="A248" s="440"/>
      <c r="B248" s="323"/>
      <c r="C248" s="380"/>
      <c r="D248" s="303"/>
      <c r="E248" s="303"/>
      <c r="F248" s="1088" t="s">
        <v>757</v>
      </c>
      <c r="G248" s="1264"/>
      <c r="H248" s="1264"/>
      <c r="I248" s="1265"/>
      <c r="J248" s="497"/>
      <c r="K248" s="462"/>
      <c r="L248" s="462"/>
      <c r="M248" s="345"/>
      <c r="N248" s="528"/>
      <c r="O248" s="345"/>
      <c r="P248" s="543"/>
      <c r="Q248" s="344">
        <f>423218.9*1.2</f>
        <v>507862.68</v>
      </c>
      <c r="R248" s="522" t="s">
        <v>363</v>
      </c>
      <c r="S248" s="353">
        <f>(M248*O248)+Q248</f>
        <v>507862.68</v>
      </c>
      <c r="T248" s="524"/>
      <c r="U248" s="350"/>
      <c r="V248" s="309"/>
      <c r="W248" s="1090" t="str">
        <f t="shared" si="102"/>
        <v/>
      </c>
      <c r="X248" s="1103">
        <f>IFERROR(IF(W248="X",0,IF(U248&gt;0,U248,V248/S248)),0)</f>
        <v>0</v>
      </c>
      <c r="Y248" s="1120">
        <f>IFERROR(IF(W248="X",0,IF(V248&gt;0,V248,S248*U248)),0)</f>
        <v>0</v>
      </c>
      <c r="Z248" s="524"/>
      <c r="AA248" s="350"/>
      <c r="AB248" s="309"/>
      <c r="AC248" s="1090" t="str">
        <f t="shared" si="103"/>
        <v/>
      </c>
      <c r="AD248" s="1103">
        <f>IFERROR(IF(AC248="X",0,IF(AA248&gt;0,AA248,AB248/S248)),0)</f>
        <v>0</v>
      </c>
      <c r="AE248" s="1120">
        <f>IFERROR(IF(AC248="X",0,IF(AB248&gt;0,AB248,S248*AA248)),0)</f>
        <v>0</v>
      </c>
      <c r="AF248" s="525"/>
      <c r="AG248" s="637">
        <v>100</v>
      </c>
      <c r="AH248" s="525"/>
      <c r="AI248" s="1086">
        <f t="shared" si="104"/>
        <v>100</v>
      </c>
      <c r="AJ248" s="380"/>
      <c r="AK248" s="440"/>
    </row>
    <row r="249" spans="1:37" ht="12" customHeight="1" x14ac:dyDescent="0.25">
      <c r="A249" s="440"/>
      <c r="B249" s="323"/>
      <c r="C249" s="380"/>
      <c r="D249" s="303"/>
      <c r="E249" s="303"/>
      <c r="F249" s="1085" t="s">
        <v>747</v>
      </c>
      <c r="G249" s="1264"/>
      <c r="H249" s="1264"/>
      <c r="I249" s="1265"/>
      <c r="J249" s="497"/>
      <c r="K249" s="462"/>
      <c r="L249" s="462"/>
      <c r="M249" s="345"/>
      <c r="N249" s="528"/>
      <c r="O249" s="345"/>
      <c r="P249" s="543"/>
      <c r="Q249" s="344">
        <f>115792.03*1.2</f>
        <v>138950.43599999999</v>
      </c>
      <c r="R249" s="522" t="s">
        <v>363</v>
      </c>
      <c r="S249" s="353">
        <f>(M249*O249)+Q249</f>
        <v>138950.43599999999</v>
      </c>
      <c r="T249" s="524"/>
      <c r="U249" s="350"/>
      <c r="V249" s="309"/>
      <c r="W249" s="1090" t="str">
        <f t="shared" si="102"/>
        <v/>
      </c>
      <c r="X249" s="1103">
        <f>IFERROR(IF(W249="X",0,IF(U249&gt;0,U249,V249/S249)),0)</f>
        <v>0</v>
      </c>
      <c r="Y249" s="1120">
        <f>IFERROR(IF(W249="X",0,IF(V249&gt;0,V249,S249*U249)),0)</f>
        <v>0</v>
      </c>
      <c r="Z249" s="524"/>
      <c r="AA249" s="350"/>
      <c r="AB249" s="309"/>
      <c r="AC249" s="1090" t="str">
        <f t="shared" si="103"/>
        <v/>
      </c>
      <c r="AD249" s="1103">
        <f>IFERROR(IF(AC249="X",0,IF(AA249&gt;0,AA249,AB249/S249)),0)</f>
        <v>0</v>
      </c>
      <c r="AE249" s="1120">
        <f>IFERROR(IF(AC249="X",0,IF(AB249&gt;0,AB249,S249*AA249)),0)</f>
        <v>0</v>
      </c>
      <c r="AF249" s="525"/>
      <c r="AG249" s="637">
        <v>50</v>
      </c>
      <c r="AH249" s="525"/>
      <c r="AI249" s="1086">
        <f t="shared" si="104"/>
        <v>50</v>
      </c>
      <c r="AJ249" s="380"/>
      <c r="AK249" s="440"/>
    </row>
    <row r="250" spans="1:37" ht="12" customHeight="1" x14ac:dyDescent="0.25">
      <c r="A250" s="440"/>
      <c r="B250" s="323"/>
      <c r="C250" s="380"/>
      <c r="D250" s="303"/>
      <c r="E250" s="303"/>
      <c r="F250" s="1085" t="s">
        <v>751</v>
      </c>
      <c r="G250" s="1264"/>
      <c r="H250" s="1264"/>
      <c r="I250" s="1265"/>
      <c r="J250" s="497"/>
      <c r="K250" s="462"/>
      <c r="L250" s="462"/>
      <c r="M250" s="344"/>
      <c r="N250" s="528"/>
      <c r="O250" s="344"/>
      <c r="P250" s="543"/>
      <c r="Q250" s="344">
        <f>49732.65*1.2</f>
        <v>59679.18</v>
      </c>
      <c r="R250" s="522" t="s">
        <v>363</v>
      </c>
      <c r="S250" s="353">
        <f>(M250*O250)+Q250</f>
        <v>59679.18</v>
      </c>
      <c r="T250" s="524"/>
      <c r="U250" s="350"/>
      <c r="V250" s="352"/>
      <c r="W250" s="1090" t="str">
        <f t="shared" si="102"/>
        <v/>
      </c>
      <c r="X250" s="1103">
        <f>IFERROR(IF(W250="X",0,IF(U250&gt;0,U250,V250/S250)),0)</f>
        <v>0</v>
      </c>
      <c r="Y250" s="1120">
        <f>IFERROR(IF(W250="X",0,IF(V250&gt;0,V250,S250*U250)),0)</f>
        <v>0</v>
      </c>
      <c r="Z250" s="524"/>
      <c r="AA250" s="350"/>
      <c r="AB250" s="352"/>
      <c r="AC250" s="1090" t="str">
        <f t="shared" si="103"/>
        <v/>
      </c>
      <c r="AD250" s="1103">
        <f>IFERROR(IF(AC250="X",0,IF(AA250&gt;0,AA250,AB250/S250)),0)</f>
        <v>0</v>
      </c>
      <c r="AE250" s="1120">
        <f>IFERROR(IF(AC250="X",0,IF(AB250&gt;0,AB250,S250*AA250)),0)</f>
        <v>0</v>
      </c>
      <c r="AF250" s="525"/>
      <c r="AG250" s="637">
        <v>100</v>
      </c>
      <c r="AH250" s="525"/>
      <c r="AI250" s="1086">
        <f t="shared" si="104"/>
        <v>100</v>
      </c>
      <c r="AJ250" s="380"/>
      <c r="AK250" s="440"/>
    </row>
    <row r="251" spans="1:37" ht="11.25" collapsed="1" x14ac:dyDescent="0.2">
      <c r="A251" s="440"/>
      <c r="B251" s="324"/>
      <c r="C251" s="378"/>
      <c r="D251" s="378"/>
      <c r="E251" s="378"/>
      <c r="F251" s="378"/>
      <c r="G251" s="378"/>
      <c r="H251" s="378"/>
      <c r="I251" s="378"/>
      <c r="J251" s="378"/>
      <c r="K251" s="378"/>
      <c r="L251" s="378"/>
      <c r="M251" s="560"/>
      <c r="N251" s="561"/>
      <c r="O251" s="378"/>
      <c r="P251" s="378"/>
      <c r="Q251" s="378"/>
      <c r="R251" s="378"/>
      <c r="S251" s="378"/>
      <c r="T251" s="378"/>
      <c r="U251" s="378"/>
      <c r="V251" s="378"/>
      <c r="W251" s="378"/>
      <c r="X251" s="378"/>
      <c r="Y251" s="378"/>
      <c r="Z251" s="378"/>
      <c r="AA251" s="378"/>
      <c r="AB251" s="378"/>
      <c r="AC251" s="378"/>
      <c r="AD251" s="378"/>
      <c r="AE251" s="378"/>
      <c r="AF251" s="378"/>
      <c r="AG251" s="378"/>
      <c r="AH251" s="378"/>
      <c r="AI251" s="510"/>
      <c r="AJ251" s="378"/>
      <c r="AK251" s="440"/>
    </row>
    <row r="252" spans="1:37" ht="11.25" x14ac:dyDescent="0.2">
      <c r="A252" s="440"/>
      <c r="B252" s="323"/>
      <c r="C252" s="380"/>
      <c r="D252" s="380"/>
      <c r="E252" s="380"/>
      <c r="F252" s="380"/>
      <c r="G252" s="380"/>
      <c r="H252" s="380"/>
      <c r="I252" s="380"/>
      <c r="J252" s="380"/>
      <c r="K252" s="463"/>
      <c r="L252" s="463"/>
      <c r="M252" s="532"/>
      <c r="N252" s="463"/>
      <c r="O252" s="380"/>
      <c r="P252" s="380"/>
      <c r="Q252" s="380"/>
      <c r="R252" s="380"/>
      <c r="S252" s="380"/>
      <c r="T252" s="380"/>
      <c r="U252" s="380"/>
      <c r="V252" s="380"/>
      <c r="W252" s="380"/>
      <c r="X252" s="380"/>
      <c r="Y252" s="380"/>
      <c r="Z252" s="380"/>
      <c r="AA252" s="380"/>
      <c r="AB252" s="380"/>
      <c r="AC252" s="380"/>
      <c r="AD252" s="380"/>
      <c r="AE252" s="380"/>
      <c r="AF252" s="380"/>
      <c r="AG252" s="380"/>
      <c r="AH252" s="380"/>
      <c r="AI252" s="464"/>
      <c r="AJ252" s="380"/>
      <c r="AK252" s="440"/>
    </row>
    <row r="253" spans="1:37" ht="11.25" x14ac:dyDescent="0.2">
      <c r="A253" s="440"/>
      <c r="B253" s="323"/>
      <c r="C253" s="380"/>
      <c r="D253" s="380"/>
      <c r="E253" s="380"/>
      <c r="F253" s="380"/>
      <c r="G253" s="380"/>
      <c r="H253" s="380"/>
      <c r="I253" s="380"/>
      <c r="J253" s="380"/>
      <c r="K253" s="463"/>
      <c r="L253" s="463"/>
      <c r="M253" s="532"/>
      <c r="N253" s="463"/>
      <c r="O253" s="380"/>
      <c r="P253" s="380"/>
      <c r="Q253" s="380"/>
      <c r="R253" s="380"/>
      <c r="S253" s="380"/>
      <c r="T253" s="380"/>
      <c r="U253" s="380"/>
      <c r="V253" s="380"/>
      <c r="W253" s="380"/>
      <c r="X253" s="380"/>
      <c r="Y253" s="380"/>
      <c r="Z253" s="380"/>
      <c r="AA253" s="380"/>
      <c r="AB253" s="380"/>
      <c r="AC253" s="380"/>
      <c r="AD253" s="380"/>
      <c r="AE253" s="380"/>
      <c r="AF253" s="380"/>
      <c r="AG253" s="380"/>
      <c r="AH253" s="380"/>
      <c r="AI253" s="464"/>
      <c r="AJ253" s="380"/>
      <c r="AK253" s="440"/>
    </row>
    <row r="254" spans="1:37" ht="12.75" customHeight="1" x14ac:dyDescent="0.25">
      <c r="A254" s="440"/>
      <c r="B254" s="493" t="s">
        <v>366</v>
      </c>
      <c r="C254" s="494"/>
      <c r="D254" s="495"/>
      <c r="E254" s="1606" t="s">
        <v>365</v>
      </c>
      <c r="F254" s="1606"/>
      <c r="G254" s="1606"/>
      <c r="H254" s="1606"/>
      <c r="I254" s="1597"/>
      <c r="J254" s="497"/>
      <c r="K254" s="462"/>
      <c r="L254" s="462"/>
      <c r="M254" s="498"/>
      <c r="N254" s="359"/>
      <c r="O254" s="363"/>
      <c r="P254" s="363"/>
      <c r="Q254" s="363"/>
      <c r="R254" s="363"/>
      <c r="S254" s="385">
        <f>S255</f>
        <v>0</v>
      </c>
      <c r="T254" s="363"/>
      <c r="U254" s="363"/>
      <c r="V254" s="363"/>
      <c r="W254" s="363"/>
      <c r="X254" s="363"/>
      <c r="Y254" s="363"/>
      <c r="Z254" s="363"/>
      <c r="AA254" s="363"/>
      <c r="AB254" s="363"/>
      <c r="AC254" s="363"/>
      <c r="AD254" s="363"/>
      <c r="AE254" s="363"/>
      <c r="AF254" s="363"/>
      <c r="AG254" s="363"/>
      <c r="AH254" s="363"/>
      <c r="AI254" s="358"/>
      <c r="AJ254" s="363"/>
      <c r="AK254" s="440"/>
    </row>
    <row r="255" spans="1:37" ht="12.75" customHeight="1" x14ac:dyDescent="0.25">
      <c r="A255" s="440"/>
      <c r="B255" s="493"/>
      <c r="C255" s="494"/>
      <c r="D255" s="495"/>
      <c r="E255" s="496"/>
      <c r="F255" s="496"/>
      <c r="G255" s="496"/>
      <c r="H255" s="496"/>
      <c r="I255" s="465"/>
      <c r="J255" s="497"/>
      <c r="K255" s="462"/>
      <c r="L255" s="462"/>
      <c r="M255" s="498"/>
      <c r="N255" s="359"/>
      <c r="O255" s="363"/>
      <c r="P255" s="363"/>
      <c r="Q255" s="363"/>
      <c r="R255" s="363"/>
      <c r="S255" s="355">
        <f>SUBTOTAL(109,S256:S258)</f>
        <v>0</v>
      </c>
      <c r="T255" s="363"/>
      <c r="U255" s="363"/>
      <c r="V255" s="363"/>
      <c r="W255" s="363"/>
      <c r="X255" s="363"/>
      <c r="Y255" s="363"/>
      <c r="Z255" s="363"/>
      <c r="AA255" s="363"/>
      <c r="AB255" s="363"/>
      <c r="AC255" s="363"/>
      <c r="AD255" s="363"/>
      <c r="AE255" s="363"/>
      <c r="AF255" s="363"/>
      <c r="AG255" s="363"/>
      <c r="AH255" s="363"/>
      <c r="AI255" s="358"/>
      <c r="AJ255" s="363"/>
      <c r="AK255" s="440"/>
    </row>
    <row r="256" spans="1:37" ht="11.25" x14ac:dyDescent="0.2">
      <c r="A256" s="440"/>
      <c r="B256" s="323"/>
      <c r="C256" s="380"/>
      <c r="D256" s="380"/>
      <c r="E256" s="380"/>
      <c r="F256" s="1088"/>
      <c r="G256" s="1264"/>
      <c r="H256" s="1264"/>
      <c r="I256" s="1265"/>
      <c r="J256" s="559"/>
      <c r="K256" s="463"/>
      <c r="L256" s="463"/>
      <c r="M256" s="339"/>
      <c r="N256" s="359" t="s">
        <v>67</v>
      </c>
      <c r="O256" s="339"/>
      <c r="P256" s="363"/>
      <c r="Q256" s="344"/>
      <c r="R256" s="522" t="s">
        <v>363</v>
      </c>
      <c r="S256" s="353">
        <f>(M256*O256)+Q256</f>
        <v>0</v>
      </c>
      <c r="T256" s="363"/>
      <c r="U256" s="381"/>
      <c r="V256" s="363"/>
      <c r="W256" s="363"/>
      <c r="X256" s="381"/>
      <c r="Y256" s="363"/>
      <c r="Z256" s="363"/>
      <c r="AA256" s="381"/>
      <c r="AB256" s="363"/>
      <c r="AC256" s="363"/>
      <c r="AD256" s="381"/>
      <c r="AE256" s="363"/>
      <c r="AF256" s="363"/>
      <c r="AG256" s="363"/>
      <c r="AH256" s="363"/>
      <c r="AI256" s="358"/>
      <c r="AJ256" s="363"/>
      <c r="AK256" s="440"/>
    </row>
    <row r="257" spans="1:37" ht="11.25" x14ac:dyDescent="0.2">
      <c r="A257" s="440"/>
      <c r="B257" s="323"/>
      <c r="C257" s="380"/>
      <c r="D257" s="380"/>
      <c r="E257" s="380"/>
      <c r="F257" s="1088"/>
      <c r="G257" s="1264"/>
      <c r="H257" s="1264"/>
      <c r="I257" s="1265"/>
      <c r="J257" s="559"/>
      <c r="K257" s="463"/>
      <c r="L257" s="463"/>
      <c r="M257" s="339"/>
      <c r="N257" s="359" t="s">
        <v>67</v>
      </c>
      <c r="O257" s="339"/>
      <c r="P257" s="363"/>
      <c r="Q257" s="344"/>
      <c r="R257" s="522" t="s">
        <v>363</v>
      </c>
      <c r="S257" s="353">
        <f>(M257*O257)+Q257</f>
        <v>0</v>
      </c>
      <c r="T257" s="380"/>
      <c r="U257" s="380"/>
      <c r="V257" s="380"/>
      <c r="W257" s="380"/>
      <c r="X257" s="380"/>
      <c r="Y257" s="380"/>
      <c r="Z257" s="380"/>
      <c r="AA257" s="380"/>
      <c r="AB257" s="380"/>
      <c r="AC257" s="380"/>
      <c r="AD257" s="380"/>
      <c r="AE257" s="380"/>
      <c r="AF257" s="380"/>
      <c r="AG257" s="380"/>
      <c r="AH257" s="380"/>
      <c r="AI257" s="464"/>
      <c r="AJ257" s="380"/>
      <c r="AK257" s="440"/>
    </row>
    <row r="258" spans="1:37" ht="11.25" x14ac:dyDescent="0.2">
      <c r="A258" s="440"/>
      <c r="B258" s="323"/>
      <c r="C258" s="380"/>
      <c r="D258" s="380"/>
      <c r="E258" s="380"/>
      <c r="F258" s="1088"/>
      <c r="G258" s="1264"/>
      <c r="H258" s="1264"/>
      <c r="I258" s="1265"/>
      <c r="J258" s="559"/>
      <c r="K258" s="463"/>
      <c r="L258" s="463"/>
      <c r="M258" s="339"/>
      <c r="N258" s="359" t="s">
        <v>67</v>
      </c>
      <c r="O258" s="339"/>
      <c r="P258" s="363"/>
      <c r="Q258" s="344"/>
      <c r="R258" s="522" t="s">
        <v>363</v>
      </c>
      <c r="S258" s="353">
        <f>(M258*O258)+Q258</f>
        <v>0</v>
      </c>
      <c r="T258" s="380"/>
      <c r="U258" s="380"/>
      <c r="V258" s="380"/>
      <c r="W258" s="380"/>
      <c r="X258" s="380"/>
      <c r="Y258" s="380"/>
      <c r="Z258" s="380"/>
      <c r="AA258" s="380"/>
      <c r="AB258" s="380"/>
      <c r="AC258" s="380"/>
      <c r="AD258" s="380"/>
      <c r="AE258" s="380"/>
      <c r="AF258" s="380"/>
      <c r="AG258" s="380"/>
      <c r="AH258" s="380"/>
      <c r="AI258" s="464"/>
      <c r="AJ258" s="380"/>
      <c r="AK258" s="440"/>
    </row>
    <row r="259" spans="1:37" ht="11.25" collapsed="1" x14ac:dyDescent="0.2">
      <c r="A259" s="440"/>
      <c r="B259" s="323"/>
      <c r="C259" s="380"/>
      <c r="D259" s="380"/>
      <c r="E259" s="380"/>
      <c r="F259" s="380"/>
      <c r="G259" s="380"/>
      <c r="H259" s="380"/>
      <c r="I259" s="380"/>
      <c r="J259" s="380"/>
      <c r="K259" s="463"/>
      <c r="L259" s="463"/>
      <c r="M259" s="380"/>
      <c r="N259" s="463"/>
      <c r="O259" s="380"/>
      <c r="P259" s="380"/>
      <c r="Q259" s="380"/>
      <c r="R259" s="380"/>
      <c r="S259" s="380"/>
      <c r="T259" s="380"/>
      <c r="U259" s="380"/>
      <c r="V259" s="380"/>
      <c r="W259" s="380"/>
      <c r="X259" s="380"/>
      <c r="Y259" s="380"/>
      <c r="Z259" s="380"/>
      <c r="AA259" s="380"/>
      <c r="AB259" s="380"/>
      <c r="AC259" s="380"/>
      <c r="AD259" s="380"/>
      <c r="AE259" s="380"/>
      <c r="AF259" s="380"/>
      <c r="AG259" s="380"/>
      <c r="AH259" s="380"/>
      <c r="AI259" s="464"/>
      <c r="AJ259" s="380"/>
      <c r="AK259" s="440"/>
    </row>
    <row r="260" spans="1:37" ht="11.25" x14ac:dyDescent="0.2">
      <c r="A260" s="440"/>
      <c r="B260" s="323"/>
      <c r="C260" s="380"/>
      <c r="D260" s="380"/>
      <c r="E260" s="380"/>
      <c r="F260" s="380"/>
      <c r="G260" s="380"/>
      <c r="H260" s="380"/>
      <c r="I260" s="380"/>
      <c r="J260" s="380"/>
      <c r="K260" s="463"/>
      <c r="L260" s="463"/>
      <c r="M260" s="380"/>
      <c r="N260" s="463"/>
      <c r="O260" s="380"/>
      <c r="P260" s="380"/>
      <c r="Q260" s="380"/>
      <c r="R260" s="380"/>
      <c r="S260" s="380"/>
      <c r="T260" s="380"/>
      <c r="U260" s="380"/>
      <c r="V260" s="380"/>
      <c r="W260" s="380"/>
      <c r="X260" s="380"/>
      <c r="Y260" s="380"/>
      <c r="Z260" s="380"/>
      <c r="AA260" s="380"/>
      <c r="AB260" s="380"/>
      <c r="AC260" s="380"/>
      <c r="AD260" s="380"/>
      <c r="AE260" s="380"/>
      <c r="AF260" s="380"/>
      <c r="AG260" s="380"/>
      <c r="AH260" s="380"/>
      <c r="AI260" s="464"/>
      <c r="AJ260" s="380"/>
      <c r="AK260" s="440"/>
    </row>
    <row r="261" spans="1:37" ht="11.25" x14ac:dyDescent="0.2">
      <c r="A261" s="440"/>
      <c r="B261" s="324"/>
      <c r="C261" s="378"/>
      <c r="D261" s="378"/>
      <c r="E261" s="378"/>
      <c r="F261" s="378"/>
      <c r="G261" s="378"/>
      <c r="H261" s="378"/>
      <c r="I261" s="378"/>
      <c r="J261" s="378"/>
      <c r="K261" s="561"/>
      <c r="L261" s="561"/>
      <c r="M261" s="378"/>
      <c r="N261" s="561"/>
      <c r="O261" s="378"/>
      <c r="P261" s="378"/>
      <c r="Q261" s="378"/>
      <c r="R261" s="378"/>
      <c r="S261" s="378"/>
      <c r="T261" s="378"/>
      <c r="U261" s="378"/>
      <c r="V261" s="378"/>
      <c r="W261" s="378"/>
      <c r="X261" s="378"/>
      <c r="Y261" s="378"/>
      <c r="Z261" s="378"/>
      <c r="AA261" s="378"/>
      <c r="AB261" s="378"/>
      <c r="AC261" s="378"/>
      <c r="AD261" s="378"/>
      <c r="AE261" s="378"/>
      <c r="AF261" s="378"/>
      <c r="AG261" s="378"/>
      <c r="AH261" s="378"/>
      <c r="AI261" s="510"/>
      <c r="AJ261" s="378"/>
      <c r="AK261" s="440"/>
    </row>
    <row r="262" spans="1:37" ht="11.25" x14ac:dyDescent="0.2">
      <c r="A262" s="440"/>
      <c r="B262" s="440"/>
      <c r="C262" s="440"/>
      <c r="D262" s="440"/>
      <c r="E262" s="440"/>
      <c r="F262" s="440"/>
      <c r="G262" s="440"/>
      <c r="H262" s="440"/>
      <c r="I262" s="440"/>
      <c r="J262" s="440"/>
      <c r="K262" s="440"/>
      <c r="L262" s="440"/>
      <c r="M262" s="440"/>
      <c r="N262" s="440"/>
      <c r="O262" s="440"/>
      <c r="P262" s="440"/>
      <c r="Q262" s="440"/>
      <c r="R262" s="440"/>
      <c r="S262" s="440"/>
      <c r="T262" s="440"/>
      <c r="U262" s="440"/>
      <c r="V262" s="440"/>
      <c r="W262" s="440"/>
      <c r="X262" s="440"/>
      <c r="Y262" s="440"/>
      <c r="Z262" s="440"/>
      <c r="AA262" s="440"/>
      <c r="AB262" s="440"/>
      <c r="AC262" s="440"/>
      <c r="AD262" s="440"/>
      <c r="AE262" s="440"/>
      <c r="AF262" s="440"/>
      <c r="AG262" s="440"/>
      <c r="AH262" s="440"/>
      <c r="AI262" s="440"/>
      <c r="AJ262" s="440"/>
      <c r="AK262" s="440"/>
    </row>
    <row r="263" spans="1:37" ht="11.25" x14ac:dyDescent="0.2">
      <c r="AC263" s="569"/>
      <c r="AD263" s="460"/>
    </row>
    <row r="264" spans="1:37" ht="11.25" x14ac:dyDescent="0.2">
      <c r="Z264" s="568"/>
      <c r="AA264" s="569"/>
      <c r="AB264" s="569"/>
      <c r="AC264" s="569"/>
      <c r="AD264" s="460"/>
    </row>
    <row r="265" spans="1:37" ht="11.25" x14ac:dyDescent="0.2">
      <c r="Z265" s="568"/>
      <c r="AA265" s="569"/>
      <c r="AB265" s="569"/>
      <c r="AC265" s="569"/>
      <c r="AD265" s="460"/>
    </row>
    <row r="266" spans="1:37" ht="11.25" x14ac:dyDescent="0.2">
      <c r="Z266" s="568"/>
      <c r="AA266" s="569"/>
      <c r="AB266" s="569"/>
      <c r="AC266" s="569"/>
      <c r="AD266" s="460"/>
    </row>
    <row r="267" spans="1:37" ht="11.25" x14ac:dyDescent="0.2">
      <c r="Z267" s="568"/>
      <c r="AA267" s="569"/>
      <c r="AB267" s="569"/>
      <c r="AC267" s="569"/>
      <c r="AD267" s="460"/>
    </row>
    <row r="268" spans="1:37" ht="11.25" x14ac:dyDescent="0.2">
      <c r="Z268" s="568"/>
      <c r="AA268" s="569"/>
      <c r="AB268" s="569"/>
      <c r="AC268" s="569"/>
      <c r="AD268" s="460"/>
    </row>
    <row r="269" spans="1:37" ht="11.25" x14ac:dyDescent="0.2">
      <c r="Z269" s="568"/>
      <c r="AA269" s="569"/>
      <c r="AB269" s="569"/>
      <c r="AC269" s="569"/>
      <c r="AD269" s="460"/>
    </row>
    <row r="270" spans="1:37" ht="11.25" x14ac:dyDescent="0.2">
      <c r="AC270" s="569"/>
      <c r="AD270" s="460"/>
    </row>
    <row r="271" spans="1:37" ht="11.25" x14ac:dyDescent="0.2">
      <c r="AC271" s="569"/>
      <c r="AD271" s="460"/>
    </row>
    <row r="272" spans="1:37" ht="11.25" x14ac:dyDescent="0.2">
      <c r="AC272" s="569"/>
      <c r="AD272" s="460"/>
    </row>
    <row r="273" spans="26:30" ht="11.25" x14ac:dyDescent="0.2">
      <c r="AC273" s="569"/>
      <c r="AD273" s="460"/>
    </row>
    <row r="274" spans="26:30" ht="11.25" x14ac:dyDescent="0.2">
      <c r="AC274" s="569"/>
      <c r="AD274" s="460"/>
    </row>
    <row r="275" spans="26:30" ht="11.25" x14ac:dyDescent="0.2">
      <c r="AC275" s="569"/>
      <c r="AD275" s="460"/>
    </row>
    <row r="276" spans="26:30" ht="11.25" x14ac:dyDescent="0.2">
      <c r="AC276" s="569"/>
      <c r="AD276" s="460"/>
    </row>
    <row r="277" spans="26:30" ht="11.25" x14ac:dyDescent="0.2">
      <c r="AC277" s="569"/>
      <c r="AD277" s="460"/>
    </row>
    <row r="278" spans="26:30" ht="11.25" x14ac:dyDescent="0.2">
      <c r="Z278" s="568"/>
      <c r="AA278" s="569"/>
      <c r="AB278" s="569"/>
      <c r="AC278" s="569"/>
      <c r="AD278" s="460"/>
    </row>
    <row r="279" spans="26:30" ht="11.25" x14ac:dyDescent="0.2">
      <c r="Z279" s="568"/>
      <c r="AA279" s="569"/>
      <c r="AB279" s="569"/>
      <c r="AC279" s="569"/>
      <c r="AD279" s="460"/>
    </row>
    <row r="280" spans="26:30" ht="11.25" x14ac:dyDescent="0.2">
      <c r="Z280" s="568"/>
      <c r="AA280" s="569"/>
      <c r="AB280" s="569"/>
      <c r="AC280" s="569"/>
      <c r="AD280" s="460"/>
    </row>
    <row r="281" spans="26:30" ht="11.25" x14ac:dyDescent="0.2">
      <c r="Z281" s="568"/>
      <c r="AA281" s="569"/>
      <c r="AB281" s="569"/>
      <c r="AC281" s="569"/>
      <c r="AD281" s="460"/>
    </row>
    <row r="282" spans="26:30" ht="11.25" x14ac:dyDescent="0.2">
      <c r="Z282" s="568"/>
      <c r="AA282" s="569"/>
      <c r="AB282" s="569"/>
      <c r="AC282" s="569"/>
      <c r="AD282" s="460"/>
    </row>
    <row r="283" spans="26:30" ht="11.25" x14ac:dyDescent="0.2">
      <c r="Z283" s="568"/>
      <c r="AA283" s="569"/>
      <c r="AB283" s="569"/>
      <c r="AC283" s="569"/>
      <c r="AD283" s="460"/>
    </row>
    <row r="284" spans="26:30" ht="11.25" x14ac:dyDescent="0.2">
      <c r="Z284" s="568"/>
      <c r="AA284" s="569"/>
      <c r="AB284" s="569"/>
      <c r="AC284" s="569"/>
      <c r="AD284" s="460"/>
    </row>
    <row r="285" spans="26:30" ht="11.25" x14ac:dyDescent="0.2">
      <c r="Z285" s="568"/>
      <c r="AA285" s="569"/>
      <c r="AB285" s="569"/>
      <c r="AC285" s="569"/>
      <c r="AD285" s="460"/>
    </row>
    <row r="286" spans="26:30" ht="11.25" x14ac:dyDescent="0.2">
      <c r="Z286" s="568"/>
      <c r="AA286" s="569"/>
      <c r="AB286" s="569"/>
      <c r="AC286" s="569"/>
      <c r="AD286" s="460"/>
    </row>
    <row r="287" spans="26:30" ht="11.25" x14ac:dyDescent="0.2">
      <c r="Z287" s="568"/>
      <c r="AA287" s="569"/>
      <c r="AB287" s="569"/>
      <c r="AC287" s="569"/>
      <c r="AD287" s="460"/>
    </row>
    <row r="288" spans="26:30" ht="11.25" x14ac:dyDescent="0.2">
      <c r="Z288" s="568"/>
      <c r="AA288" s="569"/>
      <c r="AB288" s="569"/>
      <c r="AC288" s="569"/>
      <c r="AD288" s="460"/>
    </row>
    <row r="289" spans="26:30" ht="11.25" x14ac:dyDescent="0.2">
      <c r="Z289" s="568"/>
      <c r="AA289" s="569"/>
      <c r="AB289" s="569"/>
      <c r="AC289" s="569"/>
      <c r="AD289" s="460"/>
    </row>
    <row r="290" spans="26:30" ht="11.25" x14ac:dyDescent="0.2">
      <c r="Z290" s="568"/>
      <c r="AA290" s="569"/>
      <c r="AB290" s="569"/>
      <c r="AC290" s="569"/>
      <c r="AD290" s="460"/>
    </row>
    <row r="291" spans="26:30" ht="11.25" x14ac:dyDescent="0.2">
      <c r="Z291" s="568"/>
      <c r="AA291" s="569"/>
      <c r="AB291" s="569"/>
      <c r="AC291" s="569"/>
      <c r="AD291" s="460"/>
    </row>
    <row r="292" spans="26:30" ht="11.25" x14ac:dyDescent="0.2">
      <c r="Z292" s="568"/>
      <c r="AA292" s="569"/>
      <c r="AB292" s="569"/>
      <c r="AC292" s="569"/>
      <c r="AD292" s="460"/>
    </row>
    <row r="293" spans="26:30" ht="11.25" x14ac:dyDescent="0.2">
      <c r="Z293" s="568"/>
      <c r="AA293" s="569"/>
      <c r="AB293" s="569"/>
      <c r="AC293" s="569"/>
      <c r="AD293" s="460"/>
    </row>
    <row r="294" spans="26:30" ht="11.25" x14ac:dyDescent="0.2">
      <c r="Z294" s="568"/>
      <c r="AA294" s="569"/>
      <c r="AB294" s="569"/>
      <c r="AC294" s="569"/>
      <c r="AD294" s="460"/>
    </row>
    <row r="295" spans="26:30" ht="11.25" x14ac:dyDescent="0.2">
      <c r="Z295" s="568"/>
      <c r="AA295" s="569"/>
      <c r="AB295" s="569"/>
      <c r="AC295" s="569"/>
      <c r="AD295" s="460"/>
    </row>
    <row r="296" spans="26:30" ht="11.25" x14ac:dyDescent="0.2">
      <c r="Z296" s="568"/>
      <c r="AA296" s="569"/>
      <c r="AB296" s="569"/>
      <c r="AC296" s="569"/>
      <c r="AD296" s="460"/>
    </row>
    <row r="297" spans="26:30" ht="11.25" x14ac:dyDescent="0.2">
      <c r="Z297" s="568"/>
      <c r="AA297" s="569"/>
      <c r="AB297" s="569"/>
      <c r="AC297" s="569"/>
      <c r="AD297" s="460"/>
    </row>
    <row r="298" spans="26:30" ht="11.25" x14ac:dyDescent="0.2">
      <c r="Z298" s="568"/>
      <c r="AA298" s="569"/>
      <c r="AB298" s="569"/>
      <c r="AC298" s="569"/>
      <c r="AD298" s="460"/>
    </row>
    <row r="299" spans="26:30" ht="11.25" x14ac:dyDescent="0.2">
      <c r="Z299" s="568"/>
      <c r="AA299" s="569"/>
      <c r="AB299" s="569"/>
      <c r="AC299" s="569"/>
      <c r="AD299" s="460"/>
    </row>
    <row r="300" spans="26:30" ht="11.25" x14ac:dyDescent="0.2">
      <c r="Z300" s="568"/>
      <c r="AA300" s="569"/>
      <c r="AB300" s="569"/>
      <c r="AC300" s="569"/>
      <c r="AD300" s="460"/>
    </row>
    <row r="301" spans="26:30" ht="11.25" x14ac:dyDescent="0.2">
      <c r="Z301" s="568"/>
      <c r="AA301" s="569"/>
      <c r="AB301" s="569"/>
      <c r="AC301" s="569"/>
      <c r="AD301" s="460"/>
    </row>
    <row r="302" spans="26:30" ht="11.25" x14ac:dyDescent="0.2">
      <c r="Z302" s="568"/>
      <c r="AA302" s="569"/>
      <c r="AB302" s="569"/>
      <c r="AC302" s="569"/>
      <c r="AD302" s="460"/>
    </row>
    <row r="303" spans="26:30" ht="11.25" x14ac:dyDescent="0.2">
      <c r="Z303" s="568"/>
      <c r="AA303" s="569"/>
      <c r="AB303" s="569"/>
      <c r="AC303" s="569"/>
      <c r="AD303" s="460"/>
    </row>
    <row r="304" spans="26:30" ht="11.25" x14ac:dyDescent="0.2">
      <c r="Z304" s="568"/>
      <c r="AA304" s="569"/>
      <c r="AB304" s="569"/>
      <c r="AC304" s="569"/>
      <c r="AD304" s="460"/>
    </row>
    <row r="305" spans="26:30" ht="11.25" x14ac:dyDescent="0.2">
      <c r="Z305" s="568"/>
      <c r="AA305" s="569"/>
      <c r="AB305" s="569"/>
      <c r="AC305" s="569"/>
      <c r="AD305" s="460"/>
    </row>
    <row r="306" spans="26:30" ht="11.25" x14ac:dyDescent="0.2">
      <c r="Z306" s="568"/>
      <c r="AA306" s="569"/>
      <c r="AB306" s="569"/>
      <c r="AC306" s="569"/>
      <c r="AD306" s="460"/>
    </row>
    <row r="307" spans="26:30" ht="11.25" x14ac:dyDescent="0.2">
      <c r="Z307" s="568"/>
      <c r="AA307" s="569"/>
      <c r="AB307" s="569"/>
      <c r="AC307" s="569"/>
      <c r="AD307" s="460"/>
    </row>
    <row r="308" spans="26:30" ht="11.25" x14ac:dyDescent="0.2">
      <c r="Z308" s="568"/>
      <c r="AA308" s="569"/>
      <c r="AB308" s="569"/>
      <c r="AC308" s="569"/>
      <c r="AD308" s="460"/>
    </row>
    <row r="309" spans="26:30" ht="11.25" x14ac:dyDescent="0.2">
      <c r="Z309" s="568"/>
      <c r="AA309" s="569"/>
      <c r="AB309" s="569"/>
      <c r="AC309" s="569"/>
      <c r="AD309" s="460"/>
    </row>
    <row r="310" spans="26:30" ht="11.25" x14ac:dyDescent="0.2">
      <c r="Z310" s="568"/>
      <c r="AA310" s="569"/>
      <c r="AB310" s="569"/>
      <c r="AC310" s="569"/>
      <c r="AD310" s="460"/>
    </row>
    <row r="311" spans="26:30" ht="11.25" x14ac:dyDescent="0.2">
      <c r="Z311" s="568"/>
      <c r="AA311" s="569"/>
      <c r="AB311" s="569"/>
      <c r="AC311" s="569"/>
      <c r="AD311" s="460"/>
    </row>
    <row r="312" spans="26:30" ht="11.25" x14ac:dyDescent="0.2">
      <c r="Z312" s="568"/>
      <c r="AA312" s="569"/>
      <c r="AB312" s="569"/>
      <c r="AC312" s="569"/>
      <c r="AD312" s="460"/>
    </row>
    <row r="313" spans="26:30" ht="11.25" x14ac:dyDescent="0.2">
      <c r="Z313" s="568"/>
      <c r="AA313" s="569"/>
      <c r="AB313" s="569"/>
      <c r="AC313" s="569"/>
      <c r="AD313" s="460"/>
    </row>
    <row r="314" spans="26:30" ht="11.25" x14ac:dyDescent="0.2">
      <c r="Z314" s="568"/>
      <c r="AA314" s="569"/>
      <c r="AB314" s="569"/>
      <c r="AC314" s="569"/>
      <c r="AD314" s="460"/>
    </row>
    <row r="315" spans="26:30" ht="11.25" x14ac:dyDescent="0.2">
      <c r="Z315" s="568"/>
      <c r="AA315" s="569"/>
      <c r="AB315" s="569"/>
      <c r="AC315" s="569"/>
      <c r="AD315" s="460"/>
    </row>
    <row r="316" spans="26:30" ht="11.25" x14ac:dyDescent="0.2">
      <c r="Z316" s="568"/>
      <c r="AA316" s="569"/>
      <c r="AB316" s="569"/>
      <c r="AC316" s="569"/>
      <c r="AD316" s="460"/>
    </row>
    <row r="317" spans="26:30" ht="11.25" x14ac:dyDescent="0.2">
      <c r="Z317" s="568"/>
      <c r="AA317" s="569"/>
      <c r="AB317" s="569"/>
      <c r="AC317" s="569"/>
      <c r="AD317" s="460"/>
    </row>
    <row r="318" spans="26:30" ht="11.25" x14ac:dyDescent="0.2">
      <c r="Z318" s="568"/>
      <c r="AA318" s="569"/>
      <c r="AB318" s="569"/>
      <c r="AC318" s="569"/>
      <c r="AD318" s="460"/>
    </row>
    <row r="319" spans="26:30" ht="11.25" x14ac:dyDescent="0.2">
      <c r="Z319" s="568"/>
      <c r="AA319" s="569"/>
      <c r="AB319" s="569"/>
      <c r="AC319" s="569"/>
      <c r="AD319" s="460"/>
    </row>
    <row r="320" spans="26:30" ht="11.25" x14ac:dyDescent="0.2">
      <c r="Z320" s="568"/>
      <c r="AA320" s="569"/>
      <c r="AB320" s="569"/>
      <c r="AC320" s="569"/>
      <c r="AD320" s="460"/>
    </row>
    <row r="321" spans="26:30" ht="11.25" x14ac:dyDescent="0.2">
      <c r="Z321" s="568"/>
      <c r="AA321" s="569"/>
      <c r="AB321" s="569"/>
      <c r="AC321" s="569"/>
      <c r="AD321" s="460"/>
    </row>
    <row r="322" spans="26:30" ht="11.25" x14ac:dyDescent="0.2">
      <c r="Z322" s="568"/>
      <c r="AA322" s="569"/>
      <c r="AB322" s="569"/>
      <c r="AC322" s="569"/>
      <c r="AD322" s="460"/>
    </row>
    <row r="323" spans="26:30" ht="11.25" x14ac:dyDescent="0.2">
      <c r="Z323" s="568"/>
      <c r="AA323" s="569"/>
      <c r="AB323" s="569"/>
      <c r="AC323" s="569"/>
      <c r="AD323" s="460"/>
    </row>
    <row r="324" spans="26:30" ht="11.25" x14ac:dyDescent="0.2">
      <c r="Z324" s="568"/>
      <c r="AA324" s="569"/>
      <c r="AB324" s="569"/>
      <c r="AC324" s="569"/>
      <c r="AD324" s="460"/>
    </row>
    <row r="325" spans="26:30" ht="11.25" x14ac:dyDescent="0.2">
      <c r="Z325" s="568"/>
      <c r="AA325" s="569"/>
      <c r="AB325" s="569"/>
      <c r="AC325" s="569"/>
      <c r="AD325" s="460"/>
    </row>
    <row r="326" spans="26:30" ht="11.25" x14ac:dyDescent="0.2">
      <c r="Z326" s="568"/>
      <c r="AA326" s="569"/>
      <c r="AB326" s="569"/>
      <c r="AC326" s="569"/>
      <c r="AD326" s="460"/>
    </row>
    <row r="327" spans="26:30" ht="11.25" x14ac:dyDescent="0.2">
      <c r="Z327" s="568"/>
      <c r="AA327" s="569"/>
      <c r="AB327" s="569"/>
      <c r="AC327" s="569"/>
      <c r="AD327" s="460"/>
    </row>
    <row r="328" spans="26:30" ht="11.25" x14ac:dyDescent="0.2">
      <c r="Z328" s="568"/>
      <c r="AA328" s="569"/>
      <c r="AB328" s="569"/>
      <c r="AC328" s="569"/>
      <c r="AD328" s="460"/>
    </row>
    <row r="329" spans="26:30" ht="11.25" x14ac:dyDescent="0.2">
      <c r="Z329" s="568"/>
      <c r="AA329" s="569"/>
      <c r="AB329" s="569"/>
      <c r="AC329" s="569"/>
      <c r="AD329" s="460"/>
    </row>
    <row r="330" spans="26:30" ht="11.25" x14ac:dyDescent="0.2">
      <c r="Z330" s="568"/>
      <c r="AA330" s="569"/>
      <c r="AB330" s="569"/>
      <c r="AC330" s="569"/>
      <c r="AD330" s="460"/>
    </row>
    <row r="331" spans="26:30" ht="11.25" x14ac:dyDescent="0.2">
      <c r="Z331" s="568"/>
      <c r="AA331" s="569"/>
      <c r="AB331" s="569"/>
      <c r="AC331" s="569"/>
      <c r="AD331" s="460"/>
    </row>
    <row r="332" spans="26:30" ht="11.25" x14ac:dyDescent="0.2">
      <c r="Z332" s="568"/>
      <c r="AA332" s="569"/>
      <c r="AB332" s="569"/>
      <c r="AC332" s="569"/>
      <c r="AD332" s="460"/>
    </row>
    <row r="333" spans="26:30" ht="11.25" x14ac:dyDescent="0.2">
      <c r="Z333" s="568"/>
      <c r="AA333" s="569"/>
      <c r="AB333" s="569"/>
      <c r="AC333" s="569"/>
      <c r="AD333" s="460"/>
    </row>
    <row r="334" spans="26:30" ht="11.25" x14ac:dyDescent="0.2">
      <c r="Z334" s="568"/>
      <c r="AA334" s="569"/>
      <c r="AB334" s="569"/>
      <c r="AC334" s="569"/>
      <c r="AD334" s="460"/>
    </row>
    <row r="335" spans="26:30" ht="11.25" x14ac:dyDescent="0.2">
      <c r="Z335" s="568"/>
      <c r="AA335" s="569"/>
      <c r="AB335" s="569"/>
      <c r="AC335" s="569"/>
      <c r="AD335" s="460"/>
    </row>
    <row r="336" spans="26:30" ht="11.25" x14ac:dyDescent="0.2">
      <c r="Z336" s="568"/>
      <c r="AA336" s="569"/>
      <c r="AB336" s="569"/>
      <c r="AC336" s="569"/>
      <c r="AD336" s="460"/>
    </row>
    <row r="337" spans="26:30" ht="11.25" x14ac:dyDescent="0.2">
      <c r="Z337" s="568"/>
      <c r="AA337" s="569"/>
      <c r="AB337" s="569"/>
      <c r="AC337" s="569"/>
      <c r="AD337" s="460"/>
    </row>
    <row r="338" spans="26:30" ht="11.25" x14ac:dyDescent="0.2">
      <c r="Z338" s="568"/>
      <c r="AA338" s="569"/>
      <c r="AB338" s="569"/>
      <c r="AC338" s="569"/>
      <c r="AD338" s="460"/>
    </row>
    <row r="339" spans="26:30" ht="11.25" x14ac:dyDescent="0.2">
      <c r="Z339" s="568"/>
      <c r="AA339" s="569"/>
      <c r="AB339" s="569"/>
      <c r="AC339" s="569"/>
      <c r="AD339" s="460"/>
    </row>
    <row r="340" spans="26:30" ht="11.25" x14ac:dyDescent="0.2">
      <c r="Z340" s="568"/>
      <c r="AA340" s="569"/>
      <c r="AB340" s="569"/>
      <c r="AC340" s="569"/>
      <c r="AD340" s="460"/>
    </row>
    <row r="341" spans="26:30" ht="11.25" x14ac:dyDescent="0.2">
      <c r="Z341" s="568"/>
      <c r="AA341" s="569"/>
      <c r="AB341" s="569"/>
      <c r="AC341" s="569"/>
      <c r="AD341" s="460"/>
    </row>
    <row r="342" spans="26:30" ht="11.25" x14ac:dyDescent="0.2">
      <c r="Z342" s="568"/>
      <c r="AA342" s="569"/>
      <c r="AB342" s="569"/>
      <c r="AC342" s="569"/>
      <c r="AD342" s="460"/>
    </row>
    <row r="343" spans="26:30" ht="11.25" x14ac:dyDescent="0.2">
      <c r="Z343" s="568"/>
      <c r="AA343" s="569"/>
      <c r="AB343" s="569"/>
      <c r="AC343" s="569"/>
      <c r="AD343" s="460"/>
    </row>
    <row r="344" spans="26:30" ht="11.25" x14ac:dyDescent="0.2">
      <c r="Z344" s="568"/>
      <c r="AA344" s="569"/>
      <c r="AB344" s="569"/>
      <c r="AC344" s="569"/>
      <c r="AD344" s="460"/>
    </row>
    <row r="345" spans="26:30" ht="11.25" x14ac:dyDescent="0.2">
      <c r="Z345" s="568"/>
      <c r="AA345" s="569"/>
      <c r="AB345" s="569"/>
      <c r="AC345" s="569"/>
      <c r="AD345" s="460"/>
    </row>
    <row r="346" spans="26:30" ht="11.25" x14ac:dyDescent="0.2">
      <c r="Z346" s="568"/>
      <c r="AA346" s="569"/>
      <c r="AB346" s="569"/>
      <c r="AC346" s="569"/>
      <c r="AD346" s="460"/>
    </row>
    <row r="347" spans="26:30" ht="11.25" x14ac:dyDescent="0.2">
      <c r="Z347" s="568"/>
      <c r="AA347" s="569"/>
      <c r="AB347" s="569"/>
      <c r="AC347" s="569"/>
      <c r="AD347" s="460"/>
    </row>
    <row r="348" spans="26:30" ht="11.25" x14ac:dyDescent="0.2">
      <c r="Z348" s="568"/>
      <c r="AA348" s="569"/>
      <c r="AB348" s="569"/>
      <c r="AC348" s="569"/>
      <c r="AD348" s="460"/>
    </row>
    <row r="349" spans="26:30" ht="11.25" x14ac:dyDescent="0.2">
      <c r="Z349" s="568"/>
      <c r="AA349" s="569"/>
      <c r="AB349" s="569"/>
      <c r="AC349" s="569"/>
      <c r="AD349" s="460"/>
    </row>
    <row r="350" spans="26:30" ht="11.25" x14ac:dyDescent="0.2">
      <c r="Z350" s="568"/>
      <c r="AA350" s="569"/>
      <c r="AB350" s="569"/>
      <c r="AC350" s="569"/>
      <c r="AD350" s="460"/>
    </row>
    <row r="351" spans="26:30" ht="11.25" x14ac:dyDescent="0.2">
      <c r="Z351" s="568"/>
      <c r="AA351" s="569"/>
      <c r="AB351" s="569"/>
      <c r="AC351" s="569"/>
      <c r="AD351" s="460"/>
    </row>
    <row r="352" spans="26:30" ht="11.25" x14ac:dyDescent="0.2">
      <c r="Z352" s="568"/>
      <c r="AA352" s="569"/>
      <c r="AB352" s="569"/>
      <c r="AC352" s="569"/>
      <c r="AD352" s="460"/>
    </row>
    <row r="353" spans="26:30" ht="11.25" x14ac:dyDescent="0.2">
      <c r="Z353" s="568"/>
      <c r="AA353" s="569"/>
      <c r="AB353" s="569"/>
      <c r="AC353" s="569"/>
      <c r="AD353" s="460"/>
    </row>
    <row r="354" spans="26:30" ht="11.25" x14ac:dyDescent="0.2">
      <c r="Z354" s="568"/>
      <c r="AA354" s="569"/>
      <c r="AB354" s="569"/>
      <c r="AC354" s="569"/>
      <c r="AD354" s="460"/>
    </row>
    <row r="355" spans="26:30" ht="11.25" x14ac:dyDescent="0.2">
      <c r="Z355" s="568"/>
      <c r="AA355" s="569"/>
      <c r="AB355" s="569"/>
      <c r="AC355" s="569"/>
      <c r="AD355" s="460"/>
    </row>
    <row r="356" spans="26:30" ht="11.25" x14ac:dyDescent="0.2">
      <c r="Z356" s="568"/>
      <c r="AA356" s="569"/>
      <c r="AB356" s="569"/>
      <c r="AC356" s="569"/>
      <c r="AD356" s="460"/>
    </row>
    <row r="357" spans="26:30" ht="11.25" x14ac:dyDescent="0.2">
      <c r="Z357" s="568"/>
      <c r="AA357" s="569"/>
      <c r="AB357" s="569"/>
      <c r="AC357" s="569"/>
      <c r="AD357" s="460"/>
    </row>
    <row r="358" spans="26:30" ht="11.25" x14ac:dyDescent="0.2">
      <c r="Z358" s="568"/>
      <c r="AA358" s="569"/>
      <c r="AB358" s="569"/>
      <c r="AC358" s="569"/>
      <c r="AD358" s="460"/>
    </row>
    <row r="359" spans="26:30" ht="11.25" x14ac:dyDescent="0.2">
      <c r="Z359" s="568"/>
      <c r="AA359" s="569"/>
      <c r="AB359" s="569"/>
      <c r="AC359" s="569"/>
      <c r="AD359" s="460"/>
    </row>
    <row r="360" spans="26:30" ht="11.25" x14ac:dyDescent="0.2">
      <c r="Z360" s="568"/>
      <c r="AA360" s="569"/>
      <c r="AB360" s="569"/>
      <c r="AC360" s="569"/>
      <c r="AD360" s="460"/>
    </row>
    <row r="361" spans="26:30" ht="11.25" x14ac:dyDescent="0.2">
      <c r="Z361" s="568"/>
      <c r="AA361" s="569"/>
      <c r="AB361" s="569"/>
      <c r="AC361" s="569"/>
      <c r="AD361" s="460"/>
    </row>
    <row r="362" spans="26:30" ht="11.25" x14ac:dyDescent="0.2">
      <c r="Z362" s="568"/>
      <c r="AA362" s="569"/>
      <c r="AB362" s="569"/>
      <c r="AC362" s="569"/>
      <c r="AD362" s="460"/>
    </row>
    <row r="363" spans="26:30" ht="11.25" x14ac:dyDescent="0.2">
      <c r="Z363" s="568"/>
      <c r="AA363" s="569"/>
      <c r="AB363" s="569"/>
      <c r="AC363" s="569"/>
      <c r="AD363" s="460"/>
    </row>
    <row r="364" spans="26:30" ht="11.25" x14ac:dyDescent="0.2">
      <c r="Z364" s="568"/>
      <c r="AA364" s="569"/>
      <c r="AB364" s="569"/>
      <c r="AC364" s="569"/>
      <c r="AD364" s="460"/>
    </row>
    <row r="365" spans="26:30" ht="11.25" x14ac:dyDescent="0.2">
      <c r="Z365" s="568"/>
      <c r="AA365" s="569"/>
      <c r="AB365" s="569"/>
      <c r="AC365" s="569"/>
      <c r="AD365" s="460"/>
    </row>
    <row r="366" spans="26:30" ht="11.25" x14ac:dyDescent="0.2">
      <c r="Z366" s="568"/>
      <c r="AA366" s="569"/>
      <c r="AB366" s="569"/>
      <c r="AC366" s="569"/>
      <c r="AD366" s="460"/>
    </row>
    <row r="367" spans="26:30" ht="11.25" x14ac:dyDescent="0.2">
      <c r="Z367" s="568"/>
      <c r="AA367" s="569"/>
      <c r="AB367" s="569"/>
      <c r="AC367" s="569"/>
      <c r="AD367" s="460"/>
    </row>
    <row r="368" spans="26:30" ht="11.25" x14ac:dyDescent="0.2">
      <c r="Z368" s="568"/>
      <c r="AA368" s="569"/>
      <c r="AB368" s="569"/>
      <c r="AC368" s="569"/>
      <c r="AD368" s="460"/>
    </row>
    <row r="369" spans="26:30" ht="11.25" x14ac:dyDescent="0.2">
      <c r="Z369" s="568"/>
      <c r="AA369" s="569"/>
      <c r="AB369" s="569"/>
      <c r="AC369" s="569"/>
      <c r="AD369" s="460"/>
    </row>
    <row r="370" spans="26:30" ht="11.25" x14ac:dyDescent="0.2">
      <c r="Z370" s="568"/>
      <c r="AA370" s="569"/>
      <c r="AB370" s="569"/>
      <c r="AC370" s="569"/>
      <c r="AD370" s="460"/>
    </row>
    <row r="371" spans="26:30" ht="11.25" x14ac:dyDescent="0.2">
      <c r="Z371" s="568"/>
      <c r="AA371" s="569"/>
      <c r="AB371" s="569"/>
      <c r="AC371" s="569"/>
      <c r="AD371" s="460"/>
    </row>
    <row r="372" spans="26:30" ht="11.25" x14ac:dyDescent="0.2">
      <c r="Z372" s="568"/>
      <c r="AA372" s="569"/>
      <c r="AB372" s="569"/>
      <c r="AC372" s="569"/>
      <c r="AD372" s="460"/>
    </row>
    <row r="373" spans="26:30" ht="11.25" x14ac:dyDescent="0.2">
      <c r="Z373" s="568"/>
      <c r="AA373" s="569"/>
      <c r="AB373" s="569"/>
      <c r="AC373" s="569"/>
      <c r="AD373" s="460"/>
    </row>
    <row r="374" spans="26:30" ht="11.25" x14ac:dyDescent="0.2">
      <c r="Z374" s="568"/>
      <c r="AA374" s="569"/>
      <c r="AB374" s="569"/>
      <c r="AC374" s="569"/>
      <c r="AD374" s="460"/>
    </row>
    <row r="375" spans="26:30" ht="11.25" x14ac:dyDescent="0.2">
      <c r="Z375" s="568"/>
      <c r="AA375" s="569"/>
      <c r="AB375" s="569"/>
      <c r="AC375" s="569"/>
      <c r="AD375" s="460"/>
    </row>
    <row r="376" spans="26:30" ht="11.25" x14ac:dyDescent="0.2">
      <c r="Z376" s="568"/>
      <c r="AA376" s="569"/>
      <c r="AB376" s="569"/>
      <c r="AC376" s="569"/>
      <c r="AD376" s="460"/>
    </row>
    <row r="377" spans="26:30" ht="11.25" x14ac:dyDescent="0.2">
      <c r="AD377" s="460"/>
    </row>
    <row r="378" spans="26:30" ht="11.25" x14ac:dyDescent="0.2">
      <c r="AD378" s="460"/>
    </row>
    <row r="379" spans="26:30" ht="11.25" x14ac:dyDescent="0.2">
      <c r="AD379" s="460"/>
    </row>
    <row r="380" spans="26:30" ht="11.25" x14ac:dyDescent="0.2">
      <c r="AD380" s="460"/>
    </row>
    <row r="381" spans="26:30" ht="11.25" x14ac:dyDescent="0.2">
      <c r="AD381" s="460"/>
    </row>
    <row r="382" spans="26:30" ht="11.25" x14ac:dyDescent="0.2">
      <c r="AD382" s="460"/>
    </row>
    <row r="383" spans="26:30" ht="11.25" x14ac:dyDescent="0.2">
      <c r="AD383" s="460"/>
    </row>
    <row r="384" spans="26:30" ht="11.25" x14ac:dyDescent="0.2">
      <c r="AD384" s="460"/>
    </row>
    <row r="385" spans="30:30" ht="11.25" x14ac:dyDescent="0.2">
      <c r="AD385" s="460"/>
    </row>
    <row r="386" spans="30:30" ht="11.25" x14ac:dyDescent="0.2">
      <c r="AD386" s="460"/>
    </row>
    <row r="387" spans="30:30" ht="11.25" x14ac:dyDescent="0.2">
      <c r="AD387" s="460"/>
    </row>
    <row r="388" spans="30:30" ht="11.25" x14ac:dyDescent="0.2">
      <c r="AD388" s="460"/>
    </row>
    <row r="389" spans="30:30" ht="11.25" x14ac:dyDescent="0.2">
      <c r="AD389" s="460"/>
    </row>
    <row r="390" spans="30:30" ht="11.25" x14ac:dyDescent="0.2">
      <c r="AD390" s="460"/>
    </row>
    <row r="391" spans="30:30" ht="11.25" x14ac:dyDescent="0.2">
      <c r="AD391" s="460"/>
    </row>
    <row r="392" spans="30:30" ht="11.25" x14ac:dyDescent="0.2">
      <c r="AD392" s="460"/>
    </row>
    <row r="393" spans="30:30" ht="11.25" x14ac:dyDescent="0.2">
      <c r="AD393" s="460"/>
    </row>
    <row r="394" spans="30:30" ht="11.25" x14ac:dyDescent="0.2">
      <c r="AD394" s="460"/>
    </row>
    <row r="395" spans="30:30" ht="11.25" x14ac:dyDescent="0.2">
      <c r="AD395" s="460"/>
    </row>
    <row r="396" spans="30:30" ht="11.25" x14ac:dyDescent="0.2">
      <c r="AD396" s="460"/>
    </row>
    <row r="397" spans="30:30" ht="11.25" x14ac:dyDescent="0.2">
      <c r="AD397" s="460"/>
    </row>
    <row r="398" spans="30:30" ht="11.25" x14ac:dyDescent="0.2">
      <c r="AD398" s="460"/>
    </row>
    <row r="399" spans="30:30" ht="11.25" x14ac:dyDescent="0.2">
      <c r="AD399" s="460"/>
    </row>
    <row r="400" spans="30:30" ht="11.25" x14ac:dyDescent="0.2">
      <c r="AD400" s="460"/>
    </row>
    <row r="401" spans="30:30" ht="11.25" x14ac:dyDescent="0.2">
      <c r="AD401" s="460"/>
    </row>
    <row r="402" spans="30:30" ht="11.25" x14ac:dyDescent="0.2">
      <c r="AD402" s="460"/>
    </row>
    <row r="403" spans="30:30" ht="11.25" x14ac:dyDescent="0.2">
      <c r="AD403" s="460"/>
    </row>
    <row r="404" spans="30:30" ht="11.25" x14ac:dyDescent="0.2">
      <c r="AD404" s="460"/>
    </row>
    <row r="405" spans="30:30" ht="11.25" x14ac:dyDescent="0.2">
      <c r="AD405" s="460"/>
    </row>
    <row r="406" spans="30:30" ht="11.25" x14ac:dyDescent="0.2">
      <c r="AD406" s="460"/>
    </row>
    <row r="407" spans="30:30" ht="11.25" x14ac:dyDescent="0.2">
      <c r="AD407" s="460"/>
    </row>
    <row r="408" spans="30:30" ht="11.25" x14ac:dyDescent="0.2">
      <c r="AD408" s="460"/>
    </row>
    <row r="409" spans="30:30" ht="11.25" x14ac:dyDescent="0.2">
      <c r="AD409" s="460"/>
    </row>
    <row r="410" spans="30:30" ht="11.25" x14ac:dyDescent="0.2">
      <c r="AD410" s="460"/>
    </row>
    <row r="411" spans="30:30" ht="11.25" x14ac:dyDescent="0.2">
      <c r="AD411" s="460"/>
    </row>
    <row r="412" spans="30:30" ht="11.25" x14ac:dyDescent="0.2">
      <c r="AD412" s="460"/>
    </row>
    <row r="413" spans="30:30" ht="11.25" x14ac:dyDescent="0.2">
      <c r="AD413" s="460"/>
    </row>
    <row r="414" spans="30:30" ht="11.25" x14ac:dyDescent="0.2">
      <c r="AD414" s="460"/>
    </row>
    <row r="415" spans="30:30" ht="11.25" x14ac:dyDescent="0.2">
      <c r="AD415" s="460"/>
    </row>
    <row r="416" spans="30:30" ht="11.25" x14ac:dyDescent="0.2">
      <c r="AD416" s="460"/>
    </row>
    <row r="417" spans="30:30" ht="11.25" x14ac:dyDescent="0.2">
      <c r="AD417" s="460"/>
    </row>
    <row r="418" spans="30:30" ht="11.25" x14ac:dyDescent="0.2">
      <c r="AD418" s="460"/>
    </row>
    <row r="419" spans="30:30" ht="11.25" x14ac:dyDescent="0.2">
      <c r="AD419" s="460"/>
    </row>
    <row r="420" spans="30:30" ht="11.25" x14ac:dyDescent="0.2">
      <c r="AD420" s="460"/>
    </row>
    <row r="421" spans="30:30" ht="11.25" x14ac:dyDescent="0.2">
      <c r="AD421" s="460"/>
    </row>
    <row r="422" spans="30:30" ht="11.25" x14ac:dyDescent="0.2">
      <c r="AD422" s="460"/>
    </row>
    <row r="423" spans="30:30" ht="11.25" x14ac:dyDescent="0.2">
      <c r="AD423" s="460"/>
    </row>
    <row r="424" spans="30:30" ht="11.25" x14ac:dyDescent="0.2">
      <c r="AD424" s="460"/>
    </row>
    <row r="425" spans="30:30" ht="11.25" x14ac:dyDescent="0.2">
      <c r="AD425" s="460"/>
    </row>
    <row r="426" spans="30:30" ht="11.25" x14ac:dyDescent="0.2">
      <c r="AD426" s="460"/>
    </row>
    <row r="427" spans="30:30" ht="11.25" x14ac:dyDescent="0.2">
      <c r="AD427" s="460"/>
    </row>
    <row r="428" spans="30:30" ht="11.25" x14ac:dyDescent="0.2">
      <c r="AD428" s="460"/>
    </row>
    <row r="429" spans="30:30" ht="11.25" x14ac:dyDescent="0.2">
      <c r="AD429" s="460"/>
    </row>
    <row r="430" spans="30:30" ht="11.25" x14ac:dyDescent="0.2">
      <c r="AD430" s="460"/>
    </row>
    <row r="431" spans="30:30" ht="11.25" x14ac:dyDescent="0.2">
      <c r="AD431" s="460"/>
    </row>
    <row r="432" spans="30:30" ht="11.25" x14ac:dyDescent="0.2">
      <c r="AD432" s="460"/>
    </row>
    <row r="433" spans="30:30" ht="11.25" x14ac:dyDescent="0.2">
      <c r="AD433" s="460"/>
    </row>
    <row r="434" spans="30:30" ht="11.25" x14ac:dyDescent="0.2">
      <c r="AD434" s="460"/>
    </row>
    <row r="435" spans="30:30" ht="11.25" x14ac:dyDescent="0.2">
      <c r="AD435" s="460"/>
    </row>
    <row r="436" spans="30:30" ht="11.25" x14ac:dyDescent="0.2">
      <c r="AD436" s="460"/>
    </row>
    <row r="437" spans="30:30" ht="11.25" x14ac:dyDescent="0.2">
      <c r="AD437" s="460"/>
    </row>
    <row r="438" spans="30:30" ht="11.25" x14ac:dyDescent="0.2">
      <c r="AD438" s="460"/>
    </row>
    <row r="439" spans="30:30" ht="11.25" x14ac:dyDescent="0.2">
      <c r="AD439" s="460"/>
    </row>
    <row r="440" spans="30:30" ht="11.25" x14ac:dyDescent="0.2">
      <c r="AD440" s="460"/>
    </row>
    <row r="441" spans="30:30" ht="11.25" x14ac:dyDescent="0.2">
      <c r="AD441" s="460"/>
    </row>
    <row r="442" spans="30:30" ht="11.25" x14ac:dyDescent="0.2">
      <c r="AD442" s="460"/>
    </row>
    <row r="443" spans="30:30" ht="11.25" x14ac:dyDescent="0.2">
      <c r="AD443" s="460"/>
    </row>
    <row r="444" spans="30:30" ht="11.25" x14ac:dyDescent="0.2">
      <c r="AD444" s="460"/>
    </row>
    <row r="445" spans="30:30" ht="11.25" x14ac:dyDescent="0.2">
      <c r="AD445" s="460"/>
    </row>
    <row r="446" spans="30:30" ht="11.25" x14ac:dyDescent="0.2">
      <c r="AD446" s="460"/>
    </row>
    <row r="447" spans="30:30" ht="11.25" x14ac:dyDescent="0.2">
      <c r="AD447" s="460"/>
    </row>
    <row r="448" spans="30:30" ht="11.25" x14ac:dyDescent="0.2">
      <c r="AD448" s="460"/>
    </row>
    <row r="449" spans="30:30" ht="11.25" x14ac:dyDescent="0.2">
      <c r="AD449" s="460"/>
    </row>
    <row r="450" spans="30:30" ht="11.25" x14ac:dyDescent="0.2">
      <c r="AD450" s="460"/>
    </row>
    <row r="451" spans="30:30" ht="11.25" x14ac:dyDescent="0.2">
      <c r="AD451" s="460"/>
    </row>
    <row r="452" spans="30:30" ht="11.25" x14ac:dyDescent="0.2">
      <c r="AD452" s="460"/>
    </row>
    <row r="453" spans="30:30" ht="11.25" x14ac:dyDescent="0.2">
      <c r="AD453" s="460"/>
    </row>
    <row r="454" spans="30:30" ht="11.25" x14ac:dyDescent="0.2">
      <c r="AD454" s="460"/>
    </row>
    <row r="455" spans="30:30" ht="11.25" x14ac:dyDescent="0.2">
      <c r="AD455" s="460"/>
    </row>
    <row r="456" spans="30:30" ht="11.25" x14ac:dyDescent="0.2">
      <c r="AD456" s="460"/>
    </row>
    <row r="457" spans="30:30" ht="11.25" x14ac:dyDescent="0.2">
      <c r="AD457" s="460"/>
    </row>
    <row r="458" spans="30:30" ht="11.25" x14ac:dyDescent="0.2">
      <c r="AD458" s="460"/>
    </row>
    <row r="459" spans="30:30" ht="11.25" x14ac:dyDescent="0.2">
      <c r="AD459" s="460"/>
    </row>
    <row r="460" spans="30:30" ht="11.25" x14ac:dyDescent="0.2">
      <c r="AD460" s="460"/>
    </row>
    <row r="461" spans="30:30" ht="11.25" x14ac:dyDescent="0.2">
      <c r="AD461" s="460"/>
    </row>
    <row r="462" spans="30:30" ht="11.25" x14ac:dyDescent="0.2">
      <c r="AD462" s="460"/>
    </row>
    <row r="463" spans="30:30" ht="11.25" x14ac:dyDescent="0.2">
      <c r="AD463" s="460"/>
    </row>
    <row r="464" spans="30:30" ht="11.25" x14ac:dyDescent="0.2">
      <c r="AD464" s="460"/>
    </row>
    <row r="465" spans="30:30" ht="11.25" x14ac:dyDescent="0.2">
      <c r="AD465" s="460"/>
    </row>
    <row r="466" spans="30:30" ht="11.25" x14ac:dyDescent="0.2">
      <c r="AD466" s="460"/>
    </row>
    <row r="467" spans="30:30" ht="11.25" x14ac:dyDescent="0.2">
      <c r="AD467" s="460"/>
    </row>
    <row r="468" spans="30:30" ht="11.25" x14ac:dyDescent="0.2">
      <c r="AD468" s="460"/>
    </row>
    <row r="469" spans="30:30" ht="11.25" x14ac:dyDescent="0.2">
      <c r="AD469" s="460"/>
    </row>
    <row r="470" spans="30:30" ht="11.25" x14ac:dyDescent="0.2">
      <c r="AD470" s="460"/>
    </row>
    <row r="471" spans="30:30" ht="11.25" x14ac:dyDescent="0.2">
      <c r="AD471" s="460"/>
    </row>
    <row r="472" spans="30:30" ht="11.25" x14ac:dyDescent="0.2">
      <c r="AD472" s="460"/>
    </row>
    <row r="473" spans="30:30" ht="11.25" x14ac:dyDescent="0.2">
      <c r="AD473" s="460"/>
    </row>
    <row r="474" spans="30:30" ht="11.25" x14ac:dyDescent="0.2">
      <c r="AD474" s="460"/>
    </row>
    <row r="475" spans="30:30" ht="11.25" x14ac:dyDescent="0.2">
      <c r="AD475" s="460"/>
    </row>
    <row r="476" spans="30:30" ht="11.25" x14ac:dyDescent="0.2">
      <c r="AD476" s="460"/>
    </row>
    <row r="477" spans="30:30" ht="11.25" x14ac:dyDescent="0.2">
      <c r="AD477" s="460"/>
    </row>
    <row r="478" spans="30:30" ht="11.25" x14ac:dyDescent="0.2">
      <c r="AD478" s="460"/>
    </row>
    <row r="479" spans="30:30" ht="11.25" x14ac:dyDescent="0.2">
      <c r="AD479" s="460"/>
    </row>
    <row r="480" spans="30:30" ht="11.25" x14ac:dyDescent="0.2">
      <c r="AD480" s="460"/>
    </row>
    <row r="481" spans="30:30" ht="11.25" x14ac:dyDescent="0.2">
      <c r="AD481" s="460"/>
    </row>
    <row r="482" spans="30:30" ht="11.25" x14ac:dyDescent="0.2">
      <c r="AD482" s="460"/>
    </row>
    <row r="483" spans="30:30" ht="11.25" x14ac:dyDescent="0.2">
      <c r="AD483" s="460"/>
    </row>
    <row r="484" spans="30:30" ht="11.25" x14ac:dyDescent="0.2">
      <c r="AD484" s="460"/>
    </row>
    <row r="485" spans="30:30" ht="11.25" x14ac:dyDescent="0.2">
      <c r="AD485" s="460"/>
    </row>
    <row r="486" spans="30:30" ht="11.25" x14ac:dyDescent="0.2">
      <c r="AD486" s="460"/>
    </row>
    <row r="487" spans="30:30" ht="11.25" x14ac:dyDescent="0.2">
      <c r="AD487" s="460"/>
    </row>
    <row r="488" spans="30:30" ht="11.25" x14ac:dyDescent="0.2">
      <c r="AD488" s="460"/>
    </row>
    <row r="489" spans="30:30" ht="11.25" x14ac:dyDescent="0.2">
      <c r="AD489" s="460"/>
    </row>
    <row r="490" spans="30:30" ht="11.25" x14ac:dyDescent="0.2">
      <c r="AD490" s="460"/>
    </row>
    <row r="491" spans="30:30" ht="11.25" x14ac:dyDescent="0.2">
      <c r="AD491" s="460"/>
    </row>
    <row r="492" spans="30:30" ht="11.25" x14ac:dyDescent="0.2">
      <c r="AD492" s="460"/>
    </row>
    <row r="493" spans="30:30" ht="11.25" x14ac:dyDescent="0.2">
      <c r="AD493" s="460"/>
    </row>
    <row r="494" spans="30:30" ht="11.25" x14ac:dyDescent="0.2">
      <c r="AD494" s="460"/>
    </row>
    <row r="495" spans="30:30" ht="11.25" x14ac:dyDescent="0.2">
      <c r="AD495" s="460"/>
    </row>
    <row r="496" spans="30:30" ht="11.25" x14ac:dyDescent="0.2">
      <c r="AD496" s="460"/>
    </row>
    <row r="497" spans="30:30" ht="11.25" x14ac:dyDescent="0.2">
      <c r="AD497" s="460"/>
    </row>
    <row r="498" spans="30:30" ht="11.25" x14ac:dyDescent="0.2">
      <c r="AD498" s="460"/>
    </row>
    <row r="499" spans="30:30" ht="11.25" x14ac:dyDescent="0.2">
      <c r="AD499" s="460"/>
    </row>
    <row r="500" spans="30:30" ht="11.25" x14ac:dyDescent="0.2">
      <c r="AD500" s="460"/>
    </row>
    <row r="501" spans="30:30" ht="11.25" x14ac:dyDescent="0.2">
      <c r="AD501" s="460"/>
    </row>
    <row r="502" spans="30:30" ht="11.25" x14ac:dyDescent="0.2">
      <c r="AD502" s="460"/>
    </row>
    <row r="503" spans="30:30" ht="11.25" x14ac:dyDescent="0.2">
      <c r="AD503" s="460"/>
    </row>
    <row r="504" spans="30:30" ht="11.25" x14ac:dyDescent="0.2">
      <c r="AD504" s="460"/>
    </row>
    <row r="505" spans="30:30" ht="11.25" x14ac:dyDescent="0.2">
      <c r="AD505" s="460"/>
    </row>
    <row r="506" spans="30:30" ht="11.25" x14ac:dyDescent="0.2">
      <c r="AD506" s="460"/>
    </row>
    <row r="507" spans="30:30" ht="11.25" x14ac:dyDescent="0.2">
      <c r="AD507" s="460"/>
    </row>
    <row r="508" spans="30:30" ht="11.25" x14ac:dyDescent="0.2">
      <c r="AD508" s="460"/>
    </row>
    <row r="509" spans="30:30" ht="11.25" x14ac:dyDescent="0.2">
      <c r="AD509" s="460"/>
    </row>
    <row r="510" spans="30:30" ht="11.25" x14ac:dyDescent="0.2">
      <c r="AD510" s="460"/>
    </row>
    <row r="511" spans="30:30" ht="11.25" x14ac:dyDescent="0.2">
      <c r="AD511" s="460"/>
    </row>
    <row r="512" spans="30:30" ht="11.25" x14ac:dyDescent="0.2">
      <c r="AD512" s="460"/>
    </row>
    <row r="513" spans="30:30" ht="11.25" x14ac:dyDescent="0.2">
      <c r="AD513" s="460"/>
    </row>
    <row r="514" spans="30:30" ht="11.25" x14ac:dyDescent="0.2">
      <c r="AD514" s="460"/>
    </row>
    <row r="515" spans="30:30" ht="11.25" x14ac:dyDescent="0.2">
      <c r="AD515" s="460"/>
    </row>
    <row r="516" spans="30:30" ht="11.25" x14ac:dyDescent="0.2">
      <c r="AD516" s="460"/>
    </row>
    <row r="517" spans="30:30" ht="11.25" x14ac:dyDescent="0.2">
      <c r="AD517" s="460"/>
    </row>
    <row r="518" spans="30:30" ht="11.25" x14ac:dyDescent="0.2">
      <c r="AD518" s="460"/>
    </row>
    <row r="519" spans="30:30" ht="11.25" x14ac:dyDescent="0.2">
      <c r="AD519" s="460"/>
    </row>
    <row r="520" spans="30:30" ht="11.25" x14ac:dyDescent="0.2">
      <c r="AD520" s="460"/>
    </row>
    <row r="521" spans="30:30" ht="11.25" x14ac:dyDescent="0.2">
      <c r="AD521" s="460"/>
    </row>
    <row r="522" spans="30:30" ht="11.25" x14ac:dyDescent="0.2">
      <c r="AD522" s="460"/>
    </row>
    <row r="523" spans="30:30" ht="11.25" x14ac:dyDescent="0.2">
      <c r="AD523" s="460"/>
    </row>
    <row r="524" spans="30:30" ht="11.25" x14ac:dyDescent="0.2">
      <c r="AD524" s="460"/>
    </row>
    <row r="525" spans="30:30" ht="11.25" x14ac:dyDescent="0.2">
      <c r="AD525" s="460"/>
    </row>
    <row r="526" spans="30:30" ht="11.25" x14ac:dyDescent="0.2">
      <c r="AD526" s="460"/>
    </row>
    <row r="527" spans="30:30" ht="11.25" x14ac:dyDescent="0.2">
      <c r="AD527" s="460"/>
    </row>
    <row r="528" spans="30:30" ht="11.25" x14ac:dyDescent="0.2">
      <c r="AD528" s="460"/>
    </row>
    <row r="529" spans="30:30" ht="11.25" x14ac:dyDescent="0.2">
      <c r="AD529" s="460"/>
    </row>
    <row r="530" spans="30:30" ht="11.25" x14ac:dyDescent="0.2">
      <c r="AD530" s="460"/>
    </row>
    <row r="531" spans="30:30" ht="11.25" x14ac:dyDescent="0.2">
      <c r="AD531" s="460"/>
    </row>
    <row r="532" spans="30:30" ht="11.25" x14ac:dyDescent="0.2">
      <c r="AD532" s="460"/>
    </row>
    <row r="533" spans="30:30" ht="11.25" x14ac:dyDescent="0.2">
      <c r="AD533" s="460"/>
    </row>
    <row r="534" spans="30:30" ht="11.25" x14ac:dyDescent="0.2">
      <c r="AD534" s="460"/>
    </row>
    <row r="535" spans="30:30" ht="11.25" x14ac:dyDescent="0.2">
      <c r="AD535" s="460"/>
    </row>
    <row r="536" spans="30:30" ht="11.25" x14ac:dyDescent="0.2">
      <c r="AD536" s="460"/>
    </row>
    <row r="537" spans="30:30" ht="11.25" x14ac:dyDescent="0.2">
      <c r="AD537" s="460"/>
    </row>
    <row r="538" spans="30:30" ht="11.25" x14ac:dyDescent="0.2">
      <c r="AD538" s="460"/>
    </row>
    <row r="539" spans="30:30" ht="11.25" x14ac:dyDescent="0.2">
      <c r="AD539" s="460"/>
    </row>
    <row r="540" spans="30:30" ht="11.25" x14ac:dyDescent="0.2">
      <c r="AD540" s="460"/>
    </row>
    <row r="541" spans="30:30" ht="11.25" x14ac:dyDescent="0.2">
      <c r="AD541" s="460"/>
    </row>
    <row r="542" spans="30:30" ht="11.25" x14ac:dyDescent="0.2">
      <c r="AD542" s="460"/>
    </row>
    <row r="543" spans="30:30" ht="11.25" x14ac:dyDescent="0.2">
      <c r="AD543" s="460"/>
    </row>
    <row r="544" spans="30:30" ht="11.25" x14ac:dyDescent="0.2">
      <c r="AD544" s="460"/>
    </row>
    <row r="545" spans="30:30" ht="11.25" x14ac:dyDescent="0.2">
      <c r="AD545" s="460"/>
    </row>
    <row r="546" spans="30:30" ht="11.25" x14ac:dyDescent="0.2">
      <c r="AD546" s="460"/>
    </row>
    <row r="547" spans="30:30" ht="11.25" x14ac:dyDescent="0.2">
      <c r="AD547" s="460"/>
    </row>
    <row r="548" spans="30:30" ht="11.25" x14ac:dyDescent="0.2">
      <c r="AD548" s="460"/>
    </row>
    <row r="549" spans="30:30" ht="11.25" x14ac:dyDescent="0.2">
      <c r="AD549" s="460"/>
    </row>
    <row r="550" spans="30:30" ht="11.25" x14ac:dyDescent="0.2">
      <c r="AD550" s="460"/>
    </row>
    <row r="551" spans="30:30" ht="11.25" x14ac:dyDescent="0.2">
      <c r="AD551" s="460"/>
    </row>
    <row r="552" spans="30:30" ht="11.25" x14ac:dyDescent="0.2">
      <c r="AD552" s="460"/>
    </row>
    <row r="553" spans="30:30" ht="11.25" x14ac:dyDescent="0.2">
      <c r="AD553" s="460"/>
    </row>
    <row r="554" spans="30:30" ht="11.25" x14ac:dyDescent="0.2">
      <c r="AD554" s="460"/>
    </row>
    <row r="555" spans="30:30" ht="11.25" x14ac:dyDescent="0.2">
      <c r="AD555" s="460"/>
    </row>
    <row r="556" spans="30:30" ht="11.25" x14ac:dyDescent="0.2">
      <c r="AD556" s="460"/>
    </row>
    <row r="557" spans="30:30" ht="11.25" x14ac:dyDescent="0.2">
      <c r="AD557" s="460"/>
    </row>
    <row r="558" spans="30:30" ht="11.25" x14ac:dyDescent="0.2">
      <c r="AD558" s="460"/>
    </row>
    <row r="559" spans="30:30" ht="11.25" x14ac:dyDescent="0.2">
      <c r="AD559" s="460"/>
    </row>
    <row r="560" spans="30:30" ht="11.25" x14ac:dyDescent="0.2">
      <c r="AD560" s="460"/>
    </row>
    <row r="561" spans="30:30" ht="11.25" x14ac:dyDescent="0.2">
      <c r="AD561" s="460"/>
    </row>
    <row r="562" spans="30:30" ht="11.25" x14ac:dyDescent="0.2">
      <c r="AD562" s="460"/>
    </row>
    <row r="563" spans="30:30" ht="11.25" x14ac:dyDescent="0.2">
      <c r="AD563" s="460"/>
    </row>
    <row r="564" spans="30:30" ht="11.25" x14ac:dyDescent="0.2">
      <c r="AD564" s="460"/>
    </row>
    <row r="565" spans="30:30" ht="11.25" x14ac:dyDescent="0.2">
      <c r="AD565" s="460"/>
    </row>
    <row r="566" spans="30:30" ht="11.25" x14ac:dyDescent="0.2">
      <c r="AD566" s="460"/>
    </row>
    <row r="567" spans="30:30" ht="11.25" x14ac:dyDescent="0.2">
      <c r="AD567" s="460"/>
    </row>
    <row r="568" spans="30:30" ht="11.25" x14ac:dyDescent="0.2">
      <c r="AD568" s="460"/>
    </row>
    <row r="569" spans="30:30" ht="11.25" x14ac:dyDescent="0.2">
      <c r="AD569" s="460"/>
    </row>
    <row r="570" spans="30:30" ht="11.25" x14ac:dyDescent="0.2">
      <c r="AD570" s="460"/>
    </row>
    <row r="571" spans="30:30" ht="11.25" x14ac:dyDescent="0.2">
      <c r="AD571" s="460"/>
    </row>
    <row r="572" spans="30:30" ht="11.25" x14ac:dyDescent="0.2">
      <c r="AD572" s="460"/>
    </row>
    <row r="573" spans="30:30" ht="11.25" x14ac:dyDescent="0.2">
      <c r="AD573" s="460"/>
    </row>
    <row r="574" spans="30:30" ht="11.25" x14ac:dyDescent="0.2">
      <c r="AD574" s="460"/>
    </row>
    <row r="575" spans="30:30" ht="11.25" x14ac:dyDescent="0.2">
      <c r="AD575" s="460"/>
    </row>
    <row r="576" spans="30:30" ht="11.25" x14ac:dyDescent="0.2">
      <c r="AD576" s="460"/>
    </row>
    <row r="577" spans="30:30" ht="11.25" x14ac:dyDescent="0.2">
      <c r="AD577" s="460"/>
    </row>
    <row r="578" spans="30:30" ht="11.25" x14ac:dyDescent="0.2">
      <c r="AD578" s="460"/>
    </row>
    <row r="579" spans="30:30" ht="11.25" x14ac:dyDescent="0.2">
      <c r="AD579" s="460"/>
    </row>
    <row r="580" spans="30:30" ht="11.25" x14ac:dyDescent="0.2">
      <c r="AD580" s="460"/>
    </row>
    <row r="581" spans="30:30" ht="11.25" x14ac:dyDescent="0.2">
      <c r="AD581" s="460"/>
    </row>
    <row r="582" spans="30:30" ht="11.25" x14ac:dyDescent="0.2">
      <c r="AD582" s="460"/>
    </row>
    <row r="583" spans="30:30" ht="11.25" x14ac:dyDescent="0.2">
      <c r="AD583" s="460"/>
    </row>
    <row r="584" spans="30:30" ht="11.25" x14ac:dyDescent="0.2">
      <c r="AD584" s="460"/>
    </row>
    <row r="585" spans="30:30" ht="11.25" x14ac:dyDescent="0.2">
      <c r="AD585" s="460"/>
    </row>
    <row r="586" spans="30:30" ht="11.25" x14ac:dyDescent="0.2">
      <c r="AD586" s="460"/>
    </row>
    <row r="587" spans="30:30" ht="11.25" x14ac:dyDescent="0.2">
      <c r="AD587" s="460"/>
    </row>
    <row r="588" spans="30:30" ht="11.25" x14ac:dyDescent="0.2">
      <c r="AD588" s="460"/>
    </row>
    <row r="589" spans="30:30" ht="11.25" x14ac:dyDescent="0.2">
      <c r="AD589" s="460"/>
    </row>
    <row r="590" spans="30:30" ht="11.25" x14ac:dyDescent="0.2">
      <c r="AD590" s="460"/>
    </row>
    <row r="591" spans="30:30" ht="11.25" x14ac:dyDescent="0.2">
      <c r="AD591" s="460"/>
    </row>
    <row r="592" spans="30:30" ht="11.25" x14ac:dyDescent="0.2">
      <c r="AD592" s="460"/>
    </row>
    <row r="593" spans="30:30" ht="11.25" x14ac:dyDescent="0.2">
      <c r="AD593" s="460"/>
    </row>
    <row r="594" spans="30:30" ht="11.25" x14ac:dyDescent="0.2">
      <c r="AD594" s="460"/>
    </row>
    <row r="595" spans="30:30" ht="11.25" x14ac:dyDescent="0.2">
      <c r="AD595" s="460"/>
    </row>
    <row r="596" spans="30:30" ht="11.25" x14ac:dyDescent="0.2">
      <c r="AD596" s="460"/>
    </row>
    <row r="597" spans="30:30" ht="11.25" x14ac:dyDescent="0.2">
      <c r="AD597" s="460"/>
    </row>
    <row r="598" spans="30:30" ht="11.25" x14ac:dyDescent="0.2">
      <c r="AD598" s="460"/>
    </row>
    <row r="599" spans="30:30" ht="11.25" x14ac:dyDescent="0.2">
      <c r="AD599" s="460"/>
    </row>
    <row r="600" spans="30:30" ht="11.25" x14ac:dyDescent="0.2">
      <c r="AD600" s="460"/>
    </row>
    <row r="601" spans="30:30" ht="11.25" x14ac:dyDescent="0.2">
      <c r="AD601" s="460"/>
    </row>
    <row r="602" spans="30:30" ht="11.25" x14ac:dyDescent="0.2">
      <c r="AD602" s="460"/>
    </row>
    <row r="603" spans="30:30" ht="11.25" x14ac:dyDescent="0.2">
      <c r="AD603" s="460"/>
    </row>
    <row r="604" spans="30:30" ht="11.25" x14ac:dyDescent="0.2">
      <c r="AD604" s="460"/>
    </row>
    <row r="605" spans="30:30" ht="11.25" x14ac:dyDescent="0.2">
      <c r="AD605" s="460"/>
    </row>
    <row r="606" spans="30:30" ht="11.25" x14ac:dyDescent="0.2">
      <c r="AD606" s="460"/>
    </row>
    <row r="607" spans="30:30" ht="11.25" x14ac:dyDescent="0.2">
      <c r="AD607" s="460"/>
    </row>
    <row r="608" spans="30:30" ht="11.25" x14ac:dyDescent="0.2">
      <c r="AD608" s="460"/>
    </row>
    <row r="609" spans="30:30" ht="11.25" x14ac:dyDescent="0.2">
      <c r="AD609" s="460"/>
    </row>
    <row r="610" spans="30:30" ht="11.25" x14ac:dyDescent="0.2">
      <c r="AD610" s="460"/>
    </row>
    <row r="611" spans="30:30" ht="11.25" x14ac:dyDescent="0.2">
      <c r="AD611" s="460"/>
    </row>
    <row r="612" spans="30:30" ht="11.25" x14ac:dyDescent="0.2">
      <c r="AD612" s="460"/>
    </row>
    <row r="613" spans="30:30" ht="11.25" x14ac:dyDescent="0.2">
      <c r="AD613" s="460"/>
    </row>
    <row r="614" spans="30:30" ht="11.25" x14ac:dyDescent="0.2">
      <c r="AD614" s="460"/>
    </row>
    <row r="615" spans="30:30" ht="11.25" x14ac:dyDescent="0.2">
      <c r="AD615" s="460"/>
    </row>
    <row r="616" spans="30:30" ht="11.25" x14ac:dyDescent="0.2">
      <c r="AD616" s="460"/>
    </row>
    <row r="617" spans="30:30" ht="11.25" x14ac:dyDescent="0.2">
      <c r="AD617" s="460"/>
    </row>
    <row r="618" spans="30:30" ht="11.25" x14ac:dyDescent="0.2">
      <c r="AD618" s="460"/>
    </row>
    <row r="619" spans="30:30" ht="11.25" x14ac:dyDescent="0.2">
      <c r="AD619" s="460"/>
    </row>
    <row r="620" spans="30:30" ht="11.25" x14ac:dyDescent="0.2">
      <c r="AD620" s="460"/>
    </row>
    <row r="621" spans="30:30" ht="11.25" x14ac:dyDescent="0.2">
      <c r="AD621" s="460"/>
    </row>
    <row r="622" spans="30:30" ht="11.25" x14ac:dyDescent="0.2">
      <c r="AD622" s="460"/>
    </row>
  </sheetData>
  <sheetProtection sheet="1" objects="1" scenarios="1" selectLockedCells="1"/>
  <mergeCells count="107">
    <mergeCell ref="B1:AJ1"/>
    <mergeCell ref="AA18:AE18"/>
    <mergeCell ref="AA37:AB37"/>
    <mergeCell ref="AA113:AB113"/>
    <mergeCell ref="AA122:AB122"/>
    <mergeCell ref="E87:I87"/>
    <mergeCell ref="E59:I59"/>
    <mergeCell ref="E82:I82"/>
    <mergeCell ref="J38:K38"/>
    <mergeCell ref="E26:I26"/>
    <mergeCell ref="E64:I64"/>
    <mergeCell ref="E33:I33"/>
    <mergeCell ref="J18:K18"/>
    <mergeCell ref="J19:K19"/>
    <mergeCell ref="E39:I39"/>
    <mergeCell ref="J42:K42"/>
    <mergeCell ref="X37:Y37"/>
    <mergeCell ref="J60:K60"/>
    <mergeCell ref="J37:K37"/>
    <mergeCell ref="E31:I31"/>
    <mergeCell ref="E32:I32"/>
    <mergeCell ref="E23:I23"/>
    <mergeCell ref="U19:V19"/>
    <mergeCell ref="J55:K55"/>
    <mergeCell ref="AA172:AB172"/>
    <mergeCell ref="AA202:AB202"/>
    <mergeCell ref="J69:K69"/>
    <mergeCell ref="J94:K94"/>
    <mergeCell ref="J157:K157"/>
    <mergeCell ref="J152:K152"/>
    <mergeCell ref="J148:K148"/>
    <mergeCell ref="J144:K144"/>
    <mergeCell ref="J137:K137"/>
    <mergeCell ref="U113:V113"/>
    <mergeCell ref="U122:V122"/>
    <mergeCell ref="U172:V172"/>
    <mergeCell ref="U202:V202"/>
    <mergeCell ref="J88:K88"/>
    <mergeCell ref="J75:K75"/>
    <mergeCell ref="E102:K102"/>
    <mergeCell ref="E176:I176"/>
    <mergeCell ref="J177:K177"/>
    <mergeCell ref="E186:I186"/>
    <mergeCell ref="J83:K83"/>
    <mergeCell ref="J122:K122"/>
    <mergeCell ref="J123:K123"/>
    <mergeCell ref="E125:I125"/>
    <mergeCell ref="E155:I155"/>
    <mergeCell ref="E156:I156"/>
    <mergeCell ref="E151:I151"/>
    <mergeCell ref="U37:V37"/>
    <mergeCell ref="E47:I47"/>
    <mergeCell ref="J48:K48"/>
    <mergeCell ref="E181:I181"/>
    <mergeCell ref="E175:I175"/>
    <mergeCell ref="E92:K92"/>
    <mergeCell ref="E98:I98"/>
    <mergeCell ref="J99:K99"/>
    <mergeCell ref="J65:K65"/>
    <mergeCell ref="E254:I254"/>
    <mergeCell ref="E73:I73"/>
    <mergeCell ref="E147:I147"/>
    <mergeCell ref="E142:I142"/>
    <mergeCell ref="E143:I143"/>
    <mergeCell ref="E162:I162"/>
    <mergeCell ref="E164:I164"/>
    <mergeCell ref="E233:I233"/>
    <mergeCell ref="E234:I234"/>
    <mergeCell ref="E238:I238"/>
    <mergeCell ref="E215:I215"/>
    <mergeCell ref="E220:I220"/>
    <mergeCell ref="E244:I244"/>
    <mergeCell ref="E243:I243"/>
    <mergeCell ref="E231:I231"/>
    <mergeCell ref="E232:I232"/>
    <mergeCell ref="E204:I204"/>
    <mergeCell ref="E182:I182"/>
    <mergeCell ref="E115:I115"/>
    <mergeCell ref="E124:I124"/>
    <mergeCell ref="E116:I116"/>
    <mergeCell ref="E117:I117"/>
    <mergeCell ref="E136:I136"/>
    <mergeCell ref="E126:I126"/>
    <mergeCell ref="E205:I205"/>
    <mergeCell ref="J113:K113"/>
    <mergeCell ref="E195:I195"/>
    <mergeCell ref="J173:K173"/>
    <mergeCell ref="M13:O13"/>
    <mergeCell ref="AG19:AH19"/>
    <mergeCell ref="X19:Y19"/>
    <mergeCell ref="AA19:AB19"/>
    <mergeCell ref="AD19:AE19"/>
    <mergeCell ref="J114:K114"/>
    <mergeCell ref="J127:K127"/>
    <mergeCell ref="J172:K172"/>
    <mergeCell ref="H35:I35"/>
    <mergeCell ref="D34:E34"/>
    <mergeCell ref="F34:G34"/>
    <mergeCell ref="H34:I34"/>
    <mergeCell ref="E53:I53"/>
    <mergeCell ref="E74:I74"/>
    <mergeCell ref="U18:Y18"/>
    <mergeCell ref="J196:K196"/>
    <mergeCell ref="J187:K187"/>
    <mergeCell ref="J183:K183"/>
    <mergeCell ref="E134:I134"/>
    <mergeCell ref="E165:I165"/>
  </mergeCells>
  <conditionalFormatting sqref="W43:W111 W113:W250">
    <cfRule type="cellIs" dxfId="297" priority="6" operator="equal">
      <formula>"X"</formula>
    </cfRule>
  </conditionalFormatting>
  <conditionalFormatting sqref="AC43:AC111 AC113:AC250">
    <cfRule type="cellIs" dxfId="296" priority="5" operator="equal">
      <formula>"X"</formula>
    </cfRule>
  </conditionalFormatting>
  <conditionalFormatting sqref="X43:X111 X113:X250">
    <cfRule type="expression" dxfId="295" priority="4">
      <formula>IF(W43="P",TRUE,FALSE)</formula>
    </cfRule>
  </conditionalFormatting>
  <conditionalFormatting sqref="Y43:Y111 Y113:Y250">
    <cfRule type="expression" dxfId="294" priority="3">
      <formula>IF(W43="A",TRUE,FALSE)</formula>
    </cfRule>
  </conditionalFormatting>
  <conditionalFormatting sqref="AD113:AD250 AD43:AD111">
    <cfRule type="expression" dxfId="293" priority="2">
      <formula>IF(AC43="P",TRUE,FALSE)</formula>
    </cfRule>
  </conditionalFormatting>
  <conditionalFormatting sqref="AE43:AE111 AE113:AE250">
    <cfRule type="expression" dxfId="292" priority="1">
      <formula>IF(AC43="A",TRUE,FALSE)</formula>
    </cfRule>
  </conditionalFormatting>
  <pageMargins left="0.23622047244094491" right="0.23622047244094491" top="0.55118110236220474" bottom="0.55118110236220474" header="0.31496062992125984" footer="0.31496062992125984"/>
  <pageSetup paperSize="9" scale="66" fitToHeight="0" orientation="landscape" r:id="rId1"/>
  <rowBreaks count="4" manualBreakCount="4">
    <brk id="52" max="16383" man="1"/>
    <brk id="111" max="16383" man="1"/>
    <brk id="171" max="16383" man="1"/>
    <brk id="235"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0">
    <tabColor theme="9" tint="-0.249977111117893"/>
    <outlinePr summaryBelow="0" summaryRight="0"/>
  </sheetPr>
  <dimension ref="A1:AC401"/>
  <sheetViews>
    <sheetView showGridLines="0" showRowColHeaders="0" workbookViewId="0">
      <selection activeCell="G14" sqref="G14"/>
    </sheetView>
  </sheetViews>
  <sheetFormatPr baseColWidth="10" defaultRowHeight="11.25" x14ac:dyDescent="0.2"/>
  <cols>
    <col min="1" max="1" width="4.28515625" style="460" customWidth="1"/>
    <col min="2" max="2" width="2.7109375" style="327" customWidth="1"/>
    <col min="3" max="3" width="3.85546875" style="327" customWidth="1"/>
    <col min="4" max="4" width="10.7109375" style="327" customWidth="1"/>
    <col min="5" max="5" width="7" style="327" customWidth="1"/>
    <col min="6" max="6" width="16.28515625" style="327" customWidth="1"/>
    <col min="7" max="7" width="18" style="327" customWidth="1"/>
    <col min="8" max="8" width="12.85546875" style="327" customWidth="1"/>
    <col min="9" max="10" width="17.42578125" style="327" customWidth="1"/>
    <col min="11" max="12" width="16.140625" style="327" customWidth="1"/>
    <col min="13" max="13" width="11.7109375" style="327" customWidth="1"/>
    <col min="14" max="14" width="13.85546875" style="327" customWidth="1"/>
    <col min="15" max="18" width="11.42578125" style="327" customWidth="1"/>
    <col min="19" max="19" width="4.28515625" style="460" customWidth="1"/>
    <col min="20" max="20" width="11.42578125" style="327"/>
    <col min="21" max="21" width="11.42578125" style="327" customWidth="1"/>
    <col min="22" max="22" width="14.42578125" style="327" customWidth="1"/>
    <col min="23" max="23" width="11.42578125" style="327"/>
    <col min="24" max="24" width="14.28515625" style="327" customWidth="1"/>
    <col min="25" max="25" width="11.42578125" style="327" customWidth="1"/>
    <col min="26" max="30" width="11.42578125" style="327"/>
    <col min="31" max="31" width="14" style="327" customWidth="1"/>
    <col min="32" max="16384" width="11.42578125" style="327"/>
  </cols>
  <sheetData>
    <row r="1" spans="1:27" ht="24.95" customHeight="1" x14ac:dyDescent="0.2">
      <c r="A1" s="459"/>
      <c r="B1" s="1609" t="str">
        <f>"Eingabe: Finanzierungs- und Folgekosten - Variante: "&amp;'1. Projektangaben'!C23&amp;" "&amp;LISTEN!E38&amp;""</f>
        <v xml:space="preserve">Eingabe: Finanzierungs- und Folgekosten - Variante: BTV-WDVS-WP-Abl-ohne Sol_PV </v>
      </c>
      <c r="C1" s="1609"/>
      <c r="D1" s="1609"/>
      <c r="E1" s="1609"/>
      <c r="F1" s="1609"/>
      <c r="G1" s="1609"/>
      <c r="H1" s="1609"/>
      <c r="I1" s="1609"/>
      <c r="J1" s="1609"/>
      <c r="K1" s="1609"/>
      <c r="L1" s="1609"/>
      <c r="M1" s="1609"/>
      <c r="N1" s="1609"/>
      <c r="O1" s="1609"/>
      <c r="P1" s="1609"/>
      <c r="Q1" s="1609"/>
      <c r="R1" s="1609"/>
      <c r="S1" s="459"/>
      <c r="T1" s="571"/>
    </row>
    <row r="2" spans="1:27" ht="50.1" customHeight="1" x14ac:dyDescent="0.2">
      <c r="A2" s="440"/>
      <c r="B2" s="1164"/>
      <c r="C2" s="1165"/>
      <c r="D2" s="1165"/>
      <c r="E2" s="1165"/>
      <c r="F2" s="1165"/>
      <c r="G2" s="1165"/>
      <c r="H2" s="1165"/>
      <c r="I2" s="1165"/>
      <c r="J2" s="1165"/>
      <c r="K2" s="1165"/>
      <c r="L2" s="1165"/>
      <c r="M2" s="1165"/>
      <c r="N2" s="1165"/>
      <c r="O2" s="1165"/>
      <c r="P2" s="1165"/>
      <c r="Q2" s="1165"/>
      <c r="R2" s="1165"/>
      <c r="S2" s="440"/>
    </row>
    <row r="3" spans="1:27" ht="12.95" customHeight="1" x14ac:dyDescent="0.2">
      <c r="A3" s="440"/>
      <c r="B3" s="759" t="s">
        <v>104</v>
      </c>
      <c r="C3" s="323"/>
      <c r="D3" s="323"/>
      <c r="E3" s="323"/>
      <c r="F3" s="323"/>
      <c r="G3" s="323"/>
      <c r="H3" s="323"/>
      <c r="I3" s="323"/>
      <c r="J3" s="323"/>
      <c r="K3" s="323"/>
      <c r="L3" s="316"/>
      <c r="M3" s="323"/>
      <c r="N3" s="323"/>
      <c r="O3" s="316"/>
      <c r="P3" s="316"/>
      <c r="Q3" s="316"/>
      <c r="R3" s="316"/>
      <c r="S3" s="440"/>
      <c r="T3" s="571"/>
    </row>
    <row r="4" spans="1:27" ht="12.95" customHeight="1" x14ac:dyDescent="0.2">
      <c r="A4" s="440"/>
      <c r="B4" s="316"/>
      <c r="C4" s="316"/>
      <c r="D4" s="316"/>
      <c r="E4" s="434" t="str">
        <f>'1. Projektangaben'!$B$4</f>
        <v>Bauvorhaben</v>
      </c>
      <c r="F4" s="404" t="str">
        <f>IF('1. Projektangaben'!$C$4="","",'1. Projektangaben'!$C$4)</f>
        <v>KliNaWo</v>
      </c>
      <c r="G4" s="406"/>
      <c r="H4" s="434" t="str">
        <f>'1. Projektangaben'!$H$4</f>
        <v>Architekt</v>
      </c>
      <c r="I4" s="404" t="str">
        <f>IF('1. Projektangaben'!$I$4="","",'1. Projektangaben'!$I$4)</f>
        <v>Walser und Werle Architekten</v>
      </c>
      <c r="J4" s="447"/>
      <c r="K4" s="1404"/>
      <c r="L4" s="1404"/>
      <c r="M4" s="572"/>
      <c r="N4" s="316"/>
      <c r="O4" s="316"/>
      <c r="P4" s="316"/>
      <c r="Q4" s="316"/>
      <c r="R4" s="316"/>
      <c r="S4" s="440"/>
      <c r="T4" s="458"/>
      <c r="X4" s="573"/>
      <c r="Y4" s="574"/>
      <c r="Z4" s="569"/>
      <c r="AA4" s="571"/>
    </row>
    <row r="5" spans="1:27" ht="12.95" customHeight="1" x14ac:dyDescent="0.2">
      <c r="A5" s="440"/>
      <c r="B5" s="316"/>
      <c r="C5" s="316"/>
      <c r="D5" s="316"/>
      <c r="E5" s="434" t="str">
        <f>'1. Projektangaben'!$B$5</f>
        <v>Bauherr</v>
      </c>
      <c r="F5" s="404" t="str">
        <f>IF('1. Projektangaben'!$C$5="","",'1. Projektangaben'!$C$5)</f>
        <v>privater Bauträger</v>
      </c>
      <c r="G5" s="443"/>
      <c r="H5" s="434" t="str">
        <f>'1. Projektangaben'!$H$5</f>
        <v>Baujahr</v>
      </c>
      <c r="I5" s="410">
        <f>IF('1. Projektangaben'!$I$5="","",'1. Projektangaben'!$I$5)</f>
        <v>2017</v>
      </c>
      <c r="J5" s="316"/>
      <c r="K5" s="1404"/>
      <c r="L5" s="1404"/>
      <c r="M5" s="323"/>
      <c r="N5" s="316"/>
      <c r="O5" s="316"/>
      <c r="P5" s="316"/>
      <c r="Q5" s="316"/>
      <c r="R5" s="316"/>
      <c r="S5" s="440"/>
      <c r="T5" s="458"/>
      <c r="X5" s="573"/>
      <c r="Y5" s="574"/>
      <c r="Z5" s="569"/>
      <c r="AA5" s="571"/>
    </row>
    <row r="6" spans="1:27" ht="12.95" customHeight="1" x14ac:dyDescent="0.2">
      <c r="A6" s="440"/>
      <c r="B6" s="316"/>
      <c r="C6" s="316"/>
      <c r="D6" s="316"/>
      <c r="E6" s="434" t="str">
        <f>'1. Projektangaben'!$B$6</f>
        <v>Adresse, Ort</v>
      </c>
      <c r="F6" s="404" t="str">
        <f>IF('1. Projektangaben'!$C$6="","",'1. Projektangaben'!$C$6)</f>
        <v>Siedlungsstrasse, Feldkirch</v>
      </c>
      <c r="G6" s="443"/>
      <c r="H6" s="434" t="str">
        <f>'1. Projektangaben'!$H$6</f>
        <v>Personen</v>
      </c>
      <c r="I6" s="410">
        <f>IF('1. Projektangaben'!$I$6="","",'1. Projektangaben'!$I$6)</f>
        <v>54</v>
      </c>
      <c r="J6" s="316"/>
      <c r="K6" s="1404"/>
      <c r="L6" s="1404"/>
      <c r="M6" s="328"/>
      <c r="N6" s="316"/>
      <c r="O6" s="316"/>
      <c r="P6" s="316"/>
      <c r="Q6" s="316"/>
      <c r="R6" s="316"/>
      <c r="S6" s="440"/>
      <c r="T6" s="458"/>
      <c r="X6" s="573"/>
      <c r="Y6" s="574"/>
      <c r="Z6" s="571"/>
      <c r="AA6" s="571"/>
    </row>
    <row r="7" spans="1:27" ht="12.95" customHeight="1" x14ac:dyDescent="0.2">
      <c r="A7" s="440"/>
      <c r="B7" s="316"/>
      <c r="C7" s="316"/>
      <c r="D7" s="316"/>
      <c r="E7" s="434" t="str">
        <f>'1. Projektangaben'!B7</f>
        <v>Gebäudetyp</v>
      </c>
      <c r="F7" s="1409" t="str">
        <f>IF('1. Projektangaben'!$C$7="","",'1. Projektangaben'!$C$7)</f>
        <v>Mehrfamilienhaus</v>
      </c>
      <c r="G7" s="1216" t="str">
        <f>'1. Projektangaben'!$E$7</f>
        <v>18+1 WE</v>
      </c>
      <c r="H7" s="434" t="str">
        <f>'1. Projektangaben'!$H$7</f>
        <v>Anmerkung</v>
      </c>
      <c r="I7" s="404" t="str">
        <f>IF('1. Projektangaben'!$I$7="","",'1. Projektangaben'!$I$7)</f>
        <v>Beispiele verschiedener Varianten</v>
      </c>
      <c r="J7" s="447"/>
      <c r="K7" s="1404"/>
      <c r="L7" s="1404"/>
      <c r="M7" s="572"/>
      <c r="N7" s="316"/>
      <c r="O7" s="316"/>
      <c r="P7" s="316"/>
      <c r="Q7" s="316"/>
      <c r="R7" s="316"/>
      <c r="S7" s="440"/>
      <c r="T7" s="458"/>
      <c r="X7" s="458"/>
      <c r="Y7" s="458"/>
      <c r="Z7" s="458"/>
      <c r="AA7" s="458"/>
    </row>
    <row r="8" spans="1:27" ht="12.95" customHeight="1" x14ac:dyDescent="0.2">
      <c r="A8" s="440"/>
      <c r="B8" s="446"/>
      <c r="C8" s="316"/>
      <c r="D8" s="316"/>
      <c r="E8" s="434" t="s">
        <v>111</v>
      </c>
      <c r="F8" s="469" t="str">
        <f>'1. Projektangaben'!E23</f>
        <v>BTV</v>
      </c>
      <c r="G8" s="470"/>
      <c r="H8" s="434" t="str">
        <f>'1. Projektangaben'!G22</f>
        <v>EBF</v>
      </c>
      <c r="I8" s="410">
        <f>'1. Projektangaben'!G23</f>
        <v>1410.2</v>
      </c>
      <c r="J8" s="316" t="s">
        <v>67</v>
      </c>
      <c r="K8" s="1404"/>
      <c r="L8" s="316"/>
      <c r="M8" s="323"/>
      <c r="N8" s="316"/>
      <c r="O8" s="316"/>
      <c r="P8" s="316"/>
      <c r="Q8" s="316"/>
      <c r="R8" s="316"/>
      <c r="S8" s="440"/>
      <c r="T8" s="458"/>
    </row>
    <row r="9" spans="1:27" ht="12.95" customHeight="1" x14ac:dyDescent="0.2">
      <c r="A9" s="440"/>
      <c r="B9" s="323"/>
      <c r="C9" s="323"/>
      <c r="D9" s="323"/>
      <c r="E9" s="323"/>
      <c r="F9" s="323"/>
      <c r="G9" s="323"/>
      <c r="H9" s="323"/>
      <c r="I9" s="323"/>
      <c r="J9" s="323"/>
      <c r="K9" s="323"/>
      <c r="L9" s="323"/>
      <c r="M9" s="323"/>
      <c r="N9" s="323"/>
      <c r="O9" s="316"/>
      <c r="P9" s="316"/>
      <c r="Q9" s="316"/>
      <c r="R9" s="316"/>
      <c r="S9" s="440"/>
      <c r="T9" s="458"/>
    </row>
    <row r="10" spans="1:27" ht="39.950000000000003" customHeight="1" x14ac:dyDescent="0.2">
      <c r="A10" s="440"/>
      <c r="B10" s="1164"/>
      <c r="C10" s="1165"/>
      <c r="D10" s="1165"/>
      <c r="E10" s="1165"/>
      <c r="F10" s="1165"/>
      <c r="G10" s="1165"/>
      <c r="H10" s="1165"/>
      <c r="I10" s="1165"/>
      <c r="J10" s="1165"/>
      <c r="K10" s="1165"/>
      <c r="L10" s="1165"/>
      <c r="M10" s="1165"/>
      <c r="N10" s="1165"/>
      <c r="O10" s="1165"/>
      <c r="P10" s="1165"/>
      <c r="Q10" s="1165"/>
      <c r="R10" s="1165"/>
      <c r="S10" s="440"/>
    </row>
    <row r="11" spans="1:27" ht="12.95" customHeight="1" x14ac:dyDescent="0.2">
      <c r="A11" s="440"/>
      <c r="B11" s="577"/>
      <c r="C11" s="578"/>
      <c r="D11" s="578"/>
      <c r="E11" s="579"/>
      <c r="F11" s="579"/>
      <c r="G11" s="579"/>
      <c r="H11" s="579"/>
      <c r="I11" s="578"/>
      <c r="J11" s="578"/>
      <c r="K11" s="578"/>
      <c r="L11" s="578"/>
      <c r="M11" s="578"/>
      <c r="N11" s="578"/>
      <c r="O11" s="316"/>
      <c r="P11" s="316"/>
      <c r="Q11" s="316"/>
      <c r="R11" s="316"/>
      <c r="S11" s="440"/>
    </row>
    <row r="12" spans="1:27" ht="18" customHeight="1" thickBot="1" x14ac:dyDescent="0.25">
      <c r="A12" s="440"/>
      <c r="B12" s="577"/>
      <c r="C12" s="316"/>
      <c r="D12" s="316"/>
      <c r="E12" s="579"/>
      <c r="F12" s="579"/>
      <c r="G12" s="328" t="s">
        <v>65</v>
      </c>
      <c r="H12" s="316"/>
      <c r="I12" s="316"/>
      <c r="J12" s="316"/>
      <c r="K12" s="316"/>
      <c r="L12" s="316"/>
      <c r="M12" s="578"/>
      <c r="N12" s="316"/>
      <c r="O12" s="316"/>
      <c r="P12" s="316"/>
      <c r="Q12" s="316"/>
      <c r="R12" s="316"/>
      <c r="S12" s="440"/>
    </row>
    <row r="13" spans="1:27" ht="18" customHeight="1" thickBot="1" x14ac:dyDescent="0.25">
      <c r="A13" s="440"/>
      <c r="B13" s="577"/>
      <c r="C13" s="316"/>
      <c r="D13" s="316"/>
      <c r="E13" s="316"/>
      <c r="F13" s="580" t="s">
        <v>193</v>
      </c>
      <c r="G13" s="581">
        <f>SUM(BERECHNUNG!O199:O305)</f>
        <v>4009401.3840000001</v>
      </c>
      <c r="H13" s="323"/>
      <c r="I13" s="323"/>
      <c r="J13" s="323"/>
      <c r="K13" s="323"/>
      <c r="L13" s="323"/>
      <c r="M13" s="1175" t="s">
        <v>400</v>
      </c>
      <c r="N13" s="1176"/>
      <c r="O13" s="1176"/>
      <c r="P13" s="1177"/>
      <c r="Q13" s="316"/>
      <c r="R13" s="316"/>
      <c r="S13" s="440"/>
    </row>
    <row r="14" spans="1:27" ht="18" customHeight="1" x14ac:dyDescent="0.2">
      <c r="A14" s="440"/>
      <c r="B14" s="577"/>
      <c r="C14" s="316"/>
      <c r="D14" s="316"/>
      <c r="E14" s="323"/>
      <c r="F14" s="582" t="str">
        <f>"- Einmalzuschuss"</f>
        <v>- Einmalzuschuss</v>
      </c>
      <c r="G14" s="346">
        <v>10250</v>
      </c>
      <c r="H14" s="323"/>
      <c r="I14" s="417" t="s">
        <v>439</v>
      </c>
      <c r="J14" s="417" t="s">
        <v>440</v>
      </c>
      <c r="K14" s="323"/>
      <c r="L14" s="323"/>
      <c r="M14" s="1412"/>
      <c r="N14" s="1413"/>
      <c r="O14" s="1422"/>
      <c r="P14" s="1423"/>
      <c r="Q14" s="316"/>
      <c r="R14" s="316"/>
      <c r="S14" s="440"/>
    </row>
    <row r="15" spans="1:27" ht="18" customHeight="1" thickBot="1" x14ac:dyDescent="0.25">
      <c r="A15" s="440"/>
      <c r="B15" s="577"/>
      <c r="C15" s="316"/>
      <c r="D15" s="316"/>
      <c r="E15" s="583"/>
      <c r="F15" s="584" t="str">
        <f>"- Summe Jährlicher Zuschüsse"</f>
        <v>- Summe Jährlicher Zuschüsse</v>
      </c>
      <c r="G15" s="457">
        <f>I15*J15</f>
        <v>0</v>
      </c>
      <c r="H15" s="585"/>
      <c r="I15" s="347"/>
      <c r="J15" s="348"/>
      <c r="K15" s="323"/>
      <c r="L15" s="323"/>
      <c r="M15" s="1415"/>
      <c r="N15" s="1416"/>
      <c r="O15" s="1417"/>
      <c r="P15" s="1424"/>
      <c r="Q15" s="316"/>
      <c r="R15" s="316"/>
      <c r="S15" s="440"/>
    </row>
    <row r="16" spans="1:27" ht="18" customHeight="1" x14ac:dyDescent="0.2">
      <c r="A16" s="440"/>
      <c r="B16" s="577"/>
      <c r="C16" s="316"/>
      <c r="D16" s="316"/>
      <c r="E16" s="323"/>
      <c r="F16" s="582" t="str">
        <f>"= Gesamtkosten nach  Abzug Zuschüsse"</f>
        <v>= Gesamtkosten nach  Abzug Zuschüsse</v>
      </c>
      <c r="G16" s="586">
        <f>G13-G14-G15</f>
        <v>3999151.3840000001</v>
      </c>
      <c r="H16" s="417" t="s">
        <v>195</v>
      </c>
      <c r="I16" s="1431" t="s">
        <v>849</v>
      </c>
      <c r="J16" s="587"/>
      <c r="K16" s="323"/>
      <c r="L16" s="323"/>
      <c r="M16" s="1418"/>
      <c r="N16" s="1414"/>
      <c r="O16" s="1417"/>
      <c r="P16" s="1424"/>
      <c r="Q16" s="316"/>
      <c r="R16" s="316"/>
      <c r="S16" s="440"/>
    </row>
    <row r="17" spans="1:19" ht="18" customHeight="1" thickBot="1" x14ac:dyDescent="0.25">
      <c r="A17" s="440"/>
      <c r="B17" s="577"/>
      <c r="C17" s="316"/>
      <c r="D17" s="316"/>
      <c r="E17" s="583"/>
      <c r="F17" s="584" t="str">
        <f>"- Eigenkapitaleinsatz"</f>
        <v>- Eigenkapitaleinsatz</v>
      </c>
      <c r="G17" s="1427">
        <f>IF(I17="",'1. Projektangaben'!$O$12,I17)</f>
        <v>1114633.632</v>
      </c>
      <c r="H17" s="588">
        <f>IF(G13=0,0,G17/G16)</f>
        <v>0.27871753904077767</v>
      </c>
      <c r="I17" s="1434"/>
      <c r="J17" s="589"/>
      <c r="K17" s="323"/>
      <c r="L17" s="323"/>
      <c r="M17" s="1418"/>
      <c r="N17" s="1414"/>
      <c r="O17" s="1417"/>
      <c r="P17" s="1424"/>
      <c r="Q17" s="316"/>
      <c r="R17" s="316"/>
      <c r="S17" s="440"/>
    </row>
    <row r="18" spans="1:19" ht="18" customHeight="1" thickBot="1" x14ac:dyDescent="0.25">
      <c r="A18" s="440"/>
      <c r="B18" s="577"/>
      <c r="C18" s="316"/>
      <c r="D18" s="316"/>
      <c r="E18" s="590"/>
      <c r="F18" s="591" t="str">
        <f>"= Fremdkapitaleinsatz"</f>
        <v>= Fremdkapitaleinsatz</v>
      </c>
      <c r="G18" s="592">
        <f>G16-G17</f>
        <v>2884517.7520000003</v>
      </c>
      <c r="H18" s="593">
        <f>1-H17</f>
        <v>0.72128246095922233</v>
      </c>
      <c r="I18" s="323"/>
      <c r="J18" s="323"/>
      <c r="K18" s="323"/>
      <c r="L18" s="323"/>
      <c r="M18" s="1418"/>
      <c r="N18" s="1414"/>
      <c r="O18" s="1417"/>
      <c r="P18" s="1424"/>
      <c r="Q18" s="316"/>
      <c r="R18" s="316"/>
      <c r="S18" s="440"/>
    </row>
    <row r="19" spans="1:19" ht="18" customHeight="1" thickTop="1" x14ac:dyDescent="0.2">
      <c r="A19" s="440"/>
      <c r="B19" s="577"/>
      <c r="C19" s="316"/>
      <c r="D19" s="316"/>
      <c r="E19" s="323"/>
      <c r="F19" s="594" t="s">
        <v>112</v>
      </c>
      <c r="G19" s="1429"/>
      <c r="H19" s="595">
        <f>IF(G16=0,0,G19/G16)</f>
        <v>0</v>
      </c>
      <c r="I19" s="323"/>
      <c r="J19" s="323"/>
      <c r="K19" s="323"/>
      <c r="L19" s="323"/>
      <c r="M19" s="1419"/>
      <c r="N19" s="1414"/>
      <c r="O19" s="1417"/>
      <c r="P19" s="1424"/>
      <c r="Q19" s="316"/>
      <c r="R19" s="316"/>
      <c r="S19" s="440"/>
    </row>
    <row r="20" spans="1:19" ht="18" customHeight="1" x14ac:dyDescent="0.2">
      <c r="A20" s="440"/>
      <c r="B20" s="577"/>
      <c r="C20" s="578"/>
      <c r="D20" s="578"/>
      <c r="E20" s="579"/>
      <c r="F20" s="596" t="s">
        <v>191</v>
      </c>
      <c r="G20" s="1428">
        <f>G18-G19</f>
        <v>2884517.7520000003</v>
      </c>
      <c r="H20" s="597">
        <f>IFERROR(IF(G16=0,0,G20/G18),0)</f>
        <v>1</v>
      </c>
      <c r="I20" s="323"/>
      <c r="J20" s="323"/>
      <c r="K20" s="323"/>
      <c r="L20" s="323"/>
      <c r="M20" s="1420"/>
      <c r="N20" s="1421"/>
      <c r="O20" s="1417"/>
      <c r="P20" s="1424"/>
      <c r="Q20" s="316"/>
      <c r="R20" s="316"/>
      <c r="S20" s="440"/>
    </row>
    <row r="21" spans="1:19" ht="18" customHeight="1" x14ac:dyDescent="0.2">
      <c r="A21" s="440"/>
      <c r="B21" s="577"/>
      <c r="C21" s="578"/>
      <c r="D21" s="1181" t="s">
        <v>793</v>
      </c>
      <c r="E21" s="578"/>
      <c r="F21" s="578"/>
      <c r="G21" s="323"/>
      <c r="H21" s="598"/>
      <c r="I21" s="589"/>
      <c r="J21" s="589"/>
      <c r="K21" s="751"/>
      <c r="L21" s="323"/>
      <c r="M21" s="1418"/>
      <c r="N21" s="1414"/>
      <c r="O21" s="1417"/>
      <c r="P21" s="1424"/>
      <c r="Q21" s="316"/>
      <c r="R21" s="316"/>
      <c r="S21" s="440"/>
    </row>
    <row r="22" spans="1:19" ht="18" customHeight="1" x14ac:dyDescent="0.25">
      <c r="A22" s="483"/>
      <c r="B22" s="577"/>
      <c r="C22" s="599"/>
      <c r="D22" s="1432" t="s">
        <v>191</v>
      </c>
      <c r="E22" s="600"/>
      <c r="F22" s="433" t="s">
        <v>202</v>
      </c>
      <c r="G22" s="433" t="s">
        <v>113</v>
      </c>
      <c r="H22" s="433" t="s">
        <v>115</v>
      </c>
      <c r="I22" s="433" t="s">
        <v>114</v>
      </c>
      <c r="J22" s="433"/>
      <c r="K22" s="323"/>
      <c r="L22" s="323"/>
      <c r="M22" s="1418"/>
      <c r="N22" s="1414"/>
      <c r="O22" s="1417"/>
      <c r="P22" s="1424"/>
      <c r="Q22" s="316"/>
      <c r="R22" s="316"/>
      <c r="S22" s="483"/>
    </row>
    <row r="23" spans="1:19" ht="18" customHeight="1" thickBot="1" x14ac:dyDescent="0.25">
      <c r="A23" s="440"/>
      <c r="B23" s="577"/>
      <c r="C23" s="599"/>
      <c r="D23" s="578"/>
      <c r="E23" s="599"/>
      <c r="F23" s="328" t="s">
        <v>65</v>
      </c>
      <c r="G23" s="328" t="s">
        <v>66</v>
      </c>
      <c r="H23" s="328" t="s">
        <v>204</v>
      </c>
      <c r="I23" s="328" t="s">
        <v>93</v>
      </c>
      <c r="J23" s="328"/>
      <c r="K23" s="323"/>
      <c r="L23" s="323"/>
      <c r="M23" s="1410"/>
      <c r="N23" s="1411"/>
      <c r="O23" s="314"/>
      <c r="P23" s="1425"/>
      <c r="Q23" s="316"/>
      <c r="R23" s="316"/>
      <c r="S23" s="440"/>
    </row>
    <row r="24" spans="1:19" ht="18" customHeight="1" x14ac:dyDescent="0.2">
      <c r="A24" s="440"/>
      <c r="B24" s="577"/>
      <c r="C24" s="599"/>
      <c r="D24" s="599" t="s">
        <v>468</v>
      </c>
      <c r="E24" s="599"/>
      <c r="F24" s="602"/>
      <c r="G24" s="313"/>
      <c r="H24" s="217"/>
      <c r="I24" s="602"/>
      <c r="J24" s="602"/>
      <c r="K24" s="323"/>
      <c r="L24" s="323"/>
      <c r="M24" s="578"/>
      <c r="N24" s="578"/>
      <c r="O24" s="316"/>
      <c r="P24" s="316"/>
      <c r="Q24" s="316"/>
      <c r="R24" s="316"/>
      <c r="S24" s="440"/>
    </row>
    <row r="25" spans="1:19" ht="18" customHeight="1" x14ac:dyDescent="0.2">
      <c r="A25" s="440"/>
      <c r="B25" s="577"/>
      <c r="C25" s="599"/>
      <c r="D25" s="599" t="s">
        <v>469</v>
      </c>
      <c r="E25" s="599"/>
      <c r="F25" s="1430">
        <f>G20</f>
        <v>2884517.7520000003</v>
      </c>
      <c r="G25" s="601">
        <f>IF(F25=0,"",IF(ISNUMBER(G24),G24,'1. Projektangaben'!$F$12))</f>
        <v>35</v>
      </c>
      <c r="H25" s="642">
        <f>IF(F25=0,"",IF(ISNUMBER(H24),H24,'1. Projektangaben'!$F$14))</f>
        <v>0.02</v>
      </c>
      <c r="I25" s="601">
        <f>IFERROR(PMT(H25,G25,F25,,0)*-1,"")</f>
        <v>115387.08252993631</v>
      </c>
      <c r="J25" s="602"/>
      <c r="K25" s="640"/>
      <c r="L25" s="640"/>
      <c r="M25" s="578"/>
      <c r="N25" s="578"/>
      <c r="O25" s="641"/>
      <c r="P25" s="641"/>
      <c r="Q25" s="641"/>
      <c r="R25" s="641"/>
      <c r="S25" s="440"/>
    </row>
    <row r="26" spans="1:19" ht="12.95" customHeight="1" x14ac:dyDescent="0.2">
      <c r="A26" s="440"/>
      <c r="B26" s="577"/>
      <c r="C26" s="582"/>
      <c r="D26" s="582"/>
      <c r="E26" s="455"/>
      <c r="F26" s="603" t="str">
        <f>IF(G24&gt;'1. Projektangaben'!F12,"Achtung, Kreditlaufzeit ist länger als Betrachtungszeitraum!","")</f>
        <v/>
      </c>
      <c r="G26" s="323"/>
      <c r="H26" s="323"/>
      <c r="I26" s="323"/>
      <c r="J26" s="323"/>
      <c r="K26" s="316"/>
      <c r="L26" s="316"/>
      <c r="M26" s="316"/>
      <c r="N26" s="316"/>
      <c r="O26" s="316"/>
      <c r="P26" s="316"/>
      <c r="Q26" s="316"/>
      <c r="R26" s="316"/>
      <c r="S26" s="440"/>
    </row>
    <row r="27" spans="1:19" ht="12.95" customHeight="1" x14ac:dyDescent="0.2">
      <c r="A27" s="440"/>
      <c r="B27" s="577"/>
      <c r="C27" s="582"/>
      <c r="D27" s="1432" t="s">
        <v>207</v>
      </c>
      <c r="E27" s="604"/>
      <c r="F27" s="605"/>
      <c r="G27" s="605"/>
      <c r="H27" s="605"/>
      <c r="I27" s="605"/>
      <c r="J27" s="605"/>
      <c r="K27" s="316"/>
      <c r="L27" s="316"/>
      <c r="M27" s="316"/>
      <c r="N27" s="316"/>
      <c r="O27" s="316"/>
      <c r="P27" s="316"/>
      <c r="Q27" s="316"/>
      <c r="R27" s="316"/>
      <c r="S27" s="440"/>
    </row>
    <row r="28" spans="1:19" ht="12.95" customHeight="1" x14ac:dyDescent="0.2">
      <c r="A28" s="440"/>
      <c r="B28" s="577"/>
      <c r="C28" s="582"/>
      <c r="D28" s="1433" t="s">
        <v>206</v>
      </c>
      <c r="E28" s="455"/>
      <c r="F28" s="417" t="s">
        <v>203</v>
      </c>
      <c r="G28" s="323"/>
      <c r="H28" s="449" t="s">
        <v>372</v>
      </c>
      <c r="I28" s="323"/>
      <c r="J28" s="323"/>
      <c r="K28" s="316"/>
      <c r="L28" s="316"/>
      <c r="M28" s="316"/>
      <c r="N28" s="316"/>
      <c r="O28" s="316"/>
      <c r="P28" s="316"/>
      <c r="Q28" s="316"/>
      <c r="R28" s="316"/>
      <c r="S28" s="440"/>
    </row>
    <row r="29" spans="1:19" ht="12.95" customHeight="1" x14ac:dyDescent="0.2">
      <c r="A29" s="440"/>
      <c r="B29" s="577"/>
      <c r="C29" s="582"/>
      <c r="D29" s="316"/>
      <c r="E29" s="455"/>
      <c r="F29" s="313"/>
      <c r="G29" s="323" t="s">
        <v>161</v>
      </c>
      <c r="H29" s="313"/>
      <c r="I29" s="323" t="s">
        <v>371</v>
      </c>
      <c r="J29" s="316"/>
      <c r="K29" s="316"/>
      <c r="L29" s="316"/>
      <c r="M29" s="316"/>
      <c r="N29" s="316"/>
      <c r="O29" s="316"/>
      <c r="P29" s="316"/>
      <c r="Q29" s="316"/>
      <c r="R29" s="316"/>
      <c r="S29" s="440"/>
    </row>
    <row r="30" spans="1:19" ht="12.95" customHeight="1" x14ac:dyDescent="0.2">
      <c r="A30" s="440"/>
      <c r="B30" s="577"/>
      <c r="C30" s="582"/>
      <c r="D30" s="603" t="str">
        <f>IF(F29&gt;'1. Projektangaben'!F12,"Achtung, Kreditlaufzeit ist länger als Betrachtungszeitraum!","")</f>
        <v/>
      </c>
      <c r="E30" s="316"/>
      <c r="F30" s="323"/>
      <c r="G30" s="323"/>
      <c r="H30" s="323"/>
      <c r="I30" s="323"/>
      <c r="J30" s="323"/>
      <c r="K30" s="316"/>
      <c r="L30" s="316"/>
      <c r="M30" s="316"/>
      <c r="N30" s="316"/>
      <c r="O30" s="316"/>
      <c r="P30" s="316"/>
      <c r="Q30" s="316"/>
      <c r="R30" s="316"/>
      <c r="S30" s="440"/>
    </row>
    <row r="31" spans="1:19" ht="12.95" customHeight="1" x14ac:dyDescent="0.2">
      <c r="A31" s="440"/>
      <c r="B31" s="577"/>
      <c r="C31" s="582"/>
      <c r="D31" s="603"/>
      <c r="E31" s="316"/>
      <c r="F31" s="323"/>
      <c r="G31" s="323"/>
      <c r="H31" s="323"/>
      <c r="I31" s="323"/>
      <c r="J31" s="323"/>
      <c r="K31" s="316"/>
      <c r="L31" s="316"/>
      <c r="M31" s="316"/>
      <c r="N31" s="316"/>
      <c r="O31" s="316"/>
      <c r="P31" s="316"/>
      <c r="Q31" s="316"/>
      <c r="R31" s="316"/>
      <c r="S31" s="440"/>
    </row>
    <row r="32" spans="1:19" ht="12.95" customHeight="1" x14ac:dyDescent="0.2">
      <c r="A32" s="440"/>
      <c r="B32" s="577"/>
      <c r="C32" s="579"/>
      <c r="D32" s="942" t="s">
        <v>351</v>
      </c>
      <c r="E32" s="417"/>
      <c r="F32" s="417"/>
      <c r="G32" s="417"/>
      <c r="H32" s="417" t="s">
        <v>113</v>
      </c>
      <c r="I32" s="417" t="s">
        <v>245</v>
      </c>
      <c r="J32" s="417" t="s">
        <v>114</v>
      </c>
      <c r="K32" s="316"/>
      <c r="L32" s="316"/>
      <c r="M32" s="316"/>
      <c r="N32" s="316"/>
      <c r="O32" s="316"/>
      <c r="P32" s="316"/>
      <c r="Q32" s="316"/>
      <c r="R32" s="316"/>
      <c r="S32" s="440"/>
    </row>
    <row r="33" spans="1:29" ht="12.95" customHeight="1" x14ac:dyDescent="0.2">
      <c r="A33" s="440"/>
      <c r="B33" s="577"/>
      <c r="C33" s="578"/>
      <c r="D33" s="328" t="s">
        <v>349</v>
      </c>
      <c r="E33" s="328"/>
      <c r="F33" s="328" t="s">
        <v>350</v>
      </c>
      <c r="G33" s="328"/>
      <c r="H33" s="328" t="s">
        <v>66</v>
      </c>
      <c r="I33" s="328" t="s">
        <v>204</v>
      </c>
      <c r="J33" s="328" t="s">
        <v>93</v>
      </c>
      <c r="K33" s="316"/>
      <c r="L33" s="316"/>
      <c r="M33" s="316"/>
      <c r="N33" s="316"/>
      <c r="O33" s="316"/>
      <c r="P33" s="316"/>
      <c r="Q33" s="316"/>
      <c r="R33" s="316"/>
      <c r="S33" s="440"/>
      <c r="AC33" s="606"/>
    </row>
    <row r="34" spans="1:29" ht="12.95" customHeight="1" x14ac:dyDescent="0.2">
      <c r="A34" s="440"/>
      <c r="B34" s="577"/>
      <c r="C34" s="578"/>
      <c r="D34" s="410">
        <v>1</v>
      </c>
      <c r="E34" s="410" t="str">
        <f>"-"</f>
        <v>-</v>
      </c>
      <c r="F34" s="313"/>
      <c r="G34" s="603" t="str">
        <f>IF(F34&gt;$F$29,"Achtung! Wert liegt über gesamster Kreditlaufzeit","")</f>
        <v/>
      </c>
      <c r="H34" s="410" t="str">
        <f>IF(OR(D34="",F34=""),"",F34-D34+1)</f>
        <v/>
      </c>
      <c r="I34" s="218">
        <v>1.4999999999999999E-2</v>
      </c>
      <c r="J34" s="607" t="str">
        <f>IF(OR($G$19="",$G$19=0,F34=""),"",$G$19*I34+$H$29)</f>
        <v/>
      </c>
      <c r="K34" s="316"/>
      <c r="L34" s="316"/>
      <c r="M34" s="316"/>
      <c r="N34" s="316"/>
      <c r="O34" s="316"/>
      <c r="P34" s="316"/>
      <c r="Q34" s="316"/>
      <c r="R34" s="316"/>
      <c r="S34" s="440"/>
    </row>
    <row r="35" spans="1:29" ht="12.95" customHeight="1" x14ac:dyDescent="0.2">
      <c r="A35" s="440"/>
      <c r="B35" s="577"/>
      <c r="C35" s="578"/>
      <c r="D35" s="410" t="str">
        <f>IF(OR(F34="",F34=0,F34=$F$29),"",1+F34)</f>
        <v/>
      </c>
      <c r="E35" s="410" t="str">
        <f t="shared" ref="E35:E40" si="0">"-"</f>
        <v>-</v>
      </c>
      <c r="F35" s="313"/>
      <c r="G35" s="603" t="str">
        <f t="shared" ref="G35:G40" si="1">IF(F35&gt;$F$29,"Achtung! Wert liegt über gesamster Kreditlaufzeit","")</f>
        <v/>
      </c>
      <c r="H35" s="410" t="str">
        <f t="shared" ref="H35:H40" si="2">IF(OR(D35="",F35=""),"",F35-D35+1)</f>
        <v/>
      </c>
      <c r="I35" s="218">
        <v>2.5000000000000001E-2</v>
      </c>
      <c r="J35" s="607" t="str">
        <f t="shared" ref="J35:J40" si="3">IF(OR($G$19="",$G$19=0,F35=""),"",$G$19*I35+$H$29)</f>
        <v/>
      </c>
      <c r="K35" s="316"/>
      <c r="L35" s="316"/>
      <c r="M35" s="316"/>
      <c r="N35" s="316"/>
      <c r="O35" s="316"/>
      <c r="P35" s="316"/>
      <c r="Q35" s="316"/>
      <c r="R35" s="316"/>
      <c r="S35" s="440"/>
    </row>
    <row r="36" spans="1:29" ht="12.95" customHeight="1" x14ac:dyDescent="0.2">
      <c r="A36" s="440"/>
      <c r="B36" s="577"/>
      <c r="C36" s="578"/>
      <c r="D36" s="410" t="str">
        <f>IF(OR(F35="",F35=0,F35=$F$29),"",1+F35)</f>
        <v/>
      </c>
      <c r="E36" s="410" t="str">
        <f t="shared" si="0"/>
        <v>-</v>
      </c>
      <c r="F36" s="313"/>
      <c r="G36" s="603" t="str">
        <f t="shared" si="1"/>
        <v/>
      </c>
      <c r="H36" s="410" t="str">
        <f t="shared" si="2"/>
        <v/>
      </c>
      <c r="I36" s="218">
        <v>3.5000000000000003E-2</v>
      </c>
      <c r="J36" s="607" t="str">
        <f t="shared" si="3"/>
        <v/>
      </c>
      <c r="K36" s="316"/>
      <c r="L36" s="316"/>
      <c r="M36" s="316"/>
      <c r="N36" s="316"/>
      <c r="O36" s="316"/>
      <c r="P36" s="316"/>
      <c r="Q36" s="316"/>
      <c r="R36" s="316"/>
      <c r="S36" s="440"/>
    </row>
    <row r="37" spans="1:29" ht="12.95" customHeight="1" x14ac:dyDescent="0.2">
      <c r="A37" s="440"/>
      <c r="B37" s="577"/>
      <c r="C37" s="578"/>
      <c r="D37" s="410" t="str">
        <f>IF(OR(F36="",F36=0,F36=$F$29),"",1+F36)</f>
        <v/>
      </c>
      <c r="E37" s="410" t="str">
        <f t="shared" si="0"/>
        <v>-</v>
      </c>
      <c r="F37" s="313"/>
      <c r="G37" s="603" t="str">
        <f t="shared" si="1"/>
        <v/>
      </c>
      <c r="H37" s="410" t="str">
        <f t="shared" si="2"/>
        <v/>
      </c>
      <c r="I37" s="218">
        <v>4.4999999999999998E-2</v>
      </c>
      <c r="J37" s="607" t="str">
        <f t="shared" si="3"/>
        <v/>
      </c>
      <c r="K37" s="316"/>
      <c r="L37" s="316"/>
      <c r="M37" s="316"/>
      <c r="N37" s="316"/>
      <c r="O37" s="316"/>
      <c r="P37" s="316"/>
      <c r="Q37" s="316"/>
      <c r="R37" s="316"/>
      <c r="S37" s="440"/>
    </row>
    <row r="38" spans="1:29" ht="12.95" customHeight="1" x14ac:dyDescent="0.2">
      <c r="A38" s="440"/>
      <c r="B38" s="577"/>
      <c r="C38" s="578"/>
      <c r="D38" s="410" t="str">
        <f t="shared" ref="D38:D40" si="4">IF(OR(F37="",F37=0,F37=$F$29),"",1+F37)</f>
        <v/>
      </c>
      <c r="E38" s="410" t="str">
        <f t="shared" si="0"/>
        <v>-</v>
      </c>
      <c r="F38" s="313"/>
      <c r="G38" s="603" t="str">
        <f t="shared" si="1"/>
        <v/>
      </c>
      <c r="H38" s="410" t="str">
        <f t="shared" si="2"/>
        <v/>
      </c>
      <c r="I38" s="218">
        <v>5.5E-2</v>
      </c>
      <c r="J38" s="607" t="str">
        <f t="shared" si="3"/>
        <v/>
      </c>
      <c r="K38" s="316"/>
      <c r="L38" s="316"/>
      <c r="M38" s="316"/>
      <c r="N38" s="316"/>
      <c r="O38" s="316"/>
      <c r="P38" s="316"/>
      <c r="Q38" s="316"/>
      <c r="R38" s="316"/>
      <c r="S38" s="440"/>
    </row>
    <row r="39" spans="1:29" ht="12.95" customHeight="1" x14ac:dyDescent="0.2">
      <c r="A39" s="440"/>
      <c r="B39" s="577"/>
      <c r="C39" s="578"/>
      <c r="D39" s="410" t="str">
        <f>IF(OR(F38="",F38=0,F38=$F$29),"",1+F38)</f>
        <v/>
      </c>
      <c r="E39" s="410" t="str">
        <f t="shared" si="0"/>
        <v>-</v>
      </c>
      <c r="F39" s="313"/>
      <c r="G39" s="603" t="str">
        <f t="shared" si="1"/>
        <v/>
      </c>
      <c r="H39" s="410" t="str">
        <f t="shared" si="2"/>
        <v/>
      </c>
      <c r="I39" s="218">
        <v>0.06</v>
      </c>
      <c r="J39" s="607" t="str">
        <f t="shared" si="3"/>
        <v/>
      </c>
      <c r="K39" s="316"/>
      <c r="L39" s="316"/>
      <c r="M39" s="316"/>
      <c r="N39" s="316"/>
      <c r="O39" s="316"/>
      <c r="P39" s="316"/>
      <c r="Q39" s="316"/>
      <c r="R39" s="316"/>
      <c r="S39" s="440"/>
    </row>
    <row r="40" spans="1:29" ht="12.95" customHeight="1" x14ac:dyDescent="0.2">
      <c r="A40" s="440"/>
      <c r="B40" s="577"/>
      <c r="C40" s="578"/>
      <c r="D40" s="410" t="str">
        <f t="shared" si="4"/>
        <v/>
      </c>
      <c r="E40" s="410" t="str">
        <f t="shared" si="0"/>
        <v>-</v>
      </c>
      <c r="F40" s="313"/>
      <c r="G40" s="603" t="str">
        <f t="shared" si="1"/>
        <v/>
      </c>
      <c r="H40" s="410" t="str">
        <f t="shared" si="2"/>
        <v/>
      </c>
      <c r="I40" s="218">
        <v>6.5000000000000002E-2</v>
      </c>
      <c r="J40" s="607" t="str">
        <f t="shared" si="3"/>
        <v/>
      </c>
      <c r="K40" s="316"/>
      <c r="L40" s="316"/>
      <c r="M40" s="316"/>
      <c r="N40" s="316"/>
      <c r="O40" s="316"/>
      <c r="P40" s="316"/>
      <c r="Q40" s="316"/>
      <c r="R40" s="316"/>
      <c r="S40" s="440"/>
    </row>
    <row r="41" spans="1:29" ht="12.95" customHeight="1" x14ac:dyDescent="0.2">
      <c r="A41" s="440"/>
      <c r="B41" s="316"/>
      <c r="C41" s="316"/>
      <c r="D41" s="316"/>
      <c r="E41" s="316"/>
      <c r="F41" s="316"/>
      <c r="G41" s="316"/>
      <c r="H41" s="316"/>
      <c r="I41" s="316"/>
      <c r="J41" s="316"/>
      <c r="K41" s="316"/>
      <c r="L41" s="316"/>
      <c r="M41" s="316"/>
      <c r="N41" s="316"/>
      <c r="O41" s="316"/>
      <c r="P41" s="316"/>
      <c r="Q41" s="316"/>
      <c r="R41" s="316"/>
      <c r="S41" s="440"/>
    </row>
    <row r="42" spans="1:29" ht="12.95" customHeight="1" x14ac:dyDescent="0.2">
      <c r="A42" s="440"/>
      <c r="B42" s="577"/>
      <c r="C42" s="578"/>
      <c r="D42" s="578"/>
      <c r="E42" s="579"/>
      <c r="F42" s="579"/>
      <c r="G42" s="579"/>
      <c r="H42" s="316"/>
      <c r="I42" s="316"/>
      <c r="J42" s="316"/>
      <c r="K42" s="316"/>
      <c r="L42" s="317"/>
      <c r="M42" s="317"/>
      <c r="N42" s="608"/>
      <c r="O42" s="317"/>
      <c r="P42" s="317"/>
      <c r="Q42" s="317"/>
      <c r="R42" s="317"/>
      <c r="S42" s="440"/>
    </row>
    <row r="43" spans="1:29" ht="39.950000000000003" customHeight="1" x14ac:dyDescent="0.2">
      <c r="A43" s="440"/>
      <c r="B43" s="1164"/>
      <c r="C43" s="1165"/>
      <c r="D43" s="1165"/>
      <c r="E43" s="1165"/>
      <c r="F43" s="1165"/>
      <c r="G43" s="1165"/>
      <c r="H43" s="1165"/>
      <c r="I43" s="1165"/>
      <c r="J43" s="1165"/>
      <c r="K43" s="1165"/>
      <c r="L43" s="1165"/>
      <c r="M43" s="1165"/>
      <c r="N43" s="1165"/>
      <c r="O43" s="1165"/>
      <c r="P43" s="1165"/>
      <c r="Q43" s="1165"/>
      <c r="R43" s="1165"/>
      <c r="S43" s="440"/>
    </row>
    <row r="44" spans="1:29" ht="12.95" customHeight="1" x14ac:dyDescent="0.2">
      <c r="A44" s="440"/>
      <c r="B44" s="413"/>
      <c r="C44" s="323"/>
      <c r="D44" s="323"/>
      <c r="E44" s="414"/>
      <c r="F44" s="414"/>
      <c r="G44" s="414"/>
      <c r="H44" s="414"/>
      <c r="I44" s="323"/>
      <c r="J44" s="323"/>
      <c r="K44" s="435" t="s">
        <v>94</v>
      </c>
      <c r="L44" s="435"/>
      <c r="M44" s="323"/>
      <c r="N44" s="323"/>
      <c r="O44" s="316"/>
      <c r="P44" s="316"/>
      <c r="Q44" s="316"/>
      <c r="R44" s="316"/>
      <c r="S44" s="440"/>
    </row>
    <row r="45" spans="1:29" ht="12.95" customHeight="1" x14ac:dyDescent="0.2">
      <c r="A45" s="440"/>
      <c r="B45" s="413"/>
      <c r="C45" s="323"/>
      <c r="D45" s="323"/>
      <c r="E45" s="414"/>
      <c r="F45" s="414"/>
      <c r="G45" s="414"/>
      <c r="H45" s="414"/>
      <c r="I45" s="323"/>
      <c r="J45" s="323"/>
      <c r="K45" s="319" t="s">
        <v>93</v>
      </c>
      <c r="L45" s="319"/>
      <c r="M45" s="323"/>
      <c r="N45" s="751"/>
      <c r="O45" s="751"/>
      <c r="P45" s="316"/>
      <c r="Q45" s="316"/>
      <c r="R45" s="316"/>
      <c r="S45" s="440"/>
    </row>
    <row r="46" spans="1:29" ht="12.95" customHeight="1" x14ac:dyDescent="0.2">
      <c r="A46" s="440"/>
      <c r="B46" s="518" t="s">
        <v>60</v>
      </c>
      <c r="C46" s="494"/>
      <c r="D46" s="1618" t="s">
        <v>73</v>
      </c>
      <c r="E46" s="1625"/>
      <c r="F46" s="1626"/>
      <c r="G46" s="611"/>
      <c r="H46" s="611"/>
      <c r="I46" s="611"/>
      <c r="J46" s="611"/>
      <c r="K46" s="1131">
        <f ca="1">SUM(K47:K48)</f>
        <v>2996.3999999999996</v>
      </c>
      <c r="L46" s="328"/>
      <c r="M46" s="323"/>
      <c r="N46" s="751"/>
      <c r="O46" s="751"/>
      <c r="P46" s="316"/>
      <c r="Q46" s="316"/>
      <c r="R46" s="316"/>
      <c r="S46" s="440"/>
    </row>
    <row r="47" spans="1:29" ht="12.95" customHeight="1" x14ac:dyDescent="0.2">
      <c r="A47" s="440"/>
      <c r="B47" s="320"/>
      <c r="C47" s="320" t="s">
        <v>74</v>
      </c>
      <c r="D47" s="1621" t="s">
        <v>75</v>
      </c>
      <c r="E47" s="1621"/>
      <c r="F47" s="1621"/>
      <c r="G47" s="1621"/>
      <c r="H47" s="316"/>
      <c r="I47" s="316"/>
      <c r="J47" s="316"/>
      <c r="K47" s="306"/>
      <c r="L47" s="435"/>
      <c r="M47" s="435"/>
      <c r="N47" s="749"/>
      <c r="O47" s="749"/>
      <c r="P47" s="709"/>
      <c r="Q47" s="316"/>
      <c r="R47" s="316"/>
      <c r="S47" s="440"/>
    </row>
    <row r="48" spans="1:29" ht="12.95" customHeight="1" x14ac:dyDescent="0.2">
      <c r="A48" s="440"/>
      <c r="B48" s="320"/>
      <c r="C48" s="320" t="s">
        <v>76</v>
      </c>
      <c r="D48" s="1621" t="s">
        <v>77</v>
      </c>
      <c r="E48" s="1621"/>
      <c r="F48" s="1621"/>
      <c r="G48" s="1621"/>
      <c r="H48" s="323"/>
      <c r="I48" s="323"/>
      <c r="J48" s="323"/>
      <c r="K48" s="620">
        <f ca="1">SUM(K49:K51)</f>
        <v>2996.3999999999996</v>
      </c>
      <c r="L48" s="435"/>
      <c r="M48" s="323"/>
      <c r="N48" s="319"/>
      <c r="O48" s="709"/>
      <c r="P48" s="709"/>
      <c r="Q48" s="316"/>
      <c r="R48" s="316"/>
      <c r="S48" s="440"/>
    </row>
    <row r="49" spans="1:19" ht="12.95" customHeight="1" x14ac:dyDescent="0.2">
      <c r="A49" s="440"/>
      <c r="B49" s="320"/>
      <c r="C49" s="320"/>
      <c r="D49" s="753"/>
      <c r="E49" s="753"/>
      <c r="F49" s="753"/>
      <c r="G49" s="753"/>
      <c r="H49" s="753"/>
      <c r="I49" s="753"/>
      <c r="J49" s="621" t="s">
        <v>531</v>
      </c>
      <c r="K49" s="1133">
        <f ca="1">BERECHNUNG!P148+'PV-Einspeisung'!AB20</f>
        <v>2996.3999999999996</v>
      </c>
      <c r="L49" s="749"/>
      <c r="M49" s="751"/>
      <c r="N49" s="319"/>
      <c r="O49" s="754"/>
      <c r="P49" s="754"/>
      <c r="Q49" s="754"/>
      <c r="R49" s="754"/>
      <c r="S49" s="440"/>
    </row>
    <row r="50" spans="1:19" ht="12.95" customHeight="1" x14ac:dyDescent="0.2">
      <c r="A50" s="440"/>
      <c r="B50" s="320"/>
      <c r="C50" s="320"/>
      <c r="D50" s="753"/>
      <c r="E50" s="753"/>
      <c r="F50" s="753"/>
      <c r="G50" s="753"/>
      <c r="H50" s="753"/>
      <c r="I50" s="753"/>
      <c r="J50" s="621" t="s">
        <v>532</v>
      </c>
      <c r="K50" s="1132"/>
      <c r="L50" s="749"/>
      <c r="M50" s="751"/>
      <c r="N50" s="319"/>
      <c r="O50" s="754"/>
      <c r="P50" s="754"/>
      <c r="Q50" s="754"/>
      <c r="R50" s="754"/>
      <c r="S50" s="440"/>
    </row>
    <row r="51" spans="1:19" ht="12.95" customHeight="1" x14ac:dyDescent="0.2">
      <c r="A51" s="440"/>
      <c r="B51" s="320"/>
      <c r="C51" s="320"/>
      <c r="D51" s="753"/>
      <c r="E51" s="753"/>
      <c r="F51" s="753"/>
      <c r="G51" s="753"/>
      <c r="H51" s="753"/>
      <c r="I51" s="753"/>
      <c r="J51" s="621" t="s">
        <v>272</v>
      </c>
      <c r="K51" s="1132"/>
      <c r="L51" s="749"/>
      <c r="M51" s="751"/>
      <c r="N51" s="319"/>
      <c r="O51" s="754"/>
      <c r="P51" s="754"/>
      <c r="Q51" s="754"/>
      <c r="R51" s="754"/>
      <c r="S51" s="440"/>
    </row>
    <row r="52" spans="1:19" ht="12.95" customHeight="1" x14ac:dyDescent="0.2">
      <c r="A52" s="440"/>
      <c r="B52" s="321"/>
      <c r="C52" s="321"/>
      <c r="D52" s="612"/>
      <c r="E52" s="612"/>
      <c r="F52" s="612"/>
      <c r="G52" s="612"/>
      <c r="H52" s="324"/>
      <c r="I52" s="324"/>
      <c r="J52" s="324"/>
      <c r="K52" s="613"/>
      <c r="L52" s="613"/>
      <c r="M52" s="324"/>
      <c r="N52" s="318"/>
      <c r="O52" s="318"/>
      <c r="P52" s="318"/>
      <c r="Q52" s="318"/>
      <c r="R52" s="319"/>
      <c r="S52" s="440"/>
    </row>
    <row r="53" spans="1:19" ht="12.95" customHeight="1" x14ac:dyDescent="0.2">
      <c r="A53" s="440"/>
      <c r="B53" s="320"/>
      <c r="C53" s="320"/>
      <c r="D53" s="614"/>
      <c r="E53" s="614"/>
      <c r="F53" s="614"/>
      <c r="G53" s="614"/>
      <c r="H53" s="323"/>
      <c r="I53" s="323"/>
      <c r="J53" s="323"/>
      <c r="K53" s="435" t="s">
        <v>94</v>
      </c>
      <c r="L53" s="435"/>
      <c r="M53" s="323"/>
      <c r="N53" s="319"/>
      <c r="O53" s="319"/>
      <c r="P53" s="319"/>
      <c r="Q53" s="319"/>
      <c r="R53" s="319"/>
      <c r="S53" s="440"/>
    </row>
    <row r="54" spans="1:19" ht="12.95" customHeight="1" x14ac:dyDescent="0.2">
      <c r="A54" s="440"/>
      <c r="B54" s="320"/>
      <c r="C54" s="320"/>
      <c r="D54" s="320"/>
      <c r="E54" s="320"/>
      <c r="F54" s="320"/>
      <c r="G54" s="320"/>
      <c r="H54" s="323"/>
      <c r="I54" s="323"/>
      <c r="J54" s="323"/>
      <c r="K54" s="319" t="s">
        <v>93</v>
      </c>
      <c r="L54" s="319"/>
      <c r="M54" s="323"/>
      <c r="N54" s="319"/>
      <c r="O54" s="319"/>
      <c r="P54" s="319"/>
      <c r="Q54" s="319"/>
      <c r="R54" s="319"/>
      <c r="S54" s="440"/>
    </row>
    <row r="55" spans="1:19" ht="12.95" customHeight="1" x14ac:dyDescent="0.2">
      <c r="A55" s="440"/>
      <c r="B55" s="518" t="s">
        <v>55</v>
      </c>
      <c r="C55" s="494"/>
      <c r="D55" s="518" t="s">
        <v>78</v>
      </c>
      <c r="E55" s="518"/>
      <c r="F55" s="518"/>
      <c r="G55" s="322"/>
      <c r="H55" s="316"/>
      <c r="I55" s="316"/>
      <c r="J55" s="316"/>
      <c r="K55" s="1131">
        <f>SUM(K56:K56)</f>
        <v>0</v>
      </c>
      <c r="L55" s="328"/>
      <c r="M55" s="320"/>
      <c r="N55" s="320"/>
      <c r="O55" s="320"/>
      <c r="P55" s="320"/>
      <c r="Q55" s="320"/>
      <c r="R55" s="320"/>
      <c r="S55" s="440"/>
    </row>
    <row r="56" spans="1:19" ht="12.95" customHeight="1" x14ac:dyDescent="0.2">
      <c r="A56" s="440"/>
      <c r="B56" s="323"/>
      <c r="C56" s="320" t="s">
        <v>80</v>
      </c>
      <c r="D56" s="1621" t="s">
        <v>79</v>
      </c>
      <c r="E56" s="1622"/>
      <c r="F56" s="1617"/>
      <c r="G56" s="1617"/>
      <c r="H56" s="316"/>
      <c r="I56" s="316"/>
      <c r="J56" s="316"/>
      <c r="K56" s="1132"/>
      <c r="L56" s="435"/>
      <c r="M56" s="320"/>
      <c r="N56" s="320"/>
      <c r="O56" s="320"/>
      <c r="P56" s="320"/>
      <c r="Q56" s="320"/>
      <c r="R56" s="320"/>
      <c r="S56" s="440"/>
    </row>
    <row r="57" spans="1:19" ht="12.95" customHeight="1" x14ac:dyDescent="0.2">
      <c r="A57" s="440"/>
      <c r="B57" s="324"/>
      <c r="C57" s="321"/>
      <c r="D57" s="321"/>
      <c r="E57" s="321"/>
      <c r="F57" s="321"/>
      <c r="G57" s="321"/>
      <c r="H57" s="321"/>
      <c r="I57" s="321"/>
      <c r="J57" s="321"/>
      <c r="K57" s="321"/>
      <c r="L57" s="321"/>
      <c r="M57" s="321"/>
      <c r="N57" s="321"/>
      <c r="O57" s="321"/>
      <c r="P57" s="321"/>
      <c r="Q57" s="321"/>
      <c r="R57" s="320"/>
      <c r="S57" s="440"/>
    </row>
    <row r="58" spans="1:19" ht="12.95" customHeight="1" x14ac:dyDescent="0.2">
      <c r="A58" s="440"/>
      <c r="B58" s="323"/>
      <c r="C58" s="320"/>
      <c r="D58" s="614"/>
      <c r="E58" s="441"/>
      <c r="F58" s="615"/>
      <c r="G58" s="615"/>
      <c r="H58" s="323"/>
      <c r="I58" s="320"/>
      <c r="J58" s="320"/>
      <c r="K58" s="616" t="s">
        <v>94</v>
      </c>
      <c r="L58" s="616"/>
      <c r="M58" s="320"/>
      <c r="N58" s="320"/>
      <c r="O58" s="320"/>
      <c r="P58" s="320"/>
      <c r="Q58" s="320"/>
      <c r="R58" s="320"/>
      <c r="S58" s="440"/>
    </row>
    <row r="59" spans="1:19" ht="12.95" customHeight="1" x14ac:dyDescent="0.2">
      <c r="A59" s="440"/>
      <c r="B59" s="323"/>
      <c r="C59" s="320"/>
      <c r="D59" s="614"/>
      <c r="E59" s="441"/>
      <c r="F59" s="615"/>
      <c r="G59" s="752"/>
      <c r="H59" s="323"/>
      <c r="I59" s="320"/>
      <c r="J59" s="320"/>
      <c r="K59" s="328" t="s">
        <v>93</v>
      </c>
      <c r="L59" s="328"/>
      <c r="M59" s="320"/>
      <c r="N59" s="320"/>
      <c r="O59" s="320"/>
      <c r="P59" s="320"/>
      <c r="Q59" s="320"/>
      <c r="R59" s="320"/>
      <c r="S59" s="440"/>
    </row>
    <row r="60" spans="1:19" ht="12.95" customHeight="1" x14ac:dyDescent="0.2">
      <c r="A60" s="440"/>
      <c r="B60" s="518" t="s">
        <v>49</v>
      </c>
      <c r="C60" s="494"/>
      <c r="D60" s="1618" t="s">
        <v>187</v>
      </c>
      <c r="E60" s="1618"/>
      <c r="F60" s="1618"/>
      <c r="G60" s="322"/>
      <c r="H60" s="322"/>
      <c r="I60" s="316"/>
      <c r="J60" s="316"/>
      <c r="K60" s="1131">
        <f ca="1">SUM(K63:K80,K89,K84:K85)</f>
        <v>13224.18885744</v>
      </c>
      <c r="L60" s="323"/>
      <c r="M60" s="316"/>
      <c r="N60" s="322"/>
      <c r="O60" s="322"/>
      <c r="P60" s="322"/>
      <c r="Q60" s="322"/>
      <c r="R60" s="322"/>
      <c r="S60" s="440"/>
    </row>
    <row r="61" spans="1:19" ht="12.95" customHeight="1" x14ac:dyDescent="0.2">
      <c r="A61" s="440"/>
      <c r="B61" s="320"/>
      <c r="C61" s="320" t="s">
        <v>81</v>
      </c>
      <c r="D61" s="1621" t="s">
        <v>168</v>
      </c>
      <c r="E61" s="1621"/>
      <c r="F61" s="1621"/>
      <c r="G61" s="441" t="s">
        <v>453</v>
      </c>
      <c r="H61" s="316" t="s">
        <v>321</v>
      </c>
      <c r="I61" s="446" t="s">
        <v>319</v>
      </c>
      <c r="J61" s="446" t="s">
        <v>208</v>
      </c>
      <c r="K61" s="316"/>
      <c r="L61" s="316"/>
      <c r="M61" s="316"/>
      <c r="N61" s="316"/>
      <c r="O61" s="316"/>
      <c r="P61" s="316"/>
      <c r="Q61" s="316"/>
      <c r="R61" s="316"/>
      <c r="S61" s="440"/>
    </row>
    <row r="62" spans="1:19" ht="12.75" customHeight="1" x14ac:dyDescent="0.2">
      <c r="A62" s="440"/>
      <c r="B62" s="320"/>
      <c r="C62" s="320"/>
      <c r="D62" s="418" t="s">
        <v>352</v>
      </c>
      <c r="E62" s="316"/>
      <c r="F62" s="316"/>
      <c r="G62" s="328" t="s">
        <v>122</v>
      </c>
      <c r="H62" s="446" t="s">
        <v>121</v>
      </c>
      <c r="I62" s="446" t="s">
        <v>320</v>
      </c>
      <c r="J62" s="446" t="s">
        <v>209</v>
      </c>
      <c r="K62" s="316"/>
      <c r="L62" s="316"/>
      <c r="M62" s="316"/>
      <c r="N62" s="316"/>
      <c r="O62" s="316"/>
      <c r="P62" s="316"/>
      <c r="Q62" s="316"/>
      <c r="R62" s="316"/>
      <c r="S62" s="440"/>
    </row>
    <row r="63" spans="1:19" ht="12.75" customHeight="1" x14ac:dyDescent="0.2">
      <c r="A63" s="440"/>
      <c r="B63" s="320"/>
      <c r="C63" s="320"/>
      <c r="D63" s="316"/>
      <c r="E63" s="617" t="str">
        <f>'2. Energie KW.'!E15</f>
        <v>Heizung</v>
      </c>
      <c r="F63" s="619" t="str">
        <f>VLOOKUP($E63,'2. Energie KW.'!$E$15:$J$32,2,FALSE)</f>
        <v>Wärmepumpenstrom</v>
      </c>
      <c r="G63" s="618">
        <f>IFERROR(IF(OR(F63="",F63="keine"),0,LOOKUP(MATCH(F63,'1. Projektangaben'!$C$36:$C$43,0),'1. Projektangaben'!$B$36:$B$43,'1. Projektangaben'!$D$36:$D$43)),0)</f>
        <v>0.12156</v>
      </c>
      <c r="H63" s="619">
        <f>VLOOKUP($E63,'2. Energie KW.'!$E$15:$J$32,6,FALSE)</f>
        <v>23.23</v>
      </c>
      <c r="I63" s="619">
        <f>G63*H63</f>
        <v>2.8238387999999999</v>
      </c>
      <c r="J63" s="619">
        <f t="shared" ref="J63:J80" si="5">IF(OR(F63="",F63="keine"),0,$I$8)</f>
        <v>1410.2</v>
      </c>
      <c r="K63" s="620">
        <f>J63*I63</f>
        <v>3982.1774757600001</v>
      </c>
      <c r="L63" s="615"/>
      <c r="M63" s="754"/>
      <c r="N63" s="316"/>
      <c r="O63" s="316"/>
      <c r="P63" s="316"/>
      <c r="Q63" s="316"/>
      <c r="R63" s="316"/>
      <c r="S63" s="440"/>
    </row>
    <row r="64" spans="1:19" ht="12.75" customHeight="1" x14ac:dyDescent="0.2">
      <c r="A64" s="440"/>
      <c r="B64" s="320"/>
      <c r="C64" s="320"/>
      <c r="D64" s="316"/>
      <c r="E64" s="617" t="str">
        <f>'2. Energie KW.'!E16</f>
        <v>Heizung 2</v>
      </c>
      <c r="F64" s="619">
        <f>VLOOKUP($E64,'2. Energie KW.'!$E$15:$J$32,2,FALSE)</f>
        <v>0</v>
      </c>
      <c r="G64" s="618">
        <f>IFERROR(IF(OR(F64="",F64="keine"),0,LOOKUP(MATCH(F64,'1. Projektangaben'!$C$36:$C$43,0),'1. Projektangaben'!$B$36:$B$43,'1. Projektangaben'!$D$36:$D$43)),0)</f>
        <v>0</v>
      </c>
      <c r="H64" s="619">
        <f>VLOOKUP($E64,'2. Energie KW.'!$E$15:$J$32,6,FALSE)</f>
        <v>0</v>
      </c>
      <c r="I64" s="619">
        <f t="shared" ref="I64:I80" si="6">G64*H64</f>
        <v>0</v>
      </c>
      <c r="J64" s="619">
        <f t="shared" si="5"/>
        <v>1410.2</v>
      </c>
      <c r="K64" s="620">
        <f>J64*I64</f>
        <v>0</v>
      </c>
      <c r="L64" s="325"/>
      <c r="M64" s="754"/>
      <c r="N64" s="316"/>
      <c r="O64" s="316"/>
      <c r="P64" s="316"/>
      <c r="Q64" s="316"/>
      <c r="R64" s="316"/>
      <c r="S64" s="440"/>
    </row>
    <row r="65" spans="1:19" ht="12.75" customHeight="1" x14ac:dyDescent="0.2">
      <c r="A65" s="440"/>
      <c r="B65" s="320"/>
      <c r="C65" s="320"/>
      <c r="D65" s="316"/>
      <c r="E65" s="617" t="str">
        <f>'2. Energie KW.'!E17</f>
        <v>Warmwasser</v>
      </c>
      <c r="F65" s="619" t="str">
        <f>VLOOKUP($E65,'2. Energie KW.'!$E$15:$J$32,2,FALSE)</f>
        <v>Wärmepumpenstrom</v>
      </c>
      <c r="G65" s="618">
        <f>IFERROR(IF(OR(F65="",F65="keine"),0,LOOKUP(MATCH(F65,'1. Projektangaben'!$C$36:$C$43,0),'1. Projektangaben'!$B$36:$B$43,'1. Projektangaben'!$D$36:$D$43)),0)</f>
        <v>0.12156</v>
      </c>
      <c r="H65" s="619">
        <f>VLOOKUP($E65,'2. Energie KW.'!$E$15:$J$32,6,FALSE)</f>
        <v>18.27</v>
      </c>
      <c r="I65" s="619">
        <f t="shared" si="6"/>
        <v>2.2209012000000001</v>
      </c>
      <c r="J65" s="619">
        <f t="shared" si="5"/>
        <v>1410.2</v>
      </c>
      <c r="K65" s="620">
        <f t="shared" ref="K65:K79" si="7">J65*I65</f>
        <v>3131.9148722400005</v>
      </c>
      <c r="L65" s="325"/>
      <c r="M65" s="754"/>
      <c r="N65" s="316"/>
      <c r="O65" s="316"/>
      <c r="P65" s="316"/>
      <c r="Q65" s="316"/>
      <c r="R65" s="316"/>
      <c r="S65" s="440"/>
    </row>
    <row r="66" spans="1:19" ht="12.75" customHeight="1" x14ac:dyDescent="0.2">
      <c r="A66" s="440"/>
      <c r="B66" s="320"/>
      <c r="C66" s="320"/>
      <c r="D66" s="316"/>
      <c r="E66" s="617" t="str">
        <f>'2. Energie KW.'!E18</f>
        <v>Warmwasser 2</v>
      </c>
      <c r="F66" s="619">
        <f>VLOOKUP($E66,'2. Energie KW.'!$E$15:$J$32,2,FALSE)</f>
        <v>0</v>
      </c>
      <c r="G66" s="618">
        <f>IFERROR(IF(OR(F66="",F66="keine"),0,LOOKUP(MATCH(F66,'1. Projektangaben'!$C$36:$C$43,0),'1. Projektangaben'!$B$36:$B$43,'1. Projektangaben'!$D$36:$D$43)),0)</f>
        <v>0</v>
      </c>
      <c r="H66" s="619">
        <f>VLOOKUP($E66,'2. Energie KW.'!$E$15:$J$32,6,FALSE)</f>
        <v>0</v>
      </c>
      <c r="I66" s="619">
        <f t="shared" si="6"/>
        <v>0</v>
      </c>
      <c r="J66" s="619">
        <f t="shared" si="5"/>
        <v>1410.2</v>
      </c>
      <c r="K66" s="620">
        <f t="shared" si="7"/>
        <v>0</v>
      </c>
      <c r="L66" s="325"/>
      <c r="M66" s="754"/>
      <c r="N66" s="316"/>
      <c r="O66" s="316"/>
      <c r="P66" s="316"/>
      <c r="Q66" s="316"/>
      <c r="R66" s="316"/>
      <c r="S66" s="440"/>
    </row>
    <row r="67" spans="1:19" ht="12.75" customHeight="1" x14ac:dyDescent="0.2">
      <c r="A67" s="440"/>
      <c r="B67" s="320"/>
      <c r="C67" s="320"/>
      <c r="D67" s="316"/>
      <c r="E67" s="617" t="str">
        <f>'2. Energie KW.'!E19</f>
        <v>Klimatisierung</v>
      </c>
      <c r="F67" s="619">
        <f>VLOOKUP($E67,'2. Energie KW.'!$E$15:$J$32,2,FALSE)</f>
        <v>0</v>
      </c>
      <c r="G67" s="618">
        <f>IFERROR(IF(OR(F67="",F67="keine"),0,LOOKUP(MATCH(F67,'1. Projektangaben'!$C$36:$C$43,0),'1. Projektangaben'!$B$36:$B$43,'1. Projektangaben'!$D$36:$D$43)),0)</f>
        <v>0</v>
      </c>
      <c r="H67" s="619">
        <f>VLOOKUP($E67,'2. Energie KW.'!$E$15:$J$32,6,FALSE)</f>
        <v>0</v>
      </c>
      <c r="I67" s="619">
        <f t="shared" si="6"/>
        <v>0</v>
      </c>
      <c r="J67" s="619">
        <f t="shared" si="5"/>
        <v>1410.2</v>
      </c>
      <c r="K67" s="620">
        <f t="shared" si="7"/>
        <v>0</v>
      </c>
      <c r="L67" s="325"/>
      <c r="M67" s="754"/>
      <c r="N67" s="316"/>
      <c r="O67" s="316"/>
      <c r="P67" s="316"/>
      <c r="Q67" s="316"/>
      <c r="R67" s="316"/>
      <c r="S67" s="440"/>
    </row>
    <row r="68" spans="1:19" ht="12.75" customHeight="1" x14ac:dyDescent="0.2">
      <c r="A68" s="440"/>
      <c r="B68" s="320"/>
      <c r="C68" s="320"/>
      <c r="D68" s="316"/>
      <c r="E68" s="617" t="str">
        <f>'2. Energie KW.'!E20</f>
        <v>Kühlung</v>
      </c>
      <c r="F68" s="619">
        <f>VLOOKUP($E68,'2. Energie KW.'!$E$15:$J$32,2,FALSE)</f>
        <v>0</v>
      </c>
      <c r="G68" s="618">
        <f>IFERROR(IF(OR(F68="",F68="keine"),0,LOOKUP(MATCH(F68,'1. Projektangaben'!$C$36:$C$43,0),'1. Projektangaben'!$B$36:$B$43,'1. Projektangaben'!$D$36:$D$43)),0)</f>
        <v>0</v>
      </c>
      <c r="H68" s="619">
        <f>VLOOKUP($E68,'2. Energie KW.'!$E$15:$J$32,6,FALSE)</f>
        <v>0</v>
      </c>
      <c r="I68" s="619">
        <f t="shared" si="6"/>
        <v>0</v>
      </c>
      <c r="J68" s="619">
        <f t="shared" si="5"/>
        <v>1410.2</v>
      </c>
      <c r="K68" s="620">
        <f t="shared" si="7"/>
        <v>0</v>
      </c>
      <c r="L68" s="325"/>
      <c r="M68" s="754"/>
      <c r="N68" s="316"/>
      <c r="O68" s="316"/>
      <c r="P68" s="316"/>
      <c r="Q68" s="316"/>
      <c r="R68" s="316"/>
      <c r="S68" s="440"/>
    </row>
    <row r="69" spans="1:19" ht="12.75" customHeight="1" x14ac:dyDescent="0.2">
      <c r="A69" s="440"/>
      <c r="B69" s="320"/>
      <c r="C69" s="320"/>
      <c r="D69" s="316"/>
      <c r="E69" s="617" t="str">
        <f>'2. Energie KW.'!E21</f>
        <v>Hilfstrom Heizung</v>
      </c>
      <c r="F69" s="619" t="str">
        <f>VLOOKUP($E69,'2. Energie KW.'!$E$15:$J$32,2,FALSE)</f>
        <v>Strom</v>
      </c>
      <c r="G69" s="618">
        <f>IFERROR(IF(OR(F69="",F69="keine"),0,LOOKUP(MATCH(F69,'1. Projektangaben'!$C$36:$C$43,0),'1. Projektangaben'!$B$36:$B$43,'1. Projektangaben'!$D$36:$D$43)),0)</f>
        <v>0.15551999999999999</v>
      </c>
      <c r="H69" s="619">
        <f>VLOOKUP($E69,'2. Energie KW.'!$E$15:$J$32,6,FALSE)</f>
        <v>0.96</v>
      </c>
      <c r="I69" s="619">
        <f t="shared" si="6"/>
        <v>0.14929919999999999</v>
      </c>
      <c r="J69" s="619">
        <f t="shared" si="5"/>
        <v>1410.2</v>
      </c>
      <c r="K69" s="620">
        <f t="shared" si="7"/>
        <v>210.54173183999998</v>
      </c>
      <c r="L69" s="325"/>
      <c r="M69" s="754"/>
      <c r="N69" s="316"/>
      <c r="O69" s="316"/>
      <c r="P69" s="316"/>
      <c r="Q69" s="316"/>
      <c r="R69" s="316"/>
      <c r="S69" s="440"/>
    </row>
    <row r="70" spans="1:19" ht="12.75" customHeight="1" x14ac:dyDescent="0.2">
      <c r="A70" s="440"/>
      <c r="B70" s="320"/>
      <c r="C70" s="320"/>
      <c r="D70" s="316"/>
      <c r="E70" s="617" t="str">
        <f>'2. Energie KW.'!E22</f>
        <v>Hilfsstrom Warmwasser</v>
      </c>
      <c r="F70" s="619" t="str">
        <f>VLOOKUP($E70,'2. Energie KW.'!$E$15:$J$32,2,FALSE)</f>
        <v>Strom</v>
      </c>
      <c r="G70" s="618">
        <f>IFERROR(IF(OR(F70="",F70="keine"),0,LOOKUP(MATCH(F70,'1. Projektangaben'!$C$36:$C$43,0),'1. Projektangaben'!$B$36:$B$43,'1. Projektangaben'!$D$36:$D$43)),0)</f>
        <v>0.15551999999999999</v>
      </c>
      <c r="H70" s="619">
        <f>VLOOKUP($E70,'2. Energie KW.'!$E$15:$J$32,6,FALSE)</f>
        <v>0.5</v>
      </c>
      <c r="I70" s="619">
        <f t="shared" si="6"/>
        <v>7.7759999999999996E-2</v>
      </c>
      <c r="J70" s="619">
        <f t="shared" si="5"/>
        <v>1410.2</v>
      </c>
      <c r="K70" s="620">
        <f t="shared" si="7"/>
        <v>109.657152</v>
      </c>
      <c r="L70" s="325"/>
      <c r="M70" s="754"/>
      <c r="N70" s="316"/>
      <c r="O70" s="316"/>
      <c r="P70" s="316"/>
      <c r="Q70" s="316"/>
      <c r="R70" s="316"/>
      <c r="S70" s="440"/>
    </row>
    <row r="71" spans="1:19" ht="12.75" customHeight="1" x14ac:dyDescent="0.2">
      <c r="A71" s="440"/>
      <c r="B71" s="320"/>
      <c r="C71" s="320"/>
      <c r="D71" s="316"/>
      <c r="E71" s="617" t="str">
        <f>'2. Energie KW.'!E23</f>
        <v>Hilfsstrom Solaranlage</v>
      </c>
      <c r="F71" s="619" t="str">
        <f>VLOOKUP($E71,'2. Energie KW.'!$E$15:$J$32,2,FALSE)</f>
        <v>Strom</v>
      </c>
      <c r="G71" s="618">
        <f>IFERROR(IF(OR(F71="",F71="keine"),0,LOOKUP(MATCH(F71,'1. Projektangaben'!$C$36:$C$43,0),'1. Projektangaben'!$B$36:$B$43,'1. Projektangaben'!$D$36:$D$43)),0)</f>
        <v>0.15551999999999999</v>
      </c>
      <c r="H71" s="619">
        <f>VLOOKUP($E71,'2. Energie KW.'!$E$15:$J$32,6,FALSE)</f>
        <v>0</v>
      </c>
      <c r="I71" s="619">
        <f t="shared" si="6"/>
        <v>0</v>
      </c>
      <c r="J71" s="619">
        <f t="shared" si="5"/>
        <v>1410.2</v>
      </c>
      <c r="K71" s="620">
        <f t="shared" si="7"/>
        <v>0</v>
      </c>
      <c r="L71" s="325"/>
      <c r="M71" s="754"/>
      <c r="N71" s="316"/>
      <c r="O71" s="316"/>
      <c r="P71" s="316"/>
      <c r="Q71" s="316"/>
      <c r="R71" s="316"/>
      <c r="S71" s="440"/>
    </row>
    <row r="72" spans="1:19" ht="12.75" customHeight="1" x14ac:dyDescent="0.2">
      <c r="A72" s="440"/>
      <c r="B72" s="320"/>
      <c r="C72" s="320"/>
      <c r="D72" s="316"/>
      <c r="E72" s="617" t="str">
        <f>'2. Energie KW.'!E24</f>
        <v>Hilfsstrom Klimatisierung</v>
      </c>
      <c r="F72" s="619" t="str">
        <f>VLOOKUP($E72,'2. Energie KW.'!$E$15:$J$32,2,FALSE)</f>
        <v>Strom</v>
      </c>
      <c r="G72" s="618">
        <f>IFERROR(IF(OR(F72="",F72="keine"),0,LOOKUP(MATCH(F72,'1. Projektangaben'!$C$36:$C$43,0),'1. Projektangaben'!$B$36:$B$43,'1. Projektangaben'!$D$36:$D$43)),0)</f>
        <v>0.15551999999999999</v>
      </c>
      <c r="H72" s="619">
        <f>VLOOKUP($E72,'2. Energie KW.'!$E$15:$J$32,6,FALSE)</f>
        <v>0</v>
      </c>
      <c r="I72" s="619">
        <f t="shared" si="6"/>
        <v>0</v>
      </c>
      <c r="J72" s="619">
        <f t="shared" si="5"/>
        <v>1410.2</v>
      </c>
      <c r="K72" s="620">
        <f t="shared" si="7"/>
        <v>0</v>
      </c>
      <c r="L72" s="325"/>
      <c r="M72" s="754"/>
      <c r="N72" s="316"/>
      <c r="O72" s="316"/>
      <c r="P72" s="316"/>
      <c r="Q72" s="316"/>
      <c r="R72" s="316"/>
      <c r="S72" s="440"/>
    </row>
    <row r="73" spans="1:19" ht="12.75" customHeight="1" x14ac:dyDescent="0.2">
      <c r="A73" s="440"/>
      <c r="B73" s="320"/>
      <c r="C73" s="320"/>
      <c r="D73" s="316"/>
      <c r="E73" s="617" t="str">
        <f>'2. Energie KW.'!E25</f>
        <v>Hilfsstrom Lüftung</v>
      </c>
      <c r="F73" s="619" t="str">
        <f>VLOOKUP($E73,'2. Energie KW.'!$E$15:$J$32,2,FALSE)</f>
        <v>Strom</v>
      </c>
      <c r="G73" s="618">
        <f>IFERROR(IF(OR(F73="",F73="keine"),0,LOOKUP(MATCH(F73,'1. Projektangaben'!$C$36:$C$43,0),'1. Projektangaben'!$B$36:$B$43,'1. Projektangaben'!$D$36:$D$43)),0)</f>
        <v>0.15551999999999999</v>
      </c>
      <c r="H73" s="619">
        <f>VLOOKUP($E73,'2. Energie KW.'!$E$15:$J$32,6,FALSE)</f>
        <v>1.4</v>
      </c>
      <c r="I73" s="619">
        <f t="shared" si="6"/>
        <v>0.21772799999999998</v>
      </c>
      <c r="J73" s="619">
        <f t="shared" si="5"/>
        <v>1410.2</v>
      </c>
      <c r="K73" s="620">
        <f t="shared" si="7"/>
        <v>307.04002559999998</v>
      </c>
      <c r="L73" s="325"/>
      <c r="M73" s="754"/>
      <c r="N73" s="316"/>
      <c r="O73" s="316"/>
      <c r="P73" s="316"/>
      <c r="Q73" s="316"/>
      <c r="R73" s="316"/>
      <c r="S73" s="440"/>
    </row>
    <row r="74" spans="1:19" ht="12.75" customHeight="1" x14ac:dyDescent="0.2">
      <c r="A74" s="440"/>
      <c r="B74" s="320"/>
      <c r="C74" s="320"/>
      <c r="D74" s="316"/>
      <c r="E74" s="617" t="str">
        <f>'2. Energie KW.'!E26</f>
        <v>Hilfsstrom Kühlung</v>
      </c>
      <c r="F74" s="619" t="str">
        <f>VLOOKUP($E74,'2. Energie KW.'!$E$15:$J$32,2,FALSE)</f>
        <v>Strom</v>
      </c>
      <c r="G74" s="618">
        <f>IFERROR(IF(OR(F74="",F74="keine"),0,LOOKUP(MATCH(F74,'1. Projektangaben'!$C$36:$C$43,0),'1. Projektangaben'!$B$36:$B$43,'1. Projektangaben'!$D$36:$D$43)),0)</f>
        <v>0.15551999999999999</v>
      </c>
      <c r="H74" s="619">
        <f>VLOOKUP($E74,'2. Energie KW.'!$E$15:$J$32,6,FALSE)</f>
        <v>0</v>
      </c>
      <c r="I74" s="619">
        <f t="shared" si="6"/>
        <v>0</v>
      </c>
      <c r="J74" s="619">
        <f t="shared" si="5"/>
        <v>1410.2</v>
      </c>
      <c r="K74" s="620">
        <f t="shared" si="7"/>
        <v>0</v>
      </c>
      <c r="L74" s="325"/>
      <c r="M74" s="754"/>
      <c r="N74" s="316"/>
      <c r="O74" s="316"/>
      <c r="P74" s="316"/>
      <c r="Q74" s="316"/>
      <c r="R74" s="316"/>
      <c r="S74" s="440"/>
    </row>
    <row r="75" spans="1:19" ht="12.75" customHeight="1" x14ac:dyDescent="0.2">
      <c r="A75" s="440"/>
      <c r="B75" s="320"/>
      <c r="C75" s="320"/>
      <c r="D75" s="316"/>
      <c r="E75" s="617" t="str">
        <f>'2. Energie KW.'!E27</f>
        <v>Beleuchtung</v>
      </c>
      <c r="F75" s="619" t="str">
        <f>VLOOKUP($E75,'2. Energie KW.'!$E$15:$J$32,2,FALSE)</f>
        <v>Strom</v>
      </c>
      <c r="G75" s="618">
        <f>IFERROR(IF(OR(F75="",F75="keine"),0,LOOKUP(MATCH(F75,'1. Projektangaben'!$C$36:$C$43,0),'1. Projektangaben'!$B$36:$B$43,'1. Projektangaben'!$D$36:$D$43)),0)</f>
        <v>0.15551999999999999</v>
      </c>
      <c r="H75" s="619">
        <f>VLOOKUP($E75,'2. Energie KW.'!$E$15:$J$32,6,FALSE)</f>
        <v>0</v>
      </c>
      <c r="I75" s="619">
        <f t="shared" si="6"/>
        <v>0</v>
      </c>
      <c r="J75" s="619">
        <f t="shared" si="5"/>
        <v>1410.2</v>
      </c>
      <c r="K75" s="620">
        <f t="shared" si="7"/>
        <v>0</v>
      </c>
      <c r="L75" s="325"/>
      <c r="M75" s="754"/>
      <c r="N75" s="316"/>
      <c r="O75" s="316"/>
      <c r="P75" s="316"/>
      <c r="Q75" s="316"/>
      <c r="R75" s="316"/>
      <c r="S75" s="440"/>
    </row>
    <row r="76" spans="1:19" ht="12.75" customHeight="1" x14ac:dyDescent="0.2">
      <c r="A76" s="440"/>
      <c r="B76" s="320"/>
      <c r="C76" s="320"/>
      <c r="D76" s="316"/>
      <c r="E76" s="617" t="str">
        <f>'2. Energie KW.'!E28</f>
        <v>EDV</v>
      </c>
      <c r="F76" s="619" t="str">
        <f>VLOOKUP($E76,'2. Energie KW.'!$E$15:$J$32,2,FALSE)</f>
        <v>Strom</v>
      </c>
      <c r="G76" s="618">
        <f>IFERROR(IF(OR(F76="",F76="keine"),0,LOOKUP(MATCH(F76,'1. Projektangaben'!$C$36:$C$43,0),'1. Projektangaben'!$B$36:$B$43,'1. Projektangaben'!$D$36:$D$43)),0)</f>
        <v>0.15551999999999999</v>
      </c>
      <c r="H76" s="619">
        <f>VLOOKUP($E76,'2. Energie KW.'!$E$15:$J$32,6,FALSE)</f>
        <v>0</v>
      </c>
      <c r="I76" s="619">
        <f t="shared" si="6"/>
        <v>0</v>
      </c>
      <c r="J76" s="619">
        <f t="shared" si="5"/>
        <v>1410.2</v>
      </c>
      <c r="K76" s="620">
        <f t="shared" si="7"/>
        <v>0</v>
      </c>
      <c r="L76" s="325"/>
      <c r="M76" s="754"/>
      <c r="N76" s="316"/>
      <c r="O76" s="316"/>
      <c r="P76" s="316"/>
      <c r="Q76" s="316"/>
      <c r="R76" s="316"/>
      <c r="S76" s="440"/>
    </row>
    <row r="77" spans="1:19" ht="12.75" customHeight="1" x14ac:dyDescent="0.2">
      <c r="A77" s="440"/>
      <c r="B77" s="320"/>
      <c r="C77" s="320"/>
      <c r="D77" s="316"/>
      <c r="E77" s="617" t="str">
        <f>'2. Energie KW.'!E29</f>
        <v>Haushaltsstrom</v>
      </c>
      <c r="F77" s="619" t="str">
        <f>VLOOKUP($E77,'2. Energie KW.'!$E$15:$J$32,2,FALSE)</f>
        <v>Strom</v>
      </c>
      <c r="G77" s="618">
        <f>IFERROR(IF(OR(F77="",F77="keine"),0,LOOKUP(MATCH(F77,'1. Projektangaben'!$C$36:$C$43,0),'1. Projektangaben'!$B$36:$B$43,'1. Projektangaben'!$D$36:$D$43)),0)</f>
        <v>0.15551999999999999</v>
      </c>
      <c r="H77" s="619">
        <f>VLOOKUP($E77,'2. Energie KW.'!$E$15:$J$32,6,FALSE)</f>
        <v>25</v>
      </c>
      <c r="I77" s="619">
        <f t="shared" si="6"/>
        <v>3.8879999999999999</v>
      </c>
      <c r="J77" s="619">
        <f t="shared" si="5"/>
        <v>1410.2</v>
      </c>
      <c r="K77" s="620">
        <f t="shared" si="7"/>
        <v>5482.8576000000003</v>
      </c>
      <c r="L77" s="325"/>
      <c r="M77" s="754"/>
      <c r="N77" s="316"/>
      <c r="O77" s="316"/>
      <c r="P77" s="316"/>
      <c r="Q77" s="316"/>
      <c r="R77" s="316"/>
      <c r="S77" s="440"/>
    </row>
    <row r="78" spans="1:19" ht="12.75" customHeight="1" x14ac:dyDescent="0.2">
      <c r="A78" s="440"/>
      <c r="B78" s="320"/>
      <c r="C78" s="320"/>
      <c r="D78" s="316"/>
      <c r="E78" s="617" t="str">
        <f>'2. Energie KW.'!E30</f>
        <v>Befeuchten</v>
      </c>
      <c r="F78" s="619">
        <f>VLOOKUP($E78,'2. Energie KW.'!$E$15:$J$32,2,FALSE)</f>
        <v>0</v>
      </c>
      <c r="G78" s="618">
        <f>IFERROR(IF(OR(F78="",F78="keine"),0,LOOKUP(MATCH(F78,'1. Projektangaben'!$C$36:$C$43,0),'1. Projektangaben'!$B$36:$B$43,'1. Projektangaben'!$D$36:$D$43)),0)</f>
        <v>0</v>
      </c>
      <c r="H78" s="619">
        <f>VLOOKUP($E78,'2. Energie KW.'!$E$15:$J$32,6,FALSE)</f>
        <v>0</v>
      </c>
      <c r="I78" s="619">
        <f t="shared" si="6"/>
        <v>0</v>
      </c>
      <c r="J78" s="619">
        <f t="shared" si="5"/>
        <v>1410.2</v>
      </c>
      <c r="K78" s="620">
        <f t="shared" si="7"/>
        <v>0</v>
      </c>
      <c r="L78" s="325"/>
      <c r="M78" s="754"/>
      <c r="N78" s="316"/>
      <c r="O78" s="316"/>
      <c r="P78" s="316"/>
      <c r="Q78" s="316"/>
      <c r="R78" s="316"/>
      <c r="S78" s="440"/>
    </row>
    <row r="79" spans="1:19" ht="12.75" customHeight="1" x14ac:dyDescent="0.2">
      <c r="A79" s="440"/>
      <c r="B79" s="320"/>
      <c r="C79" s="320"/>
      <c r="D79" s="316"/>
      <c r="E79" s="617" t="str">
        <f>'2. Energie KW.'!E31</f>
        <v>Entfeuchten</v>
      </c>
      <c r="F79" s="619">
        <f>VLOOKUP($E79,'2. Energie KW.'!$E$15:$J$32,2,FALSE)</f>
        <v>0</v>
      </c>
      <c r="G79" s="618">
        <f>IFERROR(IF(OR(F79="",F79="keine"),0,LOOKUP(MATCH(F79,'1. Projektangaben'!$C$36:$C$43,0),'1. Projektangaben'!$B$36:$B$43,'1. Projektangaben'!$D$36:$D$43)),0)</f>
        <v>0</v>
      </c>
      <c r="H79" s="619">
        <f>VLOOKUP($E79,'2. Energie KW.'!$E$15:$J$32,6,FALSE)</f>
        <v>0</v>
      </c>
      <c r="I79" s="619">
        <f t="shared" si="6"/>
        <v>0</v>
      </c>
      <c r="J79" s="619">
        <f t="shared" si="5"/>
        <v>1410.2</v>
      </c>
      <c r="K79" s="620">
        <f t="shared" si="7"/>
        <v>0</v>
      </c>
      <c r="L79" s="325"/>
      <c r="M79" s="754"/>
      <c r="N79" s="316"/>
      <c r="O79" s="316"/>
      <c r="P79" s="316"/>
      <c r="Q79" s="316"/>
      <c r="R79" s="316"/>
      <c r="S79" s="440"/>
    </row>
    <row r="80" spans="1:19" ht="12.75" customHeight="1" x14ac:dyDescent="0.2">
      <c r="A80" s="440"/>
      <c r="B80" s="320"/>
      <c r="C80" s="320"/>
      <c r="D80" s="316"/>
      <c r="E80" s="617" t="str">
        <f>'2. Energie KW.'!E32</f>
        <v>Sonstiges</v>
      </c>
      <c r="F80" s="619">
        <f>VLOOKUP($E80,'2. Energie KW.'!$E$15:$J$32,2,FALSE)</f>
        <v>0</v>
      </c>
      <c r="G80" s="618">
        <f>IFERROR(IF(OR(F80="",F80="keine"),0,LOOKUP(MATCH(F80,'1. Projektangaben'!$C$36:$C$43,0),'1. Projektangaben'!$B$36:$B$43,'1. Projektangaben'!$D$36:$D$43)),0)</f>
        <v>0</v>
      </c>
      <c r="H80" s="619">
        <f>VLOOKUP($E80,'2. Energie KW.'!$E$15:$J$32,6,FALSE)</f>
        <v>0</v>
      </c>
      <c r="I80" s="619">
        <f t="shared" si="6"/>
        <v>0</v>
      </c>
      <c r="J80" s="619">
        <f t="shared" si="5"/>
        <v>1410.2</v>
      </c>
      <c r="K80" s="620">
        <f>J80*I80</f>
        <v>0</v>
      </c>
      <c r="L80" s="325"/>
      <c r="M80" s="754"/>
      <c r="N80" s="316"/>
      <c r="O80" s="316"/>
      <c r="P80" s="316"/>
      <c r="Q80" s="316"/>
      <c r="R80" s="316"/>
      <c r="S80" s="440"/>
    </row>
    <row r="81" spans="1:19" ht="12.75" customHeight="1" x14ac:dyDescent="0.2">
      <c r="A81" s="440"/>
      <c r="B81" s="320"/>
      <c r="C81" s="320"/>
      <c r="D81" s="316"/>
      <c r="E81" s="316"/>
      <c r="F81" s="446"/>
      <c r="G81" s="316"/>
      <c r="H81" s="316"/>
      <c r="I81" s="316"/>
      <c r="J81" s="316"/>
      <c r="K81" s="316"/>
      <c r="L81" s="643"/>
      <c r="M81" s="754"/>
      <c r="N81" s="316"/>
      <c r="O81" s="316"/>
      <c r="P81" s="316"/>
      <c r="Q81" s="316"/>
      <c r="R81" s="316"/>
      <c r="S81" s="440"/>
    </row>
    <row r="82" spans="1:19" ht="12.75" customHeight="1" x14ac:dyDescent="0.2">
      <c r="A82" s="440"/>
      <c r="B82" s="320"/>
      <c r="C82" s="320"/>
      <c r="D82" s="316"/>
      <c r="E82" s="316"/>
      <c r="F82" s="446"/>
      <c r="G82" s="316"/>
      <c r="H82" s="316"/>
      <c r="I82" s="316"/>
      <c r="J82" s="316"/>
      <c r="K82" s="435" t="s">
        <v>94</v>
      </c>
      <c r="L82" s="643"/>
      <c r="M82" s="316"/>
      <c r="N82" s="316"/>
      <c r="O82" s="316"/>
      <c r="P82" s="316"/>
      <c r="Q82" s="316"/>
      <c r="R82" s="316"/>
      <c r="S82" s="440"/>
    </row>
    <row r="83" spans="1:19" ht="12.75" customHeight="1" x14ac:dyDescent="0.2">
      <c r="A83" s="440"/>
      <c r="B83" s="320"/>
      <c r="C83" s="320"/>
      <c r="D83" s="418" t="s">
        <v>548</v>
      </c>
      <c r="E83" s="434"/>
      <c r="F83" s="446"/>
      <c r="G83" s="328" t="s">
        <v>122</v>
      </c>
      <c r="H83" s="446" t="s">
        <v>123</v>
      </c>
      <c r="I83" s="323"/>
      <c r="J83" s="323"/>
      <c r="K83" s="328" t="s">
        <v>93</v>
      </c>
      <c r="L83" s="643"/>
      <c r="M83" s="316"/>
      <c r="N83" s="316"/>
      <c r="O83" s="316"/>
      <c r="P83" s="316"/>
      <c r="Q83" s="316"/>
      <c r="R83" s="316"/>
      <c r="S83" s="440"/>
    </row>
    <row r="84" spans="1:19" ht="12.75" customHeight="1" x14ac:dyDescent="0.2">
      <c r="A84" s="440"/>
      <c r="B84" s="320"/>
      <c r="C84" s="320"/>
      <c r="D84" s="316"/>
      <c r="E84" s="621" t="s">
        <v>549</v>
      </c>
      <c r="F84" s="576" t="s">
        <v>82</v>
      </c>
      <c r="G84" s="618">
        <f>IFERROR(IF(OR(F84="",F84="keine"),0,LOOKUP(MATCH(F84,'1. Projektangaben'!$C$36:$C$43,0),'1. Projektangaben'!$B$36:$B$43,'1. Projektangaben'!$D$36:$D$43)),0)</f>
        <v>0.15551999999999999</v>
      </c>
      <c r="H84" s="619">
        <f>'2. Energie KW.'!J37</f>
        <v>0</v>
      </c>
      <c r="I84" s="751"/>
      <c r="J84" s="622"/>
      <c r="K84" s="620">
        <f>G84*H84*-1</f>
        <v>0</v>
      </c>
      <c r="L84" s="643"/>
      <c r="M84" s="316"/>
      <c r="N84" s="316"/>
      <c r="O84" s="316"/>
      <c r="P84" s="316"/>
      <c r="Q84" s="316"/>
      <c r="R84" s="316"/>
      <c r="S84" s="440"/>
    </row>
    <row r="85" spans="1:19" ht="12.75" customHeight="1" x14ac:dyDescent="0.2">
      <c r="A85" s="440"/>
      <c r="B85" s="320"/>
      <c r="C85" s="320"/>
      <c r="D85" s="316"/>
      <c r="E85" s="621" t="str">
        <f>'2. Energie KW.'!E36</f>
        <v>Stromeinspeisung PV</v>
      </c>
      <c r="F85" s="1623" t="s">
        <v>534</v>
      </c>
      <c r="G85" s="1624"/>
      <c r="H85" s="619">
        <f>'2. Energie KW.'!J36-H84</f>
        <v>0</v>
      </c>
      <c r="I85" s="751"/>
      <c r="J85" s="622"/>
      <c r="K85" s="620">
        <f ca="1">'PV-Einspeisung'!$AA$20*-1</f>
        <v>0</v>
      </c>
      <c r="L85" s="791"/>
      <c r="M85" s="323"/>
      <c r="N85" s="323"/>
      <c r="O85" s="323"/>
      <c r="P85" s="323"/>
      <c r="Q85" s="323"/>
      <c r="R85" s="323"/>
      <c r="S85" s="440"/>
    </row>
    <row r="86" spans="1:19" ht="12.75" customHeight="1" x14ac:dyDescent="0.2">
      <c r="A86" s="440"/>
      <c r="B86" s="320"/>
      <c r="C86" s="320"/>
      <c r="D86" s="316"/>
      <c r="E86" s="316"/>
      <c r="F86" s="621"/>
      <c r="G86" s="446"/>
      <c r="H86" s="316"/>
      <c r="I86" s="324"/>
      <c r="J86" s="324"/>
      <c r="K86" s="316"/>
      <c r="L86" s="316"/>
      <c r="M86" s="316"/>
      <c r="N86" s="316"/>
      <c r="O86" s="316"/>
      <c r="P86" s="316"/>
      <c r="Q86" s="316"/>
      <c r="R86" s="323"/>
      <c r="S86" s="440"/>
    </row>
    <row r="87" spans="1:19" ht="12.95" customHeight="1" x14ac:dyDescent="0.2">
      <c r="A87" s="440"/>
      <c r="B87" s="320"/>
      <c r="C87" s="547"/>
      <c r="D87" s="557"/>
      <c r="E87" s="557"/>
      <c r="F87" s="557"/>
      <c r="G87" s="557"/>
      <c r="H87" s="605"/>
      <c r="I87" s="316"/>
      <c r="J87" s="316"/>
      <c r="K87" s="557" t="s">
        <v>94</v>
      </c>
      <c r="L87" s="435"/>
      <c r="M87" s="323"/>
      <c r="N87" s="323"/>
      <c r="O87" s="323"/>
      <c r="P87" s="323"/>
      <c r="Q87" s="323"/>
      <c r="R87" s="323"/>
      <c r="S87" s="440"/>
    </row>
    <row r="88" spans="1:19" ht="12.95" customHeight="1" x14ac:dyDescent="0.2">
      <c r="A88" s="440"/>
      <c r="B88" s="320"/>
      <c r="C88" s="320"/>
      <c r="D88" s="435"/>
      <c r="E88" s="435"/>
      <c r="F88" s="435"/>
      <c r="G88" s="435"/>
      <c r="H88" s="316"/>
      <c r="I88" s="316"/>
      <c r="J88" s="316"/>
      <c r="K88" s="319" t="s">
        <v>93</v>
      </c>
      <c r="L88" s="319"/>
      <c r="M88" s="316"/>
      <c r="N88" s="316"/>
      <c r="O88" s="316"/>
      <c r="P88" s="316"/>
      <c r="Q88" s="316"/>
      <c r="R88" s="316"/>
      <c r="S88" s="440"/>
    </row>
    <row r="89" spans="1:19" ht="12.95" customHeight="1" x14ac:dyDescent="0.2">
      <c r="A89" s="440"/>
      <c r="B89" s="320"/>
      <c r="C89" s="320" t="s">
        <v>86</v>
      </c>
      <c r="D89" s="1621" t="s">
        <v>83</v>
      </c>
      <c r="E89" s="1615"/>
      <c r="F89" s="1616"/>
      <c r="G89" s="1616"/>
      <c r="H89" s="435"/>
      <c r="I89" s="323"/>
      <c r="J89" s="323"/>
      <c r="K89" s="306"/>
      <c r="L89" s="435"/>
      <c r="M89" s="323"/>
      <c r="N89" s="323"/>
      <c r="O89" s="323"/>
      <c r="P89" s="323"/>
      <c r="Q89" s="323"/>
      <c r="R89" s="323"/>
      <c r="S89" s="440"/>
    </row>
    <row r="90" spans="1:19" ht="12.95" customHeight="1" x14ac:dyDescent="0.2">
      <c r="A90" s="440"/>
      <c r="B90" s="321"/>
      <c r="C90" s="321"/>
      <c r="D90" s="612"/>
      <c r="E90" s="625"/>
      <c r="F90" s="626"/>
      <c r="G90" s="626"/>
      <c r="H90" s="613"/>
      <c r="I90" s="324"/>
      <c r="J90" s="324"/>
      <c r="K90" s="613"/>
      <c r="L90" s="613"/>
      <c r="M90" s="324"/>
      <c r="N90" s="324"/>
      <c r="O90" s="324"/>
      <c r="P90" s="324"/>
      <c r="Q90" s="324"/>
      <c r="R90" s="323"/>
      <c r="S90" s="440"/>
    </row>
    <row r="91" spans="1:19" ht="12.95" customHeight="1" x14ac:dyDescent="0.2">
      <c r="A91" s="440"/>
      <c r="B91" s="320"/>
      <c r="C91" s="320"/>
      <c r="D91" s="614"/>
      <c r="E91" s="441"/>
      <c r="F91" s="615"/>
      <c r="G91" s="615"/>
      <c r="H91" s="435"/>
      <c r="I91" s="323"/>
      <c r="J91" s="323"/>
      <c r="K91" s="435" t="s">
        <v>94</v>
      </c>
      <c r="L91" s="435"/>
      <c r="M91" s="323"/>
      <c r="N91" s="323"/>
      <c r="O91" s="323"/>
      <c r="P91" s="323"/>
      <c r="Q91" s="323"/>
      <c r="R91" s="323"/>
      <c r="S91" s="440"/>
    </row>
    <row r="92" spans="1:19" ht="12.95" customHeight="1" x14ac:dyDescent="0.2">
      <c r="A92" s="440"/>
      <c r="B92" s="320"/>
      <c r="C92" s="320"/>
      <c r="D92" s="320"/>
      <c r="E92" s="323"/>
      <c r="F92" s="627"/>
      <c r="G92" s="435"/>
      <c r="H92" s="435"/>
      <c r="I92" s="316"/>
      <c r="J92" s="316"/>
      <c r="K92" s="319" t="s">
        <v>93</v>
      </c>
      <c r="L92" s="319"/>
      <c r="M92" s="323"/>
      <c r="N92" s="323"/>
      <c r="O92" s="323"/>
      <c r="P92" s="323"/>
      <c r="Q92" s="323"/>
      <c r="R92" s="323"/>
      <c r="S92" s="440"/>
    </row>
    <row r="93" spans="1:19" ht="12.95" customHeight="1" x14ac:dyDescent="0.2">
      <c r="A93" s="440"/>
      <c r="B93" s="518" t="s">
        <v>24</v>
      </c>
      <c r="C93" s="494"/>
      <c r="D93" s="1614" t="s">
        <v>84</v>
      </c>
      <c r="E93" s="1616"/>
      <c r="F93" s="1616"/>
      <c r="G93" s="1617"/>
      <c r="H93" s="435"/>
      <c r="I93" s="316"/>
      <c r="J93" s="316"/>
      <c r="K93" s="1131">
        <f>K95+K96+K94</f>
        <v>0</v>
      </c>
      <c r="L93" s="323"/>
      <c r="M93" s="323"/>
      <c r="N93" s="323"/>
      <c r="O93" s="323"/>
      <c r="P93" s="323"/>
      <c r="Q93" s="323"/>
      <c r="R93" s="323"/>
      <c r="S93" s="440"/>
    </row>
    <row r="94" spans="1:19" ht="12.95" customHeight="1" x14ac:dyDescent="0.2">
      <c r="A94" s="440"/>
      <c r="B94" s="518"/>
      <c r="C94" s="320" t="s">
        <v>407</v>
      </c>
      <c r="D94" s="1621" t="s">
        <v>408</v>
      </c>
      <c r="E94" s="1622"/>
      <c r="F94" s="1617"/>
      <c r="G94" s="1617"/>
      <c r="H94" s="322"/>
      <c r="I94" s="316"/>
      <c r="J94" s="316"/>
      <c r="K94" s="1132"/>
      <c r="L94" s="323"/>
      <c r="M94" s="323"/>
      <c r="N94" s="323"/>
      <c r="O94" s="323"/>
      <c r="P94" s="323"/>
      <c r="Q94" s="323"/>
      <c r="R94" s="323"/>
      <c r="S94" s="440"/>
    </row>
    <row r="95" spans="1:19" ht="12.95" customHeight="1" x14ac:dyDescent="0.2">
      <c r="A95" s="440"/>
      <c r="B95" s="320"/>
      <c r="C95" s="320" t="s">
        <v>85</v>
      </c>
      <c r="D95" s="1621" t="s">
        <v>87</v>
      </c>
      <c r="E95" s="1622"/>
      <c r="F95" s="1617"/>
      <c r="G95" s="1617"/>
      <c r="H95" s="322"/>
      <c r="I95" s="316"/>
      <c r="J95" s="316"/>
      <c r="K95" s="1132"/>
      <c r="L95" s="435"/>
      <c r="M95" s="322"/>
      <c r="N95" s="322"/>
      <c r="O95" s="322"/>
      <c r="P95" s="322"/>
      <c r="Q95" s="322"/>
      <c r="R95" s="322"/>
      <c r="S95" s="440"/>
    </row>
    <row r="96" spans="1:19" ht="12.95" customHeight="1" x14ac:dyDescent="0.2">
      <c r="A96" s="440"/>
      <c r="B96" s="320"/>
      <c r="C96" s="320" t="s">
        <v>88</v>
      </c>
      <c r="D96" s="1621" t="s">
        <v>89</v>
      </c>
      <c r="E96" s="1615"/>
      <c r="F96" s="1616"/>
      <c r="G96" s="1616"/>
      <c r="H96" s="435"/>
      <c r="I96" s="323"/>
      <c r="J96" s="323"/>
      <c r="K96" s="1132"/>
      <c r="L96" s="435"/>
      <c r="M96" s="325"/>
      <c r="N96" s="325"/>
      <c r="O96" s="325"/>
      <c r="P96" s="325"/>
      <c r="Q96" s="325"/>
      <c r="R96" s="325"/>
      <c r="S96" s="440"/>
    </row>
    <row r="97" spans="1:19" ht="12.95" customHeight="1" x14ac:dyDescent="0.2">
      <c r="A97" s="440"/>
      <c r="B97" s="320"/>
      <c r="C97" s="320"/>
      <c r="D97" s="612"/>
      <c r="E97" s="625"/>
      <c r="F97" s="626"/>
      <c r="G97" s="626"/>
      <c r="H97" s="613"/>
      <c r="I97" s="324"/>
      <c r="J97" s="324"/>
      <c r="K97" s="613"/>
      <c r="L97" s="613"/>
      <c r="M97" s="326"/>
      <c r="N97" s="326"/>
      <c r="O97" s="326"/>
      <c r="P97" s="326"/>
      <c r="Q97" s="326"/>
      <c r="R97" s="325"/>
      <c r="S97" s="440"/>
    </row>
    <row r="98" spans="1:19" ht="12.95" customHeight="1" x14ac:dyDescent="0.2">
      <c r="A98" s="440"/>
      <c r="B98" s="605"/>
      <c r="C98" s="605"/>
      <c r="D98" s="323"/>
      <c r="E98" s="323"/>
      <c r="F98" s="323"/>
      <c r="G98" s="323"/>
      <c r="H98" s="322"/>
      <c r="I98" s="316"/>
      <c r="J98" s="316"/>
      <c r="K98" s="435" t="s">
        <v>94</v>
      </c>
      <c r="L98" s="435"/>
      <c r="M98" s="322"/>
      <c r="N98" s="322"/>
      <c r="O98" s="322"/>
      <c r="P98" s="322"/>
      <c r="Q98" s="322"/>
      <c r="R98" s="322"/>
      <c r="S98" s="440"/>
    </row>
    <row r="99" spans="1:19" ht="12.95" customHeight="1" x14ac:dyDescent="0.2">
      <c r="A99" s="440"/>
      <c r="B99" s="518" t="s">
        <v>14</v>
      </c>
      <c r="C99" s="449"/>
      <c r="D99" s="1618" t="s">
        <v>90</v>
      </c>
      <c r="E99" s="1619"/>
      <c r="F99" s="1620"/>
      <c r="G99" s="323"/>
      <c r="H99" s="322"/>
      <c r="I99" s="316"/>
      <c r="J99" s="316"/>
      <c r="K99" s="319" t="s">
        <v>93</v>
      </c>
      <c r="L99" s="319"/>
      <c r="M99" s="322"/>
      <c r="N99" s="322"/>
      <c r="O99" s="322"/>
      <c r="P99" s="322"/>
      <c r="Q99" s="322"/>
      <c r="R99" s="322"/>
      <c r="S99" s="440"/>
    </row>
    <row r="100" spans="1:19" ht="12.95" customHeight="1" x14ac:dyDescent="0.2">
      <c r="A100" s="440"/>
      <c r="B100" s="320"/>
      <c r="C100" s="320"/>
      <c r="D100" s="316"/>
      <c r="E100" s="316"/>
      <c r="F100" s="1612"/>
      <c r="G100" s="1613"/>
      <c r="H100" s="1613"/>
      <c r="I100" s="426"/>
      <c r="J100" s="409"/>
      <c r="K100" s="306"/>
      <c r="L100" s="613"/>
      <c r="M100" s="326"/>
      <c r="N100" s="326"/>
      <c r="O100" s="326"/>
      <c r="P100" s="326"/>
      <c r="Q100" s="326"/>
      <c r="R100" s="325"/>
      <c r="S100" s="440"/>
    </row>
    <row r="101" spans="1:19" ht="12.95" customHeight="1" x14ac:dyDescent="0.2">
      <c r="A101" s="440"/>
      <c r="B101" s="547"/>
      <c r="C101" s="547"/>
      <c r="D101" s="630"/>
      <c r="E101" s="631"/>
      <c r="F101" s="632"/>
      <c r="G101" s="632"/>
      <c r="H101" s="435"/>
      <c r="I101" s="323"/>
      <c r="J101" s="323"/>
      <c r="K101" s="435" t="s">
        <v>94</v>
      </c>
      <c r="L101" s="435"/>
      <c r="M101" s="325"/>
      <c r="N101" s="325"/>
      <c r="O101" s="325"/>
      <c r="P101" s="325"/>
      <c r="Q101" s="325"/>
      <c r="R101" s="325"/>
      <c r="S101" s="440"/>
    </row>
    <row r="102" spans="1:19" ht="12.95" customHeight="1" x14ac:dyDescent="0.2">
      <c r="A102" s="440"/>
      <c r="B102" s="323"/>
      <c r="C102" s="323"/>
      <c r="D102" s="323"/>
      <c r="E102" s="323"/>
      <c r="F102" s="323"/>
      <c r="G102" s="316"/>
      <c r="H102" s="322"/>
      <c r="I102" s="316"/>
      <c r="J102" s="316"/>
      <c r="K102" s="319" t="s">
        <v>93</v>
      </c>
      <c r="L102" s="319"/>
      <c r="M102" s="322"/>
      <c r="N102" s="322"/>
      <c r="O102" s="322"/>
      <c r="P102" s="322"/>
      <c r="Q102" s="322"/>
      <c r="R102" s="322"/>
      <c r="S102" s="440"/>
    </row>
    <row r="103" spans="1:19" ht="12.95" customHeight="1" x14ac:dyDescent="0.2">
      <c r="A103" s="440"/>
      <c r="B103" s="518" t="s">
        <v>8</v>
      </c>
      <c r="C103" s="494"/>
      <c r="D103" s="1614" t="s">
        <v>91</v>
      </c>
      <c r="E103" s="1615"/>
      <c r="F103" s="1616"/>
      <c r="G103" s="1617"/>
      <c r="H103" s="322"/>
      <c r="I103" s="316"/>
      <c r="J103" s="316"/>
      <c r="K103" s="1131">
        <f>K104+K105+K106</f>
        <v>0</v>
      </c>
      <c r="L103" s="323"/>
      <c r="M103" s="322"/>
      <c r="N103" s="322"/>
      <c r="O103" s="322"/>
      <c r="P103" s="322"/>
      <c r="Q103" s="322"/>
      <c r="R103" s="322"/>
      <c r="S103" s="440"/>
    </row>
    <row r="104" spans="1:19" ht="12.95" customHeight="1" x14ac:dyDescent="0.2">
      <c r="A104" s="440"/>
      <c r="B104" s="320"/>
      <c r="C104" s="320"/>
      <c r="D104" s="320"/>
      <c r="E104" s="316"/>
      <c r="F104" s="1612"/>
      <c r="G104" s="1613"/>
      <c r="H104" s="1613"/>
      <c r="I104" s="316"/>
      <c r="J104" s="316"/>
      <c r="K104" s="1132"/>
      <c r="L104" s="435"/>
      <c r="M104" s="325"/>
      <c r="N104" s="325"/>
      <c r="O104" s="325"/>
      <c r="P104" s="325"/>
      <c r="Q104" s="325"/>
      <c r="R104" s="325"/>
      <c r="S104" s="440"/>
    </row>
    <row r="105" spans="1:19" ht="12.95" customHeight="1" x14ac:dyDescent="0.2">
      <c r="A105" s="440"/>
      <c r="B105" s="320"/>
      <c r="C105" s="320"/>
      <c r="D105" s="320"/>
      <c r="E105" s="316"/>
      <c r="F105" s="1612"/>
      <c r="G105" s="1613"/>
      <c r="H105" s="1613"/>
      <c r="I105" s="316"/>
      <c r="J105" s="316"/>
      <c r="K105" s="1132"/>
      <c r="L105" s="435"/>
      <c r="M105" s="325"/>
      <c r="N105" s="325"/>
      <c r="O105" s="325"/>
      <c r="P105" s="325"/>
      <c r="Q105" s="325"/>
      <c r="R105" s="325"/>
      <c r="S105" s="440"/>
    </row>
    <row r="106" spans="1:19" ht="12.95" customHeight="1" x14ac:dyDescent="0.2">
      <c r="A106" s="440"/>
      <c r="B106" s="320"/>
      <c r="C106" s="320"/>
      <c r="D106" s="320"/>
      <c r="E106" s="316"/>
      <c r="F106" s="1612"/>
      <c r="G106" s="1613"/>
      <c r="H106" s="1613"/>
      <c r="I106" s="323"/>
      <c r="J106" s="323"/>
      <c r="K106" s="1132"/>
      <c r="L106" s="435"/>
      <c r="M106" s="325"/>
      <c r="N106" s="325"/>
      <c r="O106" s="325"/>
      <c r="P106" s="325"/>
      <c r="Q106" s="325"/>
      <c r="R106" s="325"/>
      <c r="S106" s="440"/>
    </row>
    <row r="107" spans="1:19" ht="12.95" customHeight="1" x14ac:dyDescent="0.2">
      <c r="A107" s="440"/>
      <c r="B107" s="423"/>
      <c r="C107" s="423"/>
      <c r="D107" s="423"/>
      <c r="E107" s="423"/>
      <c r="F107" s="423"/>
      <c r="G107" s="633"/>
      <c r="H107" s="633"/>
      <c r="I107" s="324"/>
      <c r="J107" s="324"/>
      <c r="K107" s="613"/>
      <c r="L107" s="613"/>
      <c r="M107" s="326"/>
      <c r="N107" s="326"/>
      <c r="O107" s="326"/>
      <c r="P107" s="326"/>
      <c r="Q107" s="326"/>
      <c r="R107" s="325"/>
      <c r="S107" s="440"/>
    </row>
    <row r="108" spans="1:19" x14ac:dyDescent="0.2">
      <c r="A108" s="440"/>
      <c r="B108" s="316"/>
      <c r="C108" s="316"/>
      <c r="D108" s="316"/>
      <c r="E108" s="316"/>
      <c r="F108" s="316"/>
      <c r="G108" s="316"/>
      <c r="H108" s="316"/>
      <c r="I108" s="316"/>
      <c r="J108" s="316"/>
      <c r="K108" s="435" t="s">
        <v>94</v>
      </c>
      <c r="L108" s="316"/>
      <c r="M108" s="316"/>
      <c r="N108" s="316"/>
      <c r="O108" s="316"/>
      <c r="P108" s="316"/>
      <c r="Q108" s="316"/>
      <c r="R108" s="316"/>
      <c r="S108" s="440"/>
    </row>
    <row r="109" spans="1:19" x14ac:dyDescent="0.2">
      <c r="A109" s="440"/>
      <c r="B109" s="316"/>
      <c r="C109" s="316"/>
      <c r="D109" s="316"/>
      <c r="E109" s="316"/>
      <c r="F109" s="316"/>
      <c r="G109" s="316"/>
      <c r="H109" s="316"/>
      <c r="I109" s="316"/>
      <c r="J109" s="316"/>
      <c r="K109" s="319" t="s">
        <v>93</v>
      </c>
      <c r="L109" s="316"/>
      <c r="M109" s="316"/>
      <c r="N109" s="316"/>
      <c r="O109" s="316"/>
      <c r="P109" s="316"/>
      <c r="Q109" s="316"/>
      <c r="R109" s="316"/>
      <c r="S109" s="440"/>
    </row>
    <row r="110" spans="1:19" ht="15" x14ac:dyDescent="0.2">
      <c r="A110" s="440"/>
      <c r="B110" s="518" t="s">
        <v>409</v>
      </c>
      <c r="C110" s="494"/>
      <c r="D110" s="1618" t="s">
        <v>406</v>
      </c>
      <c r="E110" s="1619"/>
      <c r="F110" s="1620"/>
      <c r="G110" s="316"/>
      <c r="H110" s="316"/>
      <c r="I110" s="316"/>
      <c r="J110" s="316"/>
      <c r="K110" s="1131">
        <f>K112+K113+K114</f>
        <v>0</v>
      </c>
      <c r="L110" s="316"/>
      <c r="M110" s="316"/>
      <c r="N110" s="316"/>
      <c r="O110" s="316"/>
      <c r="P110" s="316"/>
      <c r="Q110" s="316"/>
      <c r="R110" s="316"/>
      <c r="S110" s="440"/>
    </row>
    <row r="111" spans="1:19" ht="15" x14ac:dyDescent="0.2">
      <c r="A111" s="440"/>
      <c r="B111" s="518"/>
      <c r="C111" s="494"/>
      <c r="D111" s="518"/>
      <c r="E111" s="323"/>
      <c r="F111" s="627"/>
      <c r="G111" s="316"/>
      <c r="H111" s="316"/>
      <c r="I111" s="316"/>
      <c r="J111" s="316"/>
      <c r="K111" s="316"/>
      <c r="L111" s="316"/>
      <c r="M111" s="316"/>
      <c r="N111" s="316"/>
      <c r="O111" s="316"/>
      <c r="P111" s="316"/>
      <c r="Q111" s="316"/>
      <c r="R111" s="316"/>
      <c r="S111" s="440"/>
    </row>
    <row r="112" spans="1:19" ht="15" x14ac:dyDescent="0.2">
      <c r="A112" s="440"/>
      <c r="B112" s="316"/>
      <c r="C112" s="316"/>
      <c r="D112" s="316"/>
      <c r="E112" s="316"/>
      <c r="F112" s="1612"/>
      <c r="G112" s="1613"/>
      <c r="H112" s="1613"/>
      <c r="I112" s="316"/>
      <c r="J112" s="316"/>
      <c r="K112" s="1132"/>
      <c r="L112" s="316"/>
      <c r="M112" s="316"/>
      <c r="N112" s="316"/>
      <c r="O112" s="316"/>
      <c r="P112" s="316"/>
      <c r="Q112" s="316"/>
      <c r="R112" s="316"/>
      <c r="S112" s="440"/>
    </row>
    <row r="113" spans="1:19" ht="15" x14ac:dyDescent="0.2">
      <c r="A113" s="440"/>
      <c r="B113" s="316"/>
      <c r="C113" s="316"/>
      <c r="D113" s="316"/>
      <c r="E113" s="316"/>
      <c r="F113" s="1612"/>
      <c r="G113" s="1613"/>
      <c r="H113" s="1613"/>
      <c r="I113" s="316"/>
      <c r="J113" s="316"/>
      <c r="K113" s="1132"/>
      <c r="L113" s="316"/>
      <c r="M113" s="316"/>
      <c r="N113" s="316"/>
      <c r="O113" s="316"/>
      <c r="P113" s="316"/>
      <c r="Q113" s="316"/>
      <c r="R113" s="316"/>
      <c r="S113" s="440"/>
    </row>
    <row r="114" spans="1:19" ht="15" x14ac:dyDescent="0.2">
      <c r="A114" s="440"/>
      <c r="B114" s="316"/>
      <c r="C114" s="316"/>
      <c r="D114" s="316"/>
      <c r="E114" s="316"/>
      <c r="F114" s="1612"/>
      <c r="G114" s="1613"/>
      <c r="H114" s="1613"/>
      <c r="I114" s="316"/>
      <c r="J114" s="316"/>
      <c r="K114" s="1132"/>
      <c r="L114" s="316"/>
      <c r="M114" s="316"/>
      <c r="N114" s="316"/>
      <c r="O114" s="316"/>
      <c r="P114" s="316"/>
      <c r="Q114" s="316"/>
      <c r="R114" s="316"/>
      <c r="S114" s="440"/>
    </row>
    <row r="115" spans="1:19" x14ac:dyDescent="0.2">
      <c r="A115" s="440"/>
      <c r="B115" s="324"/>
      <c r="C115" s="324"/>
      <c r="D115" s="324"/>
      <c r="E115" s="324"/>
      <c r="F115" s="324"/>
      <c r="G115" s="324"/>
      <c r="H115" s="324"/>
      <c r="I115" s="324"/>
      <c r="J115" s="324"/>
      <c r="K115" s="324"/>
      <c r="L115" s="324"/>
      <c r="M115" s="324"/>
      <c r="N115" s="324"/>
      <c r="O115" s="324"/>
      <c r="P115" s="324"/>
      <c r="Q115" s="324"/>
      <c r="R115" s="323"/>
      <c r="S115" s="440"/>
    </row>
    <row r="116" spans="1:19" x14ac:dyDescent="0.2">
      <c r="A116" s="440"/>
      <c r="B116" s="440"/>
      <c r="C116" s="440"/>
      <c r="D116" s="329"/>
      <c r="E116" s="329"/>
      <c r="F116" s="329"/>
      <c r="G116" s="329"/>
      <c r="H116" s="329"/>
      <c r="I116" s="329"/>
      <c r="J116" s="329"/>
      <c r="K116" s="329"/>
      <c r="L116" s="329"/>
      <c r="M116" s="329"/>
      <c r="N116" s="329"/>
      <c r="O116" s="329"/>
      <c r="P116" s="329"/>
      <c r="Q116" s="329"/>
      <c r="R116" s="440"/>
      <c r="S116" s="440"/>
    </row>
    <row r="117" spans="1:19" x14ac:dyDescent="0.2">
      <c r="A117" s="440"/>
      <c r="S117" s="440"/>
    </row>
    <row r="118" spans="1:19" x14ac:dyDescent="0.2">
      <c r="A118" s="440"/>
      <c r="S118" s="440"/>
    </row>
    <row r="119" spans="1:19" x14ac:dyDescent="0.2">
      <c r="A119" s="440"/>
      <c r="S119" s="440"/>
    </row>
    <row r="120" spans="1:19" x14ac:dyDescent="0.2">
      <c r="A120" s="440"/>
      <c r="S120" s="440"/>
    </row>
    <row r="121" spans="1:19" x14ac:dyDescent="0.2">
      <c r="A121" s="440"/>
      <c r="S121" s="440"/>
    </row>
    <row r="122" spans="1:19" x14ac:dyDescent="0.2">
      <c r="A122" s="440"/>
      <c r="S122" s="440"/>
    </row>
    <row r="123" spans="1:19" x14ac:dyDescent="0.2">
      <c r="A123" s="440"/>
      <c r="S123" s="440"/>
    </row>
    <row r="124" spans="1:19" x14ac:dyDescent="0.2">
      <c r="A124" s="440"/>
      <c r="S124" s="440"/>
    </row>
    <row r="125" spans="1:19" x14ac:dyDescent="0.2">
      <c r="A125" s="440"/>
      <c r="S125" s="440"/>
    </row>
    <row r="126" spans="1:19" x14ac:dyDescent="0.2">
      <c r="A126" s="440"/>
      <c r="S126" s="440"/>
    </row>
    <row r="127" spans="1:19" x14ac:dyDescent="0.2">
      <c r="A127" s="440"/>
      <c r="S127" s="440"/>
    </row>
    <row r="128" spans="1:19" x14ac:dyDescent="0.2">
      <c r="A128" s="440"/>
      <c r="S128" s="440"/>
    </row>
    <row r="129" spans="1:19" x14ac:dyDescent="0.2">
      <c r="A129" s="440"/>
      <c r="S129" s="440"/>
    </row>
    <row r="130" spans="1:19" x14ac:dyDescent="0.2">
      <c r="A130" s="440"/>
      <c r="S130" s="440"/>
    </row>
    <row r="131" spans="1:19" x14ac:dyDescent="0.2">
      <c r="A131" s="440"/>
      <c r="S131" s="440"/>
    </row>
    <row r="132" spans="1:19" x14ac:dyDescent="0.2">
      <c r="A132" s="440"/>
      <c r="S132" s="440"/>
    </row>
    <row r="133" spans="1:19" x14ac:dyDescent="0.2">
      <c r="A133" s="440"/>
      <c r="S133" s="440"/>
    </row>
    <row r="134" spans="1:19" x14ac:dyDescent="0.2">
      <c r="A134" s="440"/>
      <c r="S134" s="440"/>
    </row>
    <row r="135" spans="1:19" x14ac:dyDescent="0.2">
      <c r="A135" s="440"/>
      <c r="S135" s="440"/>
    </row>
    <row r="136" spans="1:19" x14ac:dyDescent="0.2">
      <c r="A136" s="440"/>
      <c r="S136" s="440"/>
    </row>
    <row r="137" spans="1:19" x14ac:dyDescent="0.2">
      <c r="A137" s="440"/>
      <c r="S137" s="440"/>
    </row>
    <row r="138" spans="1:19" x14ac:dyDescent="0.2">
      <c r="A138" s="440"/>
      <c r="S138" s="440"/>
    </row>
    <row r="139" spans="1:19" x14ac:dyDescent="0.2">
      <c r="A139" s="440"/>
      <c r="S139" s="440"/>
    </row>
    <row r="140" spans="1:19" x14ac:dyDescent="0.2">
      <c r="A140" s="440"/>
      <c r="S140" s="440"/>
    </row>
    <row r="141" spans="1:19" x14ac:dyDescent="0.2">
      <c r="A141" s="440"/>
      <c r="S141" s="440"/>
    </row>
    <row r="142" spans="1:19" x14ac:dyDescent="0.2">
      <c r="A142" s="440"/>
      <c r="S142" s="440"/>
    </row>
    <row r="143" spans="1:19" x14ac:dyDescent="0.2">
      <c r="A143" s="440"/>
      <c r="S143" s="440"/>
    </row>
    <row r="144" spans="1:19" x14ac:dyDescent="0.2">
      <c r="A144" s="440"/>
      <c r="S144" s="440"/>
    </row>
    <row r="145" spans="1:19" x14ac:dyDescent="0.2">
      <c r="A145" s="440"/>
      <c r="S145" s="440"/>
    </row>
    <row r="146" spans="1:19" x14ac:dyDescent="0.2">
      <c r="A146" s="440"/>
      <c r="S146" s="440"/>
    </row>
    <row r="147" spans="1:19" x14ac:dyDescent="0.2">
      <c r="A147" s="440"/>
      <c r="S147" s="440"/>
    </row>
    <row r="148" spans="1:19" x14ac:dyDescent="0.2">
      <c r="A148" s="440"/>
      <c r="S148" s="440"/>
    </row>
    <row r="149" spans="1:19" x14ac:dyDescent="0.2">
      <c r="A149" s="440"/>
      <c r="S149" s="440"/>
    </row>
    <row r="150" spans="1:19" x14ac:dyDescent="0.2">
      <c r="A150" s="440"/>
      <c r="S150" s="440"/>
    </row>
    <row r="151" spans="1:19" x14ac:dyDescent="0.2">
      <c r="A151" s="440"/>
      <c r="S151" s="440"/>
    </row>
    <row r="152" spans="1:19" x14ac:dyDescent="0.2">
      <c r="A152" s="440"/>
      <c r="S152" s="440"/>
    </row>
    <row r="153" spans="1:19" x14ac:dyDescent="0.2">
      <c r="A153" s="440"/>
      <c r="S153" s="440"/>
    </row>
    <row r="154" spans="1:19" x14ac:dyDescent="0.2">
      <c r="A154" s="440"/>
      <c r="S154" s="440"/>
    </row>
    <row r="155" spans="1:19" x14ac:dyDescent="0.2">
      <c r="A155" s="440"/>
      <c r="S155" s="440"/>
    </row>
    <row r="156" spans="1:19" x14ac:dyDescent="0.2">
      <c r="A156" s="440"/>
      <c r="S156" s="440"/>
    </row>
    <row r="157" spans="1:19" ht="11.25" customHeight="1" x14ac:dyDescent="0.2">
      <c r="A157" s="440"/>
      <c r="S157" s="440"/>
    </row>
    <row r="158" spans="1:19" x14ac:dyDescent="0.2">
      <c r="A158" s="440"/>
      <c r="S158" s="440"/>
    </row>
    <row r="159" spans="1:19" x14ac:dyDescent="0.2">
      <c r="A159" s="440"/>
      <c r="S159" s="440"/>
    </row>
    <row r="160" spans="1:19" x14ac:dyDescent="0.2">
      <c r="A160" s="440"/>
      <c r="S160" s="440"/>
    </row>
    <row r="161" spans="1:19" x14ac:dyDescent="0.2">
      <c r="A161" s="440"/>
      <c r="S161" s="440"/>
    </row>
    <row r="162" spans="1:19" x14ac:dyDescent="0.2">
      <c r="A162" s="440"/>
      <c r="S162" s="440"/>
    </row>
    <row r="163" spans="1:19" x14ac:dyDescent="0.2">
      <c r="A163" s="440"/>
      <c r="S163" s="440"/>
    </row>
    <row r="164" spans="1:19" x14ac:dyDescent="0.2">
      <c r="A164" s="440"/>
      <c r="S164" s="440"/>
    </row>
    <row r="165" spans="1:19" x14ac:dyDescent="0.2">
      <c r="A165" s="440"/>
      <c r="S165" s="440"/>
    </row>
    <row r="166" spans="1:19" x14ac:dyDescent="0.2">
      <c r="A166" s="440"/>
      <c r="S166" s="440"/>
    </row>
    <row r="167" spans="1:19" x14ac:dyDescent="0.2">
      <c r="A167" s="440"/>
      <c r="S167" s="440"/>
    </row>
    <row r="168" spans="1:19" x14ac:dyDescent="0.2">
      <c r="A168" s="440"/>
      <c r="S168" s="440"/>
    </row>
    <row r="169" spans="1:19" x14ac:dyDescent="0.2">
      <c r="A169" s="440"/>
      <c r="S169" s="440"/>
    </row>
    <row r="170" spans="1:19" x14ac:dyDescent="0.2">
      <c r="A170" s="440"/>
      <c r="S170" s="440"/>
    </row>
    <row r="171" spans="1:19" x14ac:dyDescent="0.2">
      <c r="A171" s="440"/>
      <c r="S171" s="440"/>
    </row>
    <row r="172" spans="1:19" x14ac:dyDescent="0.2">
      <c r="A172" s="440"/>
      <c r="S172" s="440"/>
    </row>
    <row r="173" spans="1:19" x14ac:dyDescent="0.2">
      <c r="A173" s="440"/>
      <c r="S173" s="440"/>
    </row>
    <row r="174" spans="1:19" x14ac:dyDescent="0.2">
      <c r="A174" s="440"/>
      <c r="S174" s="440"/>
    </row>
    <row r="175" spans="1:19" x14ac:dyDescent="0.2">
      <c r="A175" s="440"/>
      <c r="S175" s="440"/>
    </row>
    <row r="176" spans="1:19" x14ac:dyDescent="0.2">
      <c r="A176" s="440"/>
      <c r="S176" s="440"/>
    </row>
    <row r="177" spans="1:19" x14ac:dyDescent="0.2">
      <c r="A177" s="440"/>
      <c r="S177" s="440"/>
    </row>
    <row r="178" spans="1:19" x14ac:dyDescent="0.2">
      <c r="A178" s="440"/>
      <c r="S178" s="440"/>
    </row>
    <row r="179" spans="1:19" x14ac:dyDescent="0.2">
      <c r="A179" s="440"/>
      <c r="S179" s="440"/>
    </row>
    <row r="180" spans="1:19" x14ac:dyDescent="0.2">
      <c r="A180" s="440"/>
      <c r="S180" s="440"/>
    </row>
    <row r="181" spans="1:19" x14ac:dyDescent="0.2">
      <c r="A181" s="440"/>
      <c r="S181" s="440"/>
    </row>
    <row r="182" spans="1:19" x14ac:dyDescent="0.2">
      <c r="A182" s="440"/>
      <c r="S182" s="440"/>
    </row>
    <row r="183" spans="1:19" x14ac:dyDescent="0.2">
      <c r="A183" s="440"/>
      <c r="S183" s="440"/>
    </row>
    <row r="184" spans="1:19" x14ac:dyDescent="0.2">
      <c r="A184" s="440"/>
      <c r="S184" s="440"/>
    </row>
    <row r="185" spans="1:19" x14ac:dyDescent="0.2">
      <c r="A185" s="440"/>
      <c r="S185" s="440"/>
    </row>
    <row r="186" spans="1:19" x14ac:dyDescent="0.2">
      <c r="A186" s="440"/>
      <c r="S186" s="440"/>
    </row>
    <row r="187" spans="1:19" x14ac:dyDescent="0.2">
      <c r="A187" s="440"/>
      <c r="S187" s="440"/>
    </row>
    <row r="188" spans="1:19" x14ac:dyDescent="0.2">
      <c r="A188" s="440"/>
      <c r="S188" s="440"/>
    </row>
    <row r="189" spans="1:19" x14ac:dyDescent="0.2">
      <c r="A189" s="440"/>
      <c r="S189" s="440"/>
    </row>
    <row r="190" spans="1:19" x14ac:dyDescent="0.2">
      <c r="A190" s="440"/>
      <c r="S190" s="440"/>
    </row>
    <row r="191" spans="1:19" x14ac:dyDescent="0.2">
      <c r="A191" s="440"/>
      <c r="S191" s="440"/>
    </row>
    <row r="192" spans="1:19" x14ac:dyDescent="0.2">
      <c r="A192" s="440"/>
      <c r="S192" s="440"/>
    </row>
    <row r="193" spans="1:19" x14ac:dyDescent="0.2">
      <c r="A193" s="440"/>
      <c r="S193" s="440"/>
    </row>
    <row r="194" spans="1:19" x14ac:dyDescent="0.2">
      <c r="A194" s="440"/>
      <c r="S194" s="440"/>
    </row>
    <row r="195" spans="1:19" x14ac:dyDescent="0.2">
      <c r="A195" s="440"/>
      <c r="S195" s="440"/>
    </row>
    <row r="196" spans="1:19" x14ac:dyDescent="0.2">
      <c r="A196" s="440"/>
      <c r="S196" s="440"/>
    </row>
    <row r="197" spans="1:19" x14ac:dyDescent="0.2">
      <c r="A197" s="440"/>
      <c r="S197" s="440"/>
    </row>
    <row r="198" spans="1:19" x14ac:dyDescent="0.2">
      <c r="A198" s="440"/>
      <c r="S198" s="440"/>
    </row>
    <row r="199" spans="1:19" x14ac:dyDescent="0.2">
      <c r="A199" s="440"/>
      <c r="S199" s="440"/>
    </row>
    <row r="200" spans="1:19" x14ac:dyDescent="0.2">
      <c r="A200" s="440"/>
      <c r="S200" s="440"/>
    </row>
    <row r="201" spans="1:19" x14ac:dyDescent="0.2">
      <c r="A201" s="440"/>
      <c r="S201" s="440"/>
    </row>
    <row r="202" spans="1:19" x14ac:dyDescent="0.2">
      <c r="A202" s="440"/>
      <c r="S202" s="440"/>
    </row>
    <row r="203" spans="1:19" x14ac:dyDescent="0.2">
      <c r="A203" s="440"/>
      <c r="S203" s="440"/>
    </row>
    <row r="204" spans="1:19" x14ac:dyDescent="0.2">
      <c r="A204" s="440"/>
      <c r="S204" s="440"/>
    </row>
    <row r="205" spans="1:19" x14ac:dyDescent="0.2">
      <c r="A205" s="440"/>
      <c r="S205" s="440"/>
    </row>
    <row r="206" spans="1:19" x14ac:dyDescent="0.2">
      <c r="A206" s="440"/>
      <c r="S206" s="440"/>
    </row>
    <row r="207" spans="1:19" x14ac:dyDescent="0.2">
      <c r="A207" s="440"/>
      <c r="S207" s="440"/>
    </row>
    <row r="208" spans="1:19" x14ac:dyDescent="0.2">
      <c r="A208" s="440"/>
      <c r="S208" s="440"/>
    </row>
    <row r="209" spans="1:19" x14ac:dyDescent="0.2">
      <c r="A209" s="440"/>
      <c r="S209" s="440"/>
    </row>
    <row r="210" spans="1:19" x14ac:dyDescent="0.2">
      <c r="A210" s="440"/>
      <c r="S210" s="440"/>
    </row>
    <row r="211" spans="1:19" x14ac:dyDescent="0.2">
      <c r="A211" s="440"/>
      <c r="S211" s="440"/>
    </row>
    <row r="212" spans="1:19" x14ac:dyDescent="0.2">
      <c r="A212" s="440"/>
      <c r="S212" s="440"/>
    </row>
    <row r="213" spans="1:19" x14ac:dyDescent="0.2">
      <c r="A213" s="440"/>
      <c r="S213" s="440"/>
    </row>
    <row r="214" spans="1:19" x14ac:dyDescent="0.2">
      <c r="A214" s="440"/>
      <c r="S214" s="440"/>
    </row>
    <row r="215" spans="1:19" x14ac:dyDescent="0.2">
      <c r="A215" s="440"/>
      <c r="S215" s="440"/>
    </row>
    <row r="216" spans="1:19" x14ac:dyDescent="0.2">
      <c r="A216" s="440"/>
      <c r="S216" s="440"/>
    </row>
    <row r="217" spans="1:19" x14ac:dyDescent="0.2">
      <c r="A217" s="440"/>
      <c r="S217" s="440"/>
    </row>
    <row r="218" spans="1:19" x14ac:dyDescent="0.2">
      <c r="A218" s="440"/>
      <c r="S218" s="440"/>
    </row>
    <row r="219" spans="1:19" x14ac:dyDescent="0.2">
      <c r="A219" s="440"/>
      <c r="S219" s="440"/>
    </row>
    <row r="220" spans="1:19" x14ac:dyDescent="0.2">
      <c r="A220" s="440"/>
      <c r="S220" s="440"/>
    </row>
    <row r="221" spans="1:19" x14ac:dyDescent="0.2">
      <c r="A221" s="440"/>
      <c r="S221" s="440"/>
    </row>
    <row r="222" spans="1:19" x14ac:dyDescent="0.2">
      <c r="A222" s="440"/>
      <c r="S222" s="440"/>
    </row>
    <row r="223" spans="1:19" x14ac:dyDescent="0.2">
      <c r="A223" s="440"/>
      <c r="S223" s="440"/>
    </row>
    <row r="224" spans="1:19" x14ac:dyDescent="0.2">
      <c r="A224" s="440"/>
      <c r="S224" s="440"/>
    </row>
    <row r="225" spans="1:19" x14ac:dyDescent="0.2">
      <c r="A225" s="440"/>
      <c r="S225" s="440"/>
    </row>
    <row r="226" spans="1:19" x14ac:dyDescent="0.2">
      <c r="A226" s="440"/>
      <c r="S226" s="440"/>
    </row>
    <row r="227" spans="1:19" x14ac:dyDescent="0.2">
      <c r="A227" s="440"/>
      <c r="S227" s="440"/>
    </row>
    <row r="228" spans="1:19" x14ac:dyDescent="0.2">
      <c r="A228" s="440"/>
      <c r="S228" s="440"/>
    </row>
    <row r="229" spans="1:19" x14ac:dyDescent="0.2">
      <c r="A229" s="440"/>
      <c r="S229" s="440"/>
    </row>
    <row r="230" spans="1:19" x14ac:dyDescent="0.2">
      <c r="A230" s="440"/>
      <c r="S230" s="440"/>
    </row>
    <row r="231" spans="1:19" x14ac:dyDescent="0.2">
      <c r="A231" s="440"/>
      <c r="S231" s="440"/>
    </row>
    <row r="232" spans="1:19" x14ac:dyDescent="0.2">
      <c r="A232" s="440"/>
      <c r="S232" s="440"/>
    </row>
    <row r="233" spans="1:19" x14ac:dyDescent="0.2">
      <c r="A233" s="440"/>
      <c r="S233" s="440"/>
    </row>
    <row r="234" spans="1:19" x14ac:dyDescent="0.2">
      <c r="A234" s="440"/>
      <c r="S234" s="440"/>
    </row>
    <row r="235" spans="1:19" x14ac:dyDescent="0.2">
      <c r="A235" s="440"/>
      <c r="S235" s="440"/>
    </row>
    <row r="236" spans="1:19" x14ac:dyDescent="0.2">
      <c r="A236" s="440"/>
      <c r="S236" s="440"/>
    </row>
    <row r="237" spans="1:19" x14ac:dyDescent="0.2">
      <c r="A237" s="440"/>
      <c r="S237" s="440"/>
    </row>
    <row r="238" spans="1:19" x14ac:dyDescent="0.2">
      <c r="A238" s="440"/>
      <c r="S238" s="440"/>
    </row>
    <row r="239" spans="1:19" x14ac:dyDescent="0.2">
      <c r="A239" s="440"/>
      <c r="S239" s="440"/>
    </row>
    <row r="240" spans="1:19" x14ac:dyDescent="0.2">
      <c r="A240" s="440"/>
      <c r="S240" s="440"/>
    </row>
    <row r="241" spans="1:19" x14ac:dyDescent="0.2">
      <c r="A241" s="440"/>
      <c r="S241" s="440"/>
    </row>
    <row r="242" spans="1:19" x14ac:dyDescent="0.2">
      <c r="A242" s="440"/>
      <c r="S242" s="440"/>
    </row>
    <row r="243" spans="1:19" x14ac:dyDescent="0.2">
      <c r="A243" s="440"/>
      <c r="S243" s="440"/>
    </row>
    <row r="244" spans="1:19" x14ac:dyDescent="0.2">
      <c r="A244" s="440"/>
      <c r="S244" s="440"/>
    </row>
    <row r="245" spans="1:19" x14ac:dyDescent="0.2">
      <c r="A245" s="440"/>
      <c r="S245" s="440"/>
    </row>
    <row r="246" spans="1:19" x14ac:dyDescent="0.2">
      <c r="A246" s="440"/>
      <c r="S246" s="440"/>
    </row>
    <row r="247" spans="1:19" x14ac:dyDescent="0.2">
      <c r="A247" s="440"/>
      <c r="S247" s="440"/>
    </row>
    <row r="248" spans="1:19" x14ac:dyDescent="0.2">
      <c r="A248" s="440"/>
      <c r="S248" s="440"/>
    </row>
    <row r="249" spans="1:19" x14ac:dyDescent="0.2">
      <c r="A249" s="440"/>
      <c r="S249" s="440"/>
    </row>
    <row r="250" spans="1:19" x14ac:dyDescent="0.2">
      <c r="A250" s="440"/>
      <c r="S250" s="440"/>
    </row>
    <row r="251" spans="1:19" x14ac:dyDescent="0.2">
      <c r="A251" s="440"/>
      <c r="S251" s="440"/>
    </row>
    <row r="252" spans="1:19" x14ac:dyDescent="0.2">
      <c r="A252" s="440"/>
      <c r="S252" s="440"/>
    </row>
    <row r="253" spans="1:19" x14ac:dyDescent="0.2">
      <c r="A253" s="440"/>
      <c r="S253" s="440"/>
    </row>
    <row r="254" spans="1:19" x14ac:dyDescent="0.2">
      <c r="A254" s="440"/>
      <c r="S254" s="440"/>
    </row>
    <row r="255" spans="1:19" x14ac:dyDescent="0.2">
      <c r="A255" s="440"/>
      <c r="S255" s="440"/>
    </row>
    <row r="256" spans="1:19" x14ac:dyDescent="0.2">
      <c r="A256" s="440"/>
      <c r="S256" s="440"/>
    </row>
    <row r="257" spans="1:19" x14ac:dyDescent="0.2">
      <c r="A257" s="440"/>
      <c r="S257" s="440"/>
    </row>
    <row r="258" spans="1:19" x14ac:dyDescent="0.2">
      <c r="A258" s="440"/>
      <c r="S258" s="440"/>
    </row>
    <row r="259" spans="1:19" x14ac:dyDescent="0.2">
      <c r="A259" s="440"/>
      <c r="S259" s="440"/>
    </row>
    <row r="260" spans="1:19" x14ac:dyDescent="0.2">
      <c r="A260" s="440"/>
      <c r="S260" s="440"/>
    </row>
    <row r="261" spans="1:19" x14ac:dyDescent="0.2">
      <c r="A261" s="440"/>
      <c r="S261" s="440"/>
    </row>
    <row r="350" spans="3:3" x14ac:dyDescent="0.2">
      <c r="C350" s="634" t="s">
        <v>248</v>
      </c>
    </row>
    <row r="351" spans="3:3" x14ac:dyDescent="0.2">
      <c r="C351" s="634">
        <v>0</v>
      </c>
    </row>
    <row r="352" spans="3:3" x14ac:dyDescent="0.2">
      <c r="C352" s="634">
        <v>1</v>
      </c>
    </row>
    <row r="353" spans="3:3" x14ac:dyDescent="0.2">
      <c r="C353" s="634">
        <v>2</v>
      </c>
    </row>
    <row r="354" spans="3:3" x14ac:dyDescent="0.2">
      <c r="C354" s="634">
        <v>3</v>
      </c>
    </row>
    <row r="355" spans="3:3" x14ac:dyDescent="0.2">
      <c r="C355" s="634">
        <v>4</v>
      </c>
    </row>
    <row r="356" spans="3:3" x14ac:dyDescent="0.2">
      <c r="C356" s="634">
        <v>5</v>
      </c>
    </row>
    <row r="357" spans="3:3" x14ac:dyDescent="0.2">
      <c r="C357" s="634">
        <v>6</v>
      </c>
    </row>
    <row r="358" spans="3:3" x14ac:dyDescent="0.2">
      <c r="C358" s="634">
        <v>7</v>
      </c>
    </row>
    <row r="359" spans="3:3" x14ac:dyDescent="0.2">
      <c r="C359" s="634">
        <v>8</v>
      </c>
    </row>
    <row r="360" spans="3:3" x14ac:dyDescent="0.2">
      <c r="C360" s="634">
        <v>9</v>
      </c>
    </row>
    <row r="361" spans="3:3" x14ac:dyDescent="0.2">
      <c r="C361" s="634">
        <v>10</v>
      </c>
    </row>
    <row r="362" spans="3:3" x14ac:dyDescent="0.2">
      <c r="C362" s="634">
        <v>11</v>
      </c>
    </row>
    <row r="363" spans="3:3" x14ac:dyDescent="0.2">
      <c r="C363" s="634">
        <v>12</v>
      </c>
    </row>
    <row r="364" spans="3:3" x14ac:dyDescent="0.2">
      <c r="C364" s="634">
        <v>13</v>
      </c>
    </row>
    <row r="365" spans="3:3" x14ac:dyDescent="0.2">
      <c r="C365" s="634">
        <v>14</v>
      </c>
    </row>
    <row r="366" spans="3:3" x14ac:dyDescent="0.2">
      <c r="C366" s="634">
        <v>15</v>
      </c>
    </row>
    <row r="367" spans="3:3" x14ac:dyDescent="0.2">
      <c r="C367" s="634">
        <v>16</v>
      </c>
    </row>
    <row r="368" spans="3:3" x14ac:dyDescent="0.2">
      <c r="C368" s="634">
        <v>17</v>
      </c>
    </row>
    <row r="369" spans="3:3" x14ac:dyDescent="0.2">
      <c r="C369" s="634">
        <v>18</v>
      </c>
    </row>
    <row r="370" spans="3:3" x14ac:dyDescent="0.2">
      <c r="C370" s="634">
        <v>19</v>
      </c>
    </row>
    <row r="371" spans="3:3" x14ac:dyDescent="0.2">
      <c r="C371" s="634">
        <v>20</v>
      </c>
    </row>
    <row r="372" spans="3:3" x14ac:dyDescent="0.2">
      <c r="C372" s="634">
        <v>21</v>
      </c>
    </row>
    <row r="373" spans="3:3" x14ac:dyDescent="0.2">
      <c r="C373" s="634">
        <v>22</v>
      </c>
    </row>
    <row r="374" spans="3:3" x14ac:dyDescent="0.2">
      <c r="C374" s="634">
        <v>23</v>
      </c>
    </row>
    <row r="375" spans="3:3" x14ac:dyDescent="0.2">
      <c r="C375" s="634">
        <v>24</v>
      </c>
    </row>
    <row r="376" spans="3:3" x14ac:dyDescent="0.2">
      <c r="C376" s="634">
        <v>25</v>
      </c>
    </row>
    <row r="377" spans="3:3" x14ac:dyDescent="0.2">
      <c r="C377" s="634">
        <v>26</v>
      </c>
    </row>
    <row r="378" spans="3:3" x14ac:dyDescent="0.2">
      <c r="C378" s="634">
        <v>27</v>
      </c>
    </row>
    <row r="379" spans="3:3" x14ac:dyDescent="0.2">
      <c r="C379" s="634">
        <v>28</v>
      </c>
    </row>
    <row r="380" spans="3:3" x14ac:dyDescent="0.2">
      <c r="C380" s="634">
        <v>29</v>
      </c>
    </row>
    <row r="381" spans="3:3" x14ac:dyDescent="0.2">
      <c r="C381" s="634">
        <v>30</v>
      </c>
    </row>
    <row r="382" spans="3:3" x14ac:dyDescent="0.2">
      <c r="C382" s="634">
        <v>31</v>
      </c>
    </row>
    <row r="383" spans="3:3" x14ac:dyDescent="0.2">
      <c r="C383" s="634">
        <v>32</v>
      </c>
    </row>
    <row r="384" spans="3:3" x14ac:dyDescent="0.2">
      <c r="C384" s="634">
        <v>33</v>
      </c>
    </row>
    <row r="385" spans="3:3" x14ac:dyDescent="0.2">
      <c r="C385" s="634">
        <v>34</v>
      </c>
    </row>
    <row r="386" spans="3:3" x14ac:dyDescent="0.2">
      <c r="C386" s="634">
        <v>35</v>
      </c>
    </row>
    <row r="387" spans="3:3" x14ac:dyDescent="0.2">
      <c r="C387" s="634">
        <v>36</v>
      </c>
    </row>
    <row r="388" spans="3:3" x14ac:dyDescent="0.2">
      <c r="C388" s="634">
        <v>37</v>
      </c>
    </row>
    <row r="389" spans="3:3" x14ac:dyDescent="0.2">
      <c r="C389" s="634">
        <v>38</v>
      </c>
    </row>
    <row r="390" spans="3:3" x14ac:dyDescent="0.2">
      <c r="C390" s="634">
        <v>39</v>
      </c>
    </row>
    <row r="391" spans="3:3" x14ac:dyDescent="0.2">
      <c r="C391" s="634">
        <v>40</v>
      </c>
    </row>
    <row r="392" spans="3:3" x14ac:dyDescent="0.2">
      <c r="C392" s="634">
        <v>41</v>
      </c>
    </row>
    <row r="393" spans="3:3" x14ac:dyDescent="0.2">
      <c r="C393" s="634">
        <v>42</v>
      </c>
    </row>
    <row r="394" spans="3:3" x14ac:dyDescent="0.2">
      <c r="C394" s="634">
        <v>43</v>
      </c>
    </row>
    <row r="395" spans="3:3" x14ac:dyDescent="0.2">
      <c r="C395" s="634">
        <v>44</v>
      </c>
    </row>
    <row r="396" spans="3:3" x14ac:dyDescent="0.2">
      <c r="C396" s="634">
        <v>45</v>
      </c>
    </row>
    <row r="397" spans="3:3" x14ac:dyDescent="0.2">
      <c r="C397" s="634">
        <v>46</v>
      </c>
    </row>
    <row r="398" spans="3:3" x14ac:dyDescent="0.2">
      <c r="C398" s="634">
        <v>47</v>
      </c>
    </row>
    <row r="399" spans="3:3" x14ac:dyDescent="0.2">
      <c r="C399" s="634">
        <v>48</v>
      </c>
    </row>
    <row r="400" spans="3:3" x14ac:dyDescent="0.2">
      <c r="C400" s="634">
        <v>49</v>
      </c>
    </row>
    <row r="401" spans="3:3" x14ac:dyDescent="0.2">
      <c r="C401" s="634">
        <v>50</v>
      </c>
    </row>
  </sheetData>
  <sheetProtection sheet="1" objects="1" scenarios="1" selectLockedCells="1"/>
  <dataConsolidate/>
  <mergeCells count="23">
    <mergeCell ref="B1:R1"/>
    <mergeCell ref="F85:G85"/>
    <mergeCell ref="D61:F61"/>
    <mergeCell ref="D46:F46"/>
    <mergeCell ref="D47:G47"/>
    <mergeCell ref="D99:F99"/>
    <mergeCell ref="F100:H100"/>
    <mergeCell ref="D48:G48"/>
    <mergeCell ref="D56:G56"/>
    <mergeCell ref="D60:F60"/>
    <mergeCell ref="D94:G94"/>
    <mergeCell ref="D89:G89"/>
    <mergeCell ref="D93:G93"/>
    <mergeCell ref="D95:G95"/>
    <mergeCell ref="D96:G96"/>
    <mergeCell ref="F114:H114"/>
    <mergeCell ref="F106:H106"/>
    <mergeCell ref="D103:G103"/>
    <mergeCell ref="F104:H104"/>
    <mergeCell ref="F105:H105"/>
    <mergeCell ref="D110:F110"/>
    <mergeCell ref="F112:H112"/>
    <mergeCell ref="F113:H113"/>
  </mergeCells>
  <dataValidations count="5">
    <dataValidation type="custom" allowBlank="1" showInputMessage="1" showErrorMessage="1" errorTitle="Zu hoher Anteil" error="Anteil für Zinsbegünstigtern Kredit übersteigt Fremdkapitaleinsatz!!!" sqref="G19">
      <formula1>H19&lt;=1</formula1>
    </dataValidation>
    <dataValidation type="whole" operator="lessThanOrEqual" allowBlank="1" showInputMessage="1" showErrorMessage="1" errorTitle="Bereichsfehler" error="Zeitraum kann nicht größer als 50 Jahre sein!" sqref="J15">
      <formula1>50</formula1>
    </dataValidation>
    <dataValidation type="custom" allowBlank="1" showInputMessage="1" showErrorMessage="1" errorTitle="Fehler in der Eingabe" error="Nachfolgender Wert muss größer als vorheriger sein!!!" sqref="F40">
      <formula1>F40&gt;F37</formula1>
    </dataValidation>
    <dataValidation type="custom" allowBlank="1" showInputMessage="1" showErrorMessage="1" errorTitle="Fehler in der Eingabe" error="Nachfolgender Wert muss größer als vorheriger sein!!!" sqref="F35:F38">
      <formula1>F35&gt;F34</formula1>
    </dataValidation>
    <dataValidation type="custom" allowBlank="1" showInputMessage="1" showErrorMessage="1" errorTitle="Fehler in der Eingabe" error="Nachfolgender Wert muss größer als vorheriger sein!!!" sqref="F39">
      <formula1>F39&gt;F37</formula1>
    </dataValidation>
  </dataValidations>
  <pageMargins left="0.7" right="0.7" top="0.78740157499999996" bottom="0.78740157499999996"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7" id="{02956A79-EEDB-4AF8-91ED-4B92395D196B}">
            <xm:f>OR('1. Projektangaben'!$P$60="x",'1. Projektangaben'!$P$60="X")</xm:f>
            <x14:dxf>
              <font>
                <color theme="0" tint="-0.14996795556505021"/>
              </font>
              <fill>
                <patternFill>
                  <bgColor theme="0" tint="-0.14996795556505021"/>
                </patternFill>
              </fill>
              <border>
                <left/>
                <right/>
                <top/>
                <bottom/>
                <vertical/>
                <horizontal/>
              </border>
            </x14:dxf>
          </x14:cfRule>
          <xm:sqref>B11:R13 B24:R42 Q14:R23 B14:L23</xm:sqref>
        </x14:conditionalFormatting>
        <x14:conditionalFormatting xmlns:xm="http://schemas.microsoft.com/office/excel/2006/main">
          <x14:cfRule type="expression" priority="2" id="{5B8AFE11-366F-484A-A918-4402A0154322}">
            <xm:f>OR('1. Projektangaben'!$P$60="",'1. Projektangaben'!$P$60="0")</xm:f>
            <x14:dxf>
              <font>
                <color theme="0" tint="-0.14996795556505021"/>
              </font>
            </x14:dxf>
          </x14:cfRule>
          <x14:cfRule type="expression" priority="3" id="{E571C4B8-D38A-4A0B-AF60-4F6B8E5A5A5E}">
            <xm:f>OR('1. Projektangaben'!$P$60="x",'1. Projektangaben'!$P$60="X")</xm:f>
            <x14:dxf>
              <font>
                <color rgb="FFDA0000"/>
              </font>
            </x14:dxf>
          </x14:cfRule>
          <xm:sqref>D21:K21</xm:sqref>
        </x14:conditionalFormatting>
        <x14:conditionalFormatting xmlns:xm="http://schemas.microsoft.com/office/excel/2006/main">
          <x14:cfRule type="expression" priority="1" id="{BC432E14-D0E7-4F51-AE26-DBD14ADC6E1B}">
            <xm:f>OR('1. Projektangaben'!$P$60="x",'1. Projektangaben'!$P$60="X")</xm:f>
            <x14:dxf>
              <font>
                <color theme="0" tint="-0.14996795556505021"/>
              </font>
              <fill>
                <patternFill>
                  <bgColor theme="0" tint="-0.14996795556505021"/>
                </patternFill>
              </fill>
              <border>
                <left/>
                <right/>
                <top/>
                <bottom/>
                <vertical/>
                <horizontal/>
              </border>
            </x14:dxf>
          </x14:cfRule>
          <xm:sqref>M14:P23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6">
    <tabColor rgb="FF00B0F0"/>
    <outlinePr summaryBelow="0" summaryRight="0"/>
    <pageSetUpPr fitToPage="1"/>
  </sheetPr>
  <dimension ref="A1:BN622"/>
  <sheetViews>
    <sheetView showGridLines="0" showRowColHeaders="0" showZeros="0" zoomScaleNormal="100" workbookViewId="0">
      <pane ySplit="20" topLeftCell="A21" activePane="bottomLeft" state="frozen"/>
      <selection activeCell="I16" sqref="I16"/>
      <selection pane="bottomLeft" activeCell="M13" sqref="M13:O13"/>
    </sheetView>
  </sheetViews>
  <sheetFormatPr baseColWidth="10" defaultRowHeight="15" x14ac:dyDescent="0.25"/>
  <cols>
    <col min="1" max="1" width="4.28515625" style="460" customWidth="1"/>
    <col min="2" max="2" width="2.42578125" style="566" customWidth="1"/>
    <col min="3" max="3" width="3" style="460" customWidth="1"/>
    <col min="4" max="4" width="7.140625" style="460" customWidth="1"/>
    <col min="5" max="5" width="3" style="460" customWidth="1"/>
    <col min="6" max="6" width="6.42578125" style="460" customWidth="1"/>
    <col min="7" max="7" width="5.85546875" style="460" customWidth="1"/>
    <col min="8" max="9" width="8.28515625" style="460" customWidth="1"/>
    <col min="10" max="10" width="5" style="460" customWidth="1"/>
    <col min="11" max="11" width="5.5703125" style="567" customWidth="1"/>
    <col min="12" max="12" width="1.85546875" style="568" customWidth="1"/>
    <col min="13" max="13" width="6.42578125" style="460" customWidth="1"/>
    <col min="14" max="14" width="4.42578125" style="568" customWidth="1"/>
    <col min="15" max="15" width="11.85546875" style="460" customWidth="1"/>
    <col min="16" max="16" width="6.140625" style="460" customWidth="1"/>
    <col min="17" max="17" width="12.85546875" style="569" customWidth="1"/>
    <col min="18" max="18" width="5.28515625" style="460" customWidth="1"/>
    <col min="19" max="19" width="10.5703125" style="460" customWidth="1"/>
    <col min="20" max="20" width="5.42578125" style="460" customWidth="1"/>
    <col min="21" max="21" width="6" style="569" customWidth="1"/>
    <col min="22" max="22" width="8.42578125" style="460" customWidth="1"/>
    <col min="23" max="23" width="5" style="460" customWidth="1"/>
    <col min="24" max="24" width="6" style="460" customWidth="1"/>
    <col min="25" max="25" width="7.5703125" style="570" customWidth="1"/>
    <col min="26" max="26" width="4.42578125" style="567" customWidth="1"/>
    <col min="27" max="27" width="5.5703125" style="460" customWidth="1"/>
    <col min="28" max="28" width="8.28515625" style="460" customWidth="1"/>
    <col min="29" max="29" width="5" style="460" customWidth="1"/>
    <col min="30" max="30" width="6" style="395" customWidth="1"/>
    <col min="31" max="31" width="7.5703125" style="460" customWidth="1"/>
    <col min="32" max="32" width="2.7109375" style="460" customWidth="1"/>
    <col min="33" max="33" width="4.85546875" style="460" customWidth="1"/>
    <col min="34" max="34" width="2.7109375" style="460" customWidth="1"/>
    <col min="35" max="35" width="5.28515625" style="460" customWidth="1"/>
    <col min="36" max="36" width="2.7109375" style="460" customWidth="1"/>
    <col min="37" max="37" width="4.28515625" style="460" customWidth="1"/>
    <col min="38" max="38" width="6.140625" style="460" hidden="1" customWidth="1"/>
    <col min="39" max="39" width="8.42578125" style="460" hidden="1" customWidth="1"/>
    <col min="40" max="41" width="8.5703125" style="460" hidden="1" customWidth="1"/>
    <col min="42" max="42" width="7.140625" style="460" hidden="1" customWidth="1"/>
    <col min="43" max="43" width="6.7109375" style="460" hidden="1" customWidth="1"/>
    <col min="44" max="44" width="2.7109375" style="460" hidden="1" customWidth="1"/>
    <col min="45" max="45" width="7.140625" style="460" hidden="1" customWidth="1"/>
    <col min="46" max="46" width="7.5703125" style="460" hidden="1" customWidth="1"/>
    <col min="47" max="47" width="3.140625" style="460" hidden="1" customWidth="1"/>
    <col min="48" max="48" width="5.5703125" style="460" hidden="1" customWidth="1"/>
    <col min="49" max="49" width="8.42578125" style="460" hidden="1" customWidth="1"/>
    <col min="50" max="54" width="5.28515625" style="460" hidden="1" customWidth="1"/>
    <col min="55" max="55" width="11.42578125" style="460" customWidth="1"/>
    <col min="56" max="16384" width="11.42578125" style="460"/>
  </cols>
  <sheetData>
    <row r="1" spans="1:66" ht="24.95" customHeight="1" x14ac:dyDescent="0.2">
      <c r="A1" s="459"/>
      <c r="B1" s="1609" t="str">
        <f>"Eingabe: Investitions- und Wartungskosten - Variante: "&amp;'1. Projektangaben'!C24&amp;" "&amp;LISTEN!E38&amp;""</f>
        <v xml:space="preserve">Eingabe: Investitions- und Wartungskosten - Variante: PH-WDVS-WP-Abl-ohne Sol_PV </v>
      </c>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459"/>
    </row>
    <row r="2" spans="1:66" s="327" customFormat="1" ht="50.1" customHeight="1" x14ac:dyDescent="0.2">
      <c r="A2" s="440"/>
      <c r="B2" s="1164"/>
      <c r="C2" s="1165"/>
      <c r="D2" s="1165"/>
      <c r="E2" s="1165"/>
      <c r="F2" s="1165"/>
      <c r="G2" s="1165"/>
      <c r="H2" s="1165"/>
      <c r="I2" s="1165"/>
      <c r="J2" s="1165"/>
      <c r="K2" s="1165"/>
      <c r="L2" s="1165"/>
      <c r="M2" s="1165"/>
      <c r="N2" s="1165"/>
      <c r="O2" s="1165"/>
      <c r="P2" s="1165"/>
      <c r="Q2" s="1165"/>
      <c r="R2" s="1165"/>
      <c r="S2" s="1165"/>
      <c r="T2" s="1165"/>
      <c r="U2" s="440"/>
      <c r="V2" s="440"/>
      <c r="W2" s="440"/>
      <c r="X2" s="440"/>
      <c r="Y2" s="440"/>
      <c r="Z2" s="440"/>
      <c r="AA2" s="440"/>
      <c r="AB2" s="440"/>
      <c r="AC2" s="440"/>
      <c r="AD2" s="440"/>
      <c r="AE2" s="440"/>
      <c r="AF2" s="440"/>
      <c r="AG2" s="440"/>
      <c r="AH2" s="440"/>
      <c r="AI2" s="440"/>
      <c r="AJ2" s="440"/>
      <c r="AK2" s="440"/>
    </row>
    <row r="3" spans="1:66" ht="12.95" customHeight="1" x14ac:dyDescent="0.2">
      <c r="A3" s="440"/>
      <c r="B3" s="759" t="s">
        <v>105</v>
      </c>
      <c r="C3" s="380"/>
      <c r="D3" s="380"/>
      <c r="E3" s="380"/>
      <c r="F3" s="380"/>
      <c r="G3" s="380"/>
      <c r="H3" s="380"/>
      <c r="I3" s="380"/>
      <c r="J3" s="380"/>
      <c r="K3" s="463"/>
      <c r="L3" s="463"/>
      <c r="M3" s="380"/>
      <c r="N3" s="463"/>
      <c r="O3" s="380"/>
      <c r="P3" s="380"/>
      <c r="Q3" s="380"/>
      <c r="R3" s="380"/>
      <c r="S3" s="380"/>
      <c r="T3" s="380"/>
      <c r="U3" s="380"/>
      <c r="V3" s="380"/>
      <c r="W3" s="380"/>
      <c r="X3" s="380"/>
      <c r="Y3" s="380"/>
      <c r="Z3" s="380"/>
      <c r="AA3" s="380"/>
      <c r="AB3" s="380"/>
      <c r="AC3" s="380"/>
      <c r="AD3" s="464"/>
      <c r="AE3" s="464"/>
      <c r="AF3" s="464"/>
      <c r="AG3" s="464"/>
      <c r="AH3" s="464"/>
      <c r="AI3" s="464"/>
      <c r="AJ3" s="464"/>
      <c r="AK3" s="440"/>
    </row>
    <row r="4" spans="1:66" ht="12.95" customHeight="1" x14ac:dyDescent="0.25">
      <c r="A4" s="440"/>
      <c r="B4" s="628"/>
      <c r="C4" s="511"/>
      <c r="D4" s="511"/>
      <c r="E4" s="380"/>
      <c r="F4" s="380"/>
      <c r="G4" s="437" t="str">
        <f>'1. Projektangaben'!$B$4</f>
        <v>Bauvorhaben</v>
      </c>
      <c r="H4" s="404" t="str">
        <f>IF('1. Projektangaben'!$C$4="","",'1. Projektangaben'!$C$4)</f>
        <v>KliNaWo</v>
      </c>
      <c r="I4" s="405"/>
      <c r="J4" s="405"/>
      <c r="K4" s="405"/>
      <c r="L4" s="466"/>
      <c r="M4" s="467"/>
      <c r="N4" s="463"/>
      <c r="O4" s="437" t="str">
        <f>'1. Projektangaben'!$H$4</f>
        <v>Architekt</v>
      </c>
      <c r="P4" s="404" t="str">
        <f>IF('1. Projektangaben'!$I$4="","",'1. Projektangaben'!$I$4)</f>
        <v>Walser und Werle Architekten</v>
      </c>
      <c r="Q4" s="412"/>
      <c r="R4" s="422"/>
      <c r="S4" s="575"/>
      <c r="T4" s="380"/>
      <c r="U4" s="380"/>
      <c r="V4" s="380"/>
      <c r="W4" s="380"/>
      <c r="X4" s="380"/>
      <c r="Y4" s="380"/>
      <c r="Z4" s="380"/>
      <c r="AA4" s="380"/>
      <c r="AB4" s="380"/>
      <c r="AC4" s="380"/>
      <c r="AD4" s="464"/>
      <c r="AE4" s="464"/>
      <c r="AF4" s="464"/>
      <c r="AG4" s="464"/>
      <c r="AH4" s="464"/>
      <c r="AI4" s="464"/>
      <c r="AJ4" s="464"/>
      <c r="AK4" s="440"/>
    </row>
    <row r="5" spans="1:66" ht="12.95" customHeight="1" x14ac:dyDescent="0.25">
      <c r="A5" s="440"/>
      <c r="B5" s="628"/>
      <c r="C5" s="511"/>
      <c r="D5" s="511"/>
      <c r="E5" s="380"/>
      <c r="F5" s="380"/>
      <c r="G5" s="437" t="str">
        <f>'1. Projektangaben'!$B$5</f>
        <v>Bauherr</v>
      </c>
      <c r="H5" s="408" t="str">
        <f>IF('1. Projektangaben'!$C$5="","",'1. Projektangaben'!$C$5)</f>
        <v>privater Bauträger</v>
      </c>
      <c r="I5" s="444"/>
      <c r="J5" s="444"/>
      <c r="K5" s="405"/>
      <c r="L5" s="466"/>
      <c r="M5" s="467"/>
      <c r="N5" s="463"/>
      <c r="O5" s="437" t="str">
        <f>'1. Projektangaben'!$H$5</f>
        <v>Baujahr</v>
      </c>
      <c r="P5" s="450">
        <f>IF('1. Projektangaben'!$I$5="","",'1. Projektangaben'!$I$5)</f>
        <v>2017</v>
      </c>
      <c r="Q5" s="328"/>
      <c r="R5" s="380"/>
      <c r="S5" s="380"/>
      <c r="T5" s="380"/>
      <c r="U5" s="380"/>
      <c r="V5" s="380"/>
      <c r="W5" s="380"/>
      <c r="X5" s="380"/>
      <c r="Y5" s="380"/>
      <c r="Z5" s="380"/>
      <c r="AA5" s="380"/>
      <c r="AB5" s="380"/>
      <c r="AC5" s="380"/>
      <c r="AD5" s="464"/>
      <c r="AE5" s="464"/>
      <c r="AF5" s="464"/>
      <c r="AG5" s="464"/>
      <c r="AH5" s="464"/>
      <c r="AI5" s="464"/>
      <c r="AJ5" s="464"/>
      <c r="AK5" s="440"/>
    </row>
    <row r="6" spans="1:66" ht="12.95" customHeight="1" x14ac:dyDescent="0.25">
      <c r="A6" s="440"/>
      <c r="B6" s="628"/>
      <c r="C6" s="511"/>
      <c r="D6" s="511"/>
      <c r="E6" s="380"/>
      <c r="F6" s="380"/>
      <c r="G6" s="437" t="str">
        <f>'1. Projektangaben'!$B$6</f>
        <v>Adresse, Ort</v>
      </c>
      <c r="H6" s="404" t="str">
        <f>IF('1. Projektangaben'!$C$6="","",'1. Projektangaben'!$C$6)</f>
        <v>Siedlungsstrasse, Feldkirch</v>
      </c>
      <c r="I6" s="442"/>
      <c r="J6" s="468"/>
      <c r="K6" s="405"/>
      <c r="L6" s="466"/>
      <c r="M6" s="467"/>
      <c r="N6" s="463"/>
      <c r="O6" s="437" t="str">
        <f>'1. Projektangaben'!$H$6</f>
        <v>Personen</v>
      </c>
      <c r="P6" s="450">
        <f>IF('1. Projektangaben'!$I$6="","",'1. Projektangaben'!$I$6)</f>
        <v>54</v>
      </c>
      <c r="Q6" s="328"/>
      <c r="R6" s="380"/>
      <c r="S6" s="380"/>
      <c r="T6" s="380"/>
      <c r="U6" s="380"/>
      <c r="V6" s="380"/>
      <c r="W6" s="380"/>
      <c r="X6" s="380"/>
      <c r="Y6" s="380"/>
      <c r="Z6" s="380"/>
      <c r="AA6" s="380"/>
      <c r="AB6" s="380"/>
      <c r="AC6" s="380"/>
      <c r="AD6" s="464"/>
      <c r="AE6" s="464"/>
      <c r="AF6" s="464"/>
      <c r="AG6" s="464"/>
      <c r="AH6" s="464"/>
      <c r="AI6" s="464"/>
      <c r="AJ6" s="464"/>
      <c r="AK6" s="440"/>
    </row>
    <row r="7" spans="1:66" ht="12.95" customHeight="1" x14ac:dyDescent="0.25">
      <c r="A7" s="440"/>
      <c r="B7" s="628"/>
      <c r="C7" s="511"/>
      <c r="D7" s="511"/>
      <c r="E7" s="380"/>
      <c r="F7" s="380"/>
      <c r="G7" s="437" t="str">
        <f>'1. Projektangaben'!$B$7</f>
        <v>Gebäudetyp</v>
      </c>
      <c r="H7" s="404" t="str">
        <f>IF('1. Projektangaben'!$C$7="","",'1. Projektangaben'!$C$7)</f>
        <v>Mehrfamilienhaus</v>
      </c>
      <c r="I7" s="412"/>
      <c r="J7" s="404" t="str">
        <f>'1. Projektangaben'!$E$7</f>
        <v>18+1 WE</v>
      </c>
      <c r="K7" s="411"/>
      <c r="L7" s="466"/>
      <c r="M7" s="467"/>
      <c r="N7" s="463"/>
      <c r="O7" s="437" t="str">
        <f>'1. Projektangaben'!$H$7</f>
        <v>Anmerkung</v>
      </c>
      <c r="P7" s="404" t="str">
        <f>IF('1. Projektangaben'!$I$7="","",'1. Projektangaben'!$I$7)</f>
        <v>Beispiele verschiedener Varianten</v>
      </c>
      <c r="Q7" s="422"/>
      <c r="R7" s="422"/>
      <c r="S7" s="575"/>
      <c r="T7" s="380"/>
      <c r="U7" s="380"/>
      <c r="V7" s="380"/>
      <c r="W7" s="380"/>
      <c r="X7" s="380"/>
      <c r="Y7" s="380"/>
      <c r="Z7" s="380"/>
      <c r="AA7" s="380"/>
      <c r="AB7" s="380"/>
      <c r="AC7" s="380"/>
      <c r="AD7" s="464"/>
      <c r="AE7" s="464"/>
      <c r="AF7" s="464"/>
      <c r="AG7" s="464"/>
      <c r="AH7" s="464"/>
      <c r="AI7" s="464"/>
      <c r="AJ7" s="464"/>
      <c r="AK7" s="440"/>
    </row>
    <row r="8" spans="1:66" s="327" customFormat="1" ht="12.95" customHeight="1" x14ac:dyDescent="0.2">
      <c r="A8" s="440"/>
      <c r="B8" s="446"/>
      <c r="C8" s="610"/>
      <c r="D8" s="610"/>
      <c r="E8" s="610"/>
      <c r="F8" s="610"/>
      <c r="G8" s="437" t="s">
        <v>111</v>
      </c>
      <c r="H8" s="635" t="str">
        <f>'1. Projektangaben'!E24</f>
        <v>PH</v>
      </c>
      <c r="I8" s="446"/>
      <c r="J8" s="470"/>
      <c r="K8" s="328"/>
      <c r="L8" s="610"/>
      <c r="M8" s="610"/>
      <c r="N8" s="328"/>
      <c r="O8" s="437" t="str">
        <f>'1. Projektangaben'!G22</f>
        <v>EBF</v>
      </c>
      <c r="P8" s="471">
        <f>'1. Projektangaben'!G24</f>
        <v>1421.2</v>
      </c>
      <c r="Q8" s="628"/>
      <c r="R8" s="610"/>
      <c r="S8" s="628"/>
      <c r="T8" s="610"/>
      <c r="U8" s="628"/>
      <c r="V8" s="610"/>
      <c r="W8" s="610"/>
      <c r="X8" s="610"/>
      <c r="Y8" s="610"/>
      <c r="Z8" s="610"/>
      <c r="AA8" s="610"/>
      <c r="AB8" s="610"/>
      <c r="AC8" s="610"/>
      <c r="AD8" s="472"/>
      <c r="AE8" s="472"/>
      <c r="AF8" s="472"/>
      <c r="AG8" s="472"/>
      <c r="AH8" s="472"/>
      <c r="AI8" s="472"/>
      <c r="AJ8" s="472"/>
      <c r="AK8" s="440"/>
    </row>
    <row r="9" spans="1:66" ht="12.95" customHeight="1" x14ac:dyDescent="0.2">
      <c r="A9" s="440"/>
      <c r="B9" s="628"/>
      <c r="C9" s="380"/>
      <c r="D9" s="380"/>
      <c r="E9" s="380"/>
      <c r="F9" s="380"/>
      <c r="G9" s="380"/>
      <c r="H9" s="380"/>
      <c r="I9" s="380"/>
      <c r="J9" s="380"/>
      <c r="K9" s="463"/>
      <c r="L9" s="463"/>
      <c r="M9" s="380"/>
      <c r="N9" s="463"/>
      <c r="O9" s="380"/>
      <c r="P9" s="380"/>
      <c r="Q9" s="380"/>
      <c r="R9" s="380"/>
      <c r="S9" s="380"/>
      <c r="T9" s="380"/>
      <c r="U9" s="380"/>
      <c r="V9" s="380"/>
      <c r="W9" s="380"/>
      <c r="X9" s="380"/>
      <c r="Y9" s="380"/>
      <c r="Z9" s="380"/>
      <c r="AA9" s="380"/>
      <c r="AB9" s="380"/>
      <c r="AC9" s="380"/>
      <c r="AD9" s="464"/>
      <c r="AE9" s="464"/>
      <c r="AF9" s="464"/>
      <c r="AG9" s="464"/>
      <c r="AH9" s="464"/>
      <c r="AI9" s="464"/>
      <c r="AJ9" s="464"/>
      <c r="AK9" s="440"/>
    </row>
    <row r="10" spans="1:66" ht="12.95" customHeight="1" x14ac:dyDescent="0.2">
      <c r="A10" s="440"/>
      <c r="B10" s="1043"/>
      <c r="C10" s="380"/>
      <c r="D10" s="380"/>
      <c r="E10" s="380"/>
      <c r="F10" s="380"/>
      <c r="G10" s="380"/>
      <c r="H10" s="380"/>
      <c r="I10" s="380"/>
      <c r="J10" s="380"/>
      <c r="K10" s="463"/>
      <c r="L10" s="463"/>
      <c r="M10" s="380"/>
      <c r="N10" s="463"/>
      <c r="O10" s="380"/>
      <c r="P10" s="380"/>
      <c r="Q10" s="380"/>
      <c r="R10" s="380"/>
      <c r="S10" s="380"/>
      <c r="T10" s="380"/>
      <c r="U10" s="380"/>
      <c r="V10" s="380"/>
      <c r="W10" s="380"/>
      <c r="X10" s="380"/>
      <c r="Y10" s="380"/>
      <c r="Z10" s="380"/>
      <c r="AA10" s="380"/>
      <c r="AB10" s="380"/>
      <c r="AC10" s="380"/>
      <c r="AD10" s="464"/>
      <c r="AE10" s="464"/>
      <c r="AF10" s="464"/>
      <c r="AG10" s="464"/>
      <c r="AH10" s="464"/>
      <c r="AI10" s="464"/>
      <c r="AJ10" s="464"/>
      <c r="AK10" s="440"/>
      <c r="AL10" s="569"/>
    </row>
    <row r="11" spans="1:66" s="327" customFormat="1" ht="39.950000000000003" customHeight="1" x14ac:dyDescent="0.2">
      <c r="A11" s="440"/>
      <c r="B11" s="1164"/>
      <c r="C11" s="1165"/>
      <c r="D11" s="1165"/>
      <c r="E11" s="1165"/>
      <c r="F11" s="1165"/>
      <c r="G11" s="1165"/>
      <c r="H11" s="1165"/>
      <c r="I11" s="1165"/>
      <c r="J11" s="1165"/>
      <c r="K11" s="1165"/>
      <c r="L11" s="1165"/>
      <c r="M11" s="1165"/>
      <c r="N11" s="1165"/>
      <c r="O11" s="1165"/>
      <c r="P11" s="1165"/>
      <c r="Q11" s="1165"/>
      <c r="R11" s="1165"/>
      <c r="S11" s="1165"/>
      <c r="T11" s="1165"/>
      <c r="U11" s="440"/>
      <c r="V11" s="440"/>
      <c r="W11" s="440"/>
      <c r="X11" s="440"/>
      <c r="Y11" s="440"/>
      <c r="Z11" s="440"/>
      <c r="AA11" s="440"/>
      <c r="AB11" s="440"/>
      <c r="AC11" s="440"/>
      <c r="AD11" s="440"/>
      <c r="AE11" s="440"/>
      <c r="AF11" s="440"/>
      <c r="AG11" s="440"/>
      <c r="AH11" s="440"/>
      <c r="AI11" s="440"/>
      <c r="AJ11" s="440"/>
      <c r="AK11" s="440"/>
      <c r="AM11" s="327" t="s">
        <v>706</v>
      </c>
    </row>
    <row r="12" spans="1:66" ht="12.95" customHeight="1" x14ac:dyDescent="0.2">
      <c r="A12" s="440"/>
      <c r="B12" s="1043"/>
      <c r="C12" s="380"/>
      <c r="D12" s="380"/>
      <c r="E12" s="380"/>
      <c r="F12" s="380"/>
      <c r="G12" s="380"/>
      <c r="H12" s="380"/>
      <c r="I12" s="380"/>
      <c r="J12" s="380"/>
      <c r="K12" s="463"/>
      <c r="L12" s="463"/>
      <c r="M12" s="380"/>
      <c r="N12" s="463"/>
      <c r="O12" s="380"/>
      <c r="P12" s="380"/>
      <c r="Q12" s="380"/>
      <c r="R12" s="380"/>
      <c r="S12" s="380"/>
      <c r="T12" s="380"/>
      <c r="U12" s="380"/>
      <c r="V12" s="380"/>
      <c r="W12" s="380"/>
      <c r="X12" s="380"/>
      <c r="Y12" s="380"/>
      <c r="Z12" s="380"/>
      <c r="AA12" s="380"/>
      <c r="AB12" s="380"/>
      <c r="AC12" s="380"/>
      <c r="AD12" s="464"/>
      <c r="AE12" s="464"/>
      <c r="AF12" s="464"/>
      <c r="AG12" s="464"/>
      <c r="AH12" s="464"/>
      <c r="AI12" s="464"/>
      <c r="AJ12" s="464"/>
      <c r="AK12" s="440"/>
      <c r="AL12" s="569"/>
      <c r="AM12" s="1066">
        <v>1</v>
      </c>
      <c r="AN12" s="1064" t="s">
        <v>707</v>
      </c>
      <c r="AR12" s="1067"/>
      <c r="AX12" s="1064"/>
      <c r="AZ12" s="1068"/>
      <c r="BA12" s="1068"/>
      <c r="BB12" s="1068"/>
      <c r="BC12" s="1068"/>
      <c r="BH12" s="1064"/>
      <c r="BJ12" s="1068"/>
      <c r="BK12" s="1068"/>
      <c r="BL12" s="1068"/>
      <c r="BM12" s="1068"/>
      <c r="BN12" s="1068"/>
    </row>
    <row r="13" spans="1:66" ht="12.95" customHeight="1" x14ac:dyDescent="0.2">
      <c r="A13" s="440"/>
      <c r="B13" s="1043"/>
      <c r="C13" s="380"/>
      <c r="D13" s="380"/>
      <c r="E13" s="1065" t="s">
        <v>704</v>
      </c>
      <c r="F13" s="380"/>
      <c r="G13" s="380"/>
      <c r="H13" s="380"/>
      <c r="I13" s="380"/>
      <c r="J13" s="380"/>
      <c r="K13" s="463"/>
      <c r="L13" s="463"/>
      <c r="M13" s="1627" t="str">
        <f>VLOOKUP($AL$20,$AM$12:$AR$16,2,FALSE)</f>
        <v>3.1 I&amp;W</v>
      </c>
      <c r="N13" s="1628"/>
      <c r="O13" s="1629"/>
      <c r="P13" s="380"/>
      <c r="Q13" s="380" t="s">
        <v>709</v>
      </c>
      <c r="R13" s="380"/>
      <c r="S13" s="380"/>
      <c r="T13" s="380"/>
      <c r="U13" s="380"/>
      <c r="V13" s="380"/>
      <c r="W13" s="380"/>
      <c r="X13" s="380"/>
      <c r="Y13" s="380"/>
      <c r="Z13" s="380"/>
      <c r="AA13" s="380"/>
      <c r="AB13" s="380"/>
      <c r="AC13" s="380"/>
      <c r="AD13" s="464"/>
      <c r="AE13" s="464"/>
      <c r="AF13" s="464"/>
      <c r="AG13" s="464"/>
      <c r="AH13" s="464"/>
      <c r="AI13" s="464"/>
      <c r="AJ13" s="464"/>
      <c r="AK13" s="440"/>
      <c r="AL13" s="569"/>
      <c r="AM13" s="1066">
        <v>2</v>
      </c>
      <c r="AN13" s="1064" t="s">
        <v>708</v>
      </c>
      <c r="AR13" s="1067"/>
      <c r="AX13" s="1064"/>
      <c r="AZ13" s="1068"/>
      <c r="BA13" s="1068"/>
      <c r="BB13" s="1068"/>
      <c r="BC13" s="1068"/>
      <c r="BH13" s="1064"/>
      <c r="BJ13" s="1068"/>
      <c r="BK13" s="1068"/>
      <c r="BL13" s="1068"/>
      <c r="BM13" s="1068"/>
      <c r="BN13" s="1068"/>
    </row>
    <row r="14" spans="1:66" ht="12.95" customHeight="1" x14ac:dyDescent="0.2">
      <c r="A14" s="440"/>
      <c r="B14" s="1043"/>
      <c r="C14" s="380"/>
      <c r="D14" s="380"/>
      <c r="E14" s="380"/>
      <c r="F14" s="380"/>
      <c r="G14" s="380"/>
      <c r="H14" s="380"/>
      <c r="I14" s="380"/>
      <c r="J14" s="380"/>
      <c r="K14" s="463"/>
      <c r="L14" s="463"/>
      <c r="M14" s="380"/>
      <c r="N14" s="463"/>
      <c r="O14" s="380"/>
      <c r="P14" s="380"/>
      <c r="Q14" s="380" t="s">
        <v>710</v>
      </c>
      <c r="R14" s="380"/>
      <c r="S14" s="380"/>
      <c r="T14" s="380"/>
      <c r="U14" s="380"/>
      <c r="V14" s="380"/>
      <c r="W14" s="380"/>
      <c r="X14" s="380"/>
      <c r="Y14" s="380"/>
      <c r="Z14" s="380"/>
      <c r="AA14" s="380"/>
      <c r="AB14" s="380"/>
      <c r="AC14" s="380"/>
      <c r="AD14" s="464"/>
      <c r="AE14" s="464"/>
      <c r="AF14" s="464"/>
      <c r="AG14" s="464"/>
      <c r="AH14" s="464"/>
      <c r="AI14" s="464"/>
      <c r="AJ14" s="464"/>
      <c r="AK14" s="440"/>
      <c r="AL14" s="569"/>
      <c r="AM14" s="1066">
        <v>3</v>
      </c>
      <c r="AN14" s="1064" t="s">
        <v>711</v>
      </c>
      <c r="AO14" s="460" t="s">
        <v>724</v>
      </c>
      <c r="AR14" s="1067"/>
      <c r="AZ14" s="1068"/>
      <c r="BA14" s="1068"/>
      <c r="BB14" s="1068"/>
      <c r="BC14" s="1068"/>
      <c r="BJ14" s="1068"/>
      <c r="BK14" s="1068"/>
      <c r="BL14" s="1068"/>
      <c r="BM14" s="1068"/>
      <c r="BN14" s="1068"/>
    </row>
    <row r="15" spans="1:66" ht="12.95" customHeight="1" x14ac:dyDescent="0.2">
      <c r="A15" s="440"/>
      <c r="B15" s="1043"/>
      <c r="C15" s="380"/>
      <c r="D15" s="380"/>
      <c r="E15" s="380"/>
      <c r="F15" s="380"/>
      <c r="G15" s="380"/>
      <c r="H15" s="380"/>
      <c r="I15" s="380"/>
      <c r="J15" s="380"/>
      <c r="K15" s="463"/>
      <c r="L15" s="463"/>
      <c r="M15" s="380"/>
      <c r="N15" s="463"/>
      <c r="O15" s="380"/>
      <c r="P15" s="380"/>
      <c r="Q15" s="380" t="s">
        <v>712</v>
      </c>
      <c r="R15" s="380"/>
      <c r="S15" s="380"/>
      <c r="T15" s="380"/>
      <c r="U15" s="380"/>
      <c r="V15" s="380"/>
      <c r="W15" s="380"/>
      <c r="X15" s="380"/>
      <c r="Y15" s="380"/>
      <c r="Z15" s="380"/>
      <c r="AA15" s="380"/>
      <c r="AB15" s="380"/>
      <c r="AC15" s="380"/>
      <c r="AD15" s="464"/>
      <c r="AE15" s="464"/>
      <c r="AF15" s="464"/>
      <c r="AG15" s="464"/>
      <c r="AH15" s="464"/>
      <c r="AI15" s="464"/>
      <c r="AJ15" s="464"/>
      <c r="AK15" s="440"/>
      <c r="AL15" s="569"/>
      <c r="AM15" s="1066">
        <v>4</v>
      </c>
      <c r="AN15" s="1064" t="s">
        <v>713</v>
      </c>
      <c r="AO15" s="460" t="s">
        <v>724</v>
      </c>
      <c r="AR15" s="1067"/>
      <c r="AZ15" s="1068"/>
      <c r="BA15" s="1068"/>
      <c r="BB15" s="1068"/>
      <c r="BC15" s="1068"/>
      <c r="BJ15" s="1068"/>
      <c r="BK15" s="1068"/>
      <c r="BL15" s="1068"/>
      <c r="BM15" s="1068"/>
      <c r="BN15" s="1068"/>
    </row>
    <row r="16" spans="1:66" ht="12.95" customHeight="1" thickBot="1" x14ac:dyDescent="0.25">
      <c r="A16" s="440"/>
      <c r="B16" s="1043"/>
      <c r="C16" s="380"/>
      <c r="D16" s="380"/>
      <c r="E16" s="380"/>
      <c r="F16" s="380"/>
      <c r="G16" s="380"/>
      <c r="H16" s="380"/>
      <c r="I16" s="380"/>
      <c r="J16" s="380"/>
      <c r="K16" s="463"/>
      <c r="L16" s="463"/>
      <c r="M16" s="380"/>
      <c r="N16" s="463"/>
      <c r="O16" s="380"/>
      <c r="P16" s="380"/>
      <c r="Q16" s="380"/>
      <c r="R16" s="380"/>
      <c r="S16" s="380"/>
      <c r="T16" s="380"/>
      <c r="U16" s="380"/>
      <c r="V16" s="380"/>
      <c r="W16" s="380"/>
      <c r="X16" s="380"/>
      <c r="Y16" s="380"/>
      <c r="Z16" s="380"/>
      <c r="AA16" s="380"/>
      <c r="AB16" s="380"/>
      <c r="AC16" s="380"/>
      <c r="AD16" s="464"/>
      <c r="AE16" s="464"/>
      <c r="AF16" s="464"/>
      <c r="AG16" s="464"/>
      <c r="AH16" s="464"/>
      <c r="AI16" s="464"/>
      <c r="AJ16" s="464"/>
      <c r="AK16" s="440"/>
      <c r="AL16" s="569"/>
      <c r="AM16" s="1069">
        <v>5</v>
      </c>
      <c r="AN16" s="1070" t="s">
        <v>714</v>
      </c>
      <c r="AO16" s="1071" t="s">
        <v>724</v>
      </c>
      <c r="AP16" s="1071"/>
      <c r="AQ16" s="1071"/>
      <c r="AR16" s="1072"/>
      <c r="AZ16" s="1068"/>
      <c r="BA16" s="1068"/>
      <c r="BB16" s="1068"/>
      <c r="BC16" s="1068"/>
      <c r="BJ16" s="1068"/>
      <c r="BK16" s="1068"/>
      <c r="BL16" s="1068"/>
      <c r="BM16" s="1068"/>
      <c r="BN16" s="1068"/>
    </row>
    <row r="17" spans="1:54" s="327" customFormat="1" ht="39.950000000000003" customHeight="1" thickBot="1" x14ac:dyDescent="0.25">
      <c r="A17" s="440"/>
      <c r="B17" s="1164"/>
      <c r="C17" s="1165"/>
      <c r="D17" s="1165"/>
      <c r="E17" s="1165"/>
      <c r="F17" s="1165"/>
      <c r="G17" s="1165"/>
      <c r="H17" s="1165"/>
      <c r="I17" s="1165"/>
      <c r="J17" s="1165"/>
      <c r="K17" s="1165"/>
      <c r="L17" s="1165"/>
      <c r="M17" s="1165"/>
      <c r="N17" s="1165"/>
      <c r="O17" s="1165"/>
      <c r="P17" s="1165"/>
      <c r="Q17" s="1165"/>
      <c r="R17" s="1165"/>
      <c r="S17" s="1165"/>
      <c r="T17" s="1165"/>
      <c r="U17" s="440"/>
      <c r="V17" s="440"/>
      <c r="W17" s="440"/>
      <c r="X17" s="440"/>
      <c r="Y17" s="440"/>
      <c r="Z17" s="440"/>
      <c r="AA17" s="440"/>
      <c r="AB17" s="440"/>
      <c r="AC17" s="440"/>
      <c r="AD17" s="440"/>
      <c r="AE17" s="440"/>
      <c r="AF17" s="440"/>
      <c r="AG17" s="440"/>
      <c r="AH17" s="440"/>
      <c r="AI17" s="440"/>
      <c r="AJ17" s="440"/>
      <c r="AK17" s="440"/>
    </row>
    <row r="18" spans="1:54" ht="15" customHeight="1" x14ac:dyDescent="0.2">
      <c r="A18" s="440"/>
      <c r="B18" s="413"/>
      <c r="C18" s="380"/>
      <c r="D18" s="380"/>
      <c r="E18" s="380"/>
      <c r="F18" s="380"/>
      <c r="G18" s="380"/>
      <c r="H18" s="380"/>
      <c r="I18" s="473"/>
      <c r="J18" s="1598" t="s">
        <v>176</v>
      </c>
      <c r="K18" s="1598"/>
      <c r="L18" s="473"/>
      <c r="M18" s="475" t="s">
        <v>467</v>
      </c>
      <c r="N18" s="476" t="s">
        <v>141</v>
      </c>
      <c r="O18" s="477" t="s">
        <v>466</v>
      </c>
      <c r="P18" s="478" t="s">
        <v>451</v>
      </c>
      <c r="Q18" s="479" t="s">
        <v>462</v>
      </c>
      <c r="R18" s="479" t="s">
        <v>142</v>
      </c>
      <c r="S18" s="478" t="s">
        <v>62</v>
      </c>
      <c r="T18" s="379"/>
      <c r="U18" s="1598" t="s">
        <v>190</v>
      </c>
      <c r="V18" s="1598"/>
      <c r="W18" s="1598"/>
      <c r="X18" s="1598"/>
      <c r="Y18" s="1598"/>
      <c r="Z18" s="480"/>
      <c r="AA18" s="1598" t="s">
        <v>63</v>
      </c>
      <c r="AB18" s="1598"/>
      <c r="AC18" s="1598"/>
      <c r="AD18" s="1598"/>
      <c r="AE18" s="1598"/>
      <c r="AF18" s="379"/>
      <c r="AG18" s="379"/>
      <c r="AH18" s="379"/>
      <c r="AI18" s="481" t="s">
        <v>175</v>
      </c>
      <c r="AJ18" s="379"/>
      <c r="AK18" s="440"/>
      <c r="AM18" s="1073" t="str">
        <f>"Übernahme der Daten von Variante "&amp;M13</f>
        <v>Übernahme der Daten von Variante 3.1 I&amp;W</v>
      </c>
      <c r="AN18" s="1074"/>
      <c r="AO18" s="1074"/>
      <c r="AP18" s="1074"/>
      <c r="AQ18" s="1074"/>
      <c r="AR18" s="1074"/>
      <c r="AS18" s="1074"/>
      <c r="AT18" s="1074"/>
      <c r="AU18" s="1074"/>
      <c r="AV18" s="1075"/>
      <c r="AX18" s="1073" t="s">
        <v>716</v>
      </c>
      <c r="AY18" s="1073"/>
      <c r="AZ18" s="1074"/>
      <c r="BA18" s="1074"/>
      <c r="BB18" s="1075"/>
    </row>
    <row r="19" spans="1:54" ht="15" customHeight="1" x14ac:dyDescent="0.2">
      <c r="A19" s="440"/>
      <c r="B19" s="413"/>
      <c r="C19" s="380"/>
      <c r="D19" s="380"/>
      <c r="E19" s="380"/>
      <c r="F19" s="380"/>
      <c r="G19" s="380"/>
      <c r="H19" s="380"/>
      <c r="I19" s="473"/>
      <c r="J19" s="1598" t="s">
        <v>169</v>
      </c>
      <c r="K19" s="1598"/>
      <c r="L19" s="474"/>
      <c r="M19" s="475"/>
      <c r="N19" s="476"/>
      <c r="O19" s="477"/>
      <c r="P19" s="478"/>
      <c r="Q19" s="479"/>
      <c r="R19" s="479"/>
      <c r="S19" s="478"/>
      <c r="T19" s="379"/>
      <c r="U19" s="1598" t="s">
        <v>463</v>
      </c>
      <c r="V19" s="1598"/>
      <c r="W19" s="438"/>
      <c r="X19" s="1598" t="s">
        <v>249</v>
      </c>
      <c r="Y19" s="1598"/>
      <c r="Z19" s="480"/>
      <c r="AA19" s="1598" t="s">
        <v>463</v>
      </c>
      <c r="AB19" s="1598"/>
      <c r="AC19" s="438"/>
      <c r="AD19" s="1598" t="s">
        <v>249</v>
      </c>
      <c r="AE19" s="1598"/>
      <c r="AF19" s="379"/>
      <c r="AG19" s="1598" t="s">
        <v>715</v>
      </c>
      <c r="AH19" s="1598"/>
      <c r="AI19" s="481"/>
      <c r="AJ19" s="379"/>
      <c r="AK19" s="440"/>
      <c r="AL19" s="460" t="s">
        <v>826</v>
      </c>
      <c r="AM19" s="1066" t="s">
        <v>717</v>
      </c>
      <c r="AN19" s="1076" t="s">
        <v>109</v>
      </c>
      <c r="AO19" s="1076" t="s">
        <v>62</v>
      </c>
      <c r="AP19" s="1630" t="s">
        <v>190</v>
      </c>
      <c r="AQ19" s="1630"/>
      <c r="AR19" s="1205"/>
      <c r="AS19" s="1630" t="s">
        <v>63</v>
      </c>
      <c r="AT19" s="1630"/>
      <c r="AU19" s="1205"/>
      <c r="AV19" s="1067" t="s">
        <v>175</v>
      </c>
      <c r="AX19" s="1077" t="s">
        <v>109</v>
      </c>
      <c r="AY19" s="1078" t="s">
        <v>62</v>
      </c>
      <c r="AZ19" s="1078" t="s">
        <v>190</v>
      </c>
      <c r="BA19" s="1078" t="s">
        <v>63</v>
      </c>
      <c r="BB19" s="1079" t="s">
        <v>175</v>
      </c>
    </row>
    <row r="20" spans="1:54" ht="12" customHeight="1" thickBot="1" x14ac:dyDescent="0.3">
      <c r="A20" s="440"/>
      <c r="B20" s="413"/>
      <c r="C20" s="380"/>
      <c r="D20" s="380"/>
      <c r="E20" s="380"/>
      <c r="F20" s="380"/>
      <c r="G20" s="380"/>
      <c r="H20" s="380"/>
      <c r="I20" s="473"/>
      <c r="J20" s="473"/>
      <c r="K20" s="473"/>
      <c r="L20" s="473"/>
      <c r="M20" s="473"/>
      <c r="N20" s="473"/>
      <c r="O20" s="473"/>
      <c r="P20" s="473"/>
      <c r="Q20" s="372"/>
      <c r="R20" s="372"/>
      <c r="S20" s="372" t="s">
        <v>65</v>
      </c>
      <c r="T20" s="372"/>
      <c r="U20" s="372" t="s">
        <v>64</v>
      </c>
      <c r="V20" s="319" t="s">
        <v>93</v>
      </c>
      <c r="W20" s="372"/>
      <c r="X20" s="372" t="s">
        <v>64</v>
      </c>
      <c r="Y20" s="319" t="s">
        <v>93</v>
      </c>
      <c r="Z20" s="372"/>
      <c r="AA20" s="372" t="s">
        <v>64</v>
      </c>
      <c r="AB20" s="372" t="s">
        <v>93</v>
      </c>
      <c r="AC20" s="372"/>
      <c r="AD20" s="372" t="s">
        <v>64</v>
      </c>
      <c r="AE20" s="372" t="s">
        <v>93</v>
      </c>
      <c r="AF20" s="372"/>
      <c r="AG20" s="372" t="s">
        <v>66</v>
      </c>
      <c r="AH20" s="372"/>
      <c r="AI20" s="482" t="s">
        <v>66</v>
      </c>
      <c r="AJ20" s="372"/>
      <c r="AK20" s="440"/>
      <c r="AL20" s="1382">
        <v>2</v>
      </c>
      <c r="AM20" s="1080" t="str">
        <f>M13</f>
        <v>3.1 I&amp;W</v>
      </c>
      <c r="AN20" s="1071"/>
      <c r="AO20" s="1071" t="s">
        <v>65</v>
      </c>
      <c r="AP20" s="1071" t="s">
        <v>64</v>
      </c>
      <c r="AQ20" s="1071" t="s">
        <v>93</v>
      </c>
      <c r="AR20" s="1071"/>
      <c r="AS20" s="1071" t="s">
        <v>64</v>
      </c>
      <c r="AT20" s="1071" t="s">
        <v>93</v>
      </c>
      <c r="AU20" s="1071"/>
      <c r="AV20" s="1072" t="s">
        <v>66</v>
      </c>
      <c r="AX20" s="1069"/>
      <c r="AY20" s="1071"/>
      <c r="AZ20" s="1071"/>
      <c r="BA20" s="1071"/>
      <c r="BB20" s="1072"/>
    </row>
    <row r="21" spans="1:54" ht="12" customHeight="1" x14ac:dyDescent="0.2">
      <c r="A21" s="440"/>
      <c r="B21" s="413"/>
      <c r="C21" s="380"/>
      <c r="D21" s="380"/>
      <c r="E21" s="380"/>
      <c r="F21" s="380"/>
      <c r="G21" s="380"/>
      <c r="H21" s="380"/>
      <c r="I21" s="473"/>
      <c r="J21" s="438"/>
      <c r="K21" s="438"/>
      <c r="L21" s="473"/>
      <c r="M21" s="473"/>
      <c r="N21" s="473"/>
      <c r="O21" s="473"/>
      <c r="P21" s="473"/>
      <c r="Q21" s="372"/>
      <c r="R21" s="372"/>
      <c r="S21" s="372"/>
      <c r="T21" s="372"/>
      <c r="U21" s="372"/>
      <c r="V21" s="319"/>
      <c r="W21" s="372"/>
      <c r="X21" s="372"/>
      <c r="Y21" s="319"/>
      <c r="Z21" s="372"/>
      <c r="AA21" s="372"/>
      <c r="AB21" s="372"/>
      <c r="AC21" s="372"/>
      <c r="AD21" s="372"/>
      <c r="AE21" s="372"/>
      <c r="AF21" s="372"/>
      <c r="AG21" s="372"/>
      <c r="AH21" s="372"/>
      <c r="AI21" s="482"/>
      <c r="AJ21" s="372"/>
      <c r="AK21" s="440"/>
      <c r="AM21" s="460" t="s">
        <v>718</v>
      </c>
      <c r="AN21" s="1089" t="s">
        <v>719</v>
      </c>
      <c r="AO21" s="1089" t="s">
        <v>362</v>
      </c>
      <c r="AP21" s="1089" t="s">
        <v>519</v>
      </c>
      <c r="AQ21" s="1089" t="s">
        <v>725</v>
      </c>
      <c r="AR21" s="1089" t="s">
        <v>728</v>
      </c>
      <c r="AS21" s="1089" t="s">
        <v>726</v>
      </c>
      <c r="AT21" s="1089" t="s">
        <v>727</v>
      </c>
      <c r="AU21" s="1089" t="s">
        <v>729</v>
      </c>
      <c r="AV21" s="1089" t="s">
        <v>720</v>
      </c>
    </row>
    <row r="22" spans="1:54" ht="12" customHeight="1" x14ac:dyDescent="0.2">
      <c r="A22" s="440"/>
      <c r="B22" s="413"/>
      <c r="C22" s="380"/>
      <c r="D22" s="380"/>
      <c r="E22" s="380"/>
      <c r="F22" s="380"/>
      <c r="G22" s="380"/>
      <c r="H22" s="380"/>
      <c r="I22" s="473"/>
      <c r="J22" s="438"/>
      <c r="K22" s="438"/>
      <c r="L22" s="473"/>
      <c r="M22" s="473"/>
      <c r="N22" s="473"/>
      <c r="O22" s="473"/>
      <c r="P22" s="473"/>
      <c r="Q22" s="372"/>
      <c r="R22" s="372"/>
      <c r="S22" s="372"/>
      <c r="T22" s="372"/>
      <c r="U22" s="372"/>
      <c r="V22" s="319"/>
      <c r="W22" s="372"/>
      <c r="X22" s="372"/>
      <c r="Y22" s="319"/>
      <c r="Z22" s="372"/>
      <c r="AA22" s="372"/>
      <c r="AB22" s="372"/>
      <c r="AC22" s="372"/>
      <c r="AD22" s="372"/>
      <c r="AE22" s="372"/>
      <c r="AF22" s="372"/>
      <c r="AG22" s="372"/>
      <c r="AH22" s="372"/>
      <c r="AI22" s="482"/>
      <c r="AJ22" s="372"/>
      <c r="AK22" s="440"/>
      <c r="AM22" s="460">
        <v>22</v>
      </c>
      <c r="AN22" s="1089" t="s">
        <v>144</v>
      </c>
      <c r="AX22" s="460" t="s">
        <v>721</v>
      </c>
    </row>
    <row r="23" spans="1:54" s="492" customFormat="1" ht="12.75" customHeight="1" collapsed="1" x14ac:dyDescent="0.2">
      <c r="A23" s="483"/>
      <c r="B23" s="484"/>
      <c r="C23" s="485"/>
      <c r="D23" s="486"/>
      <c r="E23" s="1610" t="s">
        <v>461</v>
      </c>
      <c r="F23" s="1610"/>
      <c r="G23" s="1610"/>
      <c r="H23" s="1610"/>
      <c r="I23" s="1611"/>
      <c r="J23" s="487"/>
      <c r="K23" s="488"/>
      <c r="L23" s="488"/>
      <c r="M23" s="489"/>
      <c r="N23" s="490"/>
      <c r="O23" s="431"/>
      <c r="P23" s="431"/>
      <c r="Q23" s="431"/>
      <c r="R23" s="431"/>
      <c r="S23" s="430">
        <f ca="1">SUM(BERECHNUNG!O373:O479)</f>
        <v>4024329.4920000001</v>
      </c>
      <c r="T23" s="431"/>
      <c r="U23" s="431"/>
      <c r="V23" s="431"/>
      <c r="W23" s="431"/>
      <c r="X23" s="431"/>
      <c r="Y23" s="431"/>
      <c r="Z23" s="431"/>
      <c r="AA23" s="431"/>
      <c r="AB23" s="431"/>
      <c r="AC23" s="431"/>
      <c r="AD23" s="431"/>
      <c r="AE23" s="431"/>
      <c r="AF23" s="431"/>
      <c r="AG23" s="431"/>
      <c r="AH23" s="431"/>
      <c r="AI23" s="491"/>
      <c r="AJ23" s="431"/>
      <c r="AK23" s="483"/>
      <c r="AM23" s="460">
        <v>23</v>
      </c>
      <c r="AX23" s="1078" t="s">
        <v>722</v>
      </c>
      <c r="AY23" s="1078"/>
    </row>
    <row r="24" spans="1:54" ht="12.75" customHeight="1" x14ac:dyDescent="0.25">
      <c r="A24" s="440"/>
      <c r="B24" s="493"/>
      <c r="C24" s="494"/>
      <c r="D24" s="495"/>
      <c r="E24" s="500"/>
      <c r="F24" s="500"/>
      <c r="G24" s="500"/>
      <c r="H24" s="500"/>
      <c r="I24" s="511"/>
      <c r="J24" s="501"/>
      <c r="K24" s="462"/>
      <c r="L24" s="462"/>
      <c r="M24" s="498"/>
      <c r="N24" s="359"/>
      <c r="O24" s="363"/>
      <c r="P24" s="363"/>
      <c r="Q24" s="363"/>
      <c r="R24" s="363"/>
      <c r="S24" s="429"/>
      <c r="T24" s="363"/>
      <c r="U24" s="363"/>
      <c r="V24" s="363"/>
      <c r="W24" s="363"/>
      <c r="X24" s="363"/>
      <c r="Y24" s="363"/>
      <c r="Z24" s="363"/>
      <c r="AA24" s="363"/>
      <c r="AB24" s="363"/>
      <c r="AC24" s="363"/>
      <c r="AD24" s="363"/>
      <c r="AE24" s="363"/>
      <c r="AF24" s="363"/>
      <c r="AG24" s="363"/>
      <c r="AH24" s="363"/>
      <c r="AI24" s="358"/>
      <c r="AJ24" s="363"/>
      <c r="AK24" s="440"/>
      <c r="AM24" s="460">
        <v>24</v>
      </c>
      <c r="AP24" s="1081"/>
      <c r="AS24" s="1081"/>
      <c r="AX24" s="1082"/>
      <c r="AY24" s="1082"/>
      <c r="AZ24" s="1081"/>
      <c r="BA24" s="1081"/>
    </row>
    <row r="25" spans="1:54" ht="12" customHeight="1" x14ac:dyDescent="0.2">
      <c r="A25" s="440"/>
      <c r="B25" s="413"/>
      <c r="C25" s="380"/>
      <c r="D25" s="380"/>
      <c r="E25" s="380"/>
      <c r="F25" s="380"/>
      <c r="G25" s="380"/>
      <c r="H25" s="380"/>
      <c r="I25" s="473"/>
      <c r="J25" s="438"/>
      <c r="K25" s="438"/>
      <c r="L25" s="473"/>
      <c r="M25" s="473"/>
      <c r="N25" s="473"/>
      <c r="O25" s="473"/>
      <c r="P25" s="473"/>
      <c r="Q25" s="372"/>
      <c r="R25" s="372"/>
      <c r="S25" s="372"/>
      <c r="T25" s="372"/>
      <c r="U25" s="372"/>
      <c r="V25" s="319"/>
      <c r="W25" s="372"/>
      <c r="X25" s="372"/>
      <c r="Y25" s="319"/>
      <c r="Z25" s="372"/>
      <c r="AA25" s="372"/>
      <c r="AB25" s="372"/>
      <c r="AC25" s="372"/>
      <c r="AD25" s="372"/>
      <c r="AE25" s="372"/>
      <c r="AF25" s="372"/>
      <c r="AG25" s="372"/>
      <c r="AH25" s="372"/>
      <c r="AI25" s="482"/>
      <c r="AJ25" s="372"/>
      <c r="AK25" s="440"/>
      <c r="AM25" s="460">
        <v>25</v>
      </c>
      <c r="AP25" s="1081"/>
      <c r="AS25" s="1081"/>
      <c r="AZ25" s="1081"/>
      <c r="BA25" s="1081"/>
    </row>
    <row r="26" spans="1:54" ht="12" customHeight="1" x14ac:dyDescent="0.25">
      <c r="A26" s="440"/>
      <c r="B26" s="499">
        <v>0</v>
      </c>
      <c r="C26" s="500"/>
      <c r="D26" s="500"/>
      <c r="E26" s="1606" t="s">
        <v>61</v>
      </c>
      <c r="F26" s="1606"/>
      <c r="G26" s="1606"/>
      <c r="H26" s="1606"/>
      <c r="I26" s="1605"/>
      <c r="J26" s="501"/>
      <c r="K26" s="502"/>
      <c r="L26" s="502"/>
      <c r="M26" s="513"/>
      <c r="N26" s="503"/>
      <c r="O26" s="513"/>
      <c r="P26" s="513"/>
      <c r="Q26" s="513"/>
      <c r="R26" s="513"/>
      <c r="S26" s="385">
        <f ca="1">SUBTOTAL(109,S27)</f>
        <v>432000</v>
      </c>
      <c r="T26" s="372"/>
      <c r="U26" s="372"/>
      <c r="V26" s="372"/>
      <c r="W26" s="372"/>
      <c r="X26" s="372"/>
      <c r="Y26" s="372"/>
      <c r="Z26" s="372"/>
      <c r="AA26" s="372"/>
      <c r="AB26" s="372"/>
      <c r="AC26" s="372"/>
      <c r="AD26" s="482"/>
      <c r="AE26" s="482"/>
      <c r="AF26" s="482"/>
      <c r="AG26" s="482"/>
      <c r="AH26" s="482"/>
      <c r="AI26" s="482"/>
      <c r="AJ26" s="482"/>
      <c r="AK26" s="440"/>
      <c r="AM26" s="460">
        <v>26</v>
      </c>
      <c r="AP26" s="1081"/>
      <c r="AS26" s="1081"/>
      <c r="AZ26" s="1081"/>
      <c r="BA26" s="1081"/>
    </row>
    <row r="27" spans="1:54" ht="12" customHeight="1" x14ac:dyDescent="0.25">
      <c r="A27" s="440"/>
      <c r="B27" s="499"/>
      <c r="C27" s="500"/>
      <c r="D27" s="500"/>
      <c r="E27" s="500"/>
      <c r="F27" s="500"/>
      <c r="G27" s="500"/>
      <c r="H27" s="500"/>
      <c r="I27" s="501"/>
      <c r="J27" s="501"/>
      <c r="K27" s="502"/>
      <c r="L27" s="502"/>
      <c r="M27" s="343"/>
      <c r="N27" s="504" t="s">
        <v>67</v>
      </c>
      <c r="O27" s="344"/>
      <c r="P27" s="504" t="s">
        <v>363</v>
      </c>
      <c r="Q27" s="344"/>
      <c r="R27" s="504" t="s">
        <v>363</v>
      </c>
      <c r="S27" s="353">
        <f ca="1">IF(AY27="E",(M27*O27)+Q27,AO27)</f>
        <v>432000</v>
      </c>
      <c r="T27" s="372"/>
      <c r="U27" s="380"/>
      <c r="V27" s="380"/>
      <c r="W27" s="380"/>
      <c r="X27" s="380"/>
      <c r="Y27" s="380"/>
      <c r="Z27" s="380"/>
      <c r="AA27" s="380"/>
      <c r="AB27" s="380"/>
      <c r="AC27" s="380"/>
      <c r="AD27" s="380"/>
      <c r="AE27" s="380"/>
      <c r="AF27" s="380"/>
      <c r="AG27" s="1266"/>
      <c r="AH27" s="380"/>
      <c r="AI27" s="1086">
        <f ca="1">IF(BB27="E",AG27,AV27)</f>
        <v>0</v>
      </c>
      <c r="AJ27" s="380"/>
      <c r="AK27" s="440"/>
      <c r="AM27" s="460">
        <v>27</v>
      </c>
      <c r="AO27" s="1083">
        <f ca="1">IF($M$13=$AN$12,"",INDIRECT("'"&amp;$AM$20&amp;"'!"&amp;AO$21&amp;$AM27))</f>
        <v>432000</v>
      </c>
      <c r="AP27" s="1081"/>
      <c r="AS27" s="1081"/>
      <c r="AV27" s="1083">
        <f ca="1">IF($M$13=$AN$12,"",INDIRECT("'"&amp;$AM$20&amp;"'!"&amp;AV$21&amp;$AM27))</f>
        <v>0</v>
      </c>
      <c r="AY27" s="1083" t="str">
        <f>IF($M$13=$AN$12,"E",IF(OR(ISNUMBER(M27),ISNUMBER(O27),ISNUMBER(Q27)),"E","U"))</f>
        <v>U</v>
      </c>
      <c r="AZ27" s="1081"/>
      <c r="BA27" s="1081"/>
      <c r="BB27" s="1083" t="str">
        <f>IF($M$13=$AN$12,"E",IF(ISNUMBER(AG27),"E","U"))</f>
        <v>U</v>
      </c>
    </row>
    <row r="28" spans="1:54" ht="12" customHeight="1" x14ac:dyDescent="0.25">
      <c r="A28" s="440"/>
      <c r="B28" s="505"/>
      <c r="C28" s="506"/>
      <c r="D28" s="506"/>
      <c r="E28" s="506"/>
      <c r="F28" s="506"/>
      <c r="G28" s="506"/>
      <c r="H28" s="506"/>
      <c r="I28" s="507"/>
      <c r="J28" s="507"/>
      <c r="K28" s="508"/>
      <c r="L28" s="508"/>
      <c r="M28" s="508"/>
      <c r="N28" s="508"/>
      <c r="O28" s="508"/>
      <c r="P28" s="508"/>
      <c r="Q28" s="508"/>
      <c r="R28" s="508"/>
      <c r="S28" s="382"/>
      <c r="T28" s="509"/>
      <c r="U28" s="378"/>
      <c r="V28" s="378"/>
      <c r="W28" s="378"/>
      <c r="X28" s="378"/>
      <c r="Y28" s="378"/>
      <c r="Z28" s="378"/>
      <c r="AA28" s="378"/>
      <c r="AB28" s="378"/>
      <c r="AC28" s="378"/>
      <c r="AD28" s="378"/>
      <c r="AE28" s="378"/>
      <c r="AF28" s="378"/>
      <c r="AG28" s="378"/>
      <c r="AH28" s="378"/>
      <c r="AI28" s="510"/>
      <c r="AJ28" s="378"/>
      <c r="AK28" s="440"/>
      <c r="AM28" s="460">
        <v>28</v>
      </c>
      <c r="AP28" s="1081"/>
      <c r="AS28" s="1081"/>
      <c r="AZ28" s="1081"/>
      <c r="BA28" s="1081"/>
    </row>
    <row r="29" spans="1:54" ht="12" customHeight="1" x14ac:dyDescent="0.2">
      <c r="A29" s="440"/>
      <c r="B29" s="320"/>
      <c r="C29" s="513"/>
      <c r="D29" s="513"/>
      <c r="E29" s="513"/>
      <c r="F29" s="513"/>
      <c r="G29" s="513"/>
      <c r="H29" s="513"/>
      <c r="I29" s="380"/>
      <c r="J29" s="380"/>
      <c r="K29" s="463"/>
      <c r="L29" s="463"/>
      <c r="M29" s="379"/>
      <c r="N29" s="438"/>
      <c r="O29" s="379"/>
      <c r="P29" s="379"/>
      <c r="Q29" s="379"/>
      <c r="R29" s="379"/>
      <c r="S29" s="383"/>
      <c r="T29" s="379"/>
      <c r="U29" s="379"/>
      <c r="V29" s="379"/>
      <c r="W29" s="379"/>
      <c r="X29" s="379"/>
      <c r="Y29" s="379"/>
      <c r="Z29" s="379"/>
      <c r="AA29" s="379"/>
      <c r="AB29" s="379"/>
      <c r="AC29" s="379"/>
      <c r="AD29" s="379"/>
      <c r="AE29" s="379"/>
      <c r="AF29" s="379"/>
      <c r="AG29" s="379"/>
      <c r="AH29" s="379"/>
      <c r="AI29" s="481"/>
      <c r="AJ29" s="379"/>
      <c r="AK29" s="440"/>
      <c r="AM29" s="460">
        <v>29</v>
      </c>
      <c r="AP29" s="1081"/>
      <c r="AS29" s="1081"/>
      <c r="AZ29" s="1081"/>
      <c r="BA29" s="1081"/>
    </row>
    <row r="30" spans="1:54" ht="12" customHeight="1" x14ac:dyDescent="0.2">
      <c r="A30" s="440"/>
      <c r="B30" s="320"/>
      <c r="C30" s="513"/>
      <c r="D30" s="513"/>
      <c r="E30" s="513"/>
      <c r="F30" s="513"/>
      <c r="G30" s="513"/>
      <c r="H30" s="513"/>
      <c r="I30" s="380"/>
      <c r="J30" s="380"/>
      <c r="K30" s="463"/>
      <c r="L30" s="463"/>
      <c r="M30" s="513"/>
      <c r="N30" s="503"/>
      <c r="O30" s="513"/>
      <c r="P30" s="513"/>
      <c r="Q30" s="513"/>
      <c r="R30" s="513"/>
      <c r="S30" s="384"/>
      <c r="T30" s="372"/>
      <c r="U30" s="372"/>
      <c r="V30" s="372"/>
      <c r="W30" s="372"/>
      <c r="X30" s="372"/>
      <c r="Y30" s="372"/>
      <c r="Z30" s="372"/>
      <c r="AA30" s="372"/>
      <c r="AB30" s="372"/>
      <c r="AC30" s="372"/>
      <c r="AD30" s="372"/>
      <c r="AE30" s="372"/>
      <c r="AF30" s="372"/>
      <c r="AG30" s="372"/>
      <c r="AH30" s="372"/>
      <c r="AI30" s="482"/>
      <c r="AJ30" s="372"/>
      <c r="AK30" s="440"/>
      <c r="AM30" s="460">
        <v>30</v>
      </c>
      <c r="AP30" s="1081"/>
      <c r="AS30" s="1081"/>
      <c r="AZ30" s="1081"/>
      <c r="BA30" s="1081"/>
    </row>
    <row r="31" spans="1:54" ht="14.25" customHeight="1" x14ac:dyDescent="0.25">
      <c r="A31" s="440"/>
      <c r="B31" s="499">
        <v>1</v>
      </c>
      <c r="C31" s="494"/>
      <c r="D31" s="495"/>
      <c r="E31" s="1606" t="s">
        <v>59</v>
      </c>
      <c r="F31" s="1606"/>
      <c r="G31" s="1606"/>
      <c r="H31" s="1606"/>
      <c r="I31" s="1597"/>
      <c r="J31" s="501"/>
      <c r="K31" s="462"/>
      <c r="L31" s="462"/>
      <c r="M31" s="363"/>
      <c r="N31" s="359"/>
      <c r="O31" s="363"/>
      <c r="P31" s="363"/>
      <c r="Q31" s="363"/>
      <c r="R31" s="363"/>
      <c r="S31" s="385">
        <f ca="1">S32</f>
        <v>89427.599999999991</v>
      </c>
      <c r="T31" s="363"/>
      <c r="U31" s="513"/>
      <c r="V31" s="513"/>
      <c r="W31" s="513"/>
      <c r="X31" s="513"/>
      <c r="Y31" s="513"/>
      <c r="Z31" s="513"/>
      <c r="AA31" s="513"/>
      <c r="AB31" s="513"/>
      <c r="AC31" s="513"/>
      <c r="AD31" s="513"/>
      <c r="AE31" s="513"/>
      <c r="AF31" s="513"/>
      <c r="AG31" s="1036"/>
      <c r="AH31" s="1036"/>
      <c r="AI31" s="358"/>
      <c r="AJ31" s="1036"/>
      <c r="AK31" s="440"/>
      <c r="AM31" s="460">
        <v>31</v>
      </c>
      <c r="AP31" s="1081"/>
      <c r="AS31" s="1081"/>
      <c r="AZ31" s="1081"/>
      <c r="BA31" s="1081"/>
    </row>
    <row r="32" spans="1:54" ht="12" customHeight="1" x14ac:dyDescent="0.25">
      <c r="A32" s="440"/>
      <c r="B32" s="628"/>
      <c r="C32" s="535" t="s">
        <v>58</v>
      </c>
      <c r="D32" s="380"/>
      <c r="E32" s="1596" t="s">
        <v>57</v>
      </c>
      <c r="F32" s="1596"/>
      <c r="G32" s="1596"/>
      <c r="H32" s="1596"/>
      <c r="I32" s="1605"/>
      <c r="J32" s="501"/>
      <c r="K32" s="502"/>
      <c r="L32" s="502"/>
      <c r="M32" s="363"/>
      <c r="N32" s="359"/>
      <c r="O32" s="363"/>
      <c r="P32" s="363"/>
      <c r="Q32" s="363"/>
      <c r="R32" s="363"/>
      <c r="S32" s="355">
        <f ca="1">SUBTOTAL(109,S34)</f>
        <v>89427.599999999991</v>
      </c>
      <c r="T32" s="363"/>
      <c r="U32" s="513"/>
      <c r="V32" s="513"/>
      <c r="W32" s="513"/>
      <c r="X32" s="513"/>
      <c r="Y32" s="513"/>
      <c r="Z32" s="513"/>
      <c r="AA32" s="513"/>
      <c r="AB32" s="513"/>
      <c r="AC32" s="513"/>
      <c r="AD32" s="513"/>
      <c r="AE32" s="513"/>
      <c r="AF32" s="513"/>
      <c r="AG32" s="1036"/>
      <c r="AH32" s="1036"/>
      <c r="AI32" s="358"/>
      <c r="AJ32" s="1036"/>
      <c r="AK32" s="440"/>
      <c r="AM32" s="460">
        <v>32</v>
      </c>
      <c r="AP32" s="1081"/>
      <c r="AS32" s="1081"/>
      <c r="AZ32" s="1081"/>
      <c r="BA32" s="1081"/>
    </row>
    <row r="33" spans="1:54" ht="12" customHeight="1" x14ac:dyDescent="0.25">
      <c r="A33" s="440"/>
      <c r="B33" s="628"/>
      <c r="C33" s="535"/>
      <c r="D33" s="514" t="s">
        <v>56</v>
      </c>
      <c r="E33" s="1599" t="s">
        <v>50</v>
      </c>
      <c r="F33" s="1599"/>
      <c r="G33" s="1599"/>
      <c r="H33" s="1599"/>
      <c r="I33" s="1605"/>
      <c r="J33" s="501"/>
      <c r="K33" s="502"/>
      <c r="L33" s="502"/>
      <c r="M33" s="363"/>
      <c r="N33" s="359"/>
      <c r="O33" s="363"/>
      <c r="P33" s="363"/>
      <c r="Q33" s="363"/>
      <c r="R33" s="363"/>
      <c r="S33" s="513"/>
      <c r="T33" s="363"/>
      <c r="U33" s="513"/>
      <c r="V33" s="513"/>
      <c r="W33" s="513"/>
      <c r="X33" s="513"/>
      <c r="Y33" s="513"/>
      <c r="Z33" s="513"/>
      <c r="AA33" s="513"/>
      <c r="AB33" s="513"/>
      <c r="AC33" s="513"/>
      <c r="AD33" s="513"/>
      <c r="AE33" s="513"/>
      <c r="AF33" s="513"/>
      <c r="AG33" s="1036"/>
      <c r="AH33" s="1036"/>
      <c r="AI33" s="358"/>
      <c r="AJ33" s="1036"/>
      <c r="AK33" s="440"/>
      <c r="AM33" s="460">
        <v>33</v>
      </c>
      <c r="AP33" s="1081"/>
      <c r="AS33" s="1081"/>
      <c r="AZ33" s="1081"/>
      <c r="BA33" s="1081"/>
    </row>
    <row r="34" spans="1:54" ht="12" customHeight="1" x14ac:dyDescent="0.25">
      <c r="A34" s="440"/>
      <c r="B34" s="628"/>
      <c r="C34" s="380"/>
      <c r="D34" s="1598"/>
      <c r="E34" s="1598"/>
      <c r="F34" s="1598"/>
      <c r="G34" s="1598"/>
      <c r="H34" s="1598"/>
      <c r="I34" s="1598"/>
      <c r="J34" s="501"/>
      <c r="K34" s="502"/>
      <c r="L34" s="502"/>
      <c r="M34" s="343"/>
      <c r="N34" s="359"/>
      <c r="O34" s="344"/>
      <c r="P34" s="363"/>
      <c r="Q34" s="344"/>
      <c r="R34" s="504" t="s">
        <v>363</v>
      </c>
      <c r="S34" s="353">
        <f ca="1">IF(AY34="E",(M34*O34)+Q34,AO34)</f>
        <v>89427.599999999991</v>
      </c>
      <c r="T34" s="363"/>
      <c r="U34" s="363"/>
      <c r="V34" s="363"/>
      <c r="W34" s="363"/>
      <c r="X34" s="363"/>
      <c r="Y34" s="363"/>
      <c r="Z34" s="363"/>
      <c r="AA34" s="363"/>
      <c r="AB34" s="363"/>
      <c r="AC34" s="363"/>
      <c r="AD34" s="363"/>
      <c r="AE34" s="363"/>
      <c r="AF34" s="513"/>
      <c r="AG34" s="216"/>
      <c r="AH34" s="1036"/>
      <c r="AI34" s="1086">
        <f ca="1">IF(BB34="E",AG34,AV34)</f>
        <v>100</v>
      </c>
      <c r="AJ34" s="1036"/>
      <c r="AK34" s="440"/>
      <c r="AM34" s="460">
        <v>34</v>
      </c>
      <c r="AO34" s="1083">
        <f ca="1">IF($M$13=$AN$12,"",INDIRECT("'"&amp;$AM$20&amp;"'!"&amp;AO$21&amp;$AM34))</f>
        <v>89427.599999999991</v>
      </c>
      <c r="AP34" s="1081"/>
      <c r="AS34" s="1081"/>
      <c r="AV34" s="1083">
        <f ca="1">IF($M$13=$AN$12,"",INDIRECT("'"&amp;$AM$20&amp;"'!"&amp;AV$21&amp;$AM34))</f>
        <v>100</v>
      </c>
      <c r="AY34" s="1083" t="str">
        <f>IF($M$13=$AN$12,"E",IF(OR(ISNUMBER(M34),ISNUMBER(O34),ISNUMBER(Q34)),"E","U"))</f>
        <v>U</v>
      </c>
      <c r="AZ34" s="1081"/>
      <c r="BA34" s="1081"/>
      <c r="BB34" s="1083" t="str">
        <f>IF($M$13=$AN$12,"E",IF(ISNUMBER(AG34),"E","U"))</f>
        <v>U</v>
      </c>
    </row>
    <row r="35" spans="1:54" ht="12" customHeight="1" x14ac:dyDescent="0.25">
      <c r="A35" s="440"/>
      <c r="B35" s="324"/>
      <c r="C35" s="378"/>
      <c r="D35" s="515"/>
      <c r="E35" s="515"/>
      <c r="F35" s="515"/>
      <c r="G35" s="516"/>
      <c r="H35" s="1598"/>
      <c r="I35" s="1598"/>
      <c r="J35" s="507"/>
      <c r="K35" s="508"/>
      <c r="L35" s="508"/>
      <c r="M35" s="371"/>
      <c r="N35" s="517"/>
      <c r="O35" s="371"/>
      <c r="P35" s="371"/>
      <c r="Q35" s="371"/>
      <c r="R35" s="371"/>
      <c r="S35" s="387"/>
      <c r="T35" s="371"/>
      <c r="U35" s="371"/>
      <c r="V35" s="371"/>
      <c r="W35" s="371"/>
      <c r="X35" s="371"/>
      <c r="Y35" s="371"/>
      <c r="Z35" s="371"/>
      <c r="AA35" s="371"/>
      <c r="AB35" s="371"/>
      <c r="AC35" s="371"/>
      <c r="AD35" s="371"/>
      <c r="AE35" s="371"/>
      <c r="AF35" s="370"/>
      <c r="AG35" s="370"/>
      <c r="AH35" s="370"/>
      <c r="AI35" s="373"/>
      <c r="AJ35" s="370"/>
      <c r="AK35" s="440"/>
      <c r="AM35" s="460">
        <v>35</v>
      </c>
      <c r="AP35" s="1081"/>
      <c r="AS35" s="1081"/>
      <c r="AZ35" s="1081"/>
      <c r="BA35" s="1081"/>
    </row>
    <row r="36" spans="1:54" s="327" customFormat="1" ht="39.950000000000003" customHeight="1" x14ac:dyDescent="0.2">
      <c r="A36" s="440"/>
      <c r="B36" s="1164"/>
      <c r="C36" s="1165"/>
      <c r="D36" s="1165"/>
      <c r="E36" s="1165"/>
      <c r="F36" s="1165"/>
      <c r="G36" s="1165"/>
      <c r="H36" s="1165"/>
      <c r="I36" s="1165"/>
      <c r="J36" s="1165"/>
      <c r="K36" s="1165"/>
      <c r="L36" s="1165"/>
      <c r="M36" s="1165"/>
      <c r="N36" s="1165"/>
      <c r="O36" s="1165"/>
      <c r="P36" s="1165"/>
      <c r="Q36" s="1165"/>
      <c r="R36" s="1165"/>
      <c r="S36" s="1165"/>
      <c r="T36" s="1165"/>
      <c r="U36" s="440"/>
      <c r="V36" s="440"/>
      <c r="W36" s="440"/>
      <c r="X36" s="440"/>
      <c r="Y36" s="440"/>
      <c r="Z36" s="440"/>
      <c r="AA36" s="440"/>
      <c r="AB36" s="440"/>
      <c r="AC36" s="440"/>
      <c r="AD36" s="440"/>
      <c r="AE36" s="440"/>
      <c r="AF36" s="440"/>
      <c r="AG36" s="440"/>
      <c r="AH36" s="440"/>
      <c r="AI36" s="440"/>
      <c r="AJ36" s="440"/>
      <c r="AK36" s="440"/>
      <c r="AM36" s="460">
        <v>36</v>
      </c>
    </row>
    <row r="37" spans="1:54" ht="12" customHeight="1" x14ac:dyDescent="0.25">
      <c r="A37" s="440"/>
      <c r="B37" s="609"/>
      <c r="C37" s="513"/>
      <c r="D37" s="514"/>
      <c r="E37" s="515"/>
      <c r="F37" s="515"/>
      <c r="G37" s="515"/>
      <c r="H37" s="515"/>
      <c r="I37" s="516"/>
      <c r="J37" s="1598"/>
      <c r="K37" s="1598"/>
      <c r="L37" s="438"/>
      <c r="M37" s="379"/>
      <c r="N37" s="438"/>
      <c r="O37" s="379"/>
      <c r="P37" s="379"/>
      <c r="Q37" s="379"/>
      <c r="R37" s="379"/>
      <c r="S37" s="379"/>
      <c r="T37" s="379"/>
      <c r="U37" s="1598"/>
      <c r="V37" s="1598"/>
      <c r="W37" s="438"/>
      <c r="X37" s="1598"/>
      <c r="Y37" s="1598"/>
      <c r="Z37" s="379"/>
      <c r="AA37" s="1598"/>
      <c r="AB37" s="1598"/>
      <c r="AC37" s="379"/>
      <c r="AD37" s="481"/>
      <c r="AE37" s="481"/>
      <c r="AF37" s="481"/>
      <c r="AG37" s="481"/>
      <c r="AH37" s="481"/>
      <c r="AI37" s="481"/>
      <c r="AJ37" s="481"/>
      <c r="AK37" s="440"/>
      <c r="AM37" s="460">
        <v>37</v>
      </c>
      <c r="AP37" s="1081"/>
      <c r="AS37" s="1081"/>
      <c r="AZ37" s="1081"/>
      <c r="BA37" s="1081"/>
    </row>
    <row r="38" spans="1:54" ht="12" customHeight="1" x14ac:dyDescent="0.25">
      <c r="A38" s="440"/>
      <c r="B38" s="609"/>
      <c r="C38" s="513"/>
      <c r="D38" s="514"/>
      <c r="E38" s="515"/>
      <c r="F38" s="515"/>
      <c r="G38" s="515"/>
      <c r="H38" s="515"/>
      <c r="I38" s="516"/>
      <c r="J38" s="1598"/>
      <c r="K38" s="1598"/>
      <c r="L38" s="438"/>
      <c r="M38" s="513"/>
      <c r="N38" s="503"/>
      <c r="O38" s="513"/>
      <c r="P38" s="513"/>
      <c r="Q38" s="513"/>
      <c r="R38" s="513"/>
      <c r="S38" s="372"/>
      <c r="T38" s="372"/>
      <c r="U38" s="372"/>
      <c r="V38" s="372"/>
      <c r="W38" s="372"/>
      <c r="X38" s="372"/>
      <c r="Y38" s="372"/>
      <c r="Z38" s="372"/>
      <c r="AA38" s="372"/>
      <c r="AB38" s="372"/>
      <c r="AC38" s="372"/>
      <c r="AD38" s="482"/>
      <c r="AE38" s="482"/>
      <c r="AF38" s="482"/>
      <c r="AG38" s="482"/>
      <c r="AH38" s="482"/>
      <c r="AI38" s="482"/>
      <c r="AJ38" s="482"/>
      <c r="AK38" s="440"/>
      <c r="AM38" s="460">
        <v>38</v>
      </c>
      <c r="AP38" s="1081"/>
      <c r="AS38" s="1081"/>
      <c r="AZ38" s="1081"/>
      <c r="BA38" s="1081"/>
    </row>
    <row r="39" spans="1:54" ht="14.25" customHeight="1" x14ac:dyDescent="0.25">
      <c r="A39" s="440"/>
      <c r="B39" s="609" t="s">
        <v>144</v>
      </c>
      <c r="C39" s="494"/>
      <c r="D39" s="514"/>
      <c r="E39" s="1606" t="s">
        <v>143</v>
      </c>
      <c r="F39" s="1606"/>
      <c r="G39" s="1606"/>
      <c r="H39" s="1606"/>
      <c r="I39" s="1597"/>
      <c r="J39" s="501"/>
      <c r="K39" s="462"/>
      <c r="L39" s="462"/>
      <c r="M39" s="513"/>
      <c r="N39" s="503"/>
      <c r="O39" s="513"/>
      <c r="P39" s="513"/>
      <c r="Q39" s="513"/>
      <c r="R39" s="513"/>
      <c r="S39" s="385">
        <f ca="1">S40+S53+S73+S92+S102</f>
        <v>564080.79599999997</v>
      </c>
      <c r="T39" s="363"/>
      <c r="U39" s="358"/>
      <c r="V39" s="358"/>
      <c r="W39" s="358"/>
      <c r="X39" s="358"/>
      <c r="Y39" s="358"/>
      <c r="Z39" s="363"/>
      <c r="AA39" s="358"/>
      <c r="AB39" s="358"/>
      <c r="AC39" s="358"/>
      <c r="AD39" s="358"/>
      <c r="AE39" s="358"/>
      <c r="AF39" s="358"/>
      <c r="AG39" s="358"/>
      <c r="AH39" s="358"/>
      <c r="AI39" s="358"/>
      <c r="AJ39" s="358"/>
      <c r="AK39" s="440"/>
      <c r="AM39" s="460">
        <v>39</v>
      </c>
      <c r="AP39" s="1081"/>
      <c r="AS39" s="1081"/>
      <c r="AZ39" s="1081"/>
      <c r="BA39" s="1081"/>
    </row>
    <row r="40" spans="1:54" ht="14.25" customHeight="1" x14ac:dyDescent="0.25">
      <c r="A40" s="440"/>
      <c r="B40" s="609"/>
      <c r="C40" s="513" t="s">
        <v>145</v>
      </c>
      <c r="D40" s="494"/>
      <c r="E40" s="1596" t="s">
        <v>133</v>
      </c>
      <c r="F40" s="1596"/>
      <c r="G40" s="1596"/>
      <c r="H40" s="1596"/>
      <c r="I40" s="1597"/>
      <c r="J40" s="501"/>
      <c r="K40" s="462"/>
      <c r="L40" s="462"/>
      <c r="M40" s="514"/>
      <c r="N40" s="519"/>
      <c r="O40" s="380"/>
      <c r="P40" s="514"/>
      <c r="Q40" s="514"/>
      <c r="R40" s="514"/>
      <c r="S40" s="355">
        <f ca="1">S41+S47</f>
        <v>165053.21999999997</v>
      </c>
      <c r="T40" s="363"/>
      <c r="U40" s="358"/>
      <c r="V40" s="358"/>
      <c r="W40" s="358"/>
      <c r="X40" s="358"/>
      <c r="Y40" s="358"/>
      <c r="Z40" s="363"/>
      <c r="AA40" s="358"/>
      <c r="AB40" s="358"/>
      <c r="AC40" s="358"/>
      <c r="AD40" s="358"/>
      <c r="AE40" s="358"/>
      <c r="AF40" s="358"/>
      <c r="AG40" s="358"/>
      <c r="AH40" s="358"/>
      <c r="AI40" s="358"/>
      <c r="AJ40" s="358"/>
      <c r="AK40" s="440"/>
      <c r="AM40" s="460">
        <v>40</v>
      </c>
      <c r="AP40" s="1081"/>
      <c r="AS40" s="1081"/>
      <c r="AZ40" s="1081"/>
      <c r="BA40" s="1081"/>
    </row>
    <row r="41" spans="1:54" ht="12" customHeight="1" x14ac:dyDescent="0.25">
      <c r="A41" s="440"/>
      <c r="B41" s="609"/>
      <c r="C41" s="513"/>
      <c r="D41" s="514" t="s">
        <v>146</v>
      </c>
      <c r="E41" s="1599" t="s">
        <v>139</v>
      </c>
      <c r="F41" s="1599"/>
      <c r="G41" s="1599"/>
      <c r="H41" s="1599"/>
      <c r="I41" s="1597"/>
      <c r="J41" s="501"/>
      <c r="K41" s="501"/>
      <c r="L41" s="503"/>
      <c r="M41" s="514"/>
      <c r="N41" s="519"/>
      <c r="O41" s="514"/>
      <c r="P41" s="501"/>
      <c r="Q41" s="501"/>
      <c r="R41" s="501"/>
      <c r="S41" s="388">
        <f ca="1">SUBTOTAL(109,S43:S46)</f>
        <v>165053.21999999997</v>
      </c>
      <c r="T41" s="363"/>
      <c r="U41" s="358"/>
      <c r="V41" s="358"/>
      <c r="W41" s="358"/>
      <c r="X41" s="358"/>
      <c r="Y41" s="358"/>
      <c r="Z41" s="358"/>
      <c r="AA41" s="358"/>
      <c r="AB41" s="358"/>
      <c r="AC41" s="358"/>
      <c r="AD41" s="358"/>
      <c r="AE41" s="358"/>
      <c r="AF41" s="358"/>
      <c r="AG41" s="358"/>
      <c r="AH41" s="358"/>
      <c r="AI41" s="358"/>
      <c r="AJ41" s="358"/>
      <c r="AK41" s="440"/>
      <c r="AM41" s="460">
        <v>41</v>
      </c>
      <c r="AP41" s="1081"/>
      <c r="AS41" s="1081"/>
      <c r="AZ41" s="1081"/>
      <c r="BA41" s="1081"/>
    </row>
    <row r="42" spans="1:54" ht="12" customHeight="1" x14ac:dyDescent="0.25">
      <c r="A42" s="440"/>
      <c r="B42" s="609"/>
      <c r="C42" s="513"/>
      <c r="D42" s="514"/>
      <c r="E42" s="514"/>
      <c r="F42" s="514"/>
      <c r="G42" s="514"/>
      <c r="H42" s="514"/>
      <c r="I42" s="511"/>
      <c r="J42" s="1603" t="s">
        <v>170</v>
      </c>
      <c r="K42" s="1603"/>
      <c r="L42" s="503"/>
      <c r="M42" s="514"/>
      <c r="N42" s="519"/>
      <c r="O42" s="514"/>
      <c r="P42" s="501"/>
      <c r="Q42" s="501"/>
      <c r="R42" s="501"/>
      <c r="S42" s="388"/>
      <c r="T42" s="363"/>
      <c r="U42" s="358"/>
      <c r="V42" s="358"/>
      <c r="W42" s="358"/>
      <c r="X42" s="358"/>
      <c r="Y42" s="358"/>
      <c r="Z42" s="358"/>
      <c r="AA42" s="358"/>
      <c r="AB42" s="358"/>
      <c r="AC42" s="358"/>
      <c r="AD42" s="358"/>
      <c r="AE42" s="358"/>
      <c r="AF42" s="358"/>
      <c r="AG42" s="358"/>
      <c r="AH42" s="358"/>
      <c r="AI42" s="358"/>
      <c r="AJ42" s="358"/>
      <c r="AK42" s="440"/>
      <c r="AM42" s="460">
        <v>42</v>
      </c>
      <c r="AP42" s="1081"/>
      <c r="AS42" s="1081"/>
      <c r="AZ42" s="1081"/>
      <c r="BA42" s="1081"/>
    </row>
    <row r="43" spans="1:54" ht="12" customHeight="1" x14ac:dyDescent="0.2">
      <c r="A43" s="440"/>
      <c r="B43" s="609"/>
      <c r="C43" s="513"/>
      <c r="D43" s="514"/>
      <c r="E43" s="1084" t="str">
        <f ca="1">IF(AX43="E","",AN43)</f>
        <v>Spengler und Schwarzdecker LD30</v>
      </c>
      <c r="F43" s="1085"/>
      <c r="G43" s="1264"/>
      <c r="H43" s="1264"/>
      <c r="I43" s="1265"/>
      <c r="J43" s="638"/>
      <c r="K43" s="520" t="s">
        <v>177</v>
      </c>
      <c r="L43" s="521"/>
      <c r="M43" s="338"/>
      <c r="N43" s="521" t="s">
        <v>67</v>
      </c>
      <c r="O43" s="344"/>
      <c r="P43" s="504" t="s">
        <v>68</v>
      </c>
      <c r="Q43" s="344"/>
      <c r="R43" s="522" t="s">
        <v>363</v>
      </c>
      <c r="S43" s="353">
        <f ca="1">IF(AY43="E",(M43*O43)+Q43,AO43)</f>
        <v>71565.119999999995</v>
      </c>
      <c r="T43" s="523"/>
      <c r="U43" s="350"/>
      <c r="V43" s="308"/>
      <c r="W43" s="1090" t="str">
        <f ca="1">IF(AZ43="E",IF(AND(V43&lt;&gt;0,U43&lt;&gt;0),"X",IF(AND(V43&lt;&gt;0,U43=0),"A",IF(AND(V43=0,U43&lt;&gt;0),"P",""))),AR43)</f>
        <v/>
      </c>
      <c r="X43" s="1103">
        <f ca="1">IF(AZ43="E",IFERROR(IF(W43="X",0,IF(U43&gt;0,U43,V43/S43)),0),
IFERROR(IF(OR(AR43="X",AR43=0),0,
IF(AR43="P",AP43,IF(AR43="A",AQ43/S43,0))),0))</f>
        <v>0</v>
      </c>
      <c r="Y43" s="1120">
        <f ca="1">IF(AZ43="E",IFERROR(IF(W43="X",0,IF(V43&gt;0,V43,S43*U43)),0),
IFERROR(IF(OR(AR43="X",AR43="0"),0,IF(AR43="A",AQ43,S43*AP43)),0))</f>
        <v>0</v>
      </c>
      <c r="Z43" s="524"/>
      <c r="AA43" s="350"/>
      <c r="AB43" s="308"/>
      <c r="AC43" s="1090" t="str">
        <f ca="1">IF(BA43="E",IF(AND(AB43&lt;&gt;0,AA43&lt;&gt;0),"X",IF(AND(AB43&lt;&gt;0,AA43=0),"A",IF(AND(AB43=0,AA43&lt;&gt;0),"P",""))),AU43)</f>
        <v>A</v>
      </c>
      <c r="AD43" s="1103">
        <f ca="1">IF(BA43="E",IFERROR(IF(AC43="X",0,IF(AA43&gt;0,AA43,AB43/S43)),0),
IFERROR(IF(OR(AU43="X",AU43=0),0,
IF(AU43="P",AS43,IF(AU43="A",AT43/S43,0))),0))</f>
        <v>5.9945403570901585E-4</v>
      </c>
      <c r="AE43" s="1120">
        <f ca="1">IF(BA43="E",IFERROR(IF(AC43="X",0,IF(AB43&gt;0,AB43,S43*AA43)),0),
IFERROR(IF(OR(AU43="X",AU43=0),0,
IF(AU43="A",AT43,S43*AS43)),0))</f>
        <v>42.9</v>
      </c>
      <c r="AF43" s="525"/>
      <c r="AG43" s="637"/>
      <c r="AH43" s="525"/>
      <c r="AI43" s="1086">
        <f ca="1">IF(BB43="E",AG43,AV43)</f>
        <v>30</v>
      </c>
      <c r="AJ43" s="380"/>
      <c r="AK43" s="440"/>
      <c r="AM43" s="460">
        <v>43</v>
      </c>
      <c r="AN43" s="1087" t="str">
        <f ca="1">IF($M$13=$AN$12,"",IF(ISTEXT(INDIRECT("'"&amp;$AM$20&amp;"'!"&amp;AN$21&amp;$AM43)),INDIRECT("'"&amp;$AM$20&amp;"'!"&amp;AN$21&amp;$AM43),INDIRECT("'"&amp;$AM$20&amp;"'!"&amp;AN$22&amp;$AM43)))</f>
        <v>Spengler und Schwarzdecker LD30</v>
      </c>
      <c r="AO43" s="1083">
        <f t="shared" ref="AO43:AV43" ca="1" si="0">IF($M$13=$AN$12,"",INDIRECT("'"&amp;$AM$20&amp;"'!"&amp;AO$21&amp;$AM43))</f>
        <v>71565.119999999995</v>
      </c>
      <c r="AP43" s="356">
        <f t="shared" ca="1" si="0"/>
        <v>0</v>
      </c>
      <c r="AQ43" s="357">
        <f t="shared" ca="1" si="0"/>
        <v>0</v>
      </c>
      <c r="AR43" s="524" t="str">
        <f ca="1">IF($M$13=$AN$12,"",INDIRECT("'"&amp;$AM$20&amp;"'!"&amp;AR$21&amp;$AM43))</f>
        <v/>
      </c>
      <c r="AS43" s="356">
        <f t="shared" ca="1" si="0"/>
        <v>5.9945403570901585E-4</v>
      </c>
      <c r="AT43" s="357">
        <f t="shared" ca="1" si="0"/>
        <v>42.9</v>
      </c>
      <c r="AU43" s="524" t="str">
        <f t="shared" ca="1" si="0"/>
        <v>A</v>
      </c>
      <c r="AV43" s="1083">
        <f t="shared" ca="1" si="0"/>
        <v>30</v>
      </c>
      <c r="AX43" s="1083" t="str">
        <f>IF($M$13=$AN$12,"E",IF(ISTEXT(F43),"E","U"))</f>
        <v>U</v>
      </c>
      <c r="AY43" s="1083" t="str">
        <f>IF($M$13=$AN$12,"E",IF(OR(ISNUMBER(M43),ISNUMBER(O43),ISNUMBER(Q43)),"E","U"))</f>
        <v>U</v>
      </c>
      <c r="AZ43" s="1083" t="str">
        <f>IF($M$13=$AN$12,"E",IF(OR(ISNUMBER(U43),ISNUMBER(V43)),"E","U"))</f>
        <v>U</v>
      </c>
      <c r="BA43" s="1083" t="str">
        <f>IF($M$13=$AN$12,"E",IF(OR(ISNUMBER(AA43),ISNUMBER(AB43)),"E","U"))</f>
        <v>U</v>
      </c>
      <c r="BB43" s="1083" t="str">
        <f>IF($M$13=$AN$12,"E",IF(ISNUMBER(AG43),"E","U"))</f>
        <v>U</v>
      </c>
    </row>
    <row r="44" spans="1:54" ht="12" customHeight="1" x14ac:dyDescent="0.2">
      <c r="A44" s="440"/>
      <c r="B44" s="609"/>
      <c r="C44" s="513"/>
      <c r="D44" s="514"/>
      <c r="E44" s="1084" t="str">
        <f ca="1">IF(AX44="E","",AN44)</f>
        <v xml:space="preserve">  für Dichtungen und Öffnungen</v>
      </c>
      <c r="F44" s="1085"/>
      <c r="G44" s="1264"/>
      <c r="H44" s="1264"/>
      <c r="I44" s="1265"/>
      <c r="J44" s="638"/>
      <c r="K44" s="520" t="s">
        <v>177</v>
      </c>
      <c r="L44" s="521"/>
      <c r="M44" s="342"/>
      <c r="N44" s="521" t="s">
        <v>67</v>
      </c>
      <c r="O44" s="344"/>
      <c r="P44" s="504" t="s">
        <v>68</v>
      </c>
      <c r="Q44" s="344"/>
      <c r="R44" s="522" t="s">
        <v>363</v>
      </c>
      <c r="S44" s="353">
        <f ca="1">IF(AY44="E",(M44*O44)+Q44,AO44)</f>
        <v>0</v>
      </c>
      <c r="T44" s="523"/>
      <c r="U44" s="350"/>
      <c r="V44" s="308"/>
      <c r="W44" s="1090" t="str">
        <f t="shared" ref="W44:W46" ca="1" si="1">IF(AZ44="E",IF(AND(V44&lt;&gt;0,U44&lt;&gt;0),"X",IF(AND(V44&lt;&gt;0,U44=0),"A",IF(AND(V44=0,U44&lt;&gt;0),"P",""))),AR44)</f>
        <v/>
      </c>
      <c r="X44" s="1103">
        <f t="shared" ref="X44:X46" ca="1" si="2">IF(AZ44="E",IFERROR(IF(W44="X",0,IF(U44&gt;0,U44,V44/S44)),0),
IFERROR(IF(OR(AR44="X",AR44=0),0,
IF(AR44="P",AP44,IF(AR44="A",AQ44/S44,0))),0))</f>
        <v>0</v>
      </c>
      <c r="Y44" s="1120">
        <f t="shared" ref="Y44:Y46" ca="1" si="3">IF(AZ44="E",IFERROR(IF(W44="X",0,IF(V44&gt;0,V44,S44*U44)),0),
IFERROR(IF(OR(AR44="X",AR44="0"),0,IF(AR44="A",AQ44,S44*AP44)),0))</f>
        <v>0</v>
      </c>
      <c r="Z44" s="524"/>
      <c r="AA44" s="350"/>
      <c r="AB44" s="308"/>
      <c r="AC44" s="1090" t="str">
        <f t="shared" ref="AC44:AC46" ca="1" si="4">IF(BA44="E",IF(AND(AB44&lt;&gt;0,AA44&lt;&gt;0),"X",IF(AND(AB44&lt;&gt;0,AA44=0),"A",IF(AND(AB44=0,AA44&lt;&gt;0),"P",""))),AU44)</f>
        <v/>
      </c>
      <c r="AD44" s="1103">
        <f t="shared" ref="AD44:AD46" ca="1" si="5">IF(BA44="E",IFERROR(IF(AC44="X",0,IF(AA44&gt;0,AA44,AB44/S44)),0),
IFERROR(IF(OR(AU44="X",AU44=0),0,
IF(AU44="P",AS44,IF(AU44="A",AT44/S44,0))),0))</f>
        <v>0</v>
      </c>
      <c r="AE44" s="1120">
        <f t="shared" ref="AE44:AE46" ca="1" si="6">IF(BA44="E",IFERROR(IF(AC44="X",0,IF(AB44&gt;0,AB44,S44*AA44)),0),
IFERROR(IF(OR(AU44="X",AU44=0),0,
IF(AU44="A",AT44,S44*AS44)),0))</f>
        <v>0</v>
      </c>
      <c r="AF44" s="525"/>
      <c r="AG44" s="637"/>
      <c r="AH44" s="525"/>
      <c r="AI44" s="1086">
        <f ca="1">IF(BB44="E",AG44,AV44)</f>
        <v>0</v>
      </c>
      <c r="AJ44" s="380"/>
      <c r="AK44" s="440"/>
      <c r="AM44" s="460">
        <v>44</v>
      </c>
      <c r="AN44" s="1087" t="str">
        <f t="shared" ref="AN44:AN46" ca="1" si="7">IF($M$13=$AN$12,"",IF(ISTEXT(INDIRECT("'"&amp;$AM$20&amp;"'!"&amp;AN$21&amp;$AM44)),INDIRECT("'"&amp;$AM$20&amp;"'!"&amp;AN$21&amp;$AM44),INDIRECT("'"&amp;$AM$20&amp;"'!"&amp;AN$22&amp;$AM44)))</f>
        <v xml:space="preserve">  für Dichtungen und Öffnungen</v>
      </c>
      <c r="AO44" s="1083">
        <f t="shared" ref="AO44:AV46" ca="1" si="8">IF($M$13=$AN$12,"",INDIRECT("'"&amp;$AM$20&amp;"'!"&amp;AO$21&amp;$AM44))</f>
        <v>0</v>
      </c>
      <c r="AP44" s="356">
        <f t="shared" ca="1" si="8"/>
        <v>0</v>
      </c>
      <c r="AQ44" s="357">
        <f t="shared" ca="1" si="8"/>
        <v>0</v>
      </c>
      <c r="AR44" s="524" t="str">
        <f t="shared" ca="1" si="8"/>
        <v/>
      </c>
      <c r="AS44" s="356">
        <f t="shared" ca="1" si="8"/>
        <v>0</v>
      </c>
      <c r="AT44" s="357">
        <f t="shared" ca="1" si="8"/>
        <v>0</v>
      </c>
      <c r="AU44" s="524" t="str">
        <f t="shared" ca="1" si="8"/>
        <v/>
      </c>
      <c r="AV44" s="1083">
        <f t="shared" ca="1" si="8"/>
        <v>0</v>
      </c>
      <c r="AX44" s="1083" t="str">
        <f t="shared" ref="AX44:AX46" si="9">IF($M$13=$AN$12,"E",IF(ISTEXT(F44),"E","U"))</f>
        <v>U</v>
      </c>
      <c r="AY44" s="1083" t="str">
        <f t="shared" ref="AY44:AY46" si="10">IF($M$13=$AN$12,"E",IF(OR(ISNUMBER(M44),ISNUMBER(O44),ISNUMBER(Q44)),"E","U"))</f>
        <v>U</v>
      </c>
      <c r="AZ44" s="1083" t="str">
        <f t="shared" ref="AZ44:AZ46" si="11">IF($M$13=$AN$12,"E",IF(OR(ISNUMBER(U44),ISNUMBER(V44)),"E","U"))</f>
        <v>U</v>
      </c>
      <c r="BA44" s="1083" t="str">
        <f t="shared" ref="BA44:BA46" si="12">IF($M$13=$AN$12,"E",IF(OR(ISNUMBER(AA44),ISNUMBER(AB44)),"E","U"))</f>
        <v>U</v>
      </c>
      <c r="BB44" s="1083" t="str">
        <f t="shared" ref="BB44:BB46" si="13">IF($M$13=$AN$12,"E",IF(ISNUMBER(AG44),"E","U"))</f>
        <v>U</v>
      </c>
    </row>
    <row r="45" spans="1:54" ht="12" customHeight="1" x14ac:dyDescent="0.2">
      <c r="A45" s="440"/>
      <c r="B45" s="609"/>
      <c r="C45" s="513"/>
      <c r="D45" s="514"/>
      <c r="E45" s="1084" t="str">
        <f ca="1">IF(AX45="E","",AN45)</f>
        <v>Spengler und Schwarzdecker LD50</v>
      </c>
      <c r="F45" s="1085"/>
      <c r="G45" s="1264"/>
      <c r="H45" s="1264"/>
      <c r="I45" s="1265"/>
      <c r="J45" s="638"/>
      <c r="K45" s="520" t="s">
        <v>177</v>
      </c>
      <c r="L45" s="521"/>
      <c r="M45" s="342"/>
      <c r="N45" s="521" t="s">
        <v>67</v>
      </c>
      <c r="O45" s="344"/>
      <c r="P45" s="504" t="s">
        <v>68</v>
      </c>
      <c r="Q45" s="344">
        <f>77906.75*1.2</f>
        <v>93488.099999999991</v>
      </c>
      <c r="R45" s="522" t="s">
        <v>363</v>
      </c>
      <c r="S45" s="353">
        <f>IF(AY45="E",(M45*O45)+Q45,AO45)</f>
        <v>93488.099999999991</v>
      </c>
      <c r="T45" s="523"/>
      <c r="U45" s="350"/>
      <c r="V45" s="308"/>
      <c r="W45" s="1090" t="str">
        <f t="shared" ca="1" si="1"/>
        <v/>
      </c>
      <c r="X45" s="1103">
        <f t="shared" ca="1" si="2"/>
        <v>0</v>
      </c>
      <c r="Y45" s="1120">
        <f t="shared" ca="1" si="3"/>
        <v>0</v>
      </c>
      <c r="Z45" s="524"/>
      <c r="AA45" s="350"/>
      <c r="AB45" s="308"/>
      <c r="AC45" s="1090" t="str">
        <f t="shared" ca="1" si="4"/>
        <v/>
      </c>
      <c r="AD45" s="1103">
        <f t="shared" ca="1" si="5"/>
        <v>0</v>
      </c>
      <c r="AE45" s="1120">
        <f t="shared" ca="1" si="6"/>
        <v>0</v>
      </c>
      <c r="AF45" s="525"/>
      <c r="AG45" s="637"/>
      <c r="AH45" s="525"/>
      <c r="AI45" s="1086">
        <f ca="1">IF(BB45="E",AG45,AV45)</f>
        <v>50</v>
      </c>
      <c r="AJ45" s="380"/>
      <c r="AK45" s="440"/>
      <c r="AM45" s="460">
        <v>45</v>
      </c>
      <c r="AN45" s="1087" t="str">
        <f t="shared" ca="1" si="7"/>
        <v>Spengler und Schwarzdecker LD50</v>
      </c>
      <c r="AO45" s="1083">
        <f t="shared" ca="1" si="8"/>
        <v>73800</v>
      </c>
      <c r="AP45" s="356">
        <f t="shared" ca="1" si="8"/>
        <v>0</v>
      </c>
      <c r="AQ45" s="357">
        <f t="shared" ca="1" si="8"/>
        <v>0</v>
      </c>
      <c r="AR45" s="524" t="str">
        <f t="shared" ca="1" si="8"/>
        <v/>
      </c>
      <c r="AS45" s="356">
        <f t="shared" ca="1" si="8"/>
        <v>0</v>
      </c>
      <c r="AT45" s="357">
        <f t="shared" ca="1" si="8"/>
        <v>0</v>
      </c>
      <c r="AU45" s="524" t="str">
        <f t="shared" ca="1" si="8"/>
        <v/>
      </c>
      <c r="AV45" s="1083">
        <f t="shared" ca="1" si="8"/>
        <v>50</v>
      </c>
      <c r="AX45" s="1083" t="str">
        <f t="shared" si="9"/>
        <v>U</v>
      </c>
      <c r="AY45" s="1083" t="str">
        <f t="shared" si="10"/>
        <v>E</v>
      </c>
      <c r="AZ45" s="1083" t="str">
        <f t="shared" si="11"/>
        <v>U</v>
      </c>
      <c r="BA45" s="1083" t="str">
        <f t="shared" si="12"/>
        <v>U</v>
      </c>
      <c r="BB45" s="1083" t="str">
        <f t="shared" si="13"/>
        <v>U</v>
      </c>
    </row>
    <row r="46" spans="1:54" ht="12" customHeight="1" x14ac:dyDescent="0.2">
      <c r="A46" s="440"/>
      <c r="B46" s="609"/>
      <c r="C46" s="513"/>
      <c r="D46" s="514"/>
      <c r="E46" s="1084" t="str">
        <f ca="1">IF(AX46="E","",AN46)</f>
        <v xml:space="preserve"> Für Dämmschicht und Verblechung</v>
      </c>
      <c r="F46" s="1085"/>
      <c r="G46" s="1264"/>
      <c r="H46" s="1264"/>
      <c r="I46" s="1265"/>
      <c r="J46" s="638"/>
      <c r="K46" s="520" t="s">
        <v>177</v>
      </c>
      <c r="L46" s="521"/>
      <c r="M46" s="342"/>
      <c r="N46" s="521" t="s">
        <v>67</v>
      </c>
      <c r="O46" s="344"/>
      <c r="P46" s="504" t="s">
        <v>68</v>
      </c>
      <c r="Q46" s="344"/>
      <c r="R46" s="522" t="s">
        <v>363</v>
      </c>
      <c r="S46" s="353">
        <f ca="1">IF(AY46="E",(M46*O46)+Q46,AO46)</f>
        <v>0</v>
      </c>
      <c r="T46" s="523"/>
      <c r="U46" s="350"/>
      <c r="V46" s="308"/>
      <c r="W46" s="1090" t="str">
        <f t="shared" ca="1" si="1"/>
        <v/>
      </c>
      <c r="X46" s="1103">
        <f t="shared" ca="1" si="2"/>
        <v>0</v>
      </c>
      <c r="Y46" s="1120">
        <f t="shared" ca="1" si="3"/>
        <v>0</v>
      </c>
      <c r="Z46" s="524"/>
      <c r="AA46" s="350"/>
      <c r="AB46" s="308"/>
      <c r="AC46" s="1090" t="str">
        <f t="shared" ca="1" si="4"/>
        <v/>
      </c>
      <c r="AD46" s="1103">
        <f t="shared" ca="1" si="5"/>
        <v>0</v>
      </c>
      <c r="AE46" s="1120">
        <f t="shared" ca="1" si="6"/>
        <v>0</v>
      </c>
      <c r="AF46" s="525"/>
      <c r="AG46" s="637"/>
      <c r="AH46" s="525"/>
      <c r="AI46" s="1086">
        <f ca="1">IF(BB46="E",AG46,AV46)</f>
        <v>0</v>
      </c>
      <c r="AJ46" s="380"/>
      <c r="AK46" s="440"/>
      <c r="AM46" s="460">
        <v>46</v>
      </c>
      <c r="AN46" s="1087" t="str">
        <f t="shared" ca="1" si="7"/>
        <v xml:space="preserve"> Für Dämmschicht und Verblechung</v>
      </c>
      <c r="AO46" s="1083">
        <f t="shared" ca="1" si="8"/>
        <v>0</v>
      </c>
      <c r="AP46" s="356">
        <f t="shared" ca="1" si="8"/>
        <v>0</v>
      </c>
      <c r="AQ46" s="357">
        <f t="shared" ca="1" si="8"/>
        <v>0</v>
      </c>
      <c r="AR46" s="524" t="str">
        <f t="shared" ca="1" si="8"/>
        <v/>
      </c>
      <c r="AS46" s="356">
        <f t="shared" ca="1" si="8"/>
        <v>0</v>
      </c>
      <c r="AT46" s="357">
        <f t="shared" ca="1" si="8"/>
        <v>0</v>
      </c>
      <c r="AU46" s="524" t="str">
        <f t="shared" ca="1" si="8"/>
        <v/>
      </c>
      <c r="AV46" s="1083">
        <f t="shared" ca="1" si="8"/>
        <v>0</v>
      </c>
      <c r="AX46" s="1083" t="str">
        <f t="shared" si="9"/>
        <v>U</v>
      </c>
      <c r="AY46" s="1083" t="str">
        <f t="shared" si="10"/>
        <v>U</v>
      </c>
      <c r="AZ46" s="1083" t="str">
        <f t="shared" si="11"/>
        <v>U</v>
      </c>
      <c r="BA46" s="1083" t="str">
        <f t="shared" si="12"/>
        <v>U</v>
      </c>
      <c r="BB46" s="1083" t="str">
        <f t="shared" si="13"/>
        <v>U</v>
      </c>
    </row>
    <row r="47" spans="1:54" ht="12" customHeight="1" x14ac:dyDescent="0.25">
      <c r="A47" s="440"/>
      <c r="B47" s="609"/>
      <c r="C47" s="513"/>
      <c r="D47" s="514" t="s">
        <v>147</v>
      </c>
      <c r="E47" s="1599" t="s">
        <v>140</v>
      </c>
      <c r="F47" s="1599"/>
      <c r="G47" s="1599"/>
      <c r="H47" s="1599"/>
      <c r="I47" s="1597"/>
      <c r="J47" s="501"/>
      <c r="K47" s="501"/>
      <c r="L47" s="503"/>
      <c r="M47" s="526"/>
      <c r="N47" s="519"/>
      <c r="O47" s="527"/>
      <c r="P47" s="514"/>
      <c r="Q47" s="514"/>
      <c r="R47" s="514"/>
      <c r="S47" s="354">
        <f ca="1">SUBTOTAL(109,S49:S52)</f>
        <v>0</v>
      </c>
      <c r="T47" s="363"/>
      <c r="U47" s="358"/>
      <c r="V47" s="358"/>
      <c r="W47" s="1091"/>
      <c r="X47" s="1104"/>
      <c r="Y47" s="1104"/>
      <c r="Z47" s="358"/>
      <c r="AA47" s="358"/>
      <c r="AB47" s="358"/>
      <c r="AC47" s="1091"/>
      <c r="AD47" s="1104"/>
      <c r="AE47" s="1104"/>
      <c r="AF47" s="358"/>
      <c r="AG47" s="358"/>
      <c r="AH47" s="358"/>
      <c r="AI47" s="358"/>
      <c r="AJ47" s="358"/>
      <c r="AK47" s="440"/>
      <c r="AM47" s="460">
        <v>47</v>
      </c>
      <c r="AN47" s="1078"/>
      <c r="AP47" s="1081"/>
      <c r="AS47" s="1081"/>
      <c r="AZ47" s="1081"/>
      <c r="BA47" s="1081"/>
    </row>
    <row r="48" spans="1:54" ht="12" customHeight="1" x14ac:dyDescent="0.25">
      <c r="A48" s="440"/>
      <c r="B48" s="609"/>
      <c r="C48" s="513"/>
      <c r="D48" s="514"/>
      <c r="E48" s="514"/>
      <c r="F48" s="514"/>
      <c r="G48" s="514"/>
      <c r="H48" s="514"/>
      <c r="I48" s="511"/>
      <c r="J48" s="1603" t="s">
        <v>170</v>
      </c>
      <c r="K48" s="1603"/>
      <c r="L48" s="503"/>
      <c r="M48" s="526"/>
      <c r="N48" s="519"/>
      <c r="O48" s="527"/>
      <c r="P48" s="514"/>
      <c r="Q48" s="514"/>
      <c r="R48" s="514"/>
      <c r="S48" s="354"/>
      <c r="T48" s="363"/>
      <c r="U48" s="358"/>
      <c r="V48" s="358"/>
      <c r="W48" s="1091"/>
      <c r="X48" s="1104"/>
      <c r="Y48" s="1104"/>
      <c r="Z48" s="358"/>
      <c r="AA48" s="358"/>
      <c r="AB48" s="358"/>
      <c r="AC48" s="1091"/>
      <c r="AD48" s="1104"/>
      <c r="AE48" s="1104"/>
      <c r="AF48" s="358"/>
      <c r="AG48" s="358"/>
      <c r="AH48" s="358"/>
      <c r="AI48" s="358"/>
      <c r="AJ48" s="358"/>
      <c r="AK48" s="440"/>
      <c r="AM48" s="460">
        <v>48</v>
      </c>
      <c r="AN48" s="1078"/>
      <c r="AP48" s="1081"/>
      <c r="AS48" s="1081"/>
      <c r="AZ48" s="1081"/>
      <c r="BA48" s="1081"/>
    </row>
    <row r="49" spans="1:54" ht="12" customHeight="1" x14ac:dyDescent="0.2">
      <c r="A49" s="440"/>
      <c r="B49" s="609"/>
      <c r="C49" s="513"/>
      <c r="D49" s="514"/>
      <c r="E49" s="1084">
        <f ca="1">IF(AX49="E","",AN49)</f>
        <v>0</v>
      </c>
      <c r="F49" s="1085"/>
      <c r="G49" s="1264"/>
      <c r="H49" s="1264"/>
      <c r="I49" s="1265"/>
      <c r="J49" s="638"/>
      <c r="K49" s="520" t="s">
        <v>177</v>
      </c>
      <c r="L49" s="521"/>
      <c r="M49" s="342"/>
      <c r="N49" s="528" t="s">
        <v>67</v>
      </c>
      <c r="O49" s="344"/>
      <c r="P49" s="504" t="s">
        <v>68</v>
      </c>
      <c r="Q49" s="344"/>
      <c r="R49" s="522" t="s">
        <v>363</v>
      </c>
      <c r="S49" s="353">
        <f t="shared" ref="S49:S52" ca="1" si="14">IF(AY49="E",(M49*O49)+Q49,AO49)</f>
        <v>0</v>
      </c>
      <c r="T49" s="523"/>
      <c r="U49" s="350"/>
      <c r="V49" s="308"/>
      <c r="W49" s="1090" t="str">
        <f t="shared" ref="W49:W52" ca="1" si="15">IF(AZ49="E",IF(AND(V49&lt;&gt;0,U49&lt;&gt;0),"X",IF(AND(V49&lt;&gt;0,U49=0),"A",IF(AND(V49=0,U49&lt;&gt;0),"P",""))),AR49)</f>
        <v/>
      </c>
      <c r="X49" s="1103">
        <f t="shared" ref="X49:X52" ca="1" si="16">IF(AZ49="E",IFERROR(IF(W49="X",0,IF(U49&gt;0,U49,V49/S49)),0),
IFERROR(IF(OR(AR49="X",AR49=0),0,
IF(AR49="P",AP49,IF(AR49="A",AQ49/S49,0))),0))</f>
        <v>0</v>
      </c>
      <c r="Y49" s="1120">
        <f t="shared" ref="Y49:Y52" ca="1" si="17">IF(AZ49="E",IFERROR(IF(W49="X",0,IF(V49&gt;0,V49,S49*U49)),0),
IFERROR(IF(OR(AR49="X",AR49="0"),0,IF(AR49="A",AQ49,S49*AP49)),0))</f>
        <v>0</v>
      </c>
      <c r="Z49" s="524"/>
      <c r="AA49" s="350"/>
      <c r="AB49" s="308"/>
      <c r="AC49" s="1090" t="str">
        <f t="shared" ref="AC49:AC52" ca="1" si="18">IF(BA49="E",IF(AND(AB49&lt;&gt;0,AA49&lt;&gt;0),"X",IF(AND(AB49&lt;&gt;0,AA49=0),"A",IF(AND(AB49=0,AA49&lt;&gt;0),"P",""))),AU49)</f>
        <v/>
      </c>
      <c r="AD49" s="1103">
        <f t="shared" ref="AD49:AD52" ca="1" si="19">IF(BA49="E",IFERROR(IF(AC49="X",0,IF(AA49&gt;0,AA49,AB49/S49)),0),
IFERROR(IF(OR(AU49="X",AU49=0),0,
IF(AU49="P",AS49,IF(AU49="A",AT49/S49,0))),0))</f>
        <v>0</v>
      </c>
      <c r="AE49" s="1120">
        <f t="shared" ref="AE49:AE52" ca="1" si="20">IF(BA49="E",IFERROR(IF(AC49="X",0,IF(AB49&gt;0,AB49,S49*AA49)),0),
IFERROR(IF(OR(AU49="X",AU49=0),0,
IF(AU49="A",AT49,S49*AS49)),0))</f>
        <v>0</v>
      </c>
      <c r="AF49" s="525"/>
      <c r="AG49" s="637"/>
      <c r="AH49" s="525"/>
      <c r="AI49" s="1086">
        <f t="shared" ref="AI49:AI52" ca="1" si="21">IF(BB49="E",AG49,AV49)</f>
        <v>0</v>
      </c>
      <c r="AJ49" s="380"/>
      <c r="AK49" s="440"/>
      <c r="AM49" s="460">
        <v>49</v>
      </c>
      <c r="AN49" s="1087">
        <f t="shared" ref="AN49:AN52" ca="1" si="22">IF($M$13=$AN$12,"",IF(ISTEXT(INDIRECT("'"&amp;$AM$20&amp;"'!"&amp;AN$21&amp;$AM49)),INDIRECT("'"&amp;$AM$20&amp;"'!"&amp;AN$21&amp;$AM49),INDIRECT("'"&amp;$AM$20&amp;"'!"&amp;AN$22&amp;$AM49)))</f>
        <v>0</v>
      </c>
      <c r="AO49" s="1083">
        <f t="shared" ref="AO49:AV52" ca="1" si="23">IF($M$13=$AN$12,"",INDIRECT("'"&amp;$AM$20&amp;"'!"&amp;AO$21&amp;$AM49))</f>
        <v>0</v>
      </c>
      <c r="AP49" s="356">
        <f t="shared" ca="1" si="23"/>
        <v>0</v>
      </c>
      <c r="AQ49" s="357">
        <f t="shared" ca="1" si="23"/>
        <v>0</v>
      </c>
      <c r="AR49" s="524" t="str">
        <f t="shared" ca="1" si="23"/>
        <v/>
      </c>
      <c r="AS49" s="356">
        <f t="shared" ca="1" si="23"/>
        <v>0</v>
      </c>
      <c r="AT49" s="357">
        <f t="shared" ca="1" si="23"/>
        <v>0</v>
      </c>
      <c r="AU49" s="524" t="str">
        <f t="shared" ca="1" si="23"/>
        <v/>
      </c>
      <c r="AV49" s="1083">
        <f t="shared" ca="1" si="23"/>
        <v>0</v>
      </c>
      <c r="AX49" s="1083" t="str">
        <f t="shared" ref="AX49:AX52" si="24">IF($M$13=$AN$12,"E",IF(ISTEXT(F49),"E","U"))</f>
        <v>U</v>
      </c>
      <c r="AY49" s="1083" t="str">
        <f t="shared" ref="AY49:AY52" si="25">IF($M$13=$AN$12,"E",IF(OR(ISNUMBER(M49),ISNUMBER(O49),ISNUMBER(Q49)),"E","U"))</f>
        <v>U</v>
      </c>
      <c r="AZ49" s="1083" t="str">
        <f t="shared" ref="AZ49:AZ52" si="26">IF($M$13=$AN$12,"E",IF(OR(ISNUMBER(U49),ISNUMBER(V49)),"E","U"))</f>
        <v>U</v>
      </c>
      <c r="BA49" s="1083" t="str">
        <f t="shared" ref="BA49:BA52" si="27">IF($M$13=$AN$12,"E",IF(OR(ISNUMBER(AA49),ISNUMBER(AB49)),"E","U"))</f>
        <v>U</v>
      </c>
      <c r="BB49" s="1083" t="str">
        <f t="shared" ref="BB49:BB52" si="28">IF($M$13=$AN$12,"E",IF(ISNUMBER(AG49),"E","U"))</f>
        <v>U</v>
      </c>
    </row>
    <row r="50" spans="1:54" ht="12" customHeight="1" x14ac:dyDescent="0.2">
      <c r="A50" s="440"/>
      <c r="B50" s="609"/>
      <c r="C50" s="513"/>
      <c r="D50" s="514"/>
      <c r="E50" s="1084">
        <f ca="1">IF(AX50="E","",AN50)</f>
        <v>0</v>
      </c>
      <c r="F50" s="1085"/>
      <c r="G50" s="1264"/>
      <c r="H50" s="1264"/>
      <c r="I50" s="1265"/>
      <c r="J50" s="638"/>
      <c r="K50" s="520" t="s">
        <v>177</v>
      </c>
      <c r="L50" s="521"/>
      <c r="M50" s="342"/>
      <c r="N50" s="528" t="s">
        <v>67</v>
      </c>
      <c r="O50" s="344"/>
      <c r="P50" s="504" t="s">
        <v>68</v>
      </c>
      <c r="Q50" s="344"/>
      <c r="R50" s="522" t="s">
        <v>363</v>
      </c>
      <c r="S50" s="353">
        <f t="shared" ca="1" si="14"/>
        <v>0</v>
      </c>
      <c r="T50" s="523"/>
      <c r="U50" s="350"/>
      <c r="V50" s="308"/>
      <c r="W50" s="1090" t="str">
        <f t="shared" ca="1" si="15"/>
        <v/>
      </c>
      <c r="X50" s="1103">
        <f t="shared" ca="1" si="16"/>
        <v>0</v>
      </c>
      <c r="Y50" s="1120">
        <f t="shared" ca="1" si="17"/>
        <v>0</v>
      </c>
      <c r="Z50" s="524"/>
      <c r="AA50" s="350"/>
      <c r="AB50" s="308"/>
      <c r="AC50" s="1090" t="str">
        <f t="shared" ca="1" si="18"/>
        <v/>
      </c>
      <c r="AD50" s="1103">
        <f t="shared" ca="1" si="19"/>
        <v>0</v>
      </c>
      <c r="AE50" s="1120">
        <f t="shared" ca="1" si="20"/>
        <v>0</v>
      </c>
      <c r="AF50" s="525"/>
      <c r="AG50" s="637"/>
      <c r="AH50" s="525"/>
      <c r="AI50" s="1086">
        <f t="shared" ca="1" si="21"/>
        <v>0</v>
      </c>
      <c r="AJ50" s="380"/>
      <c r="AK50" s="440"/>
      <c r="AM50" s="460">
        <v>50</v>
      </c>
      <c r="AN50" s="1087">
        <f t="shared" ca="1" si="22"/>
        <v>0</v>
      </c>
      <c r="AO50" s="1083">
        <f t="shared" ca="1" si="23"/>
        <v>0</v>
      </c>
      <c r="AP50" s="356">
        <f t="shared" ca="1" si="23"/>
        <v>0</v>
      </c>
      <c r="AQ50" s="357">
        <f t="shared" ca="1" si="23"/>
        <v>0</v>
      </c>
      <c r="AR50" s="524" t="str">
        <f t="shared" ca="1" si="23"/>
        <v/>
      </c>
      <c r="AS50" s="356">
        <f t="shared" ca="1" si="23"/>
        <v>0</v>
      </c>
      <c r="AT50" s="357">
        <f t="shared" ca="1" si="23"/>
        <v>0</v>
      </c>
      <c r="AU50" s="524" t="str">
        <f t="shared" ca="1" si="23"/>
        <v/>
      </c>
      <c r="AV50" s="1083">
        <f t="shared" ca="1" si="23"/>
        <v>0</v>
      </c>
      <c r="AX50" s="1083" t="str">
        <f t="shared" si="24"/>
        <v>U</v>
      </c>
      <c r="AY50" s="1083" t="str">
        <f t="shared" si="25"/>
        <v>U</v>
      </c>
      <c r="AZ50" s="1083" t="str">
        <f t="shared" si="26"/>
        <v>U</v>
      </c>
      <c r="BA50" s="1083" t="str">
        <f t="shared" si="27"/>
        <v>U</v>
      </c>
      <c r="BB50" s="1083" t="str">
        <f t="shared" si="28"/>
        <v>U</v>
      </c>
    </row>
    <row r="51" spans="1:54" ht="12" customHeight="1" x14ac:dyDescent="0.2">
      <c r="A51" s="440"/>
      <c r="B51" s="609"/>
      <c r="C51" s="513"/>
      <c r="D51" s="514"/>
      <c r="E51" s="1084">
        <f ca="1">IF(AX51="E","",AN51)</f>
        <v>0</v>
      </c>
      <c r="F51" s="1085"/>
      <c r="G51" s="1264"/>
      <c r="H51" s="1264"/>
      <c r="I51" s="1265"/>
      <c r="J51" s="638"/>
      <c r="K51" s="520" t="s">
        <v>177</v>
      </c>
      <c r="L51" s="521"/>
      <c r="M51" s="342"/>
      <c r="N51" s="528" t="s">
        <v>67</v>
      </c>
      <c r="O51" s="344"/>
      <c r="P51" s="504" t="s">
        <v>68</v>
      </c>
      <c r="Q51" s="344"/>
      <c r="R51" s="522" t="s">
        <v>363</v>
      </c>
      <c r="S51" s="353">
        <f t="shared" ca="1" si="14"/>
        <v>0</v>
      </c>
      <c r="T51" s="523"/>
      <c r="U51" s="350"/>
      <c r="V51" s="308"/>
      <c r="W51" s="1090" t="str">
        <f t="shared" ca="1" si="15"/>
        <v/>
      </c>
      <c r="X51" s="1103">
        <f t="shared" ca="1" si="16"/>
        <v>0</v>
      </c>
      <c r="Y51" s="1120">
        <f t="shared" ca="1" si="17"/>
        <v>0</v>
      </c>
      <c r="Z51" s="524"/>
      <c r="AA51" s="350"/>
      <c r="AB51" s="308"/>
      <c r="AC51" s="1090" t="str">
        <f t="shared" ca="1" si="18"/>
        <v/>
      </c>
      <c r="AD51" s="1103">
        <f t="shared" ca="1" si="19"/>
        <v>0</v>
      </c>
      <c r="AE51" s="1120">
        <f t="shared" ca="1" si="20"/>
        <v>0</v>
      </c>
      <c r="AF51" s="525"/>
      <c r="AG51" s="637"/>
      <c r="AH51" s="525"/>
      <c r="AI51" s="1086">
        <f t="shared" ca="1" si="21"/>
        <v>0</v>
      </c>
      <c r="AJ51" s="380"/>
      <c r="AK51" s="440"/>
      <c r="AM51" s="460">
        <v>51</v>
      </c>
      <c r="AN51" s="1087">
        <f t="shared" ca="1" si="22"/>
        <v>0</v>
      </c>
      <c r="AO51" s="1083">
        <f t="shared" ca="1" si="23"/>
        <v>0</v>
      </c>
      <c r="AP51" s="356">
        <f t="shared" ca="1" si="23"/>
        <v>0</v>
      </c>
      <c r="AQ51" s="357">
        <f t="shared" ca="1" si="23"/>
        <v>0</v>
      </c>
      <c r="AR51" s="524" t="str">
        <f t="shared" ca="1" si="23"/>
        <v/>
      </c>
      <c r="AS51" s="356">
        <f t="shared" ca="1" si="23"/>
        <v>0</v>
      </c>
      <c r="AT51" s="357">
        <f t="shared" ca="1" si="23"/>
        <v>0</v>
      </c>
      <c r="AU51" s="524" t="str">
        <f t="shared" ca="1" si="23"/>
        <v/>
      </c>
      <c r="AV51" s="1083">
        <f t="shared" ca="1" si="23"/>
        <v>0</v>
      </c>
      <c r="AX51" s="1083" t="str">
        <f t="shared" si="24"/>
        <v>U</v>
      </c>
      <c r="AY51" s="1083" t="str">
        <f t="shared" si="25"/>
        <v>U</v>
      </c>
      <c r="AZ51" s="1083" t="str">
        <f t="shared" si="26"/>
        <v>U</v>
      </c>
      <c r="BA51" s="1083" t="str">
        <f t="shared" si="27"/>
        <v>U</v>
      </c>
      <c r="BB51" s="1083" t="str">
        <f t="shared" si="28"/>
        <v>U</v>
      </c>
    </row>
    <row r="52" spans="1:54" ht="12" customHeight="1" x14ac:dyDescent="0.2">
      <c r="A52" s="440"/>
      <c r="B52" s="609"/>
      <c r="C52" s="513"/>
      <c r="D52" s="514"/>
      <c r="E52" s="1084">
        <f ca="1">IF(AX52="E","",AN52)</f>
        <v>0</v>
      </c>
      <c r="F52" s="1085"/>
      <c r="G52" s="1264"/>
      <c r="H52" s="1264"/>
      <c r="I52" s="1265"/>
      <c r="J52" s="638"/>
      <c r="K52" s="520" t="s">
        <v>177</v>
      </c>
      <c r="L52" s="521"/>
      <c r="M52" s="342"/>
      <c r="N52" s="528" t="s">
        <v>67</v>
      </c>
      <c r="O52" s="344"/>
      <c r="P52" s="504" t="s">
        <v>68</v>
      </c>
      <c r="Q52" s="344"/>
      <c r="R52" s="522" t="s">
        <v>363</v>
      </c>
      <c r="S52" s="353">
        <f t="shared" ca="1" si="14"/>
        <v>0</v>
      </c>
      <c r="T52" s="523"/>
      <c r="U52" s="350"/>
      <c r="V52" s="308"/>
      <c r="W52" s="1090" t="str">
        <f t="shared" ca="1" si="15"/>
        <v/>
      </c>
      <c r="X52" s="1103">
        <f t="shared" ca="1" si="16"/>
        <v>0</v>
      </c>
      <c r="Y52" s="1120">
        <f t="shared" ca="1" si="17"/>
        <v>0</v>
      </c>
      <c r="Z52" s="524"/>
      <c r="AA52" s="350"/>
      <c r="AB52" s="308"/>
      <c r="AC52" s="1090" t="str">
        <f t="shared" ca="1" si="18"/>
        <v/>
      </c>
      <c r="AD52" s="1103">
        <f t="shared" ca="1" si="19"/>
        <v>0</v>
      </c>
      <c r="AE52" s="1120">
        <f t="shared" ca="1" si="20"/>
        <v>0</v>
      </c>
      <c r="AF52" s="525"/>
      <c r="AG52" s="637"/>
      <c r="AH52" s="525"/>
      <c r="AI52" s="1086">
        <f t="shared" ca="1" si="21"/>
        <v>0</v>
      </c>
      <c r="AJ52" s="380"/>
      <c r="AK52" s="440"/>
      <c r="AM52" s="460">
        <v>52</v>
      </c>
      <c r="AN52" s="1087">
        <f t="shared" ca="1" si="22"/>
        <v>0</v>
      </c>
      <c r="AO52" s="1083">
        <f t="shared" ca="1" si="23"/>
        <v>0</v>
      </c>
      <c r="AP52" s="356">
        <f t="shared" ca="1" si="23"/>
        <v>0</v>
      </c>
      <c r="AQ52" s="357">
        <f t="shared" ca="1" si="23"/>
        <v>0</v>
      </c>
      <c r="AR52" s="524" t="str">
        <f t="shared" ca="1" si="23"/>
        <v/>
      </c>
      <c r="AS52" s="356">
        <f t="shared" ca="1" si="23"/>
        <v>0</v>
      </c>
      <c r="AT52" s="357">
        <f t="shared" ca="1" si="23"/>
        <v>0</v>
      </c>
      <c r="AU52" s="524" t="str">
        <f t="shared" ca="1" si="23"/>
        <v/>
      </c>
      <c r="AV52" s="1083">
        <f t="shared" ca="1" si="23"/>
        <v>0</v>
      </c>
      <c r="AX52" s="1083" t="str">
        <f t="shared" si="24"/>
        <v>U</v>
      </c>
      <c r="AY52" s="1083" t="str">
        <f t="shared" si="25"/>
        <v>U</v>
      </c>
      <c r="AZ52" s="1083" t="str">
        <f t="shared" si="26"/>
        <v>U</v>
      </c>
      <c r="BA52" s="1083" t="str">
        <f t="shared" si="27"/>
        <v>U</v>
      </c>
      <c r="BB52" s="1083" t="str">
        <f t="shared" si="28"/>
        <v>U</v>
      </c>
    </row>
    <row r="53" spans="1:54" ht="14.25" customHeight="1" collapsed="1" x14ac:dyDescent="0.25">
      <c r="A53" s="440"/>
      <c r="B53" s="609"/>
      <c r="C53" s="513" t="s">
        <v>148</v>
      </c>
      <c r="D53" s="494"/>
      <c r="E53" s="1596" t="s">
        <v>134</v>
      </c>
      <c r="F53" s="1596"/>
      <c r="G53" s="1596"/>
      <c r="H53" s="1596"/>
      <c r="I53" s="1597"/>
      <c r="J53" s="501"/>
      <c r="K53" s="529"/>
      <c r="L53" s="529"/>
      <c r="M53" s="526"/>
      <c r="N53" s="519"/>
      <c r="O53" s="530"/>
      <c r="P53" s="514"/>
      <c r="Q53" s="514"/>
      <c r="R53" s="514"/>
      <c r="S53" s="355">
        <f ca="1">S54+S59+S64+S68</f>
        <v>80293.319999999992</v>
      </c>
      <c r="T53" s="363"/>
      <c r="U53" s="360"/>
      <c r="V53" s="361"/>
      <c r="W53" s="1092"/>
      <c r="X53" s="1105"/>
      <c r="Y53" s="1121"/>
      <c r="Z53" s="363"/>
      <c r="AA53" s="360"/>
      <c r="AB53" s="361"/>
      <c r="AC53" s="1092"/>
      <c r="AD53" s="1105"/>
      <c r="AE53" s="1121"/>
      <c r="AF53" s="359"/>
      <c r="AG53" s="358"/>
      <c r="AH53" s="359"/>
      <c r="AI53" s="358"/>
      <c r="AJ53" s="359"/>
      <c r="AK53" s="440"/>
      <c r="AM53" s="460">
        <v>53</v>
      </c>
      <c r="AN53" s="1078"/>
      <c r="AP53" s="1081"/>
      <c r="AS53" s="1081"/>
      <c r="AZ53" s="1081"/>
      <c r="BA53" s="1081"/>
    </row>
    <row r="54" spans="1:54" ht="12" customHeight="1" x14ac:dyDescent="0.25">
      <c r="A54" s="440"/>
      <c r="B54" s="609"/>
      <c r="C54" s="513"/>
      <c r="D54" s="514" t="s">
        <v>149</v>
      </c>
      <c r="E54" s="1599" t="s">
        <v>136</v>
      </c>
      <c r="F54" s="1599"/>
      <c r="G54" s="1599"/>
      <c r="H54" s="1599"/>
      <c r="I54" s="1597"/>
      <c r="J54" s="501"/>
      <c r="K54" s="529"/>
      <c r="L54" s="503"/>
      <c r="M54" s="526"/>
      <c r="N54" s="519"/>
      <c r="O54" s="530"/>
      <c r="P54" s="514"/>
      <c r="Q54" s="514"/>
      <c r="R54" s="514"/>
      <c r="S54" s="354">
        <f ca="1">SUBTOTAL(109,S56:S58)</f>
        <v>0</v>
      </c>
      <c r="T54" s="363"/>
      <c r="U54" s="358"/>
      <c r="V54" s="358"/>
      <c r="W54" s="1091"/>
      <c r="X54" s="1104"/>
      <c r="Y54" s="1104"/>
      <c r="Z54" s="358"/>
      <c r="AA54" s="358"/>
      <c r="AB54" s="358"/>
      <c r="AC54" s="1091"/>
      <c r="AD54" s="1104"/>
      <c r="AE54" s="1104"/>
      <c r="AF54" s="358"/>
      <c r="AG54" s="358"/>
      <c r="AH54" s="358"/>
      <c r="AI54" s="358"/>
      <c r="AJ54" s="358"/>
      <c r="AK54" s="440"/>
      <c r="AM54" s="460">
        <v>54</v>
      </c>
      <c r="AN54" s="1078"/>
      <c r="AP54" s="1081"/>
      <c r="AS54" s="1081"/>
      <c r="AZ54" s="1081"/>
      <c r="BA54" s="1081"/>
    </row>
    <row r="55" spans="1:54" ht="12" customHeight="1" x14ac:dyDescent="0.25">
      <c r="A55" s="440"/>
      <c r="B55" s="609"/>
      <c r="C55" s="513"/>
      <c r="D55" s="514"/>
      <c r="E55" s="514"/>
      <c r="F55" s="514"/>
      <c r="G55" s="514"/>
      <c r="H55" s="514"/>
      <c r="I55" s="511"/>
      <c r="J55" s="1603" t="s">
        <v>170</v>
      </c>
      <c r="K55" s="1603"/>
      <c r="L55" s="503"/>
      <c r="M55" s="526"/>
      <c r="N55" s="519"/>
      <c r="O55" s="530"/>
      <c r="P55" s="514"/>
      <c r="Q55" s="514"/>
      <c r="R55" s="514"/>
      <c r="S55" s="354"/>
      <c r="T55" s="363"/>
      <c r="U55" s="358"/>
      <c r="V55" s="358"/>
      <c r="W55" s="1091"/>
      <c r="X55" s="1104"/>
      <c r="Y55" s="1104"/>
      <c r="Z55" s="358"/>
      <c r="AA55" s="358"/>
      <c r="AB55" s="358"/>
      <c r="AC55" s="1091"/>
      <c r="AD55" s="1104"/>
      <c r="AE55" s="1104"/>
      <c r="AF55" s="358"/>
      <c r="AG55" s="358"/>
      <c r="AH55" s="358"/>
      <c r="AI55" s="358"/>
      <c r="AJ55" s="358"/>
      <c r="AK55" s="440"/>
      <c r="AM55" s="460">
        <v>55</v>
      </c>
      <c r="AN55" s="1078"/>
      <c r="AP55" s="1081"/>
      <c r="AS55" s="1081"/>
      <c r="AZ55" s="1081"/>
      <c r="BA55" s="1081"/>
    </row>
    <row r="56" spans="1:54" ht="12" customHeight="1" x14ac:dyDescent="0.2">
      <c r="A56" s="440"/>
      <c r="B56" s="609"/>
      <c r="C56" s="513"/>
      <c r="D56" s="514"/>
      <c r="E56" s="1084">
        <f ca="1">IF(AX56="E","",AN56)</f>
        <v>0</v>
      </c>
      <c r="F56" s="1085"/>
      <c r="G56" s="1264"/>
      <c r="H56" s="1264"/>
      <c r="I56" s="1265"/>
      <c r="J56" s="638"/>
      <c r="K56" s="520" t="s">
        <v>177</v>
      </c>
      <c r="L56" s="521"/>
      <c r="M56" s="342"/>
      <c r="N56" s="521" t="s">
        <v>67</v>
      </c>
      <c r="O56" s="344"/>
      <c r="P56" s="504" t="s">
        <v>68</v>
      </c>
      <c r="Q56" s="344"/>
      <c r="R56" s="522" t="s">
        <v>363</v>
      </c>
      <c r="S56" s="353">
        <f t="shared" ref="S56:S58" ca="1" si="29">IF(AY56="E",(M56*O56)+Q56,AO56)</f>
        <v>0</v>
      </c>
      <c r="T56" s="523"/>
      <c r="U56" s="350"/>
      <c r="V56" s="308"/>
      <c r="W56" s="1090" t="str">
        <f t="shared" ref="W56:W58" ca="1" si="30">IF(AZ56="E",IF(AND(V56&lt;&gt;0,U56&lt;&gt;0),"X",IF(AND(V56&lt;&gt;0,U56=0),"A",IF(AND(V56=0,U56&lt;&gt;0),"P",""))),AR56)</f>
        <v/>
      </c>
      <c r="X56" s="1103">
        <f t="shared" ref="X56:X58" ca="1" si="31">IF(AZ56="E",IFERROR(IF(W56="X",0,IF(U56&gt;0,U56,V56/S56)),0),
IFERROR(IF(OR(AR56="X",AR56=0),0,
IF(AR56="P",AP56,IF(AR56="A",AQ56/S56,0))),0))</f>
        <v>0</v>
      </c>
      <c r="Y56" s="1120">
        <f t="shared" ref="Y56:Y58" ca="1" si="32">IF(AZ56="E",IFERROR(IF(W56="X",0,IF(V56&gt;0,V56,S56*U56)),0),
IFERROR(IF(OR(AR56="X",AR56="0"),0,IF(AR56="A",AQ56,S56*AP56)),0))</f>
        <v>0</v>
      </c>
      <c r="Z56" s="524"/>
      <c r="AA56" s="350"/>
      <c r="AB56" s="308"/>
      <c r="AC56" s="1090" t="str">
        <f t="shared" ref="AC56:AC58" ca="1" si="33">IF(BA56="E",IF(AND(AB56&lt;&gt;0,AA56&lt;&gt;0),"X",IF(AND(AB56&lt;&gt;0,AA56=0),"A",IF(AND(AB56=0,AA56&lt;&gt;0),"P",""))),AU56)</f>
        <v/>
      </c>
      <c r="AD56" s="1103">
        <f t="shared" ref="AD56:AD58" ca="1" si="34">IF(BA56="E",IFERROR(IF(AC56="X",0,IF(AA56&gt;0,AA56,AB56/S56)),0),
IFERROR(IF(OR(AU56="X",AU56=0),0,
IF(AU56="P",AS56,IF(AU56="A",AT56/S56,0))),0))</f>
        <v>0</v>
      </c>
      <c r="AE56" s="1120">
        <f t="shared" ref="AE56:AE58" ca="1" si="35">IF(BA56="E",IFERROR(IF(AC56="X",0,IF(AB56&gt;0,AB56,S56*AA56)),0),
IFERROR(IF(OR(AU56="X",AU56=0),0,
IF(AU56="A",AT56,S56*AS56)),0))</f>
        <v>0</v>
      </c>
      <c r="AF56" s="525"/>
      <c r="AG56" s="637"/>
      <c r="AH56" s="525"/>
      <c r="AI56" s="1086">
        <f t="shared" ref="AI56:AI58" ca="1" si="36">IF(BB56="E",AG56,AV56)</f>
        <v>0</v>
      </c>
      <c r="AJ56" s="380"/>
      <c r="AK56" s="440"/>
      <c r="AM56" s="460">
        <v>56</v>
      </c>
      <c r="AN56" s="1087">
        <f t="shared" ref="AN56:AN58" ca="1" si="37">IF($M$13=$AN$12,"",IF(ISTEXT(INDIRECT("'"&amp;$AM$20&amp;"'!"&amp;AN$21&amp;$AM56)),INDIRECT("'"&amp;$AM$20&amp;"'!"&amp;AN$21&amp;$AM56),INDIRECT("'"&amp;$AM$20&amp;"'!"&amp;AN$22&amp;$AM56)))</f>
        <v>0</v>
      </c>
      <c r="AO56" s="1083">
        <f t="shared" ref="AO56:AV58" ca="1" si="38">IF($M$13=$AN$12,"",INDIRECT("'"&amp;$AM$20&amp;"'!"&amp;AO$21&amp;$AM56))</f>
        <v>0</v>
      </c>
      <c r="AP56" s="356">
        <f t="shared" ca="1" si="38"/>
        <v>0</v>
      </c>
      <c r="AQ56" s="357">
        <f t="shared" ca="1" si="38"/>
        <v>0</v>
      </c>
      <c r="AR56" s="524" t="str">
        <f t="shared" ca="1" si="38"/>
        <v/>
      </c>
      <c r="AS56" s="356">
        <f t="shared" ca="1" si="38"/>
        <v>0</v>
      </c>
      <c r="AT56" s="357">
        <f t="shared" ca="1" si="38"/>
        <v>0</v>
      </c>
      <c r="AU56" s="524" t="str">
        <f t="shared" ca="1" si="38"/>
        <v/>
      </c>
      <c r="AV56" s="1083">
        <f t="shared" ca="1" si="38"/>
        <v>0</v>
      </c>
      <c r="AX56" s="1083" t="str">
        <f t="shared" ref="AX56:AX58" si="39">IF($M$13=$AN$12,"E",IF(ISTEXT(F56),"E","U"))</f>
        <v>U</v>
      </c>
      <c r="AY56" s="1083" t="str">
        <f t="shared" ref="AY56:AY58" si="40">IF($M$13=$AN$12,"E",IF(OR(ISNUMBER(M56),ISNUMBER(O56),ISNUMBER(Q56)),"E","U"))</f>
        <v>U</v>
      </c>
      <c r="AZ56" s="1083" t="str">
        <f t="shared" ref="AZ56:AZ58" si="41">IF($M$13=$AN$12,"E",IF(OR(ISNUMBER(U56),ISNUMBER(V56)),"E","U"))</f>
        <v>U</v>
      </c>
      <c r="BA56" s="1083" t="str">
        <f t="shared" ref="BA56:BA58" si="42">IF($M$13=$AN$12,"E",IF(OR(ISNUMBER(AA56),ISNUMBER(AB56)),"E","U"))</f>
        <v>U</v>
      </c>
      <c r="BB56" s="1083" t="str">
        <f t="shared" ref="BB56:BB58" si="43">IF($M$13=$AN$12,"E",IF(ISNUMBER(AG56),"E","U"))</f>
        <v>U</v>
      </c>
    </row>
    <row r="57" spans="1:54" ht="12" customHeight="1" x14ac:dyDescent="0.2">
      <c r="A57" s="440"/>
      <c r="B57" s="609"/>
      <c r="C57" s="513"/>
      <c r="D57" s="514"/>
      <c r="E57" s="1084">
        <f ca="1">IF(AX57="E","",AN57)</f>
        <v>0</v>
      </c>
      <c r="F57" s="1085"/>
      <c r="G57" s="1264"/>
      <c r="H57" s="1264"/>
      <c r="I57" s="1265"/>
      <c r="J57" s="638"/>
      <c r="K57" s="520" t="s">
        <v>177</v>
      </c>
      <c r="L57" s="521"/>
      <c r="M57" s="342"/>
      <c r="N57" s="521" t="s">
        <v>67</v>
      </c>
      <c r="O57" s="344"/>
      <c r="P57" s="504" t="s">
        <v>68</v>
      </c>
      <c r="Q57" s="344"/>
      <c r="R57" s="522" t="s">
        <v>363</v>
      </c>
      <c r="S57" s="353">
        <f t="shared" ca="1" si="29"/>
        <v>0</v>
      </c>
      <c r="T57" s="523"/>
      <c r="U57" s="350"/>
      <c r="V57" s="308"/>
      <c r="W57" s="1090" t="str">
        <f t="shared" ca="1" si="30"/>
        <v/>
      </c>
      <c r="X57" s="1103">
        <f t="shared" ca="1" si="31"/>
        <v>0</v>
      </c>
      <c r="Y57" s="1120">
        <f t="shared" ca="1" si="32"/>
        <v>0</v>
      </c>
      <c r="Z57" s="524"/>
      <c r="AA57" s="350"/>
      <c r="AB57" s="308"/>
      <c r="AC57" s="1090" t="str">
        <f t="shared" ca="1" si="33"/>
        <v/>
      </c>
      <c r="AD57" s="1103">
        <f t="shared" ca="1" si="34"/>
        <v>0</v>
      </c>
      <c r="AE57" s="1120">
        <f t="shared" ca="1" si="35"/>
        <v>0</v>
      </c>
      <c r="AF57" s="525"/>
      <c r="AG57" s="637"/>
      <c r="AH57" s="525"/>
      <c r="AI57" s="1086">
        <f t="shared" ca="1" si="36"/>
        <v>0</v>
      </c>
      <c r="AJ57" s="380"/>
      <c r="AK57" s="440"/>
      <c r="AM57" s="460">
        <v>57</v>
      </c>
      <c r="AN57" s="1087">
        <f t="shared" ca="1" si="37"/>
        <v>0</v>
      </c>
      <c r="AO57" s="1083">
        <f t="shared" ca="1" si="38"/>
        <v>0</v>
      </c>
      <c r="AP57" s="356">
        <f t="shared" ca="1" si="38"/>
        <v>0</v>
      </c>
      <c r="AQ57" s="357">
        <f t="shared" ca="1" si="38"/>
        <v>0</v>
      </c>
      <c r="AR57" s="524" t="str">
        <f t="shared" ca="1" si="38"/>
        <v/>
      </c>
      <c r="AS57" s="356">
        <f t="shared" ca="1" si="38"/>
        <v>0</v>
      </c>
      <c r="AT57" s="357">
        <f t="shared" ca="1" si="38"/>
        <v>0</v>
      </c>
      <c r="AU57" s="524" t="str">
        <f t="shared" ca="1" si="38"/>
        <v/>
      </c>
      <c r="AV57" s="1083">
        <f t="shared" ca="1" si="38"/>
        <v>0</v>
      </c>
      <c r="AX57" s="1083" t="str">
        <f t="shared" si="39"/>
        <v>U</v>
      </c>
      <c r="AY57" s="1083" t="str">
        <f t="shared" si="40"/>
        <v>U</v>
      </c>
      <c r="AZ57" s="1083" t="str">
        <f t="shared" si="41"/>
        <v>U</v>
      </c>
      <c r="BA57" s="1083" t="str">
        <f t="shared" si="42"/>
        <v>U</v>
      </c>
      <c r="BB57" s="1083" t="str">
        <f t="shared" si="43"/>
        <v>U</v>
      </c>
    </row>
    <row r="58" spans="1:54" ht="12" customHeight="1" x14ac:dyDescent="0.2">
      <c r="A58" s="440"/>
      <c r="B58" s="609"/>
      <c r="C58" s="513"/>
      <c r="D58" s="514"/>
      <c r="E58" s="1084">
        <f ca="1">IF(AX58="E","",AN58)</f>
        <v>0</v>
      </c>
      <c r="F58" s="1085"/>
      <c r="G58" s="1264"/>
      <c r="H58" s="1264"/>
      <c r="I58" s="1265"/>
      <c r="J58" s="638"/>
      <c r="K58" s="520" t="s">
        <v>177</v>
      </c>
      <c r="L58" s="521"/>
      <c r="M58" s="342"/>
      <c r="N58" s="521" t="s">
        <v>67</v>
      </c>
      <c r="O58" s="344"/>
      <c r="P58" s="504" t="s">
        <v>68</v>
      </c>
      <c r="Q58" s="344"/>
      <c r="R58" s="522" t="s">
        <v>363</v>
      </c>
      <c r="S58" s="353">
        <f t="shared" ca="1" si="29"/>
        <v>0</v>
      </c>
      <c r="T58" s="523"/>
      <c r="U58" s="350"/>
      <c r="V58" s="308"/>
      <c r="W58" s="1090" t="str">
        <f t="shared" ca="1" si="30"/>
        <v/>
      </c>
      <c r="X58" s="1103">
        <f t="shared" ca="1" si="31"/>
        <v>0</v>
      </c>
      <c r="Y58" s="1120">
        <f t="shared" ca="1" si="32"/>
        <v>0</v>
      </c>
      <c r="Z58" s="524"/>
      <c r="AA58" s="350"/>
      <c r="AB58" s="308"/>
      <c r="AC58" s="1090" t="str">
        <f t="shared" ca="1" si="33"/>
        <v/>
      </c>
      <c r="AD58" s="1103">
        <f t="shared" ca="1" si="34"/>
        <v>0</v>
      </c>
      <c r="AE58" s="1120">
        <f t="shared" ca="1" si="35"/>
        <v>0</v>
      </c>
      <c r="AF58" s="525"/>
      <c r="AG58" s="637"/>
      <c r="AH58" s="525"/>
      <c r="AI58" s="1086">
        <f t="shared" ca="1" si="36"/>
        <v>0</v>
      </c>
      <c r="AJ58" s="380"/>
      <c r="AK58" s="440"/>
      <c r="AM58" s="460">
        <v>58</v>
      </c>
      <c r="AN58" s="1087">
        <f t="shared" ca="1" si="37"/>
        <v>0</v>
      </c>
      <c r="AO58" s="1083">
        <f t="shared" ca="1" si="38"/>
        <v>0</v>
      </c>
      <c r="AP58" s="356">
        <f t="shared" ca="1" si="38"/>
        <v>0</v>
      </c>
      <c r="AQ58" s="357">
        <f t="shared" ca="1" si="38"/>
        <v>0</v>
      </c>
      <c r="AR58" s="524" t="str">
        <f t="shared" ca="1" si="38"/>
        <v/>
      </c>
      <c r="AS58" s="356">
        <f t="shared" ca="1" si="38"/>
        <v>0</v>
      </c>
      <c r="AT58" s="357">
        <f t="shared" ca="1" si="38"/>
        <v>0</v>
      </c>
      <c r="AU58" s="524" t="str">
        <f t="shared" ca="1" si="38"/>
        <v/>
      </c>
      <c r="AV58" s="1083">
        <f t="shared" ca="1" si="38"/>
        <v>0</v>
      </c>
      <c r="AX58" s="1083" t="str">
        <f t="shared" si="39"/>
        <v>U</v>
      </c>
      <c r="AY58" s="1083" t="str">
        <f t="shared" si="40"/>
        <v>U</v>
      </c>
      <c r="AZ58" s="1083" t="str">
        <f t="shared" si="41"/>
        <v>U</v>
      </c>
      <c r="BA58" s="1083" t="str">
        <f t="shared" si="42"/>
        <v>U</v>
      </c>
      <c r="BB58" s="1083" t="str">
        <f t="shared" si="43"/>
        <v>U</v>
      </c>
    </row>
    <row r="59" spans="1:54" ht="12" customHeight="1" x14ac:dyDescent="0.25">
      <c r="A59" s="440"/>
      <c r="B59" s="609"/>
      <c r="C59" s="513"/>
      <c r="D59" s="514" t="s">
        <v>150</v>
      </c>
      <c r="E59" s="1599" t="s">
        <v>138</v>
      </c>
      <c r="F59" s="1599"/>
      <c r="G59" s="1599"/>
      <c r="H59" s="1599"/>
      <c r="I59" s="1597"/>
      <c r="J59" s="501"/>
      <c r="K59" s="529"/>
      <c r="L59" s="503"/>
      <c r="M59" s="526"/>
      <c r="N59" s="519"/>
      <c r="O59" s="527"/>
      <c r="P59" s="514"/>
      <c r="Q59" s="514"/>
      <c r="R59" s="514"/>
      <c r="S59" s="354">
        <f ca="1">SUBTOTAL(109,S61:S63)</f>
        <v>0</v>
      </c>
      <c r="T59" s="363"/>
      <c r="U59" s="358"/>
      <c r="V59" s="358"/>
      <c r="W59" s="1091"/>
      <c r="X59" s="1104"/>
      <c r="Y59" s="1104"/>
      <c r="Z59" s="358"/>
      <c r="AA59" s="358"/>
      <c r="AB59" s="358"/>
      <c r="AC59" s="1091"/>
      <c r="AD59" s="1104"/>
      <c r="AE59" s="1104"/>
      <c r="AF59" s="358"/>
      <c r="AG59" s="358"/>
      <c r="AH59" s="358"/>
      <c r="AI59" s="358"/>
      <c r="AJ59" s="358"/>
      <c r="AK59" s="440"/>
      <c r="AM59" s="460">
        <v>59</v>
      </c>
      <c r="AN59" s="1078"/>
      <c r="AP59" s="1081"/>
      <c r="AS59" s="1081"/>
      <c r="AZ59" s="1081"/>
      <c r="BA59" s="1081"/>
    </row>
    <row r="60" spans="1:54" ht="12" customHeight="1" x14ac:dyDescent="0.25">
      <c r="A60" s="440"/>
      <c r="B60" s="609"/>
      <c r="C60" s="513"/>
      <c r="D60" s="514"/>
      <c r="E60" s="514"/>
      <c r="F60" s="514"/>
      <c r="G60" s="514"/>
      <c r="H60" s="514"/>
      <c r="I60" s="511"/>
      <c r="J60" s="1603" t="s">
        <v>170</v>
      </c>
      <c r="K60" s="1603"/>
      <c r="L60" s="503"/>
      <c r="M60" s="526"/>
      <c r="N60" s="519"/>
      <c r="O60" s="527"/>
      <c r="P60" s="514"/>
      <c r="Q60" s="514"/>
      <c r="R60" s="514"/>
      <c r="S60" s="354"/>
      <c r="T60" s="363"/>
      <c r="U60" s="358"/>
      <c r="V60" s="358"/>
      <c r="W60" s="1091"/>
      <c r="X60" s="1104"/>
      <c r="Y60" s="1104"/>
      <c r="Z60" s="358"/>
      <c r="AA60" s="358"/>
      <c r="AB60" s="358"/>
      <c r="AC60" s="1091"/>
      <c r="AD60" s="1104"/>
      <c r="AE60" s="1104"/>
      <c r="AF60" s="358"/>
      <c r="AG60" s="358"/>
      <c r="AH60" s="358"/>
      <c r="AI60" s="358"/>
      <c r="AJ60" s="358"/>
      <c r="AK60" s="440"/>
      <c r="AM60" s="460">
        <v>60</v>
      </c>
      <c r="AN60" s="1078"/>
      <c r="AP60" s="1081"/>
      <c r="AS60" s="1081"/>
      <c r="AZ60" s="1081"/>
      <c r="BA60" s="1081"/>
    </row>
    <row r="61" spans="1:54" ht="12" customHeight="1" x14ac:dyDescent="0.2">
      <c r="A61" s="440"/>
      <c r="B61" s="609"/>
      <c r="C61" s="513"/>
      <c r="D61" s="514"/>
      <c r="E61" s="1084">
        <f ca="1">IF(AX61="E","",AN61)</f>
        <v>0</v>
      </c>
      <c r="F61" s="1085"/>
      <c r="G61" s="1264"/>
      <c r="H61" s="1264"/>
      <c r="I61" s="1265"/>
      <c r="J61" s="638"/>
      <c r="K61" s="520" t="s">
        <v>177</v>
      </c>
      <c r="L61" s="521"/>
      <c r="M61" s="342"/>
      <c r="N61" s="521" t="s">
        <v>67</v>
      </c>
      <c r="O61" s="344"/>
      <c r="P61" s="504" t="s">
        <v>68</v>
      </c>
      <c r="Q61" s="344"/>
      <c r="R61" s="522" t="s">
        <v>363</v>
      </c>
      <c r="S61" s="353">
        <f t="shared" ref="S61:S63" ca="1" si="44">IF(AY61="E",(M61*O61)+Q61,AO61)</f>
        <v>0</v>
      </c>
      <c r="T61" s="523"/>
      <c r="U61" s="350"/>
      <c r="V61" s="308"/>
      <c r="W61" s="1090" t="str">
        <f t="shared" ref="W61:W63" ca="1" si="45">IF(AZ61="E",IF(AND(V61&lt;&gt;0,U61&lt;&gt;0),"X",IF(AND(V61&lt;&gt;0,U61=0),"A",IF(AND(V61=0,U61&lt;&gt;0),"P",""))),AR61)</f>
        <v/>
      </c>
      <c r="X61" s="1103">
        <f t="shared" ref="X61:X63" ca="1" si="46">IF(AZ61="E",IFERROR(IF(W61="X",0,IF(U61&gt;0,U61,V61/S61)),0),
IFERROR(IF(OR(AR61="X",AR61=0),0,
IF(AR61="P",AP61,IF(AR61="A",AQ61/S61,0))),0))</f>
        <v>0</v>
      </c>
      <c r="Y61" s="1120">
        <f t="shared" ref="Y61:Y63" ca="1" si="47">IF(AZ61="E",IFERROR(IF(W61="X",0,IF(V61&gt;0,V61,S61*U61)),0),
IFERROR(IF(OR(AR61="X",AR61="0"),0,IF(AR61="A",AQ61,S61*AP61)),0))</f>
        <v>0</v>
      </c>
      <c r="Z61" s="524"/>
      <c r="AA61" s="350"/>
      <c r="AB61" s="308"/>
      <c r="AC61" s="1090" t="str">
        <f t="shared" ref="AC61:AC63" ca="1" si="48">IF(BA61="E",IF(AND(AB61&lt;&gt;0,AA61&lt;&gt;0),"X",IF(AND(AB61&lt;&gt;0,AA61=0),"A",IF(AND(AB61=0,AA61&lt;&gt;0),"P",""))),AU61)</f>
        <v/>
      </c>
      <c r="AD61" s="1103">
        <f t="shared" ref="AD61:AD63" ca="1" si="49">IF(BA61="E",IFERROR(IF(AC61="X",0,IF(AA61&gt;0,AA61,AB61/S61)),0),
IFERROR(IF(OR(AU61="X",AU61=0),0,
IF(AU61="P",AS61,IF(AU61="A",AT61/S61,0))),0))</f>
        <v>0</v>
      </c>
      <c r="AE61" s="1120">
        <f t="shared" ref="AE61:AE63" ca="1" si="50">IF(BA61="E",IFERROR(IF(AC61="X",0,IF(AB61&gt;0,AB61,S61*AA61)),0),
IFERROR(IF(OR(AU61="X",AU61=0),0,
IF(AU61="A",AT61,S61*AS61)),0))</f>
        <v>0</v>
      </c>
      <c r="AF61" s="525"/>
      <c r="AG61" s="637"/>
      <c r="AH61" s="525"/>
      <c r="AI61" s="1086">
        <f t="shared" ref="AI61:AI63" ca="1" si="51">IF(BB61="E",AG61,AV61)</f>
        <v>0</v>
      </c>
      <c r="AJ61" s="380"/>
      <c r="AK61" s="440"/>
      <c r="AM61" s="460">
        <v>61</v>
      </c>
      <c r="AN61" s="1087">
        <f t="shared" ref="AN61:AN63" ca="1" si="52">IF($M$13=$AN$12,"",IF(ISTEXT(INDIRECT("'"&amp;$AM$20&amp;"'!"&amp;AN$21&amp;$AM61)),INDIRECT("'"&amp;$AM$20&amp;"'!"&amp;AN$21&amp;$AM61),INDIRECT("'"&amp;$AM$20&amp;"'!"&amp;AN$22&amp;$AM61)))</f>
        <v>0</v>
      </c>
      <c r="AO61" s="1083">
        <f t="shared" ref="AO61:AV63" ca="1" si="53">IF($M$13=$AN$12,"",INDIRECT("'"&amp;$AM$20&amp;"'!"&amp;AO$21&amp;$AM61))</f>
        <v>0</v>
      </c>
      <c r="AP61" s="356">
        <f t="shared" ca="1" si="53"/>
        <v>0</v>
      </c>
      <c r="AQ61" s="357">
        <f t="shared" ca="1" si="53"/>
        <v>0</v>
      </c>
      <c r="AR61" s="524" t="str">
        <f t="shared" ca="1" si="53"/>
        <v/>
      </c>
      <c r="AS61" s="356">
        <f t="shared" ca="1" si="53"/>
        <v>0</v>
      </c>
      <c r="AT61" s="357">
        <f t="shared" ca="1" si="53"/>
        <v>0</v>
      </c>
      <c r="AU61" s="524" t="str">
        <f t="shared" ca="1" si="53"/>
        <v/>
      </c>
      <c r="AV61" s="1083">
        <f t="shared" ca="1" si="53"/>
        <v>0</v>
      </c>
      <c r="AX61" s="1083" t="str">
        <f t="shared" ref="AX61:AX63" si="54">IF($M$13=$AN$12,"E",IF(ISTEXT(F61),"E","U"))</f>
        <v>U</v>
      </c>
      <c r="AY61" s="1083" t="str">
        <f t="shared" ref="AY61:AY63" si="55">IF($M$13=$AN$12,"E",IF(OR(ISNUMBER(M61),ISNUMBER(O61),ISNUMBER(Q61)),"E","U"))</f>
        <v>U</v>
      </c>
      <c r="AZ61" s="1083" t="str">
        <f t="shared" ref="AZ61:AZ63" si="56">IF($M$13=$AN$12,"E",IF(OR(ISNUMBER(U61),ISNUMBER(V61)),"E","U"))</f>
        <v>U</v>
      </c>
      <c r="BA61" s="1083" t="str">
        <f t="shared" ref="BA61:BA63" si="57">IF($M$13=$AN$12,"E",IF(OR(ISNUMBER(AA61),ISNUMBER(AB61)),"E","U"))</f>
        <v>U</v>
      </c>
      <c r="BB61" s="1083" t="str">
        <f t="shared" ref="BB61:BB63" si="58">IF($M$13=$AN$12,"E",IF(ISNUMBER(AG61),"E","U"))</f>
        <v>U</v>
      </c>
    </row>
    <row r="62" spans="1:54" ht="12" customHeight="1" x14ac:dyDescent="0.2">
      <c r="A62" s="440"/>
      <c r="B62" s="609"/>
      <c r="C62" s="513"/>
      <c r="D62" s="514"/>
      <c r="E62" s="1084">
        <f ca="1">IF(AX62="E","",AN62)</f>
        <v>0</v>
      </c>
      <c r="F62" s="1085"/>
      <c r="G62" s="1264"/>
      <c r="H62" s="1264"/>
      <c r="I62" s="1265"/>
      <c r="J62" s="638"/>
      <c r="K62" s="520" t="s">
        <v>177</v>
      </c>
      <c r="L62" s="521"/>
      <c r="M62" s="342"/>
      <c r="N62" s="521" t="s">
        <v>67</v>
      </c>
      <c r="O62" s="344"/>
      <c r="P62" s="504" t="s">
        <v>68</v>
      </c>
      <c r="Q62" s="344"/>
      <c r="R62" s="522" t="s">
        <v>363</v>
      </c>
      <c r="S62" s="353">
        <f t="shared" ca="1" si="44"/>
        <v>0</v>
      </c>
      <c r="T62" s="523"/>
      <c r="U62" s="350"/>
      <c r="V62" s="308"/>
      <c r="W62" s="1090" t="str">
        <f t="shared" ca="1" si="45"/>
        <v/>
      </c>
      <c r="X62" s="1103">
        <f t="shared" ca="1" si="46"/>
        <v>0</v>
      </c>
      <c r="Y62" s="1120">
        <f t="shared" ca="1" si="47"/>
        <v>0</v>
      </c>
      <c r="Z62" s="524"/>
      <c r="AA62" s="350"/>
      <c r="AB62" s="308"/>
      <c r="AC62" s="1090" t="str">
        <f t="shared" ca="1" si="48"/>
        <v/>
      </c>
      <c r="AD62" s="1103">
        <f t="shared" ca="1" si="49"/>
        <v>0</v>
      </c>
      <c r="AE62" s="1120">
        <f t="shared" ca="1" si="50"/>
        <v>0</v>
      </c>
      <c r="AF62" s="525"/>
      <c r="AG62" s="637"/>
      <c r="AH62" s="525"/>
      <c r="AI62" s="1086">
        <f t="shared" ca="1" si="51"/>
        <v>0</v>
      </c>
      <c r="AJ62" s="380"/>
      <c r="AK62" s="440"/>
      <c r="AM62" s="460">
        <v>62</v>
      </c>
      <c r="AN62" s="1087">
        <f t="shared" ca="1" si="52"/>
        <v>0</v>
      </c>
      <c r="AO62" s="1083">
        <f t="shared" ca="1" si="53"/>
        <v>0</v>
      </c>
      <c r="AP62" s="356">
        <f t="shared" ca="1" si="53"/>
        <v>0</v>
      </c>
      <c r="AQ62" s="357">
        <f t="shared" ca="1" si="53"/>
        <v>0</v>
      </c>
      <c r="AR62" s="524" t="str">
        <f t="shared" ca="1" si="53"/>
        <v/>
      </c>
      <c r="AS62" s="356">
        <f t="shared" ca="1" si="53"/>
        <v>0</v>
      </c>
      <c r="AT62" s="357">
        <f t="shared" ca="1" si="53"/>
        <v>0</v>
      </c>
      <c r="AU62" s="524" t="str">
        <f t="shared" ca="1" si="53"/>
        <v/>
      </c>
      <c r="AV62" s="1083">
        <f t="shared" ca="1" si="53"/>
        <v>0</v>
      </c>
      <c r="AX62" s="1083" t="str">
        <f t="shared" si="54"/>
        <v>U</v>
      </c>
      <c r="AY62" s="1083" t="str">
        <f t="shared" si="55"/>
        <v>U</v>
      </c>
      <c r="AZ62" s="1083" t="str">
        <f t="shared" si="56"/>
        <v>U</v>
      </c>
      <c r="BA62" s="1083" t="str">
        <f t="shared" si="57"/>
        <v>U</v>
      </c>
      <c r="BB62" s="1083" t="str">
        <f t="shared" si="58"/>
        <v>U</v>
      </c>
    </row>
    <row r="63" spans="1:54" ht="12" customHeight="1" x14ac:dyDescent="0.2">
      <c r="A63" s="440"/>
      <c r="B63" s="609"/>
      <c r="C63" s="513"/>
      <c r="D63" s="514"/>
      <c r="E63" s="1084">
        <f ca="1">IF(AX63="E","",AN63)</f>
        <v>0</v>
      </c>
      <c r="F63" s="1085"/>
      <c r="G63" s="1264"/>
      <c r="H63" s="1264"/>
      <c r="I63" s="1265"/>
      <c r="J63" s="638"/>
      <c r="K63" s="520" t="s">
        <v>177</v>
      </c>
      <c r="L63" s="521"/>
      <c r="M63" s="342"/>
      <c r="N63" s="521" t="s">
        <v>67</v>
      </c>
      <c r="O63" s="344"/>
      <c r="P63" s="504" t="s">
        <v>68</v>
      </c>
      <c r="Q63" s="344"/>
      <c r="R63" s="522" t="s">
        <v>363</v>
      </c>
      <c r="S63" s="353">
        <f t="shared" ca="1" si="44"/>
        <v>0</v>
      </c>
      <c r="T63" s="523"/>
      <c r="U63" s="350"/>
      <c r="V63" s="308"/>
      <c r="W63" s="1090" t="str">
        <f t="shared" ca="1" si="45"/>
        <v/>
      </c>
      <c r="X63" s="1103">
        <f t="shared" ca="1" si="46"/>
        <v>0</v>
      </c>
      <c r="Y63" s="1120">
        <f t="shared" ca="1" si="47"/>
        <v>0</v>
      </c>
      <c r="Z63" s="524"/>
      <c r="AA63" s="350"/>
      <c r="AB63" s="308"/>
      <c r="AC63" s="1090" t="str">
        <f t="shared" ca="1" si="48"/>
        <v/>
      </c>
      <c r="AD63" s="1103">
        <f t="shared" ca="1" si="49"/>
        <v>0</v>
      </c>
      <c r="AE63" s="1120">
        <f t="shared" ca="1" si="50"/>
        <v>0</v>
      </c>
      <c r="AF63" s="525"/>
      <c r="AG63" s="637"/>
      <c r="AH63" s="525"/>
      <c r="AI63" s="1086">
        <f t="shared" ca="1" si="51"/>
        <v>0</v>
      </c>
      <c r="AJ63" s="380"/>
      <c r="AK63" s="440"/>
      <c r="AM63" s="460">
        <v>63</v>
      </c>
      <c r="AN63" s="1087">
        <f t="shared" ca="1" si="52"/>
        <v>0</v>
      </c>
      <c r="AO63" s="1083">
        <f t="shared" ca="1" si="53"/>
        <v>0</v>
      </c>
      <c r="AP63" s="356">
        <f t="shared" ca="1" si="53"/>
        <v>0</v>
      </c>
      <c r="AQ63" s="357">
        <f t="shared" ca="1" si="53"/>
        <v>0</v>
      </c>
      <c r="AR63" s="524" t="str">
        <f t="shared" ca="1" si="53"/>
        <v/>
      </c>
      <c r="AS63" s="356">
        <f t="shared" ca="1" si="53"/>
        <v>0</v>
      </c>
      <c r="AT63" s="357">
        <f t="shared" ca="1" si="53"/>
        <v>0</v>
      </c>
      <c r="AU63" s="524" t="str">
        <f t="shared" ca="1" si="53"/>
        <v/>
      </c>
      <c r="AV63" s="1083">
        <f t="shared" ca="1" si="53"/>
        <v>0</v>
      </c>
      <c r="AX63" s="1083" t="str">
        <f t="shared" si="54"/>
        <v>U</v>
      </c>
      <c r="AY63" s="1083" t="str">
        <f t="shared" si="55"/>
        <v>U</v>
      </c>
      <c r="AZ63" s="1083" t="str">
        <f t="shared" si="56"/>
        <v>U</v>
      </c>
      <c r="BA63" s="1083" t="str">
        <f t="shared" si="57"/>
        <v>U</v>
      </c>
      <c r="BB63" s="1083" t="str">
        <f t="shared" si="58"/>
        <v>U</v>
      </c>
    </row>
    <row r="64" spans="1:54" ht="12" customHeight="1" x14ac:dyDescent="0.25">
      <c r="A64" s="440"/>
      <c r="B64" s="609"/>
      <c r="C64" s="513"/>
      <c r="D64" s="514" t="s">
        <v>151</v>
      </c>
      <c r="E64" s="1599" t="s">
        <v>137</v>
      </c>
      <c r="F64" s="1599"/>
      <c r="G64" s="1599"/>
      <c r="H64" s="1599"/>
      <c r="I64" s="1597"/>
      <c r="J64" s="501"/>
      <c r="K64" s="529"/>
      <c r="L64" s="503"/>
      <c r="M64" s="526"/>
      <c r="N64" s="519"/>
      <c r="O64" s="530"/>
      <c r="P64" s="514"/>
      <c r="Q64" s="514"/>
      <c r="R64" s="514"/>
      <c r="S64" s="354">
        <f ca="1">SUBTOTAL(109,S66:S67)</f>
        <v>0</v>
      </c>
      <c r="T64" s="363"/>
      <c r="U64" s="360"/>
      <c r="V64" s="360"/>
      <c r="W64" s="1091"/>
      <c r="X64" s="1105"/>
      <c r="Y64" s="1105"/>
      <c r="Z64" s="360"/>
      <c r="AA64" s="360"/>
      <c r="AB64" s="360"/>
      <c r="AC64" s="1091"/>
      <c r="AD64" s="1105"/>
      <c r="AE64" s="1105"/>
      <c r="AF64" s="360"/>
      <c r="AG64" s="360"/>
      <c r="AH64" s="360"/>
      <c r="AI64" s="360"/>
      <c r="AJ64" s="363"/>
      <c r="AK64" s="440"/>
      <c r="AM64" s="460">
        <v>64</v>
      </c>
      <c r="AN64" s="1078"/>
      <c r="AP64" s="1081"/>
      <c r="AS64" s="1081"/>
      <c r="AZ64" s="1081"/>
      <c r="BA64" s="1081"/>
    </row>
    <row r="65" spans="1:54" ht="12" customHeight="1" x14ac:dyDescent="0.25">
      <c r="A65" s="440"/>
      <c r="B65" s="609"/>
      <c r="C65" s="513"/>
      <c r="D65" s="514"/>
      <c r="E65" s="514"/>
      <c r="F65" s="514"/>
      <c r="G65" s="514"/>
      <c r="H65" s="514"/>
      <c r="I65" s="511"/>
      <c r="J65" s="1603" t="s">
        <v>170</v>
      </c>
      <c r="K65" s="1603"/>
      <c r="L65" s="503"/>
      <c r="M65" s="526"/>
      <c r="N65" s="519"/>
      <c r="O65" s="530"/>
      <c r="P65" s="514"/>
      <c r="Q65" s="514"/>
      <c r="R65" s="514"/>
      <c r="S65" s="354"/>
      <c r="T65" s="363"/>
      <c r="U65" s="360"/>
      <c r="V65" s="360"/>
      <c r="W65" s="1092"/>
      <c r="X65" s="1105"/>
      <c r="Y65" s="1105"/>
      <c r="Z65" s="360"/>
      <c r="AA65" s="360"/>
      <c r="AB65" s="360"/>
      <c r="AC65" s="1092"/>
      <c r="AD65" s="1105"/>
      <c r="AE65" s="1105"/>
      <c r="AF65" s="360"/>
      <c r="AG65" s="360"/>
      <c r="AH65" s="360"/>
      <c r="AI65" s="360"/>
      <c r="AJ65" s="363"/>
      <c r="AK65" s="440"/>
      <c r="AM65" s="460">
        <v>65</v>
      </c>
      <c r="AN65" s="1078"/>
      <c r="AP65" s="1081"/>
      <c r="AS65" s="1081"/>
      <c r="AZ65" s="1081"/>
      <c r="BA65" s="1081"/>
    </row>
    <row r="66" spans="1:54" ht="12" customHeight="1" x14ac:dyDescent="0.2">
      <c r="A66" s="440"/>
      <c r="B66" s="609"/>
      <c r="C66" s="513"/>
      <c r="D66" s="514"/>
      <c r="E66" s="1084">
        <f ca="1">IF(AX66="E","",AN66)</f>
        <v>0</v>
      </c>
      <c r="F66" s="1085"/>
      <c r="G66" s="1264"/>
      <c r="H66" s="1264"/>
      <c r="I66" s="1265"/>
      <c r="J66" s="638"/>
      <c r="K66" s="520" t="s">
        <v>177</v>
      </c>
      <c r="L66" s="521"/>
      <c r="M66" s="342"/>
      <c r="N66" s="521" t="s">
        <v>67</v>
      </c>
      <c r="O66" s="344"/>
      <c r="P66" s="504" t="s">
        <v>68</v>
      </c>
      <c r="Q66" s="344"/>
      <c r="R66" s="522" t="s">
        <v>363</v>
      </c>
      <c r="S66" s="353">
        <f t="shared" ref="S66:S67" ca="1" si="59">IF(AY66="E",(M66*O66)+Q66,AO66)</f>
        <v>0</v>
      </c>
      <c r="T66" s="523"/>
      <c r="U66" s="350"/>
      <c r="V66" s="308"/>
      <c r="W66" s="1090" t="str">
        <f t="shared" ref="W66:W67" ca="1" si="60">IF(AZ66="E",IF(AND(V66&lt;&gt;0,U66&lt;&gt;0),"X",IF(AND(V66&lt;&gt;0,U66=0),"A",IF(AND(V66=0,U66&lt;&gt;0),"P",""))),AR66)</f>
        <v/>
      </c>
      <c r="X66" s="1103">
        <f t="shared" ref="X66:X67" ca="1" si="61">IF(AZ66="E",IFERROR(IF(W66="X",0,IF(U66&gt;0,U66,V66/S66)),0),
IFERROR(IF(OR(AR66="X",AR66=0),0,
IF(AR66="P",AP66,IF(AR66="A",AQ66/S66,0))),0))</f>
        <v>0</v>
      </c>
      <c r="Y66" s="1120">
        <f t="shared" ref="Y66:Y67" ca="1" si="62">IF(AZ66="E",IFERROR(IF(W66="X",0,IF(V66&gt;0,V66,S66*U66)),0),
IFERROR(IF(OR(AR66="X",AR66="0"),0,IF(AR66="A",AQ66,S66*AP66)),0))</f>
        <v>0</v>
      </c>
      <c r="Z66" s="524"/>
      <c r="AA66" s="350"/>
      <c r="AB66" s="308"/>
      <c r="AC66" s="1090" t="str">
        <f t="shared" ref="AC66:AC67" ca="1" si="63">IF(BA66="E",IF(AND(AB66&lt;&gt;0,AA66&lt;&gt;0),"X",IF(AND(AB66&lt;&gt;0,AA66=0),"A",IF(AND(AB66=0,AA66&lt;&gt;0),"P",""))),AU66)</f>
        <v/>
      </c>
      <c r="AD66" s="1103">
        <f t="shared" ref="AD66:AD67" ca="1" si="64">IF(BA66="E",IFERROR(IF(AC66="X",0,IF(AA66&gt;0,AA66,AB66/S66)),0),
IFERROR(IF(OR(AU66="X",AU66=0),0,
IF(AU66="P",AS66,IF(AU66="A",AT66/S66,0))),0))</f>
        <v>0</v>
      </c>
      <c r="AE66" s="1120">
        <f t="shared" ref="AE66:AE67" ca="1" si="65">IF(BA66="E",IFERROR(IF(AC66="X",0,IF(AB66&gt;0,AB66,S66*AA66)),0),
IFERROR(IF(OR(AU66="X",AU66=0),0,
IF(AU66="A",AT66,S66*AS66)),0))</f>
        <v>0</v>
      </c>
      <c r="AF66" s="525"/>
      <c r="AG66" s="637"/>
      <c r="AH66" s="525"/>
      <c r="AI66" s="1086">
        <f t="shared" ref="AI66:AI67" ca="1" si="66">IF(BB66="E",AG66,AV66)</f>
        <v>0</v>
      </c>
      <c r="AJ66" s="380"/>
      <c r="AK66" s="440"/>
      <c r="AM66" s="460">
        <v>66</v>
      </c>
      <c r="AN66" s="1087">
        <f t="shared" ref="AN66:AN67" ca="1" si="67">IF($M$13=$AN$12,"",IF(ISTEXT(INDIRECT("'"&amp;$AM$20&amp;"'!"&amp;AN$21&amp;$AM66)),INDIRECT("'"&amp;$AM$20&amp;"'!"&amp;AN$21&amp;$AM66),INDIRECT("'"&amp;$AM$20&amp;"'!"&amp;AN$22&amp;$AM66)))</f>
        <v>0</v>
      </c>
      <c r="AO66" s="1083">
        <f t="shared" ref="AO66:AV67" ca="1" si="68">IF($M$13=$AN$12,"",INDIRECT("'"&amp;$AM$20&amp;"'!"&amp;AO$21&amp;$AM66))</f>
        <v>0</v>
      </c>
      <c r="AP66" s="356">
        <f t="shared" ca="1" si="68"/>
        <v>0</v>
      </c>
      <c r="AQ66" s="357">
        <f t="shared" ca="1" si="68"/>
        <v>0</v>
      </c>
      <c r="AR66" s="524" t="str">
        <f t="shared" ca="1" si="68"/>
        <v/>
      </c>
      <c r="AS66" s="356">
        <f t="shared" ca="1" si="68"/>
        <v>0</v>
      </c>
      <c r="AT66" s="357">
        <f t="shared" ca="1" si="68"/>
        <v>0</v>
      </c>
      <c r="AU66" s="524" t="str">
        <f t="shared" ca="1" si="68"/>
        <v/>
      </c>
      <c r="AV66" s="1083">
        <f t="shared" ca="1" si="68"/>
        <v>0</v>
      </c>
      <c r="AX66" s="1083" t="str">
        <f t="shared" ref="AX66:AX67" si="69">IF($M$13=$AN$12,"E",IF(ISTEXT(F66),"E","U"))</f>
        <v>U</v>
      </c>
      <c r="AY66" s="1083" t="str">
        <f t="shared" ref="AY66:AY67" si="70">IF($M$13=$AN$12,"E",IF(OR(ISNUMBER(M66),ISNUMBER(O66),ISNUMBER(Q66)),"E","U"))</f>
        <v>U</v>
      </c>
      <c r="AZ66" s="1083" t="str">
        <f t="shared" ref="AZ66:AZ67" si="71">IF($M$13=$AN$12,"E",IF(OR(ISNUMBER(U66),ISNUMBER(V66)),"E","U"))</f>
        <v>U</v>
      </c>
      <c r="BA66" s="1083" t="str">
        <f t="shared" ref="BA66:BA67" si="72">IF($M$13=$AN$12,"E",IF(OR(ISNUMBER(AA66),ISNUMBER(AB66)),"E","U"))</f>
        <v>U</v>
      </c>
      <c r="BB66" s="1083" t="str">
        <f t="shared" ref="BB66:BB67" si="73">IF($M$13=$AN$12,"E",IF(ISNUMBER(AG66),"E","U"))</f>
        <v>U</v>
      </c>
    </row>
    <row r="67" spans="1:54" ht="12" customHeight="1" x14ac:dyDescent="0.2">
      <c r="A67" s="440"/>
      <c r="B67" s="609"/>
      <c r="C67" s="513"/>
      <c r="D67" s="514"/>
      <c r="E67" s="1084">
        <f ca="1">IF(AX67="E","",AN67)</f>
        <v>0</v>
      </c>
      <c r="F67" s="1085"/>
      <c r="G67" s="1264"/>
      <c r="H67" s="1264"/>
      <c r="I67" s="1265"/>
      <c r="J67" s="638"/>
      <c r="K67" s="520" t="s">
        <v>177</v>
      </c>
      <c r="L67" s="521"/>
      <c r="M67" s="342"/>
      <c r="N67" s="521" t="s">
        <v>67</v>
      </c>
      <c r="O67" s="344"/>
      <c r="P67" s="504" t="s">
        <v>68</v>
      </c>
      <c r="Q67" s="344"/>
      <c r="R67" s="522" t="s">
        <v>363</v>
      </c>
      <c r="S67" s="353">
        <f t="shared" ca="1" si="59"/>
        <v>0</v>
      </c>
      <c r="T67" s="523"/>
      <c r="U67" s="350"/>
      <c r="V67" s="308"/>
      <c r="W67" s="1090" t="str">
        <f t="shared" ca="1" si="60"/>
        <v/>
      </c>
      <c r="X67" s="1103">
        <f t="shared" ca="1" si="61"/>
        <v>0</v>
      </c>
      <c r="Y67" s="1120">
        <f t="shared" ca="1" si="62"/>
        <v>0</v>
      </c>
      <c r="Z67" s="524"/>
      <c r="AA67" s="350"/>
      <c r="AB67" s="308"/>
      <c r="AC67" s="1090" t="str">
        <f t="shared" ca="1" si="63"/>
        <v/>
      </c>
      <c r="AD67" s="1103">
        <f t="shared" ca="1" si="64"/>
        <v>0</v>
      </c>
      <c r="AE67" s="1120">
        <f t="shared" ca="1" si="65"/>
        <v>0</v>
      </c>
      <c r="AF67" s="525"/>
      <c r="AG67" s="637"/>
      <c r="AH67" s="525"/>
      <c r="AI67" s="1086">
        <f t="shared" ca="1" si="66"/>
        <v>0</v>
      </c>
      <c r="AJ67" s="380"/>
      <c r="AK67" s="440"/>
      <c r="AM67" s="460">
        <v>67</v>
      </c>
      <c r="AN67" s="1087">
        <f t="shared" ca="1" si="67"/>
        <v>0</v>
      </c>
      <c r="AO67" s="1083">
        <f t="shared" ca="1" si="68"/>
        <v>0</v>
      </c>
      <c r="AP67" s="356">
        <f t="shared" ca="1" si="68"/>
        <v>0</v>
      </c>
      <c r="AQ67" s="357">
        <f t="shared" ca="1" si="68"/>
        <v>0</v>
      </c>
      <c r="AR67" s="524" t="str">
        <f t="shared" ca="1" si="68"/>
        <v/>
      </c>
      <c r="AS67" s="356">
        <f t="shared" ca="1" si="68"/>
        <v>0</v>
      </c>
      <c r="AT67" s="357">
        <f t="shared" ca="1" si="68"/>
        <v>0</v>
      </c>
      <c r="AU67" s="524" t="str">
        <f t="shared" ca="1" si="68"/>
        <v/>
      </c>
      <c r="AV67" s="1083">
        <f t="shared" ca="1" si="68"/>
        <v>0</v>
      </c>
      <c r="AX67" s="1083" t="str">
        <f t="shared" si="69"/>
        <v>U</v>
      </c>
      <c r="AY67" s="1083" t="str">
        <f t="shared" si="70"/>
        <v>U</v>
      </c>
      <c r="AZ67" s="1083" t="str">
        <f t="shared" si="71"/>
        <v>U</v>
      </c>
      <c r="BA67" s="1083" t="str">
        <f t="shared" si="72"/>
        <v>U</v>
      </c>
      <c r="BB67" s="1083" t="str">
        <f t="shared" si="73"/>
        <v>U</v>
      </c>
    </row>
    <row r="68" spans="1:54" ht="12" customHeight="1" x14ac:dyDescent="0.25">
      <c r="A68" s="440"/>
      <c r="B68" s="609"/>
      <c r="C68" s="513"/>
      <c r="D68" s="514" t="s">
        <v>322</v>
      </c>
      <c r="E68" s="514" t="s">
        <v>324</v>
      </c>
      <c r="F68" s="519"/>
      <c r="G68" s="519"/>
      <c r="H68" s="519"/>
      <c r="I68" s="519"/>
      <c r="J68" s="501"/>
      <c r="K68" s="529"/>
      <c r="L68" s="503"/>
      <c r="M68" s="532"/>
      <c r="N68" s="503"/>
      <c r="O68" s="527"/>
      <c r="P68" s="513"/>
      <c r="Q68" s="513"/>
      <c r="R68" s="513"/>
      <c r="S68" s="354">
        <f ca="1">SUBTOTAL(109,S70:S72)</f>
        <v>80293.319999999992</v>
      </c>
      <c r="T68" s="363"/>
      <c r="U68" s="364"/>
      <c r="V68" s="365"/>
      <c r="W68" s="1093"/>
      <c r="X68" s="1106"/>
      <c r="Y68" s="1122"/>
      <c r="Z68" s="363"/>
      <c r="AA68" s="364"/>
      <c r="AB68" s="365"/>
      <c r="AC68" s="1093"/>
      <c r="AD68" s="1106"/>
      <c r="AE68" s="1122"/>
      <c r="AF68" s="363"/>
      <c r="AG68" s="358"/>
      <c r="AH68" s="363"/>
      <c r="AI68" s="358"/>
      <c r="AJ68" s="363"/>
      <c r="AK68" s="440"/>
      <c r="AM68" s="460">
        <v>68</v>
      </c>
      <c r="AN68" s="1078"/>
      <c r="AP68" s="1081"/>
      <c r="AS68" s="1081"/>
      <c r="AZ68" s="1081"/>
      <c r="BA68" s="1081"/>
    </row>
    <row r="69" spans="1:54" ht="12" customHeight="1" x14ac:dyDescent="0.2">
      <c r="A69" s="440"/>
      <c r="B69" s="609"/>
      <c r="C69" s="513"/>
      <c r="D69" s="514"/>
      <c r="E69" s="514"/>
      <c r="F69" s="519"/>
      <c r="G69" s="519"/>
      <c r="H69" s="519"/>
      <c r="I69" s="519"/>
      <c r="J69" s="1603" t="s">
        <v>170</v>
      </c>
      <c r="K69" s="1603"/>
      <c r="L69" s="503"/>
      <c r="M69" s="532"/>
      <c r="N69" s="503"/>
      <c r="O69" s="527"/>
      <c r="P69" s="513"/>
      <c r="Q69" s="513"/>
      <c r="R69" s="513"/>
      <c r="S69" s="354"/>
      <c r="T69" s="363"/>
      <c r="U69" s="364"/>
      <c r="V69" s="365"/>
      <c r="W69" s="1093"/>
      <c r="X69" s="1106"/>
      <c r="Y69" s="1122"/>
      <c r="Z69" s="363"/>
      <c r="AA69" s="364"/>
      <c r="AB69" s="365"/>
      <c r="AC69" s="1093"/>
      <c r="AD69" s="1106"/>
      <c r="AE69" s="1122"/>
      <c r="AF69" s="363"/>
      <c r="AG69" s="358"/>
      <c r="AH69" s="363"/>
      <c r="AI69" s="358"/>
      <c r="AJ69" s="363"/>
      <c r="AK69" s="440"/>
      <c r="AM69" s="460">
        <v>69</v>
      </c>
      <c r="AN69" s="1078"/>
      <c r="AP69" s="1081"/>
      <c r="AS69" s="1081"/>
      <c r="AZ69" s="1081"/>
      <c r="BA69" s="1081"/>
    </row>
    <row r="70" spans="1:54" ht="12" customHeight="1" x14ac:dyDescent="0.2">
      <c r="A70" s="440"/>
      <c r="B70" s="609"/>
      <c r="C70" s="513"/>
      <c r="D70" s="380"/>
      <c r="E70" s="1084" t="str">
        <f ca="1">IF(AX70="E","",AN70)</f>
        <v>Estrich</v>
      </c>
      <c r="F70" s="1085"/>
      <c r="G70" s="1264"/>
      <c r="H70" s="1264"/>
      <c r="I70" s="1265"/>
      <c r="J70" s="638"/>
      <c r="K70" s="533" t="s">
        <v>177</v>
      </c>
      <c r="L70" s="521"/>
      <c r="M70" s="342"/>
      <c r="N70" s="521" t="s">
        <v>67</v>
      </c>
      <c r="O70" s="344"/>
      <c r="P70" s="504" t="s">
        <v>68</v>
      </c>
      <c r="Q70" s="344">
        <f>56026*1.2</f>
        <v>67231.199999999997</v>
      </c>
      <c r="R70" s="522" t="s">
        <v>363</v>
      </c>
      <c r="S70" s="353">
        <f t="shared" ref="S70:S72" si="74">IF(AY70="E",(M70*O70)+Q70,AO70)</f>
        <v>67231.199999999997</v>
      </c>
      <c r="T70" s="523"/>
      <c r="U70" s="350"/>
      <c r="V70" s="308"/>
      <c r="W70" s="1090" t="str">
        <f t="shared" ref="W70:W72" ca="1" si="75">IF(AZ70="E",IF(AND(V70&lt;&gt;0,U70&lt;&gt;0),"X",IF(AND(V70&lt;&gt;0,U70=0),"A",IF(AND(V70=0,U70&lt;&gt;0),"P",""))),AR70)</f>
        <v/>
      </c>
      <c r="X70" s="1103">
        <f t="shared" ref="X70:X72" ca="1" si="76">IF(AZ70="E",IFERROR(IF(W70="X",0,IF(U70&gt;0,U70,V70/S70)),0),
IFERROR(IF(OR(AR70="X",AR70=0),0,
IF(AR70="P",AP70,IF(AR70="A",AQ70/S70,0))),0))</f>
        <v>0</v>
      </c>
      <c r="Y70" s="1120">
        <f t="shared" ref="Y70:Y72" ca="1" si="77">IF(AZ70="E",IFERROR(IF(W70="X",0,IF(V70&gt;0,V70,S70*U70)),0),
IFERROR(IF(OR(AR70="X",AR70="0"),0,IF(AR70="A",AQ70,S70*AP70)),0))</f>
        <v>0</v>
      </c>
      <c r="Z70" s="524"/>
      <c r="AA70" s="350"/>
      <c r="AB70" s="308"/>
      <c r="AC70" s="1090" t="str">
        <f t="shared" ref="AC70:AC72" ca="1" si="78">IF(BA70="E",IF(AND(AB70&lt;&gt;0,AA70&lt;&gt;0),"X",IF(AND(AB70&lt;&gt;0,AA70=0),"A",IF(AND(AB70=0,AA70&lt;&gt;0),"P",""))),AU70)</f>
        <v/>
      </c>
      <c r="AD70" s="1103">
        <f t="shared" ref="AD70:AD72" ca="1" si="79">IF(BA70="E",IFERROR(IF(AC70="X",0,IF(AA70&gt;0,AA70,AB70/S70)),0),
IFERROR(IF(OR(AU70="X",AU70=0),0,
IF(AU70="P",AS70,IF(AU70="A",AT70/S70,0))),0))</f>
        <v>0</v>
      </c>
      <c r="AE70" s="1120">
        <f t="shared" ref="AE70:AE72" ca="1" si="80">IF(BA70="E",IFERROR(IF(AC70="X",0,IF(AB70&gt;0,AB70,S70*AA70)),0),
IFERROR(IF(OR(AU70="X",AU70=0),0,
IF(AU70="A",AT70,S70*AS70)),0))</f>
        <v>0</v>
      </c>
      <c r="AF70" s="525"/>
      <c r="AG70" s="637"/>
      <c r="AH70" s="525"/>
      <c r="AI70" s="1086">
        <f t="shared" ref="AI70:AI72" ca="1" si="81">IF(BB70="E",AG70,AV70)</f>
        <v>100</v>
      </c>
      <c r="AJ70" s="380"/>
      <c r="AK70" s="440"/>
      <c r="AM70" s="460">
        <v>70</v>
      </c>
      <c r="AN70" s="1087" t="str">
        <f t="shared" ref="AN70:AN72" ca="1" si="82">IF($M$13=$AN$12,"",IF(ISTEXT(INDIRECT("'"&amp;$AM$20&amp;"'!"&amp;AN$21&amp;$AM70)),INDIRECT("'"&amp;$AM$20&amp;"'!"&amp;AN$21&amp;$AM70),INDIRECT("'"&amp;$AM$20&amp;"'!"&amp;AN$22&amp;$AM70)))</f>
        <v>Estrich</v>
      </c>
      <c r="AO70" s="1083">
        <f t="shared" ref="AO70:AV72" ca="1" si="83">IF($M$13=$AN$12,"",INDIRECT("'"&amp;$AM$20&amp;"'!"&amp;AO$21&amp;$AM70))</f>
        <v>62785.2</v>
      </c>
      <c r="AP70" s="356">
        <f t="shared" ca="1" si="83"/>
        <v>0</v>
      </c>
      <c r="AQ70" s="357">
        <f t="shared" ca="1" si="83"/>
        <v>0</v>
      </c>
      <c r="AR70" s="524" t="str">
        <f t="shared" ca="1" si="83"/>
        <v/>
      </c>
      <c r="AS70" s="356">
        <f t="shared" ca="1" si="83"/>
        <v>0</v>
      </c>
      <c r="AT70" s="357">
        <f t="shared" ca="1" si="83"/>
        <v>0</v>
      </c>
      <c r="AU70" s="524" t="str">
        <f t="shared" ca="1" si="83"/>
        <v/>
      </c>
      <c r="AV70" s="1083">
        <f t="shared" ca="1" si="83"/>
        <v>100</v>
      </c>
      <c r="AX70" s="1083" t="str">
        <f t="shared" ref="AX70:AX72" si="84">IF($M$13=$AN$12,"E",IF(ISTEXT(F70),"E","U"))</f>
        <v>U</v>
      </c>
      <c r="AY70" s="1083" t="str">
        <f t="shared" ref="AY70:AY72" si="85">IF($M$13=$AN$12,"E",IF(OR(ISNUMBER(M70),ISNUMBER(O70),ISNUMBER(Q70)),"E","U"))</f>
        <v>E</v>
      </c>
      <c r="AZ70" s="1083" t="str">
        <f t="shared" ref="AZ70:AZ72" si="86">IF($M$13=$AN$12,"E",IF(OR(ISNUMBER(U70),ISNUMBER(V70)),"E","U"))</f>
        <v>U</v>
      </c>
      <c r="BA70" s="1083" t="str">
        <f t="shared" ref="BA70:BA72" si="87">IF($M$13=$AN$12,"E",IF(OR(ISNUMBER(AA70),ISNUMBER(AB70)),"E","U"))</f>
        <v>U</v>
      </c>
      <c r="BB70" s="1083" t="str">
        <f t="shared" ref="BB70:BB72" si="88">IF($M$13=$AN$12,"E",IF(ISNUMBER(AG70),"E","U"))</f>
        <v>U</v>
      </c>
    </row>
    <row r="71" spans="1:54" ht="12" customHeight="1" x14ac:dyDescent="0.2">
      <c r="A71" s="440"/>
      <c r="B71" s="609"/>
      <c r="C71" s="513"/>
      <c r="D71" s="380"/>
      <c r="E71" s="1084" t="str">
        <f ca="1">IF(AX71="E","",AN71)</f>
        <v>Trockenbau Deckenverkleidung</v>
      </c>
      <c r="F71" s="1085"/>
      <c r="G71" s="1264"/>
      <c r="H71" s="1264"/>
      <c r="I71" s="1265"/>
      <c r="J71" s="638"/>
      <c r="K71" s="533" t="s">
        <v>177</v>
      </c>
      <c r="L71" s="503"/>
      <c r="M71" s="343"/>
      <c r="N71" s="521" t="s">
        <v>67</v>
      </c>
      <c r="O71" s="344"/>
      <c r="P71" s="504" t="s">
        <v>68</v>
      </c>
      <c r="Q71" s="344"/>
      <c r="R71" s="522" t="s">
        <v>363</v>
      </c>
      <c r="S71" s="353">
        <f t="shared" ca="1" si="74"/>
        <v>13062.12</v>
      </c>
      <c r="T71" s="523"/>
      <c r="U71" s="350"/>
      <c r="V71" s="308"/>
      <c r="W71" s="1090" t="str">
        <f t="shared" ca="1" si="75"/>
        <v/>
      </c>
      <c r="X71" s="1103">
        <f t="shared" ca="1" si="76"/>
        <v>0</v>
      </c>
      <c r="Y71" s="1120">
        <f t="shared" ca="1" si="77"/>
        <v>0</v>
      </c>
      <c r="Z71" s="524"/>
      <c r="AA71" s="350"/>
      <c r="AB71" s="308"/>
      <c r="AC71" s="1090" t="str">
        <f t="shared" ca="1" si="78"/>
        <v/>
      </c>
      <c r="AD71" s="1103">
        <f t="shared" ca="1" si="79"/>
        <v>0</v>
      </c>
      <c r="AE71" s="1120">
        <f t="shared" ca="1" si="80"/>
        <v>0</v>
      </c>
      <c r="AF71" s="525"/>
      <c r="AG71" s="637"/>
      <c r="AH71" s="525"/>
      <c r="AI71" s="1086">
        <f t="shared" ca="1" si="81"/>
        <v>60</v>
      </c>
      <c r="AJ71" s="380"/>
      <c r="AK71" s="440"/>
      <c r="AM71" s="460">
        <v>71</v>
      </c>
      <c r="AN71" s="1087" t="str">
        <f t="shared" ca="1" si="82"/>
        <v>Trockenbau Deckenverkleidung</v>
      </c>
      <c r="AO71" s="1083">
        <f t="shared" ca="1" si="83"/>
        <v>13062.12</v>
      </c>
      <c r="AP71" s="356">
        <f t="shared" ca="1" si="83"/>
        <v>0</v>
      </c>
      <c r="AQ71" s="357">
        <f t="shared" ca="1" si="83"/>
        <v>0</v>
      </c>
      <c r="AR71" s="524" t="str">
        <f t="shared" ca="1" si="83"/>
        <v/>
      </c>
      <c r="AS71" s="356">
        <f t="shared" ca="1" si="83"/>
        <v>0</v>
      </c>
      <c r="AT71" s="357">
        <f t="shared" ca="1" si="83"/>
        <v>0</v>
      </c>
      <c r="AU71" s="524" t="str">
        <f t="shared" ca="1" si="83"/>
        <v/>
      </c>
      <c r="AV71" s="1083">
        <f t="shared" ca="1" si="83"/>
        <v>60</v>
      </c>
      <c r="AX71" s="1083" t="str">
        <f t="shared" si="84"/>
        <v>U</v>
      </c>
      <c r="AY71" s="1083" t="str">
        <f t="shared" si="85"/>
        <v>U</v>
      </c>
      <c r="AZ71" s="1083" t="str">
        <f t="shared" si="86"/>
        <v>U</v>
      </c>
      <c r="BA71" s="1083" t="str">
        <f t="shared" si="87"/>
        <v>U</v>
      </c>
      <c r="BB71" s="1083" t="str">
        <f t="shared" si="88"/>
        <v>U</v>
      </c>
    </row>
    <row r="72" spans="1:54" ht="12" customHeight="1" x14ac:dyDescent="0.2">
      <c r="A72" s="440"/>
      <c r="B72" s="609"/>
      <c r="C72" s="513"/>
      <c r="D72" s="380"/>
      <c r="E72" s="1084">
        <f ca="1">IF(AX72="E","",AN72)</f>
        <v>0</v>
      </c>
      <c r="F72" s="1085"/>
      <c r="G72" s="1264"/>
      <c r="H72" s="1264"/>
      <c r="I72" s="1265"/>
      <c r="J72" s="638"/>
      <c r="K72" s="533" t="s">
        <v>177</v>
      </c>
      <c r="L72" s="503"/>
      <c r="M72" s="343"/>
      <c r="N72" s="521" t="s">
        <v>67</v>
      </c>
      <c r="O72" s="344"/>
      <c r="P72" s="504" t="s">
        <v>68</v>
      </c>
      <c r="Q72" s="344"/>
      <c r="R72" s="522" t="s">
        <v>363</v>
      </c>
      <c r="S72" s="353">
        <f t="shared" ca="1" si="74"/>
        <v>0</v>
      </c>
      <c r="T72" s="523"/>
      <c r="U72" s="350"/>
      <c r="V72" s="308"/>
      <c r="W72" s="1090" t="str">
        <f t="shared" ca="1" si="75"/>
        <v/>
      </c>
      <c r="X72" s="1103">
        <f t="shared" ca="1" si="76"/>
        <v>0</v>
      </c>
      <c r="Y72" s="1120">
        <f t="shared" ca="1" si="77"/>
        <v>0</v>
      </c>
      <c r="Z72" s="524"/>
      <c r="AA72" s="350"/>
      <c r="AB72" s="308"/>
      <c r="AC72" s="1090" t="str">
        <f t="shared" ca="1" si="78"/>
        <v/>
      </c>
      <c r="AD72" s="1103">
        <f t="shared" ca="1" si="79"/>
        <v>0</v>
      </c>
      <c r="AE72" s="1120">
        <f t="shared" ca="1" si="80"/>
        <v>0</v>
      </c>
      <c r="AF72" s="525"/>
      <c r="AG72" s="637"/>
      <c r="AH72" s="525"/>
      <c r="AI72" s="1086">
        <f t="shared" ca="1" si="81"/>
        <v>0</v>
      </c>
      <c r="AJ72" s="380"/>
      <c r="AK72" s="440"/>
      <c r="AM72" s="460">
        <v>72</v>
      </c>
      <c r="AN72" s="1087">
        <f t="shared" ca="1" si="82"/>
        <v>0</v>
      </c>
      <c r="AO72" s="1083">
        <f t="shared" ca="1" si="83"/>
        <v>0</v>
      </c>
      <c r="AP72" s="356">
        <f t="shared" ca="1" si="83"/>
        <v>0</v>
      </c>
      <c r="AQ72" s="357">
        <f t="shared" ca="1" si="83"/>
        <v>0</v>
      </c>
      <c r="AR72" s="524" t="str">
        <f t="shared" ca="1" si="83"/>
        <v/>
      </c>
      <c r="AS72" s="356">
        <f t="shared" ca="1" si="83"/>
        <v>0</v>
      </c>
      <c r="AT72" s="357">
        <f t="shared" ca="1" si="83"/>
        <v>0</v>
      </c>
      <c r="AU72" s="524" t="str">
        <f t="shared" ca="1" si="83"/>
        <v/>
      </c>
      <c r="AV72" s="1083">
        <f t="shared" ca="1" si="83"/>
        <v>0</v>
      </c>
      <c r="AX72" s="1083" t="str">
        <f t="shared" si="84"/>
        <v>U</v>
      </c>
      <c r="AY72" s="1083" t="str">
        <f t="shared" si="85"/>
        <v>U</v>
      </c>
      <c r="AZ72" s="1083" t="str">
        <f t="shared" si="86"/>
        <v>U</v>
      </c>
      <c r="BA72" s="1083" t="str">
        <f t="shared" si="87"/>
        <v>U</v>
      </c>
      <c r="BB72" s="1083" t="str">
        <f t="shared" si="88"/>
        <v>U</v>
      </c>
    </row>
    <row r="73" spans="1:54" ht="14.25" customHeight="1" collapsed="1" x14ac:dyDescent="0.25">
      <c r="A73" s="440"/>
      <c r="B73" s="609"/>
      <c r="C73" s="513" t="s">
        <v>152</v>
      </c>
      <c r="D73" s="494"/>
      <c r="E73" s="1596" t="s">
        <v>135</v>
      </c>
      <c r="F73" s="1596"/>
      <c r="G73" s="1596"/>
      <c r="H73" s="1596"/>
      <c r="I73" s="1597"/>
      <c r="J73" s="501"/>
      <c r="K73" s="529"/>
      <c r="L73" s="529"/>
      <c r="M73" s="526"/>
      <c r="N73" s="519"/>
      <c r="O73" s="530"/>
      <c r="P73" s="514"/>
      <c r="Q73" s="514"/>
      <c r="R73" s="514"/>
      <c r="S73" s="355">
        <f ca="1">S74+S82+S87</f>
        <v>177581.85599999997</v>
      </c>
      <c r="T73" s="363"/>
      <c r="U73" s="360"/>
      <c r="V73" s="361"/>
      <c r="W73" s="1092"/>
      <c r="X73" s="1105"/>
      <c r="Y73" s="1121"/>
      <c r="Z73" s="363"/>
      <c r="AA73" s="360"/>
      <c r="AB73" s="361"/>
      <c r="AC73" s="1092"/>
      <c r="AD73" s="1105"/>
      <c r="AE73" s="1121"/>
      <c r="AF73" s="359"/>
      <c r="AG73" s="358"/>
      <c r="AH73" s="359"/>
      <c r="AI73" s="358"/>
      <c r="AJ73" s="359"/>
      <c r="AK73" s="440"/>
      <c r="AM73" s="460">
        <v>73</v>
      </c>
      <c r="AN73" s="1078"/>
      <c r="AP73" s="1081"/>
      <c r="AS73" s="1081"/>
      <c r="AZ73" s="1081"/>
      <c r="BA73" s="1081"/>
    </row>
    <row r="74" spans="1:54" ht="12" customHeight="1" x14ac:dyDescent="0.25">
      <c r="A74" s="440"/>
      <c r="B74" s="609"/>
      <c r="C74" s="513"/>
      <c r="D74" s="514" t="s">
        <v>153</v>
      </c>
      <c r="E74" s="1599" t="s">
        <v>158</v>
      </c>
      <c r="F74" s="1599"/>
      <c r="G74" s="1599"/>
      <c r="H74" s="1599"/>
      <c r="I74" s="1597"/>
      <c r="J74" s="501"/>
      <c r="K74" s="529"/>
      <c r="L74" s="503"/>
      <c r="M74" s="526"/>
      <c r="N74" s="519"/>
      <c r="O74" s="530"/>
      <c r="P74" s="514"/>
      <c r="Q74" s="514"/>
      <c r="R74" s="514"/>
      <c r="S74" s="354">
        <f ca="1">SUBTOTAL(109,S76:S81)</f>
        <v>109483.2</v>
      </c>
      <c r="T74" s="363"/>
      <c r="U74" s="358"/>
      <c r="V74" s="358"/>
      <c r="W74" s="1091"/>
      <c r="X74" s="1104"/>
      <c r="Y74" s="1104"/>
      <c r="Z74" s="358"/>
      <c r="AA74" s="358"/>
      <c r="AB74" s="358"/>
      <c r="AC74" s="1091"/>
      <c r="AD74" s="1104"/>
      <c r="AE74" s="1104"/>
      <c r="AF74" s="358"/>
      <c r="AG74" s="358"/>
      <c r="AH74" s="358"/>
      <c r="AI74" s="358"/>
      <c r="AJ74" s="358"/>
      <c r="AK74" s="440"/>
      <c r="AM74" s="460">
        <v>74</v>
      </c>
      <c r="AN74" s="1078"/>
      <c r="AP74" s="1081"/>
      <c r="AS74" s="1081"/>
      <c r="AZ74" s="1081"/>
      <c r="BA74" s="1081"/>
    </row>
    <row r="75" spans="1:54" ht="12" customHeight="1" x14ac:dyDescent="0.25">
      <c r="A75" s="440"/>
      <c r="B75" s="609"/>
      <c r="C75" s="513"/>
      <c r="D75" s="514"/>
      <c r="E75" s="514"/>
      <c r="F75" s="514"/>
      <c r="G75" s="514"/>
      <c r="H75" s="514"/>
      <c r="I75" s="511"/>
      <c r="J75" s="1603" t="s">
        <v>170</v>
      </c>
      <c r="K75" s="1603"/>
      <c r="L75" s="503"/>
      <c r="M75" s="526"/>
      <c r="N75" s="519"/>
      <c r="O75" s="530"/>
      <c r="P75" s="514"/>
      <c r="Q75" s="514"/>
      <c r="R75" s="514"/>
      <c r="S75" s="354"/>
      <c r="T75" s="363"/>
      <c r="U75" s="366"/>
      <c r="V75" s="367"/>
      <c r="W75" s="1092"/>
      <c r="X75" s="1107"/>
      <c r="Y75" s="1123"/>
      <c r="Z75" s="363"/>
      <c r="AA75" s="366"/>
      <c r="AB75" s="367"/>
      <c r="AC75" s="1092"/>
      <c r="AD75" s="1107"/>
      <c r="AE75" s="1123"/>
      <c r="AF75" s="359"/>
      <c r="AG75" s="373"/>
      <c r="AH75" s="359"/>
      <c r="AI75" s="373"/>
      <c r="AJ75" s="359"/>
      <c r="AK75" s="440"/>
      <c r="AM75" s="460">
        <v>75</v>
      </c>
      <c r="AN75" s="1078"/>
      <c r="AP75" s="1081"/>
      <c r="AS75" s="1081"/>
      <c r="AZ75" s="1081"/>
      <c r="BA75" s="1081"/>
    </row>
    <row r="76" spans="1:54" ht="12" customHeight="1" x14ac:dyDescent="0.2">
      <c r="A76" s="440"/>
      <c r="B76" s="609"/>
      <c r="C76" s="513"/>
      <c r="D76" s="514"/>
      <c r="E76" s="1084" t="str">
        <f t="shared" ref="E76:E81" ca="1" si="89">IF(AX76="E","",AN76)</f>
        <v>WDVS</v>
      </c>
      <c r="F76" s="1085"/>
      <c r="G76" s="1264"/>
      <c r="H76" s="1264"/>
      <c r="I76" s="1265"/>
      <c r="J76" s="638"/>
      <c r="K76" s="520" t="s">
        <v>177</v>
      </c>
      <c r="L76" s="521"/>
      <c r="M76" s="342"/>
      <c r="N76" s="521" t="s">
        <v>67</v>
      </c>
      <c r="O76" s="344"/>
      <c r="P76" s="504" t="s">
        <v>68</v>
      </c>
      <c r="Q76" s="344">
        <f>76650*1.2</f>
        <v>91980</v>
      </c>
      <c r="R76" s="522" t="s">
        <v>363</v>
      </c>
      <c r="S76" s="353">
        <f t="shared" ref="S76:S81" si="90">IF(AY76="E",(M76*O76)+Q76,AO76)</f>
        <v>91980</v>
      </c>
      <c r="T76" s="523"/>
      <c r="U76" s="350"/>
      <c r="V76" s="308"/>
      <c r="W76" s="1090" t="str">
        <f t="shared" ref="W76:W81" ca="1" si="91">IF(AZ76="E",IF(AND(V76&lt;&gt;0,U76&lt;&gt;0),"X",IF(AND(V76&lt;&gt;0,U76=0),"A",IF(AND(V76=0,U76&lt;&gt;0),"P",""))),AR76)</f>
        <v/>
      </c>
      <c r="X76" s="1103">
        <f t="shared" ref="X76:X81" ca="1" si="92">IF(AZ76="E",IFERROR(IF(W76="X",0,IF(U76&gt;0,U76,V76/S76)),0),
IFERROR(IF(OR(AR76="X",AR76=0),0,
IF(AR76="P",AP76,IF(AR76="A",AQ76/S76,0))),0))</f>
        <v>0</v>
      </c>
      <c r="Y76" s="1120">
        <f t="shared" ref="Y76:Y81" ca="1" si="93">IF(AZ76="E",IFERROR(IF(W76="X",0,IF(V76&gt;0,V76,S76*U76)),0),
IFERROR(IF(OR(AR76="X",AR76="0"),0,IF(AR76="A",AQ76,S76*AP76)),0))</f>
        <v>0</v>
      </c>
      <c r="Z76" s="524"/>
      <c r="AA76" s="350"/>
      <c r="AB76" s="308"/>
      <c r="AC76" s="1090" t="str">
        <f t="shared" ref="AC76:AC81" ca="1" si="94">IF(BA76="E",IF(AND(AB76&lt;&gt;0,AA76&lt;&gt;0),"X",IF(AND(AB76&lt;&gt;0,AA76=0),"A",IF(AND(AB76=0,AA76&lt;&gt;0),"P",""))),AU76)</f>
        <v/>
      </c>
      <c r="AD76" s="1103">
        <f t="shared" ref="AD76:AD81" ca="1" si="95">IF(BA76="E",IFERROR(IF(AC76="X",0,IF(AA76&gt;0,AA76,AB76/S76)),0),
IFERROR(IF(OR(AU76="X",AU76=0),0,
IF(AU76="P",AS76,IF(AU76="A",AT76/S76,0))),0))</f>
        <v>0</v>
      </c>
      <c r="AE76" s="1120">
        <f t="shared" ref="AE76:AE81" ca="1" si="96">IF(BA76="E",IFERROR(IF(AC76="X",0,IF(AB76&gt;0,AB76,S76*AA76)),0),
IFERROR(IF(OR(AU76="X",AU76=0),0,
IF(AU76="A",AT76,S76*AS76)),0))</f>
        <v>0</v>
      </c>
      <c r="AF76" s="525"/>
      <c r="AG76" s="637"/>
      <c r="AH76" s="525"/>
      <c r="AI76" s="1086">
        <f t="shared" ref="AI76:AI81" ca="1" si="97">IF(BB76="E",AG76,AV76)</f>
        <v>50</v>
      </c>
      <c r="AJ76" s="380"/>
      <c r="AK76" s="440"/>
      <c r="AM76" s="460">
        <v>76</v>
      </c>
      <c r="AN76" s="1087" t="str">
        <f t="shared" ref="AN76:AN81" ca="1" si="98">IF($M$13=$AN$12,"",IF(ISTEXT(INDIRECT("'"&amp;$AM$20&amp;"'!"&amp;AN$21&amp;$AM76)),INDIRECT("'"&amp;$AM$20&amp;"'!"&amp;AN$21&amp;$AM76),INDIRECT("'"&amp;$AM$20&amp;"'!"&amp;AN$22&amp;$AM76)))</f>
        <v>WDVS</v>
      </c>
      <c r="AO76" s="1083">
        <f t="shared" ref="AO76:AV81" ca="1" si="99">IF($M$13=$AN$12,"",INDIRECT("'"&amp;$AM$20&amp;"'!"&amp;AO$21&amp;$AM76))</f>
        <v>79430.399999999994</v>
      </c>
      <c r="AP76" s="356">
        <f t="shared" ca="1" si="99"/>
        <v>0</v>
      </c>
      <c r="AQ76" s="357">
        <f t="shared" ca="1" si="99"/>
        <v>0</v>
      </c>
      <c r="AR76" s="524" t="str">
        <f t="shared" ca="1" si="99"/>
        <v/>
      </c>
      <c r="AS76" s="356">
        <f t="shared" ca="1" si="99"/>
        <v>0</v>
      </c>
      <c r="AT76" s="357">
        <f t="shared" ca="1" si="99"/>
        <v>0</v>
      </c>
      <c r="AU76" s="524" t="str">
        <f t="shared" ca="1" si="99"/>
        <v/>
      </c>
      <c r="AV76" s="1083">
        <f t="shared" ca="1" si="99"/>
        <v>50</v>
      </c>
      <c r="AX76" s="1083" t="str">
        <f t="shared" ref="AX76:AX81" si="100">IF($M$13=$AN$12,"E",IF(ISTEXT(F76),"E","U"))</f>
        <v>U</v>
      </c>
      <c r="AY76" s="1083" t="str">
        <f t="shared" ref="AY76:AY81" si="101">IF($M$13=$AN$12,"E",IF(OR(ISNUMBER(M76),ISNUMBER(O76),ISNUMBER(Q76)),"E","U"))</f>
        <v>E</v>
      </c>
      <c r="AZ76" s="1083" t="str">
        <f t="shared" ref="AZ76:AZ81" si="102">IF($M$13=$AN$12,"E",IF(OR(ISNUMBER(U76),ISNUMBER(V76)),"E","U"))</f>
        <v>U</v>
      </c>
      <c r="BA76" s="1083" t="str">
        <f t="shared" ref="BA76:BA81" si="103">IF($M$13=$AN$12,"E",IF(OR(ISNUMBER(AA76),ISNUMBER(AB76)),"E","U"))</f>
        <v>U</v>
      </c>
      <c r="BB76" s="1083" t="str">
        <f t="shared" ref="BB76:BB81" si="104">IF($M$13=$AN$12,"E",IF(ISNUMBER(AG76),"E","U"))</f>
        <v>U</v>
      </c>
    </row>
    <row r="77" spans="1:54" ht="12" customHeight="1" x14ac:dyDescent="0.2">
      <c r="A77" s="440"/>
      <c r="B77" s="609"/>
      <c r="C77" s="513"/>
      <c r="D77" s="514"/>
      <c r="E77" s="1084" t="str">
        <f t="shared" ca="1" si="89"/>
        <v>Verputz LD80 - Innenputz</v>
      </c>
      <c r="F77" s="1085"/>
      <c r="G77" s="1264"/>
      <c r="H77" s="1264"/>
      <c r="I77" s="1265"/>
      <c r="J77" s="638"/>
      <c r="K77" s="520" t="s">
        <v>177</v>
      </c>
      <c r="L77" s="521"/>
      <c r="M77" s="342"/>
      <c r="N77" s="521" t="s">
        <v>67</v>
      </c>
      <c r="O77" s="344"/>
      <c r="P77" s="504" t="s">
        <v>68</v>
      </c>
      <c r="Q77" s="344"/>
      <c r="R77" s="522" t="s">
        <v>363</v>
      </c>
      <c r="S77" s="353">
        <f t="shared" ca="1" si="90"/>
        <v>14448</v>
      </c>
      <c r="T77" s="523"/>
      <c r="U77" s="350"/>
      <c r="V77" s="308"/>
      <c r="W77" s="1090" t="str">
        <f t="shared" ca="1" si="91"/>
        <v/>
      </c>
      <c r="X77" s="1103">
        <f t="shared" ca="1" si="92"/>
        <v>0</v>
      </c>
      <c r="Y77" s="1120">
        <f t="shared" ca="1" si="93"/>
        <v>0</v>
      </c>
      <c r="Z77" s="524"/>
      <c r="AA77" s="350"/>
      <c r="AB77" s="308"/>
      <c r="AC77" s="1090" t="str">
        <f t="shared" ca="1" si="94"/>
        <v/>
      </c>
      <c r="AD77" s="1103">
        <f t="shared" ca="1" si="95"/>
        <v>0</v>
      </c>
      <c r="AE77" s="1120">
        <f t="shared" ca="1" si="96"/>
        <v>0</v>
      </c>
      <c r="AF77" s="525"/>
      <c r="AG77" s="637"/>
      <c r="AH77" s="525"/>
      <c r="AI77" s="1086">
        <f t="shared" ca="1" si="97"/>
        <v>80</v>
      </c>
      <c r="AJ77" s="380"/>
      <c r="AK77" s="440"/>
      <c r="AM77" s="460">
        <v>77</v>
      </c>
      <c r="AN77" s="1087" t="str">
        <f t="shared" ca="1" si="98"/>
        <v>Verputz LD80 - Innenputz</v>
      </c>
      <c r="AO77" s="1083">
        <f t="shared" ca="1" si="99"/>
        <v>14448</v>
      </c>
      <c r="AP77" s="356">
        <f t="shared" ca="1" si="99"/>
        <v>0</v>
      </c>
      <c r="AQ77" s="357">
        <f t="shared" ca="1" si="99"/>
        <v>0</v>
      </c>
      <c r="AR77" s="524" t="str">
        <f t="shared" ca="1" si="99"/>
        <v/>
      </c>
      <c r="AS77" s="356">
        <f t="shared" ca="1" si="99"/>
        <v>0</v>
      </c>
      <c r="AT77" s="357">
        <f t="shared" ca="1" si="99"/>
        <v>0</v>
      </c>
      <c r="AU77" s="524" t="str">
        <f t="shared" ca="1" si="99"/>
        <v/>
      </c>
      <c r="AV77" s="1083">
        <f t="shared" ca="1" si="99"/>
        <v>80</v>
      </c>
      <c r="AX77" s="1083" t="str">
        <f t="shared" si="100"/>
        <v>U</v>
      </c>
      <c r="AY77" s="1083" t="str">
        <f t="shared" si="101"/>
        <v>U</v>
      </c>
      <c r="AZ77" s="1083" t="str">
        <f t="shared" si="102"/>
        <v>U</v>
      </c>
      <c r="BA77" s="1083" t="str">
        <f t="shared" si="103"/>
        <v>U</v>
      </c>
      <c r="BB77" s="1083" t="str">
        <f t="shared" si="104"/>
        <v>U</v>
      </c>
    </row>
    <row r="78" spans="1:54" ht="12" customHeight="1" x14ac:dyDescent="0.2">
      <c r="A78" s="440"/>
      <c r="B78" s="609"/>
      <c r="C78" s="513"/>
      <c r="D78" s="514"/>
      <c r="E78" s="1084" t="str">
        <f t="shared" ca="1" si="89"/>
        <v>Verputz LD100 -Schlitzarbeiten innen</v>
      </c>
      <c r="F78" s="1085"/>
      <c r="G78" s="1264"/>
      <c r="H78" s="1264"/>
      <c r="I78" s="1265"/>
      <c r="J78" s="638"/>
      <c r="K78" s="520" t="s">
        <v>177</v>
      </c>
      <c r="L78" s="521"/>
      <c r="M78" s="342"/>
      <c r="N78" s="521" t="s">
        <v>67</v>
      </c>
      <c r="O78" s="344"/>
      <c r="P78" s="504" t="s">
        <v>68</v>
      </c>
      <c r="Q78" s="344"/>
      <c r="R78" s="522" t="s">
        <v>363</v>
      </c>
      <c r="S78" s="353">
        <f t="shared" ca="1" si="90"/>
        <v>3055.2</v>
      </c>
      <c r="T78" s="523"/>
      <c r="U78" s="350"/>
      <c r="V78" s="308"/>
      <c r="W78" s="1090" t="str">
        <f t="shared" ca="1" si="91"/>
        <v/>
      </c>
      <c r="X78" s="1103">
        <f t="shared" ca="1" si="92"/>
        <v>0</v>
      </c>
      <c r="Y78" s="1120">
        <f t="shared" ca="1" si="93"/>
        <v>0</v>
      </c>
      <c r="Z78" s="524"/>
      <c r="AA78" s="350"/>
      <c r="AB78" s="308"/>
      <c r="AC78" s="1090" t="str">
        <f t="shared" ca="1" si="94"/>
        <v/>
      </c>
      <c r="AD78" s="1103">
        <f t="shared" ca="1" si="95"/>
        <v>0</v>
      </c>
      <c r="AE78" s="1120">
        <f t="shared" ca="1" si="96"/>
        <v>0</v>
      </c>
      <c r="AF78" s="525"/>
      <c r="AG78" s="637"/>
      <c r="AH78" s="525"/>
      <c r="AI78" s="1086">
        <f t="shared" ca="1" si="97"/>
        <v>100</v>
      </c>
      <c r="AJ78" s="380"/>
      <c r="AK78" s="440"/>
      <c r="AM78" s="460">
        <v>78</v>
      </c>
      <c r="AN78" s="1087" t="str">
        <f t="shared" ca="1" si="98"/>
        <v>Verputz LD100 -Schlitzarbeiten innen</v>
      </c>
      <c r="AO78" s="1083">
        <f t="shared" ca="1" si="99"/>
        <v>3055.2</v>
      </c>
      <c r="AP78" s="356">
        <f t="shared" ca="1" si="99"/>
        <v>0</v>
      </c>
      <c r="AQ78" s="357">
        <f t="shared" ca="1" si="99"/>
        <v>0</v>
      </c>
      <c r="AR78" s="524" t="str">
        <f t="shared" ca="1" si="99"/>
        <v/>
      </c>
      <c r="AS78" s="356">
        <f t="shared" ca="1" si="99"/>
        <v>0</v>
      </c>
      <c r="AT78" s="357">
        <f t="shared" ca="1" si="99"/>
        <v>0</v>
      </c>
      <c r="AU78" s="524" t="str">
        <f t="shared" ca="1" si="99"/>
        <v/>
      </c>
      <c r="AV78" s="1083">
        <f t="shared" ca="1" si="99"/>
        <v>100</v>
      </c>
      <c r="AX78" s="1083" t="str">
        <f t="shared" si="100"/>
        <v>U</v>
      </c>
      <c r="AY78" s="1083" t="str">
        <f t="shared" si="101"/>
        <v>U</v>
      </c>
      <c r="AZ78" s="1083" t="str">
        <f t="shared" si="102"/>
        <v>U</v>
      </c>
      <c r="BA78" s="1083" t="str">
        <f t="shared" si="103"/>
        <v>U</v>
      </c>
      <c r="BB78" s="1083" t="str">
        <f t="shared" si="104"/>
        <v>U</v>
      </c>
    </row>
    <row r="79" spans="1:54" ht="12" customHeight="1" x14ac:dyDescent="0.2">
      <c r="A79" s="440"/>
      <c r="B79" s="609"/>
      <c r="C79" s="513"/>
      <c r="D79" s="514"/>
      <c r="E79" s="1084">
        <f t="shared" ca="1" si="89"/>
        <v>0</v>
      </c>
      <c r="F79" s="1085"/>
      <c r="G79" s="1264"/>
      <c r="H79" s="1264"/>
      <c r="I79" s="1265"/>
      <c r="J79" s="638"/>
      <c r="K79" s="520" t="s">
        <v>177</v>
      </c>
      <c r="L79" s="521"/>
      <c r="M79" s="342"/>
      <c r="N79" s="521" t="s">
        <v>67</v>
      </c>
      <c r="O79" s="344"/>
      <c r="P79" s="504" t="s">
        <v>68</v>
      </c>
      <c r="Q79" s="344"/>
      <c r="R79" s="522" t="s">
        <v>363</v>
      </c>
      <c r="S79" s="353">
        <f t="shared" ca="1" si="90"/>
        <v>0</v>
      </c>
      <c r="T79" s="523"/>
      <c r="U79" s="350"/>
      <c r="V79" s="308"/>
      <c r="W79" s="1090" t="str">
        <f t="shared" ca="1" si="91"/>
        <v/>
      </c>
      <c r="X79" s="1103">
        <f t="shared" ca="1" si="92"/>
        <v>0</v>
      </c>
      <c r="Y79" s="1120">
        <f t="shared" ca="1" si="93"/>
        <v>0</v>
      </c>
      <c r="Z79" s="524"/>
      <c r="AA79" s="350"/>
      <c r="AB79" s="308"/>
      <c r="AC79" s="1090" t="str">
        <f t="shared" ca="1" si="94"/>
        <v/>
      </c>
      <c r="AD79" s="1103">
        <f t="shared" ca="1" si="95"/>
        <v>0</v>
      </c>
      <c r="AE79" s="1120">
        <f t="shared" ca="1" si="96"/>
        <v>0</v>
      </c>
      <c r="AF79" s="525"/>
      <c r="AG79" s="637"/>
      <c r="AH79" s="525"/>
      <c r="AI79" s="1086">
        <f t="shared" ca="1" si="97"/>
        <v>0</v>
      </c>
      <c r="AJ79" s="380"/>
      <c r="AK79" s="440"/>
      <c r="AM79" s="460">
        <v>79</v>
      </c>
      <c r="AN79" s="1087">
        <f t="shared" ca="1" si="98"/>
        <v>0</v>
      </c>
      <c r="AO79" s="1083">
        <f t="shared" ca="1" si="99"/>
        <v>0</v>
      </c>
      <c r="AP79" s="356">
        <f t="shared" ca="1" si="99"/>
        <v>0</v>
      </c>
      <c r="AQ79" s="357">
        <f t="shared" ca="1" si="99"/>
        <v>0</v>
      </c>
      <c r="AR79" s="524" t="str">
        <f t="shared" ca="1" si="99"/>
        <v/>
      </c>
      <c r="AS79" s="356">
        <f t="shared" ca="1" si="99"/>
        <v>0</v>
      </c>
      <c r="AT79" s="357">
        <f t="shared" ca="1" si="99"/>
        <v>0</v>
      </c>
      <c r="AU79" s="524" t="str">
        <f t="shared" ca="1" si="99"/>
        <v/>
      </c>
      <c r="AV79" s="1083">
        <f t="shared" ca="1" si="99"/>
        <v>0</v>
      </c>
      <c r="AX79" s="1083" t="str">
        <f t="shared" si="100"/>
        <v>U</v>
      </c>
      <c r="AY79" s="1083" t="str">
        <f t="shared" si="101"/>
        <v>U</v>
      </c>
      <c r="AZ79" s="1083" t="str">
        <f t="shared" si="102"/>
        <v>U</v>
      </c>
      <c r="BA79" s="1083" t="str">
        <f t="shared" si="103"/>
        <v>U</v>
      </c>
      <c r="BB79" s="1083" t="str">
        <f t="shared" si="104"/>
        <v>U</v>
      </c>
    </row>
    <row r="80" spans="1:54" ht="12" customHeight="1" x14ac:dyDescent="0.2">
      <c r="A80" s="440"/>
      <c r="B80" s="609"/>
      <c r="C80" s="513"/>
      <c r="D80" s="514"/>
      <c r="E80" s="1084">
        <f t="shared" ca="1" si="89"/>
        <v>0</v>
      </c>
      <c r="F80" s="1085"/>
      <c r="G80" s="1264"/>
      <c r="H80" s="1264"/>
      <c r="I80" s="1265"/>
      <c r="J80" s="638"/>
      <c r="K80" s="520" t="s">
        <v>177</v>
      </c>
      <c r="L80" s="521"/>
      <c r="M80" s="342"/>
      <c r="N80" s="521" t="s">
        <v>67</v>
      </c>
      <c r="O80" s="344"/>
      <c r="P80" s="504" t="s">
        <v>68</v>
      </c>
      <c r="Q80" s="344"/>
      <c r="R80" s="522" t="s">
        <v>363</v>
      </c>
      <c r="S80" s="353">
        <f t="shared" ca="1" si="90"/>
        <v>0</v>
      </c>
      <c r="T80" s="523"/>
      <c r="U80" s="350"/>
      <c r="V80" s="308"/>
      <c r="W80" s="1090" t="str">
        <f t="shared" ca="1" si="91"/>
        <v/>
      </c>
      <c r="X80" s="1103">
        <f t="shared" ca="1" si="92"/>
        <v>0</v>
      </c>
      <c r="Y80" s="1120">
        <f t="shared" ca="1" si="93"/>
        <v>0</v>
      </c>
      <c r="Z80" s="524"/>
      <c r="AA80" s="350"/>
      <c r="AB80" s="308"/>
      <c r="AC80" s="1090" t="str">
        <f t="shared" ca="1" si="94"/>
        <v/>
      </c>
      <c r="AD80" s="1103">
        <f t="shared" ca="1" si="95"/>
        <v>0</v>
      </c>
      <c r="AE80" s="1120">
        <f t="shared" ca="1" si="96"/>
        <v>0</v>
      </c>
      <c r="AF80" s="525"/>
      <c r="AG80" s="637"/>
      <c r="AH80" s="525"/>
      <c r="AI80" s="1086">
        <f t="shared" ca="1" si="97"/>
        <v>0</v>
      </c>
      <c r="AJ80" s="380"/>
      <c r="AK80" s="440"/>
      <c r="AM80" s="460">
        <v>80</v>
      </c>
      <c r="AN80" s="1087">
        <f t="shared" ca="1" si="98"/>
        <v>0</v>
      </c>
      <c r="AO80" s="1083">
        <f t="shared" ca="1" si="99"/>
        <v>0</v>
      </c>
      <c r="AP80" s="356">
        <f t="shared" ca="1" si="99"/>
        <v>0</v>
      </c>
      <c r="AQ80" s="357">
        <f t="shared" ca="1" si="99"/>
        <v>0</v>
      </c>
      <c r="AR80" s="524" t="str">
        <f t="shared" ca="1" si="99"/>
        <v/>
      </c>
      <c r="AS80" s="356">
        <f t="shared" ca="1" si="99"/>
        <v>0</v>
      </c>
      <c r="AT80" s="357">
        <f t="shared" ca="1" si="99"/>
        <v>0</v>
      </c>
      <c r="AU80" s="524" t="str">
        <f t="shared" ca="1" si="99"/>
        <v/>
      </c>
      <c r="AV80" s="1083">
        <f t="shared" ca="1" si="99"/>
        <v>0</v>
      </c>
      <c r="AX80" s="1083" t="str">
        <f t="shared" si="100"/>
        <v>U</v>
      </c>
      <c r="AY80" s="1083" t="str">
        <f t="shared" si="101"/>
        <v>U</v>
      </c>
      <c r="AZ80" s="1083" t="str">
        <f t="shared" si="102"/>
        <v>U</v>
      </c>
      <c r="BA80" s="1083" t="str">
        <f t="shared" si="103"/>
        <v>U</v>
      </c>
      <c r="BB80" s="1083" t="str">
        <f t="shared" si="104"/>
        <v>U</v>
      </c>
    </row>
    <row r="81" spans="1:54" ht="12" customHeight="1" x14ac:dyDescent="0.2">
      <c r="A81" s="440"/>
      <c r="B81" s="609"/>
      <c r="C81" s="513"/>
      <c r="D81" s="514"/>
      <c r="E81" s="1084">
        <f t="shared" ca="1" si="89"/>
        <v>0</v>
      </c>
      <c r="F81" s="1085"/>
      <c r="G81" s="1264"/>
      <c r="H81" s="1264"/>
      <c r="I81" s="1265"/>
      <c r="J81" s="638"/>
      <c r="K81" s="520" t="s">
        <v>177</v>
      </c>
      <c r="L81" s="521"/>
      <c r="M81" s="342"/>
      <c r="N81" s="521" t="s">
        <v>67</v>
      </c>
      <c r="O81" s="344"/>
      <c r="P81" s="504" t="s">
        <v>68</v>
      </c>
      <c r="Q81" s="344"/>
      <c r="R81" s="522" t="s">
        <v>363</v>
      </c>
      <c r="S81" s="353">
        <f t="shared" ca="1" si="90"/>
        <v>0</v>
      </c>
      <c r="T81" s="523"/>
      <c r="U81" s="350"/>
      <c r="V81" s="308"/>
      <c r="W81" s="1090" t="str">
        <f t="shared" ca="1" si="91"/>
        <v/>
      </c>
      <c r="X81" s="1103">
        <f t="shared" ca="1" si="92"/>
        <v>0</v>
      </c>
      <c r="Y81" s="1120">
        <f t="shared" ca="1" si="93"/>
        <v>0</v>
      </c>
      <c r="Z81" s="524"/>
      <c r="AA81" s="350"/>
      <c r="AB81" s="308"/>
      <c r="AC81" s="1090" t="str">
        <f t="shared" ca="1" si="94"/>
        <v/>
      </c>
      <c r="AD81" s="1103">
        <f t="shared" ca="1" si="95"/>
        <v>0</v>
      </c>
      <c r="AE81" s="1120">
        <f t="shared" ca="1" si="96"/>
        <v>0</v>
      </c>
      <c r="AF81" s="525"/>
      <c r="AG81" s="637"/>
      <c r="AH81" s="525"/>
      <c r="AI81" s="1086">
        <f t="shared" ca="1" si="97"/>
        <v>0</v>
      </c>
      <c r="AJ81" s="380"/>
      <c r="AK81" s="440"/>
      <c r="AM81" s="460">
        <v>81</v>
      </c>
      <c r="AN81" s="1087">
        <f t="shared" ca="1" si="98"/>
        <v>0</v>
      </c>
      <c r="AO81" s="1083">
        <f t="shared" ca="1" si="99"/>
        <v>0</v>
      </c>
      <c r="AP81" s="356">
        <f t="shared" ca="1" si="99"/>
        <v>0</v>
      </c>
      <c r="AQ81" s="357">
        <f t="shared" ca="1" si="99"/>
        <v>0</v>
      </c>
      <c r="AR81" s="524" t="str">
        <f t="shared" ca="1" si="99"/>
        <v/>
      </c>
      <c r="AS81" s="356">
        <f t="shared" ca="1" si="99"/>
        <v>0</v>
      </c>
      <c r="AT81" s="357">
        <f t="shared" ca="1" si="99"/>
        <v>0</v>
      </c>
      <c r="AU81" s="524" t="str">
        <f t="shared" ca="1" si="99"/>
        <v/>
      </c>
      <c r="AV81" s="1083">
        <f t="shared" ca="1" si="99"/>
        <v>0</v>
      </c>
      <c r="AX81" s="1083" t="str">
        <f t="shared" si="100"/>
        <v>U</v>
      </c>
      <c r="AY81" s="1083" t="str">
        <f t="shared" si="101"/>
        <v>U</v>
      </c>
      <c r="AZ81" s="1083" t="str">
        <f t="shared" si="102"/>
        <v>U</v>
      </c>
      <c r="BA81" s="1083" t="str">
        <f t="shared" si="103"/>
        <v>U</v>
      </c>
      <c r="BB81" s="1083" t="str">
        <f t="shared" si="104"/>
        <v>U</v>
      </c>
    </row>
    <row r="82" spans="1:54" ht="12" customHeight="1" x14ac:dyDescent="0.25">
      <c r="A82" s="440"/>
      <c r="B82" s="609"/>
      <c r="C82" s="513"/>
      <c r="D82" s="514" t="s">
        <v>154</v>
      </c>
      <c r="E82" s="1599" t="s">
        <v>159</v>
      </c>
      <c r="F82" s="1599"/>
      <c r="G82" s="1599"/>
      <c r="H82" s="1599"/>
      <c r="I82" s="1597"/>
      <c r="J82" s="501"/>
      <c r="K82" s="529"/>
      <c r="L82" s="503"/>
      <c r="M82" s="526"/>
      <c r="N82" s="519"/>
      <c r="O82" s="530"/>
      <c r="P82" s="514"/>
      <c r="Q82" s="514"/>
      <c r="R82" s="514"/>
      <c r="S82" s="354">
        <f ca="1">SUBTOTAL(109,S84:S86)</f>
        <v>68098.655999999988</v>
      </c>
      <c r="T82" s="363"/>
      <c r="U82" s="360"/>
      <c r="V82" s="360"/>
      <c r="W82" s="1091"/>
      <c r="X82" s="1105"/>
      <c r="Y82" s="1105"/>
      <c r="Z82" s="360"/>
      <c r="AA82" s="360"/>
      <c r="AB82" s="360"/>
      <c r="AC82" s="1091"/>
      <c r="AD82" s="1105"/>
      <c r="AE82" s="1105"/>
      <c r="AF82" s="360"/>
      <c r="AG82" s="360"/>
      <c r="AH82" s="360"/>
      <c r="AI82" s="360"/>
      <c r="AJ82" s="358"/>
      <c r="AK82" s="440"/>
      <c r="AM82" s="460">
        <v>82</v>
      </c>
      <c r="AN82" s="1078"/>
      <c r="AP82" s="1081"/>
      <c r="AS82" s="1081"/>
      <c r="AZ82" s="1081"/>
      <c r="BA82" s="1081"/>
    </row>
    <row r="83" spans="1:54" ht="12" customHeight="1" x14ac:dyDescent="0.25">
      <c r="A83" s="440"/>
      <c r="B83" s="609"/>
      <c r="C83" s="513"/>
      <c r="D83" s="514"/>
      <c r="E83" s="514"/>
      <c r="F83" s="514"/>
      <c r="G83" s="514"/>
      <c r="H83" s="514"/>
      <c r="I83" s="511"/>
      <c r="J83" s="1603" t="s">
        <v>170</v>
      </c>
      <c r="K83" s="1603"/>
      <c r="L83" s="503"/>
      <c r="M83" s="526"/>
      <c r="N83" s="519"/>
      <c r="O83" s="530"/>
      <c r="P83" s="514"/>
      <c r="Q83" s="514"/>
      <c r="R83" s="514"/>
      <c r="S83" s="354"/>
      <c r="T83" s="363"/>
      <c r="U83" s="360"/>
      <c r="V83" s="360"/>
      <c r="W83" s="1092"/>
      <c r="X83" s="1105"/>
      <c r="Y83" s="1105"/>
      <c r="Z83" s="360"/>
      <c r="AA83" s="360"/>
      <c r="AB83" s="360"/>
      <c r="AC83" s="1092"/>
      <c r="AD83" s="1105"/>
      <c r="AE83" s="1105"/>
      <c r="AF83" s="360"/>
      <c r="AG83" s="360"/>
      <c r="AH83" s="360"/>
      <c r="AI83" s="360"/>
      <c r="AJ83" s="359"/>
      <c r="AK83" s="440"/>
      <c r="AM83" s="460">
        <v>83</v>
      </c>
      <c r="AN83" s="1078"/>
    </row>
    <row r="84" spans="1:54" ht="12" customHeight="1" x14ac:dyDescent="0.2">
      <c r="A84" s="440"/>
      <c r="B84" s="609"/>
      <c r="C84" s="513"/>
      <c r="D84" s="514"/>
      <c r="E84" s="1084" t="str">
        <f ca="1">IF(AX84="E","",AN84)</f>
        <v>Maler LD 15-Innenwand nass</v>
      </c>
      <c r="F84" s="1085"/>
      <c r="G84" s="1264"/>
      <c r="H84" s="1264"/>
      <c r="I84" s="1265"/>
      <c r="J84" s="638"/>
      <c r="K84" s="520" t="s">
        <v>177</v>
      </c>
      <c r="L84" s="521"/>
      <c r="M84" s="342"/>
      <c r="N84" s="521" t="s">
        <v>67</v>
      </c>
      <c r="O84" s="344"/>
      <c r="P84" s="504" t="s">
        <v>68</v>
      </c>
      <c r="Q84" s="344"/>
      <c r="R84" s="522" t="s">
        <v>363</v>
      </c>
      <c r="S84" s="353">
        <f t="shared" ref="S84:S86" ca="1" si="105">IF(AY84="E",(M84*O84)+Q84,AO84)</f>
        <v>15085.44</v>
      </c>
      <c r="T84" s="523"/>
      <c r="U84" s="350"/>
      <c r="V84" s="308"/>
      <c r="W84" s="1090" t="str">
        <f t="shared" ref="W84:W86" ca="1" si="106">IF(AZ84="E",IF(AND(V84&lt;&gt;0,U84&lt;&gt;0),"X",IF(AND(V84&lt;&gt;0,U84=0),"A",IF(AND(V84=0,U84&lt;&gt;0),"P",""))),AR84)</f>
        <v/>
      </c>
      <c r="X84" s="1103">
        <f t="shared" ref="X84:X86" ca="1" si="107">IF(AZ84="E",IFERROR(IF(W84="X",0,IF(U84&gt;0,U84,V84/S84)),0),
IFERROR(IF(OR(AR84="X",AR84=0),0,
IF(AR84="P",AP84,IF(AR84="A",AQ84/S84,0))),0))</f>
        <v>0</v>
      </c>
      <c r="Y84" s="1120">
        <f t="shared" ref="Y84:Y86" ca="1" si="108">IF(AZ84="E",IFERROR(IF(W84="X",0,IF(V84&gt;0,V84,S84*U84)),0),
IFERROR(IF(OR(AR84="X",AR84="0"),0,IF(AR84="A",AQ84,S84*AP84)),0))</f>
        <v>0</v>
      </c>
      <c r="Z84" s="524"/>
      <c r="AA84" s="350"/>
      <c r="AB84" s="308"/>
      <c r="AC84" s="1090" t="str">
        <f t="shared" ref="AC84:AC86" ca="1" si="109">IF(BA84="E",IF(AND(AB84&lt;&gt;0,AA84&lt;&gt;0),"X",IF(AND(AB84&lt;&gt;0,AA84=0),"A",IF(AND(AB84=0,AA84&lt;&gt;0),"P",""))),AU84)</f>
        <v/>
      </c>
      <c r="AD84" s="1103">
        <f t="shared" ref="AD84:AD86" ca="1" si="110">IF(BA84="E",IFERROR(IF(AC84="X",0,IF(AA84&gt;0,AA84,AB84/S84)),0),
IFERROR(IF(OR(AU84="X",AU84=0),0,
IF(AU84="P",AS84,IF(AU84="A",AT84/S84,0))),0))</f>
        <v>0</v>
      </c>
      <c r="AE84" s="1120">
        <f t="shared" ref="AE84:AE86" ca="1" si="111">IF(BA84="E",IFERROR(IF(AC84="X",0,IF(AB84&gt;0,AB84,S84*AA84)),0),
IFERROR(IF(OR(AU84="X",AU84=0),0,
IF(AU84="A",AT84,S84*AS84)),0))</f>
        <v>0</v>
      </c>
      <c r="AF84" s="525"/>
      <c r="AG84" s="637"/>
      <c r="AH84" s="525"/>
      <c r="AI84" s="1086">
        <f t="shared" ref="AI84:AI86" ca="1" si="112">IF(BB84="E",AG84,AV84)</f>
        <v>15</v>
      </c>
      <c r="AJ84" s="380"/>
      <c r="AK84" s="440"/>
      <c r="AM84" s="460">
        <v>84</v>
      </c>
      <c r="AN84" s="1087" t="str">
        <f t="shared" ref="AN84:AN86" ca="1" si="113">IF($M$13=$AN$12,"",IF(ISTEXT(INDIRECT("'"&amp;$AM$20&amp;"'!"&amp;AN$21&amp;$AM84)),INDIRECT("'"&amp;$AM$20&amp;"'!"&amp;AN$21&amp;$AM84),INDIRECT("'"&amp;$AM$20&amp;"'!"&amp;AN$22&amp;$AM84)))</f>
        <v>Maler LD 15-Innenwand nass</v>
      </c>
      <c r="AO84" s="1083">
        <f t="shared" ref="AO84:AV86" ca="1" si="114">IF($M$13=$AN$12,"",INDIRECT("'"&amp;$AM$20&amp;"'!"&amp;AO$21&amp;$AM84))</f>
        <v>15085.44</v>
      </c>
      <c r="AP84" s="356">
        <f t="shared" ca="1" si="114"/>
        <v>0</v>
      </c>
      <c r="AQ84" s="357">
        <f t="shared" ca="1" si="114"/>
        <v>0</v>
      </c>
      <c r="AR84" s="524" t="str">
        <f t="shared" ca="1" si="114"/>
        <v/>
      </c>
      <c r="AS84" s="356">
        <f t="shared" ca="1" si="114"/>
        <v>0</v>
      </c>
      <c r="AT84" s="357">
        <f t="shared" ca="1" si="114"/>
        <v>0</v>
      </c>
      <c r="AU84" s="524" t="str">
        <f t="shared" ca="1" si="114"/>
        <v/>
      </c>
      <c r="AV84" s="1083">
        <f t="shared" ca="1" si="114"/>
        <v>15</v>
      </c>
      <c r="AX84" s="1083" t="str">
        <f t="shared" ref="AX84:AX86" si="115">IF($M$13=$AN$12,"E",IF(ISTEXT(F84),"E","U"))</f>
        <v>U</v>
      </c>
      <c r="AY84" s="1083" t="str">
        <f t="shared" ref="AY84:AY86" si="116">IF($M$13=$AN$12,"E",IF(OR(ISNUMBER(M84),ISNUMBER(O84),ISNUMBER(Q84)),"E","U"))</f>
        <v>U</v>
      </c>
      <c r="AZ84" s="1083" t="str">
        <f t="shared" ref="AZ84:AZ86" si="117">IF($M$13=$AN$12,"E",IF(OR(ISNUMBER(U84),ISNUMBER(V84)),"E","U"))</f>
        <v>U</v>
      </c>
      <c r="BA84" s="1083" t="str">
        <f t="shared" ref="BA84:BA86" si="118">IF($M$13=$AN$12,"E",IF(OR(ISNUMBER(AA84),ISNUMBER(AB84)),"E","U"))</f>
        <v>U</v>
      </c>
      <c r="BB84" s="1083" t="str">
        <f t="shared" ref="BB84:BB86" si="119">IF($M$13=$AN$12,"E",IF(ISNUMBER(AG84),"E","U"))</f>
        <v>U</v>
      </c>
    </row>
    <row r="85" spans="1:54" ht="12" customHeight="1" x14ac:dyDescent="0.2">
      <c r="A85" s="440"/>
      <c r="B85" s="609"/>
      <c r="C85" s="513"/>
      <c r="D85" s="514"/>
      <c r="E85" s="1084" t="str">
        <f ca="1">IF(AX85="E","",AN85)</f>
        <v>Maler LD 25 - Innenwand standard Dispersion</v>
      </c>
      <c r="F85" s="1085"/>
      <c r="G85" s="1264"/>
      <c r="H85" s="1264"/>
      <c r="I85" s="1265"/>
      <c r="J85" s="638"/>
      <c r="K85" s="520" t="s">
        <v>177</v>
      </c>
      <c r="L85" s="521"/>
      <c r="M85" s="342"/>
      <c r="N85" s="521" t="s">
        <v>67</v>
      </c>
      <c r="O85" s="344"/>
      <c r="P85" s="504" t="s">
        <v>68</v>
      </c>
      <c r="Q85" s="344"/>
      <c r="R85" s="522" t="s">
        <v>363</v>
      </c>
      <c r="S85" s="353">
        <f t="shared" ca="1" si="105"/>
        <v>2734.2</v>
      </c>
      <c r="T85" s="523"/>
      <c r="U85" s="350"/>
      <c r="V85" s="308"/>
      <c r="W85" s="1090" t="str">
        <f t="shared" ca="1" si="106"/>
        <v/>
      </c>
      <c r="X85" s="1103">
        <f t="shared" ca="1" si="107"/>
        <v>0</v>
      </c>
      <c r="Y85" s="1120">
        <f t="shared" ca="1" si="108"/>
        <v>0</v>
      </c>
      <c r="Z85" s="524"/>
      <c r="AA85" s="350"/>
      <c r="AB85" s="308"/>
      <c r="AC85" s="1090" t="str">
        <f t="shared" ca="1" si="109"/>
        <v/>
      </c>
      <c r="AD85" s="1103">
        <f t="shared" ca="1" si="110"/>
        <v>0</v>
      </c>
      <c r="AE85" s="1120">
        <f t="shared" ca="1" si="111"/>
        <v>0</v>
      </c>
      <c r="AF85" s="525"/>
      <c r="AG85" s="637"/>
      <c r="AH85" s="525"/>
      <c r="AI85" s="1086">
        <f t="shared" ca="1" si="112"/>
        <v>25</v>
      </c>
      <c r="AJ85" s="380"/>
      <c r="AK85" s="440"/>
      <c r="AM85" s="460">
        <v>85</v>
      </c>
      <c r="AN85" s="1087" t="str">
        <f t="shared" ca="1" si="113"/>
        <v>Maler LD 25 - Innenwand standard Dispersion</v>
      </c>
      <c r="AO85" s="1083">
        <f t="shared" ca="1" si="114"/>
        <v>2734.2</v>
      </c>
      <c r="AP85" s="356">
        <f t="shared" ca="1" si="114"/>
        <v>0</v>
      </c>
      <c r="AQ85" s="357">
        <f t="shared" ca="1" si="114"/>
        <v>0</v>
      </c>
      <c r="AR85" s="524" t="str">
        <f t="shared" ca="1" si="114"/>
        <v/>
      </c>
      <c r="AS85" s="356">
        <f t="shared" ca="1" si="114"/>
        <v>0</v>
      </c>
      <c r="AT85" s="357">
        <f t="shared" ca="1" si="114"/>
        <v>0</v>
      </c>
      <c r="AU85" s="524" t="str">
        <f t="shared" ca="1" si="114"/>
        <v/>
      </c>
      <c r="AV85" s="1083">
        <f t="shared" ca="1" si="114"/>
        <v>25</v>
      </c>
      <c r="AX85" s="1083" t="str">
        <f t="shared" si="115"/>
        <v>U</v>
      </c>
      <c r="AY85" s="1083" t="str">
        <f t="shared" si="116"/>
        <v>U</v>
      </c>
      <c r="AZ85" s="1083" t="str">
        <f t="shared" si="117"/>
        <v>U</v>
      </c>
      <c r="BA85" s="1083" t="str">
        <f t="shared" si="118"/>
        <v>U</v>
      </c>
      <c r="BB85" s="1083" t="str">
        <f t="shared" si="119"/>
        <v>U</v>
      </c>
    </row>
    <row r="86" spans="1:54" ht="12" customHeight="1" x14ac:dyDescent="0.2">
      <c r="A86" s="440"/>
      <c r="B86" s="609"/>
      <c r="C86" s="513"/>
      <c r="D86" s="514"/>
      <c r="E86" s="1084" t="str">
        <f ca="1">IF(AX86="E","",AN86)</f>
        <v>Maler LD 65- Anstriche, Beschichtungen</v>
      </c>
      <c r="F86" s="1085"/>
      <c r="G86" s="1264"/>
      <c r="H86" s="1264"/>
      <c r="I86" s="1265"/>
      <c r="J86" s="638"/>
      <c r="K86" s="520" t="s">
        <v>177</v>
      </c>
      <c r="L86" s="521"/>
      <c r="M86" s="342"/>
      <c r="N86" s="521" t="s">
        <v>67</v>
      </c>
      <c r="O86" s="344"/>
      <c r="P86" s="504" t="s">
        <v>68</v>
      </c>
      <c r="Q86" s="344"/>
      <c r="R86" s="522" t="s">
        <v>363</v>
      </c>
      <c r="S86" s="353">
        <f t="shared" ca="1" si="105"/>
        <v>50279.015999999996</v>
      </c>
      <c r="T86" s="523"/>
      <c r="U86" s="350"/>
      <c r="V86" s="308"/>
      <c r="W86" s="1090" t="str">
        <f t="shared" ca="1" si="106"/>
        <v/>
      </c>
      <c r="X86" s="1103">
        <f t="shared" ca="1" si="107"/>
        <v>0</v>
      </c>
      <c r="Y86" s="1120">
        <f t="shared" ca="1" si="108"/>
        <v>0</v>
      </c>
      <c r="Z86" s="524"/>
      <c r="AA86" s="350"/>
      <c r="AB86" s="308"/>
      <c r="AC86" s="1090" t="str">
        <f t="shared" ca="1" si="109"/>
        <v/>
      </c>
      <c r="AD86" s="1103">
        <f t="shared" ca="1" si="110"/>
        <v>0</v>
      </c>
      <c r="AE86" s="1120">
        <f t="shared" ca="1" si="111"/>
        <v>0</v>
      </c>
      <c r="AF86" s="525"/>
      <c r="AG86" s="637"/>
      <c r="AH86" s="525"/>
      <c r="AI86" s="1086">
        <f t="shared" ca="1" si="112"/>
        <v>65</v>
      </c>
      <c r="AJ86" s="380"/>
      <c r="AK86" s="440"/>
      <c r="AM86" s="460">
        <v>86</v>
      </c>
      <c r="AN86" s="1087" t="str">
        <f t="shared" ca="1" si="113"/>
        <v>Maler LD 65- Anstriche, Beschichtungen</v>
      </c>
      <c r="AO86" s="1083">
        <f t="shared" ca="1" si="114"/>
        <v>50279.015999999996</v>
      </c>
      <c r="AP86" s="356">
        <f t="shared" ca="1" si="114"/>
        <v>0</v>
      </c>
      <c r="AQ86" s="357">
        <f t="shared" ca="1" si="114"/>
        <v>0</v>
      </c>
      <c r="AR86" s="524" t="str">
        <f t="shared" ca="1" si="114"/>
        <v/>
      </c>
      <c r="AS86" s="356">
        <f t="shared" ca="1" si="114"/>
        <v>0</v>
      </c>
      <c r="AT86" s="357">
        <f t="shared" ca="1" si="114"/>
        <v>0</v>
      </c>
      <c r="AU86" s="524" t="str">
        <f t="shared" ca="1" si="114"/>
        <v/>
      </c>
      <c r="AV86" s="1083">
        <f t="shared" ca="1" si="114"/>
        <v>65</v>
      </c>
      <c r="AX86" s="1083" t="str">
        <f t="shared" si="115"/>
        <v>U</v>
      </c>
      <c r="AY86" s="1083" t="str">
        <f t="shared" si="116"/>
        <v>U</v>
      </c>
      <c r="AZ86" s="1083" t="str">
        <f t="shared" si="117"/>
        <v>U</v>
      </c>
      <c r="BA86" s="1083" t="str">
        <f t="shared" si="118"/>
        <v>U</v>
      </c>
      <c r="BB86" s="1083" t="str">
        <f t="shared" si="119"/>
        <v>U</v>
      </c>
    </row>
    <row r="87" spans="1:54" ht="12" customHeight="1" x14ac:dyDescent="0.25">
      <c r="A87" s="440"/>
      <c r="B87" s="609"/>
      <c r="C87" s="513"/>
      <c r="D87" s="514" t="s">
        <v>155</v>
      </c>
      <c r="E87" s="1599" t="s">
        <v>160</v>
      </c>
      <c r="F87" s="1599"/>
      <c r="G87" s="1599"/>
      <c r="H87" s="1599"/>
      <c r="I87" s="1597"/>
      <c r="J87" s="501"/>
      <c r="K87" s="529"/>
      <c r="L87" s="503"/>
      <c r="M87" s="526"/>
      <c r="N87" s="519"/>
      <c r="O87" s="527"/>
      <c r="P87" s="514"/>
      <c r="Q87" s="514"/>
      <c r="R87" s="514"/>
      <c r="S87" s="354">
        <f ca="1">SUBTOTAL(109,S89:S91)</f>
        <v>0</v>
      </c>
      <c r="T87" s="363"/>
      <c r="U87" s="360"/>
      <c r="V87" s="360"/>
      <c r="W87" s="1091"/>
      <c r="X87" s="1105"/>
      <c r="Y87" s="1105"/>
      <c r="Z87" s="360"/>
      <c r="AA87" s="360"/>
      <c r="AB87" s="360"/>
      <c r="AC87" s="1091"/>
      <c r="AD87" s="1105"/>
      <c r="AE87" s="1105"/>
      <c r="AF87" s="360"/>
      <c r="AG87" s="360"/>
      <c r="AH87" s="360"/>
      <c r="AI87" s="360"/>
      <c r="AJ87" s="358"/>
      <c r="AK87" s="440"/>
      <c r="AM87" s="460">
        <v>87</v>
      </c>
      <c r="AN87" s="1078"/>
    </row>
    <row r="88" spans="1:54" ht="12" customHeight="1" x14ac:dyDescent="0.25">
      <c r="A88" s="440"/>
      <c r="B88" s="609"/>
      <c r="C88" s="513"/>
      <c r="D88" s="514"/>
      <c r="E88" s="514"/>
      <c r="F88" s="514"/>
      <c r="G88" s="514"/>
      <c r="H88" s="514"/>
      <c r="I88" s="511"/>
      <c r="J88" s="1603" t="s">
        <v>170</v>
      </c>
      <c r="K88" s="1603"/>
      <c r="L88" s="503"/>
      <c r="M88" s="526"/>
      <c r="N88" s="519"/>
      <c r="O88" s="527"/>
      <c r="P88" s="514"/>
      <c r="Q88" s="514"/>
      <c r="R88" s="514"/>
      <c r="S88" s="354"/>
      <c r="T88" s="363"/>
      <c r="U88" s="360"/>
      <c r="V88" s="360"/>
      <c r="W88" s="1092"/>
      <c r="X88" s="1105"/>
      <c r="Y88" s="1105"/>
      <c r="Z88" s="360"/>
      <c r="AA88" s="360"/>
      <c r="AB88" s="360"/>
      <c r="AC88" s="1092"/>
      <c r="AD88" s="1105"/>
      <c r="AE88" s="1105"/>
      <c r="AF88" s="360"/>
      <c r="AG88" s="360"/>
      <c r="AH88" s="360"/>
      <c r="AI88" s="360"/>
      <c r="AJ88" s="359"/>
      <c r="AK88" s="440"/>
      <c r="AM88" s="460">
        <v>88</v>
      </c>
      <c r="AN88" s="1078"/>
    </row>
    <row r="89" spans="1:54" ht="12" customHeight="1" x14ac:dyDescent="0.2">
      <c r="A89" s="440"/>
      <c r="B89" s="609"/>
      <c r="C89" s="513"/>
      <c r="D89" s="514"/>
      <c r="E89" s="1084">
        <f ca="1">IF(AX89="E","",AN89)</f>
        <v>0</v>
      </c>
      <c r="F89" s="1085"/>
      <c r="G89" s="1264"/>
      <c r="H89" s="1264"/>
      <c r="I89" s="1265"/>
      <c r="J89" s="638"/>
      <c r="K89" s="520" t="s">
        <v>177</v>
      </c>
      <c r="L89" s="521"/>
      <c r="M89" s="342"/>
      <c r="N89" s="521" t="s">
        <v>67</v>
      </c>
      <c r="O89" s="344"/>
      <c r="P89" s="504" t="s">
        <v>68</v>
      </c>
      <c r="Q89" s="344"/>
      <c r="R89" s="522" t="s">
        <v>363</v>
      </c>
      <c r="S89" s="353">
        <f t="shared" ref="S89:S91" ca="1" si="120">IF(AY89="E",(M89*O89)+Q89,AO89)</f>
        <v>0</v>
      </c>
      <c r="T89" s="523"/>
      <c r="U89" s="350"/>
      <c r="V89" s="308"/>
      <c r="W89" s="1090" t="str">
        <f t="shared" ref="W89:W91" ca="1" si="121">IF(AZ89="E",IF(AND(V89&lt;&gt;0,U89&lt;&gt;0),"X",IF(AND(V89&lt;&gt;0,U89=0),"A",IF(AND(V89=0,U89&lt;&gt;0),"P",""))),AR89)</f>
        <v/>
      </c>
      <c r="X89" s="1103">
        <f t="shared" ref="X89:X91" ca="1" si="122">IF(AZ89="E",IFERROR(IF(W89="X",0,IF(U89&gt;0,U89,V89/S89)),0),
IFERROR(IF(OR(AR89="X",AR89=0),0,
IF(AR89="P",AP89,IF(AR89="A",AQ89/S89,0))),0))</f>
        <v>0</v>
      </c>
      <c r="Y89" s="1120">
        <f t="shared" ref="Y89:Y91" ca="1" si="123">IF(AZ89="E",IFERROR(IF(W89="X",0,IF(V89&gt;0,V89,S89*U89)),0),
IFERROR(IF(OR(AR89="X",AR89="0"),0,IF(AR89="A",AQ89,S89*AP89)),0))</f>
        <v>0</v>
      </c>
      <c r="Z89" s="524"/>
      <c r="AA89" s="350"/>
      <c r="AB89" s="308"/>
      <c r="AC89" s="1090" t="str">
        <f t="shared" ref="AC89:AC91" ca="1" si="124">IF(BA89="E",IF(AND(AB89&lt;&gt;0,AA89&lt;&gt;0),"X",IF(AND(AB89&lt;&gt;0,AA89=0),"A",IF(AND(AB89=0,AA89&lt;&gt;0),"P",""))),AU89)</f>
        <v/>
      </c>
      <c r="AD89" s="1103">
        <f t="shared" ref="AD89:AD91" ca="1" si="125">IF(BA89="E",IFERROR(IF(AC89="X",0,IF(AA89&gt;0,AA89,AB89/S89)),0),
IFERROR(IF(OR(AU89="X",AU89=0),0,
IF(AU89="P",AS89,IF(AU89="A",AT89/S89,0))),0))</f>
        <v>0</v>
      </c>
      <c r="AE89" s="1120">
        <f t="shared" ref="AE89:AE91" ca="1" si="126">IF(BA89="E",IFERROR(IF(AC89="X",0,IF(AB89&gt;0,AB89,S89*AA89)),0),
IFERROR(IF(OR(AU89="X",AU89=0),0,
IF(AU89="A",AT89,S89*AS89)),0))</f>
        <v>0</v>
      </c>
      <c r="AF89" s="525"/>
      <c r="AG89" s="637"/>
      <c r="AH89" s="525"/>
      <c r="AI89" s="1086">
        <f t="shared" ref="AI89:AI91" ca="1" si="127">IF(BB89="E",AG89,AV89)</f>
        <v>0</v>
      </c>
      <c r="AJ89" s="380"/>
      <c r="AK89" s="440"/>
      <c r="AM89" s="460">
        <v>89</v>
      </c>
      <c r="AN89" s="1087">
        <f t="shared" ref="AN89:AN91" ca="1" si="128">IF($M$13=$AN$12,"",IF(ISTEXT(INDIRECT("'"&amp;$AM$20&amp;"'!"&amp;AN$21&amp;$AM89)),INDIRECT("'"&amp;$AM$20&amp;"'!"&amp;AN$21&amp;$AM89),INDIRECT("'"&amp;$AM$20&amp;"'!"&amp;AN$22&amp;$AM89)))</f>
        <v>0</v>
      </c>
      <c r="AO89" s="1083">
        <f t="shared" ref="AO89:AV91" ca="1" si="129">IF($M$13=$AN$12,"",INDIRECT("'"&amp;$AM$20&amp;"'!"&amp;AO$21&amp;$AM89))</f>
        <v>0</v>
      </c>
      <c r="AP89" s="356">
        <f t="shared" ca="1" si="129"/>
        <v>0</v>
      </c>
      <c r="AQ89" s="357">
        <f t="shared" ca="1" si="129"/>
        <v>0</v>
      </c>
      <c r="AR89" s="524" t="str">
        <f t="shared" ca="1" si="129"/>
        <v/>
      </c>
      <c r="AS89" s="356">
        <f t="shared" ca="1" si="129"/>
        <v>0</v>
      </c>
      <c r="AT89" s="357">
        <f t="shared" ca="1" si="129"/>
        <v>0</v>
      </c>
      <c r="AU89" s="524" t="str">
        <f t="shared" ca="1" si="129"/>
        <v/>
      </c>
      <c r="AV89" s="1083">
        <f t="shared" ca="1" si="129"/>
        <v>0</v>
      </c>
      <c r="AX89" s="1083" t="str">
        <f t="shared" ref="AX89:AX91" si="130">IF($M$13=$AN$12,"E",IF(ISTEXT(F89),"E","U"))</f>
        <v>U</v>
      </c>
      <c r="AY89" s="1083" t="str">
        <f t="shared" ref="AY89:AY91" si="131">IF($M$13=$AN$12,"E",IF(OR(ISNUMBER(M89),ISNUMBER(O89),ISNUMBER(Q89)),"E","U"))</f>
        <v>U</v>
      </c>
      <c r="AZ89" s="1083" t="str">
        <f t="shared" ref="AZ89:AZ91" si="132">IF($M$13=$AN$12,"E",IF(OR(ISNUMBER(U89),ISNUMBER(V89)),"E","U"))</f>
        <v>U</v>
      </c>
      <c r="BA89" s="1083" t="str">
        <f t="shared" ref="BA89:BA91" si="133">IF($M$13=$AN$12,"E",IF(OR(ISNUMBER(AA89),ISNUMBER(AB89)),"E","U"))</f>
        <v>U</v>
      </c>
      <c r="BB89" s="1083" t="str">
        <f t="shared" ref="BB89:BB91" si="134">IF($M$13=$AN$12,"E",IF(ISNUMBER(AG89),"E","U"))</f>
        <v>U</v>
      </c>
    </row>
    <row r="90" spans="1:54" ht="12" customHeight="1" x14ac:dyDescent="0.2">
      <c r="A90" s="440"/>
      <c r="B90" s="609"/>
      <c r="C90" s="513"/>
      <c r="D90" s="514"/>
      <c r="E90" s="1084">
        <f ca="1">IF(AX90="E","",AN90)</f>
        <v>0</v>
      </c>
      <c r="F90" s="1085"/>
      <c r="G90" s="1264"/>
      <c r="H90" s="1264"/>
      <c r="I90" s="1265"/>
      <c r="J90" s="638"/>
      <c r="K90" s="520" t="s">
        <v>177</v>
      </c>
      <c r="L90" s="521"/>
      <c r="M90" s="342"/>
      <c r="N90" s="521" t="s">
        <v>67</v>
      </c>
      <c r="O90" s="344"/>
      <c r="P90" s="504" t="s">
        <v>68</v>
      </c>
      <c r="Q90" s="344"/>
      <c r="R90" s="522" t="s">
        <v>363</v>
      </c>
      <c r="S90" s="353">
        <f t="shared" ca="1" si="120"/>
        <v>0</v>
      </c>
      <c r="T90" s="523"/>
      <c r="U90" s="350"/>
      <c r="V90" s="308"/>
      <c r="W90" s="1090" t="str">
        <f t="shared" ca="1" si="121"/>
        <v/>
      </c>
      <c r="X90" s="1103">
        <f t="shared" ca="1" si="122"/>
        <v>0</v>
      </c>
      <c r="Y90" s="1120">
        <f t="shared" ca="1" si="123"/>
        <v>0</v>
      </c>
      <c r="Z90" s="524"/>
      <c r="AA90" s="350"/>
      <c r="AB90" s="308"/>
      <c r="AC90" s="1090" t="str">
        <f t="shared" ca="1" si="124"/>
        <v/>
      </c>
      <c r="AD90" s="1103">
        <f t="shared" ca="1" si="125"/>
        <v>0</v>
      </c>
      <c r="AE90" s="1120">
        <f t="shared" ca="1" si="126"/>
        <v>0</v>
      </c>
      <c r="AF90" s="525"/>
      <c r="AG90" s="637"/>
      <c r="AH90" s="525"/>
      <c r="AI90" s="1086">
        <f t="shared" ca="1" si="127"/>
        <v>0</v>
      </c>
      <c r="AJ90" s="380"/>
      <c r="AK90" s="440"/>
      <c r="AM90" s="460">
        <v>90</v>
      </c>
      <c r="AN90" s="1087">
        <f t="shared" ca="1" si="128"/>
        <v>0</v>
      </c>
      <c r="AO90" s="1083">
        <f t="shared" ca="1" si="129"/>
        <v>0</v>
      </c>
      <c r="AP90" s="356">
        <f t="shared" ca="1" si="129"/>
        <v>0</v>
      </c>
      <c r="AQ90" s="357">
        <f t="shared" ca="1" si="129"/>
        <v>0</v>
      </c>
      <c r="AR90" s="524" t="str">
        <f t="shared" ca="1" si="129"/>
        <v/>
      </c>
      <c r="AS90" s="356">
        <f t="shared" ca="1" si="129"/>
        <v>0</v>
      </c>
      <c r="AT90" s="357">
        <f t="shared" ca="1" si="129"/>
        <v>0</v>
      </c>
      <c r="AU90" s="524" t="str">
        <f t="shared" ca="1" si="129"/>
        <v/>
      </c>
      <c r="AV90" s="1083">
        <f t="shared" ca="1" si="129"/>
        <v>0</v>
      </c>
      <c r="AX90" s="1083" t="str">
        <f t="shared" si="130"/>
        <v>U</v>
      </c>
      <c r="AY90" s="1083" t="str">
        <f t="shared" si="131"/>
        <v>U</v>
      </c>
      <c r="AZ90" s="1083" t="str">
        <f t="shared" si="132"/>
        <v>U</v>
      </c>
      <c r="BA90" s="1083" t="str">
        <f t="shared" si="133"/>
        <v>U</v>
      </c>
      <c r="BB90" s="1083" t="str">
        <f t="shared" si="134"/>
        <v>U</v>
      </c>
    </row>
    <row r="91" spans="1:54" ht="12" customHeight="1" x14ac:dyDescent="0.2">
      <c r="A91" s="440"/>
      <c r="B91" s="609"/>
      <c r="C91" s="513"/>
      <c r="D91" s="514"/>
      <c r="E91" s="1084">
        <f ca="1">IF(AX91="E","",AN91)</f>
        <v>0</v>
      </c>
      <c r="F91" s="1085"/>
      <c r="G91" s="1264"/>
      <c r="H91" s="1264"/>
      <c r="I91" s="1265"/>
      <c r="J91" s="638"/>
      <c r="K91" s="520" t="s">
        <v>177</v>
      </c>
      <c r="L91" s="521"/>
      <c r="M91" s="342"/>
      <c r="N91" s="521" t="s">
        <v>67</v>
      </c>
      <c r="O91" s="344"/>
      <c r="P91" s="504" t="s">
        <v>68</v>
      </c>
      <c r="Q91" s="344"/>
      <c r="R91" s="522" t="s">
        <v>363</v>
      </c>
      <c r="S91" s="353">
        <f t="shared" ca="1" si="120"/>
        <v>0</v>
      </c>
      <c r="T91" s="523"/>
      <c r="U91" s="350"/>
      <c r="V91" s="308"/>
      <c r="W91" s="1090" t="str">
        <f t="shared" ca="1" si="121"/>
        <v/>
      </c>
      <c r="X91" s="1103">
        <f t="shared" ca="1" si="122"/>
        <v>0</v>
      </c>
      <c r="Y91" s="1120">
        <f t="shared" ca="1" si="123"/>
        <v>0</v>
      </c>
      <c r="Z91" s="524"/>
      <c r="AA91" s="350"/>
      <c r="AB91" s="308"/>
      <c r="AC91" s="1090" t="str">
        <f t="shared" ca="1" si="124"/>
        <v/>
      </c>
      <c r="AD91" s="1103">
        <f t="shared" ca="1" si="125"/>
        <v>0</v>
      </c>
      <c r="AE91" s="1120">
        <f t="shared" ca="1" si="126"/>
        <v>0</v>
      </c>
      <c r="AF91" s="525"/>
      <c r="AG91" s="637"/>
      <c r="AH91" s="525"/>
      <c r="AI91" s="1086">
        <f t="shared" ca="1" si="127"/>
        <v>0</v>
      </c>
      <c r="AJ91" s="380"/>
      <c r="AK91" s="440"/>
      <c r="AM91" s="460">
        <v>91</v>
      </c>
      <c r="AN91" s="1087">
        <f t="shared" ca="1" si="128"/>
        <v>0</v>
      </c>
      <c r="AO91" s="1083">
        <f t="shared" ca="1" si="129"/>
        <v>0</v>
      </c>
      <c r="AP91" s="356">
        <f t="shared" ca="1" si="129"/>
        <v>0</v>
      </c>
      <c r="AQ91" s="357">
        <f t="shared" ca="1" si="129"/>
        <v>0</v>
      </c>
      <c r="AR91" s="524" t="str">
        <f t="shared" ca="1" si="129"/>
        <v/>
      </c>
      <c r="AS91" s="356">
        <f t="shared" ca="1" si="129"/>
        <v>0</v>
      </c>
      <c r="AT91" s="357">
        <f t="shared" ca="1" si="129"/>
        <v>0</v>
      </c>
      <c r="AU91" s="524" t="str">
        <f t="shared" ca="1" si="129"/>
        <v/>
      </c>
      <c r="AV91" s="1083">
        <f t="shared" ca="1" si="129"/>
        <v>0</v>
      </c>
      <c r="AX91" s="1083" t="str">
        <f t="shared" si="130"/>
        <v>U</v>
      </c>
      <c r="AY91" s="1083" t="str">
        <f t="shared" si="131"/>
        <v>U</v>
      </c>
      <c r="AZ91" s="1083" t="str">
        <f t="shared" si="132"/>
        <v>U</v>
      </c>
      <c r="BA91" s="1083" t="str">
        <f t="shared" si="133"/>
        <v>U</v>
      </c>
      <c r="BB91" s="1083" t="str">
        <f t="shared" si="134"/>
        <v>U</v>
      </c>
    </row>
    <row r="92" spans="1:54" ht="14.25" customHeight="1" collapsed="1" x14ac:dyDescent="0.2">
      <c r="A92" s="440"/>
      <c r="B92" s="609"/>
      <c r="C92" s="513" t="s">
        <v>156</v>
      </c>
      <c r="D92" s="494"/>
      <c r="E92" s="1608" t="s">
        <v>186</v>
      </c>
      <c r="F92" s="1608"/>
      <c r="G92" s="1608"/>
      <c r="H92" s="1608"/>
      <c r="I92" s="1608"/>
      <c r="J92" s="1608"/>
      <c r="K92" s="1608"/>
      <c r="L92" s="535"/>
      <c r="M92" s="526"/>
      <c r="N92" s="519"/>
      <c r="O92" s="530"/>
      <c r="P92" s="514"/>
      <c r="Q92" s="514"/>
      <c r="R92" s="514"/>
      <c r="S92" s="355">
        <f ca="1">S93+S98</f>
        <v>0</v>
      </c>
      <c r="T92" s="363"/>
      <c r="U92" s="360"/>
      <c r="V92" s="361"/>
      <c r="W92" s="1092"/>
      <c r="X92" s="1105"/>
      <c r="Y92" s="1121"/>
      <c r="Z92" s="363"/>
      <c r="AA92" s="360"/>
      <c r="AB92" s="361"/>
      <c r="AC92" s="1092"/>
      <c r="AD92" s="1105"/>
      <c r="AE92" s="1121"/>
      <c r="AF92" s="359"/>
      <c r="AG92" s="359"/>
      <c r="AH92" s="359"/>
      <c r="AI92" s="358"/>
      <c r="AJ92" s="359"/>
      <c r="AK92" s="440"/>
      <c r="AM92" s="460">
        <v>92</v>
      </c>
      <c r="AN92" s="1078"/>
    </row>
    <row r="93" spans="1:54" ht="12" customHeight="1" x14ac:dyDescent="0.25">
      <c r="A93" s="440"/>
      <c r="B93" s="609"/>
      <c r="C93" s="513"/>
      <c r="D93" s="514" t="s">
        <v>157</v>
      </c>
      <c r="E93" s="514" t="s">
        <v>172</v>
      </c>
      <c r="F93" s="514"/>
      <c r="G93" s="514"/>
      <c r="H93" s="514"/>
      <c r="I93" s="514"/>
      <c r="J93" s="501"/>
      <c r="K93" s="529"/>
      <c r="L93" s="529"/>
      <c r="M93" s="536"/>
      <c r="N93" s="462"/>
      <c r="O93" s="537"/>
      <c r="P93" s="514"/>
      <c r="Q93" s="514"/>
      <c r="R93" s="514"/>
      <c r="S93" s="354">
        <f ca="1">SUBTOTAL(109,S95:S97)</f>
        <v>0</v>
      </c>
      <c r="T93" s="363"/>
      <c r="U93" s="358"/>
      <c r="V93" s="358"/>
      <c r="W93" s="1091"/>
      <c r="X93" s="1104"/>
      <c r="Y93" s="1104"/>
      <c r="Z93" s="358"/>
      <c r="AA93" s="358"/>
      <c r="AB93" s="358"/>
      <c r="AC93" s="1091"/>
      <c r="AD93" s="1104"/>
      <c r="AE93" s="1104"/>
      <c r="AF93" s="358"/>
      <c r="AG93" s="358"/>
      <c r="AH93" s="358"/>
      <c r="AI93" s="358"/>
      <c r="AJ93" s="358"/>
      <c r="AK93" s="440"/>
      <c r="AM93" s="460">
        <v>93</v>
      </c>
      <c r="AN93" s="1078"/>
    </row>
    <row r="94" spans="1:54" ht="12" customHeight="1" x14ac:dyDescent="0.25">
      <c r="A94" s="440"/>
      <c r="B94" s="609"/>
      <c r="C94" s="513"/>
      <c r="D94" s="514"/>
      <c r="E94" s="514"/>
      <c r="F94" s="514"/>
      <c r="G94" s="514"/>
      <c r="H94" s="514"/>
      <c r="I94" s="514"/>
      <c r="J94" s="1603" t="s">
        <v>170</v>
      </c>
      <c r="K94" s="1603"/>
      <c r="L94" s="529"/>
      <c r="M94" s="536"/>
      <c r="N94" s="462"/>
      <c r="O94" s="537"/>
      <c r="P94" s="514"/>
      <c r="Q94" s="514"/>
      <c r="R94" s="514"/>
      <c r="S94" s="354"/>
      <c r="T94" s="363"/>
      <c r="U94" s="366"/>
      <c r="V94" s="367"/>
      <c r="W94" s="1092"/>
      <c r="X94" s="1107"/>
      <c r="Y94" s="1123"/>
      <c r="Z94" s="363"/>
      <c r="AA94" s="366"/>
      <c r="AB94" s="367"/>
      <c r="AC94" s="1092"/>
      <c r="AD94" s="1107"/>
      <c r="AE94" s="1123"/>
      <c r="AF94" s="359"/>
      <c r="AG94" s="359"/>
      <c r="AH94" s="359"/>
      <c r="AI94" s="373"/>
      <c r="AJ94" s="359"/>
      <c r="AK94" s="440"/>
      <c r="AM94" s="460">
        <v>94</v>
      </c>
      <c r="AN94" s="1078"/>
    </row>
    <row r="95" spans="1:54" ht="12" customHeight="1" x14ac:dyDescent="0.2">
      <c r="A95" s="440"/>
      <c r="B95" s="609"/>
      <c r="C95" s="513"/>
      <c r="D95" s="514"/>
      <c r="E95" s="1084">
        <f ca="1">IF(AX95="E","",AN95)</f>
        <v>0</v>
      </c>
      <c r="F95" s="1085"/>
      <c r="G95" s="1264"/>
      <c r="H95" s="1264"/>
      <c r="I95" s="1265"/>
      <c r="J95" s="638"/>
      <c r="K95" s="520" t="s">
        <v>177</v>
      </c>
      <c r="L95" s="521"/>
      <c r="M95" s="339"/>
      <c r="N95" s="521" t="s">
        <v>67</v>
      </c>
      <c r="O95" s="339"/>
      <c r="P95" s="504" t="s">
        <v>68</v>
      </c>
      <c r="Q95" s="344"/>
      <c r="R95" s="522" t="s">
        <v>363</v>
      </c>
      <c r="S95" s="353">
        <f t="shared" ref="S95:S97" ca="1" si="135">IF(AY95="E",(M95*O95)+Q95,AO95)</f>
        <v>0</v>
      </c>
      <c r="T95" s="523"/>
      <c r="U95" s="350"/>
      <c r="V95" s="308"/>
      <c r="W95" s="1090" t="str">
        <f t="shared" ref="W95:W97" ca="1" si="136">IF(AZ95="E",IF(AND(V95&lt;&gt;0,U95&lt;&gt;0),"X",IF(AND(V95&lt;&gt;0,U95=0),"A",IF(AND(V95=0,U95&lt;&gt;0),"P",""))),AR95)</f>
        <v/>
      </c>
      <c r="X95" s="1103">
        <f t="shared" ref="X95:X97" ca="1" si="137">IF(AZ95="E",IFERROR(IF(W95="X",0,IF(U95&gt;0,U95,V95/S95)),0),
IFERROR(IF(OR(AR95="X",AR95=0),0,
IF(AR95="P",AP95,IF(AR95="A",AQ95/S95,0))),0))</f>
        <v>0</v>
      </c>
      <c r="Y95" s="1120">
        <f t="shared" ref="Y95:Y97" ca="1" si="138">IF(AZ95="E",IFERROR(IF(W95="X",0,IF(V95&gt;0,V95,S95*U95)),0),
IFERROR(IF(OR(AR95="X",AR95="0"),0,IF(AR95="A",AQ95,S95*AP95)),0))</f>
        <v>0</v>
      </c>
      <c r="Z95" s="524"/>
      <c r="AA95" s="350"/>
      <c r="AB95" s="308"/>
      <c r="AC95" s="1090" t="str">
        <f t="shared" ref="AC95:AC97" ca="1" si="139">IF(BA95="E",IF(AND(AB95&lt;&gt;0,AA95&lt;&gt;0),"X",IF(AND(AB95&lt;&gt;0,AA95=0),"A",IF(AND(AB95=0,AA95&lt;&gt;0),"P",""))),AU95)</f>
        <v/>
      </c>
      <c r="AD95" s="1103">
        <f t="shared" ref="AD95:AD97" ca="1" si="140">IF(BA95="E",IFERROR(IF(AC95="X",0,IF(AA95&gt;0,AA95,AB95/S95)),0),
IFERROR(IF(OR(AU95="X",AU95=0),0,
IF(AU95="P",AS95,IF(AU95="A",AT95/S95,0))),0))</f>
        <v>0</v>
      </c>
      <c r="AE95" s="1120">
        <f t="shared" ref="AE95:AE97" ca="1" si="141">IF(BA95="E",IFERROR(IF(AC95="X",0,IF(AB95&gt;0,AB95,S95*AA95)),0),
IFERROR(IF(OR(AU95="X",AU95=0),0,
IF(AU95="A",AT95,S95*AS95)),0))</f>
        <v>0</v>
      </c>
      <c r="AF95" s="525"/>
      <c r="AG95" s="637"/>
      <c r="AH95" s="525"/>
      <c r="AI95" s="1086">
        <f t="shared" ref="AI95:AI97" ca="1" si="142">IF(BB95="E",AG95,AV95)</f>
        <v>0</v>
      </c>
      <c r="AJ95" s="380"/>
      <c r="AK95" s="440"/>
      <c r="AM95" s="460">
        <v>95</v>
      </c>
      <c r="AN95" s="1087">
        <f t="shared" ref="AN95:AN97" ca="1" si="143">IF($M$13=$AN$12,"",IF(ISTEXT(INDIRECT("'"&amp;$AM$20&amp;"'!"&amp;AN$21&amp;$AM95)),INDIRECT("'"&amp;$AM$20&amp;"'!"&amp;AN$21&amp;$AM95),INDIRECT("'"&amp;$AM$20&amp;"'!"&amp;AN$22&amp;$AM95)))</f>
        <v>0</v>
      </c>
      <c r="AO95" s="1083">
        <f t="shared" ref="AO95:AV97" ca="1" si="144">IF($M$13=$AN$12,"",INDIRECT("'"&amp;$AM$20&amp;"'!"&amp;AO$21&amp;$AM95))</f>
        <v>0</v>
      </c>
      <c r="AP95" s="356">
        <f t="shared" ca="1" si="144"/>
        <v>0</v>
      </c>
      <c r="AQ95" s="357">
        <f t="shared" ca="1" si="144"/>
        <v>0</v>
      </c>
      <c r="AR95" s="524" t="str">
        <f t="shared" ca="1" si="144"/>
        <v/>
      </c>
      <c r="AS95" s="356">
        <f t="shared" ca="1" si="144"/>
        <v>0</v>
      </c>
      <c r="AT95" s="357">
        <f t="shared" ca="1" si="144"/>
        <v>0</v>
      </c>
      <c r="AU95" s="524" t="str">
        <f t="shared" ca="1" si="144"/>
        <v/>
      </c>
      <c r="AV95" s="1083">
        <f t="shared" ca="1" si="144"/>
        <v>0</v>
      </c>
      <c r="AX95" s="1083" t="str">
        <f t="shared" ref="AX95:AX97" si="145">IF($M$13=$AN$12,"E",IF(ISTEXT(F95),"E","U"))</f>
        <v>U</v>
      </c>
      <c r="AY95" s="1083" t="str">
        <f t="shared" ref="AY95:AY97" si="146">IF($M$13=$AN$12,"E",IF(OR(ISNUMBER(M95),ISNUMBER(O95),ISNUMBER(Q95)),"E","U"))</f>
        <v>U</v>
      </c>
      <c r="AZ95" s="1083" t="str">
        <f t="shared" ref="AZ95:AZ97" si="147">IF($M$13=$AN$12,"E",IF(OR(ISNUMBER(U95),ISNUMBER(V95)),"E","U"))</f>
        <v>U</v>
      </c>
      <c r="BA95" s="1083" t="str">
        <f t="shared" ref="BA95:BA97" si="148">IF($M$13=$AN$12,"E",IF(OR(ISNUMBER(AA95),ISNUMBER(AB95)),"E","U"))</f>
        <v>U</v>
      </c>
      <c r="BB95" s="1083" t="str">
        <f t="shared" ref="BB95:BB97" si="149">IF($M$13=$AN$12,"E",IF(ISNUMBER(AG95),"E","U"))</f>
        <v>U</v>
      </c>
    </row>
    <row r="96" spans="1:54" ht="12" customHeight="1" x14ac:dyDescent="0.2">
      <c r="A96" s="440"/>
      <c r="B96" s="609"/>
      <c r="C96" s="513"/>
      <c r="D96" s="514"/>
      <c r="E96" s="1084">
        <f ca="1">IF(AX96="E","",AN96)</f>
        <v>0</v>
      </c>
      <c r="F96" s="1085"/>
      <c r="G96" s="1264"/>
      <c r="H96" s="1264"/>
      <c r="I96" s="1265"/>
      <c r="J96" s="638"/>
      <c r="K96" s="520" t="s">
        <v>177</v>
      </c>
      <c r="L96" s="521"/>
      <c r="M96" s="339"/>
      <c r="N96" s="521" t="s">
        <v>67</v>
      </c>
      <c r="O96" s="339"/>
      <c r="P96" s="504" t="s">
        <v>68</v>
      </c>
      <c r="Q96" s="344"/>
      <c r="R96" s="522" t="s">
        <v>363</v>
      </c>
      <c r="S96" s="353">
        <f t="shared" ca="1" si="135"/>
        <v>0</v>
      </c>
      <c r="T96" s="523"/>
      <c r="U96" s="350"/>
      <c r="V96" s="308"/>
      <c r="W96" s="1090" t="str">
        <f t="shared" ca="1" si="136"/>
        <v/>
      </c>
      <c r="X96" s="1103">
        <f t="shared" ca="1" si="137"/>
        <v>0</v>
      </c>
      <c r="Y96" s="1120">
        <f t="shared" ca="1" si="138"/>
        <v>0</v>
      </c>
      <c r="Z96" s="524"/>
      <c r="AA96" s="350"/>
      <c r="AB96" s="308"/>
      <c r="AC96" s="1090" t="str">
        <f t="shared" ca="1" si="139"/>
        <v/>
      </c>
      <c r="AD96" s="1103">
        <f t="shared" ca="1" si="140"/>
        <v>0</v>
      </c>
      <c r="AE96" s="1120">
        <f t="shared" ca="1" si="141"/>
        <v>0</v>
      </c>
      <c r="AF96" s="525"/>
      <c r="AG96" s="637"/>
      <c r="AH96" s="525"/>
      <c r="AI96" s="1086">
        <f t="shared" ca="1" si="142"/>
        <v>0</v>
      </c>
      <c r="AJ96" s="380"/>
      <c r="AK96" s="440"/>
      <c r="AM96" s="460">
        <v>96</v>
      </c>
      <c r="AN96" s="1087">
        <f t="shared" ca="1" si="143"/>
        <v>0</v>
      </c>
      <c r="AO96" s="1083">
        <f t="shared" ca="1" si="144"/>
        <v>0</v>
      </c>
      <c r="AP96" s="356">
        <f t="shared" ca="1" si="144"/>
        <v>0</v>
      </c>
      <c r="AQ96" s="357">
        <f t="shared" ca="1" si="144"/>
        <v>0</v>
      </c>
      <c r="AR96" s="524" t="str">
        <f t="shared" ca="1" si="144"/>
        <v/>
      </c>
      <c r="AS96" s="356">
        <f t="shared" ca="1" si="144"/>
        <v>0</v>
      </c>
      <c r="AT96" s="357">
        <f t="shared" ca="1" si="144"/>
        <v>0</v>
      </c>
      <c r="AU96" s="524" t="str">
        <f t="shared" ca="1" si="144"/>
        <v/>
      </c>
      <c r="AV96" s="1083">
        <f t="shared" ca="1" si="144"/>
        <v>0</v>
      </c>
      <c r="AX96" s="1083" t="str">
        <f t="shared" si="145"/>
        <v>U</v>
      </c>
      <c r="AY96" s="1083" t="str">
        <f t="shared" si="146"/>
        <v>U</v>
      </c>
      <c r="AZ96" s="1083" t="str">
        <f t="shared" si="147"/>
        <v>U</v>
      </c>
      <c r="BA96" s="1083" t="str">
        <f t="shared" si="148"/>
        <v>U</v>
      </c>
      <c r="BB96" s="1083" t="str">
        <f t="shared" si="149"/>
        <v>U</v>
      </c>
    </row>
    <row r="97" spans="1:54" ht="12" customHeight="1" x14ac:dyDescent="0.2">
      <c r="A97" s="440"/>
      <c r="B97" s="609"/>
      <c r="C97" s="513"/>
      <c r="D97" s="514"/>
      <c r="E97" s="1084">
        <f ca="1">IF(AX97="E","",AN97)</f>
        <v>0</v>
      </c>
      <c r="F97" s="1085"/>
      <c r="G97" s="1264"/>
      <c r="H97" s="1264"/>
      <c r="I97" s="1265"/>
      <c r="J97" s="638"/>
      <c r="K97" s="538" t="s">
        <v>177</v>
      </c>
      <c r="L97" s="503"/>
      <c r="M97" s="339"/>
      <c r="N97" s="521" t="s">
        <v>67</v>
      </c>
      <c r="O97" s="339"/>
      <c r="P97" s="504" t="s">
        <v>68</v>
      </c>
      <c r="Q97" s="344"/>
      <c r="R97" s="522" t="s">
        <v>363</v>
      </c>
      <c r="S97" s="353">
        <f t="shared" ca="1" si="135"/>
        <v>0</v>
      </c>
      <c r="T97" s="523"/>
      <c r="U97" s="350"/>
      <c r="V97" s="308"/>
      <c r="W97" s="1090" t="str">
        <f t="shared" ca="1" si="136"/>
        <v/>
      </c>
      <c r="X97" s="1103">
        <f t="shared" ca="1" si="137"/>
        <v>0</v>
      </c>
      <c r="Y97" s="1120">
        <f t="shared" ca="1" si="138"/>
        <v>0</v>
      </c>
      <c r="Z97" s="524"/>
      <c r="AA97" s="350"/>
      <c r="AB97" s="308"/>
      <c r="AC97" s="1090" t="str">
        <f t="shared" ca="1" si="139"/>
        <v/>
      </c>
      <c r="AD97" s="1103">
        <f t="shared" ca="1" si="140"/>
        <v>0</v>
      </c>
      <c r="AE97" s="1120">
        <f t="shared" ca="1" si="141"/>
        <v>0</v>
      </c>
      <c r="AF97" s="525"/>
      <c r="AG97" s="637"/>
      <c r="AH97" s="525"/>
      <c r="AI97" s="1086">
        <f t="shared" ca="1" si="142"/>
        <v>0</v>
      </c>
      <c r="AJ97" s="380"/>
      <c r="AK97" s="440"/>
      <c r="AM97" s="460">
        <v>97</v>
      </c>
      <c r="AN97" s="1087">
        <f t="shared" ca="1" si="143"/>
        <v>0</v>
      </c>
      <c r="AO97" s="1083">
        <f t="shared" ca="1" si="144"/>
        <v>0</v>
      </c>
      <c r="AP97" s="356">
        <f t="shared" ca="1" si="144"/>
        <v>0</v>
      </c>
      <c r="AQ97" s="357">
        <f t="shared" ca="1" si="144"/>
        <v>0</v>
      </c>
      <c r="AR97" s="524" t="str">
        <f t="shared" ca="1" si="144"/>
        <v/>
      </c>
      <c r="AS97" s="356">
        <f t="shared" ca="1" si="144"/>
        <v>0</v>
      </c>
      <c r="AT97" s="357">
        <f t="shared" ca="1" si="144"/>
        <v>0</v>
      </c>
      <c r="AU97" s="524" t="str">
        <f t="shared" ca="1" si="144"/>
        <v/>
      </c>
      <c r="AV97" s="1083">
        <f t="shared" ca="1" si="144"/>
        <v>0</v>
      </c>
      <c r="AX97" s="1083" t="str">
        <f t="shared" si="145"/>
        <v>U</v>
      </c>
      <c r="AY97" s="1083" t="str">
        <f t="shared" si="146"/>
        <v>U</v>
      </c>
      <c r="AZ97" s="1083" t="str">
        <f t="shared" si="147"/>
        <v>U</v>
      </c>
      <c r="BA97" s="1083" t="str">
        <f t="shared" si="148"/>
        <v>U</v>
      </c>
      <c r="BB97" s="1083" t="str">
        <f t="shared" si="149"/>
        <v>U</v>
      </c>
    </row>
    <row r="98" spans="1:54" ht="12" customHeight="1" x14ac:dyDescent="0.25">
      <c r="A98" s="440"/>
      <c r="B98" s="609"/>
      <c r="C98" s="513"/>
      <c r="D98" s="514" t="s">
        <v>162</v>
      </c>
      <c r="E98" s="1607" t="s">
        <v>174</v>
      </c>
      <c r="F98" s="1607"/>
      <c r="G98" s="1607"/>
      <c r="H98" s="1607"/>
      <c r="I98" s="1607"/>
      <c r="J98" s="501"/>
      <c r="K98" s="529"/>
      <c r="L98" s="503"/>
      <c r="M98" s="536"/>
      <c r="N98" s="462"/>
      <c r="O98" s="537"/>
      <c r="P98" s="514"/>
      <c r="Q98" s="514"/>
      <c r="R98" s="514"/>
      <c r="S98" s="354">
        <f ca="1">SUBTOTAL(109,S100:S101)</f>
        <v>0</v>
      </c>
      <c r="T98" s="363"/>
      <c r="U98" s="360"/>
      <c r="V98" s="360"/>
      <c r="W98" s="1091"/>
      <c r="X98" s="1105"/>
      <c r="Y98" s="1105"/>
      <c r="Z98" s="360"/>
      <c r="AA98" s="360"/>
      <c r="AB98" s="360"/>
      <c r="AC98" s="1091"/>
      <c r="AD98" s="1105"/>
      <c r="AE98" s="1105"/>
      <c r="AF98" s="360"/>
      <c r="AG98" s="360"/>
      <c r="AH98" s="360"/>
      <c r="AI98" s="360"/>
      <c r="AJ98" s="358"/>
      <c r="AK98" s="440"/>
      <c r="AM98" s="460">
        <v>98</v>
      </c>
      <c r="AN98" s="1078"/>
    </row>
    <row r="99" spans="1:54" ht="12" customHeight="1" x14ac:dyDescent="0.25">
      <c r="A99" s="440"/>
      <c r="B99" s="609"/>
      <c r="C99" s="513"/>
      <c r="D99" s="514"/>
      <c r="E99" s="539"/>
      <c r="F99" s="539"/>
      <c r="G99" s="539"/>
      <c r="H99" s="539"/>
      <c r="I99" s="539"/>
      <c r="J99" s="1603" t="s">
        <v>178</v>
      </c>
      <c r="K99" s="1603"/>
      <c r="L99" s="503"/>
      <c r="M99" s="536"/>
      <c r="N99" s="462"/>
      <c r="O99" s="537"/>
      <c r="P99" s="514"/>
      <c r="Q99" s="514"/>
      <c r="R99" s="514"/>
      <c r="S99" s="354"/>
      <c r="T99" s="363"/>
      <c r="U99" s="360"/>
      <c r="V99" s="360"/>
      <c r="W99" s="1092"/>
      <c r="X99" s="1105"/>
      <c r="Y99" s="1105"/>
      <c r="Z99" s="360"/>
      <c r="AA99" s="360"/>
      <c r="AB99" s="360"/>
      <c r="AC99" s="1092"/>
      <c r="AD99" s="1105"/>
      <c r="AE99" s="1105"/>
      <c r="AF99" s="360"/>
      <c r="AG99" s="360"/>
      <c r="AH99" s="360"/>
      <c r="AI99" s="360"/>
      <c r="AJ99" s="359"/>
      <c r="AK99" s="440"/>
      <c r="AM99" s="460">
        <v>99</v>
      </c>
      <c r="AN99" s="1078"/>
    </row>
    <row r="100" spans="1:54" ht="12" customHeight="1" x14ac:dyDescent="0.25">
      <c r="A100" s="440"/>
      <c r="B100" s="609"/>
      <c r="C100" s="513"/>
      <c r="D100" s="514"/>
      <c r="E100" s="1084">
        <f ca="1">IF(AX100="E","",AN100)</f>
        <v>0</v>
      </c>
      <c r="F100" s="1085"/>
      <c r="G100" s="1264"/>
      <c r="H100" s="1264"/>
      <c r="I100" s="1265"/>
      <c r="J100" s="638"/>
      <c r="K100" s="538" t="s">
        <v>173</v>
      </c>
      <c r="L100" s="503"/>
      <c r="M100" s="339"/>
      <c r="N100" s="462"/>
      <c r="O100" s="339"/>
      <c r="P100" s="514"/>
      <c r="Q100" s="344"/>
      <c r="R100" s="522" t="s">
        <v>363</v>
      </c>
      <c r="S100" s="353">
        <f t="shared" ref="S100:S101" ca="1" si="150">IF(AY100="E",(M100*O100)+Q100,AO100)</f>
        <v>0</v>
      </c>
      <c r="T100" s="523"/>
      <c r="U100" s="350"/>
      <c r="V100" s="308"/>
      <c r="W100" s="1090" t="str">
        <f t="shared" ref="W100:W101" ca="1" si="151">IF(AZ100="E",IF(AND(V100&lt;&gt;0,U100&lt;&gt;0),"X",IF(AND(V100&lt;&gt;0,U100=0),"A",IF(AND(V100=0,U100&lt;&gt;0),"P",""))),AR100)</f>
        <v/>
      </c>
      <c r="X100" s="1103">
        <f t="shared" ref="X100:X101" ca="1" si="152">IF(AZ100="E",IFERROR(IF(W100="X",0,IF(U100&gt;0,U100,V100/S100)),0),
IFERROR(IF(OR(AR100="X",AR100=0),0,
IF(AR100="P",AP100,IF(AR100="A",AQ100/S100,0))),0))</f>
        <v>0</v>
      </c>
      <c r="Y100" s="1120">
        <f t="shared" ref="Y100:Y101" ca="1" si="153">IF(AZ100="E",IFERROR(IF(W100="X",0,IF(V100&gt;0,V100,S100*U100)),0),
IFERROR(IF(OR(AR100="X",AR100="0"),0,IF(AR100="A",AQ100,S100*AP100)),0))</f>
        <v>0</v>
      </c>
      <c r="Z100" s="524"/>
      <c r="AA100" s="350"/>
      <c r="AB100" s="308"/>
      <c r="AC100" s="1090" t="str">
        <f t="shared" ref="AC100:AC101" ca="1" si="154">IF(BA100="E",IF(AND(AB100&lt;&gt;0,AA100&lt;&gt;0),"X",IF(AND(AB100&lt;&gt;0,AA100=0),"A",IF(AND(AB100=0,AA100&lt;&gt;0),"P",""))),AU100)</f>
        <v/>
      </c>
      <c r="AD100" s="1103">
        <f t="shared" ref="AD100:AD101" ca="1" si="155">IF(BA100="E",IFERROR(IF(AC100="X",0,IF(AA100&gt;0,AA100,AB100/S100)),0),
IFERROR(IF(OR(AU100="X",AU100=0),0,
IF(AU100="P",AS100,IF(AU100="A",AT100/S100,0))),0))</f>
        <v>0</v>
      </c>
      <c r="AE100" s="1120">
        <f t="shared" ref="AE100:AE101" ca="1" si="156">IF(BA100="E",IFERROR(IF(AC100="X",0,IF(AB100&gt;0,AB100,S100*AA100)),0),
IFERROR(IF(OR(AU100="X",AU100=0),0,
IF(AU100="A",AT100,S100*AS100)),0))</f>
        <v>0</v>
      </c>
      <c r="AF100" s="525"/>
      <c r="AG100" s="637"/>
      <c r="AH100" s="525"/>
      <c r="AI100" s="1086">
        <f t="shared" ref="AI100:AI101" ca="1" si="157">IF(BB100="E",AG100,AV100)</f>
        <v>0</v>
      </c>
      <c r="AJ100" s="380"/>
      <c r="AK100" s="440"/>
      <c r="AM100" s="460">
        <v>100</v>
      </c>
      <c r="AN100" s="1087">
        <f t="shared" ref="AN100:AN101" ca="1" si="158">IF($M$13=$AN$12,"",IF(ISTEXT(INDIRECT("'"&amp;$AM$20&amp;"'!"&amp;AN$21&amp;$AM100)),INDIRECT("'"&amp;$AM$20&amp;"'!"&amp;AN$21&amp;$AM100),INDIRECT("'"&amp;$AM$20&amp;"'!"&amp;AN$22&amp;$AM100)))</f>
        <v>0</v>
      </c>
      <c r="AO100" s="1083">
        <f t="shared" ref="AO100:AV101" ca="1" si="159">IF($M$13=$AN$12,"",INDIRECT("'"&amp;$AM$20&amp;"'!"&amp;AO$21&amp;$AM100))</f>
        <v>0</v>
      </c>
      <c r="AP100" s="356">
        <f t="shared" ca="1" si="159"/>
        <v>0</v>
      </c>
      <c r="AQ100" s="357">
        <f t="shared" ca="1" si="159"/>
        <v>0</v>
      </c>
      <c r="AR100" s="524" t="str">
        <f t="shared" ca="1" si="159"/>
        <v/>
      </c>
      <c r="AS100" s="356">
        <f t="shared" ca="1" si="159"/>
        <v>0</v>
      </c>
      <c r="AT100" s="357">
        <f t="shared" ca="1" si="159"/>
        <v>0</v>
      </c>
      <c r="AU100" s="524" t="str">
        <f t="shared" ca="1" si="159"/>
        <v/>
      </c>
      <c r="AV100" s="1083">
        <f t="shared" ca="1" si="159"/>
        <v>0</v>
      </c>
      <c r="AX100" s="1083" t="str">
        <f t="shared" ref="AX100:AX101" si="160">IF($M$13=$AN$12,"E",IF(ISTEXT(F100),"E","U"))</f>
        <v>U</v>
      </c>
      <c r="AY100" s="1083" t="str">
        <f t="shared" ref="AY100:AY101" si="161">IF($M$13=$AN$12,"E",IF(OR(ISNUMBER(M100),ISNUMBER(O100),ISNUMBER(Q100)),"E","U"))</f>
        <v>U</v>
      </c>
      <c r="AZ100" s="1083" t="str">
        <f t="shared" ref="AZ100:AZ101" si="162">IF($M$13=$AN$12,"E",IF(OR(ISNUMBER(U100),ISNUMBER(V100)),"E","U"))</f>
        <v>U</v>
      </c>
      <c r="BA100" s="1083" t="str">
        <f t="shared" ref="BA100:BA101" si="163">IF($M$13=$AN$12,"E",IF(OR(ISNUMBER(AA100),ISNUMBER(AB100)),"E","U"))</f>
        <v>U</v>
      </c>
      <c r="BB100" s="1083" t="str">
        <f t="shared" ref="BB100:BB101" si="164">IF($M$13=$AN$12,"E",IF(ISNUMBER(AG100),"E","U"))</f>
        <v>U</v>
      </c>
    </row>
    <row r="101" spans="1:54" ht="12" customHeight="1" x14ac:dyDescent="0.25">
      <c r="A101" s="440"/>
      <c r="B101" s="609"/>
      <c r="C101" s="513"/>
      <c r="D101" s="514"/>
      <c r="E101" s="1084">
        <f ca="1">IF(AX101="E","",AN101)</f>
        <v>0</v>
      </c>
      <c r="F101" s="1085"/>
      <c r="G101" s="1264"/>
      <c r="H101" s="1264"/>
      <c r="I101" s="1265"/>
      <c r="J101" s="638"/>
      <c r="K101" s="538" t="s">
        <v>173</v>
      </c>
      <c r="L101" s="503"/>
      <c r="M101" s="339"/>
      <c r="N101" s="462"/>
      <c r="O101" s="339"/>
      <c r="P101" s="514"/>
      <c r="Q101" s="344"/>
      <c r="R101" s="522" t="s">
        <v>363</v>
      </c>
      <c r="S101" s="353">
        <f t="shared" ca="1" si="150"/>
        <v>0</v>
      </c>
      <c r="T101" s="523"/>
      <c r="U101" s="350"/>
      <c r="V101" s="308"/>
      <c r="W101" s="1090" t="str">
        <f t="shared" ca="1" si="151"/>
        <v/>
      </c>
      <c r="X101" s="1103">
        <f t="shared" ca="1" si="152"/>
        <v>0</v>
      </c>
      <c r="Y101" s="1120">
        <f t="shared" ca="1" si="153"/>
        <v>0</v>
      </c>
      <c r="Z101" s="524"/>
      <c r="AA101" s="350"/>
      <c r="AB101" s="308"/>
      <c r="AC101" s="1090" t="str">
        <f t="shared" ca="1" si="154"/>
        <v/>
      </c>
      <c r="AD101" s="1103">
        <f t="shared" ca="1" si="155"/>
        <v>0</v>
      </c>
      <c r="AE101" s="1120">
        <f t="shared" ca="1" si="156"/>
        <v>0</v>
      </c>
      <c r="AF101" s="525"/>
      <c r="AG101" s="637"/>
      <c r="AH101" s="525"/>
      <c r="AI101" s="1086">
        <f t="shared" ca="1" si="157"/>
        <v>0</v>
      </c>
      <c r="AJ101" s="380"/>
      <c r="AK101" s="440"/>
      <c r="AM101" s="460">
        <v>101</v>
      </c>
      <c r="AN101" s="1087">
        <f t="shared" ca="1" si="158"/>
        <v>0</v>
      </c>
      <c r="AO101" s="1083">
        <f t="shared" ca="1" si="159"/>
        <v>0</v>
      </c>
      <c r="AP101" s="356">
        <f t="shared" ca="1" si="159"/>
        <v>0</v>
      </c>
      <c r="AQ101" s="357">
        <f t="shared" ca="1" si="159"/>
        <v>0</v>
      </c>
      <c r="AR101" s="524" t="str">
        <f t="shared" ca="1" si="159"/>
        <v/>
      </c>
      <c r="AS101" s="356">
        <f t="shared" ca="1" si="159"/>
        <v>0</v>
      </c>
      <c r="AT101" s="357">
        <f t="shared" ca="1" si="159"/>
        <v>0</v>
      </c>
      <c r="AU101" s="524" t="str">
        <f t="shared" ca="1" si="159"/>
        <v/>
      </c>
      <c r="AV101" s="1083">
        <f t="shared" ca="1" si="159"/>
        <v>0</v>
      </c>
      <c r="AX101" s="1083" t="str">
        <f t="shared" si="160"/>
        <v>U</v>
      </c>
      <c r="AY101" s="1083" t="str">
        <f t="shared" si="161"/>
        <v>U</v>
      </c>
      <c r="AZ101" s="1083" t="str">
        <f t="shared" si="162"/>
        <v>U</v>
      </c>
      <c r="BA101" s="1083" t="str">
        <f t="shared" si="163"/>
        <v>U</v>
      </c>
      <c r="BB101" s="1083" t="str">
        <f t="shared" si="164"/>
        <v>U</v>
      </c>
    </row>
    <row r="102" spans="1:54" ht="14.25" customHeight="1" x14ac:dyDescent="0.25">
      <c r="A102" s="440"/>
      <c r="B102" s="609"/>
      <c r="C102" s="513" t="s">
        <v>184</v>
      </c>
      <c r="D102" s="494"/>
      <c r="E102" s="1608" t="s">
        <v>185</v>
      </c>
      <c r="F102" s="1608"/>
      <c r="G102" s="1608"/>
      <c r="H102" s="1608"/>
      <c r="I102" s="1608"/>
      <c r="J102" s="1608"/>
      <c r="K102" s="1608"/>
      <c r="L102" s="529"/>
      <c r="M102" s="536"/>
      <c r="N102" s="462"/>
      <c r="O102" s="537"/>
      <c r="P102" s="514"/>
      <c r="Q102" s="514"/>
      <c r="R102" s="514"/>
      <c r="S102" s="355">
        <f ca="1">SUBTOTAL(109,S104:S110)</f>
        <v>141152.4</v>
      </c>
      <c r="T102" s="363"/>
      <c r="U102" s="360"/>
      <c r="V102" s="361"/>
      <c r="W102" s="1092"/>
      <c r="X102" s="1105"/>
      <c r="Y102" s="1121"/>
      <c r="Z102" s="363"/>
      <c r="AA102" s="360"/>
      <c r="AB102" s="361"/>
      <c r="AC102" s="1092"/>
      <c r="AD102" s="1105"/>
      <c r="AE102" s="1121"/>
      <c r="AF102" s="359"/>
      <c r="AG102" s="359"/>
      <c r="AH102" s="359"/>
      <c r="AI102" s="358"/>
      <c r="AJ102" s="380"/>
      <c r="AK102" s="440"/>
      <c r="AL102" s="395"/>
      <c r="AM102" s="460">
        <v>102</v>
      </c>
      <c r="AN102" s="1078"/>
    </row>
    <row r="103" spans="1:54" ht="14.25" customHeight="1" x14ac:dyDescent="0.25">
      <c r="A103" s="440"/>
      <c r="B103" s="609"/>
      <c r="C103" s="513"/>
      <c r="D103" s="494"/>
      <c r="E103" s="535"/>
      <c r="F103" s="535"/>
      <c r="G103" s="535"/>
      <c r="H103" s="535"/>
      <c r="I103" s="535"/>
      <c r="J103" s="535"/>
      <c r="K103" s="535"/>
      <c r="L103" s="529"/>
      <c r="M103" s="536"/>
      <c r="N103" s="462"/>
      <c r="O103" s="537"/>
      <c r="P103" s="514"/>
      <c r="Q103" s="514"/>
      <c r="R103" s="514"/>
      <c r="S103" s="355"/>
      <c r="T103" s="363"/>
      <c r="U103" s="360"/>
      <c r="V103" s="361"/>
      <c r="W103" s="1092"/>
      <c r="X103" s="1105"/>
      <c r="Y103" s="1121"/>
      <c r="Z103" s="363"/>
      <c r="AA103" s="360"/>
      <c r="AB103" s="361"/>
      <c r="AC103" s="1092"/>
      <c r="AD103" s="1105"/>
      <c r="AE103" s="1121"/>
      <c r="AF103" s="359"/>
      <c r="AG103" s="359"/>
      <c r="AH103" s="359"/>
      <c r="AI103" s="358"/>
      <c r="AJ103" s="359"/>
      <c r="AK103" s="440"/>
      <c r="AL103" s="395"/>
      <c r="AM103" s="460">
        <v>103</v>
      </c>
      <c r="AN103" s="1078"/>
    </row>
    <row r="104" spans="1:54" ht="12" customHeight="1" x14ac:dyDescent="0.25">
      <c r="A104" s="440"/>
      <c r="B104" s="609"/>
      <c r="C104" s="513"/>
      <c r="D104" s="514"/>
      <c r="E104" s="1084" t="str">
        <f t="shared" ref="E104:E110" ca="1" si="165">IF(AX104="E","",AN104)</f>
        <v>Sanitär</v>
      </c>
      <c r="F104" s="1085"/>
      <c r="G104" s="1264"/>
      <c r="H104" s="1264"/>
      <c r="I104" s="1265"/>
      <c r="J104" s="638"/>
      <c r="K104" s="538"/>
      <c r="L104" s="503"/>
      <c r="M104" s="339"/>
      <c r="N104" s="462"/>
      <c r="O104" s="339"/>
      <c r="P104" s="514"/>
      <c r="Q104" s="344"/>
      <c r="R104" s="522" t="s">
        <v>363</v>
      </c>
      <c r="S104" s="353">
        <f t="shared" ref="S104:S110" ca="1" si="166">IF(AY104="E",(M104*O104)+Q104,AO104)</f>
        <v>141152.4</v>
      </c>
      <c r="T104" s="523"/>
      <c r="U104" s="350"/>
      <c r="V104" s="308"/>
      <c r="W104" s="1090" t="str">
        <f t="shared" ref="W104:W110" ca="1" si="167">IF(AZ104="E",IF(AND(V104&lt;&gt;0,U104&lt;&gt;0),"X",IF(AND(V104&lt;&gt;0,U104=0),"A",IF(AND(V104=0,U104&lt;&gt;0),"P",""))),AR104)</f>
        <v/>
      </c>
      <c r="X104" s="1103">
        <f t="shared" ref="X104:X110" ca="1" si="168">IF(AZ104="E",IFERROR(IF(W104="X",0,IF(U104&gt;0,U104,V104/S104)),0),
IFERROR(IF(OR(AR104="X",AR104=0),0,
IF(AR104="P",AP104,IF(AR104="A",AQ104/S104,0))),0))</f>
        <v>0</v>
      </c>
      <c r="Y104" s="1120">
        <f t="shared" ref="Y104:Y110" ca="1" si="169">IF(AZ104="E",IFERROR(IF(W104="X",0,IF(V104&gt;0,V104,S104*U104)),0),
IFERROR(IF(OR(AR104="X",AR104="0"),0,IF(AR104="A",AQ104,S104*AP104)),0))</f>
        <v>0</v>
      </c>
      <c r="Z104" s="524"/>
      <c r="AA104" s="350"/>
      <c r="AB104" s="308"/>
      <c r="AC104" s="1090" t="str">
        <f t="shared" ref="AC104:AC110" ca="1" si="170">IF(BA104="E",IF(AND(AB104&lt;&gt;0,AA104&lt;&gt;0),"X",IF(AND(AB104&lt;&gt;0,AA104=0),"A",IF(AND(AB104=0,AA104&lt;&gt;0),"P",""))),AU104)</f>
        <v/>
      </c>
      <c r="AD104" s="1103">
        <f t="shared" ref="AD104:AD110" ca="1" si="171">IF(BA104="E",IFERROR(IF(AC104="X",0,IF(AA104&gt;0,AA104,AB104/S104)),0),
IFERROR(IF(OR(AU104="X",AU104=0),0,
IF(AU104="P",AS104,IF(AU104="A",AT104/S104,0))),0))</f>
        <v>0</v>
      </c>
      <c r="AE104" s="1120">
        <f t="shared" ref="AE104:AE110" ca="1" si="172">IF(BA104="E",IFERROR(IF(AC104="X",0,IF(AB104&gt;0,AB104,S104*AA104)),0),
IFERROR(IF(OR(AU104="X",AU104=0),0,
IF(AU104="A",AT104,S104*AS104)),0))</f>
        <v>0</v>
      </c>
      <c r="AF104" s="525"/>
      <c r="AG104" s="637"/>
      <c r="AH104" s="525"/>
      <c r="AI104" s="1086">
        <f t="shared" ref="AI104:AI110" ca="1" si="173">IF(BB104="E",AG104,AV104)</f>
        <v>50</v>
      </c>
      <c r="AJ104" s="380"/>
      <c r="AK104" s="440"/>
      <c r="AL104" s="395"/>
      <c r="AM104" s="460">
        <v>104</v>
      </c>
      <c r="AN104" s="1087" t="str">
        <f t="shared" ref="AN104:AN110" ca="1" si="174">IF($M$13=$AN$12,"",IF(ISTEXT(INDIRECT("'"&amp;$AM$20&amp;"'!"&amp;AN$21&amp;$AM104)),INDIRECT("'"&amp;$AM$20&amp;"'!"&amp;AN$21&amp;$AM104),INDIRECT("'"&amp;$AM$20&amp;"'!"&amp;AN$22&amp;$AM104)))</f>
        <v>Sanitär</v>
      </c>
      <c r="AO104" s="1083">
        <f t="shared" ref="AO104:AV110" ca="1" si="175">IF($M$13=$AN$12,"",INDIRECT("'"&amp;$AM$20&amp;"'!"&amp;AO$21&amp;$AM104))</f>
        <v>141152.4</v>
      </c>
      <c r="AP104" s="356">
        <f t="shared" ca="1" si="175"/>
        <v>0</v>
      </c>
      <c r="AQ104" s="357">
        <f t="shared" ca="1" si="175"/>
        <v>0</v>
      </c>
      <c r="AR104" s="524" t="str">
        <f t="shared" ca="1" si="175"/>
        <v/>
      </c>
      <c r="AS104" s="356">
        <f t="shared" ca="1" si="175"/>
        <v>0</v>
      </c>
      <c r="AT104" s="357">
        <f t="shared" ca="1" si="175"/>
        <v>0</v>
      </c>
      <c r="AU104" s="524" t="str">
        <f t="shared" ca="1" si="175"/>
        <v/>
      </c>
      <c r="AV104" s="1083">
        <f t="shared" ca="1" si="175"/>
        <v>50</v>
      </c>
      <c r="AX104" s="1083" t="str">
        <f t="shared" ref="AX104:AX110" si="176">IF($M$13=$AN$12,"E",IF(ISTEXT(F104),"E","U"))</f>
        <v>U</v>
      </c>
      <c r="AY104" s="1083" t="str">
        <f t="shared" ref="AY104:AY110" si="177">IF($M$13=$AN$12,"E",IF(OR(ISNUMBER(M104),ISNUMBER(O104),ISNUMBER(Q104)),"E","U"))</f>
        <v>U</v>
      </c>
      <c r="AZ104" s="1083" t="str">
        <f t="shared" ref="AZ104:AZ110" si="178">IF($M$13=$AN$12,"E",IF(OR(ISNUMBER(U104),ISNUMBER(V104)),"E","U"))</f>
        <v>U</v>
      </c>
      <c r="BA104" s="1083" t="str">
        <f t="shared" ref="BA104:BA110" si="179">IF($M$13=$AN$12,"E",IF(OR(ISNUMBER(AA104),ISNUMBER(AB104)),"E","U"))</f>
        <v>U</v>
      </c>
      <c r="BB104" s="1083" t="str">
        <f t="shared" ref="BB104:BB110" si="180">IF($M$13=$AN$12,"E",IF(ISNUMBER(AG104),"E","U"))</f>
        <v>U</v>
      </c>
    </row>
    <row r="105" spans="1:54" ht="12" customHeight="1" x14ac:dyDescent="0.25">
      <c r="A105" s="440"/>
      <c r="B105" s="609"/>
      <c r="C105" s="513"/>
      <c r="D105" s="514"/>
      <c r="E105" s="1084">
        <f t="shared" ca="1" si="165"/>
        <v>0</v>
      </c>
      <c r="F105" s="1085"/>
      <c r="G105" s="1264"/>
      <c r="H105" s="1264"/>
      <c r="I105" s="1265"/>
      <c r="J105" s="638"/>
      <c r="K105" s="538"/>
      <c r="L105" s="503"/>
      <c r="M105" s="339"/>
      <c r="N105" s="462"/>
      <c r="O105" s="339"/>
      <c r="P105" s="514"/>
      <c r="Q105" s="344"/>
      <c r="R105" s="522" t="s">
        <v>363</v>
      </c>
      <c r="S105" s="353">
        <f t="shared" ca="1" si="166"/>
        <v>0</v>
      </c>
      <c r="T105" s="523"/>
      <c r="U105" s="350"/>
      <c r="V105" s="308"/>
      <c r="W105" s="1090" t="str">
        <f t="shared" ca="1" si="167"/>
        <v/>
      </c>
      <c r="X105" s="1103">
        <f t="shared" ca="1" si="168"/>
        <v>0</v>
      </c>
      <c r="Y105" s="1120">
        <f t="shared" ca="1" si="169"/>
        <v>0</v>
      </c>
      <c r="Z105" s="524"/>
      <c r="AA105" s="350"/>
      <c r="AB105" s="308"/>
      <c r="AC105" s="1090" t="str">
        <f t="shared" ca="1" si="170"/>
        <v/>
      </c>
      <c r="AD105" s="1103">
        <f t="shared" ca="1" si="171"/>
        <v>0</v>
      </c>
      <c r="AE105" s="1120">
        <f t="shared" ca="1" si="172"/>
        <v>0</v>
      </c>
      <c r="AF105" s="525"/>
      <c r="AG105" s="637"/>
      <c r="AH105" s="525"/>
      <c r="AI105" s="1086">
        <f t="shared" ca="1" si="173"/>
        <v>0</v>
      </c>
      <c r="AJ105" s="380"/>
      <c r="AK105" s="440"/>
      <c r="AL105" s="395"/>
      <c r="AM105" s="460">
        <v>105</v>
      </c>
      <c r="AN105" s="1087">
        <f t="shared" ca="1" si="174"/>
        <v>0</v>
      </c>
      <c r="AO105" s="1083">
        <f t="shared" ca="1" si="175"/>
        <v>0</v>
      </c>
      <c r="AP105" s="356">
        <f t="shared" ca="1" si="175"/>
        <v>0</v>
      </c>
      <c r="AQ105" s="357">
        <f t="shared" ca="1" si="175"/>
        <v>0</v>
      </c>
      <c r="AR105" s="524" t="str">
        <f t="shared" ca="1" si="175"/>
        <v/>
      </c>
      <c r="AS105" s="356">
        <f t="shared" ca="1" si="175"/>
        <v>0</v>
      </c>
      <c r="AT105" s="357">
        <f t="shared" ca="1" si="175"/>
        <v>0</v>
      </c>
      <c r="AU105" s="524" t="str">
        <f t="shared" ca="1" si="175"/>
        <v/>
      </c>
      <c r="AV105" s="1083">
        <f t="shared" ca="1" si="175"/>
        <v>0</v>
      </c>
      <c r="AX105" s="1083" t="str">
        <f t="shared" si="176"/>
        <v>U</v>
      </c>
      <c r="AY105" s="1083" t="str">
        <f t="shared" si="177"/>
        <v>U</v>
      </c>
      <c r="AZ105" s="1083" t="str">
        <f t="shared" si="178"/>
        <v>U</v>
      </c>
      <c r="BA105" s="1083" t="str">
        <f t="shared" si="179"/>
        <v>U</v>
      </c>
      <c r="BB105" s="1083" t="str">
        <f t="shared" si="180"/>
        <v>U</v>
      </c>
    </row>
    <row r="106" spans="1:54" ht="12" customHeight="1" x14ac:dyDescent="0.25">
      <c r="A106" s="440"/>
      <c r="B106" s="609"/>
      <c r="C106" s="513"/>
      <c r="D106" s="514"/>
      <c r="E106" s="1084">
        <f t="shared" ca="1" si="165"/>
        <v>0</v>
      </c>
      <c r="F106" s="1085"/>
      <c r="G106" s="1264"/>
      <c r="H106" s="1264"/>
      <c r="I106" s="1265"/>
      <c r="J106" s="638"/>
      <c r="K106" s="538"/>
      <c r="L106" s="503"/>
      <c r="M106" s="339"/>
      <c r="N106" s="462"/>
      <c r="O106" s="339"/>
      <c r="P106" s="514"/>
      <c r="Q106" s="344"/>
      <c r="R106" s="522" t="s">
        <v>363</v>
      </c>
      <c r="S106" s="353">
        <f t="shared" ca="1" si="166"/>
        <v>0</v>
      </c>
      <c r="T106" s="523"/>
      <c r="U106" s="350"/>
      <c r="V106" s="308"/>
      <c r="W106" s="1090" t="str">
        <f t="shared" ca="1" si="167"/>
        <v/>
      </c>
      <c r="X106" s="1103">
        <f t="shared" ca="1" si="168"/>
        <v>0</v>
      </c>
      <c r="Y106" s="1120">
        <f t="shared" ca="1" si="169"/>
        <v>0</v>
      </c>
      <c r="Z106" s="524"/>
      <c r="AA106" s="350"/>
      <c r="AB106" s="308"/>
      <c r="AC106" s="1090" t="str">
        <f t="shared" ca="1" si="170"/>
        <v/>
      </c>
      <c r="AD106" s="1103">
        <f t="shared" ca="1" si="171"/>
        <v>0</v>
      </c>
      <c r="AE106" s="1120">
        <f t="shared" ca="1" si="172"/>
        <v>0</v>
      </c>
      <c r="AF106" s="525"/>
      <c r="AG106" s="637"/>
      <c r="AH106" s="525"/>
      <c r="AI106" s="1086">
        <f t="shared" ca="1" si="173"/>
        <v>0</v>
      </c>
      <c r="AJ106" s="380"/>
      <c r="AK106" s="440"/>
      <c r="AL106" s="395"/>
      <c r="AM106" s="460">
        <v>106</v>
      </c>
      <c r="AN106" s="1087">
        <f t="shared" ca="1" si="174"/>
        <v>0</v>
      </c>
      <c r="AO106" s="1083">
        <f t="shared" ca="1" si="175"/>
        <v>0</v>
      </c>
      <c r="AP106" s="356">
        <f t="shared" ca="1" si="175"/>
        <v>0</v>
      </c>
      <c r="AQ106" s="357">
        <f t="shared" ca="1" si="175"/>
        <v>0</v>
      </c>
      <c r="AR106" s="524" t="str">
        <f t="shared" ca="1" si="175"/>
        <v/>
      </c>
      <c r="AS106" s="356">
        <f t="shared" ca="1" si="175"/>
        <v>0</v>
      </c>
      <c r="AT106" s="357">
        <f t="shared" ca="1" si="175"/>
        <v>0</v>
      </c>
      <c r="AU106" s="524" t="str">
        <f t="shared" ca="1" si="175"/>
        <v/>
      </c>
      <c r="AV106" s="1083">
        <f t="shared" ca="1" si="175"/>
        <v>0</v>
      </c>
      <c r="AX106" s="1083" t="str">
        <f t="shared" si="176"/>
        <v>U</v>
      </c>
      <c r="AY106" s="1083" t="str">
        <f t="shared" si="177"/>
        <v>U</v>
      </c>
      <c r="AZ106" s="1083" t="str">
        <f t="shared" si="178"/>
        <v>U</v>
      </c>
      <c r="BA106" s="1083" t="str">
        <f t="shared" si="179"/>
        <v>U</v>
      </c>
      <c r="BB106" s="1083" t="str">
        <f t="shared" si="180"/>
        <v>U</v>
      </c>
    </row>
    <row r="107" spans="1:54" ht="12" customHeight="1" x14ac:dyDescent="0.25">
      <c r="A107" s="440"/>
      <c r="B107" s="609"/>
      <c r="C107" s="513"/>
      <c r="D107" s="514"/>
      <c r="E107" s="1084">
        <f t="shared" ca="1" si="165"/>
        <v>0</v>
      </c>
      <c r="F107" s="1085"/>
      <c r="G107" s="1264"/>
      <c r="H107" s="1264"/>
      <c r="I107" s="1265"/>
      <c r="J107" s="638"/>
      <c r="K107" s="538"/>
      <c r="L107" s="503"/>
      <c r="M107" s="339"/>
      <c r="N107" s="462"/>
      <c r="O107" s="339"/>
      <c r="P107" s="514"/>
      <c r="Q107" s="344"/>
      <c r="R107" s="522" t="s">
        <v>363</v>
      </c>
      <c r="S107" s="353">
        <f t="shared" ca="1" si="166"/>
        <v>0</v>
      </c>
      <c r="T107" s="523"/>
      <c r="U107" s="350"/>
      <c r="V107" s="308"/>
      <c r="W107" s="1090" t="str">
        <f t="shared" ca="1" si="167"/>
        <v/>
      </c>
      <c r="X107" s="1103">
        <f t="shared" ca="1" si="168"/>
        <v>0</v>
      </c>
      <c r="Y107" s="1120">
        <f t="shared" ca="1" si="169"/>
        <v>0</v>
      </c>
      <c r="Z107" s="524"/>
      <c r="AA107" s="350"/>
      <c r="AB107" s="308"/>
      <c r="AC107" s="1090" t="str">
        <f t="shared" ca="1" si="170"/>
        <v/>
      </c>
      <c r="AD107" s="1103">
        <f t="shared" ca="1" si="171"/>
        <v>0</v>
      </c>
      <c r="AE107" s="1120">
        <f t="shared" ca="1" si="172"/>
        <v>0</v>
      </c>
      <c r="AF107" s="525"/>
      <c r="AG107" s="637"/>
      <c r="AH107" s="525"/>
      <c r="AI107" s="1086">
        <f t="shared" ca="1" si="173"/>
        <v>0</v>
      </c>
      <c r="AJ107" s="380"/>
      <c r="AK107" s="440"/>
      <c r="AL107" s="395"/>
      <c r="AM107" s="460">
        <v>107</v>
      </c>
      <c r="AN107" s="1087">
        <f t="shared" ca="1" si="174"/>
        <v>0</v>
      </c>
      <c r="AO107" s="1083">
        <f t="shared" ca="1" si="175"/>
        <v>0</v>
      </c>
      <c r="AP107" s="356">
        <f t="shared" ca="1" si="175"/>
        <v>0</v>
      </c>
      <c r="AQ107" s="357">
        <f t="shared" ca="1" si="175"/>
        <v>0</v>
      </c>
      <c r="AR107" s="524" t="str">
        <f t="shared" ca="1" si="175"/>
        <v/>
      </c>
      <c r="AS107" s="356">
        <f t="shared" ca="1" si="175"/>
        <v>0</v>
      </c>
      <c r="AT107" s="357">
        <f t="shared" ca="1" si="175"/>
        <v>0</v>
      </c>
      <c r="AU107" s="524" t="str">
        <f t="shared" ca="1" si="175"/>
        <v/>
      </c>
      <c r="AV107" s="1083">
        <f t="shared" ca="1" si="175"/>
        <v>0</v>
      </c>
      <c r="AX107" s="1083" t="str">
        <f t="shared" si="176"/>
        <v>U</v>
      </c>
      <c r="AY107" s="1083" t="str">
        <f t="shared" si="177"/>
        <v>U</v>
      </c>
      <c r="AZ107" s="1083" t="str">
        <f t="shared" si="178"/>
        <v>U</v>
      </c>
      <c r="BA107" s="1083" t="str">
        <f t="shared" si="179"/>
        <v>U</v>
      </c>
      <c r="BB107" s="1083" t="str">
        <f t="shared" si="180"/>
        <v>U</v>
      </c>
    </row>
    <row r="108" spans="1:54" ht="12" customHeight="1" x14ac:dyDescent="0.25">
      <c r="A108" s="440"/>
      <c r="B108" s="609"/>
      <c r="C108" s="513"/>
      <c r="D108" s="514"/>
      <c r="E108" s="1084">
        <f t="shared" ca="1" si="165"/>
        <v>0</v>
      </c>
      <c r="F108" s="1085"/>
      <c r="G108" s="1264"/>
      <c r="H108" s="1264"/>
      <c r="I108" s="1265"/>
      <c r="J108" s="638"/>
      <c r="K108" s="538"/>
      <c r="L108" s="503"/>
      <c r="M108" s="339"/>
      <c r="N108" s="462"/>
      <c r="O108" s="339"/>
      <c r="P108" s="514"/>
      <c r="Q108" s="344"/>
      <c r="R108" s="522" t="s">
        <v>363</v>
      </c>
      <c r="S108" s="353">
        <f t="shared" ca="1" si="166"/>
        <v>0</v>
      </c>
      <c r="T108" s="523"/>
      <c r="U108" s="350"/>
      <c r="V108" s="308"/>
      <c r="W108" s="1090" t="str">
        <f t="shared" ca="1" si="167"/>
        <v/>
      </c>
      <c r="X108" s="1103">
        <f t="shared" ca="1" si="168"/>
        <v>0</v>
      </c>
      <c r="Y108" s="1120">
        <f t="shared" ca="1" si="169"/>
        <v>0</v>
      </c>
      <c r="Z108" s="524"/>
      <c r="AA108" s="350"/>
      <c r="AB108" s="308"/>
      <c r="AC108" s="1090" t="str">
        <f t="shared" ca="1" si="170"/>
        <v/>
      </c>
      <c r="AD108" s="1103">
        <f t="shared" ca="1" si="171"/>
        <v>0</v>
      </c>
      <c r="AE108" s="1120">
        <f t="shared" ca="1" si="172"/>
        <v>0</v>
      </c>
      <c r="AF108" s="525"/>
      <c r="AG108" s="637"/>
      <c r="AH108" s="525"/>
      <c r="AI108" s="1086">
        <f t="shared" ca="1" si="173"/>
        <v>0</v>
      </c>
      <c r="AJ108" s="380"/>
      <c r="AK108" s="440"/>
      <c r="AM108" s="460">
        <v>108</v>
      </c>
      <c r="AN108" s="1087">
        <f t="shared" ca="1" si="174"/>
        <v>0</v>
      </c>
      <c r="AO108" s="1083">
        <f t="shared" ca="1" si="175"/>
        <v>0</v>
      </c>
      <c r="AP108" s="356">
        <f t="shared" ca="1" si="175"/>
        <v>0</v>
      </c>
      <c r="AQ108" s="357">
        <f t="shared" ca="1" si="175"/>
        <v>0</v>
      </c>
      <c r="AR108" s="524" t="str">
        <f t="shared" ca="1" si="175"/>
        <v/>
      </c>
      <c r="AS108" s="356">
        <f t="shared" ca="1" si="175"/>
        <v>0</v>
      </c>
      <c r="AT108" s="357">
        <f t="shared" ca="1" si="175"/>
        <v>0</v>
      </c>
      <c r="AU108" s="524" t="str">
        <f t="shared" ca="1" si="175"/>
        <v/>
      </c>
      <c r="AV108" s="1083">
        <f t="shared" ca="1" si="175"/>
        <v>0</v>
      </c>
      <c r="AX108" s="1083" t="str">
        <f t="shared" si="176"/>
        <v>U</v>
      </c>
      <c r="AY108" s="1083" t="str">
        <f t="shared" si="177"/>
        <v>U</v>
      </c>
      <c r="AZ108" s="1083" t="str">
        <f t="shared" si="178"/>
        <v>U</v>
      </c>
      <c r="BA108" s="1083" t="str">
        <f t="shared" si="179"/>
        <v>U</v>
      </c>
      <c r="BB108" s="1083" t="str">
        <f t="shared" si="180"/>
        <v>U</v>
      </c>
    </row>
    <row r="109" spans="1:54" ht="12" customHeight="1" x14ac:dyDescent="0.25">
      <c r="A109" s="440"/>
      <c r="B109" s="609"/>
      <c r="C109" s="513"/>
      <c r="D109" s="514"/>
      <c r="E109" s="1084">
        <f t="shared" ca="1" si="165"/>
        <v>0</v>
      </c>
      <c r="F109" s="1085"/>
      <c r="G109" s="1264"/>
      <c r="H109" s="1264"/>
      <c r="I109" s="1265"/>
      <c r="J109" s="638"/>
      <c r="K109" s="538"/>
      <c r="L109" s="503"/>
      <c r="M109" s="339"/>
      <c r="N109" s="462"/>
      <c r="O109" s="339"/>
      <c r="P109" s="514"/>
      <c r="Q109" s="344"/>
      <c r="R109" s="522" t="s">
        <v>363</v>
      </c>
      <c r="S109" s="353">
        <f t="shared" ca="1" si="166"/>
        <v>0</v>
      </c>
      <c r="T109" s="523"/>
      <c r="U109" s="350"/>
      <c r="V109" s="308"/>
      <c r="W109" s="1090" t="str">
        <f t="shared" ca="1" si="167"/>
        <v/>
      </c>
      <c r="X109" s="1103">
        <f t="shared" ca="1" si="168"/>
        <v>0</v>
      </c>
      <c r="Y109" s="1120">
        <f t="shared" ca="1" si="169"/>
        <v>0</v>
      </c>
      <c r="Z109" s="524"/>
      <c r="AA109" s="350"/>
      <c r="AB109" s="308"/>
      <c r="AC109" s="1090" t="str">
        <f t="shared" ca="1" si="170"/>
        <v/>
      </c>
      <c r="AD109" s="1103">
        <f t="shared" ca="1" si="171"/>
        <v>0</v>
      </c>
      <c r="AE109" s="1120">
        <f t="shared" ca="1" si="172"/>
        <v>0</v>
      </c>
      <c r="AF109" s="525"/>
      <c r="AG109" s="637"/>
      <c r="AH109" s="525"/>
      <c r="AI109" s="1086">
        <f t="shared" ca="1" si="173"/>
        <v>0</v>
      </c>
      <c r="AJ109" s="380"/>
      <c r="AK109" s="440"/>
      <c r="AM109" s="460">
        <v>109</v>
      </c>
      <c r="AN109" s="1087">
        <f t="shared" ca="1" si="174"/>
        <v>0</v>
      </c>
      <c r="AO109" s="1083">
        <f t="shared" ca="1" si="175"/>
        <v>0</v>
      </c>
      <c r="AP109" s="356">
        <f t="shared" ca="1" si="175"/>
        <v>0</v>
      </c>
      <c r="AQ109" s="357">
        <f t="shared" ca="1" si="175"/>
        <v>0</v>
      </c>
      <c r="AR109" s="524" t="str">
        <f t="shared" ca="1" si="175"/>
        <v/>
      </c>
      <c r="AS109" s="356">
        <f t="shared" ca="1" si="175"/>
        <v>0</v>
      </c>
      <c r="AT109" s="357">
        <f t="shared" ca="1" si="175"/>
        <v>0</v>
      </c>
      <c r="AU109" s="524" t="str">
        <f t="shared" ca="1" si="175"/>
        <v/>
      </c>
      <c r="AV109" s="1083">
        <f t="shared" ca="1" si="175"/>
        <v>0</v>
      </c>
      <c r="AX109" s="1083" t="str">
        <f t="shared" si="176"/>
        <v>U</v>
      </c>
      <c r="AY109" s="1083" t="str">
        <f t="shared" si="177"/>
        <v>U</v>
      </c>
      <c r="AZ109" s="1083" t="str">
        <f t="shared" si="178"/>
        <v>U</v>
      </c>
      <c r="BA109" s="1083" t="str">
        <f t="shared" si="179"/>
        <v>U</v>
      </c>
      <c r="BB109" s="1083" t="str">
        <f t="shared" si="180"/>
        <v>U</v>
      </c>
    </row>
    <row r="110" spans="1:54" ht="12" customHeight="1" x14ac:dyDescent="0.25">
      <c r="A110" s="440"/>
      <c r="B110" s="609"/>
      <c r="C110" s="513"/>
      <c r="D110" s="514"/>
      <c r="E110" s="1084">
        <f t="shared" ca="1" si="165"/>
        <v>0</v>
      </c>
      <c r="F110" s="1085"/>
      <c r="G110" s="1264"/>
      <c r="H110" s="1264"/>
      <c r="I110" s="1265"/>
      <c r="J110" s="638"/>
      <c r="K110" s="538"/>
      <c r="L110" s="503"/>
      <c r="M110" s="339"/>
      <c r="N110" s="462"/>
      <c r="O110" s="339"/>
      <c r="P110" s="514"/>
      <c r="Q110" s="344"/>
      <c r="R110" s="522" t="s">
        <v>363</v>
      </c>
      <c r="S110" s="353">
        <f t="shared" ca="1" si="166"/>
        <v>0</v>
      </c>
      <c r="T110" s="523"/>
      <c r="U110" s="350"/>
      <c r="V110" s="308"/>
      <c r="W110" s="1090" t="str">
        <f t="shared" ca="1" si="167"/>
        <v/>
      </c>
      <c r="X110" s="1103">
        <f t="shared" ca="1" si="168"/>
        <v>0</v>
      </c>
      <c r="Y110" s="1120">
        <f t="shared" ca="1" si="169"/>
        <v>0</v>
      </c>
      <c r="Z110" s="524"/>
      <c r="AA110" s="350"/>
      <c r="AB110" s="308"/>
      <c r="AC110" s="1090" t="str">
        <f t="shared" ca="1" si="170"/>
        <v/>
      </c>
      <c r="AD110" s="1103">
        <f t="shared" ca="1" si="171"/>
        <v>0</v>
      </c>
      <c r="AE110" s="1120">
        <f t="shared" ca="1" si="172"/>
        <v>0</v>
      </c>
      <c r="AF110" s="525"/>
      <c r="AG110" s="637"/>
      <c r="AH110" s="525"/>
      <c r="AI110" s="1086">
        <f t="shared" ca="1" si="173"/>
        <v>0</v>
      </c>
      <c r="AJ110" s="380"/>
      <c r="AK110" s="440"/>
      <c r="AM110" s="460">
        <v>110</v>
      </c>
      <c r="AN110" s="1087">
        <f t="shared" ca="1" si="174"/>
        <v>0</v>
      </c>
      <c r="AO110" s="1083">
        <f t="shared" ca="1" si="175"/>
        <v>0</v>
      </c>
      <c r="AP110" s="356">
        <f t="shared" ca="1" si="175"/>
        <v>0</v>
      </c>
      <c r="AQ110" s="357">
        <f t="shared" ca="1" si="175"/>
        <v>0</v>
      </c>
      <c r="AR110" s="524" t="str">
        <f t="shared" ca="1" si="175"/>
        <v/>
      </c>
      <c r="AS110" s="356">
        <f t="shared" ca="1" si="175"/>
        <v>0</v>
      </c>
      <c r="AT110" s="357">
        <f t="shared" ca="1" si="175"/>
        <v>0</v>
      </c>
      <c r="AU110" s="524" t="str">
        <f t="shared" ca="1" si="175"/>
        <v/>
      </c>
      <c r="AV110" s="1083">
        <f t="shared" ca="1" si="175"/>
        <v>0</v>
      </c>
      <c r="AX110" s="1083" t="str">
        <f t="shared" si="176"/>
        <v>U</v>
      </c>
      <c r="AY110" s="1083" t="str">
        <f t="shared" si="177"/>
        <v>U</v>
      </c>
      <c r="AZ110" s="1083" t="str">
        <f t="shared" si="178"/>
        <v>U</v>
      </c>
      <c r="BA110" s="1083" t="str">
        <f t="shared" si="179"/>
        <v>U</v>
      </c>
      <c r="BB110" s="1083" t="str">
        <f t="shared" si="180"/>
        <v>U</v>
      </c>
    </row>
    <row r="111" spans="1:54" ht="12" customHeight="1" collapsed="1" x14ac:dyDescent="0.25">
      <c r="A111" s="440"/>
      <c r="B111" s="505"/>
      <c r="C111" s="370"/>
      <c r="D111" s="374"/>
      <c r="E111" s="374"/>
      <c r="F111" s="374"/>
      <c r="G111" s="374"/>
      <c r="H111" s="374"/>
      <c r="I111" s="507"/>
      <c r="J111" s="507"/>
      <c r="K111" s="508"/>
      <c r="L111" s="508"/>
      <c r="M111" s="371"/>
      <c r="N111" s="517"/>
      <c r="O111" s="371"/>
      <c r="P111" s="371"/>
      <c r="Q111" s="371"/>
      <c r="R111" s="371"/>
      <c r="S111" s="371"/>
      <c r="T111" s="371"/>
      <c r="U111" s="371"/>
      <c r="V111" s="370"/>
      <c r="W111" s="1094"/>
      <c r="X111" s="1108"/>
      <c r="Y111" s="1124"/>
      <c r="Z111" s="371"/>
      <c r="AA111" s="371"/>
      <c r="AB111" s="370"/>
      <c r="AC111" s="1094"/>
      <c r="AD111" s="1108"/>
      <c r="AE111" s="1124"/>
      <c r="AF111" s="370"/>
      <c r="AG111" s="370"/>
      <c r="AH111" s="370"/>
      <c r="AI111" s="373"/>
      <c r="AJ111" s="370"/>
      <c r="AK111" s="440"/>
      <c r="AM111" s="460">
        <v>111</v>
      </c>
      <c r="AN111" s="1078"/>
    </row>
    <row r="112" spans="1:54" s="327" customFormat="1" ht="39.950000000000003" customHeight="1" x14ac:dyDescent="0.2">
      <c r="A112" s="440"/>
      <c r="B112" s="1164"/>
      <c r="C112" s="1165"/>
      <c r="D112" s="1165"/>
      <c r="E112" s="1165"/>
      <c r="F112" s="1165"/>
      <c r="G112" s="1165"/>
      <c r="H112" s="1165"/>
      <c r="I112" s="1165"/>
      <c r="J112" s="1165"/>
      <c r="K112" s="1165"/>
      <c r="L112" s="1165"/>
      <c r="M112" s="1165"/>
      <c r="N112" s="1165"/>
      <c r="O112" s="1165"/>
      <c r="P112" s="1165"/>
      <c r="Q112" s="1165"/>
      <c r="R112" s="1165"/>
      <c r="S112" s="1165"/>
      <c r="T112" s="1165"/>
      <c r="U112" s="440"/>
      <c r="V112" s="440"/>
      <c r="W112" s="440"/>
      <c r="X112" s="440"/>
      <c r="Y112" s="440"/>
      <c r="Z112" s="440"/>
      <c r="AA112" s="440"/>
      <c r="AB112" s="440"/>
      <c r="AC112" s="440"/>
      <c r="AD112" s="440"/>
      <c r="AE112" s="440"/>
      <c r="AF112" s="440"/>
      <c r="AG112" s="440"/>
      <c r="AH112" s="440"/>
      <c r="AI112" s="440"/>
      <c r="AJ112" s="440"/>
      <c r="AK112" s="440"/>
      <c r="AM112" s="460">
        <v>112</v>
      </c>
    </row>
    <row r="113" spans="1:54" ht="12" customHeight="1" x14ac:dyDescent="0.2">
      <c r="A113" s="440"/>
      <c r="B113" s="320"/>
      <c r="C113" s="513"/>
      <c r="D113" s="513"/>
      <c r="E113" s="513"/>
      <c r="F113" s="513"/>
      <c r="G113" s="513"/>
      <c r="H113" s="513"/>
      <c r="I113" s="513"/>
      <c r="J113" s="1598"/>
      <c r="K113" s="1598"/>
      <c r="L113" s="438"/>
      <c r="M113" s="379"/>
      <c r="N113" s="438"/>
      <c r="O113" s="379"/>
      <c r="P113" s="379"/>
      <c r="Q113" s="379"/>
      <c r="R113" s="379"/>
      <c r="S113" s="379"/>
      <c r="T113" s="379"/>
      <c r="U113" s="1598"/>
      <c r="V113" s="1598"/>
      <c r="W113" s="1095"/>
      <c r="X113" s="1109"/>
      <c r="Y113" s="1109"/>
      <c r="Z113" s="379"/>
      <c r="AA113" s="1598"/>
      <c r="AB113" s="1598"/>
      <c r="AC113" s="1095"/>
      <c r="AD113" s="1109"/>
      <c r="AE113" s="1109"/>
      <c r="AF113" s="379"/>
      <c r="AG113" s="379"/>
      <c r="AH113" s="379"/>
      <c r="AI113" s="481"/>
      <c r="AJ113" s="379"/>
      <c r="AK113" s="440"/>
      <c r="AM113" s="460">
        <v>113</v>
      </c>
      <c r="AN113" s="1078"/>
    </row>
    <row r="114" spans="1:54" ht="12" customHeight="1" x14ac:dyDescent="0.2">
      <c r="A114" s="440"/>
      <c r="B114" s="320"/>
      <c r="C114" s="513"/>
      <c r="D114" s="513"/>
      <c r="E114" s="513"/>
      <c r="F114" s="513"/>
      <c r="G114" s="513"/>
      <c r="H114" s="513"/>
      <c r="I114" s="513"/>
      <c r="J114" s="1598"/>
      <c r="K114" s="1598"/>
      <c r="L114" s="438"/>
      <c r="M114" s="513"/>
      <c r="N114" s="503"/>
      <c r="O114" s="513"/>
      <c r="P114" s="513"/>
      <c r="Q114" s="513"/>
      <c r="R114" s="513"/>
      <c r="S114" s="372"/>
      <c r="T114" s="372"/>
      <c r="U114" s="372"/>
      <c r="V114" s="372"/>
      <c r="W114" s="1096"/>
      <c r="X114" s="1110"/>
      <c r="Y114" s="1110"/>
      <c r="Z114" s="372"/>
      <c r="AA114" s="372"/>
      <c r="AB114" s="372"/>
      <c r="AC114" s="1096"/>
      <c r="AD114" s="1110"/>
      <c r="AE114" s="1110"/>
      <c r="AF114" s="372"/>
      <c r="AG114" s="372"/>
      <c r="AH114" s="372"/>
      <c r="AI114" s="482"/>
      <c r="AJ114" s="372"/>
      <c r="AK114" s="440"/>
      <c r="AM114" s="460">
        <v>114</v>
      </c>
      <c r="AN114" s="1078"/>
    </row>
    <row r="115" spans="1:54" ht="14.25" customHeight="1" x14ac:dyDescent="0.25">
      <c r="A115" s="440"/>
      <c r="B115" s="499">
        <v>2</v>
      </c>
      <c r="C115" s="494"/>
      <c r="D115" s="495"/>
      <c r="E115" s="1606" t="s">
        <v>54</v>
      </c>
      <c r="F115" s="1606"/>
      <c r="G115" s="1606"/>
      <c r="H115" s="1606"/>
      <c r="I115" s="1597"/>
      <c r="J115" s="501"/>
      <c r="K115" s="462"/>
      <c r="L115" s="462"/>
      <c r="M115" s="363"/>
      <c r="N115" s="359"/>
      <c r="O115" s="363"/>
      <c r="P115" s="363"/>
      <c r="Q115" s="363"/>
      <c r="R115" s="363"/>
      <c r="S115" s="385">
        <f ca="1">S116</f>
        <v>0</v>
      </c>
      <c r="T115" s="363"/>
      <c r="U115" s="358"/>
      <c r="V115" s="358"/>
      <c r="W115" s="1091"/>
      <c r="X115" s="1104"/>
      <c r="Y115" s="1104"/>
      <c r="Z115" s="363"/>
      <c r="AA115" s="358"/>
      <c r="AB115" s="358"/>
      <c r="AC115" s="1091"/>
      <c r="AD115" s="1104"/>
      <c r="AE115" s="1104"/>
      <c r="AF115" s="358"/>
      <c r="AG115" s="358"/>
      <c r="AH115" s="358"/>
      <c r="AI115" s="358"/>
      <c r="AJ115" s="358"/>
      <c r="AK115" s="440"/>
      <c r="AM115" s="460">
        <v>115</v>
      </c>
      <c r="AN115" s="1078"/>
    </row>
    <row r="116" spans="1:54" ht="14.25" customHeight="1" x14ac:dyDescent="0.25">
      <c r="A116" s="440"/>
      <c r="B116" s="628"/>
      <c r="C116" s="513" t="s">
        <v>53</v>
      </c>
      <c r="D116" s="494"/>
      <c r="E116" s="1596" t="s">
        <v>52</v>
      </c>
      <c r="F116" s="1596"/>
      <c r="G116" s="1596"/>
      <c r="H116" s="1596"/>
      <c r="I116" s="1597"/>
      <c r="J116" s="501"/>
      <c r="K116" s="462"/>
      <c r="L116" s="462"/>
      <c r="M116" s="513"/>
      <c r="N116" s="503"/>
      <c r="O116" s="513"/>
      <c r="P116" s="513"/>
      <c r="Q116" s="513"/>
      <c r="R116" s="513"/>
      <c r="S116" s="355">
        <f ca="1">S117</f>
        <v>0</v>
      </c>
      <c r="T116" s="363"/>
      <c r="U116" s="358"/>
      <c r="V116" s="358"/>
      <c r="W116" s="1091"/>
      <c r="X116" s="1104"/>
      <c r="Y116" s="1104"/>
      <c r="Z116" s="363"/>
      <c r="AA116" s="358"/>
      <c r="AB116" s="358"/>
      <c r="AC116" s="1091"/>
      <c r="AD116" s="1104"/>
      <c r="AE116" s="1104"/>
      <c r="AF116" s="358"/>
      <c r="AG116" s="358"/>
      <c r="AH116" s="358"/>
      <c r="AI116" s="358"/>
      <c r="AJ116" s="358"/>
      <c r="AK116" s="440"/>
      <c r="AM116" s="460">
        <v>116</v>
      </c>
      <c r="AN116" s="1078"/>
    </row>
    <row r="117" spans="1:54" ht="12" customHeight="1" x14ac:dyDescent="0.25">
      <c r="A117" s="440"/>
      <c r="B117" s="628"/>
      <c r="C117" s="380"/>
      <c r="D117" s="514" t="s">
        <v>325</v>
      </c>
      <c r="E117" s="1599" t="s">
        <v>326</v>
      </c>
      <c r="F117" s="1599"/>
      <c r="G117" s="1599"/>
      <c r="H117" s="1599"/>
      <c r="I117" s="1597"/>
      <c r="J117" s="501"/>
      <c r="K117" s="462"/>
      <c r="L117" s="462"/>
      <c r="M117" s="513"/>
      <c r="N117" s="503"/>
      <c r="O117" s="513"/>
      <c r="P117" s="513"/>
      <c r="Q117" s="513"/>
      <c r="R117" s="513"/>
      <c r="S117" s="354">
        <f ca="1">SUBTOTAL(109,S119:S120)</f>
        <v>0</v>
      </c>
      <c r="T117" s="363"/>
      <c r="U117" s="358"/>
      <c r="V117" s="358"/>
      <c r="W117" s="1091"/>
      <c r="X117" s="1104"/>
      <c r="Y117" s="1104"/>
      <c r="Z117" s="358"/>
      <c r="AA117" s="358"/>
      <c r="AB117" s="358"/>
      <c r="AC117" s="1091"/>
      <c r="AD117" s="1104"/>
      <c r="AE117" s="1104"/>
      <c r="AF117" s="358"/>
      <c r="AG117" s="358"/>
      <c r="AH117" s="358"/>
      <c r="AI117" s="358"/>
      <c r="AJ117" s="358"/>
      <c r="AK117" s="440"/>
      <c r="AM117" s="460">
        <v>117</v>
      </c>
      <c r="AN117" s="1078"/>
    </row>
    <row r="118" spans="1:54" ht="12" customHeight="1" x14ac:dyDescent="0.25">
      <c r="A118" s="440"/>
      <c r="B118" s="628"/>
      <c r="C118" s="380"/>
      <c r="D118" s="514"/>
      <c r="E118" s="514"/>
      <c r="F118" s="514"/>
      <c r="G118" s="514"/>
      <c r="H118" s="514"/>
      <c r="I118" s="511"/>
      <c r="J118" s="501"/>
      <c r="K118" s="462"/>
      <c r="L118" s="462"/>
      <c r="M118" s="513"/>
      <c r="N118" s="503"/>
      <c r="O118" s="513"/>
      <c r="P118" s="513"/>
      <c r="Q118" s="513"/>
      <c r="R118" s="513"/>
      <c r="S118" s="354"/>
      <c r="T118" s="363"/>
      <c r="U118" s="373"/>
      <c r="V118" s="373"/>
      <c r="W118" s="1091"/>
      <c r="X118" s="1111"/>
      <c r="Y118" s="1111"/>
      <c r="Z118" s="363"/>
      <c r="AA118" s="373"/>
      <c r="AB118" s="373"/>
      <c r="AC118" s="1091"/>
      <c r="AD118" s="1111"/>
      <c r="AE118" s="1111"/>
      <c r="AF118" s="358"/>
      <c r="AG118" s="358"/>
      <c r="AH118" s="358"/>
      <c r="AI118" s="373"/>
      <c r="AJ118" s="358"/>
      <c r="AK118" s="440"/>
      <c r="AM118" s="460">
        <v>118</v>
      </c>
      <c r="AN118" s="1078"/>
    </row>
    <row r="119" spans="1:54" ht="12" customHeight="1" x14ac:dyDescent="0.2">
      <c r="A119" s="440"/>
      <c r="B119" s="628"/>
      <c r="C119" s="380"/>
      <c r="D119" s="514"/>
      <c r="E119" s="1084">
        <f ca="1">IF(AX119="E","",AN119)</f>
        <v>0</v>
      </c>
      <c r="F119" s="1085"/>
      <c r="G119" s="1264"/>
      <c r="H119" s="1264"/>
      <c r="I119" s="1265"/>
      <c r="J119" s="638"/>
      <c r="K119" s="540" t="s">
        <v>171</v>
      </c>
      <c r="L119" s="541"/>
      <c r="M119" s="340"/>
      <c r="N119" s="528" t="s">
        <v>67</v>
      </c>
      <c r="O119" s="339"/>
      <c r="P119" s="543" t="s">
        <v>68</v>
      </c>
      <c r="Q119" s="344"/>
      <c r="R119" s="522" t="s">
        <v>363</v>
      </c>
      <c r="S119" s="353">
        <f t="shared" ref="S119:S120" ca="1" si="181">IF(AY119="E",(M119*O119)+Q119,AO119)</f>
        <v>0</v>
      </c>
      <c r="T119" s="523"/>
      <c r="U119" s="350"/>
      <c r="V119" s="308"/>
      <c r="W119" s="1090" t="str">
        <f t="shared" ref="W119:W120" ca="1" si="182">IF(AZ119="E",IF(AND(V119&lt;&gt;0,U119&lt;&gt;0),"X",IF(AND(V119&lt;&gt;0,U119=0),"A",IF(AND(V119=0,U119&lt;&gt;0),"P",""))),AR119)</f>
        <v/>
      </c>
      <c r="X119" s="1103">
        <f t="shared" ref="X119:X120" ca="1" si="183">IF(AZ119="E",IFERROR(IF(W119="X",0,IF(U119&gt;0,U119,V119/S119)),0),
IFERROR(IF(OR(AR119="X",AR119=0),0,
IF(AR119="P",AP119,IF(AR119="A",AQ119/S119,0))),0))</f>
        <v>0</v>
      </c>
      <c r="Y119" s="1120">
        <f t="shared" ref="Y119:Y120" ca="1" si="184">IF(AZ119="E",IFERROR(IF(W119="X",0,IF(V119&gt;0,V119,S119*U119)),0),
IFERROR(IF(OR(AR119="X",AR119="0"),0,IF(AR119="A",AQ119,S119*AP119)),0))</f>
        <v>0</v>
      </c>
      <c r="Z119" s="524"/>
      <c r="AA119" s="350"/>
      <c r="AB119" s="308"/>
      <c r="AC119" s="1090" t="str">
        <f t="shared" ref="AC119:AC120" ca="1" si="185">IF(BA119="E",IF(AND(AB119&lt;&gt;0,AA119&lt;&gt;0),"X",IF(AND(AB119&lt;&gt;0,AA119=0),"A",IF(AND(AB119=0,AA119&lt;&gt;0),"P",""))),AU119)</f>
        <v/>
      </c>
      <c r="AD119" s="1103">
        <f t="shared" ref="AD119:AD120" ca="1" si="186">IF(BA119="E",IFERROR(IF(AC119="X",0,IF(AA119&gt;0,AA119,AB119/S119)),0),
IFERROR(IF(OR(AU119="X",AU119=0),0,
IF(AU119="P",AS119,IF(AU119="A",AT119/S119,0))),0))</f>
        <v>0</v>
      </c>
      <c r="AE119" s="1120">
        <f t="shared" ref="AE119:AE120" ca="1" si="187">IF(BA119="E",IFERROR(IF(AC119="X",0,IF(AB119&gt;0,AB119,S119*AA119)),0),
IFERROR(IF(OR(AU119="X",AU119=0),0,
IF(AU119="A",AT119,S119*AS119)),0))</f>
        <v>0</v>
      </c>
      <c r="AF119" s="525"/>
      <c r="AG119" s="637"/>
      <c r="AH119" s="525"/>
      <c r="AI119" s="1086">
        <f t="shared" ref="AI119:AI120" ca="1" si="188">IF(BB119="E",AG119,AV119)</f>
        <v>0</v>
      </c>
      <c r="AJ119" s="380"/>
      <c r="AK119" s="440"/>
      <c r="AM119" s="460">
        <v>119</v>
      </c>
      <c r="AN119" s="1087">
        <f t="shared" ref="AN119:AN120" ca="1" si="189">IF($M$13=$AN$12,"",IF(ISTEXT(INDIRECT("'"&amp;$AM$20&amp;"'!"&amp;AN$21&amp;$AM119)),INDIRECT("'"&amp;$AM$20&amp;"'!"&amp;AN$21&amp;$AM119),INDIRECT("'"&amp;$AM$20&amp;"'!"&amp;AN$22&amp;$AM119)))</f>
        <v>0</v>
      </c>
      <c r="AO119" s="1083">
        <f t="shared" ref="AO119:AV120" ca="1" si="190">IF($M$13=$AN$12,"",INDIRECT("'"&amp;$AM$20&amp;"'!"&amp;AO$21&amp;$AM119))</f>
        <v>0</v>
      </c>
      <c r="AP119" s="356">
        <f t="shared" ca="1" si="190"/>
        <v>0</v>
      </c>
      <c r="AQ119" s="357">
        <f t="shared" ca="1" si="190"/>
        <v>0</v>
      </c>
      <c r="AR119" s="524" t="str">
        <f t="shared" ca="1" si="190"/>
        <v/>
      </c>
      <c r="AS119" s="356">
        <f t="shared" ca="1" si="190"/>
        <v>0</v>
      </c>
      <c r="AT119" s="357">
        <f t="shared" ca="1" si="190"/>
        <v>0</v>
      </c>
      <c r="AU119" s="524" t="str">
        <f t="shared" ca="1" si="190"/>
        <v/>
      </c>
      <c r="AV119" s="1083">
        <f t="shared" ca="1" si="190"/>
        <v>0</v>
      </c>
      <c r="AX119" s="1083" t="str">
        <f t="shared" ref="AX119:AX120" si="191">IF($M$13=$AN$12,"E",IF(ISTEXT(F119),"E","U"))</f>
        <v>U</v>
      </c>
      <c r="AY119" s="1083" t="str">
        <f t="shared" ref="AY119:AY120" si="192">IF($M$13=$AN$12,"E",IF(OR(ISNUMBER(M119),ISNUMBER(O119),ISNUMBER(Q119)),"E","U"))</f>
        <v>U</v>
      </c>
      <c r="AZ119" s="1083" t="str">
        <f t="shared" ref="AZ119:AZ120" si="193">IF($M$13=$AN$12,"E",IF(OR(ISNUMBER(U119),ISNUMBER(V119)),"E","U"))</f>
        <v>U</v>
      </c>
      <c r="BA119" s="1083" t="str">
        <f t="shared" ref="BA119:BA120" si="194">IF($M$13=$AN$12,"E",IF(OR(ISNUMBER(AA119),ISNUMBER(AB119)),"E","U"))</f>
        <v>U</v>
      </c>
      <c r="BB119" s="1083" t="str">
        <f t="shared" ref="BB119:BB120" si="195">IF($M$13=$AN$12,"E",IF(ISNUMBER(AG119),"E","U"))</f>
        <v>U</v>
      </c>
    </row>
    <row r="120" spans="1:54" ht="12" customHeight="1" x14ac:dyDescent="0.2">
      <c r="A120" s="440"/>
      <c r="B120" s="628"/>
      <c r="C120" s="380"/>
      <c r="D120" s="514"/>
      <c r="E120" s="1084">
        <f ca="1">IF(AX120="E","",AN120)</f>
        <v>0</v>
      </c>
      <c r="F120" s="1085"/>
      <c r="G120" s="1264"/>
      <c r="H120" s="1264"/>
      <c r="I120" s="1265"/>
      <c r="J120" s="638"/>
      <c r="K120" s="538" t="s">
        <v>171</v>
      </c>
      <c r="L120" s="541"/>
      <c r="M120" s="340"/>
      <c r="N120" s="528" t="s">
        <v>67</v>
      </c>
      <c r="O120" s="339"/>
      <c r="P120" s="543" t="s">
        <v>68</v>
      </c>
      <c r="Q120" s="344"/>
      <c r="R120" s="522" t="s">
        <v>363</v>
      </c>
      <c r="S120" s="353">
        <f t="shared" ca="1" si="181"/>
        <v>0</v>
      </c>
      <c r="T120" s="523"/>
      <c r="U120" s="350"/>
      <c r="V120" s="308"/>
      <c r="W120" s="1090" t="str">
        <f t="shared" ca="1" si="182"/>
        <v/>
      </c>
      <c r="X120" s="1103">
        <f t="shared" ca="1" si="183"/>
        <v>0</v>
      </c>
      <c r="Y120" s="1120">
        <f t="shared" ca="1" si="184"/>
        <v>0</v>
      </c>
      <c r="Z120" s="524"/>
      <c r="AA120" s="350"/>
      <c r="AB120" s="308"/>
      <c r="AC120" s="1090" t="str">
        <f t="shared" ca="1" si="185"/>
        <v/>
      </c>
      <c r="AD120" s="1103">
        <f t="shared" ca="1" si="186"/>
        <v>0</v>
      </c>
      <c r="AE120" s="1120">
        <f t="shared" ca="1" si="187"/>
        <v>0</v>
      </c>
      <c r="AF120" s="525"/>
      <c r="AG120" s="637"/>
      <c r="AH120" s="525"/>
      <c r="AI120" s="1086">
        <f t="shared" ca="1" si="188"/>
        <v>0</v>
      </c>
      <c r="AJ120" s="380"/>
      <c r="AK120" s="440"/>
      <c r="AM120" s="460">
        <v>120</v>
      </c>
      <c r="AN120" s="1087">
        <f t="shared" ca="1" si="189"/>
        <v>0</v>
      </c>
      <c r="AO120" s="1083">
        <f t="shared" ca="1" si="190"/>
        <v>0</v>
      </c>
      <c r="AP120" s="356">
        <f t="shared" ca="1" si="190"/>
        <v>0</v>
      </c>
      <c r="AQ120" s="357">
        <f t="shared" ca="1" si="190"/>
        <v>0</v>
      </c>
      <c r="AR120" s="524" t="str">
        <f t="shared" ca="1" si="190"/>
        <v/>
      </c>
      <c r="AS120" s="356">
        <f t="shared" ca="1" si="190"/>
        <v>0</v>
      </c>
      <c r="AT120" s="357">
        <f t="shared" ca="1" si="190"/>
        <v>0</v>
      </c>
      <c r="AU120" s="524" t="str">
        <f t="shared" ca="1" si="190"/>
        <v/>
      </c>
      <c r="AV120" s="1083">
        <f t="shared" ca="1" si="190"/>
        <v>0</v>
      </c>
      <c r="AX120" s="1083" t="str">
        <f t="shared" si="191"/>
        <v>U</v>
      </c>
      <c r="AY120" s="1083" t="str">
        <f t="shared" si="192"/>
        <v>U</v>
      </c>
      <c r="AZ120" s="1083" t="str">
        <f t="shared" si="193"/>
        <v>U</v>
      </c>
      <c r="BA120" s="1083" t="str">
        <f t="shared" si="194"/>
        <v>U</v>
      </c>
      <c r="BB120" s="1083" t="str">
        <f t="shared" si="195"/>
        <v>U</v>
      </c>
    </row>
    <row r="121" spans="1:54" ht="12" customHeight="1" collapsed="1" x14ac:dyDescent="0.2">
      <c r="A121" s="440"/>
      <c r="B121" s="324"/>
      <c r="C121" s="378"/>
      <c r="D121" s="374"/>
      <c r="E121" s="374"/>
      <c r="F121" s="374"/>
      <c r="G121" s="374"/>
      <c r="H121" s="374"/>
      <c r="I121" s="374"/>
      <c r="J121" s="374"/>
      <c r="K121" s="544"/>
      <c r="L121" s="544"/>
      <c r="M121" s="545"/>
      <c r="N121" s="544"/>
      <c r="O121" s="374"/>
      <c r="P121" s="374"/>
      <c r="Q121" s="374"/>
      <c r="R121" s="374"/>
      <c r="S121" s="374"/>
      <c r="T121" s="374"/>
      <c r="U121" s="374"/>
      <c r="V121" s="374"/>
      <c r="W121" s="1097"/>
      <c r="X121" s="1112"/>
      <c r="Y121" s="1112"/>
      <c r="Z121" s="374"/>
      <c r="AA121" s="374"/>
      <c r="AB121" s="374"/>
      <c r="AC121" s="1097"/>
      <c r="AD121" s="1112"/>
      <c r="AE121" s="1112"/>
      <c r="AF121" s="374"/>
      <c r="AG121" s="374"/>
      <c r="AH121" s="374"/>
      <c r="AI121" s="546"/>
      <c r="AJ121" s="374"/>
      <c r="AK121" s="440"/>
      <c r="AM121" s="460">
        <v>121</v>
      </c>
      <c r="AN121" s="1078"/>
    </row>
    <row r="122" spans="1:54" ht="12" customHeight="1" x14ac:dyDescent="0.2">
      <c r="A122" s="440"/>
      <c r="B122" s="547"/>
      <c r="C122" s="548"/>
      <c r="D122" s="548"/>
      <c r="E122" s="548"/>
      <c r="F122" s="548"/>
      <c r="G122" s="548"/>
      <c r="H122" s="548"/>
      <c r="I122" s="548"/>
      <c r="J122" s="1598"/>
      <c r="K122" s="1598"/>
      <c r="L122" s="438"/>
      <c r="M122" s="549"/>
      <c r="N122" s="438"/>
      <c r="O122" s="379"/>
      <c r="P122" s="379"/>
      <c r="Q122" s="379"/>
      <c r="R122" s="379"/>
      <c r="S122" s="389"/>
      <c r="T122" s="389"/>
      <c r="U122" s="1102"/>
      <c r="V122" s="1102"/>
      <c r="W122" s="1095"/>
      <c r="X122" s="1113"/>
      <c r="Y122" s="1113"/>
      <c r="Z122" s="389"/>
      <c r="AA122" s="1102"/>
      <c r="AB122" s="1102"/>
      <c r="AC122" s="1095"/>
      <c r="AD122" s="1113"/>
      <c r="AE122" s="1113"/>
      <c r="AF122" s="379"/>
      <c r="AG122" s="379"/>
      <c r="AH122" s="379"/>
      <c r="AI122" s="481"/>
      <c r="AJ122" s="379"/>
      <c r="AK122" s="440"/>
      <c r="AM122" s="460">
        <v>122</v>
      </c>
      <c r="AN122" s="1078"/>
    </row>
    <row r="123" spans="1:54" ht="12" customHeight="1" x14ac:dyDescent="0.2">
      <c r="A123" s="440"/>
      <c r="B123" s="320"/>
      <c r="C123" s="513"/>
      <c r="D123" s="513"/>
      <c r="E123" s="513"/>
      <c r="F123" s="513"/>
      <c r="G123" s="513"/>
      <c r="H123" s="513"/>
      <c r="I123" s="513"/>
      <c r="J123" s="1598"/>
      <c r="K123" s="1598"/>
      <c r="L123" s="438"/>
      <c r="M123" s="498"/>
      <c r="N123" s="503"/>
      <c r="O123" s="513"/>
      <c r="P123" s="513"/>
      <c r="Q123" s="513"/>
      <c r="R123" s="513"/>
      <c r="S123" s="372"/>
      <c r="T123" s="372"/>
      <c r="U123" s="372"/>
      <c r="V123" s="372"/>
      <c r="W123" s="1096"/>
      <c r="X123" s="1110"/>
      <c r="Y123" s="1110"/>
      <c r="Z123" s="372"/>
      <c r="AA123" s="372"/>
      <c r="AB123" s="372"/>
      <c r="AC123" s="1096"/>
      <c r="AD123" s="1110"/>
      <c r="AE123" s="1110"/>
      <c r="AF123" s="372"/>
      <c r="AG123" s="372"/>
      <c r="AH123" s="372"/>
      <c r="AI123" s="482"/>
      <c r="AJ123" s="372"/>
      <c r="AK123" s="440"/>
      <c r="AM123" s="460">
        <v>123</v>
      </c>
      <c r="AN123" s="1078"/>
    </row>
    <row r="124" spans="1:54" ht="14.25" customHeight="1" x14ac:dyDescent="0.25">
      <c r="A124" s="440"/>
      <c r="B124" s="499">
        <v>3</v>
      </c>
      <c r="C124" s="494"/>
      <c r="D124" s="495"/>
      <c r="E124" s="1606" t="s">
        <v>48</v>
      </c>
      <c r="F124" s="1606"/>
      <c r="G124" s="1606"/>
      <c r="H124" s="1606"/>
      <c r="I124" s="1597"/>
      <c r="J124" s="501"/>
      <c r="K124" s="462"/>
      <c r="L124" s="462"/>
      <c r="M124" s="498"/>
      <c r="N124" s="359"/>
      <c r="O124" s="363"/>
      <c r="P124" s="363"/>
      <c r="Q124" s="363"/>
      <c r="R124" s="363"/>
      <c r="S124" s="385">
        <f ca="1">S125+S142+S155+S164</f>
        <v>219640.476</v>
      </c>
      <c r="T124" s="363"/>
      <c r="U124" s="358"/>
      <c r="V124" s="358"/>
      <c r="W124" s="1091"/>
      <c r="X124" s="1104"/>
      <c r="Y124" s="1104"/>
      <c r="Z124" s="363"/>
      <c r="AA124" s="358"/>
      <c r="AB124" s="358"/>
      <c r="AC124" s="1091"/>
      <c r="AD124" s="1104"/>
      <c r="AE124" s="1104"/>
      <c r="AF124" s="358"/>
      <c r="AG124" s="358"/>
      <c r="AH124" s="358"/>
      <c r="AI124" s="358"/>
      <c r="AJ124" s="358"/>
      <c r="AK124" s="440"/>
      <c r="AM124" s="460">
        <v>124</v>
      </c>
      <c r="AN124" s="1078"/>
    </row>
    <row r="125" spans="1:54" ht="14.25" customHeight="1" x14ac:dyDescent="0.25">
      <c r="A125" s="440"/>
      <c r="B125" s="628"/>
      <c r="C125" s="513" t="s">
        <v>47</v>
      </c>
      <c r="D125" s="494"/>
      <c r="E125" s="1596" t="s">
        <v>46</v>
      </c>
      <c r="F125" s="1596"/>
      <c r="G125" s="1596"/>
      <c r="H125" s="1596"/>
      <c r="I125" s="1597"/>
      <c r="J125" s="501"/>
      <c r="K125" s="502"/>
      <c r="L125" s="502"/>
      <c r="M125" s="532"/>
      <c r="N125" s="463"/>
      <c r="O125" s="380"/>
      <c r="P125" s="363"/>
      <c r="Q125" s="363"/>
      <c r="R125" s="363"/>
      <c r="S125" s="355">
        <f ca="1">S126+S135+S136</f>
        <v>168218.076</v>
      </c>
      <c r="T125" s="363"/>
      <c r="U125" s="358"/>
      <c r="V125" s="358"/>
      <c r="W125" s="1091"/>
      <c r="X125" s="1104"/>
      <c r="Y125" s="1104"/>
      <c r="Z125" s="363"/>
      <c r="AA125" s="358"/>
      <c r="AB125" s="358"/>
      <c r="AC125" s="1091"/>
      <c r="AD125" s="1104"/>
      <c r="AE125" s="1104"/>
      <c r="AF125" s="358"/>
      <c r="AG125" s="358"/>
      <c r="AH125" s="358"/>
      <c r="AI125" s="358"/>
      <c r="AJ125" s="358"/>
      <c r="AK125" s="440"/>
      <c r="AM125" s="460">
        <v>125</v>
      </c>
      <c r="AN125" s="1078"/>
    </row>
    <row r="126" spans="1:54" ht="12" customHeight="1" x14ac:dyDescent="0.25">
      <c r="A126" s="440"/>
      <c r="B126" s="628"/>
      <c r="C126" s="380"/>
      <c r="D126" s="514" t="s">
        <v>45</v>
      </c>
      <c r="E126" s="1599" t="s">
        <v>303</v>
      </c>
      <c r="F126" s="1599"/>
      <c r="G126" s="1599"/>
      <c r="H126" s="1599"/>
      <c r="I126" s="1597"/>
      <c r="J126" s="501"/>
      <c r="K126" s="501"/>
      <c r="L126" s="503"/>
      <c r="M126" s="498"/>
      <c r="N126" s="359"/>
      <c r="O126" s="363"/>
      <c r="P126" s="363"/>
      <c r="Q126" s="363"/>
      <c r="R126" s="363"/>
      <c r="S126" s="354">
        <f ca="1">SUBTOTAL(109,S128:S133)</f>
        <v>106189.2</v>
      </c>
      <c r="T126" s="363"/>
      <c r="U126" s="358"/>
      <c r="V126" s="358"/>
      <c r="W126" s="1091"/>
      <c r="X126" s="1104"/>
      <c r="Y126" s="1104"/>
      <c r="Z126" s="363"/>
      <c r="AA126" s="358"/>
      <c r="AB126" s="358"/>
      <c r="AC126" s="1091"/>
      <c r="AD126" s="1104"/>
      <c r="AE126" s="1104"/>
      <c r="AF126" s="358"/>
      <c r="AG126" s="358"/>
      <c r="AH126" s="358"/>
      <c r="AI126" s="358"/>
      <c r="AJ126" s="358"/>
      <c r="AK126" s="440"/>
      <c r="AM126" s="460">
        <v>126</v>
      </c>
      <c r="AN126" s="1078"/>
    </row>
    <row r="127" spans="1:54" ht="12" customHeight="1" x14ac:dyDescent="0.25">
      <c r="A127" s="440"/>
      <c r="B127" s="628"/>
      <c r="C127" s="380"/>
      <c r="D127" s="514"/>
      <c r="E127" s="514"/>
      <c r="F127" s="514"/>
      <c r="G127" s="514"/>
      <c r="H127" s="514"/>
      <c r="I127" s="511"/>
      <c r="J127" s="1603" t="s">
        <v>188</v>
      </c>
      <c r="K127" s="1603"/>
      <c r="L127" s="503"/>
      <c r="M127" s="498"/>
      <c r="N127" s="359"/>
      <c r="O127" s="363"/>
      <c r="P127" s="363"/>
      <c r="Q127" s="363"/>
      <c r="R127" s="363"/>
      <c r="S127" s="354"/>
      <c r="T127" s="363"/>
      <c r="U127" s="358"/>
      <c r="V127" s="358"/>
      <c r="W127" s="1091"/>
      <c r="X127" s="1104"/>
      <c r="Y127" s="1104"/>
      <c r="Z127" s="363"/>
      <c r="AA127" s="358"/>
      <c r="AB127" s="358"/>
      <c r="AC127" s="1091"/>
      <c r="AD127" s="1104"/>
      <c r="AE127" s="1104"/>
      <c r="AF127" s="358"/>
      <c r="AG127" s="358"/>
      <c r="AH127" s="358"/>
      <c r="AI127" s="358"/>
      <c r="AJ127" s="358"/>
      <c r="AK127" s="440"/>
      <c r="AM127" s="460">
        <v>127</v>
      </c>
      <c r="AN127" s="1078"/>
    </row>
    <row r="128" spans="1:54" ht="12" customHeight="1" x14ac:dyDescent="0.2">
      <c r="A128" s="440"/>
      <c r="B128" s="628"/>
      <c r="C128" s="380"/>
      <c r="D128" s="514"/>
      <c r="E128" s="1084" t="str">
        <f t="shared" ref="E128:E133" ca="1" si="196">IF(AX128="E","",AN128)</f>
        <v>Wärmepumpe LD20</v>
      </c>
      <c r="F128" s="1085"/>
      <c r="G128" s="1264"/>
      <c r="H128" s="1264"/>
      <c r="I128" s="1265"/>
      <c r="J128" s="638"/>
      <c r="K128" s="550" t="s">
        <v>179</v>
      </c>
      <c r="L128" s="551"/>
      <c r="M128" s="340"/>
      <c r="N128" s="528" t="s">
        <v>69</v>
      </c>
      <c r="O128" s="339"/>
      <c r="P128" s="543" t="s">
        <v>70</v>
      </c>
      <c r="Q128" s="344">
        <f>20010*1.2</f>
        <v>24012</v>
      </c>
      <c r="R128" s="522" t="s">
        <v>363</v>
      </c>
      <c r="S128" s="353">
        <f t="shared" ref="S128:S133" si="197">IF(AY128="E",(M128*O128)+Q128,AO128)</f>
        <v>24012</v>
      </c>
      <c r="T128" s="523"/>
      <c r="U128" s="350"/>
      <c r="V128" s="308"/>
      <c r="W128" s="1090" t="str">
        <f t="shared" ref="W128:W133" ca="1" si="198">IF(AZ128="E",IF(AND(V128&lt;&gt;0,U128&lt;&gt;0),"X",IF(AND(V128&lt;&gt;0,U128=0),"A",IF(AND(V128=0,U128&lt;&gt;0),"P",""))),AR128)</f>
        <v/>
      </c>
      <c r="X128" s="1103">
        <f t="shared" ref="X128:X133" ca="1" si="199">IF(AZ128="E",IFERROR(IF(W128="X",0,IF(U128&gt;0,U128,V128/S128)),0),
IFERROR(IF(OR(AR128="X",AR128=0),0,
IF(AR128="P",AP128,IF(AR128="A",AQ128/S128,0))),0))</f>
        <v>0</v>
      </c>
      <c r="Y128" s="1120">
        <f t="shared" ref="Y128:Y133" ca="1" si="200">IF(AZ128="E",IFERROR(IF(W128="X",0,IF(V128&gt;0,V128,S128*U128)),0),
IFERROR(IF(OR(AR128="X",AR128="0"),0,IF(AR128="A",AQ128,S128*AP128)),0))</f>
        <v>0</v>
      </c>
      <c r="Z128" s="524"/>
      <c r="AA128" s="350"/>
      <c r="AB128" s="308"/>
      <c r="AC128" s="1090" t="str">
        <f t="shared" ref="AC128:AC133" ca="1" si="201">IF(BA128="E",IF(AND(AB128&lt;&gt;0,AA128&lt;&gt;0),"X",IF(AND(AB128&lt;&gt;0,AA128=0),"A",IF(AND(AB128=0,AA128&lt;&gt;0),"P",""))),AU128)</f>
        <v>A</v>
      </c>
      <c r="AD128" s="1103">
        <f t="shared" ref="AD128:AD133" ca="1" si="202">IF(BA128="E",IFERROR(IF(AC128="X",0,IF(AA128&gt;0,AA128,AB128/S128)),0),
IFERROR(IF(OR(AU128="X",AU128=0),0,
IF(AU128="P",AS128,IF(AU128="A",AT128/S128,0))),0))</f>
        <v>5.0183241712477095E-2</v>
      </c>
      <c r="AE128" s="1120">
        <f t="shared" ref="AE128:AE133" ca="1" si="203">IF(BA128="E",IFERROR(IF(AC128="X",0,IF(AB128&gt;0,AB128,S128*AA128)),0),
IFERROR(IF(OR(AU128="X",AU128=0),0,
IF(AU128="A",AT128,S128*AS128)),0))</f>
        <v>1205</v>
      </c>
      <c r="AF128" s="525"/>
      <c r="AG128" s="637"/>
      <c r="AH128" s="525"/>
      <c r="AI128" s="1086">
        <f t="shared" ref="AI128:AI133" ca="1" si="204">IF(BB128="E",AG128,AV128)</f>
        <v>20</v>
      </c>
      <c r="AJ128" s="380"/>
      <c r="AK128" s="440"/>
      <c r="AM128" s="460">
        <v>128</v>
      </c>
      <c r="AN128" s="1087" t="str">
        <f t="shared" ref="AN128:AN133" ca="1" si="205">IF($M$13=$AN$12,"",IF(ISTEXT(INDIRECT("'"&amp;$AM$20&amp;"'!"&amp;AN$21&amp;$AM128)),INDIRECT("'"&amp;$AM$20&amp;"'!"&amp;AN$21&amp;$AM128),INDIRECT("'"&amp;$AM$20&amp;"'!"&amp;AN$22&amp;$AM128)))</f>
        <v>Wärmepumpe LD20</v>
      </c>
      <c r="AO128" s="1083">
        <f t="shared" ref="AO128:AV133" ca="1" si="206">IF($M$13=$AN$12,"",INDIRECT("'"&amp;$AM$20&amp;"'!"&amp;AO$21&amp;$AM128))</f>
        <v>28849.200000000001</v>
      </c>
      <c r="AP128" s="356">
        <f t="shared" ca="1" si="206"/>
        <v>0</v>
      </c>
      <c r="AQ128" s="357">
        <f t="shared" ca="1" si="206"/>
        <v>0</v>
      </c>
      <c r="AR128" s="524" t="str">
        <f t="shared" ca="1" si="206"/>
        <v/>
      </c>
      <c r="AS128" s="356">
        <f t="shared" ca="1" si="206"/>
        <v>4.1768922535113627E-2</v>
      </c>
      <c r="AT128" s="357">
        <f t="shared" ca="1" si="206"/>
        <v>1205</v>
      </c>
      <c r="AU128" s="524" t="str">
        <f t="shared" ca="1" si="206"/>
        <v>A</v>
      </c>
      <c r="AV128" s="1083">
        <f t="shared" ca="1" si="206"/>
        <v>20</v>
      </c>
      <c r="AX128" s="1083" t="str">
        <f t="shared" ref="AX128:AX133" si="207">IF($M$13=$AN$12,"E",IF(ISTEXT(F128),"E","U"))</f>
        <v>U</v>
      </c>
      <c r="AY128" s="1083" t="str">
        <f t="shared" ref="AY128:AY133" si="208">IF($M$13=$AN$12,"E",IF(OR(ISNUMBER(M128),ISNUMBER(O128),ISNUMBER(Q128)),"E","U"))</f>
        <v>E</v>
      </c>
      <c r="AZ128" s="1083" t="str">
        <f t="shared" ref="AZ128:AZ133" si="209">IF($M$13=$AN$12,"E",IF(OR(ISNUMBER(U128),ISNUMBER(V128)),"E","U"))</f>
        <v>U</v>
      </c>
      <c r="BA128" s="1083" t="str">
        <f t="shared" ref="BA128:BA133" si="210">IF($M$13=$AN$12,"E",IF(OR(ISNUMBER(AA128),ISNUMBER(AB128)),"E","U"))</f>
        <v>U</v>
      </c>
      <c r="BB128" s="1083" t="str">
        <f t="shared" ref="BB128:BB133" si="211">IF($M$13=$AN$12,"E",IF(ISNUMBER(AG128),"E","U"))</f>
        <v>U</v>
      </c>
    </row>
    <row r="129" spans="1:54" ht="12" customHeight="1" x14ac:dyDescent="0.2">
      <c r="A129" s="440"/>
      <c r="B129" s="628"/>
      <c r="C129" s="380"/>
      <c r="D129" s="514"/>
      <c r="E129" s="1084" t="str">
        <f t="shared" ca="1" si="196"/>
        <v>Sonden und Speicher  LD50</v>
      </c>
      <c r="F129" s="1085"/>
      <c r="G129" s="1264"/>
      <c r="H129" s="1264"/>
      <c r="I129" s="1265"/>
      <c r="J129" s="638"/>
      <c r="K129" s="520" t="s">
        <v>179</v>
      </c>
      <c r="L129" s="521"/>
      <c r="M129" s="340"/>
      <c r="N129" s="528" t="s">
        <v>69</v>
      </c>
      <c r="O129" s="339"/>
      <c r="P129" s="543" t="s">
        <v>70</v>
      </c>
      <c r="Q129" s="344">
        <f>68481*1.2</f>
        <v>82177.2</v>
      </c>
      <c r="R129" s="522" t="s">
        <v>363</v>
      </c>
      <c r="S129" s="353">
        <f t="shared" si="197"/>
        <v>82177.2</v>
      </c>
      <c r="T129" s="523"/>
      <c r="U129" s="350"/>
      <c r="V129" s="308"/>
      <c r="W129" s="1090" t="str">
        <f t="shared" ca="1" si="198"/>
        <v/>
      </c>
      <c r="X129" s="1103">
        <f t="shared" ca="1" si="199"/>
        <v>0</v>
      </c>
      <c r="Y129" s="1120">
        <f t="shared" ca="1" si="200"/>
        <v>0</v>
      </c>
      <c r="Z129" s="524"/>
      <c r="AA129" s="350"/>
      <c r="AB129" s="308"/>
      <c r="AC129" s="1090" t="str">
        <f t="shared" ca="1" si="201"/>
        <v/>
      </c>
      <c r="AD129" s="1103">
        <f t="shared" ca="1" si="202"/>
        <v>0</v>
      </c>
      <c r="AE129" s="1120">
        <f t="shared" ca="1" si="203"/>
        <v>0</v>
      </c>
      <c r="AF129" s="525"/>
      <c r="AG129" s="637"/>
      <c r="AH129" s="525"/>
      <c r="AI129" s="1086">
        <f t="shared" ca="1" si="204"/>
        <v>50</v>
      </c>
      <c r="AJ129" s="380"/>
      <c r="AK129" s="440"/>
      <c r="AM129" s="460">
        <v>129</v>
      </c>
      <c r="AN129" s="1087" t="str">
        <f t="shared" ca="1" si="205"/>
        <v>Sonden und Speicher  LD50</v>
      </c>
      <c r="AO129" s="1083">
        <f t="shared" ca="1" si="206"/>
        <v>98086.8</v>
      </c>
      <c r="AP129" s="356">
        <f t="shared" ca="1" si="206"/>
        <v>0</v>
      </c>
      <c r="AQ129" s="357">
        <f t="shared" ca="1" si="206"/>
        <v>0</v>
      </c>
      <c r="AR129" s="524" t="str">
        <f t="shared" ca="1" si="206"/>
        <v/>
      </c>
      <c r="AS129" s="356">
        <f t="shared" ca="1" si="206"/>
        <v>0</v>
      </c>
      <c r="AT129" s="357">
        <f t="shared" ca="1" si="206"/>
        <v>0</v>
      </c>
      <c r="AU129" s="524" t="str">
        <f t="shared" ca="1" si="206"/>
        <v/>
      </c>
      <c r="AV129" s="1083">
        <f t="shared" ca="1" si="206"/>
        <v>50</v>
      </c>
      <c r="AX129" s="1083" t="str">
        <f t="shared" si="207"/>
        <v>U</v>
      </c>
      <c r="AY129" s="1083" t="str">
        <f t="shared" si="208"/>
        <v>E</v>
      </c>
      <c r="AZ129" s="1083" t="str">
        <f t="shared" si="209"/>
        <v>U</v>
      </c>
      <c r="BA129" s="1083" t="str">
        <f t="shared" si="210"/>
        <v>U</v>
      </c>
      <c r="BB129" s="1083" t="str">
        <f t="shared" si="211"/>
        <v>U</v>
      </c>
    </row>
    <row r="130" spans="1:54" ht="12" customHeight="1" x14ac:dyDescent="0.2">
      <c r="A130" s="440"/>
      <c r="B130" s="628"/>
      <c r="C130" s="380"/>
      <c r="D130" s="514"/>
      <c r="E130" s="1084">
        <f t="shared" ca="1" si="196"/>
        <v>0</v>
      </c>
      <c r="F130" s="1085"/>
      <c r="G130" s="1264"/>
      <c r="H130" s="1264"/>
      <c r="I130" s="1265"/>
      <c r="J130" s="638"/>
      <c r="K130" s="520" t="s">
        <v>179</v>
      </c>
      <c r="L130" s="521"/>
      <c r="M130" s="340"/>
      <c r="N130" s="528" t="s">
        <v>69</v>
      </c>
      <c r="O130" s="339"/>
      <c r="P130" s="543" t="s">
        <v>70</v>
      </c>
      <c r="Q130" s="344"/>
      <c r="R130" s="522" t="s">
        <v>363</v>
      </c>
      <c r="S130" s="353">
        <f t="shared" ca="1" si="197"/>
        <v>0</v>
      </c>
      <c r="T130" s="523"/>
      <c r="U130" s="350"/>
      <c r="V130" s="308"/>
      <c r="W130" s="1090" t="str">
        <f t="shared" ca="1" si="198"/>
        <v/>
      </c>
      <c r="X130" s="1103">
        <f t="shared" ca="1" si="199"/>
        <v>0</v>
      </c>
      <c r="Y130" s="1120">
        <f t="shared" ca="1" si="200"/>
        <v>0</v>
      </c>
      <c r="Z130" s="524"/>
      <c r="AA130" s="350"/>
      <c r="AB130" s="308"/>
      <c r="AC130" s="1090" t="str">
        <f t="shared" ca="1" si="201"/>
        <v/>
      </c>
      <c r="AD130" s="1103">
        <f t="shared" ca="1" si="202"/>
        <v>0</v>
      </c>
      <c r="AE130" s="1120">
        <f t="shared" ca="1" si="203"/>
        <v>0</v>
      </c>
      <c r="AF130" s="525"/>
      <c r="AG130" s="637"/>
      <c r="AH130" s="525"/>
      <c r="AI130" s="1086">
        <f t="shared" ca="1" si="204"/>
        <v>0</v>
      </c>
      <c r="AJ130" s="380"/>
      <c r="AK130" s="440"/>
      <c r="AM130" s="460">
        <v>130</v>
      </c>
      <c r="AN130" s="1087">
        <f t="shared" ca="1" si="205"/>
        <v>0</v>
      </c>
      <c r="AO130" s="1083">
        <f t="shared" ca="1" si="206"/>
        <v>0</v>
      </c>
      <c r="AP130" s="356">
        <f t="shared" ca="1" si="206"/>
        <v>0</v>
      </c>
      <c r="AQ130" s="357">
        <f t="shared" ca="1" si="206"/>
        <v>0</v>
      </c>
      <c r="AR130" s="524" t="str">
        <f t="shared" ca="1" si="206"/>
        <v/>
      </c>
      <c r="AS130" s="356">
        <f t="shared" ca="1" si="206"/>
        <v>0</v>
      </c>
      <c r="AT130" s="357">
        <f t="shared" ca="1" si="206"/>
        <v>0</v>
      </c>
      <c r="AU130" s="524" t="str">
        <f t="shared" ca="1" si="206"/>
        <v/>
      </c>
      <c r="AV130" s="1083">
        <f t="shared" ca="1" si="206"/>
        <v>0</v>
      </c>
      <c r="AX130" s="1083" t="str">
        <f t="shared" si="207"/>
        <v>U</v>
      </c>
      <c r="AY130" s="1083" t="str">
        <f t="shared" si="208"/>
        <v>U</v>
      </c>
      <c r="AZ130" s="1083" t="str">
        <f t="shared" si="209"/>
        <v>U</v>
      </c>
      <c r="BA130" s="1083" t="str">
        <f t="shared" si="210"/>
        <v>U</v>
      </c>
      <c r="BB130" s="1083" t="str">
        <f t="shared" si="211"/>
        <v>U</v>
      </c>
    </row>
    <row r="131" spans="1:54" ht="12" customHeight="1" x14ac:dyDescent="0.2">
      <c r="A131" s="440"/>
      <c r="B131" s="628"/>
      <c r="C131" s="380"/>
      <c r="D131" s="514"/>
      <c r="E131" s="1084">
        <f t="shared" ca="1" si="196"/>
        <v>0</v>
      </c>
      <c r="F131" s="1085"/>
      <c r="G131" s="1264"/>
      <c r="H131" s="1264"/>
      <c r="I131" s="1265"/>
      <c r="J131" s="638"/>
      <c r="K131" s="520" t="s">
        <v>179</v>
      </c>
      <c r="L131" s="521"/>
      <c r="M131" s="340"/>
      <c r="N131" s="528" t="s">
        <v>69</v>
      </c>
      <c r="O131" s="339"/>
      <c r="P131" s="543" t="s">
        <v>70</v>
      </c>
      <c r="Q131" s="344"/>
      <c r="R131" s="522" t="s">
        <v>363</v>
      </c>
      <c r="S131" s="353">
        <f t="shared" ca="1" si="197"/>
        <v>0</v>
      </c>
      <c r="T131" s="523"/>
      <c r="U131" s="350"/>
      <c r="V131" s="308"/>
      <c r="W131" s="1090" t="str">
        <f t="shared" ca="1" si="198"/>
        <v/>
      </c>
      <c r="X131" s="1103">
        <f t="shared" ca="1" si="199"/>
        <v>0</v>
      </c>
      <c r="Y131" s="1120">
        <f t="shared" ca="1" si="200"/>
        <v>0</v>
      </c>
      <c r="Z131" s="524"/>
      <c r="AA131" s="350"/>
      <c r="AB131" s="308"/>
      <c r="AC131" s="1090" t="str">
        <f t="shared" ca="1" si="201"/>
        <v/>
      </c>
      <c r="AD131" s="1103">
        <f t="shared" ca="1" si="202"/>
        <v>0</v>
      </c>
      <c r="AE131" s="1120">
        <f t="shared" ca="1" si="203"/>
        <v>0</v>
      </c>
      <c r="AF131" s="525"/>
      <c r="AG131" s="637"/>
      <c r="AH131" s="525"/>
      <c r="AI131" s="1086">
        <f t="shared" ca="1" si="204"/>
        <v>0</v>
      </c>
      <c r="AJ131" s="380"/>
      <c r="AK131" s="440"/>
      <c r="AM131" s="460">
        <v>131</v>
      </c>
      <c r="AN131" s="1087">
        <f t="shared" ca="1" si="205"/>
        <v>0</v>
      </c>
      <c r="AO131" s="1083">
        <f t="shared" ca="1" si="206"/>
        <v>0</v>
      </c>
      <c r="AP131" s="356">
        <f t="shared" ca="1" si="206"/>
        <v>0</v>
      </c>
      <c r="AQ131" s="357">
        <f t="shared" ca="1" si="206"/>
        <v>0</v>
      </c>
      <c r="AR131" s="524" t="str">
        <f t="shared" ca="1" si="206"/>
        <v/>
      </c>
      <c r="AS131" s="356">
        <f t="shared" ca="1" si="206"/>
        <v>0</v>
      </c>
      <c r="AT131" s="357">
        <f t="shared" ca="1" si="206"/>
        <v>0</v>
      </c>
      <c r="AU131" s="524" t="str">
        <f t="shared" ca="1" si="206"/>
        <v/>
      </c>
      <c r="AV131" s="1083">
        <f t="shared" ca="1" si="206"/>
        <v>0</v>
      </c>
      <c r="AX131" s="1083" t="str">
        <f t="shared" si="207"/>
        <v>U</v>
      </c>
      <c r="AY131" s="1083" t="str">
        <f t="shared" si="208"/>
        <v>U</v>
      </c>
      <c r="AZ131" s="1083" t="str">
        <f t="shared" si="209"/>
        <v>U</v>
      </c>
      <c r="BA131" s="1083" t="str">
        <f t="shared" si="210"/>
        <v>U</v>
      </c>
      <c r="BB131" s="1083" t="str">
        <f t="shared" si="211"/>
        <v>U</v>
      </c>
    </row>
    <row r="132" spans="1:54" ht="12" customHeight="1" x14ac:dyDescent="0.2">
      <c r="A132" s="440"/>
      <c r="B132" s="628"/>
      <c r="C132" s="380"/>
      <c r="D132" s="514"/>
      <c r="E132" s="1084">
        <f t="shared" ca="1" si="196"/>
        <v>0</v>
      </c>
      <c r="F132" s="1085"/>
      <c r="G132" s="1264"/>
      <c r="H132" s="1264"/>
      <c r="I132" s="1265"/>
      <c r="J132" s="638"/>
      <c r="K132" s="520" t="s">
        <v>179</v>
      </c>
      <c r="L132" s="521"/>
      <c r="M132" s="340"/>
      <c r="N132" s="528" t="s">
        <v>69</v>
      </c>
      <c r="O132" s="339"/>
      <c r="P132" s="543" t="s">
        <v>70</v>
      </c>
      <c r="Q132" s="344"/>
      <c r="R132" s="522" t="s">
        <v>363</v>
      </c>
      <c r="S132" s="353">
        <f t="shared" ca="1" si="197"/>
        <v>0</v>
      </c>
      <c r="T132" s="523"/>
      <c r="U132" s="350"/>
      <c r="V132" s="308"/>
      <c r="W132" s="1090" t="str">
        <f t="shared" ca="1" si="198"/>
        <v/>
      </c>
      <c r="X132" s="1103">
        <f t="shared" ca="1" si="199"/>
        <v>0</v>
      </c>
      <c r="Y132" s="1120">
        <f t="shared" ca="1" si="200"/>
        <v>0</v>
      </c>
      <c r="Z132" s="524"/>
      <c r="AA132" s="350"/>
      <c r="AB132" s="308"/>
      <c r="AC132" s="1090" t="str">
        <f t="shared" ca="1" si="201"/>
        <v/>
      </c>
      <c r="AD132" s="1103">
        <f t="shared" ca="1" si="202"/>
        <v>0</v>
      </c>
      <c r="AE132" s="1120">
        <f t="shared" ca="1" si="203"/>
        <v>0</v>
      </c>
      <c r="AF132" s="525"/>
      <c r="AG132" s="637"/>
      <c r="AH132" s="525"/>
      <c r="AI132" s="1086">
        <f t="shared" ca="1" si="204"/>
        <v>0</v>
      </c>
      <c r="AJ132" s="380"/>
      <c r="AK132" s="440"/>
      <c r="AM132" s="460">
        <v>132</v>
      </c>
      <c r="AN132" s="1087">
        <f t="shared" ca="1" si="205"/>
        <v>0</v>
      </c>
      <c r="AO132" s="1083">
        <f t="shared" ca="1" si="206"/>
        <v>0</v>
      </c>
      <c r="AP132" s="356">
        <f t="shared" ca="1" si="206"/>
        <v>0</v>
      </c>
      <c r="AQ132" s="357">
        <f t="shared" ca="1" si="206"/>
        <v>0</v>
      </c>
      <c r="AR132" s="524" t="str">
        <f t="shared" ca="1" si="206"/>
        <v/>
      </c>
      <c r="AS132" s="356">
        <f t="shared" ca="1" si="206"/>
        <v>0</v>
      </c>
      <c r="AT132" s="357">
        <f t="shared" ca="1" si="206"/>
        <v>0</v>
      </c>
      <c r="AU132" s="524" t="str">
        <f t="shared" ca="1" si="206"/>
        <v/>
      </c>
      <c r="AV132" s="1083">
        <f t="shared" ca="1" si="206"/>
        <v>0</v>
      </c>
      <c r="AX132" s="1083" t="str">
        <f t="shared" si="207"/>
        <v>U</v>
      </c>
      <c r="AY132" s="1083" t="str">
        <f t="shared" si="208"/>
        <v>U</v>
      </c>
      <c r="AZ132" s="1083" t="str">
        <f t="shared" si="209"/>
        <v>U</v>
      </c>
      <c r="BA132" s="1083" t="str">
        <f t="shared" si="210"/>
        <v>U</v>
      </c>
      <c r="BB132" s="1083" t="str">
        <f t="shared" si="211"/>
        <v>U</v>
      </c>
    </row>
    <row r="133" spans="1:54" ht="12" customHeight="1" x14ac:dyDescent="0.2">
      <c r="A133" s="440"/>
      <c r="B133" s="628"/>
      <c r="C133" s="380"/>
      <c r="D133" s="514"/>
      <c r="E133" s="1084">
        <f t="shared" ca="1" si="196"/>
        <v>0</v>
      </c>
      <c r="F133" s="1085"/>
      <c r="G133" s="1264"/>
      <c r="H133" s="1264"/>
      <c r="I133" s="1265"/>
      <c r="J133" s="638"/>
      <c r="K133" s="520" t="s">
        <v>179</v>
      </c>
      <c r="L133" s="521"/>
      <c r="M133" s="340"/>
      <c r="N133" s="528" t="s">
        <v>69</v>
      </c>
      <c r="O133" s="339"/>
      <c r="P133" s="543" t="s">
        <v>70</v>
      </c>
      <c r="Q133" s="344"/>
      <c r="R133" s="522" t="s">
        <v>363</v>
      </c>
      <c r="S133" s="353">
        <f t="shared" ca="1" si="197"/>
        <v>0</v>
      </c>
      <c r="T133" s="523"/>
      <c r="U133" s="350"/>
      <c r="V133" s="308"/>
      <c r="W133" s="1090" t="str">
        <f t="shared" ca="1" si="198"/>
        <v/>
      </c>
      <c r="X133" s="1103">
        <f t="shared" ca="1" si="199"/>
        <v>0</v>
      </c>
      <c r="Y133" s="1120">
        <f t="shared" ca="1" si="200"/>
        <v>0</v>
      </c>
      <c r="Z133" s="524"/>
      <c r="AA133" s="350"/>
      <c r="AB133" s="308"/>
      <c r="AC133" s="1090" t="str">
        <f t="shared" ca="1" si="201"/>
        <v/>
      </c>
      <c r="AD133" s="1103">
        <f t="shared" ca="1" si="202"/>
        <v>0</v>
      </c>
      <c r="AE133" s="1120">
        <f t="shared" ca="1" si="203"/>
        <v>0</v>
      </c>
      <c r="AF133" s="525"/>
      <c r="AG133" s="637"/>
      <c r="AH133" s="525"/>
      <c r="AI133" s="1086">
        <f t="shared" ca="1" si="204"/>
        <v>0</v>
      </c>
      <c r="AJ133" s="380"/>
      <c r="AK133" s="440"/>
      <c r="AM133" s="460">
        <v>133</v>
      </c>
      <c r="AN133" s="1087">
        <f t="shared" ca="1" si="205"/>
        <v>0</v>
      </c>
      <c r="AO133" s="1083">
        <f t="shared" ca="1" si="206"/>
        <v>0</v>
      </c>
      <c r="AP133" s="356">
        <f t="shared" ca="1" si="206"/>
        <v>0</v>
      </c>
      <c r="AQ133" s="357">
        <f t="shared" ca="1" si="206"/>
        <v>0</v>
      </c>
      <c r="AR133" s="524" t="str">
        <f t="shared" ca="1" si="206"/>
        <v/>
      </c>
      <c r="AS133" s="356">
        <f t="shared" ca="1" si="206"/>
        <v>0</v>
      </c>
      <c r="AT133" s="357">
        <f t="shared" ca="1" si="206"/>
        <v>0</v>
      </c>
      <c r="AU133" s="524" t="str">
        <f t="shared" ca="1" si="206"/>
        <v/>
      </c>
      <c r="AV133" s="1083">
        <f t="shared" ca="1" si="206"/>
        <v>0</v>
      </c>
      <c r="AX133" s="1083" t="str">
        <f t="shared" si="207"/>
        <v>U</v>
      </c>
      <c r="AY133" s="1083" t="str">
        <f t="shared" si="208"/>
        <v>U</v>
      </c>
      <c r="AZ133" s="1083" t="str">
        <f t="shared" si="209"/>
        <v>U</v>
      </c>
      <c r="BA133" s="1083" t="str">
        <f t="shared" si="210"/>
        <v>U</v>
      </c>
      <c r="BB133" s="1083" t="str">
        <f t="shared" si="211"/>
        <v>U</v>
      </c>
    </row>
    <row r="134" spans="1:54" ht="12" customHeight="1" x14ac:dyDescent="0.25">
      <c r="A134" s="440"/>
      <c r="B134" s="628"/>
      <c r="C134" s="380"/>
      <c r="D134" s="514" t="s">
        <v>43</v>
      </c>
      <c r="E134" s="1599" t="s">
        <v>42</v>
      </c>
      <c r="F134" s="1599"/>
      <c r="G134" s="1599"/>
      <c r="H134" s="1599"/>
      <c r="I134" s="1605"/>
      <c r="J134" s="501"/>
      <c r="K134" s="502"/>
      <c r="L134" s="502"/>
      <c r="M134" s="498"/>
      <c r="N134" s="359"/>
      <c r="O134" s="363"/>
      <c r="P134" s="363"/>
      <c r="Q134" s="363"/>
      <c r="R134" s="363"/>
      <c r="S134" s="365"/>
      <c r="T134" s="363"/>
      <c r="U134" s="375"/>
      <c r="V134" s="358"/>
      <c r="W134" s="1091"/>
      <c r="X134" s="1114"/>
      <c r="Y134" s="1104"/>
      <c r="Z134" s="363"/>
      <c r="AA134" s="375"/>
      <c r="AB134" s="358"/>
      <c r="AC134" s="1091"/>
      <c r="AD134" s="1114"/>
      <c r="AE134" s="1104"/>
      <c r="AF134" s="358"/>
      <c r="AG134" s="358"/>
      <c r="AH134" s="358"/>
      <c r="AI134" s="358"/>
      <c r="AJ134" s="380"/>
      <c r="AK134" s="440"/>
      <c r="AM134" s="460">
        <v>134</v>
      </c>
      <c r="AN134" s="1078"/>
    </row>
    <row r="135" spans="1:54" ht="12" customHeight="1" x14ac:dyDescent="0.25">
      <c r="A135" s="440"/>
      <c r="B135" s="628"/>
      <c r="C135" s="380"/>
      <c r="D135" s="514"/>
      <c r="E135" s="514"/>
      <c r="F135" s="514"/>
      <c r="G135" s="514"/>
      <c r="H135" s="514"/>
      <c r="I135" s="501"/>
      <c r="J135" s="501"/>
      <c r="K135" s="502"/>
      <c r="L135" s="502"/>
      <c r="M135" s="339"/>
      <c r="N135" s="528" t="s">
        <v>304</v>
      </c>
      <c r="O135" s="339"/>
      <c r="P135" s="543" t="s">
        <v>305</v>
      </c>
      <c r="Q135" s="344"/>
      <c r="R135" s="522" t="s">
        <v>363</v>
      </c>
      <c r="S135" s="353">
        <f ca="1">IF(AY135="E",(M135*O135)+Q135,AO135)</f>
        <v>21526.475999999999</v>
      </c>
      <c r="T135" s="523"/>
      <c r="U135" s="350"/>
      <c r="V135" s="308"/>
      <c r="W135" s="1090" t="str">
        <f ca="1">IF(AZ135="E",IF(AND(V135&lt;&gt;0,U135&lt;&gt;0),"X",IF(AND(V135&lt;&gt;0,U135=0),"A",IF(AND(V135=0,U135&lt;&gt;0),"P",""))),AR135)</f>
        <v/>
      </c>
      <c r="X135" s="1103">
        <f ca="1">IF(AZ135="E",IFERROR(IF(W135="X",0,IF(U135&gt;0,U135,V135/S135)),0),
IFERROR(IF(OR(AR135="X",AR135=0),0,
IF(AR135="P",AP135,IF(AR135="A",AQ135/S135,0))),0))</f>
        <v>0</v>
      </c>
      <c r="Y135" s="1120">
        <f ca="1">IF(AZ135="E",IFERROR(IF(W135="X",0,IF(V135&gt;0,V135,S135*U135)),0),
IFERROR(IF(OR(AR135="X",AR135="0"),0,IF(AR135="A",AQ135,S135*AP135)),0))</f>
        <v>0</v>
      </c>
      <c r="Z135" s="524"/>
      <c r="AA135" s="350"/>
      <c r="AB135" s="308"/>
      <c r="AC135" s="1090" t="str">
        <f ca="1">IF(BA135="E",IF(AND(AB135&lt;&gt;0,AA135&lt;&gt;0),"X",IF(AND(AB135&lt;&gt;0,AA135=0),"A",IF(AND(AB135=0,AA135&lt;&gt;0),"P",""))),AU135)</f>
        <v/>
      </c>
      <c r="AD135" s="1103">
        <f ca="1">IF(BA135="E",IFERROR(IF(AC135="X",0,IF(AA135&gt;0,AA135,AB135/S135)),0),
IFERROR(IF(OR(AU135="X",AU135=0),0,
IF(AU135="P",AS135,IF(AU135="A",AT135/S135,0))),0))</f>
        <v>0</v>
      </c>
      <c r="AE135" s="1120">
        <f ca="1">IF(BA135="E",IFERROR(IF(AC135="X",0,IF(AB135&gt;0,AB135,S135*AA135)),0),
IFERROR(IF(OR(AU135="X",AU135=0),0,
IF(AU135="A",AT135,S135*AS135)),0))</f>
        <v>0</v>
      </c>
      <c r="AF135" s="525"/>
      <c r="AG135" s="637"/>
      <c r="AH135" s="525"/>
      <c r="AI135" s="1086">
        <f ca="1">IF(BB135="E",AG135,AV135)</f>
        <v>50</v>
      </c>
      <c r="AJ135" s="380"/>
      <c r="AK135" s="440"/>
      <c r="AM135" s="460">
        <v>135</v>
      </c>
      <c r="AN135" s="1078"/>
      <c r="AO135" s="1083">
        <f t="shared" ref="AO135:AV135" ca="1" si="212">IF($M$13=$AN$12,"",INDIRECT("'"&amp;$AM$20&amp;"'!"&amp;AO$21&amp;$AM135))</f>
        <v>21526.475999999999</v>
      </c>
      <c r="AP135" s="356">
        <f t="shared" ca="1" si="212"/>
        <v>0</v>
      </c>
      <c r="AQ135" s="357">
        <f t="shared" ca="1" si="212"/>
        <v>0</v>
      </c>
      <c r="AR135" s="524" t="str">
        <f t="shared" ca="1" si="212"/>
        <v/>
      </c>
      <c r="AS135" s="356">
        <f t="shared" ca="1" si="212"/>
        <v>0</v>
      </c>
      <c r="AT135" s="357">
        <f t="shared" ca="1" si="212"/>
        <v>0</v>
      </c>
      <c r="AU135" s="524" t="str">
        <f t="shared" ca="1" si="212"/>
        <v/>
      </c>
      <c r="AV135" s="1083">
        <f t="shared" ca="1" si="212"/>
        <v>50</v>
      </c>
      <c r="AX135" s="1083" t="str">
        <f t="shared" ref="AX135" si="213">IF($M$13=$AN$12,"E",IF(ISTEXT(F135),"E","U"))</f>
        <v>U</v>
      </c>
      <c r="AY135" s="1083" t="str">
        <f t="shared" ref="AY135" si="214">IF($M$13=$AN$12,"E",IF(OR(ISNUMBER(M135),ISNUMBER(O135),ISNUMBER(Q135)),"E","U"))</f>
        <v>U</v>
      </c>
      <c r="AZ135" s="1083" t="str">
        <f t="shared" ref="AZ135" si="215">IF($M$13=$AN$12,"E",IF(OR(ISNUMBER(U135),ISNUMBER(V135)),"E","U"))</f>
        <v>U</v>
      </c>
      <c r="BA135" s="1083" t="str">
        <f t="shared" ref="BA135" si="216">IF($M$13=$AN$12,"E",IF(OR(ISNUMBER(AA135),ISNUMBER(AB135)),"E","U"))</f>
        <v>U</v>
      </c>
      <c r="BB135" s="1083" t="str">
        <f t="shared" ref="BB135" si="217">IF($M$13=$AN$12,"E",IF(ISNUMBER(AG135),"E","U"))</f>
        <v>U</v>
      </c>
    </row>
    <row r="136" spans="1:54" ht="12" customHeight="1" x14ac:dyDescent="0.25">
      <c r="A136" s="440"/>
      <c r="B136" s="628"/>
      <c r="C136" s="380"/>
      <c r="D136" s="514" t="s">
        <v>41</v>
      </c>
      <c r="E136" s="1599" t="s">
        <v>40</v>
      </c>
      <c r="F136" s="1599"/>
      <c r="G136" s="1599"/>
      <c r="H136" s="1599"/>
      <c r="I136" s="1597"/>
      <c r="J136" s="501"/>
      <c r="K136" s="462"/>
      <c r="L136" s="462"/>
      <c r="M136" s="498"/>
      <c r="N136" s="361"/>
      <c r="O136" s="365"/>
      <c r="P136" s="365"/>
      <c r="Q136" s="365"/>
      <c r="R136" s="365"/>
      <c r="S136" s="354">
        <f ca="1">SUBTOTAL(109,S138:S141)</f>
        <v>40502.400000000001</v>
      </c>
      <c r="T136" s="363"/>
      <c r="U136" s="375"/>
      <c r="V136" s="358"/>
      <c r="W136" s="1091"/>
      <c r="X136" s="1114"/>
      <c r="Y136" s="1104"/>
      <c r="Z136" s="363"/>
      <c r="AA136" s="375"/>
      <c r="AB136" s="358"/>
      <c r="AC136" s="1091"/>
      <c r="AD136" s="1114"/>
      <c r="AE136" s="1104"/>
      <c r="AF136" s="358"/>
      <c r="AG136" s="358"/>
      <c r="AH136" s="358"/>
      <c r="AI136" s="358"/>
      <c r="AJ136" s="380"/>
      <c r="AK136" s="440"/>
      <c r="AM136" s="460">
        <v>136</v>
      </c>
      <c r="AN136" s="1078"/>
    </row>
    <row r="137" spans="1:54" ht="12" customHeight="1" x14ac:dyDescent="0.25">
      <c r="A137" s="440"/>
      <c r="B137" s="628"/>
      <c r="C137" s="380"/>
      <c r="D137" s="514"/>
      <c r="E137" s="514"/>
      <c r="F137" s="514"/>
      <c r="G137" s="514"/>
      <c r="H137" s="514"/>
      <c r="I137" s="511"/>
      <c r="J137" s="1603" t="s">
        <v>452</v>
      </c>
      <c r="K137" s="1603"/>
      <c r="L137" s="462"/>
      <c r="M137" s="498"/>
      <c r="N137" s="361"/>
      <c r="O137" s="365"/>
      <c r="P137" s="365"/>
      <c r="Q137" s="365"/>
      <c r="R137" s="365"/>
      <c r="S137" s="354"/>
      <c r="T137" s="363"/>
      <c r="U137" s="375"/>
      <c r="V137" s="358"/>
      <c r="W137" s="1091"/>
      <c r="X137" s="1114"/>
      <c r="Y137" s="1104"/>
      <c r="Z137" s="363"/>
      <c r="AA137" s="375"/>
      <c r="AB137" s="358"/>
      <c r="AC137" s="1091"/>
      <c r="AD137" s="1114"/>
      <c r="AE137" s="1104"/>
      <c r="AF137" s="358"/>
      <c r="AG137" s="358"/>
      <c r="AH137" s="358"/>
      <c r="AI137" s="358"/>
      <c r="AJ137" s="380"/>
      <c r="AK137" s="440"/>
      <c r="AM137" s="460">
        <v>137</v>
      </c>
      <c r="AN137" s="1078"/>
    </row>
    <row r="138" spans="1:54" ht="12" customHeight="1" x14ac:dyDescent="0.2">
      <c r="A138" s="440"/>
      <c r="B138" s="628"/>
      <c r="C138" s="380"/>
      <c r="D138" s="514"/>
      <c r="E138" s="1084">
        <f ca="1">IF(AX138="E","",AN138)</f>
        <v>0</v>
      </c>
      <c r="F138" s="1085"/>
      <c r="G138" s="1264"/>
      <c r="H138" s="1264"/>
      <c r="I138" s="1265"/>
      <c r="J138" s="639"/>
      <c r="K138" s="520" t="s">
        <v>180</v>
      </c>
      <c r="L138" s="521"/>
      <c r="M138" s="340"/>
      <c r="N138" s="528" t="s">
        <v>67</v>
      </c>
      <c r="O138" s="339"/>
      <c r="P138" s="543" t="s">
        <v>68</v>
      </c>
      <c r="Q138" s="344"/>
      <c r="R138" s="522" t="s">
        <v>363</v>
      </c>
      <c r="S138" s="353">
        <f t="shared" ref="S138:S141" ca="1" si="218">IF(AY138="E",(M138*O138)+Q138,AO138)</f>
        <v>0</v>
      </c>
      <c r="T138" s="523"/>
      <c r="U138" s="350"/>
      <c r="V138" s="308"/>
      <c r="W138" s="1090" t="str">
        <f t="shared" ref="W138:W141" ca="1" si="219">IF(AZ138="E",IF(AND(V138&lt;&gt;0,U138&lt;&gt;0),"X",IF(AND(V138&lt;&gt;0,U138=0),"A",IF(AND(V138=0,U138&lt;&gt;0),"P",""))),AR138)</f>
        <v/>
      </c>
      <c r="X138" s="1103">
        <f t="shared" ref="X138:X141" ca="1" si="220">IF(AZ138="E",IFERROR(IF(W138="X",0,IF(U138&gt;0,U138,V138/S138)),0),
IFERROR(IF(OR(AR138="X",AR138=0),0,
IF(AR138="P",AP138,IF(AR138="A",AQ138/S138,0))),0))</f>
        <v>0</v>
      </c>
      <c r="Y138" s="1120">
        <f t="shared" ref="Y138:Y141" ca="1" si="221">IF(AZ138="E",IFERROR(IF(W138="X",0,IF(V138&gt;0,V138,S138*U138)),0),
IFERROR(IF(OR(AR138="X",AR138="0"),0,IF(AR138="A",AQ138,S138*AP138)),0))</f>
        <v>0</v>
      </c>
      <c r="Z138" s="524"/>
      <c r="AA138" s="350"/>
      <c r="AB138" s="308"/>
      <c r="AC138" s="1090" t="str">
        <f t="shared" ref="AC138:AC141" ca="1" si="222">IF(BA138="E",IF(AND(AB138&lt;&gt;0,AA138&lt;&gt;0),"X",IF(AND(AB138&lt;&gt;0,AA138=0),"A",IF(AND(AB138=0,AA138&lt;&gt;0),"P",""))),AU138)</f>
        <v/>
      </c>
      <c r="AD138" s="1103">
        <f t="shared" ref="AD138:AD141" ca="1" si="223">IF(BA138="E",IFERROR(IF(AC138="X",0,IF(AA138&gt;0,AA138,AB138/S138)),0),
IFERROR(IF(OR(AU138="X",AU138=0),0,
IF(AU138="P",AS138,IF(AU138="A",AT138/S138,0))),0))</f>
        <v>0</v>
      </c>
      <c r="AE138" s="1120">
        <f t="shared" ref="AE138:AE141" ca="1" si="224">IF(BA138="E",IFERROR(IF(AC138="X",0,IF(AB138&gt;0,AB138,S138*AA138)),0),
IFERROR(IF(OR(AU138="X",AU138=0),0,
IF(AU138="A",AT138,S138*AS138)),0))</f>
        <v>0</v>
      </c>
      <c r="AF138" s="525"/>
      <c r="AG138" s="637"/>
      <c r="AH138" s="525"/>
      <c r="AI138" s="1086">
        <f t="shared" ref="AI138:AI141" ca="1" si="225">IF(BB138="E",AG138,AV138)</f>
        <v>0</v>
      </c>
      <c r="AJ138" s="380"/>
      <c r="AK138" s="440"/>
      <c r="AM138" s="460">
        <v>138</v>
      </c>
      <c r="AN138" s="1087">
        <f t="shared" ref="AN138:AN141" ca="1" si="226">IF($M$13=$AN$12,"",IF(ISTEXT(INDIRECT("'"&amp;$AM$20&amp;"'!"&amp;AN$21&amp;$AM138)),INDIRECT("'"&amp;$AM$20&amp;"'!"&amp;AN$21&amp;$AM138),INDIRECT("'"&amp;$AM$20&amp;"'!"&amp;AN$22&amp;$AM138)))</f>
        <v>0</v>
      </c>
      <c r="AO138" s="1083">
        <f t="shared" ref="AO138:AV141" ca="1" si="227">IF($M$13=$AN$12,"",INDIRECT("'"&amp;$AM$20&amp;"'!"&amp;AO$21&amp;$AM138))</f>
        <v>0</v>
      </c>
      <c r="AP138" s="356">
        <f t="shared" ca="1" si="227"/>
        <v>0</v>
      </c>
      <c r="AQ138" s="357">
        <f t="shared" ca="1" si="227"/>
        <v>0</v>
      </c>
      <c r="AR138" s="524" t="str">
        <f t="shared" ca="1" si="227"/>
        <v/>
      </c>
      <c r="AS138" s="356">
        <f t="shared" ca="1" si="227"/>
        <v>0</v>
      </c>
      <c r="AT138" s="357">
        <f t="shared" ca="1" si="227"/>
        <v>0</v>
      </c>
      <c r="AU138" s="524" t="str">
        <f t="shared" ca="1" si="227"/>
        <v/>
      </c>
      <c r="AV138" s="1083">
        <f t="shared" ca="1" si="227"/>
        <v>0</v>
      </c>
      <c r="AX138" s="1083" t="str">
        <f t="shared" ref="AX138:AX141" si="228">IF($M$13=$AN$12,"E",IF(ISTEXT(F138),"E","U"))</f>
        <v>U</v>
      </c>
      <c r="AY138" s="1083" t="str">
        <f t="shared" ref="AY138:AY141" si="229">IF($M$13=$AN$12,"E",IF(OR(ISNUMBER(M138),ISNUMBER(O138),ISNUMBER(Q138)),"E","U"))</f>
        <v>U</v>
      </c>
      <c r="AZ138" s="1083" t="str">
        <f t="shared" ref="AZ138:AZ141" si="230">IF($M$13=$AN$12,"E",IF(OR(ISNUMBER(U138),ISNUMBER(V138)),"E","U"))</f>
        <v>U</v>
      </c>
      <c r="BA138" s="1083" t="str">
        <f t="shared" ref="BA138:BA141" si="231">IF($M$13=$AN$12,"E",IF(OR(ISNUMBER(AA138),ISNUMBER(AB138)),"E","U"))</f>
        <v>U</v>
      </c>
      <c r="BB138" s="1083" t="str">
        <f t="shared" ref="BB138:BB141" si="232">IF($M$13=$AN$12,"E",IF(ISNUMBER(AG138),"E","U"))</f>
        <v>U</v>
      </c>
    </row>
    <row r="139" spans="1:54" ht="12" customHeight="1" x14ac:dyDescent="0.2">
      <c r="A139" s="440"/>
      <c r="B139" s="628"/>
      <c r="C139" s="380"/>
      <c r="D139" s="514"/>
      <c r="E139" s="1084" t="str">
        <f ca="1">IF(AX139="E","",AN139)</f>
        <v>Fussbodenheizung LD50</v>
      </c>
      <c r="F139" s="1085"/>
      <c r="G139" s="1264"/>
      <c r="H139" s="1264"/>
      <c r="I139" s="1265"/>
      <c r="J139" s="638"/>
      <c r="K139" s="520" t="s">
        <v>180</v>
      </c>
      <c r="L139" s="521"/>
      <c r="M139" s="340"/>
      <c r="N139" s="528" t="s">
        <v>67</v>
      </c>
      <c r="O139" s="339"/>
      <c r="P139" s="543" t="s">
        <v>68</v>
      </c>
      <c r="Q139" s="344">
        <f>33752*1.2</f>
        <v>40502.400000000001</v>
      </c>
      <c r="R139" s="522" t="s">
        <v>363</v>
      </c>
      <c r="S139" s="353">
        <f t="shared" si="218"/>
        <v>40502.400000000001</v>
      </c>
      <c r="T139" s="523"/>
      <c r="U139" s="350"/>
      <c r="V139" s="308"/>
      <c r="W139" s="1090" t="str">
        <f t="shared" ca="1" si="219"/>
        <v/>
      </c>
      <c r="X139" s="1103">
        <f t="shared" ca="1" si="220"/>
        <v>0</v>
      </c>
      <c r="Y139" s="1120">
        <f t="shared" ca="1" si="221"/>
        <v>0</v>
      </c>
      <c r="Z139" s="524"/>
      <c r="AA139" s="350"/>
      <c r="AB139" s="308"/>
      <c r="AC139" s="1090" t="str">
        <f t="shared" ca="1" si="222"/>
        <v/>
      </c>
      <c r="AD139" s="1103">
        <f t="shared" ca="1" si="223"/>
        <v>0</v>
      </c>
      <c r="AE139" s="1120">
        <f t="shared" ca="1" si="224"/>
        <v>0</v>
      </c>
      <c r="AF139" s="525"/>
      <c r="AG139" s="637"/>
      <c r="AH139" s="525"/>
      <c r="AI139" s="1086">
        <f t="shared" ca="1" si="225"/>
        <v>50</v>
      </c>
      <c r="AJ139" s="380"/>
      <c r="AK139" s="440"/>
      <c r="AM139" s="460">
        <v>139</v>
      </c>
      <c r="AN139" s="1087" t="str">
        <f t="shared" ca="1" si="226"/>
        <v>Fussbodenheizung LD50</v>
      </c>
      <c r="AO139" s="1083">
        <f t="shared" ca="1" si="227"/>
        <v>45014.400000000001</v>
      </c>
      <c r="AP139" s="356">
        <f t="shared" ca="1" si="227"/>
        <v>0</v>
      </c>
      <c r="AQ139" s="357">
        <f t="shared" ca="1" si="227"/>
        <v>0</v>
      </c>
      <c r="AR139" s="524" t="str">
        <f t="shared" ca="1" si="227"/>
        <v/>
      </c>
      <c r="AS139" s="356">
        <f t="shared" ca="1" si="227"/>
        <v>0</v>
      </c>
      <c r="AT139" s="357">
        <f t="shared" ca="1" si="227"/>
        <v>0</v>
      </c>
      <c r="AU139" s="524" t="str">
        <f t="shared" ca="1" si="227"/>
        <v/>
      </c>
      <c r="AV139" s="1083">
        <f t="shared" ca="1" si="227"/>
        <v>50</v>
      </c>
      <c r="AX139" s="1083" t="str">
        <f t="shared" si="228"/>
        <v>U</v>
      </c>
      <c r="AY139" s="1083" t="str">
        <f t="shared" si="229"/>
        <v>E</v>
      </c>
      <c r="AZ139" s="1083" t="str">
        <f t="shared" si="230"/>
        <v>U</v>
      </c>
      <c r="BA139" s="1083" t="str">
        <f t="shared" si="231"/>
        <v>U</v>
      </c>
      <c r="BB139" s="1083" t="str">
        <f t="shared" si="232"/>
        <v>U</v>
      </c>
    </row>
    <row r="140" spans="1:54" ht="12" customHeight="1" x14ac:dyDescent="0.2">
      <c r="A140" s="440"/>
      <c r="B140" s="628"/>
      <c r="C140" s="380"/>
      <c r="D140" s="514"/>
      <c r="E140" s="1084">
        <f ca="1">IF(AX140="E","",AN140)</f>
        <v>0</v>
      </c>
      <c r="F140" s="1085"/>
      <c r="G140" s="1264"/>
      <c r="H140" s="1264"/>
      <c r="I140" s="1265"/>
      <c r="J140" s="638"/>
      <c r="K140" s="520" t="s">
        <v>180</v>
      </c>
      <c r="L140" s="552"/>
      <c r="M140" s="339"/>
      <c r="N140" s="528" t="s">
        <v>67</v>
      </c>
      <c r="O140" s="339"/>
      <c r="P140" s="543" t="s">
        <v>68</v>
      </c>
      <c r="Q140" s="344"/>
      <c r="R140" s="522" t="s">
        <v>363</v>
      </c>
      <c r="S140" s="353">
        <f t="shared" ca="1" si="218"/>
        <v>0</v>
      </c>
      <c r="T140" s="523"/>
      <c r="U140" s="350"/>
      <c r="V140" s="308"/>
      <c r="W140" s="1090" t="str">
        <f t="shared" ca="1" si="219"/>
        <v/>
      </c>
      <c r="X140" s="1103">
        <f t="shared" ca="1" si="220"/>
        <v>0</v>
      </c>
      <c r="Y140" s="1120">
        <f t="shared" ca="1" si="221"/>
        <v>0</v>
      </c>
      <c r="Z140" s="524"/>
      <c r="AA140" s="350"/>
      <c r="AB140" s="308"/>
      <c r="AC140" s="1090" t="str">
        <f t="shared" ca="1" si="222"/>
        <v/>
      </c>
      <c r="AD140" s="1103">
        <f t="shared" ca="1" si="223"/>
        <v>0</v>
      </c>
      <c r="AE140" s="1120">
        <f t="shared" ca="1" si="224"/>
        <v>0</v>
      </c>
      <c r="AF140" s="525"/>
      <c r="AG140" s="637"/>
      <c r="AH140" s="525"/>
      <c r="AI140" s="1086">
        <f t="shared" ca="1" si="225"/>
        <v>0</v>
      </c>
      <c r="AJ140" s="380"/>
      <c r="AK140" s="440"/>
      <c r="AM140" s="460">
        <v>140</v>
      </c>
      <c r="AN140" s="1087">
        <f t="shared" ca="1" si="226"/>
        <v>0</v>
      </c>
      <c r="AO140" s="1083">
        <f t="shared" ca="1" si="227"/>
        <v>0</v>
      </c>
      <c r="AP140" s="356">
        <f t="shared" ca="1" si="227"/>
        <v>0</v>
      </c>
      <c r="AQ140" s="357">
        <f t="shared" ca="1" si="227"/>
        <v>0</v>
      </c>
      <c r="AR140" s="524" t="str">
        <f t="shared" ca="1" si="227"/>
        <v/>
      </c>
      <c r="AS140" s="356">
        <f t="shared" ca="1" si="227"/>
        <v>0</v>
      </c>
      <c r="AT140" s="357">
        <f t="shared" ca="1" si="227"/>
        <v>0</v>
      </c>
      <c r="AU140" s="524" t="str">
        <f t="shared" ca="1" si="227"/>
        <v/>
      </c>
      <c r="AV140" s="1083">
        <f t="shared" ca="1" si="227"/>
        <v>0</v>
      </c>
      <c r="AX140" s="1083" t="str">
        <f t="shared" si="228"/>
        <v>U</v>
      </c>
      <c r="AY140" s="1083" t="str">
        <f t="shared" si="229"/>
        <v>U</v>
      </c>
      <c r="AZ140" s="1083" t="str">
        <f t="shared" si="230"/>
        <v>U</v>
      </c>
      <c r="BA140" s="1083" t="str">
        <f t="shared" si="231"/>
        <v>U</v>
      </c>
      <c r="BB140" s="1083" t="str">
        <f t="shared" si="232"/>
        <v>U</v>
      </c>
    </row>
    <row r="141" spans="1:54" ht="12" customHeight="1" x14ac:dyDescent="0.2">
      <c r="A141" s="440"/>
      <c r="B141" s="628"/>
      <c r="C141" s="380"/>
      <c r="D141" s="514"/>
      <c r="E141" s="1084">
        <f ca="1">IF(AX141="E","",AN141)</f>
        <v>0</v>
      </c>
      <c r="F141" s="1085"/>
      <c r="G141" s="1264"/>
      <c r="H141" s="1264"/>
      <c r="I141" s="1265"/>
      <c r="J141" s="638"/>
      <c r="K141" s="520" t="s">
        <v>180</v>
      </c>
      <c r="L141" s="552"/>
      <c r="M141" s="339"/>
      <c r="N141" s="528" t="s">
        <v>67</v>
      </c>
      <c r="O141" s="339"/>
      <c r="P141" s="543" t="s">
        <v>68</v>
      </c>
      <c r="Q141" s="344"/>
      <c r="R141" s="522" t="s">
        <v>363</v>
      </c>
      <c r="S141" s="353">
        <f t="shared" ca="1" si="218"/>
        <v>0</v>
      </c>
      <c r="T141" s="523"/>
      <c r="U141" s="350"/>
      <c r="V141" s="308"/>
      <c r="W141" s="1090" t="str">
        <f t="shared" ca="1" si="219"/>
        <v/>
      </c>
      <c r="X141" s="1103">
        <f t="shared" ca="1" si="220"/>
        <v>0</v>
      </c>
      <c r="Y141" s="1120">
        <f t="shared" ca="1" si="221"/>
        <v>0</v>
      </c>
      <c r="Z141" s="524"/>
      <c r="AA141" s="350"/>
      <c r="AB141" s="308"/>
      <c r="AC141" s="1090" t="str">
        <f t="shared" ca="1" si="222"/>
        <v/>
      </c>
      <c r="AD141" s="1103">
        <f t="shared" ca="1" si="223"/>
        <v>0</v>
      </c>
      <c r="AE141" s="1120">
        <f t="shared" ca="1" si="224"/>
        <v>0</v>
      </c>
      <c r="AF141" s="525"/>
      <c r="AG141" s="637"/>
      <c r="AH141" s="525"/>
      <c r="AI141" s="1086">
        <f t="shared" ca="1" si="225"/>
        <v>0</v>
      </c>
      <c r="AJ141" s="380"/>
      <c r="AK141" s="440"/>
      <c r="AM141" s="460">
        <v>141</v>
      </c>
      <c r="AN141" s="1087">
        <f t="shared" ca="1" si="226"/>
        <v>0</v>
      </c>
      <c r="AO141" s="1083">
        <f t="shared" ca="1" si="227"/>
        <v>0</v>
      </c>
      <c r="AP141" s="356">
        <f t="shared" ca="1" si="227"/>
        <v>0</v>
      </c>
      <c r="AQ141" s="357">
        <f t="shared" ca="1" si="227"/>
        <v>0</v>
      </c>
      <c r="AR141" s="524" t="str">
        <f t="shared" ca="1" si="227"/>
        <v/>
      </c>
      <c r="AS141" s="356">
        <f t="shared" ca="1" si="227"/>
        <v>0</v>
      </c>
      <c r="AT141" s="357">
        <f t="shared" ca="1" si="227"/>
        <v>0</v>
      </c>
      <c r="AU141" s="524" t="str">
        <f t="shared" ca="1" si="227"/>
        <v/>
      </c>
      <c r="AV141" s="1083">
        <f t="shared" ca="1" si="227"/>
        <v>0</v>
      </c>
      <c r="AX141" s="1083" t="str">
        <f t="shared" si="228"/>
        <v>U</v>
      </c>
      <c r="AY141" s="1083" t="str">
        <f t="shared" si="229"/>
        <v>U</v>
      </c>
      <c r="AZ141" s="1083" t="str">
        <f t="shared" si="230"/>
        <v>U</v>
      </c>
      <c r="BA141" s="1083" t="str">
        <f t="shared" si="231"/>
        <v>U</v>
      </c>
      <c r="BB141" s="1083" t="str">
        <f t="shared" si="232"/>
        <v>U</v>
      </c>
    </row>
    <row r="142" spans="1:54" ht="14.25" customHeight="1" collapsed="1" x14ac:dyDescent="0.25">
      <c r="A142" s="440"/>
      <c r="B142" s="628"/>
      <c r="C142" s="513" t="s">
        <v>39</v>
      </c>
      <c r="D142" s="494"/>
      <c r="E142" s="1596" t="s">
        <v>38</v>
      </c>
      <c r="F142" s="1596"/>
      <c r="G142" s="1596"/>
      <c r="H142" s="1596"/>
      <c r="I142" s="1597"/>
      <c r="J142" s="501"/>
      <c r="K142" s="462"/>
      <c r="L142" s="462"/>
      <c r="M142" s="498"/>
      <c r="N142" s="359"/>
      <c r="O142" s="363"/>
      <c r="P142" s="363"/>
      <c r="Q142" s="363"/>
      <c r="R142" s="363"/>
      <c r="S142" s="355">
        <f ca="1">S143+S147+S151</f>
        <v>51422.400000000001</v>
      </c>
      <c r="T142" s="363"/>
      <c r="U142" s="375"/>
      <c r="V142" s="358"/>
      <c r="W142" s="1091"/>
      <c r="X142" s="1114"/>
      <c r="Y142" s="1104"/>
      <c r="Z142" s="363"/>
      <c r="AA142" s="375"/>
      <c r="AB142" s="358"/>
      <c r="AC142" s="1091"/>
      <c r="AD142" s="1114"/>
      <c r="AE142" s="1104"/>
      <c r="AF142" s="358"/>
      <c r="AG142" s="358"/>
      <c r="AH142" s="358"/>
      <c r="AI142" s="358"/>
      <c r="AJ142" s="380"/>
      <c r="AK142" s="440"/>
      <c r="AM142" s="460">
        <v>142</v>
      </c>
      <c r="AN142" s="1078"/>
    </row>
    <row r="143" spans="1:54" ht="12" customHeight="1" x14ac:dyDescent="0.25">
      <c r="A143" s="440"/>
      <c r="B143" s="628"/>
      <c r="C143" s="380"/>
      <c r="D143" s="514" t="s">
        <v>37</v>
      </c>
      <c r="E143" s="1599" t="s">
        <v>36</v>
      </c>
      <c r="F143" s="1599"/>
      <c r="G143" s="1599"/>
      <c r="H143" s="1599"/>
      <c r="I143" s="1597"/>
      <c r="J143" s="501"/>
      <c r="K143" s="462"/>
      <c r="L143" s="462"/>
      <c r="M143" s="498"/>
      <c r="N143" s="359"/>
      <c r="O143" s="363"/>
      <c r="P143" s="363"/>
      <c r="Q143" s="363"/>
      <c r="R143" s="363"/>
      <c r="S143" s="354">
        <f ca="1">SUBTOTAL(109,S145:S146)</f>
        <v>51422.400000000001</v>
      </c>
      <c r="T143" s="363"/>
      <c r="U143" s="375"/>
      <c r="V143" s="358"/>
      <c r="W143" s="1091"/>
      <c r="X143" s="1114"/>
      <c r="Y143" s="1104"/>
      <c r="Z143" s="363"/>
      <c r="AA143" s="375"/>
      <c r="AB143" s="358"/>
      <c r="AC143" s="1091"/>
      <c r="AD143" s="1114"/>
      <c r="AE143" s="1104"/>
      <c r="AF143" s="358"/>
      <c r="AG143" s="358"/>
      <c r="AH143" s="358"/>
      <c r="AI143" s="358"/>
      <c r="AJ143" s="380"/>
      <c r="AK143" s="440"/>
      <c r="AM143" s="460">
        <v>143</v>
      </c>
      <c r="AN143" s="1078"/>
    </row>
    <row r="144" spans="1:54" ht="12" customHeight="1" x14ac:dyDescent="0.25">
      <c r="A144" s="440"/>
      <c r="B144" s="628"/>
      <c r="C144" s="380"/>
      <c r="D144" s="514"/>
      <c r="E144" s="514"/>
      <c r="F144" s="514"/>
      <c r="G144" s="514"/>
      <c r="H144" s="514"/>
      <c r="I144" s="511"/>
      <c r="J144" s="1603"/>
      <c r="K144" s="1603"/>
      <c r="L144" s="462"/>
      <c r="M144" s="498"/>
      <c r="N144" s="359"/>
      <c r="O144" s="363"/>
      <c r="P144" s="363"/>
      <c r="Q144" s="363"/>
      <c r="R144" s="363"/>
      <c r="S144" s="354"/>
      <c r="T144" s="363"/>
      <c r="U144" s="375"/>
      <c r="V144" s="358"/>
      <c r="W144" s="1091"/>
      <c r="X144" s="1114"/>
      <c r="Y144" s="1104"/>
      <c r="Z144" s="363"/>
      <c r="AA144" s="375"/>
      <c r="AB144" s="358"/>
      <c r="AC144" s="1091"/>
      <c r="AD144" s="1114"/>
      <c r="AE144" s="1104"/>
      <c r="AF144" s="358"/>
      <c r="AG144" s="358"/>
      <c r="AH144" s="358"/>
      <c r="AI144" s="358"/>
      <c r="AJ144" s="380"/>
      <c r="AK144" s="440"/>
      <c r="AM144" s="460">
        <v>144</v>
      </c>
      <c r="AN144" s="1078"/>
    </row>
    <row r="145" spans="1:54" ht="12" customHeight="1" x14ac:dyDescent="0.2">
      <c r="A145" s="440"/>
      <c r="B145" s="628"/>
      <c r="C145" s="380"/>
      <c r="D145" s="514"/>
      <c r="E145" s="1084" t="str">
        <f ca="1">IF(AX145="E","",AN145)</f>
        <v>Abluft- Ventilatoren LD15</v>
      </c>
      <c r="F145" s="1085"/>
      <c r="G145" s="1264"/>
      <c r="H145" s="1264"/>
      <c r="I145" s="1265"/>
      <c r="J145" s="638"/>
      <c r="K145" s="520"/>
      <c r="L145" s="521"/>
      <c r="M145" s="340"/>
      <c r="N145" s="553" t="s">
        <v>71</v>
      </c>
      <c r="O145" s="339"/>
      <c r="P145" s="524" t="s">
        <v>72</v>
      </c>
      <c r="Q145" s="344"/>
      <c r="R145" s="522" t="s">
        <v>363</v>
      </c>
      <c r="S145" s="353">
        <f t="shared" ref="S145:S146" ca="1" si="233">IF(AY145="E",(M145*O145)+Q145,AO145)</f>
        <v>6840</v>
      </c>
      <c r="T145" s="523"/>
      <c r="U145" s="350"/>
      <c r="V145" s="308"/>
      <c r="W145" s="1090" t="str">
        <f t="shared" ref="W145:W146" ca="1" si="234">IF(AZ145="E",IF(AND(V145&lt;&gt;0,U145&lt;&gt;0),"X",IF(AND(V145&lt;&gt;0,U145=0),"A",IF(AND(V145=0,U145&lt;&gt;0),"P",""))),AR145)</f>
        <v/>
      </c>
      <c r="X145" s="1103">
        <f t="shared" ref="X145:X146" ca="1" si="235">IF(AZ145="E",IFERROR(IF(W145="X",0,IF(U145&gt;0,U145,V145/S145)),0),
IFERROR(IF(OR(AR145="X",AR145=0),0,
IF(AR145="P",AP145,IF(AR145="A",AQ145/S145,0))),0))</f>
        <v>0</v>
      </c>
      <c r="Y145" s="1120">
        <f t="shared" ref="Y145:Y146" ca="1" si="236">IF(AZ145="E",IFERROR(IF(W145="X",0,IF(V145&gt;0,V145,S145*U145)),0),
IFERROR(IF(OR(AR145="X",AR145="0"),0,IF(AR145="A",AQ145,S145*AP145)),0))</f>
        <v>0</v>
      </c>
      <c r="Z145" s="524"/>
      <c r="AA145" s="350"/>
      <c r="AB145" s="308"/>
      <c r="AC145" s="1090" t="str">
        <f t="shared" ref="AC145:AC146" ca="1" si="237">IF(BA145="E",IF(AND(AB145&lt;&gt;0,AA145&lt;&gt;0),"X",IF(AND(AB145&lt;&gt;0,AA145=0),"A",IF(AND(AB145=0,AA145&lt;&gt;0),"P",""))),AU145)</f>
        <v/>
      </c>
      <c r="AD145" s="1103">
        <f t="shared" ref="AD145:AD146" ca="1" si="238">IF(BA145="E",IFERROR(IF(AC145="X",0,IF(AA145&gt;0,AA145,AB145/S145)),0),
IFERROR(IF(OR(AU145="X",AU145=0),0,
IF(AU145="P",AS145,IF(AU145="A",AT145/S145,0))),0))</f>
        <v>0</v>
      </c>
      <c r="AE145" s="1120">
        <f t="shared" ref="AE145:AE146" ca="1" si="239">IF(BA145="E",IFERROR(IF(AC145="X",0,IF(AB145&gt;0,AB145,S145*AA145)),0),
IFERROR(IF(OR(AU145="X",AU145=0),0,
IF(AU145="A",AT145,S145*AS145)),0))</f>
        <v>0</v>
      </c>
      <c r="AF145" s="525"/>
      <c r="AG145" s="637"/>
      <c r="AH145" s="525"/>
      <c r="AI145" s="1086">
        <f t="shared" ref="AI145:AI146" ca="1" si="240">IF(BB145="E",AG145,AV145)</f>
        <v>15</v>
      </c>
      <c r="AJ145" s="380"/>
      <c r="AK145" s="440"/>
      <c r="AM145" s="460">
        <v>145</v>
      </c>
      <c r="AN145" s="1087" t="str">
        <f t="shared" ref="AN145:AN146" ca="1" si="241">IF($M$13=$AN$12,"",IF(ISTEXT(INDIRECT("'"&amp;$AM$20&amp;"'!"&amp;AN$21&amp;$AM145)),INDIRECT("'"&amp;$AM$20&amp;"'!"&amp;AN$21&amp;$AM145),INDIRECT("'"&amp;$AM$20&amp;"'!"&amp;AN$22&amp;$AM145)))</f>
        <v>Abluft- Ventilatoren LD15</v>
      </c>
      <c r="AO145" s="1083">
        <f t="shared" ref="AO145:AV146" ca="1" si="242">IF($M$13=$AN$12,"",INDIRECT("'"&amp;$AM$20&amp;"'!"&amp;AO$21&amp;$AM145))</f>
        <v>6840</v>
      </c>
      <c r="AP145" s="356">
        <f t="shared" ca="1" si="242"/>
        <v>0</v>
      </c>
      <c r="AQ145" s="357">
        <f t="shared" ca="1" si="242"/>
        <v>0</v>
      </c>
      <c r="AR145" s="524" t="str">
        <f t="shared" ca="1" si="242"/>
        <v/>
      </c>
      <c r="AS145" s="356">
        <f t="shared" ca="1" si="242"/>
        <v>0</v>
      </c>
      <c r="AT145" s="357">
        <f t="shared" ca="1" si="242"/>
        <v>0</v>
      </c>
      <c r="AU145" s="524" t="str">
        <f t="shared" ca="1" si="242"/>
        <v/>
      </c>
      <c r="AV145" s="1083">
        <f t="shared" ca="1" si="242"/>
        <v>15</v>
      </c>
      <c r="AX145" s="1083" t="str">
        <f t="shared" ref="AX145:AX146" si="243">IF($M$13=$AN$12,"E",IF(ISTEXT(F145),"E","U"))</f>
        <v>U</v>
      </c>
      <c r="AY145" s="1083" t="str">
        <f t="shared" ref="AY145:AY146" si="244">IF($M$13=$AN$12,"E",IF(OR(ISNUMBER(M145),ISNUMBER(O145),ISNUMBER(Q145)),"E","U"))</f>
        <v>U</v>
      </c>
      <c r="AZ145" s="1083" t="str">
        <f t="shared" ref="AZ145:AZ146" si="245">IF($M$13=$AN$12,"E",IF(OR(ISNUMBER(U145),ISNUMBER(V145)),"E","U"))</f>
        <v>U</v>
      </c>
      <c r="BA145" s="1083" t="str">
        <f t="shared" ref="BA145:BA146" si="246">IF($M$13=$AN$12,"E",IF(OR(ISNUMBER(AA145),ISNUMBER(AB145)),"E","U"))</f>
        <v>U</v>
      </c>
      <c r="BB145" s="1083" t="str">
        <f t="shared" ref="BB145:BB146" si="247">IF($M$13=$AN$12,"E",IF(ISNUMBER(AG145),"E","U"))</f>
        <v>U</v>
      </c>
    </row>
    <row r="146" spans="1:54" ht="12" customHeight="1" x14ac:dyDescent="0.2">
      <c r="A146" s="440"/>
      <c r="B146" s="628"/>
      <c r="C146" s="380"/>
      <c r="D146" s="514"/>
      <c r="E146" s="1084" t="str">
        <f ca="1">IF(AX146="E","",AN146)</f>
        <v>Abluft mit Zuluftnachströmung LD50</v>
      </c>
      <c r="F146" s="1085"/>
      <c r="G146" s="1264"/>
      <c r="H146" s="1264"/>
      <c r="I146" s="1265"/>
      <c r="J146" s="638"/>
      <c r="K146" s="520"/>
      <c r="L146" s="521"/>
      <c r="M146" s="340"/>
      <c r="N146" s="553" t="s">
        <v>71</v>
      </c>
      <c r="O146" s="339"/>
      <c r="P146" s="524" t="s">
        <v>72</v>
      </c>
      <c r="Q146" s="344"/>
      <c r="R146" s="522" t="s">
        <v>363</v>
      </c>
      <c r="S146" s="353">
        <f t="shared" ca="1" si="233"/>
        <v>44582.400000000001</v>
      </c>
      <c r="T146" s="523"/>
      <c r="U146" s="350"/>
      <c r="V146" s="308"/>
      <c r="W146" s="1090" t="str">
        <f t="shared" ca="1" si="234"/>
        <v/>
      </c>
      <c r="X146" s="1103">
        <f t="shared" ca="1" si="235"/>
        <v>0</v>
      </c>
      <c r="Y146" s="1120">
        <f t="shared" ca="1" si="236"/>
        <v>0</v>
      </c>
      <c r="Z146" s="524"/>
      <c r="AA146" s="350"/>
      <c r="AB146" s="308"/>
      <c r="AC146" s="1090" t="str">
        <f t="shared" ca="1" si="237"/>
        <v>A</v>
      </c>
      <c r="AD146" s="1103">
        <f t="shared" ca="1" si="238"/>
        <v>3.117822279643985E-2</v>
      </c>
      <c r="AE146" s="1120">
        <f t="shared" ca="1" si="239"/>
        <v>1390</v>
      </c>
      <c r="AF146" s="525"/>
      <c r="AG146" s="637"/>
      <c r="AH146" s="525"/>
      <c r="AI146" s="1086">
        <f t="shared" ca="1" si="240"/>
        <v>50</v>
      </c>
      <c r="AJ146" s="380"/>
      <c r="AK146" s="440"/>
      <c r="AM146" s="460">
        <v>146</v>
      </c>
      <c r="AN146" s="1087" t="str">
        <f t="shared" ca="1" si="241"/>
        <v>Abluft mit Zuluftnachströmung LD50</v>
      </c>
      <c r="AO146" s="1083">
        <f t="shared" ca="1" si="242"/>
        <v>44582.400000000001</v>
      </c>
      <c r="AP146" s="356">
        <f t="shared" ca="1" si="242"/>
        <v>0</v>
      </c>
      <c r="AQ146" s="357">
        <f t="shared" ca="1" si="242"/>
        <v>0</v>
      </c>
      <c r="AR146" s="524" t="str">
        <f t="shared" ca="1" si="242"/>
        <v/>
      </c>
      <c r="AS146" s="356">
        <f t="shared" ca="1" si="242"/>
        <v>3.117822279643985E-2</v>
      </c>
      <c r="AT146" s="357">
        <f t="shared" ca="1" si="242"/>
        <v>1390</v>
      </c>
      <c r="AU146" s="524" t="str">
        <f t="shared" ca="1" si="242"/>
        <v>A</v>
      </c>
      <c r="AV146" s="1083">
        <f t="shared" ca="1" si="242"/>
        <v>50</v>
      </c>
      <c r="AX146" s="1083" t="str">
        <f t="shared" si="243"/>
        <v>U</v>
      </c>
      <c r="AY146" s="1083" t="str">
        <f t="shared" si="244"/>
        <v>U</v>
      </c>
      <c r="AZ146" s="1083" t="str">
        <f t="shared" si="245"/>
        <v>U</v>
      </c>
      <c r="BA146" s="1083" t="str">
        <f t="shared" si="246"/>
        <v>U</v>
      </c>
      <c r="BB146" s="1083" t="str">
        <f t="shared" si="247"/>
        <v>U</v>
      </c>
    </row>
    <row r="147" spans="1:54" ht="12" customHeight="1" x14ac:dyDescent="0.25">
      <c r="A147" s="440"/>
      <c r="B147" s="628"/>
      <c r="C147" s="380"/>
      <c r="D147" s="514" t="s">
        <v>35</v>
      </c>
      <c r="E147" s="1599" t="s">
        <v>194</v>
      </c>
      <c r="F147" s="1599"/>
      <c r="G147" s="1599"/>
      <c r="H147" s="1599"/>
      <c r="I147" s="1597"/>
      <c r="J147" s="501"/>
      <c r="K147" s="462"/>
      <c r="L147" s="462"/>
      <c r="M147" s="498"/>
      <c r="N147" s="359"/>
      <c r="O147" s="365"/>
      <c r="P147" s="363"/>
      <c r="Q147" s="363"/>
      <c r="R147" s="363"/>
      <c r="S147" s="354">
        <f ca="1">SUBTOTAL(109,S149:S150)</f>
        <v>0</v>
      </c>
      <c r="T147" s="363"/>
      <c r="U147" s="376"/>
      <c r="V147" s="365"/>
      <c r="W147" s="1093"/>
      <c r="X147" s="1115"/>
      <c r="Y147" s="1122"/>
      <c r="Z147" s="363"/>
      <c r="AA147" s="376"/>
      <c r="AB147" s="365"/>
      <c r="AC147" s="1093"/>
      <c r="AD147" s="1115"/>
      <c r="AE147" s="1122"/>
      <c r="AF147" s="363"/>
      <c r="AG147" s="363"/>
      <c r="AH147" s="363"/>
      <c r="AI147" s="358"/>
      <c r="AJ147" s="380"/>
      <c r="AK147" s="440"/>
      <c r="AM147" s="460">
        <v>147</v>
      </c>
      <c r="AN147" s="1078"/>
    </row>
    <row r="148" spans="1:54" ht="12" customHeight="1" x14ac:dyDescent="0.25">
      <c r="A148" s="440"/>
      <c r="B148" s="628"/>
      <c r="C148" s="380"/>
      <c r="D148" s="514"/>
      <c r="E148" s="514"/>
      <c r="F148" s="514"/>
      <c r="G148" s="514"/>
      <c r="H148" s="514"/>
      <c r="I148" s="511"/>
      <c r="J148" s="1603"/>
      <c r="K148" s="1603"/>
      <c r="L148" s="462"/>
      <c r="M148" s="498"/>
      <c r="N148" s="359"/>
      <c r="O148" s="365"/>
      <c r="P148" s="363"/>
      <c r="Q148" s="363"/>
      <c r="R148" s="363"/>
      <c r="S148" s="354"/>
      <c r="T148" s="363"/>
      <c r="U148" s="376"/>
      <c r="V148" s="365"/>
      <c r="W148" s="1093"/>
      <c r="X148" s="1115"/>
      <c r="Y148" s="1122"/>
      <c r="Z148" s="363"/>
      <c r="AA148" s="376"/>
      <c r="AB148" s="365"/>
      <c r="AC148" s="1093"/>
      <c r="AD148" s="1115"/>
      <c r="AE148" s="1122"/>
      <c r="AF148" s="363"/>
      <c r="AG148" s="363"/>
      <c r="AH148" s="363"/>
      <c r="AI148" s="358"/>
      <c r="AJ148" s="380"/>
      <c r="AK148" s="440"/>
      <c r="AM148" s="460">
        <v>148</v>
      </c>
      <c r="AN148" s="1078"/>
    </row>
    <row r="149" spans="1:54" ht="12" customHeight="1" x14ac:dyDescent="0.2">
      <c r="A149" s="440"/>
      <c r="B149" s="628"/>
      <c r="C149" s="554"/>
      <c r="D149" s="514"/>
      <c r="E149" s="1084">
        <f ca="1">IF(AX149="E","",AN149)</f>
        <v>0</v>
      </c>
      <c r="F149" s="1085"/>
      <c r="G149" s="1264"/>
      <c r="H149" s="1264"/>
      <c r="I149" s="1265"/>
      <c r="J149" s="638"/>
      <c r="K149" s="520"/>
      <c r="L149" s="521"/>
      <c r="M149" s="340"/>
      <c r="N149" s="553" t="s">
        <v>71</v>
      </c>
      <c r="O149" s="339"/>
      <c r="P149" s="524" t="s">
        <v>72</v>
      </c>
      <c r="Q149" s="344"/>
      <c r="R149" s="522" t="s">
        <v>363</v>
      </c>
      <c r="S149" s="353">
        <f t="shared" ref="S149:S150" ca="1" si="248">IF(AY149="E",(M149*O149)+Q149,AO149)</f>
        <v>0</v>
      </c>
      <c r="T149" s="523"/>
      <c r="U149" s="350"/>
      <c r="V149" s="308"/>
      <c r="W149" s="1090" t="str">
        <f t="shared" ref="W149:W150" ca="1" si="249">IF(AZ149="E",IF(AND(V149&lt;&gt;0,U149&lt;&gt;0),"X",IF(AND(V149&lt;&gt;0,U149=0),"A",IF(AND(V149=0,U149&lt;&gt;0),"P",""))),AR149)</f>
        <v/>
      </c>
      <c r="X149" s="1103">
        <f t="shared" ref="X149:X150" ca="1" si="250">IF(AZ149="E",IFERROR(IF(W149="X",0,IF(U149&gt;0,U149,V149/S149)),0),
IFERROR(IF(OR(AR149="X",AR149=0),0,
IF(AR149="P",AP149,IF(AR149="A",AQ149/S149,0))),0))</f>
        <v>0</v>
      </c>
      <c r="Y149" s="1120">
        <f t="shared" ref="Y149:Y150" ca="1" si="251">IF(AZ149="E",IFERROR(IF(W149="X",0,IF(V149&gt;0,V149,S149*U149)),0),
IFERROR(IF(OR(AR149="X",AR149="0"),0,IF(AR149="A",AQ149,S149*AP149)),0))</f>
        <v>0</v>
      </c>
      <c r="Z149" s="524"/>
      <c r="AA149" s="350"/>
      <c r="AB149" s="308"/>
      <c r="AC149" s="1090" t="str">
        <f t="shared" ref="AC149:AC150" ca="1" si="252">IF(BA149="E",IF(AND(AB149&lt;&gt;0,AA149&lt;&gt;0),"X",IF(AND(AB149&lt;&gt;0,AA149=0),"A",IF(AND(AB149=0,AA149&lt;&gt;0),"P",""))),AU149)</f>
        <v/>
      </c>
      <c r="AD149" s="1103">
        <f t="shared" ref="AD149:AD150" ca="1" si="253">IF(BA149="E",IFERROR(IF(AC149="X",0,IF(AA149&gt;0,AA149,AB149/S149)),0),
IFERROR(IF(OR(AU149="X",AU149=0),0,
IF(AU149="P",AS149,IF(AU149="A",AT149/S149,0))),0))</f>
        <v>0</v>
      </c>
      <c r="AE149" s="1120">
        <f t="shared" ref="AE149:AE150" ca="1" si="254">IF(BA149="E",IFERROR(IF(AC149="X",0,IF(AB149&gt;0,AB149,S149*AA149)),0),
IFERROR(IF(OR(AU149="X",AU149=0),0,
IF(AU149="A",AT149,S149*AS149)),0))</f>
        <v>0</v>
      </c>
      <c r="AF149" s="525"/>
      <c r="AG149" s="637"/>
      <c r="AH149" s="525"/>
      <c r="AI149" s="1086">
        <f t="shared" ref="AI149:AI150" ca="1" si="255">IF(BB149="E",AG149,AV149)</f>
        <v>0</v>
      </c>
      <c r="AJ149" s="380"/>
      <c r="AK149" s="440"/>
      <c r="AM149" s="460">
        <v>149</v>
      </c>
      <c r="AN149" s="1087">
        <f t="shared" ref="AN149:AN150" ca="1" si="256">IF($M$13=$AN$12,"",IF(ISTEXT(INDIRECT("'"&amp;$AM$20&amp;"'!"&amp;AN$21&amp;$AM149)),INDIRECT("'"&amp;$AM$20&amp;"'!"&amp;AN$21&amp;$AM149),INDIRECT("'"&amp;$AM$20&amp;"'!"&amp;AN$22&amp;$AM149)))</f>
        <v>0</v>
      </c>
      <c r="AO149" s="1083">
        <f t="shared" ref="AO149:AV150" ca="1" si="257">IF($M$13=$AN$12,"",INDIRECT("'"&amp;$AM$20&amp;"'!"&amp;AO$21&amp;$AM149))</f>
        <v>0</v>
      </c>
      <c r="AP149" s="356">
        <f t="shared" ca="1" si="257"/>
        <v>0</v>
      </c>
      <c r="AQ149" s="357">
        <f t="shared" ca="1" si="257"/>
        <v>0</v>
      </c>
      <c r="AR149" s="524" t="str">
        <f t="shared" ca="1" si="257"/>
        <v/>
      </c>
      <c r="AS149" s="356">
        <f t="shared" ca="1" si="257"/>
        <v>0</v>
      </c>
      <c r="AT149" s="357">
        <f t="shared" ca="1" si="257"/>
        <v>0</v>
      </c>
      <c r="AU149" s="524" t="str">
        <f t="shared" ca="1" si="257"/>
        <v/>
      </c>
      <c r="AV149" s="1083">
        <f t="shared" ca="1" si="257"/>
        <v>0</v>
      </c>
      <c r="AX149" s="1083" t="str">
        <f t="shared" ref="AX149:AX150" si="258">IF($M$13=$AN$12,"E",IF(ISTEXT(F149),"E","U"))</f>
        <v>U</v>
      </c>
      <c r="AY149" s="1083" t="str">
        <f t="shared" ref="AY149:AY150" si="259">IF($M$13=$AN$12,"E",IF(OR(ISNUMBER(M149),ISNUMBER(O149),ISNUMBER(Q149)),"E","U"))</f>
        <v>U</v>
      </c>
      <c r="AZ149" s="1083" t="str">
        <f t="shared" ref="AZ149:AZ150" si="260">IF($M$13=$AN$12,"E",IF(OR(ISNUMBER(U149),ISNUMBER(V149)),"E","U"))</f>
        <v>U</v>
      </c>
      <c r="BA149" s="1083" t="str">
        <f t="shared" ref="BA149:BA150" si="261">IF($M$13=$AN$12,"E",IF(OR(ISNUMBER(AA149),ISNUMBER(AB149)),"E","U"))</f>
        <v>U</v>
      </c>
      <c r="BB149" s="1083" t="str">
        <f t="shared" ref="BB149:BB150" si="262">IF($M$13=$AN$12,"E",IF(ISNUMBER(AG149),"E","U"))</f>
        <v>U</v>
      </c>
    </row>
    <row r="150" spans="1:54" ht="12" customHeight="1" x14ac:dyDescent="0.2">
      <c r="A150" s="440"/>
      <c r="B150" s="628"/>
      <c r="C150" s="554"/>
      <c r="D150" s="514"/>
      <c r="E150" s="1084">
        <f ca="1">IF(AX150="E","",AN150)</f>
        <v>0</v>
      </c>
      <c r="F150" s="1085"/>
      <c r="G150" s="1264"/>
      <c r="H150" s="1264"/>
      <c r="I150" s="1265"/>
      <c r="J150" s="638"/>
      <c r="K150" s="520"/>
      <c r="L150" s="521"/>
      <c r="M150" s="340"/>
      <c r="N150" s="553" t="s">
        <v>71</v>
      </c>
      <c r="O150" s="339"/>
      <c r="P150" s="524" t="s">
        <v>72</v>
      </c>
      <c r="Q150" s="344"/>
      <c r="R150" s="522" t="s">
        <v>363</v>
      </c>
      <c r="S150" s="353">
        <f t="shared" ca="1" si="248"/>
        <v>0</v>
      </c>
      <c r="T150" s="523"/>
      <c r="U150" s="350"/>
      <c r="V150" s="308"/>
      <c r="W150" s="1090" t="str">
        <f t="shared" ca="1" si="249"/>
        <v/>
      </c>
      <c r="X150" s="1103">
        <f t="shared" ca="1" si="250"/>
        <v>0</v>
      </c>
      <c r="Y150" s="1120">
        <f t="shared" ca="1" si="251"/>
        <v>0</v>
      </c>
      <c r="Z150" s="524"/>
      <c r="AA150" s="350"/>
      <c r="AB150" s="308"/>
      <c r="AC150" s="1090" t="str">
        <f t="shared" ca="1" si="252"/>
        <v/>
      </c>
      <c r="AD150" s="1103">
        <f t="shared" ca="1" si="253"/>
        <v>0</v>
      </c>
      <c r="AE150" s="1120">
        <f t="shared" ca="1" si="254"/>
        <v>0</v>
      </c>
      <c r="AF150" s="525"/>
      <c r="AG150" s="637"/>
      <c r="AH150" s="525"/>
      <c r="AI150" s="1086">
        <f t="shared" ca="1" si="255"/>
        <v>0</v>
      </c>
      <c r="AJ150" s="380"/>
      <c r="AK150" s="440"/>
      <c r="AM150" s="460">
        <v>150</v>
      </c>
      <c r="AN150" s="1087">
        <f t="shared" ca="1" si="256"/>
        <v>0</v>
      </c>
      <c r="AO150" s="1083">
        <f t="shared" ca="1" si="257"/>
        <v>0</v>
      </c>
      <c r="AP150" s="356">
        <f t="shared" ca="1" si="257"/>
        <v>0</v>
      </c>
      <c r="AQ150" s="357">
        <f t="shared" ca="1" si="257"/>
        <v>0</v>
      </c>
      <c r="AR150" s="524" t="str">
        <f t="shared" ca="1" si="257"/>
        <v/>
      </c>
      <c r="AS150" s="356">
        <f t="shared" ca="1" si="257"/>
        <v>0</v>
      </c>
      <c r="AT150" s="357">
        <f t="shared" ca="1" si="257"/>
        <v>0</v>
      </c>
      <c r="AU150" s="524" t="str">
        <f t="shared" ca="1" si="257"/>
        <v/>
      </c>
      <c r="AV150" s="1083">
        <f t="shared" ca="1" si="257"/>
        <v>0</v>
      </c>
      <c r="AX150" s="1083" t="str">
        <f t="shared" si="258"/>
        <v>U</v>
      </c>
      <c r="AY150" s="1083" t="str">
        <f t="shared" si="259"/>
        <v>U</v>
      </c>
      <c r="AZ150" s="1083" t="str">
        <f t="shared" si="260"/>
        <v>U</v>
      </c>
      <c r="BA150" s="1083" t="str">
        <f t="shared" si="261"/>
        <v>U</v>
      </c>
      <c r="BB150" s="1083" t="str">
        <f t="shared" si="262"/>
        <v>U</v>
      </c>
    </row>
    <row r="151" spans="1:54" ht="12" customHeight="1" x14ac:dyDescent="0.2">
      <c r="A151" s="440"/>
      <c r="B151" s="628"/>
      <c r="C151" s="554"/>
      <c r="D151" s="514" t="s">
        <v>327</v>
      </c>
      <c r="E151" s="1607" t="s">
        <v>307</v>
      </c>
      <c r="F151" s="1607"/>
      <c r="G151" s="1607"/>
      <c r="H151" s="1607"/>
      <c r="I151" s="1607"/>
      <c r="J151" s="519"/>
      <c r="K151" s="503"/>
      <c r="L151" s="503"/>
      <c r="M151" s="498"/>
      <c r="N151" s="359"/>
      <c r="O151" s="365"/>
      <c r="P151" s="363"/>
      <c r="Q151" s="363"/>
      <c r="R151" s="363"/>
      <c r="S151" s="354">
        <f ca="1">SUBTOTAL(109,S153:S154)</f>
        <v>0</v>
      </c>
      <c r="T151" s="363"/>
      <c r="U151" s="376"/>
      <c r="V151" s="365"/>
      <c r="W151" s="1093"/>
      <c r="X151" s="1115"/>
      <c r="Y151" s="1122"/>
      <c r="Z151" s="363"/>
      <c r="AA151" s="376"/>
      <c r="AB151" s="365"/>
      <c r="AC151" s="1093"/>
      <c r="AD151" s="1115"/>
      <c r="AE151" s="1122"/>
      <c r="AF151" s="363"/>
      <c r="AG151" s="363"/>
      <c r="AH151" s="363"/>
      <c r="AI151" s="358"/>
      <c r="AJ151" s="380"/>
      <c r="AK151" s="440"/>
      <c r="AM151" s="460">
        <v>151</v>
      </c>
      <c r="AN151" s="1078"/>
    </row>
    <row r="152" spans="1:54" ht="12" customHeight="1" x14ac:dyDescent="0.2">
      <c r="A152" s="440"/>
      <c r="B152" s="628"/>
      <c r="C152" s="554"/>
      <c r="D152" s="514"/>
      <c r="E152" s="539"/>
      <c r="F152" s="539"/>
      <c r="G152" s="539"/>
      <c r="H152" s="539"/>
      <c r="I152" s="539"/>
      <c r="J152" s="1603"/>
      <c r="K152" s="1603"/>
      <c r="L152" s="503"/>
      <c r="M152" s="498"/>
      <c r="N152" s="359"/>
      <c r="O152" s="365"/>
      <c r="P152" s="363"/>
      <c r="Q152" s="363"/>
      <c r="R152" s="363"/>
      <c r="S152" s="354"/>
      <c r="T152" s="363"/>
      <c r="U152" s="376"/>
      <c r="V152" s="365"/>
      <c r="W152" s="1093"/>
      <c r="X152" s="1115"/>
      <c r="Y152" s="1122"/>
      <c r="Z152" s="363"/>
      <c r="AA152" s="376"/>
      <c r="AB152" s="365"/>
      <c r="AC152" s="1093"/>
      <c r="AD152" s="1115"/>
      <c r="AE152" s="1122"/>
      <c r="AF152" s="363"/>
      <c r="AG152" s="363"/>
      <c r="AH152" s="363"/>
      <c r="AI152" s="358"/>
      <c r="AJ152" s="380"/>
      <c r="AK152" s="440"/>
      <c r="AM152" s="460">
        <v>152</v>
      </c>
      <c r="AN152" s="1078"/>
    </row>
    <row r="153" spans="1:54" ht="12" customHeight="1" x14ac:dyDescent="0.2">
      <c r="A153" s="440"/>
      <c r="B153" s="628"/>
      <c r="C153" s="554"/>
      <c r="D153" s="514"/>
      <c r="E153" s="1084">
        <f ca="1">IF(AX153="E","",AN153)</f>
        <v>0</v>
      </c>
      <c r="F153" s="1085"/>
      <c r="G153" s="1264"/>
      <c r="H153" s="1264"/>
      <c r="I153" s="1265"/>
      <c r="J153" s="638"/>
      <c r="K153" s="520"/>
      <c r="L153" s="521"/>
      <c r="M153" s="340"/>
      <c r="N153" s="553" t="s">
        <v>71</v>
      </c>
      <c r="O153" s="339"/>
      <c r="P153" s="524" t="s">
        <v>72</v>
      </c>
      <c r="Q153" s="344"/>
      <c r="R153" s="522" t="s">
        <v>363</v>
      </c>
      <c r="S153" s="353">
        <f t="shared" ref="S153:S154" ca="1" si="263">IF(AY153="E",(M153*O153)+Q153,AO153)</f>
        <v>0</v>
      </c>
      <c r="T153" s="523"/>
      <c r="U153" s="350"/>
      <c r="V153" s="308"/>
      <c r="W153" s="1090" t="str">
        <f t="shared" ref="W153:W154" ca="1" si="264">IF(AZ153="E",IF(AND(V153&lt;&gt;0,U153&lt;&gt;0),"X",IF(AND(V153&lt;&gt;0,U153=0),"A",IF(AND(V153=0,U153&lt;&gt;0),"P",""))),AR153)</f>
        <v/>
      </c>
      <c r="X153" s="1103">
        <f t="shared" ref="X153:X154" ca="1" si="265">IF(AZ153="E",IFERROR(IF(W153="X",0,IF(U153&gt;0,U153,V153/S153)),0),
IFERROR(IF(OR(AR153="X",AR153=0),0,
IF(AR153="P",AP153,IF(AR153="A",AQ153/S153,0))),0))</f>
        <v>0</v>
      </c>
      <c r="Y153" s="1120">
        <f t="shared" ref="Y153:Y154" ca="1" si="266">IF(AZ153="E",IFERROR(IF(W153="X",0,IF(V153&gt;0,V153,S153*U153)),0),
IFERROR(IF(OR(AR153="X",AR153="0"),0,IF(AR153="A",AQ153,S153*AP153)),0))</f>
        <v>0</v>
      </c>
      <c r="Z153" s="524"/>
      <c r="AA153" s="350"/>
      <c r="AB153" s="308"/>
      <c r="AC153" s="1090" t="str">
        <f t="shared" ref="AC153:AC154" ca="1" si="267">IF(BA153="E",IF(AND(AB153&lt;&gt;0,AA153&lt;&gt;0),"X",IF(AND(AB153&lt;&gt;0,AA153=0),"A",IF(AND(AB153=0,AA153&lt;&gt;0),"P",""))),AU153)</f>
        <v/>
      </c>
      <c r="AD153" s="1103">
        <f t="shared" ref="AD153:AD154" ca="1" si="268">IF(BA153="E",IFERROR(IF(AC153="X",0,IF(AA153&gt;0,AA153,AB153/S153)),0),
IFERROR(IF(OR(AU153="X",AU153=0),0,
IF(AU153="P",AS153,IF(AU153="A",AT153/S153,0))),0))</f>
        <v>0</v>
      </c>
      <c r="AE153" s="1120">
        <f t="shared" ref="AE153:AE154" ca="1" si="269">IF(BA153="E",IFERROR(IF(AC153="X",0,IF(AB153&gt;0,AB153,S153*AA153)),0),
IFERROR(IF(OR(AU153="X",AU153=0),0,
IF(AU153="A",AT153,S153*AS153)),0))</f>
        <v>0</v>
      </c>
      <c r="AF153" s="525"/>
      <c r="AG153" s="637"/>
      <c r="AH153" s="525"/>
      <c r="AI153" s="1086">
        <f t="shared" ref="AI153:AI154" ca="1" si="270">IF(BB153="E",AG153,AV153)</f>
        <v>0</v>
      </c>
      <c r="AJ153" s="380"/>
      <c r="AK153" s="440"/>
      <c r="AM153" s="460">
        <v>153</v>
      </c>
      <c r="AN153" s="1087">
        <f t="shared" ref="AN153:AN154" ca="1" si="271">IF($M$13=$AN$12,"",IF(ISTEXT(INDIRECT("'"&amp;$AM$20&amp;"'!"&amp;AN$21&amp;$AM153)),INDIRECT("'"&amp;$AM$20&amp;"'!"&amp;AN$21&amp;$AM153),INDIRECT("'"&amp;$AM$20&amp;"'!"&amp;AN$22&amp;$AM153)))</f>
        <v>0</v>
      </c>
      <c r="AO153" s="1083">
        <f t="shared" ref="AO153:AV154" ca="1" si="272">IF($M$13=$AN$12,"",INDIRECT("'"&amp;$AM$20&amp;"'!"&amp;AO$21&amp;$AM153))</f>
        <v>0</v>
      </c>
      <c r="AP153" s="356">
        <f t="shared" ca="1" si="272"/>
        <v>0</v>
      </c>
      <c r="AQ153" s="357">
        <f t="shared" ca="1" si="272"/>
        <v>0</v>
      </c>
      <c r="AR153" s="524" t="str">
        <f t="shared" ca="1" si="272"/>
        <v/>
      </c>
      <c r="AS153" s="356">
        <f t="shared" ca="1" si="272"/>
        <v>0</v>
      </c>
      <c r="AT153" s="357">
        <f t="shared" ca="1" si="272"/>
        <v>0</v>
      </c>
      <c r="AU153" s="524" t="str">
        <f t="shared" ca="1" si="272"/>
        <v/>
      </c>
      <c r="AV153" s="1083">
        <f t="shared" ca="1" si="272"/>
        <v>0</v>
      </c>
      <c r="AX153" s="1083" t="str">
        <f t="shared" ref="AX153:AX154" si="273">IF($M$13=$AN$12,"E",IF(ISTEXT(F153),"E","U"))</f>
        <v>U</v>
      </c>
      <c r="AY153" s="1083" t="str">
        <f t="shared" ref="AY153:AY154" si="274">IF($M$13=$AN$12,"E",IF(OR(ISNUMBER(M153),ISNUMBER(O153),ISNUMBER(Q153)),"E","U"))</f>
        <v>U</v>
      </c>
      <c r="AZ153" s="1083" t="str">
        <f t="shared" ref="AZ153:AZ154" si="275">IF($M$13=$AN$12,"E",IF(OR(ISNUMBER(U153),ISNUMBER(V153)),"E","U"))</f>
        <v>U</v>
      </c>
      <c r="BA153" s="1083" t="str">
        <f t="shared" ref="BA153:BA154" si="276">IF($M$13=$AN$12,"E",IF(OR(ISNUMBER(AA153),ISNUMBER(AB153)),"E","U"))</f>
        <v>U</v>
      </c>
      <c r="BB153" s="1083" t="str">
        <f t="shared" ref="BB153:BB154" si="277">IF($M$13=$AN$12,"E",IF(ISNUMBER(AG153),"E","U"))</f>
        <v>U</v>
      </c>
    </row>
    <row r="154" spans="1:54" ht="12" customHeight="1" x14ac:dyDescent="0.2">
      <c r="A154" s="440"/>
      <c r="B154" s="628"/>
      <c r="C154" s="554"/>
      <c r="D154" s="514"/>
      <c r="E154" s="1084">
        <f ca="1">IF(AX154="E","",AN154)</f>
        <v>0</v>
      </c>
      <c r="F154" s="1085"/>
      <c r="G154" s="1264"/>
      <c r="H154" s="1264"/>
      <c r="I154" s="1265"/>
      <c r="J154" s="638"/>
      <c r="K154" s="520"/>
      <c r="L154" s="521"/>
      <c r="M154" s="340"/>
      <c r="N154" s="553" t="s">
        <v>71</v>
      </c>
      <c r="O154" s="339"/>
      <c r="P154" s="524" t="s">
        <v>72</v>
      </c>
      <c r="Q154" s="344"/>
      <c r="R154" s="522" t="s">
        <v>363</v>
      </c>
      <c r="S154" s="353">
        <f t="shared" ca="1" si="263"/>
        <v>0</v>
      </c>
      <c r="T154" s="523"/>
      <c r="U154" s="350"/>
      <c r="V154" s="308"/>
      <c r="W154" s="1090" t="str">
        <f t="shared" ca="1" si="264"/>
        <v/>
      </c>
      <c r="X154" s="1103">
        <f t="shared" ca="1" si="265"/>
        <v>0</v>
      </c>
      <c r="Y154" s="1120">
        <f t="shared" ca="1" si="266"/>
        <v>0</v>
      </c>
      <c r="Z154" s="524"/>
      <c r="AA154" s="350"/>
      <c r="AB154" s="308"/>
      <c r="AC154" s="1090" t="str">
        <f t="shared" ca="1" si="267"/>
        <v/>
      </c>
      <c r="AD154" s="1103">
        <f t="shared" ca="1" si="268"/>
        <v>0</v>
      </c>
      <c r="AE154" s="1120">
        <f t="shared" ca="1" si="269"/>
        <v>0</v>
      </c>
      <c r="AF154" s="525"/>
      <c r="AG154" s="637"/>
      <c r="AH154" s="525"/>
      <c r="AI154" s="1086">
        <f t="shared" ca="1" si="270"/>
        <v>0</v>
      </c>
      <c r="AJ154" s="380"/>
      <c r="AK154" s="440"/>
      <c r="AM154" s="460">
        <v>154</v>
      </c>
      <c r="AN154" s="1087">
        <f t="shared" ca="1" si="271"/>
        <v>0</v>
      </c>
      <c r="AO154" s="1083">
        <f t="shared" ca="1" si="272"/>
        <v>0</v>
      </c>
      <c r="AP154" s="356">
        <f t="shared" ca="1" si="272"/>
        <v>0</v>
      </c>
      <c r="AQ154" s="357">
        <f t="shared" ca="1" si="272"/>
        <v>0</v>
      </c>
      <c r="AR154" s="524" t="str">
        <f t="shared" ca="1" si="272"/>
        <v/>
      </c>
      <c r="AS154" s="356">
        <f t="shared" ca="1" si="272"/>
        <v>0</v>
      </c>
      <c r="AT154" s="357">
        <f t="shared" ca="1" si="272"/>
        <v>0</v>
      </c>
      <c r="AU154" s="524" t="str">
        <f t="shared" ca="1" si="272"/>
        <v/>
      </c>
      <c r="AV154" s="1083">
        <f t="shared" ca="1" si="272"/>
        <v>0</v>
      </c>
      <c r="AX154" s="1083" t="str">
        <f t="shared" si="273"/>
        <v>U</v>
      </c>
      <c r="AY154" s="1083" t="str">
        <f t="shared" si="274"/>
        <v>U</v>
      </c>
      <c r="AZ154" s="1083" t="str">
        <f t="shared" si="275"/>
        <v>U</v>
      </c>
      <c r="BA154" s="1083" t="str">
        <f t="shared" si="276"/>
        <v>U</v>
      </c>
      <c r="BB154" s="1083" t="str">
        <f t="shared" si="277"/>
        <v>U</v>
      </c>
    </row>
    <row r="155" spans="1:54" ht="14.25" customHeight="1" collapsed="1" x14ac:dyDescent="0.25">
      <c r="A155" s="440"/>
      <c r="B155" s="628"/>
      <c r="C155" s="513" t="s">
        <v>34</v>
      </c>
      <c r="D155" s="494"/>
      <c r="E155" s="1596" t="s">
        <v>33</v>
      </c>
      <c r="F155" s="1596"/>
      <c r="G155" s="1596"/>
      <c r="H155" s="1596"/>
      <c r="I155" s="1597"/>
      <c r="J155" s="501"/>
      <c r="K155" s="462"/>
      <c r="L155" s="462"/>
      <c r="M155" s="498"/>
      <c r="N155" s="359"/>
      <c r="O155" s="365"/>
      <c r="P155" s="363"/>
      <c r="Q155" s="363"/>
      <c r="R155" s="363"/>
      <c r="S155" s="355">
        <f ca="1">S156+S163</f>
        <v>0</v>
      </c>
      <c r="T155" s="363"/>
      <c r="U155" s="375"/>
      <c r="V155" s="361"/>
      <c r="W155" s="1091"/>
      <c r="X155" s="1114"/>
      <c r="Y155" s="1121"/>
      <c r="Z155" s="363"/>
      <c r="AA155" s="375"/>
      <c r="AB155" s="361"/>
      <c r="AC155" s="1091"/>
      <c r="AD155" s="1114"/>
      <c r="AE155" s="1121"/>
      <c r="AF155" s="358"/>
      <c r="AG155" s="358"/>
      <c r="AH155" s="358"/>
      <c r="AI155" s="358"/>
      <c r="AJ155" s="380"/>
      <c r="AK155" s="440"/>
      <c r="AM155" s="460">
        <v>155</v>
      </c>
      <c r="AN155" s="1078"/>
    </row>
    <row r="156" spans="1:54" ht="12" customHeight="1" x14ac:dyDescent="0.25">
      <c r="A156" s="440"/>
      <c r="B156" s="628"/>
      <c r="C156" s="380"/>
      <c r="D156" s="514" t="s">
        <v>32</v>
      </c>
      <c r="E156" s="1599" t="s">
        <v>31</v>
      </c>
      <c r="F156" s="1599"/>
      <c r="G156" s="1599"/>
      <c r="H156" s="1599"/>
      <c r="I156" s="1597"/>
      <c r="J156" s="501"/>
      <c r="K156" s="462"/>
      <c r="L156" s="462"/>
      <c r="M156" s="498"/>
      <c r="N156" s="359"/>
      <c r="O156" s="365"/>
      <c r="P156" s="363"/>
      <c r="Q156" s="363"/>
      <c r="R156" s="363"/>
      <c r="S156" s="354">
        <f ca="1">SUBTOTAL(109,S158:S161)</f>
        <v>0</v>
      </c>
      <c r="T156" s="363"/>
      <c r="U156" s="375"/>
      <c r="V156" s="361"/>
      <c r="W156" s="1091"/>
      <c r="X156" s="1114"/>
      <c r="Y156" s="1121"/>
      <c r="Z156" s="363"/>
      <c r="AA156" s="375"/>
      <c r="AB156" s="361"/>
      <c r="AC156" s="1091"/>
      <c r="AD156" s="1114"/>
      <c r="AE156" s="1121"/>
      <c r="AF156" s="358"/>
      <c r="AG156" s="358"/>
      <c r="AH156" s="358"/>
      <c r="AI156" s="358"/>
      <c r="AJ156" s="380"/>
      <c r="AK156" s="440"/>
      <c r="AM156" s="460">
        <v>156</v>
      </c>
      <c r="AN156" s="1078"/>
    </row>
    <row r="157" spans="1:54" ht="12" customHeight="1" x14ac:dyDescent="0.25">
      <c r="A157" s="440"/>
      <c r="B157" s="628"/>
      <c r="C157" s="380"/>
      <c r="D157" s="514"/>
      <c r="E157" s="514"/>
      <c r="F157" s="514"/>
      <c r="G157" s="514"/>
      <c r="H157" s="514"/>
      <c r="I157" s="511"/>
      <c r="J157" s="1603" t="s">
        <v>188</v>
      </c>
      <c r="K157" s="1603"/>
      <c r="L157" s="462"/>
      <c r="M157" s="498"/>
      <c r="N157" s="359"/>
      <c r="O157" s="365"/>
      <c r="P157" s="363"/>
      <c r="Q157" s="363"/>
      <c r="R157" s="363"/>
      <c r="S157" s="354"/>
      <c r="T157" s="363"/>
      <c r="U157" s="375"/>
      <c r="V157" s="361"/>
      <c r="W157" s="1091"/>
      <c r="X157" s="1114"/>
      <c r="Y157" s="1121"/>
      <c r="Z157" s="363"/>
      <c r="AA157" s="375"/>
      <c r="AB157" s="361"/>
      <c r="AC157" s="1091"/>
      <c r="AD157" s="1114"/>
      <c r="AE157" s="1121"/>
      <c r="AF157" s="358"/>
      <c r="AG157" s="358"/>
      <c r="AH157" s="358"/>
      <c r="AI157" s="358"/>
      <c r="AJ157" s="380"/>
      <c r="AK157" s="440"/>
      <c r="AM157" s="460">
        <v>157</v>
      </c>
      <c r="AN157" s="1078"/>
    </row>
    <row r="158" spans="1:54" ht="12" customHeight="1" x14ac:dyDescent="0.2">
      <c r="A158" s="440"/>
      <c r="B158" s="628"/>
      <c r="C158" s="380"/>
      <c r="D158" s="514"/>
      <c r="E158" s="1084">
        <f ca="1">IF(AX158="E","",AN158)</f>
        <v>0</v>
      </c>
      <c r="F158" s="1085"/>
      <c r="G158" s="1264"/>
      <c r="H158" s="1264"/>
      <c r="I158" s="1265"/>
      <c r="J158" s="638"/>
      <c r="K158" s="550" t="s">
        <v>179</v>
      </c>
      <c r="L158" s="551"/>
      <c r="M158" s="340"/>
      <c r="N158" s="553" t="s">
        <v>559</v>
      </c>
      <c r="O158" s="339"/>
      <c r="P158" s="524" t="s">
        <v>560</v>
      </c>
      <c r="Q158" s="344"/>
      <c r="R158" s="522" t="s">
        <v>363</v>
      </c>
      <c r="S158" s="353">
        <f t="shared" ref="S158:S161" ca="1" si="278">IF(AY158="E",(M158*O158)+Q158,AO158)</f>
        <v>0</v>
      </c>
      <c r="T158" s="523"/>
      <c r="U158" s="350"/>
      <c r="V158" s="308"/>
      <c r="W158" s="1090" t="str">
        <f t="shared" ref="W158:W161" ca="1" si="279">IF(AZ158="E",IF(AND(V158&lt;&gt;0,U158&lt;&gt;0),"X",IF(AND(V158&lt;&gt;0,U158=0),"A",IF(AND(V158=0,U158&lt;&gt;0),"P",""))),AR158)</f>
        <v/>
      </c>
      <c r="X158" s="1103">
        <f t="shared" ref="X158:X161" ca="1" si="280">IF(AZ158="E",IFERROR(IF(W158="X",0,IF(U158&gt;0,U158,V158/S158)),0),
IFERROR(IF(OR(AR158="X",AR158=0),0,
IF(AR158="P",AP158,IF(AR158="A",AQ158/S158,0))),0))</f>
        <v>0</v>
      </c>
      <c r="Y158" s="1120">
        <f t="shared" ref="Y158:Y161" ca="1" si="281">IF(AZ158="E",IFERROR(IF(W158="X",0,IF(V158&gt;0,V158,S158*U158)),0),
IFERROR(IF(OR(AR158="X",AR158="0"),0,IF(AR158="A",AQ158,S158*AP158)),0))</f>
        <v>0</v>
      </c>
      <c r="Z158" s="524"/>
      <c r="AA158" s="350"/>
      <c r="AB158" s="308"/>
      <c r="AC158" s="1090" t="str">
        <f t="shared" ref="AC158:AC161" ca="1" si="282">IF(BA158="E",IF(AND(AB158&lt;&gt;0,AA158&lt;&gt;0),"X",IF(AND(AB158&lt;&gt;0,AA158=0),"A",IF(AND(AB158=0,AA158&lt;&gt;0),"P",""))),AU158)</f>
        <v/>
      </c>
      <c r="AD158" s="1103">
        <f t="shared" ref="AD158:AD161" ca="1" si="283">IF(BA158="E",IFERROR(IF(AC158="X",0,IF(AA158&gt;0,AA158,AB158/S158)),0),
IFERROR(IF(OR(AU158="X",AU158=0),0,
IF(AU158="P",AS158,IF(AU158="A",AT158/S158,0))),0))</f>
        <v>0</v>
      </c>
      <c r="AE158" s="1120">
        <f t="shared" ref="AE158:AE161" ca="1" si="284">IF(BA158="E",IFERROR(IF(AC158="X",0,IF(AB158&gt;0,AB158,S158*AA158)),0),
IFERROR(IF(OR(AU158="X",AU158=0),0,
IF(AU158="A",AT158,S158*AS158)),0))</f>
        <v>0</v>
      </c>
      <c r="AF158" s="525"/>
      <c r="AG158" s="637"/>
      <c r="AH158" s="525"/>
      <c r="AI158" s="1086">
        <f t="shared" ref="AI158:AI161" ca="1" si="285">IF(BB158="E",AG158,AV158)</f>
        <v>0</v>
      </c>
      <c r="AJ158" s="380"/>
      <c r="AK158" s="440"/>
      <c r="AM158" s="460">
        <v>158</v>
      </c>
      <c r="AN158" s="1087">
        <f t="shared" ref="AN158:AN161" ca="1" si="286">IF($M$13=$AN$12,"",IF(ISTEXT(INDIRECT("'"&amp;$AM$20&amp;"'!"&amp;AN$21&amp;$AM158)),INDIRECT("'"&amp;$AM$20&amp;"'!"&amp;AN$21&amp;$AM158),INDIRECT("'"&amp;$AM$20&amp;"'!"&amp;AN$22&amp;$AM158)))</f>
        <v>0</v>
      </c>
      <c r="AO158" s="1083">
        <f t="shared" ref="AO158:AV161" ca="1" si="287">IF($M$13=$AN$12,"",INDIRECT("'"&amp;$AM$20&amp;"'!"&amp;AO$21&amp;$AM158))</f>
        <v>0</v>
      </c>
      <c r="AP158" s="356">
        <f t="shared" ca="1" si="287"/>
        <v>0</v>
      </c>
      <c r="AQ158" s="357">
        <f t="shared" ca="1" si="287"/>
        <v>0</v>
      </c>
      <c r="AR158" s="524" t="str">
        <f t="shared" ca="1" si="287"/>
        <v/>
      </c>
      <c r="AS158" s="356">
        <f t="shared" ca="1" si="287"/>
        <v>0</v>
      </c>
      <c r="AT158" s="357">
        <f t="shared" ca="1" si="287"/>
        <v>0</v>
      </c>
      <c r="AU158" s="524" t="str">
        <f t="shared" ca="1" si="287"/>
        <v/>
      </c>
      <c r="AV158" s="1083">
        <f t="shared" ca="1" si="287"/>
        <v>0</v>
      </c>
      <c r="AX158" s="1083" t="str">
        <f t="shared" ref="AX158:AX161" si="288">IF($M$13=$AN$12,"E",IF(ISTEXT(F158),"E","U"))</f>
        <v>U</v>
      </c>
      <c r="AY158" s="1083" t="str">
        <f t="shared" ref="AY158:AY161" si="289">IF($M$13=$AN$12,"E",IF(OR(ISNUMBER(M158),ISNUMBER(O158),ISNUMBER(Q158)),"E","U"))</f>
        <v>U</v>
      </c>
      <c r="AZ158" s="1083" t="str">
        <f t="shared" ref="AZ158:AZ161" si="290">IF($M$13=$AN$12,"E",IF(OR(ISNUMBER(U158),ISNUMBER(V158)),"E","U"))</f>
        <v>U</v>
      </c>
      <c r="BA158" s="1083" t="str">
        <f t="shared" ref="BA158:BA161" si="291">IF($M$13=$AN$12,"E",IF(OR(ISNUMBER(AA158),ISNUMBER(AB158)),"E","U"))</f>
        <v>U</v>
      </c>
      <c r="BB158" s="1083" t="str">
        <f t="shared" ref="BB158:BB161" si="292">IF($M$13=$AN$12,"E",IF(ISNUMBER(AG158),"E","U"))</f>
        <v>U</v>
      </c>
    </row>
    <row r="159" spans="1:54" ht="12" customHeight="1" x14ac:dyDescent="0.2">
      <c r="A159" s="440"/>
      <c r="B159" s="751"/>
      <c r="C159" s="380"/>
      <c r="D159" s="750"/>
      <c r="E159" s="1084">
        <f ca="1">IF(AX159="E","",AN159)</f>
        <v>0</v>
      </c>
      <c r="F159" s="1085"/>
      <c r="G159" s="1264"/>
      <c r="H159" s="1264"/>
      <c r="I159" s="1265"/>
      <c r="J159" s="638"/>
      <c r="K159" s="550" t="s">
        <v>179</v>
      </c>
      <c r="L159" s="551"/>
      <c r="M159" s="340"/>
      <c r="N159" s="553" t="s">
        <v>69</v>
      </c>
      <c r="O159" s="339"/>
      <c r="P159" s="524" t="s">
        <v>70</v>
      </c>
      <c r="Q159" s="344"/>
      <c r="R159" s="522" t="s">
        <v>363</v>
      </c>
      <c r="S159" s="353">
        <f t="shared" ca="1" si="278"/>
        <v>0</v>
      </c>
      <c r="T159" s="523"/>
      <c r="U159" s="350"/>
      <c r="V159" s="308"/>
      <c r="W159" s="1090" t="str">
        <f t="shared" ca="1" si="279"/>
        <v/>
      </c>
      <c r="X159" s="1103">
        <f t="shared" ca="1" si="280"/>
        <v>0</v>
      </c>
      <c r="Y159" s="1120">
        <f t="shared" ca="1" si="281"/>
        <v>0</v>
      </c>
      <c r="Z159" s="524"/>
      <c r="AA159" s="350"/>
      <c r="AB159" s="308"/>
      <c r="AC159" s="1090" t="str">
        <f t="shared" ca="1" si="282"/>
        <v/>
      </c>
      <c r="AD159" s="1103">
        <f t="shared" ca="1" si="283"/>
        <v>0</v>
      </c>
      <c r="AE159" s="1120">
        <f t="shared" ca="1" si="284"/>
        <v>0</v>
      </c>
      <c r="AF159" s="525"/>
      <c r="AG159" s="637"/>
      <c r="AH159" s="525"/>
      <c r="AI159" s="1086">
        <f t="shared" ca="1" si="285"/>
        <v>0</v>
      </c>
      <c r="AJ159" s="380"/>
      <c r="AK159" s="440"/>
      <c r="AM159" s="460">
        <v>159</v>
      </c>
      <c r="AN159" s="1087">
        <f t="shared" ca="1" si="286"/>
        <v>0</v>
      </c>
      <c r="AO159" s="1083">
        <f t="shared" ca="1" si="287"/>
        <v>0</v>
      </c>
      <c r="AP159" s="356">
        <f t="shared" ca="1" si="287"/>
        <v>0</v>
      </c>
      <c r="AQ159" s="357">
        <f t="shared" ca="1" si="287"/>
        <v>0</v>
      </c>
      <c r="AR159" s="524" t="str">
        <f t="shared" ca="1" si="287"/>
        <v/>
      </c>
      <c r="AS159" s="356">
        <f t="shared" ca="1" si="287"/>
        <v>0</v>
      </c>
      <c r="AT159" s="357">
        <f t="shared" ca="1" si="287"/>
        <v>0</v>
      </c>
      <c r="AU159" s="524" t="str">
        <f t="shared" ca="1" si="287"/>
        <v/>
      </c>
      <c r="AV159" s="1083">
        <f t="shared" ca="1" si="287"/>
        <v>0</v>
      </c>
      <c r="AX159" s="1083" t="str">
        <f t="shared" si="288"/>
        <v>U</v>
      </c>
      <c r="AY159" s="1083" t="str">
        <f t="shared" si="289"/>
        <v>U</v>
      </c>
      <c r="AZ159" s="1083" t="str">
        <f t="shared" si="290"/>
        <v>U</v>
      </c>
      <c r="BA159" s="1083" t="str">
        <f t="shared" si="291"/>
        <v>U</v>
      </c>
      <c r="BB159" s="1083" t="str">
        <f t="shared" si="292"/>
        <v>U</v>
      </c>
    </row>
    <row r="160" spans="1:54" ht="12" customHeight="1" x14ac:dyDescent="0.2">
      <c r="A160" s="440"/>
      <c r="B160" s="751"/>
      <c r="C160" s="380"/>
      <c r="D160" s="750"/>
      <c r="E160" s="1084">
        <f ca="1">IF(AX160="E","",AN160)</f>
        <v>0</v>
      </c>
      <c r="F160" s="1085"/>
      <c r="G160" s="1264"/>
      <c r="H160" s="1264"/>
      <c r="I160" s="1265"/>
      <c r="J160" s="638"/>
      <c r="K160" s="550" t="s">
        <v>179</v>
      </c>
      <c r="L160" s="551"/>
      <c r="M160" s="340"/>
      <c r="N160" s="553" t="s">
        <v>69</v>
      </c>
      <c r="O160" s="339"/>
      <c r="P160" s="524" t="s">
        <v>70</v>
      </c>
      <c r="Q160" s="344"/>
      <c r="R160" s="522" t="s">
        <v>363</v>
      </c>
      <c r="S160" s="353">
        <f t="shared" ca="1" si="278"/>
        <v>0</v>
      </c>
      <c r="T160" s="523"/>
      <c r="U160" s="350"/>
      <c r="V160" s="308"/>
      <c r="W160" s="1090" t="str">
        <f t="shared" ca="1" si="279"/>
        <v/>
      </c>
      <c r="X160" s="1103">
        <f t="shared" ca="1" si="280"/>
        <v>0</v>
      </c>
      <c r="Y160" s="1120">
        <f t="shared" ca="1" si="281"/>
        <v>0</v>
      </c>
      <c r="Z160" s="524"/>
      <c r="AA160" s="350"/>
      <c r="AB160" s="308"/>
      <c r="AC160" s="1090" t="str">
        <f t="shared" ca="1" si="282"/>
        <v/>
      </c>
      <c r="AD160" s="1103">
        <f t="shared" ca="1" si="283"/>
        <v>0</v>
      </c>
      <c r="AE160" s="1120">
        <f t="shared" ca="1" si="284"/>
        <v>0</v>
      </c>
      <c r="AF160" s="525"/>
      <c r="AG160" s="637"/>
      <c r="AH160" s="525"/>
      <c r="AI160" s="1086">
        <f t="shared" ca="1" si="285"/>
        <v>0</v>
      </c>
      <c r="AJ160" s="380"/>
      <c r="AK160" s="440"/>
      <c r="AM160" s="460">
        <v>160</v>
      </c>
      <c r="AN160" s="1087">
        <f t="shared" ca="1" si="286"/>
        <v>0</v>
      </c>
      <c r="AO160" s="1083">
        <f t="shared" ca="1" si="287"/>
        <v>0</v>
      </c>
      <c r="AP160" s="356">
        <f t="shared" ca="1" si="287"/>
        <v>0</v>
      </c>
      <c r="AQ160" s="357">
        <f t="shared" ca="1" si="287"/>
        <v>0</v>
      </c>
      <c r="AR160" s="524" t="str">
        <f t="shared" ca="1" si="287"/>
        <v/>
      </c>
      <c r="AS160" s="356">
        <f t="shared" ca="1" si="287"/>
        <v>0</v>
      </c>
      <c r="AT160" s="357">
        <f t="shared" ca="1" si="287"/>
        <v>0</v>
      </c>
      <c r="AU160" s="524" t="str">
        <f t="shared" ca="1" si="287"/>
        <v/>
      </c>
      <c r="AV160" s="1083">
        <f t="shared" ca="1" si="287"/>
        <v>0</v>
      </c>
      <c r="AX160" s="1083" t="str">
        <f t="shared" si="288"/>
        <v>U</v>
      </c>
      <c r="AY160" s="1083" t="str">
        <f t="shared" si="289"/>
        <v>U</v>
      </c>
      <c r="AZ160" s="1083" t="str">
        <f t="shared" si="290"/>
        <v>U</v>
      </c>
      <c r="BA160" s="1083" t="str">
        <f t="shared" si="291"/>
        <v>U</v>
      </c>
      <c r="BB160" s="1083" t="str">
        <f t="shared" si="292"/>
        <v>U</v>
      </c>
    </row>
    <row r="161" spans="1:54" ht="12" customHeight="1" x14ac:dyDescent="0.2">
      <c r="A161" s="440"/>
      <c r="B161" s="628"/>
      <c r="C161" s="380"/>
      <c r="D161" s="514"/>
      <c r="E161" s="1084">
        <f ca="1">IF(AX161="E","",AN161)</f>
        <v>0</v>
      </c>
      <c r="F161" s="1085"/>
      <c r="G161" s="1264"/>
      <c r="H161" s="1264"/>
      <c r="I161" s="1265"/>
      <c r="J161" s="638"/>
      <c r="K161" s="550" t="s">
        <v>179</v>
      </c>
      <c r="L161" s="551"/>
      <c r="M161" s="340"/>
      <c r="N161" s="553" t="s">
        <v>69</v>
      </c>
      <c r="O161" s="339"/>
      <c r="P161" s="524" t="s">
        <v>70</v>
      </c>
      <c r="Q161" s="344"/>
      <c r="R161" s="522" t="s">
        <v>363</v>
      </c>
      <c r="S161" s="353">
        <f t="shared" ca="1" si="278"/>
        <v>0</v>
      </c>
      <c r="T161" s="523"/>
      <c r="U161" s="350"/>
      <c r="V161" s="308"/>
      <c r="W161" s="1090" t="str">
        <f t="shared" ca="1" si="279"/>
        <v/>
      </c>
      <c r="X161" s="1103">
        <f t="shared" ca="1" si="280"/>
        <v>0</v>
      </c>
      <c r="Y161" s="1120">
        <f t="shared" ca="1" si="281"/>
        <v>0</v>
      </c>
      <c r="Z161" s="524"/>
      <c r="AA161" s="350"/>
      <c r="AB161" s="308"/>
      <c r="AC161" s="1090" t="str">
        <f t="shared" ca="1" si="282"/>
        <v/>
      </c>
      <c r="AD161" s="1103">
        <f t="shared" ca="1" si="283"/>
        <v>0</v>
      </c>
      <c r="AE161" s="1120">
        <f t="shared" ca="1" si="284"/>
        <v>0</v>
      </c>
      <c r="AF161" s="525"/>
      <c r="AG161" s="637"/>
      <c r="AH161" s="525"/>
      <c r="AI161" s="1086">
        <f t="shared" ca="1" si="285"/>
        <v>0</v>
      </c>
      <c r="AJ161" s="380"/>
      <c r="AK161" s="440"/>
      <c r="AM161" s="460">
        <v>161</v>
      </c>
      <c r="AN161" s="1087">
        <f t="shared" ca="1" si="286"/>
        <v>0</v>
      </c>
      <c r="AO161" s="1083">
        <f t="shared" ca="1" si="287"/>
        <v>0</v>
      </c>
      <c r="AP161" s="356">
        <f t="shared" ca="1" si="287"/>
        <v>0</v>
      </c>
      <c r="AQ161" s="357">
        <f t="shared" ca="1" si="287"/>
        <v>0</v>
      </c>
      <c r="AR161" s="524" t="str">
        <f t="shared" ca="1" si="287"/>
        <v/>
      </c>
      <c r="AS161" s="356">
        <f t="shared" ca="1" si="287"/>
        <v>0</v>
      </c>
      <c r="AT161" s="357">
        <f t="shared" ca="1" si="287"/>
        <v>0</v>
      </c>
      <c r="AU161" s="524" t="str">
        <f t="shared" ca="1" si="287"/>
        <v/>
      </c>
      <c r="AV161" s="1083">
        <f t="shared" ca="1" si="287"/>
        <v>0</v>
      </c>
      <c r="AX161" s="1083" t="str">
        <f t="shared" si="288"/>
        <v>U</v>
      </c>
      <c r="AY161" s="1083" t="str">
        <f t="shared" si="289"/>
        <v>U</v>
      </c>
      <c r="AZ161" s="1083" t="str">
        <f t="shared" si="290"/>
        <v>U</v>
      </c>
      <c r="BA161" s="1083" t="str">
        <f t="shared" si="291"/>
        <v>U</v>
      </c>
      <c r="BB161" s="1083" t="str">
        <f t="shared" si="292"/>
        <v>U</v>
      </c>
    </row>
    <row r="162" spans="1:54" ht="12" customHeight="1" x14ac:dyDescent="0.25">
      <c r="A162" s="440"/>
      <c r="B162" s="628"/>
      <c r="C162" s="380"/>
      <c r="D162" s="514" t="s">
        <v>30</v>
      </c>
      <c r="E162" s="1599" t="s">
        <v>29</v>
      </c>
      <c r="F162" s="1599"/>
      <c r="G162" s="1599"/>
      <c r="H162" s="1599"/>
      <c r="I162" s="1597"/>
      <c r="J162" s="501"/>
      <c r="K162" s="462"/>
      <c r="L162" s="462"/>
      <c r="M162" s="498"/>
      <c r="N162" s="359"/>
      <c r="O162" s="365"/>
      <c r="P162" s="363"/>
      <c r="Q162" s="363"/>
      <c r="R162" s="363"/>
      <c r="S162" s="355"/>
      <c r="T162" s="363"/>
      <c r="U162" s="375"/>
      <c r="V162" s="361"/>
      <c r="W162" s="1091"/>
      <c r="X162" s="1114"/>
      <c r="Y162" s="1121"/>
      <c r="Z162" s="363"/>
      <c r="AA162" s="375"/>
      <c r="AB162" s="361"/>
      <c r="AC162" s="1091"/>
      <c r="AD162" s="1114"/>
      <c r="AE162" s="1121"/>
      <c r="AF162" s="358"/>
      <c r="AG162" s="358"/>
      <c r="AH162" s="358"/>
      <c r="AI162" s="358"/>
      <c r="AJ162" s="380"/>
      <c r="AK162" s="440"/>
      <c r="AM162" s="460">
        <v>162</v>
      </c>
      <c r="AN162" s="1078"/>
    </row>
    <row r="163" spans="1:54" ht="12" customHeight="1" x14ac:dyDescent="0.25">
      <c r="A163" s="440"/>
      <c r="B163" s="628"/>
      <c r="C163" s="380"/>
      <c r="D163" s="514"/>
      <c r="E163" s="514"/>
      <c r="F163" s="514"/>
      <c r="G163" s="514"/>
      <c r="H163" s="514"/>
      <c r="I163" s="511"/>
      <c r="J163" s="501"/>
      <c r="K163" s="462"/>
      <c r="L163" s="462"/>
      <c r="M163" s="339"/>
      <c r="N163" s="359"/>
      <c r="O163" s="339"/>
      <c r="P163" s="363"/>
      <c r="Q163" s="344"/>
      <c r="R163" s="522" t="s">
        <v>363</v>
      </c>
      <c r="S163" s="353">
        <f ca="1">IF(AY163="E",(M163*O163)+Q163,AO163)</f>
        <v>0</v>
      </c>
      <c r="T163" s="523"/>
      <c r="U163" s="350"/>
      <c r="V163" s="308"/>
      <c r="W163" s="1090" t="str">
        <f ca="1">IF(AZ163="E",IF(AND(V163&lt;&gt;0,U163&lt;&gt;0),"X",IF(AND(V163&lt;&gt;0,U163=0),"A",IF(AND(V163=0,U163&lt;&gt;0),"P",""))),AR163)</f>
        <v/>
      </c>
      <c r="X163" s="1103">
        <f ca="1">IF(AZ163="E",IFERROR(IF(W163="X",0,IF(U163&gt;0,U163,V163/S163)),0),
IFERROR(IF(OR(AR163="X",AR163=0),0,
IF(AR163="P",AP163,IF(AR163="A",AQ163/S163,0))),0))</f>
        <v>0</v>
      </c>
      <c r="Y163" s="1120">
        <f ca="1">IF(AZ163="E",IFERROR(IF(W163="X",0,IF(V163&gt;0,V163,S163*U163)),0),
IFERROR(IF(OR(AR163="X",AR163="0"),0,IF(AR163="A",AQ163,S163*AP163)),0))</f>
        <v>0</v>
      </c>
      <c r="Z163" s="524"/>
      <c r="AA163" s="350"/>
      <c r="AB163" s="308"/>
      <c r="AC163" s="1090" t="str">
        <f ca="1">IF(BA163="E",IF(AND(AB163&lt;&gt;0,AA163&lt;&gt;0),"X",IF(AND(AB163&lt;&gt;0,AA163=0),"A",IF(AND(AB163=0,AA163&lt;&gt;0),"P",""))),AU163)</f>
        <v/>
      </c>
      <c r="AD163" s="1103">
        <f ca="1">IF(BA163="E",IFERROR(IF(AC163="X",0,IF(AA163&gt;0,AA163,AB163/S163)),0),
IFERROR(IF(OR(AU163="X",AU163=0),0,
IF(AU163="P",AS163,IF(AU163="A",AT163/S163,0))),0))</f>
        <v>0</v>
      </c>
      <c r="AE163" s="1120">
        <f ca="1">IF(BA163="E",IFERROR(IF(AC163="X",0,IF(AB163&gt;0,AB163,S163*AA163)),0),
IFERROR(IF(OR(AU163="X",AU163=0),0,
IF(AU163="A",AT163,S163*AS163)),0))</f>
        <v>0</v>
      </c>
      <c r="AF163" s="525"/>
      <c r="AG163" s="637"/>
      <c r="AH163" s="525"/>
      <c r="AI163" s="1086">
        <f ca="1">IF(BB163="E",AG163,AV163)</f>
        <v>0</v>
      </c>
      <c r="AJ163" s="380"/>
      <c r="AK163" s="440"/>
      <c r="AM163" s="460">
        <v>163</v>
      </c>
      <c r="AN163" s="1078"/>
      <c r="AO163" s="1083">
        <f t="shared" ref="AO163:AV163" ca="1" si="293">IF($M$13=$AN$12,"",INDIRECT("'"&amp;$AM$20&amp;"'!"&amp;AO$21&amp;$AM163))</f>
        <v>0</v>
      </c>
      <c r="AP163" s="356">
        <f t="shared" ca="1" si="293"/>
        <v>0</v>
      </c>
      <c r="AQ163" s="357">
        <f t="shared" ca="1" si="293"/>
        <v>0</v>
      </c>
      <c r="AR163" s="524" t="str">
        <f t="shared" ca="1" si="293"/>
        <v/>
      </c>
      <c r="AS163" s="356">
        <f t="shared" ca="1" si="293"/>
        <v>0</v>
      </c>
      <c r="AT163" s="357">
        <f t="shared" ca="1" si="293"/>
        <v>0</v>
      </c>
      <c r="AU163" s="524" t="str">
        <f t="shared" ca="1" si="293"/>
        <v/>
      </c>
      <c r="AV163" s="1083">
        <f t="shared" ca="1" si="293"/>
        <v>0</v>
      </c>
      <c r="AX163" s="1083" t="str">
        <f t="shared" ref="AX163" si="294">IF($M$13=$AN$12,"E",IF(ISTEXT(F163),"E","U"))</f>
        <v>U</v>
      </c>
      <c r="AY163" s="1083" t="str">
        <f t="shared" ref="AY163" si="295">IF($M$13=$AN$12,"E",IF(OR(ISNUMBER(M163),ISNUMBER(O163),ISNUMBER(Q163)),"E","U"))</f>
        <v>U</v>
      </c>
      <c r="AZ163" s="1083" t="str">
        <f t="shared" ref="AZ163" si="296">IF($M$13=$AN$12,"E",IF(OR(ISNUMBER(U163),ISNUMBER(V163)),"E","U"))</f>
        <v>U</v>
      </c>
      <c r="BA163" s="1083" t="str">
        <f t="shared" ref="BA163" si="297">IF($M$13=$AN$12,"E",IF(OR(ISNUMBER(AA163),ISNUMBER(AB163)),"E","U"))</f>
        <v>U</v>
      </c>
      <c r="BB163" s="1083" t="str">
        <f t="shared" ref="BB163" si="298">IF($M$13=$AN$12,"E",IF(ISNUMBER(AG163),"E","U"))</f>
        <v>U</v>
      </c>
    </row>
    <row r="164" spans="1:54" ht="14.25" customHeight="1" x14ac:dyDescent="0.25">
      <c r="A164" s="440"/>
      <c r="B164" s="628"/>
      <c r="C164" s="513" t="s">
        <v>28</v>
      </c>
      <c r="D164" s="494"/>
      <c r="E164" s="1596" t="s">
        <v>27</v>
      </c>
      <c r="F164" s="1596"/>
      <c r="G164" s="1596"/>
      <c r="H164" s="1596"/>
      <c r="I164" s="1597"/>
      <c r="J164" s="501"/>
      <c r="K164" s="462"/>
      <c r="L164" s="462"/>
      <c r="M164" s="498"/>
      <c r="N164" s="359"/>
      <c r="O164" s="365"/>
      <c r="P164" s="363"/>
      <c r="Q164" s="363"/>
      <c r="R164" s="363"/>
      <c r="S164" s="355">
        <f ca="1">S165</f>
        <v>0</v>
      </c>
      <c r="T164" s="363"/>
      <c r="U164" s="375"/>
      <c r="V164" s="361"/>
      <c r="W164" s="1091"/>
      <c r="X164" s="1114"/>
      <c r="Y164" s="1121"/>
      <c r="Z164" s="363"/>
      <c r="AA164" s="375"/>
      <c r="AB164" s="361"/>
      <c r="AC164" s="1091"/>
      <c r="AD164" s="1114"/>
      <c r="AE164" s="1121"/>
      <c r="AF164" s="358"/>
      <c r="AG164" s="358"/>
      <c r="AH164" s="358"/>
      <c r="AI164" s="358"/>
      <c r="AJ164" s="380"/>
      <c r="AK164" s="440"/>
      <c r="AM164" s="460">
        <v>164</v>
      </c>
      <c r="AN164" s="1078"/>
    </row>
    <row r="165" spans="1:54" ht="12" customHeight="1" x14ac:dyDescent="0.25">
      <c r="A165" s="440"/>
      <c r="B165" s="628"/>
      <c r="C165" s="380"/>
      <c r="D165" s="514" t="s">
        <v>26</v>
      </c>
      <c r="E165" s="1599" t="s">
        <v>25</v>
      </c>
      <c r="F165" s="1599"/>
      <c r="G165" s="1599"/>
      <c r="H165" s="1599"/>
      <c r="I165" s="1605"/>
      <c r="J165" s="501"/>
      <c r="K165" s="502"/>
      <c r="L165" s="502"/>
      <c r="M165" s="498"/>
      <c r="N165" s="359"/>
      <c r="O165" s="365"/>
      <c r="P165" s="363"/>
      <c r="Q165" s="363"/>
      <c r="R165" s="363"/>
      <c r="S165" s="354">
        <f ca="1">SUBTOTAL(109,S167:S170)</f>
        <v>0</v>
      </c>
      <c r="T165" s="363"/>
      <c r="U165" s="375"/>
      <c r="V165" s="361"/>
      <c r="W165" s="1091"/>
      <c r="X165" s="1114"/>
      <c r="Y165" s="1121"/>
      <c r="Z165" s="363"/>
      <c r="AA165" s="375"/>
      <c r="AB165" s="361"/>
      <c r="AC165" s="1091"/>
      <c r="AD165" s="1114"/>
      <c r="AE165" s="1121"/>
      <c r="AF165" s="358"/>
      <c r="AG165" s="358"/>
      <c r="AH165" s="358"/>
      <c r="AI165" s="358"/>
      <c r="AJ165" s="380"/>
      <c r="AK165" s="440"/>
      <c r="AM165" s="460">
        <v>165</v>
      </c>
      <c r="AN165" s="1078"/>
    </row>
    <row r="166" spans="1:54" ht="12" customHeight="1" x14ac:dyDescent="0.25">
      <c r="A166" s="440"/>
      <c r="B166" s="628"/>
      <c r="C166" s="380"/>
      <c r="D166" s="514"/>
      <c r="E166" s="514"/>
      <c r="F166" s="514"/>
      <c r="G166" s="514"/>
      <c r="H166" s="514"/>
      <c r="I166" s="501"/>
      <c r="J166" s="501"/>
      <c r="K166" s="502"/>
      <c r="L166" s="502"/>
      <c r="M166" s="498"/>
      <c r="N166" s="359"/>
      <c r="O166" s="365"/>
      <c r="P166" s="363"/>
      <c r="Q166" s="363"/>
      <c r="R166" s="363"/>
      <c r="S166" s="354"/>
      <c r="T166" s="363"/>
      <c r="U166" s="375"/>
      <c r="V166" s="361"/>
      <c r="W166" s="1091"/>
      <c r="X166" s="1114"/>
      <c r="Y166" s="1121"/>
      <c r="Z166" s="363"/>
      <c r="AA166" s="375"/>
      <c r="AB166" s="361"/>
      <c r="AC166" s="1091"/>
      <c r="AD166" s="1114"/>
      <c r="AE166" s="1121"/>
      <c r="AF166" s="358"/>
      <c r="AG166" s="358"/>
      <c r="AH166" s="358"/>
      <c r="AI166" s="358"/>
      <c r="AJ166" s="380"/>
      <c r="AK166" s="440"/>
      <c r="AM166" s="460">
        <v>166</v>
      </c>
      <c r="AN166" s="1078"/>
    </row>
    <row r="167" spans="1:54" ht="12" customHeight="1" x14ac:dyDescent="0.2">
      <c r="A167" s="440"/>
      <c r="B167" s="628"/>
      <c r="C167" s="380"/>
      <c r="D167" s="514"/>
      <c r="E167" s="1084">
        <f ca="1">IF(AX167="E","",AN167)</f>
        <v>0</v>
      </c>
      <c r="F167" s="1085"/>
      <c r="G167" s="1264"/>
      <c r="H167" s="1264"/>
      <c r="I167" s="1265"/>
      <c r="J167" s="638"/>
      <c r="K167" s="555"/>
      <c r="L167" s="541"/>
      <c r="M167" s="340"/>
      <c r="N167" s="553" t="s">
        <v>69</v>
      </c>
      <c r="O167" s="339"/>
      <c r="P167" s="525" t="s">
        <v>70</v>
      </c>
      <c r="Q167" s="344"/>
      <c r="R167" s="522" t="s">
        <v>363</v>
      </c>
      <c r="S167" s="353">
        <f t="shared" ref="S167:S170" ca="1" si="299">IF(AY167="E",(M167*O167)+Q167,AO167)</f>
        <v>0</v>
      </c>
      <c r="T167" s="523"/>
      <c r="U167" s="350"/>
      <c r="V167" s="308"/>
      <c r="W167" s="1090" t="str">
        <f t="shared" ref="W167:W170" ca="1" si="300">IF(AZ167="E",IF(AND(V167&lt;&gt;0,U167&lt;&gt;0),"X",IF(AND(V167&lt;&gt;0,U167=0),"A",IF(AND(V167=0,U167&lt;&gt;0),"P",""))),AR167)</f>
        <v/>
      </c>
      <c r="X167" s="1103">
        <f t="shared" ref="X167:X170" ca="1" si="301">IF(AZ167="E",IFERROR(IF(W167="X",0,IF(U167&gt;0,U167,V167/S167)),0),
IFERROR(IF(OR(AR167="X",AR167=0),0,
IF(AR167="P",AP167,IF(AR167="A",AQ167/S167,0))),0))</f>
        <v>0</v>
      </c>
      <c r="Y167" s="1120">
        <f t="shared" ref="Y167:Y170" ca="1" si="302">IF(AZ167="E",IFERROR(IF(W167="X",0,IF(V167&gt;0,V167,S167*U167)),0),
IFERROR(IF(OR(AR167="X",AR167="0"),0,IF(AR167="A",AQ167,S167*AP167)),0))</f>
        <v>0</v>
      </c>
      <c r="Z167" s="524"/>
      <c r="AA167" s="350"/>
      <c r="AB167" s="308"/>
      <c r="AC167" s="1090" t="str">
        <f t="shared" ref="AC167:AC170" ca="1" si="303">IF(BA167="E",IF(AND(AB167&lt;&gt;0,AA167&lt;&gt;0),"X",IF(AND(AB167&lt;&gt;0,AA167=0),"A",IF(AND(AB167=0,AA167&lt;&gt;0),"P",""))),AU167)</f>
        <v/>
      </c>
      <c r="AD167" s="1103">
        <f t="shared" ref="AD167:AD170" ca="1" si="304">IF(BA167="E",IFERROR(IF(AC167="X",0,IF(AA167&gt;0,AA167,AB167/S167)),0),
IFERROR(IF(OR(AU167="X",AU167=0),0,
IF(AU167="P",AS167,IF(AU167="A",AT167/S167,0))),0))</f>
        <v>0</v>
      </c>
      <c r="AE167" s="1120">
        <f t="shared" ref="AE167:AE170" ca="1" si="305">IF(BA167="E",IFERROR(IF(AC167="X",0,IF(AB167&gt;0,AB167,S167*AA167)),0),
IFERROR(IF(OR(AU167="X",AU167=0),0,
IF(AU167="A",AT167,S167*AS167)),0))</f>
        <v>0</v>
      </c>
      <c r="AF167" s="525"/>
      <c r="AG167" s="637"/>
      <c r="AH167" s="525"/>
      <c r="AI167" s="1086">
        <f t="shared" ref="AI167:AI170" ca="1" si="306">IF(BB167="E",AG167,AV167)</f>
        <v>0</v>
      </c>
      <c r="AJ167" s="380"/>
      <c r="AK167" s="440"/>
      <c r="AM167" s="460">
        <v>167</v>
      </c>
      <c r="AN167" s="1087">
        <f t="shared" ref="AN167:AN170" ca="1" si="307">IF($M$13=$AN$12,"",IF(ISTEXT(INDIRECT("'"&amp;$AM$20&amp;"'!"&amp;AN$21&amp;$AM167)),INDIRECT("'"&amp;$AM$20&amp;"'!"&amp;AN$21&amp;$AM167),INDIRECT("'"&amp;$AM$20&amp;"'!"&amp;AN$22&amp;$AM167)))</f>
        <v>0</v>
      </c>
      <c r="AO167" s="1083">
        <f t="shared" ref="AO167:AV170" ca="1" si="308">IF($M$13=$AN$12,"",INDIRECT("'"&amp;$AM$20&amp;"'!"&amp;AO$21&amp;$AM167))</f>
        <v>0</v>
      </c>
      <c r="AP167" s="356">
        <f t="shared" ca="1" si="308"/>
        <v>0</v>
      </c>
      <c r="AQ167" s="357">
        <f t="shared" ca="1" si="308"/>
        <v>0</v>
      </c>
      <c r="AR167" s="524" t="str">
        <f t="shared" ca="1" si="308"/>
        <v/>
      </c>
      <c r="AS167" s="356">
        <f t="shared" ca="1" si="308"/>
        <v>0</v>
      </c>
      <c r="AT167" s="357">
        <f t="shared" ca="1" si="308"/>
        <v>0</v>
      </c>
      <c r="AU167" s="524" t="str">
        <f t="shared" ca="1" si="308"/>
        <v/>
      </c>
      <c r="AV167" s="1083">
        <f t="shared" ca="1" si="308"/>
        <v>0</v>
      </c>
      <c r="AX167" s="1083" t="str">
        <f t="shared" ref="AX167:AX170" si="309">IF($M$13=$AN$12,"E",IF(ISTEXT(F167),"E","U"))</f>
        <v>U</v>
      </c>
      <c r="AY167" s="1083" t="str">
        <f t="shared" ref="AY167:AY170" si="310">IF($M$13=$AN$12,"E",IF(OR(ISNUMBER(M167),ISNUMBER(O167),ISNUMBER(Q167)),"E","U"))</f>
        <v>U</v>
      </c>
      <c r="AZ167" s="1083" t="str">
        <f t="shared" ref="AZ167:AZ170" si="311">IF($M$13=$AN$12,"E",IF(OR(ISNUMBER(U167),ISNUMBER(V167)),"E","U"))</f>
        <v>U</v>
      </c>
      <c r="BA167" s="1083" t="str">
        <f t="shared" ref="BA167:BA170" si="312">IF($M$13=$AN$12,"E",IF(OR(ISNUMBER(AA167),ISNUMBER(AB167)),"E","U"))</f>
        <v>U</v>
      </c>
      <c r="BB167" s="1083" t="str">
        <f t="shared" ref="BB167:BB170" si="313">IF($M$13=$AN$12,"E",IF(ISNUMBER(AG167),"E","U"))</f>
        <v>U</v>
      </c>
    </row>
    <row r="168" spans="1:54" ht="12" customHeight="1" x14ac:dyDescent="0.2">
      <c r="A168" s="440"/>
      <c r="B168" s="628"/>
      <c r="C168" s="380"/>
      <c r="D168" s="514"/>
      <c r="E168" s="1084">
        <f ca="1">IF(AX168="E","",AN168)</f>
        <v>0</v>
      </c>
      <c r="F168" s="1085"/>
      <c r="G168" s="1264"/>
      <c r="H168" s="1264"/>
      <c r="I168" s="1265"/>
      <c r="J168" s="638"/>
      <c r="K168" s="555"/>
      <c r="L168" s="541"/>
      <c r="M168" s="340"/>
      <c r="N168" s="553"/>
      <c r="O168" s="339"/>
      <c r="P168" s="525"/>
      <c r="Q168" s="344"/>
      <c r="R168" s="522" t="s">
        <v>363</v>
      </c>
      <c r="S168" s="353">
        <f t="shared" ca="1" si="299"/>
        <v>0</v>
      </c>
      <c r="T168" s="523"/>
      <c r="U168" s="350"/>
      <c r="V168" s="308"/>
      <c r="W168" s="1090" t="str">
        <f t="shared" ca="1" si="300"/>
        <v/>
      </c>
      <c r="X168" s="1103">
        <f t="shared" ca="1" si="301"/>
        <v>0</v>
      </c>
      <c r="Y168" s="1120">
        <f t="shared" ca="1" si="302"/>
        <v>0</v>
      </c>
      <c r="Z168" s="524"/>
      <c r="AA168" s="350"/>
      <c r="AB168" s="308"/>
      <c r="AC168" s="1090" t="str">
        <f t="shared" ca="1" si="303"/>
        <v/>
      </c>
      <c r="AD168" s="1103">
        <f t="shared" ca="1" si="304"/>
        <v>0</v>
      </c>
      <c r="AE168" s="1120">
        <f t="shared" ca="1" si="305"/>
        <v>0</v>
      </c>
      <c r="AF168" s="525"/>
      <c r="AG168" s="637"/>
      <c r="AH168" s="525"/>
      <c r="AI168" s="1086">
        <f t="shared" ca="1" si="306"/>
        <v>0</v>
      </c>
      <c r="AJ168" s="380"/>
      <c r="AK168" s="440"/>
      <c r="AM168" s="460">
        <v>168</v>
      </c>
      <c r="AN168" s="1087">
        <f t="shared" ca="1" si="307"/>
        <v>0</v>
      </c>
      <c r="AO168" s="1083">
        <f t="shared" ca="1" si="308"/>
        <v>0</v>
      </c>
      <c r="AP168" s="356">
        <f t="shared" ca="1" si="308"/>
        <v>0</v>
      </c>
      <c r="AQ168" s="357">
        <f t="shared" ca="1" si="308"/>
        <v>0</v>
      </c>
      <c r="AR168" s="524" t="str">
        <f t="shared" ca="1" si="308"/>
        <v/>
      </c>
      <c r="AS168" s="356">
        <f t="shared" ca="1" si="308"/>
        <v>0</v>
      </c>
      <c r="AT168" s="357">
        <f t="shared" ca="1" si="308"/>
        <v>0</v>
      </c>
      <c r="AU168" s="524" t="str">
        <f t="shared" ca="1" si="308"/>
        <v/>
      </c>
      <c r="AV168" s="1083">
        <f t="shared" ca="1" si="308"/>
        <v>0</v>
      </c>
      <c r="AX168" s="1083" t="str">
        <f t="shared" si="309"/>
        <v>U</v>
      </c>
      <c r="AY168" s="1083" t="str">
        <f t="shared" si="310"/>
        <v>U</v>
      </c>
      <c r="AZ168" s="1083" t="str">
        <f t="shared" si="311"/>
        <v>U</v>
      </c>
      <c r="BA168" s="1083" t="str">
        <f t="shared" si="312"/>
        <v>U</v>
      </c>
      <c r="BB168" s="1083" t="str">
        <f t="shared" si="313"/>
        <v>U</v>
      </c>
    </row>
    <row r="169" spans="1:54" ht="12" customHeight="1" x14ac:dyDescent="0.2">
      <c r="A169" s="440"/>
      <c r="B169" s="628"/>
      <c r="C169" s="380"/>
      <c r="D169" s="514"/>
      <c r="E169" s="1084">
        <f ca="1">IF(AX169="E","",AN169)</f>
        <v>0</v>
      </c>
      <c r="F169" s="1085"/>
      <c r="G169" s="1264"/>
      <c r="H169" s="1264"/>
      <c r="I169" s="1265"/>
      <c r="J169" s="638"/>
      <c r="K169" s="555"/>
      <c r="L169" s="541"/>
      <c r="M169" s="340"/>
      <c r="N169" s="553"/>
      <c r="O169" s="339"/>
      <c r="P169" s="525"/>
      <c r="Q169" s="344"/>
      <c r="R169" s="522" t="s">
        <v>363</v>
      </c>
      <c r="S169" s="353">
        <f t="shared" ca="1" si="299"/>
        <v>0</v>
      </c>
      <c r="T169" s="523"/>
      <c r="U169" s="350"/>
      <c r="V169" s="308"/>
      <c r="W169" s="1090" t="str">
        <f t="shared" ca="1" si="300"/>
        <v/>
      </c>
      <c r="X169" s="1103">
        <f t="shared" ca="1" si="301"/>
        <v>0</v>
      </c>
      <c r="Y169" s="1120">
        <f t="shared" ca="1" si="302"/>
        <v>0</v>
      </c>
      <c r="Z169" s="524"/>
      <c r="AA169" s="350"/>
      <c r="AB169" s="308"/>
      <c r="AC169" s="1090" t="str">
        <f t="shared" ca="1" si="303"/>
        <v/>
      </c>
      <c r="AD169" s="1103">
        <f t="shared" ca="1" si="304"/>
        <v>0</v>
      </c>
      <c r="AE169" s="1120">
        <f t="shared" ca="1" si="305"/>
        <v>0</v>
      </c>
      <c r="AF169" s="525"/>
      <c r="AG169" s="637"/>
      <c r="AH169" s="525"/>
      <c r="AI169" s="1086">
        <f t="shared" ca="1" si="306"/>
        <v>0</v>
      </c>
      <c r="AJ169" s="380"/>
      <c r="AK169" s="440"/>
      <c r="AM169" s="460">
        <v>169</v>
      </c>
      <c r="AN169" s="1087">
        <f t="shared" ca="1" si="307"/>
        <v>0</v>
      </c>
      <c r="AO169" s="1083">
        <f t="shared" ca="1" si="308"/>
        <v>0</v>
      </c>
      <c r="AP169" s="356">
        <f t="shared" ca="1" si="308"/>
        <v>0</v>
      </c>
      <c r="AQ169" s="357">
        <f t="shared" ca="1" si="308"/>
        <v>0</v>
      </c>
      <c r="AR169" s="524" t="str">
        <f t="shared" ca="1" si="308"/>
        <v/>
      </c>
      <c r="AS169" s="356">
        <f t="shared" ca="1" si="308"/>
        <v>0</v>
      </c>
      <c r="AT169" s="357">
        <f t="shared" ca="1" si="308"/>
        <v>0</v>
      </c>
      <c r="AU169" s="524" t="str">
        <f t="shared" ca="1" si="308"/>
        <v/>
      </c>
      <c r="AV169" s="1083">
        <f t="shared" ca="1" si="308"/>
        <v>0</v>
      </c>
      <c r="AX169" s="1083" t="str">
        <f t="shared" si="309"/>
        <v>U</v>
      </c>
      <c r="AY169" s="1083" t="str">
        <f t="shared" si="310"/>
        <v>U</v>
      </c>
      <c r="AZ169" s="1083" t="str">
        <f t="shared" si="311"/>
        <v>U</v>
      </c>
      <c r="BA169" s="1083" t="str">
        <f t="shared" si="312"/>
        <v>U</v>
      </c>
      <c r="BB169" s="1083" t="str">
        <f t="shared" si="313"/>
        <v>U</v>
      </c>
    </row>
    <row r="170" spans="1:54" ht="12" customHeight="1" x14ac:dyDescent="0.2">
      <c r="A170" s="440"/>
      <c r="B170" s="628"/>
      <c r="C170" s="380"/>
      <c r="D170" s="514"/>
      <c r="E170" s="1084">
        <f ca="1">IF(AX170="E","",AN170)</f>
        <v>0</v>
      </c>
      <c r="F170" s="1085"/>
      <c r="G170" s="1264"/>
      <c r="H170" s="1264"/>
      <c r="I170" s="1265"/>
      <c r="J170" s="638"/>
      <c r="K170" s="555"/>
      <c r="L170" s="541"/>
      <c r="M170" s="340"/>
      <c r="N170" s="553"/>
      <c r="O170" s="339"/>
      <c r="P170" s="525"/>
      <c r="Q170" s="344"/>
      <c r="R170" s="522" t="s">
        <v>363</v>
      </c>
      <c r="S170" s="353">
        <f t="shared" ca="1" si="299"/>
        <v>0</v>
      </c>
      <c r="T170" s="523"/>
      <c r="U170" s="350"/>
      <c r="V170" s="308"/>
      <c r="W170" s="1090" t="str">
        <f t="shared" ca="1" si="300"/>
        <v/>
      </c>
      <c r="X170" s="1103">
        <f t="shared" ca="1" si="301"/>
        <v>0</v>
      </c>
      <c r="Y170" s="1120">
        <f t="shared" ca="1" si="302"/>
        <v>0</v>
      </c>
      <c r="Z170" s="524"/>
      <c r="AA170" s="350"/>
      <c r="AB170" s="308"/>
      <c r="AC170" s="1090" t="str">
        <f t="shared" ca="1" si="303"/>
        <v/>
      </c>
      <c r="AD170" s="1103">
        <f t="shared" ca="1" si="304"/>
        <v>0</v>
      </c>
      <c r="AE170" s="1120">
        <f t="shared" ca="1" si="305"/>
        <v>0</v>
      </c>
      <c r="AF170" s="525"/>
      <c r="AG170" s="637"/>
      <c r="AH170" s="525"/>
      <c r="AI170" s="1086">
        <f t="shared" ca="1" si="306"/>
        <v>0</v>
      </c>
      <c r="AJ170" s="380"/>
      <c r="AK170" s="440"/>
      <c r="AM170" s="460">
        <v>170</v>
      </c>
      <c r="AN170" s="1087">
        <f t="shared" ca="1" si="307"/>
        <v>0</v>
      </c>
      <c r="AO170" s="1083">
        <f t="shared" ca="1" si="308"/>
        <v>0</v>
      </c>
      <c r="AP170" s="356">
        <f t="shared" ca="1" si="308"/>
        <v>0</v>
      </c>
      <c r="AQ170" s="357">
        <f t="shared" ca="1" si="308"/>
        <v>0</v>
      </c>
      <c r="AR170" s="524" t="str">
        <f t="shared" ca="1" si="308"/>
        <v/>
      </c>
      <c r="AS170" s="356">
        <f t="shared" ca="1" si="308"/>
        <v>0</v>
      </c>
      <c r="AT170" s="357">
        <f t="shared" ca="1" si="308"/>
        <v>0</v>
      </c>
      <c r="AU170" s="524" t="str">
        <f t="shared" ca="1" si="308"/>
        <v/>
      </c>
      <c r="AV170" s="1083">
        <f t="shared" ca="1" si="308"/>
        <v>0</v>
      </c>
      <c r="AX170" s="1083" t="str">
        <f t="shared" si="309"/>
        <v>U</v>
      </c>
      <c r="AY170" s="1083" t="str">
        <f t="shared" si="310"/>
        <v>U</v>
      </c>
      <c r="AZ170" s="1083" t="str">
        <f t="shared" si="311"/>
        <v>U</v>
      </c>
      <c r="BA170" s="1083" t="str">
        <f t="shared" si="312"/>
        <v>U</v>
      </c>
      <c r="BB170" s="1083" t="str">
        <f t="shared" si="313"/>
        <v>U</v>
      </c>
    </row>
    <row r="171" spans="1:54" ht="12" customHeight="1" collapsed="1" x14ac:dyDescent="0.2">
      <c r="A171" s="440"/>
      <c r="B171" s="324"/>
      <c r="C171" s="378"/>
      <c r="D171" s="374"/>
      <c r="E171" s="374"/>
      <c r="F171" s="374"/>
      <c r="G171" s="374"/>
      <c r="H171" s="374"/>
      <c r="I171" s="374"/>
      <c r="J171" s="374"/>
      <c r="K171" s="374"/>
      <c r="L171" s="374"/>
      <c r="M171" s="545"/>
      <c r="N171" s="544"/>
      <c r="O171" s="374"/>
      <c r="P171" s="374"/>
      <c r="Q171" s="374"/>
      <c r="R171" s="374"/>
      <c r="S171" s="374"/>
      <c r="T171" s="374"/>
      <c r="U171" s="374"/>
      <c r="V171" s="374"/>
      <c r="W171" s="1097"/>
      <c r="X171" s="1112"/>
      <c r="Y171" s="1112"/>
      <c r="Z171" s="374"/>
      <c r="AA171" s="374"/>
      <c r="AB171" s="374"/>
      <c r="AC171" s="1097"/>
      <c r="AD171" s="1112"/>
      <c r="AE171" s="1112"/>
      <c r="AF171" s="374"/>
      <c r="AG171" s="374"/>
      <c r="AH171" s="374"/>
      <c r="AI171" s="556"/>
      <c r="AJ171" s="374"/>
      <c r="AK171" s="440"/>
      <c r="AM171" s="460">
        <v>171</v>
      </c>
      <c r="AN171" s="1078"/>
    </row>
    <row r="172" spans="1:54" ht="12" customHeight="1" x14ac:dyDescent="0.2">
      <c r="A172" s="440"/>
      <c r="B172" s="547"/>
      <c r="C172" s="548"/>
      <c r="D172" s="548"/>
      <c r="E172" s="548"/>
      <c r="F172" s="548"/>
      <c r="G172" s="548"/>
      <c r="H172" s="548"/>
      <c r="I172" s="548"/>
      <c r="J172" s="1604"/>
      <c r="K172" s="1604"/>
      <c r="L172" s="557"/>
      <c r="M172" s="558"/>
      <c r="N172" s="557"/>
      <c r="O172" s="389"/>
      <c r="P172" s="389"/>
      <c r="Q172" s="379"/>
      <c r="R172" s="379"/>
      <c r="S172" s="379"/>
      <c r="T172" s="379"/>
      <c r="U172" s="1598"/>
      <c r="V172" s="1598"/>
      <c r="W172" s="1095"/>
      <c r="X172" s="1113"/>
      <c r="Y172" s="1113"/>
      <c r="Z172" s="379"/>
      <c r="AA172" s="1598"/>
      <c r="AB172" s="1598"/>
      <c r="AC172" s="1095"/>
      <c r="AD172" s="1113"/>
      <c r="AE172" s="1113"/>
      <c r="AF172" s="379"/>
      <c r="AG172" s="379"/>
      <c r="AH172" s="379"/>
      <c r="AI172" s="481"/>
      <c r="AJ172" s="379"/>
      <c r="AK172" s="440"/>
      <c r="AM172" s="460">
        <v>172</v>
      </c>
      <c r="AN172" s="1078"/>
    </row>
    <row r="173" spans="1:54" ht="12" customHeight="1" x14ac:dyDescent="0.2">
      <c r="A173" s="440"/>
      <c r="B173" s="320"/>
      <c r="C173" s="513"/>
      <c r="D173" s="513"/>
      <c r="E173" s="513"/>
      <c r="F173" s="513"/>
      <c r="G173" s="513"/>
      <c r="H173" s="513"/>
      <c r="I173" s="513"/>
      <c r="J173" s="1598"/>
      <c r="K173" s="1598"/>
      <c r="L173" s="438"/>
      <c r="M173" s="498"/>
      <c r="N173" s="503"/>
      <c r="O173" s="513"/>
      <c r="P173" s="513"/>
      <c r="Q173" s="513"/>
      <c r="R173" s="513"/>
      <c r="S173" s="372"/>
      <c r="T173" s="372"/>
      <c r="U173" s="372"/>
      <c r="V173" s="372"/>
      <c r="W173" s="1096"/>
      <c r="X173" s="1110"/>
      <c r="Y173" s="1110"/>
      <c r="Z173" s="372"/>
      <c r="AA173" s="372"/>
      <c r="AB173" s="372"/>
      <c r="AC173" s="1096"/>
      <c r="AD173" s="1110"/>
      <c r="AE173" s="1110"/>
      <c r="AF173" s="372"/>
      <c r="AG173" s="372"/>
      <c r="AH173" s="372"/>
      <c r="AI173" s="482"/>
      <c r="AJ173" s="372"/>
      <c r="AK173" s="440"/>
      <c r="AM173" s="460">
        <v>173</v>
      </c>
      <c r="AN173" s="1078"/>
    </row>
    <row r="174" spans="1:54" ht="14.25" customHeight="1" x14ac:dyDescent="0.2">
      <c r="A174" s="440"/>
      <c r="B174" s="499">
        <v>4</v>
      </c>
      <c r="C174" s="494"/>
      <c r="D174" s="495"/>
      <c r="E174" s="500" t="s">
        <v>23</v>
      </c>
      <c r="F174" s="500"/>
      <c r="G174" s="500"/>
      <c r="H174" s="500"/>
      <c r="I174" s="380"/>
      <c r="J174" s="380"/>
      <c r="K174" s="463"/>
      <c r="L174" s="463"/>
      <c r="M174" s="498"/>
      <c r="N174" s="359"/>
      <c r="O174" s="363"/>
      <c r="P174" s="363"/>
      <c r="Q174" s="363"/>
      <c r="R174" s="363"/>
      <c r="S174" s="385">
        <f ca="1">S175+S181</f>
        <v>188442.408</v>
      </c>
      <c r="T174" s="363"/>
      <c r="U174" s="358"/>
      <c r="V174" s="358"/>
      <c r="W174" s="1091"/>
      <c r="X174" s="1104"/>
      <c r="Y174" s="1104"/>
      <c r="Z174" s="363"/>
      <c r="AA174" s="358"/>
      <c r="AB174" s="358"/>
      <c r="AC174" s="1091"/>
      <c r="AD174" s="1104"/>
      <c r="AE174" s="1104"/>
      <c r="AF174" s="358"/>
      <c r="AG174" s="358"/>
      <c r="AH174" s="358"/>
      <c r="AI174" s="358"/>
      <c r="AJ174" s="358"/>
      <c r="AK174" s="440"/>
      <c r="AM174" s="460">
        <v>174</v>
      </c>
      <c r="AN174" s="1078"/>
    </row>
    <row r="175" spans="1:54" ht="14.25" customHeight="1" x14ac:dyDescent="0.25">
      <c r="A175" s="440"/>
      <c r="B175" s="628"/>
      <c r="C175" s="513" t="s">
        <v>22</v>
      </c>
      <c r="D175" s="494"/>
      <c r="E175" s="1596" t="s">
        <v>21</v>
      </c>
      <c r="F175" s="1596"/>
      <c r="G175" s="1596"/>
      <c r="H175" s="1596"/>
      <c r="I175" s="1597"/>
      <c r="J175" s="501"/>
      <c r="K175" s="462"/>
      <c r="L175" s="462"/>
      <c r="M175" s="498"/>
      <c r="N175" s="359"/>
      <c r="O175" s="363"/>
      <c r="P175" s="363"/>
      <c r="Q175" s="363"/>
      <c r="R175" s="363"/>
      <c r="S175" s="355">
        <f ca="1">S176</f>
        <v>0</v>
      </c>
      <c r="T175" s="363"/>
      <c r="U175" s="358"/>
      <c r="V175" s="358"/>
      <c r="W175" s="1091"/>
      <c r="X175" s="1104"/>
      <c r="Y175" s="1104"/>
      <c r="Z175" s="363"/>
      <c r="AA175" s="358"/>
      <c r="AB175" s="358"/>
      <c r="AC175" s="1091"/>
      <c r="AD175" s="1104"/>
      <c r="AE175" s="1104"/>
      <c r="AF175" s="358"/>
      <c r="AG175" s="358"/>
      <c r="AH175" s="358"/>
      <c r="AI175" s="358"/>
      <c r="AJ175" s="358"/>
      <c r="AK175" s="440"/>
      <c r="AM175" s="460">
        <v>175</v>
      </c>
      <c r="AN175" s="1078"/>
    </row>
    <row r="176" spans="1:54" ht="12" customHeight="1" x14ac:dyDescent="0.25">
      <c r="A176" s="440"/>
      <c r="B176" s="628"/>
      <c r="C176" s="380"/>
      <c r="D176" s="514" t="s">
        <v>20</v>
      </c>
      <c r="E176" s="1599" t="s">
        <v>19</v>
      </c>
      <c r="F176" s="1599"/>
      <c r="G176" s="1599"/>
      <c r="H176" s="1599"/>
      <c r="I176" s="1597"/>
      <c r="J176" s="501"/>
      <c r="K176" s="529"/>
      <c r="L176" s="503"/>
      <c r="M176" s="498"/>
      <c r="N176" s="359"/>
      <c r="O176" s="363"/>
      <c r="P176" s="363"/>
      <c r="Q176" s="363"/>
      <c r="R176" s="363"/>
      <c r="S176" s="390">
        <f ca="1">SUBTOTAL(109,S178:S180)</f>
        <v>0</v>
      </c>
      <c r="T176" s="363"/>
      <c r="U176" s="358"/>
      <c r="V176" s="358"/>
      <c r="W176" s="1091"/>
      <c r="X176" s="1104"/>
      <c r="Y176" s="1104"/>
      <c r="Z176" s="363"/>
      <c r="AA176" s="358"/>
      <c r="AB176" s="358"/>
      <c r="AC176" s="1091"/>
      <c r="AD176" s="1104"/>
      <c r="AE176" s="1104"/>
      <c r="AF176" s="358"/>
      <c r="AG176" s="358"/>
      <c r="AH176" s="358"/>
      <c r="AI176" s="358"/>
      <c r="AJ176" s="380"/>
      <c r="AK176" s="440"/>
      <c r="AM176" s="460">
        <v>176</v>
      </c>
      <c r="AN176" s="1078"/>
    </row>
    <row r="177" spans="1:54" ht="12" customHeight="1" x14ac:dyDescent="0.25">
      <c r="A177" s="440"/>
      <c r="B177" s="628"/>
      <c r="C177" s="380"/>
      <c r="D177" s="514"/>
      <c r="E177" s="514"/>
      <c r="F177" s="514"/>
      <c r="G177" s="514"/>
      <c r="H177" s="514"/>
      <c r="I177" s="511"/>
      <c r="J177" s="1603" t="s">
        <v>170</v>
      </c>
      <c r="K177" s="1603"/>
      <c r="L177" s="503"/>
      <c r="M177" s="498"/>
      <c r="N177" s="359"/>
      <c r="O177" s="363"/>
      <c r="P177" s="363"/>
      <c r="Q177" s="363"/>
      <c r="R177" s="363"/>
      <c r="S177" s="390"/>
      <c r="T177" s="363"/>
      <c r="U177" s="358"/>
      <c r="V177" s="358"/>
      <c r="W177" s="1091"/>
      <c r="X177" s="1104"/>
      <c r="Y177" s="1104"/>
      <c r="Z177" s="363"/>
      <c r="AA177" s="358"/>
      <c r="AB177" s="358"/>
      <c r="AC177" s="1091"/>
      <c r="AD177" s="1104"/>
      <c r="AE177" s="1104"/>
      <c r="AF177" s="358"/>
      <c r="AG177" s="358"/>
      <c r="AH177" s="358"/>
      <c r="AI177" s="358"/>
      <c r="AJ177" s="380"/>
      <c r="AK177" s="440"/>
      <c r="AM177" s="460">
        <v>177</v>
      </c>
      <c r="AN177" s="1078"/>
    </row>
    <row r="178" spans="1:54" ht="12" customHeight="1" x14ac:dyDescent="0.2">
      <c r="A178" s="440"/>
      <c r="B178" s="628"/>
      <c r="C178" s="380"/>
      <c r="D178" s="514"/>
      <c r="E178" s="1084">
        <f ca="1">IF(AX178="E","",AN178)</f>
        <v>0</v>
      </c>
      <c r="F178" s="1085"/>
      <c r="G178" s="1264"/>
      <c r="H178" s="1264"/>
      <c r="I178" s="1265"/>
      <c r="J178" s="638"/>
      <c r="K178" s="520" t="s">
        <v>177</v>
      </c>
      <c r="L178" s="521"/>
      <c r="M178" s="340"/>
      <c r="N178" s="528" t="s">
        <v>67</v>
      </c>
      <c r="O178" s="339"/>
      <c r="P178" s="543" t="s">
        <v>68</v>
      </c>
      <c r="Q178" s="344"/>
      <c r="R178" s="522" t="s">
        <v>363</v>
      </c>
      <c r="S178" s="353">
        <f t="shared" ref="S178:S180" ca="1" si="314">IF(AY178="E",(M178*O178)+Q178,AO178)</f>
        <v>0</v>
      </c>
      <c r="T178" s="523"/>
      <c r="U178" s="350"/>
      <c r="V178" s="308"/>
      <c r="W178" s="1090" t="str">
        <f t="shared" ref="W178:W180" ca="1" si="315">IF(AZ178="E",IF(AND(V178&lt;&gt;0,U178&lt;&gt;0),"X",IF(AND(V178&lt;&gt;0,U178=0),"A",IF(AND(V178=0,U178&lt;&gt;0),"P",""))),AR178)</f>
        <v/>
      </c>
      <c r="X178" s="1103">
        <f t="shared" ref="X178:X180" ca="1" si="316">IF(AZ178="E",IFERROR(IF(W178="X",0,IF(U178&gt;0,U178,V178/S178)),0),
IFERROR(IF(OR(AR178="X",AR178=0),0,
IF(AR178="P",AP178,IF(AR178="A",AQ178/S178,0))),0))</f>
        <v>0</v>
      </c>
      <c r="Y178" s="1120">
        <f t="shared" ref="Y178:Y180" ca="1" si="317">IF(AZ178="E",IFERROR(IF(W178="X",0,IF(V178&gt;0,V178,S178*U178)),0),
IFERROR(IF(OR(AR178="X",AR178="0"),0,IF(AR178="A",AQ178,S178*AP178)),0))</f>
        <v>0</v>
      </c>
      <c r="Z178" s="524"/>
      <c r="AA178" s="350"/>
      <c r="AB178" s="308"/>
      <c r="AC178" s="1090" t="str">
        <f t="shared" ref="AC178:AC180" ca="1" si="318">IF(BA178="E",IF(AND(AB178&lt;&gt;0,AA178&lt;&gt;0),"X",IF(AND(AB178&lt;&gt;0,AA178=0),"A",IF(AND(AB178=0,AA178&lt;&gt;0),"P",""))),AU178)</f>
        <v/>
      </c>
      <c r="AD178" s="1103">
        <f t="shared" ref="AD178:AD180" ca="1" si="319">IF(BA178="E",IFERROR(IF(AC178="X",0,IF(AA178&gt;0,AA178,AB178/S178)),0),
IFERROR(IF(OR(AU178="X",AU178=0),0,
IF(AU178="P",AS178,IF(AU178="A",AT178/S178,0))),0))</f>
        <v>0</v>
      </c>
      <c r="AE178" s="1120">
        <f t="shared" ref="AE178:AE180" ca="1" si="320">IF(BA178="E",IFERROR(IF(AC178="X",0,IF(AB178&gt;0,AB178,S178*AA178)),0),
IFERROR(IF(OR(AU178="X",AU178=0),0,
IF(AU178="A",AT178,S178*AS178)),0))</f>
        <v>0</v>
      </c>
      <c r="AF178" s="525"/>
      <c r="AG178" s="637"/>
      <c r="AH178" s="525"/>
      <c r="AI178" s="1086">
        <f t="shared" ref="AI178:AI180" ca="1" si="321">IF(BB178="E",AG178,AV178)</f>
        <v>0</v>
      </c>
      <c r="AJ178" s="380"/>
      <c r="AK178" s="440"/>
      <c r="AM178" s="460">
        <v>178</v>
      </c>
      <c r="AN178" s="1087">
        <f t="shared" ref="AN178:AN180" ca="1" si="322">IF($M$13=$AN$12,"",IF(ISTEXT(INDIRECT("'"&amp;$AM$20&amp;"'!"&amp;AN$21&amp;$AM178)),INDIRECT("'"&amp;$AM$20&amp;"'!"&amp;AN$21&amp;$AM178),INDIRECT("'"&amp;$AM$20&amp;"'!"&amp;AN$22&amp;$AM178)))</f>
        <v>0</v>
      </c>
      <c r="AO178" s="1083">
        <f t="shared" ref="AO178:AV180" ca="1" si="323">IF($M$13=$AN$12,"",INDIRECT("'"&amp;$AM$20&amp;"'!"&amp;AO$21&amp;$AM178))</f>
        <v>0</v>
      </c>
      <c r="AP178" s="356">
        <f t="shared" ca="1" si="323"/>
        <v>0</v>
      </c>
      <c r="AQ178" s="357">
        <f t="shared" ca="1" si="323"/>
        <v>0</v>
      </c>
      <c r="AR178" s="524" t="str">
        <f t="shared" ca="1" si="323"/>
        <v/>
      </c>
      <c r="AS178" s="356">
        <f t="shared" ca="1" si="323"/>
        <v>0</v>
      </c>
      <c r="AT178" s="357">
        <f t="shared" ca="1" si="323"/>
        <v>0</v>
      </c>
      <c r="AU178" s="524" t="str">
        <f t="shared" ca="1" si="323"/>
        <v/>
      </c>
      <c r="AV178" s="1083">
        <f t="shared" ca="1" si="323"/>
        <v>0</v>
      </c>
      <c r="AX178" s="1083" t="str">
        <f t="shared" ref="AX178:AX180" si="324">IF($M$13=$AN$12,"E",IF(ISTEXT(F178),"E","U"))</f>
        <v>U</v>
      </c>
      <c r="AY178" s="1083" t="str">
        <f t="shared" ref="AY178:AY180" si="325">IF($M$13=$AN$12,"E",IF(OR(ISNUMBER(M178),ISNUMBER(O178),ISNUMBER(Q178)),"E","U"))</f>
        <v>U</v>
      </c>
      <c r="AZ178" s="1083" t="str">
        <f t="shared" ref="AZ178:AZ180" si="326">IF($M$13=$AN$12,"E",IF(OR(ISNUMBER(U178),ISNUMBER(V178)),"E","U"))</f>
        <v>U</v>
      </c>
      <c r="BA178" s="1083" t="str">
        <f t="shared" ref="BA178:BA180" si="327">IF($M$13=$AN$12,"E",IF(OR(ISNUMBER(AA178),ISNUMBER(AB178)),"E","U"))</f>
        <v>U</v>
      </c>
      <c r="BB178" s="1083" t="str">
        <f t="shared" ref="BB178:BB180" si="328">IF($M$13=$AN$12,"E",IF(ISNUMBER(AG178),"E","U"))</f>
        <v>U</v>
      </c>
    </row>
    <row r="179" spans="1:54" ht="12" customHeight="1" x14ac:dyDescent="0.2">
      <c r="A179" s="440"/>
      <c r="B179" s="628"/>
      <c r="C179" s="380"/>
      <c r="D179" s="514"/>
      <c r="E179" s="1084">
        <f ca="1">IF(AX179="E","",AN179)</f>
        <v>0</v>
      </c>
      <c r="F179" s="1085"/>
      <c r="G179" s="1264"/>
      <c r="H179" s="1264"/>
      <c r="I179" s="1265"/>
      <c r="J179" s="638"/>
      <c r="K179" s="520" t="s">
        <v>177</v>
      </c>
      <c r="L179" s="521"/>
      <c r="M179" s="340"/>
      <c r="N179" s="528" t="s">
        <v>67</v>
      </c>
      <c r="O179" s="339"/>
      <c r="P179" s="543" t="s">
        <v>68</v>
      </c>
      <c r="Q179" s="344"/>
      <c r="R179" s="522" t="s">
        <v>363</v>
      </c>
      <c r="S179" s="353">
        <f t="shared" ca="1" si="314"/>
        <v>0</v>
      </c>
      <c r="T179" s="523"/>
      <c r="U179" s="350"/>
      <c r="V179" s="308"/>
      <c r="W179" s="1090" t="str">
        <f t="shared" ca="1" si="315"/>
        <v/>
      </c>
      <c r="X179" s="1103">
        <f t="shared" ca="1" si="316"/>
        <v>0</v>
      </c>
      <c r="Y179" s="1120">
        <f t="shared" ca="1" si="317"/>
        <v>0</v>
      </c>
      <c r="Z179" s="524"/>
      <c r="AA179" s="350"/>
      <c r="AB179" s="308"/>
      <c r="AC179" s="1090" t="str">
        <f t="shared" ca="1" si="318"/>
        <v/>
      </c>
      <c r="AD179" s="1103">
        <f t="shared" ca="1" si="319"/>
        <v>0</v>
      </c>
      <c r="AE179" s="1120">
        <f t="shared" ca="1" si="320"/>
        <v>0</v>
      </c>
      <c r="AF179" s="525"/>
      <c r="AG179" s="637"/>
      <c r="AH179" s="525"/>
      <c r="AI179" s="1086">
        <f t="shared" ca="1" si="321"/>
        <v>0</v>
      </c>
      <c r="AJ179" s="380"/>
      <c r="AK179" s="440"/>
      <c r="AM179" s="460">
        <v>179</v>
      </c>
      <c r="AN179" s="1087">
        <f t="shared" ca="1" si="322"/>
        <v>0</v>
      </c>
      <c r="AO179" s="1083">
        <f t="shared" ca="1" si="323"/>
        <v>0</v>
      </c>
      <c r="AP179" s="356">
        <f t="shared" ca="1" si="323"/>
        <v>0</v>
      </c>
      <c r="AQ179" s="357">
        <f t="shared" ca="1" si="323"/>
        <v>0</v>
      </c>
      <c r="AR179" s="524" t="str">
        <f t="shared" ca="1" si="323"/>
        <v/>
      </c>
      <c r="AS179" s="356">
        <f t="shared" ca="1" si="323"/>
        <v>0</v>
      </c>
      <c r="AT179" s="357">
        <f t="shared" ca="1" si="323"/>
        <v>0</v>
      </c>
      <c r="AU179" s="524" t="str">
        <f t="shared" ca="1" si="323"/>
        <v/>
      </c>
      <c r="AV179" s="1083">
        <f t="shared" ca="1" si="323"/>
        <v>0</v>
      </c>
      <c r="AX179" s="1083" t="str">
        <f t="shared" si="324"/>
        <v>U</v>
      </c>
      <c r="AY179" s="1083" t="str">
        <f t="shared" si="325"/>
        <v>U</v>
      </c>
      <c r="AZ179" s="1083" t="str">
        <f t="shared" si="326"/>
        <v>U</v>
      </c>
      <c r="BA179" s="1083" t="str">
        <f t="shared" si="327"/>
        <v>U</v>
      </c>
      <c r="BB179" s="1083" t="str">
        <f t="shared" si="328"/>
        <v>U</v>
      </c>
    </row>
    <row r="180" spans="1:54" ht="12" customHeight="1" x14ac:dyDescent="0.2">
      <c r="A180" s="440"/>
      <c r="B180" s="628"/>
      <c r="C180" s="380"/>
      <c r="D180" s="514"/>
      <c r="E180" s="1084">
        <f ca="1">IF(AX180="E","",AN180)</f>
        <v>0</v>
      </c>
      <c r="F180" s="1085"/>
      <c r="G180" s="1264"/>
      <c r="H180" s="1264"/>
      <c r="I180" s="1265"/>
      <c r="J180" s="638"/>
      <c r="K180" s="520" t="s">
        <v>177</v>
      </c>
      <c r="L180" s="521"/>
      <c r="M180" s="340"/>
      <c r="N180" s="528" t="s">
        <v>67</v>
      </c>
      <c r="O180" s="339"/>
      <c r="P180" s="543" t="s">
        <v>68</v>
      </c>
      <c r="Q180" s="344"/>
      <c r="R180" s="522" t="s">
        <v>363</v>
      </c>
      <c r="S180" s="353">
        <f t="shared" ca="1" si="314"/>
        <v>0</v>
      </c>
      <c r="T180" s="523"/>
      <c r="U180" s="350"/>
      <c r="V180" s="308"/>
      <c r="W180" s="1090" t="str">
        <f t="shared" ca="1" si="315"/>
        <v/>
      </c>
      <c r="X180" s="1103">
        <f t="shared" ca="1" si="316"/>
        <v>0</v>
      </c>
      <c r="Y180" s="1120">
        <f t="shared" ca="1" si="317"/>
        <v>0</v>
      </c>
      <c r="Z180" s="524"/>
      <c r="AA180" s="350"/>
      <c r="AB180" s="308"/>
      <c r="AC180" s="1090" t="str">
        <f t="shared" ca="1" si="318"/>
        <v/>
      </c>
      <c r="AD180" s="1103">
        <f t="shared" ca="1" si="319"/>
        <v>0</v>
      </c>
      <c r="AE180" s="1120">
        <f t="shared" ca="1" si="320"/>
        <v>0</v>
      </c>
      <c r="AF180" s="525"/>
      <c r="AG180" s="637"/>
      <c r="AH180" s="525"/>
      <c r="AI180" s="1086">
        <f t="shared" ca="1" si="321"/>
        <v>0</v>
      </c>
      <c r="AJ180" s="380"/>
      <c r="AK180" s="440"/>
      <c r="AM180" s="460">
        <v>180</v>
      </c>
      <c r="AN180" s="1087">
        <f t="shared" ca="1" si="322"/>
        <v>0</v>
      </c>
      <c r="AO180" s="1083">
        <f t="shared" ca="1" si="323"/>
        <v>0</v>
      </c>
      <c r="AP180" s="356">
        <f t="shared" ca="1" si="323"/>
        <v>0</v>
      </c>
      <c r="AQ180" s="357">
        <f t="shared" ca="1" si="323"/>
        <v>0</v>
      </c>
      <c r="AR180" s="524" t="str">
        <f t="shared" ca="1" si="323"/>
        <v/>
      </c>
      <c r="AS180" s="356">
        <f t="shared" ca="1" si="323"/>
        <v>0</v>
      </c>
      <c r="AT180" s="357">
        <f t="shared" ca="1" si="323"/>
        <v>0</v>
      </c>
      <c r="AU180" s="524" t="str">
        <f t="shared" ca="1" si="323"/>
        <v/>
      </c>
      <c r="AV180" s="1083">
        <f t="shared" ca="1" si="323"/>
        <v>0</v>
      </c>
      <c r="AX180" s="1083" t="str">
        <f t="shared" si="324"/>
        <v>U</v>
      </c>
      <c r="AY180" s="1083" t="str">
        <f t="shared" si="325"/>
        <v>U</v>
      </c>
      <c r="AZ180" s="1083" t="str">
        <f t="shared" si="326"/>
        <v>U</v>
      </c>
      <c r="BA180" s="1083" t="str">
        <f t="shared" si="327"/>
        <v>U</v>
      </c>
      <c r="BB180" s="1083" t="str">
        <f t="shared" si="328"/>
        <v>U</v>
      </c>
    </row>
    <row r="181" spans="1:54" ht="14.25" customHeight="1" x14ac:dyDescent="0.25">
      <c r="A181" s="440"/>
      <c r="B181" s="628"/>
      <c r="C181" s="513" t="s">
        <v>18</v>
      </c>
      <c r="D181" s="494"/>
      <c r="E181" s="1596" t="s">
        <v>17</v>
      </c>
      <c r="F181" s="1596"/>
      <c r="G181" s="1596"/>
      <c r="H181" s="1596"/>
      <c r="I181" s="1597"/>
      <c r="J181" s="501"/>
      <c r="K181" s="462"/>
      <c r="L181" s="462"/>
      <c r="M181" s="498"/>
      <c r="N181" s="359"/>
      <c r="O181" s="363"/>
      <c r="P181" s="363"/>
      <c r="Q181" s="363"/>
      <c r="R181" s="363"/>
      <c r="S181" s="355">
        <f ca="1">S182+S186+S195</f>
        <v>188442.408</v>
      </c>
      <c r="T181" s="363"/>
      <c r="U181" s="375"/>
      <c r="V181" s="358"/>
      <c r="W181" s="1091"/>
      <c r="X181" s="1114"/>
      <c r="Y181" s="1104"/>
      <c r="Z181" s="363"/>
      <c r="AA181" s="375"/>
      <c r="AB181" s="358"/>
      <c r="AC181" s="1091"/>
      <c r="AD181" s="1114"/>
      <c r="AE181" s="1104"/>
      <c r="AF181" s="358"/>
      <c r="AG181" s="358"/>
      <c r="AH181" s="358"/>
      <c r="AI181" s="358"/>
      <c r="AJ181" s="380"/>
      <c r="AK181" s="440"/>
      <c r="AM181" s="460">
        <v>181</v>
      </c>
      <c r="AN181" s="1078"/>
    </row>
    <row r="182" spans="1:54" ht="12" customHeight="1" x14ac:dyDescent="0.25">
      <c r="A182" s="440"/>
      <c r="B182" s="628"/>
      <c r="C182" s="380"/>
      <c r="D182" s="514" t="s">
        <v>342</v>
      </c>
      <c r="E182" s="1599" t="s">
        <v>182</v>
      </c>
      <c r="F182" s="1599"/>
      <c r="G182" s="1599"/>
      <c r="H182" s="1599"/>
      <c r="I182" s="1597"/>
      <c r="J182" s="501"/>
      <c r="K182" s="529"/>
      <c r="L182" s="503"/>
      <c r="M182" s="498"/>
      <c r="N182" s="359"/>
      <c r="O182" s="363"/>
      <c r="P182" s="363"/>
      <c r="Q182" s="363"/>
      <c r="R182" s="363"/>
      <c r="S182" s="390">
        <f ca="1">SUBTOTAL(109,S184:S185)</f>
        <v>0</v>
      </c>
      <c r="T182" s="363"/>
      <c r="U182" s="375"/>
      <c r="V182" s="358"/>
      <c r="W182" s="1091"/>
      <c r="X182" s="1114"/>
      <c r="Y182" s="1104"/>
      <c r="Z182" s="363"/>
      <c r="AA182" s="375"/>
      <c r="AB182" s="358"/>
      <c r="AC182" s="1091"/>
      <c r="AD182" s="1114"/>
      <c r="AE182" s="1104"/>
      <c r="AF182" s="358"/>
      <c r="AG182" s="358"/>
      <c r="AH182" s="358"/>
      <c r="AI182" s="358"/>
      <c r="AJ182" s="380"/>
      <c r="AK182" s="440"/>
      <c r="AM182" s="460">
        <v>182</v>
      </c>
      <c r="AN182" s="1078"/>
    </row>
    <row r="183" spans="1:54" ht="12" customHeight="1" x14ac:dyDescent="0.25">
      <c r="A183" s="440"/>
      <c r="B183" s="628"/>
      <c r="C183" s="380"/>
      <c r="D183" s="514"/>
      <c r="E183" s="514"/>
      <c r="F183" s="514"/>
      <c r="G183" s="514"/>
      <c r="H183" s="514"/>
      <c r="I183" s="511"/>
      <c r="J183" s="1603" t="s">
        <v>170</v>
      </c>
      <c r="K183" s="1603"/>
      <c r="L183" s="503"/>
      <c r="M183" s="498"/>
      <c r="N183" s="359"/>
      <c r="O183" s="363"/>
      <c r="P183" s="363"/>
      <c r="Q183" s="363"/>
      <c r="R183" s="363"/>
      <c r="S183" s="390"/>
      <c r="T183" s="363"/>
      <c r="U183" s="375"/>
      <c r="V183" s="358"/>
      <c r="W183" s="1091"/>
      <c r="X183" s="1114"/>
      <c r="Y183" s="1104"/>
      <c r="Z183" s="363"/>
      <c r="AA183" s="375"/>
      <c r="AB183" s="358"/>
      <c r="AC183" s="1091"/>
      <c r="AD183" s="1114"/>
      <c r="AE183" s="1104"/>
      <c r="AF183" s="358"/>
      <c r="AG183" s="358"/>
      <c r="AH183" s="358"/>
      <c r="AI183" s="358"/>
      <c r="AJ183" s="380"/>
      <c r="AK183" s="440"/>
      <c r="AM183" s="460">
        <v>183</v>
      </c>
      <c r="AN183" s="1078"/>
    </row>
    <row r="184" spans="1:54" ht="12" customHeight="1" x14ac:dyDescent="0.2">
      <c r="A184" s="440"/>
      <c r="B184" s="628"/>
      <c r="C184" s="380"/>
      <c r="D184" s="514"/>
      <c r="E184" s="1084">
        <f ca="1">IF(AX184="E","",AN184)</f>
        <v>0</v>
      </c>
      <c r="F184" s="1085"/>
      <c r="G184" s="1264"/>
      <c r="H184" s="1264"/>
      <c r="I184" s="1265"/>
      <c r="J184" s="638"/>
      <c r="K184" s="520" t="s">
        <v>177</v>
      </c>
      <c r="L184" s="521"/>
      <c r="M184" s="340"/>
      <c r="N184" s="528" t="s">
        <v>67</v>
      </c>
      <c r="O184" s="339"/>
      <c r="P184" s="543" t="s">
        <v>68</v>
      </c>
      <c r="Q184" s="344"/>
      <c r="R184" s="522" t="s">
        <v>363</v>
      </c>
      <c r="S184" s="353">
        <f t="shared" ref="S184:S185" ca="1" si="329">IF(AY184="E",(M184*O184)+Q184,AO184)</f>
        <v>0</v>
      </c>
      <c r="T184" s="523"/>
      <c r="U184" s="350"/>
      <c r="V184" s="308"/>
      <c r="W184" s="1090" t="str">
        <f t="shared" ref="W184:W185" ca="1" si="330">IF(AZ184="E",IF(AND(V184&lt;&gt;0,U184&lt;&gt;0),"X",IF(AND(V184&lt;&gt;0,U184=0),"A",IF(AND(V184=0,U184&lt;&gt;0),"P",""))),AR184)</f>
        <v/>
      </c>
      <c r="X184" s="1103">
        <f t="shared" ref="X184:X185" ca="1" si="331">IF(AZ184="E",IFERROR(IF(W184="X",0,IF(U184&gt;0,U184,V184/S184)),0),
IFERROR(IF(OR(AR184="X",AR184=0),0,
IF(AR184="P",AP184,IF(AR184="A",AQ184/S184,0))),0))</f>
        <v>0</v>
      </c>
      <c r="Y184" s="1120">
        <f t="shared" ref="Y184:Y185" ca="1" si="332">IF(AZ184="E",IFERROR(IF(W184="X",0,IF(V184&gt;0,V184,S184*U184)),0),
IFERROR(IF(OR(AR184="X",AR184="0"),0,IF(AR184="A",AQ184,S184*AP184)),0))</f>
        <v>0</v>
      </c>
      <c r="Z184" s="524"/>
      <c r="AA184" s="350"/>
      <c r="AB184" s="308"/>
      <c r="AC184" s="1090" t="str">
        <f t="shared" ref="AC184:AC185" ca="1" si="333">IF(BA184="E",IF(AND(AB184&lt;&gt;0,AA184&lt;&gt;0),"X",IF(AND(AB184&lt;&gt;0,AA184=0),"A",IF(AND(AB184=0,AA184&lt;&gt;0),"P",""))),AU184)</f>
        <v/>
      </c>
      <c r="AD184" s="1103">
        <f t="shared" ref="AD184:AD185" ca="1" si="334">IF(BA184="E",IFERROR(IF(AC184="X",0,IF(AA184&gt;0,AA184,AB184/S184)),0),
IFERROR(IF(OR(AU184="X",AU184=0),0,
IF(AU184="P",AS184,IF(AU184="A",AT184/S184,0))),0))</f>
        <v>0</v>
      </c>
      <c r="AE184" s="1120">
        <f t="shared" ref="AE184:AE185" ca="1" si="335">IF(BA184="E",IFERROR(IF(AC184="X",0,IF(AB184&gt;0,AB184,S184*AA184)),0),
IFERROR(IF(OR(AU184="X",AU184=0),0,
IF(AU184="A",AT184,S184*AS184)),0))</f>
        <v>0</v>
      </c>
      <c r="AF184" s="525"/>
      <c r="AG184" s="637"/>
      <c r="AH184" s="525"/>
      <c r="AI184" s="1086">
        <f t="shared" ref="AI184:AI185" ca="1" si="336">IF(BB184="E",AG184,AV184)</f>
        <v>0</v>
      </c>
      <c r="AJ184" s="380"/>
      <c r="AK184" s="440"/>
      <c r="AM184" s="460">
        <v>184</v>
      </c>
      <c r="AN184" s="1087">
        <f t="shared" ref="AN184:AN185" ca="1" si="337">IF($M$13=$AN$12,"",IF(ISTEXT(INDIRECT("'"&amp;$AM$20&amp;"'!"&amp;AN$21&amp;$AM184)),INDIRECT("'"&amp;$AM$20&amp;"'!"&amp;AN$21&amp;$AM184),INDIRECT("'"&amp;$AM$20&amp;"'!"&amp;AN$22&amp;$AM184)))</f>
        <v>0</v>
      </c>
      <c r="AO184" s="1083">
        <f t="shared" ref="AO184:AV185" ca="1" si="338">IF($M$13=$AN$12,"",INDIRECT("'"&amp;$AM$20&amp;"'!"&amp;AO$21&amp;$AM184))</f>
        <v>0</v>
      </c>
      <c r="AP184" s="356">
        <f t="shared" ca="1" si="338"/>
        <v>0</v>
      </c>
      <c r="AQ184" s="357">
        <f t="shared" ca="1" si="338"/>
        <v>0</v>
      </c>
      <c r="AR184" s="524" t="str">
        <f t="shared" ca="1" si="338"/>
        <v/>
      </c>
      <c r="AS184" s="356">
        <f t="shared" ca="1" si="338"/>
        <v>0</v>
      </c>
      <c r="AT184" s="357">
        <f t="shared" ca="1" si="338"/>
        <v>0</v>
      </c>
      <c r="AU184" s="524" t="str">
        <f t="shared" ca="1" si="338"/>
        <v/>
      </c>
      <c r="AV184" s="1083">
        <f t="shared" ca="1" si="338"/>
        <v>0</v>
      </c>
      <c r="AX184" s="1083" t="str">
        <f t="shared" ref="AX184:AX185" si="339">IF($M$13=$AN$12,"E",IF(ISTEXT(F184),"E","U"))</f>
        <v>U</v>
      </c>
      <c r="AY184" s="1083" t="str">
        <f t="shared" ref="AY184:AY185" si="340">IF($M$13=$AN$12,"E",IF(OR(ISNUMBER(M184),ISNUMBER(O184),ISNUMBER(Q184)),"E","U"))</f>
        <v>U</v>
      </c>
      <c r="AZ184" s="1083" t="str">
        <f t="shared" ref="AZ184:AZ185" si="341">IF($M$13=$AN$12,"E",IF(OR(ISNUMBER(U184),ISNUMBER(V184)),"E","U"))</f>
        <v>U</v>
      </c>
      <c r="BA184" s="1083" t="str">
        <f t="shared" ref="BA184:BA185" si="342">IF($M$13=$AN$12,"E",IF(OR(ISNUMBER(AA184),ISNUMBER(AB184)),"E","U"))</f>
        <v>U</v>
      </c>
      <c r="BB184" s="1083" t="str">
        <f t="shared" ref="BB184:BB185" si="343">IF($M$13=$AN$12,"E",IF(ISNUMBER(AG184),"E","U"))</f>
        <v>U</v>
      </c>
    </row>
    <row r="185" spans="1:54" ht="12" customHeight="1" x14ac:dyDescent="0.2">
      <c r="A185" s="440"/>
      <c r="B185" s="628"/>
      <c r="C185" s="380"/>
      <c r="D185" s="514"/>
      <c r="E185" s="1084">
        <f ca="1">IF(AX185="E","",AN185)</f>
        <v>0</v>
      </c>
      <c r="F185" s="1085"/>
      <c r="G185" s="1264"/>
      <c r="H185" s="1264"/>
      <c r="I185" s="1265"/>
      <c r="J185" s="638"/>
      <c r="K185" s="520" t="s">
        <v>177</v>
      </c>
      <c r="L185" s="521"/>
      <c r="M185" s="340"/>
      <c r="N185" s="528" t="s">
        <v>67</v>
      </c>
      <c r="O185" s="339"/>
      <c r="P185" s="543" t="s">
        <v>68</v>
      </c>
      <c r="Q185" s="344"/>
      <c r="R185" s="522" t="s">
        <v>363</v>
      </c>
      <c r="S185" s="353">
        <f t="shared" ca="1" si="329"/>
        <v>0</v>
      </c>
      <c r="T185" s="523"/>
      <c r="U185" s="350"/>
      <c r="V185" s="308"/>
      <c r="W185" s="1090" t="str">
        <f t="shared" ca="1" si="330"/>
        <v/>
      </c>
      <c r="X185" s="1103">
        <f t="shared" ca="1" si="331"/>
        <v>0</v>
      </c>
      <c r="Y185" s="1120">
        <f t="shared" ca="1" si="332"/>
        <v>0</v>
      </c>
      <c r="Z185" s="524"/>
      <c r="AA185" s="350"/>
      <c r="AB185" s="308"/>
      <c r="AC185" s="1090" t="str">
        <f t="shared" ca="1" si="333"/>
        <v/>
      </c>
      <c r="AD185" s="1103">
        <f t="shared" ca="1" si="334"/>
        <v>0</v>
      </c>
      <c r="AE185" s="1120">
        <f t="shared" ca="1" si="335"/>
        <v>0</v>
      </c>
      <c r="AF185" s="525"/>
      <c r="AG185" s="637"/>
      <c r="AH185" s="525"/>
      <c r="AI185" s="1086">
        <f t="shared" ca="1" si="336"/>
        <v>0</v>
      </c>
      <c r="AJ185" s="380"/>
      <c r="AK185" s="440"/>
      <c r="AM185" s="460">
        <v>185</v>
      </c>
      <c r="AN185" s="1087">
        <f t="shared" ca="1" si="337"/>
        <v>0</v>
      </c>
      <c r="AO185" s="1083">
        <f t="shared" ca="1" si="338"/>
        <v>0</v>
      </c>
      <c r="AP185" s="356">
        <f t="shared" ca="1" si="338"/>
        <v>0</v>
      </c>
      <c r="AQ185" s="357">
        <f t="shared" ca="1" si="338"/>
        <v>0</v>
      </c>
      <c r="AR185" s="524" t="str">
        <f t="shared" ca="1" si="338"/>
        <v/>
      </c>
      <c r="AS185" s="356">
        <f t="shared" ca="1" si="338"/>
        <v>0</v>
      </c>
      <c r="AT185" s="357">
        <f t="shared" ca="1" si="338"/>
        <v>0</v>
      </c>
      <c r="AU185" s="524" t="str">
        <f t="shared" ca="1" si="338"/>
        <v/>
      </c>
      <c r="AV185" s="1083">
        <f t="shared" ca="1" si="338"/>
        <v>0</v>
      </c>
      <c r="AX185" s="1083" t="str">
        <f t="shared" si="339"/>
        <v>U</v>
      </c>
      <c r="AY185" s="1083" t="str">
        <f t="shared" si="340"/>
        <v>U</v>
      </c>
      <c r="AZ185" s="1083" t="str">
        <f t="shared" si="341"/>
        <v>U</v>
      </c>
      <c r="BA185" s="1083" t="str">
        <f t="shared" si="342"/>
        <v>U</v>
      </c>
      <c r="BB185" s="1083" t="str">
        <f t="shared" si="343"/>
        <v>U</v>
      </c>
    </row>
    <row r="186" spans="1:54" ht="12" customHeight="1" x14ac:dyDescent="0.25">
      <c r="A186" s="440"/>
      <c r="B186" s="628"/>
      <c r="C186" s="380"/>
      <c r="D186" s="514" t="s">
        <v>343</v>
      </c>
      <c r="E186" s="1599" t="s">
        <v>183</v>
      </c>
      <c r="F186" s="1599"/>
      <c r="G186" s="1599"/>
      <c r="H186" s="1599"/>
      <c r="I186" s="1597"/>
      <c r="J186" s="501"/>
      <c r="K186" s="529"/>
      <c r="L186" s="503"/>
      <c r="M186" s="498"/>
      <c r="N186" s="361"/>
      <c r="O186" s="365"/>
      <c r="P186" s="365"/>
      <c r="Q186" s="365"/>
      <c r="R186" s="365"/>
      <c r="S186" s="390">
        <f ca="1">SUBTOTAL(109,S188:S194)</f>
        <v>153092.80799999999</v>
      </c>
      <c r="T186" s="363"/>
      <c r="U186" s="375"/>
      <c r="V186" s="361"/>
      <c r="W186" s="1091"/>
      <c r="X186" s="1114"/>
      <c r="Y186" s="1121"/>
      <c r="Z186" s="363"/>
      <c r="AA186" s="375"/>
      <c r="AB186" s="361"/>
      <c r="AC186" s="1091"/>
      <c r="AD186" s="1114"/>
      <c r="AE186" s="1121"/>
      <c r="AF186" s="358"/>
      <c r="AG186" s="358"/>
      <c r="AH186" s="358"/>
      <c r="AI186" s="358"/>
      <c r="AJ186" s="380"/>
      <c r="AK186" s="440"/>
      <c r="AM186" s="460">
        <v>186</v>
      </c>
      <c r="AN186" s="1078"/>
    </row>
    <row r="187" spans="1:54" ht="12" customHeight="1" x14ac:dyDescent="0.25">
      <c r="A187" s="440"/>
      <c r="B187" s="628"/>
      <c r="C187" s="380"/>
      <c r="D187" s="514"/>
      <c r="E187" s="514"/>
      <c r="F187" s="514"/>
      <c r="G187" s="514"/>
      <c r="H187" s="514"/>
      <c r="I187" s="511"/>
      <c r="J187" s="1603" t="s">
        <v>306</v>
      </c>
      <c r="K187" s="1603"/>
      <c r="L187" s="503"/>
      <c r="M187" s="498"/>
      <c r="N187" s="361"/>
      <c r="O187" s="365"/>
      <c r="P187" s="365"/>
      <c r="Q187" s="365"/>
      <c r="R187" s="365"/>
      <c r="S187" s="390"/>
      <c r="T187" s="363"/>
      <c r="U187" s="375"/>
      <c r="V187" s="361"/>
      <c r="W187" s="1091"/>
      <c r="X187" s="1114"/>
      <c r="Y187" s="1121"/>
      <c r="Z187" s="363"/>
      <c r="AA187" s="375"/>
      <c r="AB187" s="361"/>
      <c r="AC187" s="1091"/>
      <c r="AD187" s="1114"/>
      <c r="AE187" s="1121"/>
      <c r="AF187" s="358"/>
      <c r="AG187" s="358"/>
      <c r="AH187" s="358"/>
      <c r="AI187" s="358"/>
      <c r="AJ187" s="380"/>
      <c r="AK187" s="440"/>
      <c r="AM187" s="460">
        <v>187</v>
      </c>
      <c r="AN187" s="1078"/>
    </row>
    <row r="188" spans="1:54" ht="12" customHeight="1" x14ac:dyDescent="0.2">
      <c r="A188" s="440"/>
      <c r="B188" s="628"/>
      <c r="C188" s="380"/>
      <c r="D188" s="514"/>
      <c r="E188" s="1084" t="str">
        <f t="shared" ref="E188:E194" ca="1" si="344">IF(AX188="E","",AN188)</f>
        <v>Holz/Alufenster Uw=0,55</v>
      </c>
      <c r="F188" s="1085"/>
      <c r="G188" s="1264"/>
      <c r="H188" s="1264"/>
      <c r="I188" s="1265"/>
      <c r="J188" s="638"/>
      <c r="K188" s="520" t="s">
        <v>177</v>
      </c>
      <c r="L188" s="521"/>
      <c r="M188" s="340"/>
      <c r="N188" s="528" t="s">
        <v>67</v>
      </c>
      <c r="O188" s="339"/>
      <c r="P188" s="543" t="s">
        <v>68</v>
      </c>
      <c r="Q188" s="344">
        <f>127577.34*1.2</f>
        <v>153092.80799999999</v>
      </c>
      <c r="R188" s="522" t="s">
        <v>363</v>
      </c>
      <c r="S188" s="353">
        <f t="shared" ref="S188:S194" si="345">IF(AY188="E",(M188*O188)+Q188,AO188)</f>
        <v>153092.80799999999</v>
      </c>
      <c r="T188" s="523"/>
      <c r="U188" s="350"/>
      <c r="V188" s="308"/>
      <c r="W188" s="1090" t="str">
        <f t="shared" ref="W188:W194" ca="1" si="346">IF(AZ188="E",IF(AND(V188&lt;&gt;0,U188&lt;&gt;0),"X",IF(AND(V188&lt;&gt;0,U188=0),"A",IF(AND(V188=0,U188&lt;&gt;0),"P",""))),AR188)</f>
        <v/>
      </c>
      <c r="X188" s="1103">
        <f t="shared" ref="X188:X194" ca="1" si="347">IF(AZ188="E",IFERROR(IF(W188="X",0,IF(U188&gt;0,U188,V188/S188)),0),
IFERROR(IF(OR(AR188="X",AR188=0),0,
IF(AR188="P",AP188,IF(AR188="A",AQ188/S188,0))),0))</f>
        <v>0</v>
      </c>
      <c r="Y188" s="1120">
        <f t="shared" ref="Y188:Y194" ca="1" si="348">IF(AZ188="E",IFERROR(IF(W188="X",0,IF(V188&gt;0,V188,S188*U188)),0),
IFERROR(IF(OR(AR188="X",AR188="0"),0,IF(AR188="A",AQ188,S188*AP188)),0))</f>
        <v>0</v>
      </c>
      <c r="Z188" s="524"/>
      <c r="AA188" s="350"/>
      <c r="AB188" s="308"/>
      <c r="AC188" s="1090" t="str">
        <f t="shared" ref="AC188:AC194" ca="1" si="349">IF(BA188="E",IF(AND(AB188&lt;&gt;0,AA188&lt;&gt;0),"X",IF(AND(AB188&lt;&gt;0,AA188=0),"A",IF(AND(AB188=0,AA188&lt;&gt;0),"P",""))),AU188)</f>
        <v>A</v>
      </c>
      <c r="AD188" s="1103">
        <f t="shared" ref="AD188:AD194" ca="1" si="350">IF(BA188="E",IFERROR(IF(AC188="X",0,IF(AA188&gt;0,AA188,AB188/S188)),0),
IFERROR(IF(OR(AU188="X",AU188=0),0,
IF(AU188="P",AS188,IF(AU188="A",AT188/S188,0))),0))</f>
        <v>2.4037706591677386E-3</v>
      </c>
      <c r="AE188" s="1120">
        <f t="shared" ref="AE188:AE194" ca="1" si="351">IF(BA188="E",IFERROR(IF(AC188="X",0,IF(AB188&gt;0,AB188,S188*AA188)),0),
IFERROR(IF(OR(AU188="X",AU188=0),0,
IF(AU188="A",AT188,S188*AS188)),0))</f>
        <v>368</v>
      </c>
      <c r="AF188" s="525"/>
      <c r="AG188" s="637"/>
      <c r="AH188" s="525"/>
      <c r="AI188" s="1086">
        <f t="shared" ref="AI188:AI194" ca="1" si="352">IF(BB188="E",AG188,AV188)</f>
        <v>50</v>
      </c>
      <c r="AJ188" s="380"/>
      <c r="AK188" s="440"/>
      <c r="AM188" s="460">
        <v>188</v>
      </c>
      <c r="AN188" s="1087" t="str">
        <f t="shared" ref="AN188:AN194" ca="1" si="353">IF($M$13=$AN$12,"",IF(ISTEXT(INDIRECT("'"&amp;$AM$20&amp;"'!"&amp;AN$21&amp;$AM188)),INDIRECT("'"&amp;$AM$20&amp;"'!"&amp;AN$21&amp;$AM188),INDIRECT("'"&amp;$AM$20&amp;"'!"&amp;AN$22&amp;$AM188)))</f>
        <v>Holz/Alufenster Uw=0,55</v>
      </c>
      <c r="AO188" s="1083">
        <f t="shared" ref="AO188:AV194" ca="1" si="354">IF($M$13=$AN$12,"",INDIRECT("'"&amp;$AM$20&amp;"'!"&amp;AO$21&amp;$AM188))</f>
        <v>152227.19999999998</v>
      </c>
      <c r="AP188" s="356">
        <f t="shared" ca="1" si="354"/>
        <v>0</v>
      </c>
      <c r="AQ188" s="357">
        <f t="shared" ca="1" si="354"/>
        <v>0</v>
      </c>
      <c r="AR188" s="524" t="str">
        <f t="shared" ca="1" si="354"/>
        <v/>
      </c>
      <c r="AS188" s="356">
        <f t="shared" ca="1" si="354"/>
        <v>2.4174391961489143E-3</v>
      </c>
      <c r="AT188" s="357">
        <f t="shared" ca="1" si="354"/>
        <v>368</v>
      </c>
      <c r="AU188" s="524" t="str">
        <f t="shared" ca="1" si="354"/>
        <v>A</v>
      </c>
      <c r="AV188" s="1083">
        <f t="shared" ca="1" si="354"/>
        <v>50</v>
      </c>
      <c r="AX188" s="1083" t="str">
        <f t="shared" ref="AX188:AX194" si="355">IF($M$13=$AN$12,"E",IF(ISTEXT(F188),"E","U"))</f>
        <v>U</v>
      </c>
      <c r="AY188" s="1083" t="str">
        <f t="shared" ref="AY188:AY194" si="356">IF($M$13=$AN$12,"E",IF(OR(ISNUMBER(M188),ISNUMBER(O188),ISNUMBER(Q188)),"E","U"))</f>
        <v>E</v>
      </c>
      <c r="AZ188" s="1083" t="str">
        <f t="shared" ref="AZ188:AZ194" si="357">IF($M$13=$AN$12,"E",IF(OR(ISNUMBER(U188),ISNUMBER(V188)),"E","U"))</f>
        <v>U</v>
      </c>
      <c r="BA188" s="1083" t="str">
        <f t="shared" ref="BA188:BA194" si="358">IF($M$13=$AN$12,"E",IF(OR(ISNUMBER(AA188),ISNUMBER(AB188)),"E","U"))</f>
        <v>U</v>
      </c>
      <c r="BB188" s="1083" t="str">
        <f t="shared" ref="BB188:BB194" si="359">IF($M$13=$AN$12,"E",IF(ISNUMBER(AG188),"E","U"))</f>
        <v>U</v>
      </c>
    </row>
    <row r="189" spans="1:54" ht="12" customHeight="1" x14ac:dyDescent="0.2">
      <c r="A189" s="440"/>
      <c r="B189" s="628"/>
      <c r="C189" s="380"/>
      <c r="D189" s="514"/>
      <c r="E189" s="1084">
        <f t="shared" ca="1" si="344"/>
        <v>0</v>
      </c>
      <c r="F189" s="1085"/>
      <c r="G189" s="1264"/>
      <c r="H189" s="1264"/>
      <c r="I189" s="1265"/>
      <c r="J189" s="638"/>
      <c r="K189" s="520" t="s">
        <v>177</v>
      </c>
      <c r="L189" s="521"/>
      <c r="M189" s="340"/>
      <c r="N189" s="528" t="s">
        <v>67</v>
      </c>
      <c r="O189" s="339"/>
      <c r="P189" s="543" t="s">
        <v>68</v>
      </c>
      <c r="Q189" s="344"/>
      <c r="R189" s="522" t="s">
        <v>363</v>
      </c>
      <c r="S189" s="353">
        <f t="shared" ca="1" si="345"/>
        <v>0</v>
      </c>
      <c r="T189" s="523"/>
      <c r="U189" s="350"/>
      <c r="V189" s="308"/>
      <c r="W189" s="1090" t="str">
        <f t="shared" ca="1" si="346"/>
        <v/>
      </c>
      <c r="X189" s="1103">
        <f t="shared" ca="1" si="347"/>
        <v>0</v>
      </c>
      <c r="Y189" s="1120">
        <f t="shared" ca="1" si="348"/>
        <v>0</v>
      </c>
      <c r="Z189" s="524"/>
      <c r="AA189" s="350"/>
      <c r="AB189" s="308"/>
      <c r="AC189" s="1090" t="str">
        <f t="shared" ca="1" si="349"/>
        <v/>
      </c>
      <c r="AD189" s="1103">
        <f t="shared" ca="1" si="350"/>
        <v>0</v>
      </c>
      <c r="AE189" s="1120">
        <f t="shared" ca="1" si="351"/>
        <v>0</v>
      </c>
      <c r="AF189" s="525"/>
      <c r="AG189" s="637"/>
      <c r="AH189" s="525"/>
      <c r="AI189" s="1086">
        <f t="shared" ca="1" si="352"/>
        <v>0</v>
      </c>
      <c r="AJ189" s="380"/>
      <c r="AK189" s="440"/>
      <c r="AM189" s="460">
        <v>189</v>
      </c>
      <c r="AN189" s="1087">
        <f t="shared" ca="1" si="353"/>
        <v>0</v>
      </c>
      <c r="AO189" s="1083">
        <f t="shared" ca="1" si="354"/>
        <v>0</v>
      </c>
      <c r="AP189" s="356">
        <f t="shared" ca="1" si="354"/>
        <v>0</v>
      </c>
      <c r="AQ189" s="357">
        <f t="shared" ca="1" si="354"/>
        <v>0</v>
      </c>
      <c r="AR189" s="524" t="str">
        <f t="shared" ca="1" si="354"/>
        <v/>
      </c>
      <c r="AS189" s="356">
        <f t="shared" ca="1" si="354"/>
        <v>0</v>
      </c>
      <c r="AT189" s="357">
        <f t="shared" ca="1" si="354"/>
        <v>0</v>
      </c>
      <c r="AU189" s="524" t="str">
        <f t="shared" ca="1" si="354"/>
        <v/>
      </c>
      <c r="AV189" s="1083">
        <f t="shared" ca="1" si="354"/>
        <v>0</v>
      </c>
      <c r="AX189" s="1083" t="str">
        <f t="shared" si="355"/>
        <v>U</v>
      </c>
      <c r="AY189" s="1083" t="str">
        <f t="shared" si="356"/>
        <v>U</v>
      </c>
      <c r="AZ189" s="1083" t="str">
        <f t="shared" si="357"/>
        <v>U</v>
      </c>
      <c r="BA189" s="1083" t="str">
        <f t="shared" si="358"/>
        <v>U</v>
      </c>
      <c r="BB189" s="1083" t="str">
        <f t="shared" si="359"/>
        <v>U</v>
      </c>
    </row>
    <row r="190" spans="1:54" ht="12" customHeight="1" x14ac:dyDescent="0.2">
      <c r="A190" s="440"/>
      <c r="B190" s="628"/>
      <c r="C190" s="380"/>
      <c r="D190" s="514"/>
      <c r="E190" s="1084">
        <f t="shared" ca="1" si="344"/>
        <v>0</v>
      </c>
      <c r="F190" s="1085"/>
      <c r="G190" s="1264"/>
      <c r="H190" s="1264"/>
      <c r="I190" s="1265"/>
      <c r="J190" s="638"/>
      <c r="K190" s="520" t="s">
        <v>177</v>
      </c>
      <c r="L190" s="521"/>
      <c r="M190" s="340"/>
      <c r="N190" s="528" t="s">
        <v>67</v>
      </c>
      <c r="O190" s="339"/>
      <c r="P190" s="543" t="s">
        <v>68</v>
      </c>
      <c r="Q190" s="344"/>
      <c r="R190" s="522" t="s">
        <v>363</v>
      </c>
      <c r="S190" s="353">
        <f t="shared" ca="1" si="345"/>
        <v>0</v>
      </c>
      <c r="T190" s="523"/>
      <c r="U190" s="350"/>
      <c r="V190" s="308"/>
      <c r="W190" s="1090" t="str">
        <f t="shared" ca="1" si="346"/>
        <v/>
      </c>
      <c r="X190" s="1103">
        <f t="shared" ca="1" si="347"/>
        <v>0</v>
      </c>
      <c r="Y190" s="1120">
        <f t="shared" ca="1" si="348"/>
        <v>0</v>
      </c>
      <c r="Z190" s="524"/>
      <c r="AA190" s="350"/>
      <c r="AB190" s="308"/>
      <c r="AC190" s="1090" t="str">
        <f t="shared" ca="1" si="349"/>
        <v/>
      </c>
      <c r="AD190" s="1103">
        <f t="shared" ca="1" si="350"/>
        <v>0</v>
      </c>
      <c r="AE190" s="1120">
        <f t="shared" ca="1" si="351"/>
        <v>0</v>
      </c>
      <c r="AF190" s="525"/>
      <c r="AG190" s="637"/>
      <c r="AH190" s="525"/>
      <c r="AI190" s="1086">
        <f t="shared" ca="1" si="352"/>
        <v>0</v>
      </c>
      <c r="AJ190" s="380"/>
      <c r="AK190" s="440"/>
      <c r="AM190" s="460">
        <v>190</v>
      </c>
      <c r="AN190" s="1087">
        <f t="shared" ca="1" si="353"/>
        <v>0</v>
      </c>
      <c r="AO190" s="1083">
        <f t="shared" ca="1" si="354"/>
        <v>0</v>
      </c>
      <c r="AP190" s="356">
        <f t="shared" ca="1" si="354"/>
        <v>0</v>
      </c>
      <c r="AQ190" s="357">
        <f t="shared" ca="1" si="354"/>
        <v>0</v>
      </c>
      <c r="AR190" s="524" t="str">
        <f t="shared" ca="1" si="354"/>
        <v/>
      </c>
      <c r="AS190" s="356">
        <f t="shared" ca="1" si="354"/>
        <v>0</v>
      </c>
      <c r="AT190" s="357">
        <f t="shared" ca="1" si="354"/>
        <v>0</v>
      </c>
      <c r="AU190" s="524" t="str">
        <f t="shared" ca="1" si="354"/>
        <v/>
      </c>
      <c r="AV190" s="1083">
        <f t="shared" ca="1" si="354"/>
        <v>0</v>
      </c>
      <c r="AX190" s="1083" t="str">
        <f t="shared" si="355"/>
        <v>U</v>
      </c>
      <c r="AY190" s="1083" t="str">
        <f t="shared" si="356"/>
        <v>U</v>
      </c>
      <c r="AZ190" s="1083" t="str">
        <f t="shared" si="357"/>
        <v>U</v>
      </c>
      <c r="BA190" s="1083" t="str">
        <f t="shared" si="358"/>
        <v>U</v>
      </c>
      <c r="BB190" s="1083" t="str">
        <f t="shared" si="359"/>
        <v>U</v>
      </c>
    </row>
    <row r="191" spans="1:54" ht="12" customHeight="1" x14ac:dyDescent="0.25">
      <c r="A191" s="440"/>
      <c r="B191" s="628"/>
      <c r="C191" s="380"/>
      <c r="D191" s="514"/>
      <c r="E191" s="1084">
        <f t="shared" ca="1" si="344"/>
        <v>0</v>
      </c>
      <c r="F191" s="1085"/>
      <c r="G191" s="1264"/>
      <c r="H191" s="1264"/>
      <c r="I191" s="1265"/>
      <c r="J191" s="638"/>
      <c r="K191" s="520" t="s">
        <v>177</v>
      </c>
      <c r="L191" s="521"/>
      <c r="M191" s="340"/>
      <c r="N191" s="528" t="s">
        <v>67</v>
      </c>
      <c r="O191" s="339"/>
      <c r="P191" s="543" t="s">
        <v>68</v>
      </c>
      <c r="Q191" s="344"/>
      <c r="R191" s="522" t="s">
        <v>363</v>
      </c>
      <c r="S191" s="353">
        <f t="shared" ca="1" si="345"/>
        <v>0</v>
      </c>
      <c r="T191" s="523"/>
      <c r="U191" s="350"/>
      <c r="V191" s="308"/>
      <c r="W191" s="1090" t="str">
        <f t="shared" ca="1" si="346"/>
        <v/>
      </c>
      <c r="X191" s="1103">
        <f t="shared" ca="1" si="347"/>
        <v>0</v>
      </c>
      <c r="Y191" s="1120">
        <f t="shared" ca="1" si="348"/>
        <v>0</v>
      </c>
      <c r="Z191" s="524"/>
      <c r="AA191" s="350"/>
      <c r="AB191" s="308"/>
      <c r="AC191" s="1090" t="str">
        <f t="shared" ca="1" si="349"/>
        <v/>
      </c>
      <c r="AD191" s="1103">
        <f t="shared" ca="1" si="350"/>
        <v>0</v>
      </c>
      <c r="AE191" s="1120">
        <f t="shared" ca="1" si="351"/>
        <v>0</v>
      </c>
      <c r="AF191" s="525"/>
      <c r="AG191" s="637"/>
      <c r="AH191" s="525"/>
      <c r="AI191" s="1086">
        <f t="shared" ca="1" si="352"/>
        <v>0</v>
      </c>
      <c r="AJ191" s="380"/>
      <c r="AK191" s="440"/>
      <c r="AL191" s="395"/>
      <c r="AM191" s="460">
        <v>191</v>
      </c>
      <c r="AN191" s="1087">
        <f t="shared" ca="1" si="353"/>
        <v>0</v>
      </c>
      <c r="AO191" s="1083">
        <f t="shared" ca="1" si="354"/>
        <v>0</v>
      </c>
      <c r="AP191" s="356">
        <f t="shared" ca="1" si="354"/>
        <v>0</v>
      </c>
      <c r="AQ191" s="357">
        <f t="shared" ca="1" si="354"/>
        <v>0</v>
      </c>
      <c r="AR191" s="524" t="str">
        <f t="shared" ca="1" si="354"/>
        <v/>
      </c>
      <c r="AS191" s="356">
        <f t="shared" ca="1" si="354"/>
        <v>0</v>
      </c>
      <c r="AT191" s="357">
        <f t="shared" ca="1" si="354"/>
        <v>0</v>
      </c>
      <c r="AU191" s="524" t="str">
        <f t="shared" ca="1" si="354"/>
        <v/>
      </c>
      <c r="AV191" s="1083">
        <f t="shared" ca="1" si="354"/>
        <v>0</v>
      </c>
      <c r="AX191" s="1083" t="str">
        <f t="shared" si="355"/>
        <v>U</v>
      </c>
      <c r="AY191" s="1083" t="str">
        <f t="shared" si="356"/>
        <v>U</v>
      </c>
      <c r="AZ191" s="1083" t="str">
        <f t="shared" si="357"/>
        <v>U</v>
      </c>
      <c r="BA191" s="1083" t="str">
        <f t="shared" si="358"/>
        <v>U</v>
      </c>
      <c r="BB191" s="1083" t="str">
        <f t="shared" si="359"/>
        <v>U</v>
      </c>
    </row>
    <row r="192" spans="1:54" ht="12" customHeight="1" x14ac:dyDescent="0.25">
      <c r="A192" s="440"/>
      <c r="B192" s="628"/>
      <c r="C192" s="380"/>
      <c r="D192" s="514"/>
      <c r="E192" s="1084">
        <f t="shared" ca="1" si="344"/>
        <v>0</v>
      </c>
      <c r="F192" s="1085"/>
      <c r="G192" s="1264"/>
      <c r="H192" s="1264"/>
      <c r="I192" s="1265"/>
      <c r="J192" s="638"/>
      <c r="K192" s="520" t="s">
        <v>177</v>
      </c>
      <c r="L192" s="521"/>
      <c r="M192" s="340"/>
      <c r="N192" s="528" t="s">
        <v>67</v>
      </c>
      <c r="O192" s="339"/>
      <c r="P192" s="543" t="s">
        <v>68</v>
      </c>
      <c r="Q192" s="344"/>
      <c r="R192" s="522" t="s">
        <v>363</v>
      </c>
      <c r="S192" s="353">
        <f t="shared" ca="1" si="345"/>
        <v>0</v>
      </c>
      <c r="T192" s="523"/>
      <c r="U192" s="350"/>
      <c r="V192" s="308"/>
      <c r="W192" s="1090" t="str">
        <f t="shared" ca="1" si="346"/>
        <v/>
      </c>
      <c r="X192" s="1103">
        <f t="shared" ca="1" si="347"/>
        <v>0</v>
      </c>
      <c r="Y192" s="1120">
        <f t="shared" ca="1" si="348"/>
        <v>0</v>
      </c>
      <c r="Z192" s="524"/>
      <c r="AA192" s="350"/>
      <c r="AB192" s="308"/>
      <c r="AC192" s="1090" t="str">
        <f t="shared" ca="1" si="349"/>
        <v/>
      </c>
      <c r="AD192" s="1103">
        <f t="shared" ca="1" si="350"/>
        <v>0</v>
      </c>
      <c r="AE192" s="1120">
        <f t="shared" ca="1" si="351"/>
        <v>0</v>
      </c>
      <c r="AF192" s="525"/>
      <c r="AG192" s="637"/>
      <c r="AH192" s="525"/>
      <c r="AI192" s="1086">
        <f t="shared" ca="1" si="352"/>
        <v>0</v>
      </c>
      <c r="AJ192" s="380"/>
      <c r="AK192" s="440"/>
      <c r="AL192" s="395"/>
      <c r="AM192" s="460">
        <v>192</v>
      </c>
      <c r="AN192" s="1087">
        <f t="shared" ca="1" si="353"/>
        <v>0</v>
      </c>
      <c r="AO192" s="1083">
        <f t="shared" ca="1" si="354"/>
        <v>0</v>
      </c>
      <c r="AP192" s="356">
        <f t="shared" ca="1" si="354"/>
        <v>0</v>
      </c>
      <c r="AQ192" s="357">
        <f t="shared" ca="1" si="354"/>
        <v>0</v>
      </c>
      <c r="AR192" s="524" t="str">
        <f t="shared" ca="1" si="354"/>
        <v/>
      </c>
      <c r="AS192" s="356">
        <f t="shared" ca="1" si="354"/>
        <v>0</v>
      </c>
      <c r="AT192" s="357">
        <f t="shared" ca="1" si="354"/>
        <v>0</v>
      </c>
      <c r="AU192" s="524" t="str">
        <f t="shared" ca="1" si="354"/>
        <v/>
      </c>
      <c r="AV192" s="1083">
        <f t="shared" ca="1" si="354"/>
        <v>0</v>
      </c>
      <c r="AX192" s="1083" t="str">
        <f t="shared" si="355"/>
        <v>U</v>
      </c>
      <c r="AY192" s="1083" t="str">
        <f t="shared" si="356"/>
        <v>U</v>
      </c>
      <c r="AZ192" s="1083" t="str">
        <f t="shared" si="357"/>
        <v>U</v>
      </c>
      <c r="BA192" s="1083" t="str">
        <f t="shared" si="358"/>
        <v>U</v>
      </c>
      <c r="BB192" s="1083" t="str">
        <f t="shared" si="359"/>
        <v>U</v>
      </c>
    </row>
    <row r="193" spans="1:54" ht="12" customHeight="1" x14ac:dyDescent="0.25">
      <c r="A193" s="440"/>
      <c r="B193" s="628"/>
      <c r="C193" s="380"/>
      <c r="D193" s="514"/>
      <c r="E193" s="1084">
        <f t="shared" ca="1" si="344"/>
        <v>0</v>
      </c>
      <c r="F193" s="1085"/>
      <c r="G193" s="1264"/>
      <c r="H193" s="1264"/>
      <c r="I193" s="1265"/>
      <c r="J193" s="638"/>
      <c r="K193" s="520" t="s">
        <v>177</v>
      </c>
      <c r="L193" s="521"/>
      <c r="M193" s="340"/>
      <c r="N193" s="528" t="s">
        <v>67</v>
      </c>
      <c r="O193" s="339"/>
      <c r="P193" s="543" t="s">
        <v>68</v>
      </c>
      <c r="Q193" s="344"/>
      <c r="R193" s="522" t="s">
        <v>363</v>
      </c>
      <c r="S193" s="353">
        <f t="shared" ca="1" si="345"/>
        <v>0</v>
      </c>
      <c r="T193" s="523"/>
      <c r="U193" s="350"/>
      <c r="V193" s="308"/>
      <c r="W193" s="1090" t="str">
        <f t="shared" ca="1" si="346"/>
        <v/>
      </c>
      <c r="X193" s="1103">
        <f t="shared" ca="1" si="347"/>
        <v>0</v>
      </c>
      <c r="Y193" s="1120">
        <f t="shared" ca="1" si="348"/>
        <v>0</v>
      </c>
      <c r="Z193" s="524"/>
      <c r="AA193" s="350"/>
      <c r="AB193" s="308"/>
      <c r="AC193" s="1090" t="str">
        <f t="shared" ca="1" si="349"/>
        <v/>
      </c>
      <c r="AD193" s="1103">
        <f t="shared" ca="1" si="350"/>
        <v>0</v>
      </c>
      <c r="AE193" s="1120">
        <f t="shared" ca="1" si="351"/>
        <v>0</v>
      </c>
      <c r="AF193" s="525"/>
      <c r="AG193" s="637"/>
      <c r="AH193" s="525"/>
      <c r="AI193" s="1086">
        <f t="shared" ca="1" si="352"/>
        <v>0</v>
      </c>
      <c r="AJ193" s="380"/>
      <c r="AK193" s="440"/>
      <c r="AL193" s="395"/>
      <c r="AM193" s="460">
        <v>193</v>
      </c>
      <c r="AN193" s="1087">
        <f t="shared" ca="1" si="353"/>
        <v>0</v>
      </c>
      <c r="AO193" s="1083">
        <f t="shared" ca="1" si="354"/>
        <v>0</v>
      </c>
      <c r="AP193" s="356">
        <f t="shared" ca="1" si="354"/>
        <v>0</v>
      </c>
      <c r="AQ193" s="357">
        <f t="shared" ca="1" si="354"/>
        <v>0</v>
      </c>
      <c r="AR193" s="524" t="str">
        <f t="shared" ca="1" si="354"/>
        <v/>
      </c>
      <c r="AS193" s="356">
        <f t="shared" ca="1" si="354"/>
        <v>0</v>
      </c>
      <c r="AT193" s="357">
        <f t="shared" ca="1" si="354"/>
        <v>0</v>
      </c>
      <c r="AU193" s="524" t="str">
        <f t="shared" ca="1" si="354"/>
        <v/>
      </c>
      <c r="AV193" s="1083">
        <f t="shared" ca="1" si="354"/>
        <v>0</v>
      </c>
      <c r="AX193" s="1083" t="str">
        <f t="shared" si="355"/>
        <v>U</v>
      </c>
      <c r="AY193" s="1083" t="str">
        <f t="shared" si="356"/>
        <v>U</v>
      </c>
      <c r="AZ193" s="1083" t="str">
        <f t="shared" si="357"/>
        <v>U</v>
      </c>
      <c r="BA193" s="1083" t="str">
        <f t="shared" si="358"/>
        <v>U</v>
      </c>
      <c r="BB193" s="1083" t="str">
        <f t="shared" si="359"/>
        <v>U</v>
      </c>
    </row>
    <row r="194" spans="1:54" ht="12" customHeight="1" x14ac:dyDescent="0.25">
      <c r="A194" s="440"/>
      <c r="B194" s="628"/>
      <c r="C194" s="380"/>
      <c r="D194" s="514"/>
      <c r="E194" s="1084">
        <f t="shared" ca="1" si="344"/>
        <v>0</v>
      </c>
      <c r="F194" s="1085"/>
      <c r="G194" s="1264"/>
      <c r="H194" s="1264"/>
      <c r="I194" s="1265"/>
      <c r="J194" s="638"/>
      <c r="K194" s="520" t="s">
        <v>177</v>
      </c>
      <c r="L194" s="521"/>
      <c r="M194" s="340"/>
      <c r="N194" s="528" t="s">
        <v>67</v>
      </c>
      <c r="O194" s="339"/>
      <c r="P194" s="543" t="s">
        <v>68</v>
      </c>
      <c r="Q194" s="344"/>
      <c r="R194" s="522" t="s">
        <v>363</v>
      </c>
      <c r="S194" s="353">
        <f t="shared" ca="1" si="345"/>
        <v>0</v>
      </c>
      <c r="T194" s="523"/>
      <c r="U194" s="350"/>
      <c r="V194" s="308"/>
      <c r="W194" s="1090" t="str">
        <f t="shared" ca="1" si="346"/>
        <v/>
      </c>
      <c r="X194" s="1103">
        <f t="shared" ca="1" si="347"/>
        <v>0</v>
      </c>
      <c r="Y194" s="1120">
        <f t="shared" ca="1" si="348"/>
        <v>0</v>
      </c>
      <c r="Z194" s="524"/>
      <c r="AA194" s="350"/>
      <c r="AB194" s="308"/>
      <c r="AC194" s="1090" t="str">
        <f t="shared" ca="1" si="349"/>
        <v/>
      </c>
      <c r="AD194" s="1103">
        <f t="shared" ca="1" si="350"/>
        <v>0</v>
      </c>
      <c r="AE194" s="1120">
        <f t="shared" ca="1" si="351"/>
        <v>0</v>
      </c>
      <c r="AF194" s="525"/>
      <c r="AG194" s="637"/>
      <c r="AH194" s="525"/>
      <c r="AI194" s="1086">
        <f t="shared" ca="1" si="352"/>
        <v>0</v>
      </c>
      <c r="AJ194" s="380"/>
      <c r="AK194" s="440"/>
      <c r="AL194" s="395"/>
      <c r="AM194" s="460">
        <v>194</v>
      </c>
      <c r="AN194" s="1087">
        <f t="shared" ca="1" si="353"/>
        <v>0</v>
      </c>
      <c r="AO194" s="1083">
        <f t="shared" ca="1" si="354"/>
        <v>0</v>
      </c>
      <c r="AP194" s="356">
        <f t="shared" ca="1" si="354"/>
        <v>0</v>
      </c>
      <c r="AQ194" s="357">
        <f t="shared" ca="1" si="354"/>
        <v>0</v>
      </c>
      <c r="AR194" s="524" t="str">
        <f t="shared" ca="1" si="354"/>
        <v/>
      </c>
      <c r="AS194" s="356">
        <f t="shared" ca="1" si="354"/>
        <v>0</v>
      </c>
      <c r="AT194" s="357">
        <f t="shared" ca="1" si="354"/>
        <v>0</v>
      </c>
      <c r="AU194" s="524" t="str">
        <f t="shared" ca="1" si="354"/>
        <v/>
      </c>
      <c r="AV194" s="1083">
        <f t="shared" ca="1" si="354"/>
        <v>0</v>
      </c>
      <c r="AX194" s="1083" t="str">
        <f t="shared" si="355"/>
        <v>U</v>
      </c>
      <c r="AY194" s="1083" t="str">
        <f t="shared" si="356"/>
        <v>U</v>
      </c>
      <c r="AZ194" s="1083" t="str">
        <f t="shared" si="357"/>
        <v>U</v>
      </c>
      <c r="BA194" s="1083" t="str">
        <f t="shared" si="358"/>
        <v>U</v>
      </c>
      <c r="BB194" s="1083" t="str">
        <f t="shared" si="359"/>
        <v>U</v>
      </c>
    </row>
    <row r="195" spans="1:54" ht="12" customHeight="1" x14ac:dyDescent="0.25">
      <c r="A195" s="440"/>
      <c r="B195" s="628"/>
      <c r="C195" s="380"/>
      <c r="D195" s="514" t="s">
        <v>16</v>
      </c>
      <c r="E195" s="1599" t="s">
        <v>15</v>
      </c>
      <c r="F195" s="1599"/>
      <c r="G195" s="1599"/>
      <c r="H195" s="1599"/>
      <c r="I195" s="1597"/>
      <c r="J195" s="501"/>
      <c r="K195" s="529"/>
      <c r="L195" s="503"/>
      <c r="M195" s="498"/>
      <c r="N195" s="361"/>
      <c r="O195" s="365"/>
      <c r="P195" s="365"/>
      <c r="Q195" s="365"/>
      <c r="R195" s="365"/>
      <c r="S195" s="390">
        <f ca="1">SUBTOTAL(109,S197:S200)</f>
        <v>35349.599999999999</v>
      </c>
      <c r="T195" s="363"/>
      <c r="U195" s="375"/>
      <c r="V195" s="361"/>
      <c r="W195" s="1091"/>
      <c r="X195" s="1114"/>
      <c r="Y195" s="1121"/>
      <c r="Z195" s="363"/>
      <c r="AA195" s="375"/>
      <c r="AB195" s="361"/>
      <c r="AC195" s="1091"/>
      <c r="AD195" s="1114"/>
      <c r="AE195" s="1121"/>
      <c r="AF195" s="358"/>
      <c r="AG195" s="358"/>
      <c r="AH195" s="358"/>
      <c r="AI195" s="358"/>
      <c r="AJ195" s="380"/>
      <c r="AK195" s="440"/>
      <c r="AL195" s="395"/>
      <c r="AM195" s="460">
        <v>195</v>
      </c>
      <c r="AN195" s="1078"/>
    </row>
    <row r="196" spans="1:54" ht="12" customHeight="1" x14ac:dyDescent="0.25">
      <c r="A196" s="440"/>
      <c r="B196" s="628"/>
      <c r="C196" s="380"/>
      <c r="D196" s="514"/>
      <c r="E196" s="514"/>
      <c r="F196" s="514"/>
      <c r="G196" s="514"/>
      <c r="H196" s="514"/>
      <c r="I196" s="511"/>
      <c r="J196" s="1603" t="s">
        <v>181</v>
      </c>
      <c r="K196" s="1603"/>
      <c r="L196" s="503"/>
      <c r="M196" s="498"/>
      <c r="N196" s="361"/>
      <c r="O196" s="365"/>
      <c r="P196" s="365"/>
      <c r="Q196" s="365"/>
      <c r="R196" s="365"/>
      <c r="S196" s="390"/>
      <c r="T196" s="363"/>
      <c r="U196" s="375"/>
      <c r="V196" s="361"/>
      <c r="W196" s="1091"/>
      <c r="X196" s="1114"/>
      <c r="Y196" s="1121"/>
      <c r="Z196" s="363"/>
      <c r="AA196" s="375"/>
      <c r="AB196" s="361"/>
      <c r="AC196" s="1091"/>
      <c r="AD196" s="1114"/>
      <c r="AE196" s="1121"/>
      <c r="AF196" s="358"/>
      <c r="AG196" s="358"/>
      <c r="AH196" s="358"/>
      <c r="AI196" s="358"/>
      <c r="AJ196" s="380"/>
      <c r="AK196" s="440"/>
      <c r="AL196" s="395"/>
      <c r="AM196" s="460">
        <v>196</v>
      </c>
      <c r="AN196" s="1078"/>
    </row>
    <row r="197" spans="1:54" ht="12" customHeight="1" x14ac:dyDescent="0.2">
      <c r="A197" s="440"/>
      <c r="B197" s="628"/>
      <c r="C197" s="380"/>
      <c r="D197" s="514"/>
      <c r="E197" s="1084" t="str">
        <f>IF(AX197="E","",AN197)</f>
        <v/>
      </c>
      <c r="F197" s="1085" t="s">
        <v>761</v>
      </c>
      <c r="G197" s="1264"/>
      <c r="H197" s="1264"/>
      <c r="I197" s="1265"/>
      <c r="J197" s="638"/>
      <c r="K197" s="555" t="s">
        <v>95</v>
      </c>
      <c r="L197" s="541"/>
      <c r="M197" s="340"/>
      <c r="N197" s="528" t="s">
        <v>67</v>
      </c>
      <c r="O197" s="339"/>
      <c r="P197" s="543" t="s">
        <v>68</v>
      </c>
      <c r="Q197" s="344">
        <f>29458*1.2</f>
        <v>35349.599999999999</v>
      </c>
      <c r="R197" s="522" t="s">
        <v>363</v>
      </c>
      <c r="S197" s="353">
        <f t="shared" ref="S197:S200" si="360">IF(AY197="E",(M197*O197)+Q197,AO197)</f>
        <v>35349.599999999999</v>
      </c>
      <c r="T197" s="523"/>
      <c r="U197" s="350"/>
      <c r="V197" s="308"/>
      <c r="W197" s="1090" t="str">
        <f t="shared" ref="W197:W200" ca="1" si="361">IF(AZ197="E",IF(AND(V197&lt;&gt;0,U197&lt;&gt;0),"X",IF(AND(V197&lt;&gt;0,U197=0),"A",IF(AND(V197=0,U197&lt;&gt;0),"P",""))),AR197)</f>
        <v/>
      </c>
      <c r="X197" s="1103">
        <f t="shared" ref="X197:X200" ca="1" si="362">IF(AZ197="E",IFERROR(IF(W197="X",0,IF(U197&gt;0,U197,V197/S197)),0),
IFERROR(IF(OR(AR197="X",AR197=0),0,
IF(AR197="P",AP197,IF(AR197="A",AQ197/S197,0))),0))</f>
        <v>0</v>
      </c>
      <c r="Y197" s="1120">
        <f t="shared" ref="Y197:Y200" ca="1" si="363">IF(AZ197="E",IFERROR(IF(W197="X",0,IF(V197&gt;0,V197,S197*U197)),0),
IFERROR(IF(OR(AR197="X",AR197="0"),0,IF(AR197="A",AQ197,S197*AP197)),0))</f>
        <v>0</v>
      </c>
      <c r="Z197" s="524"/>
      <c r="AA197" s="350"/>
      <c r="AB197" s="308"/>
      <c r="AC197" s="1090" t="str">
        <f t="shared" ref="AC197:AC200" ca="1" si="364">IF(BA197="E",IF(AND(AB197&lt;&gt;0,AA197&lt;&gt;0),"X",IF(AND(AB197&lt;&gt;0,AA197=0),"A",IF(AND(AB197=0,AA197&lt;&gt;0),"P",""))),AU197)</f>
        <v>A</v>
      </c>
      <c r="AD197" s="1103">
        <f t="shared" ref="AD197:AD200" ca="1" si="365">IF(BA197="E",IFERROR(IF(AC197="X",0,IF(AA197&gt;0,AA197,AB197/S197)),0),
IFERROR(IF(OR(AU197="X",AU197=0),0,
IF(AU197="P",AS197,IF(AU197="A",AT197/S197,0))),0))</f>
        <v>1.0183990766515039E-2</v>
      </c>
      <c r="AE197" s="1120">
        <f t="shared" ref="AE197:AE200" ca="1" si="366">IF(BA197="E",IFERROR(IF(AC197="X",0,IF(AB197&gt;0,AB197,S197*AA197)),0),
IFERROR(IF(OR(AU197="X",AU197=0),0,
IF(AU197="A",AT197,S197*AS197)),0))</f>
        <v>360</v>
      </c>
      <c r="AF197" s="525"/>
      <c r="AG197" s="637"/>
      <c r="AH197" s="525"/>
      <c r="AI197" s="1086">
        <f t="shared" ref="AI197:AI200" ca="1" si="367">IF(BB197="E",AG197,AV197)</f>
        <v>25</v>
      </c>
      <c r="AJ197" s="380"/>
      <c r="AK197" s="440"/>
      <c r="AM197" s="460">
        <v>197</v>
      </c>
      <c r="AN197" s="1087" t="str">
        <f t="shared" ref="AN197:AN200" ca="1" si="368">IF($M$13=$AN$12,"",IF(ISTEXT(INDIRECT("'"&amp;$AM$20&amp;"'!"&amp;AN$21&amp;$AM197)),INDIRECT("'"&amp;$AM$20&amp;"'!"&amp;AN$21&amp;$AM197),INDIRECT("'"&amp;$AM$20&amp;"'!"&amp;AN$22&amp;$AM197)))</f>
        <v>Vollverschattung</v>
      </c>
      <c r="AO197" s="1083">
        <f t="shared" ref="AO197:AV200" ca="1" si="369">IF($M$13=$AN$12,"",INDIRECT("'"&amp;$AM$20&amp;"'!"&amp;AO$21&amp;$AM197))</f>
        <v>32712</v>
      </c>
      <c r="AP197" s="356">
        <f t="shared" ca="1" si="369"/>
        <v>0</v>
      </c>
      <c r="AQ197" s="357">
        <f t="shared" ca="1" si="369"/>
        <v>0</v>
      </c>
      <c r="AR197" s="524" t="str">
        <f t="shared" ca="1" si="369"/>
        <v/>
      </c>
      <c r="AS197" s="356">
        <f t="shared" ca="1" si="369"/>
        <v>1.1005135730007337E-2</v>
      </c>
      <c r="AT197" s="357">
        <f t="shared" ca="1" si="369"/>
        <v>360</v>
      </c>
      <c r="AU197" s="524" t="str">
        <f t="shared" ca="1" si="369"/>
        <v>A</v>
      </c>
      <c r="AV197" s="1083">
        <f t="shared" ca="1" si="369"/>
        <v>25</v>
      </c>
      <c r="AX197" s="1083" t="str">
        <f t="shared" ref="AX197:AX200" si="370">IF($M$13=$AN$12,"E",IF(ISTEXT(F197),"E","U"))</f>
        <v>E</v>
      </c>
      <c r="AY197" s="1083" t="str">
        <f t="shared" ref="AY197:AY200" si="371">IF($M$13=$AN$12,"E",IF(OR(ISNUMBER(M197),ISNUMBER(O197),ISNUMBER(Q197)),"E","U"))</f>
        <v>E</v>
      </c>
      <c r="AZ197" s="1083" t="str">
        <f t="shared" ref="AZ197:AZ200" si="372">IF($M$13=$AN$12,"E",IF(OR(ISNUMBER(U197),ISNUMBER(V197)),"E","U"))</f>
        <v>U</v>
      </c>
      <c r="BA197" s="1083" t="str">
        <f t="shared" ref="BA197:BA200" si="373">IF($M$13=$AN$12,"E",IF(OR(ISNUMBER(AA197),ISNUMBER(AB197)),"E","U"))</f>
        <v>U</v>
      </c>
      <c r="BB197" s="1083" t="str">
        <f t="shared" ref="BB197:BB200" si="374">IF($M$13=$AN$12,"E",IF(ISNUMBER(AG197),"E","U"))</f>
        <v>U</v>
      </c>
    </row>
    <row r="198" spans="1:54" ht="12" customHeight="1" x14ac:dyDescent="0.2">
      <c r="A198" s="440"/>
      <c r="B198" s="628"/>
      <c r="C198" s="380"/>
      <c r="D198" s="514"/>
      <c r="E198" s="1084">
        <f ca="1">IF(AX198="E","",AN198)</f>
        <v>0</v>
      </c>
      <c r="F198" s="1085"/>
      <c r="G198" s="1264"/>
      <c r="H198" s="1264"/>
      <c r="I198" s="1265"/>
      <c r="J198" s="638"/>
      <c r="K198" s="555" t="s">
        <v>95</v>
      </c>
      <c r="L198" s="541"/>
      <c r="M198" s="341"/>
      <c r="N198" s="528" t="s">
        <v>67</v>
      </c>
      <c r="O198" s="345"/>
      <c r="P198" s="543" t="s">
        <v>68</v>
      </c>
      <c r="Q198" s="344"/>
      <c r="R198" s="522" t="s">
        <v>363</v>
      </c>
      <c r="S198" s="353">
        <f t="shared" ca="1" si="360"/>
        <v>0</v>
      </c>
      <c r="T198" s="523"/>
      <c r="U198" s="350"/>
      <c r="V198" s="308"/>
      <c r="W198" s="1090" t="str">
        <f t="shared" ca="1" si="361"/>
        <v/>
      </c>
      <c r="X198" s="1103">
        <f t="shared" ca="1" si="362"/>
        <v>0</v>
      </c>
      <c r="Y198" s="1120">
        <f t="shared" ca="1" si="363"/>
        <v>0</v>
      </c>
      <c r="Z198" s="524"/>
      <c r="AA198" s="350"/>
      <c r="AB198" s="308"/>
      <c r="AC198" s="1090" t="str">
        <f t="shared" ca="1" si="364"/>
        <v/>
      </c>
      <c r="AD198" s="1103">
        <f t="shared" ca="1" si="365"/>
        <v>0</v>
      </c>
      <c r="AE198" s="1120">
        <f t="shared" ca="1" si="366"/>
        <v>0</v>
      </c>
      <c r="AF198" s="525"/>
      <c r="AG198" s="637"/>
      <c r="AH198" s="525"/>
      <c r="AI198" s="1086">
        <f t="shared" ca="1" si="367"/>
        <v>0</v>
      </c>
      <c r="AJ198" s="380"/>
      <c r="AK198" s="440"/>
      <c r="AM198" s="460">
        <v>198</v>
      </c>
      <c r="AN198" s="1087">
        <f t="shared" ca="1" si="368"/>
        <v>0</v>
      </c>
      <c r="AO198" s="1083">
        <f t="shared" ca="1" si="369"/>
        <v>0</v>
      </c>
      <c r="AP198" s="356">
        <f t="shared" ca="1" si="369"/>
        <v>0</v>
      </c>
      <c r="AQ198" s="357">
        <f t="shared" ca="1" si="369"/>
        <v>0</v>
      </c>
      <c r="AR198" s="524" t="str">
        <f t="shared" ca="1" si="369"/>
        <v/>
      </c>
      <c r="AS198" s="356">
        <f t="shared" ca="1" si="369"/>
        <v>0</v>
      </c>
      <c r="AT198" s="357">
        <f t="shared" ca="1" si="369"/>
        <v>0</v>
      </c>
      <c r="AU198" s="524" t="str">
        <f t="shared" ca="1" si="369"/>
        <v/>
      </c>
      <c r="AV198" s="1083">
        <f t="shared" ca="1" si="369"/>
        <v>0</v>
      </c>
      <c r="AX198" s="1083" t="str">
        <f t="shared" si="370"/>
        <v>U</v>
      </c>
      <c r="AY198" s="1083" t="str">
        <f t="shared" si="371"/>
        <v>U</v>
      </c>
      <c r="AZ198" s="1083" t="str">
        <f t="shared" si="372"/>
        <v>U</v>
      </c>
      <c r="BA198" s="1083" t="str">
        <f t="shared" si="373"/>
        <v>U</v>
      </c>
      <c r="BB198" s="1083" t="str">
        <f t="shared" si="374"/>
        <v>U</v>
      </c>
    </row>
    <row r="199" spans="1:54" ht="12" customHeight="1" x14ac:dyDescent="0.2">
      <c r="A199" s="440"/>
      <c r="B199" s="628"/>
      <c r="C199" s="380"/>
      <c r="D199" s="514"/>
      <c r="E199" s="1084">
        <f ca="1">IF(AX199="E","",AN199)</f>
        <v>0</v>
      </c>
      <c r="F199" s="1085"/>
      <c r="G199" s="1264"/>
      <c r="H199" s="1264"/>
      <c r="I199" s="1265"/>
      <c r="J199" s="638"/>
      <c r="K199" s="555" t="s">
        <v>95</v>
      </c>
      <c r="L199" s="541"/>
      <c r="M199" s="341"/>
      <c r="N199" s="528" t="s">
        <v>67</v>
      </c>
      <c r="O199" s="345"/>
      <c r="P199" s="543" t="s">
        <v>68</v>
      </c>
      <c r="Q199" s="344"/>
      <c r="R199" s="522" t="s">
        <v>363</v>
      </c>
      <c r="S199" s="353">
        <f t="shared" ca="1" si="360"/>
        <v>0</v>
      </c>
      <c r="T199" s="523"/>
      <c r="U199" s="350"/>
      <c r="V199" s="308"/>
      <c r="W199" s="1090" t="str">
        <f t="shared" ca="1" si="361"/>
        <v/>
      </c>
      <c r="X199" s="1103">
        <f t="shared" ca="1" si="362"/>
        <v>0</v>
      </c>
      <c r="Y199" s="1120">
        <f t="shared" ca="1" si="363"/>
        <v>0</v>
      </c>
      <c r="Z199" s="524"/>
      <c r="AA199" s="350"/>
      <c r="AB199" s="308"/>
      <c r="AC199" s="1090" t="str">
        <f t="shared" ca="1" si="364"/>
        <v/>
      </c>
      <c r="AD199" s="1103">
        <f t="shared" ca="1" si="365"/>
        <v>0</v>
      </c>
      <c r="AE199" s="1120">
        <f t="shared" ca="1" si="366"/>
        <v>0</v>
      </c>
      <c r="AF199" s="525"/>
      <c r="AG199" s="637"/>
      <c r="AH199" s="525"/>
      <c r="AI199" s="1086">
        <f t="shared" ca="1" si="367"/>
        <v>0</v>
      </c>
      <c r="AJ199" s="380"/>
      <c r="AK199" s="440"/>
      <c r="AM199" s="460">
        <v>199</v>
      </c>
      <c r="AN199" s="1087">
        <f t="shared" ca="1" si="368"/>
        <v>0</v>
      </c>
      <c r="AO199" s="1083">
        <f t="shared" ca="1" si="369"/>
        <v>0</v>
      </c>
      <c r="AP199" s="356">
        <f t="shared" ca="1" si="369"/>
        <v>0</v>
      </c>
      <c r="AQ199" s="357">
        <f t="shared" ca="1" si="369"/>
        <v>0</v>
      </c>
      <c r="AR199" s="524" t="str">
        <f t="shared" ca="1" si="369"/>
        <v/>
      </c>
      <c r="AS199" s="356">
        <f t="shared" ca="1" si="369"/>
        <v>0</v>
      </c>
      <c r="AT199" s="357">
        <f t="shared" ca="1" si="369"/>
        <v>0</v>
      </c>
      <c r="AU199" s="524" t="str">
        <f t="shared" ca="1" si="369"/>
        <v/>
      </c>
      <c r="AV199" s="1083">
        <f t="shared" ca="1" si="369"/>
        <v>0</v>
      </c>
      <c r="AX199" s="1083" t="str">
        <f t="shared" si="370"/>
        <v>U</v>
      </c>
      <c r="AY199" s="1083" t="str">
        <f t="shared" si="371"/>
        <v>U</v>
      </c>
      <c r="AZ199" s="1083" t="str">
        <f t="shared" si="372"/>
        <v>U</v>
      </c>
      <c r="BA199" s="1083" t="str">
        <f t="shared" si="373"/>
        <v>U</v>
      </c>
      <c r="BB199" s="1083" t="str">
        <f t="shared" si="374"/>
        <v>U</v>
      </c>
    </row>
    <row r="200" spans="1:54" ht="12" customHeight="1" x14ac:dyDescent="0.2">
      <c r="A200" s="440"/>
      <c r="B200" s="628"/>
      <c r="C200" s="380"/>
      <c r="D200" s="514"/>
      <c r="E200" s="1084">
        <f ca="1">IF(AX200="E","",AN200)</f>
        <v>0</v>
      </c>
      <c r="F200" s="1085"/>
      <c r="G200" s="1264"/>
      <c r="H200" s="1264"/>
      <c r="I200" s="1265"/>
      <c r="J200" s="638"/>
      <c r="K200" s="555" t="s">
        <v>95</v>
      </c>
      <c r="L200" s="541"/>
      <c r="M200" s="340"/>
      <c r="N200" s="528" t="s">
        <v>67</v>
      </c>
      <c r="O200" s="339"/>
      <c r="P200" s="543" t="s">
        <v>68</v>
      </c>
      <c r="Q200" s="344"/>
      <c r="R200" s="522" t="s">
        <v>363</v>
      </c>
      <c r="S200" s="353">
        <f t="shared" ca="1" si="360"/>
        <v>0</v>
      </c>
      <c r="T200" s="523"/>
      <c r="U200" s="350"/>
      <c r="V200" s="308"/>
      <c r="W200" s="1090" t="str">
        <f t="shared" ca="1" si="361"/>
        <v/>
      </c>
      <c r="X200" s="1103">
        <f t="shared" ca="1" si="362"/>
        <v>0</v>
      </c>
      <c r="Y200" s="1120">
        <f t="shared" ca="1" si="363"/>
        <v>0</v>
      </c>
      <c r="Z200" s="524"/>
      <c r="AA200" s="350"/>
      <c r="AB200" s="308"/>
      <c r="AC200" s="1090" t="str">
        <f t="shared" ca="1" si="364"/>
        <v/>
      </c>
      <c r="AD200" s="1103">
        <f t="shared" ca="1" si="365"/>
        <v>0</v>
      </c>
      <c r="AE200" s="1120">
        <f t="shared" ca="1" si="366"/>
        <v>0</v>
      </c>
      <c r="AF200" s="525"/>
      <c r="AG200" s="637"/>
      <c r="AH200" s="525"/>
      <c r="AI200" s="1086">
        <f t="shared" ca="1" si="367"/>
        <v>0</v>
      </c>
      <c r="AJ200" s="380"/>
      <c r="AK200" s="440"/>
      <c r="AM200" s="460">
        <v>200</v>
      </c>
      <c r="AN200" s="1087">
        <f t="shared" ca="1" si="368"/>
        <v>0</v>
      </c>
      <c r="AO200" s="1083">
        <f t="shared" ca="1" si="369"/>
        <v>0</v>
      </c>
      <c r="AP200" s="356">
        <f t="shared" ca="1" si="369"/>
        <v>0</v>
      </c>
      <c r="AQ200" s="357">
        <f t="shared" ca="1" si="369"/>
        <v>0</v>
      </c>
      <c r="AR200" s="524" t="str">
        <f t="shared" ca="1" si="369"/>
        <v/>
      </c>
      <c r="AS200" s="356">
        <f t="shared" ca="1" si="369"/>
        <v>0</v>
      </c>
      <c r="AT200" s="357">
        <f t="shared" ca="1" si="369"/>
        <v>0</v>
      </c>
      <c r="AU200" s="524" t="str">
        <f t="shared" ca="1" si="369"/>
        <v/>
      </c>
      <c r="AV200" s="1083">
        <f t="shared" ca="1" si="369"/>
        <v>0</v>
      </c>
      <c r="AX200" s="1083" t="str">
        <f t="shared" si="370"/>
        <v>U</v>
      </c>
      <c r="AY200" s="1083" t="str">
        <f t="shared" si="371"/>
        <v>U</v>
      </c>
      <c r="AZ200" s="1083" t="str">
        <f t="shared" si="372"/>
        <v>U</v>
      </c>
      <c r="BA200" s="1083" t="str">
        <f t="shared" si="373"/>
        <v>U</v>
      </c>
      <c r="BB200" s="1083" t="str">
        <f t="shared" si="374"/>
        <v>U</v>
      </c>
    </row>
    <row r="201" spans="1:54" ht="12" customHeight="1" collapsed="1" x14ac:dyDescent="0.2">
      <c r="A201" s="440"/>
      <c r="B201" s="324"/>
      <c r="C201" s="378"/>
      <c r="D201" s="374"/>
      <c r="E201" s="374"/>
      <c r="F201" s="374"/>
      <c r="G201" s="374"/>
      <c r="H201" s="374"/>
      <c r="I201" s="374"/>
      <c r="J201" s="374"/>
      <c r="K201" s="374"/>
      <c r="L201" s="374"/>
      <c r="M201" s="545"/>
      <c r="N201" s="544"/>
      <c r="O201" s="374"/>
      <c r="P201" s="374"/>
      <c r="Q201" s="374"/>
      <c r="R201" s="374"/>
      <c r="S201" s="374"/>
      <c r="T201" s="374"/>
      <c r="U201" s="374"/>
      <c r="V201" s="374"/>
      <c r="W201" s="1097"/>
      <c r="X201" s="1112"/>
      <c r="Y201" s="1112"/>
      <c r="Z201" s="374"/>
      <c r="AA201" s="374"/>
      <c r="AB201" s="374"/>
      <c r="AC201" s="1097"/>
      <c r="AD201" s="1112"/>
      <c r="AE201" s="1112"/>
      <c r="AF201" s="374"/>
      <c r="AG201" s="374"/>
      <c r="AH201" s="374"/>
      <c r="AI201" s="556"/>
      <c r="AJ201" s="374"/>
      <c r="AK201" s="440"/>
      <c r="AM201" s="460">
        <v>201</v>
      </c>
      <c r="AN201" s="1078"/>
    </row>
    <row r="202" spans="1:54" ht="12" customHeight="1" x14ac:dyDescent="0.2">
      <c r="A202" s="440"/>
      <c r="B202" s="320"/>
      <c r="C202" s="513"/>
      <c r="D202" s="513"/>
      <c r="E202" s="513"/>
      <c r="F202" s="513"/>
      <c r="G202" s="513"/>
      <c r="H202" s="513"/>
      <c r="I202" s="513"/>
      <c r="J202" s="513"/>
      <c r="K202" s="503"/>
      <c r="L202" s="503"/>
      <c r="M202" s="549"/>
      <c r="N202" s="438"/>
      <c r="O202" s="379"/>
      <c r="P202" s="379"/>
      <c r="Q202" s="379"/>
      <c r="R202" s="379"/>
      <c r="S202" s="379"/>
      <c r="T202" s="379"/>
      <c r="U202" s="1598"/>
      <c r="V202" s="1598"/>
      <c r="W202" s="1095"/>
      <c r="X202" s="1113"/>
      <c r="Y202" s="1113"/>
      <c r="Z202" s="379"/>
      <c r="AA202" s="1598"/>
      <c r="AB202" s="1598"/>
      <c r="AC202" s="1095"/>
      <c r="AD202" s="1113"/>
      <c r="AE202" s="1113"/>
      <c r="AF202" s="379"/>
      <c r="AG202" s="379"/>
      <c r="AH202" s="379"/>
      <c r="AI202" s="481"/>
      <c r="AJ202" s="379"/>
      <c r="AK202" s="440"/>
      <c r="AM202" s="460">
        <v>202</v>
      </c>
      <c r="AN202" s="1078"/>
    </row>
    <row r="203" spans="1:54" ht="12" customHeight="1" x14ac:dyDescent="0.2">
      <c r="A203" s="440"/>
      <c r="B203" s="320"/>
      <c r="C203" s="513"/>
      <c r="D203" s="513"/>
      <c r="E203" s="513"/>
      <c r="F203" s="513"/>
      <c r="G203" s="513"/>
      <c r="H203" s="513"/>
      <c r="I203" s="513"/>
      <c r="J203" s="513"/>
      <c r="K203" s="503"/>
      <c r="L203" s="503"/>
      <c r="M203" s="498"/>
      <c r="N203" s="503"/>
      <c r="O203" s="513"/>
      <c r="P203" s="513"/>
      <c r="Q203" s="513"/>
      <c r="R203" s="513"/>
      <c r="S203" s="372"/>
      <c r="T203" s="372"/>
      <c r="U203" s="372"/>
      <c r="V203" s="372"/>
      <c r="W203" s="1096"/>
      <c r="X203" s="1110"/>
      <c r="Y203" s="1110"/>
      <c r="Z203" s="372"/>
      <c r="AA203" s="372"/>
      <c r="AB203" s="372"/>
      <c r="AC203" s="1096"/>
      <c r="AD203" s="1110"/>
      <c r="AE203" s="1110"/>
      <c r="AF203" s="372"/>
      <c r="AG203" s="372"/>
      <c r="AH203" s="372"/>
      <c r="AI203" s="482"/>
      <c r="AJ203" s="372"/>
      <c r="AK203" s="440"/>
      <c r="AM203" s="460">
        <v>203</v>
      </c>
      <c r="AN203" s="1078"/>
    </row>
    <row r="204" spans="1:54" ht="14.25" customHeight="1" x14ac:dyDescent="0.25">
      <c r="A204" s="440"/>
      <c r="B204" s="499">
        <v>5</v>
      </c>
      <c r="C204" s="494"/>
      <c r="D204" s="495"/>
      <c r="E204" s="1606" t="s">
        <v>13</v>
      </c>
      <c r="F204" s="1606"/>
      <c r="G204" s="1606"/>
      <c r="H204" s="1606"/>
      <c r="I204" s="1597"/>
      <c r="J204" s="501"/>
      <c r="K204" s="462"/>
      <c r="L204" s="462"/>
      <c r="M204" s="498"/>
      <c r="N204" s="359"/>
      <c r="O204" s="363"/>
      <c r="P204" s="363"/>
      <c r="Q204" s="363"/>
      <c r="R204" s="363"/>
      <c r="S204" s="385">
        <f ca="1">S205</f>
        <v>158175.552</v>
      </c>
      <c r="T204" s="363"/>
      <c r="U204" s="363"/>
      <c r="V204" s="363"/>
      <c r="W204" s="1093"/>
      <c r="X204" s="1116"/>
      <c r="Y204" s="1116"/>
      <c r="Z204" s="363"/>
      <c r="AA204" s="363"/>
      <c r="AB204" s="363"/>
      <c r="AC204" s="1093"/>
      <c r="AD204" s="1116"/>
      <c r="AE204" s="1116"/>
      <c r="AF204" s="363"/>
      <c r="AG204" s="363"/>
      <c r="AH204" s="363"/>
      <c r="AI204" s="358"/>
      <c r="AJ204" s="363"/>
      <c r="AK204" s="440"/>
      <c r="AM204" s="460">
        <v>204</v>
      </c>
      <c r="AN204" s="1078"/>
    </row>
    <row r="205" spans="1:54" ht="14.25" customHeight="1" x14ac:dyDescent="0.25">
      <c r="A205" s="440"/>
      <c r="B205" s="609"/>
      <c r="C205" s="513" t="s">
        <v>12</v>
      </c>
      <c r="D205" s="494"/>
      <c r="E205" s="1596" t="s">
        <v>11</v>
      </c>
      <c r="F205" s="1596"/>
      <c r="G205" s="1596"/>
      <c r="H205" s="1596"/>
      <c r="I205" s="1597"/>
      <c r="J205" s="501"/>
      <c r="K205" s="462"/>
      <c r="L205" s="462"/>
      <c r="M205" s="498"/>
      <c r="N205" s="359"/>
      <c r="O205" s="363"/>
      <c r="P205" s="363"/>
      <c r="Q205" s="363"/>
      <c r="R205" s="363"/>
      <c r="S205" s="355">
        <f ca="1">SUBTOTAL(109,S207:S211)</f>
        <v>158175.552</v>
      </c>
      <c r="T205" s="363"/>
      <c r="U205" s="363"/>
      <c r="V205" s="377"/>
      <c r="W205" s="1093"/>
      <c r="X205" s="1116"/>
      <c r="Y205" s="1125"/>
      <c r="Z205" s="363"/>
      <c r="AA205" s="363"/>
      <c r="AB205" s="377"/>
      <c r="AC205" s="1093"/>
      <c r="AD205" s="1116"/>
      <c r="AE205" s="1125"/>
      <c r="AF205" s="363"/>
      <c r="AG205" s="363"/>
      <c r="AH205" s="363"/>
      <c r="AI205" s="358"/>
      <c r="AJ205" s="363"/>
      <c r="AK205" s="440"/>
      <c r="AM205" s="460">
        <v>205</v>
      </c>
      <c r="AN205" s="1078"/>
    </row>
    <row r="206" spans="1:54" ht="14.25" customHeight="1" x14ac:dyDescent="0.25">
      <c r="A206" s="440"/>
      <c r="B206" s="609"/>
      <c r="C206" s="513"/>
      <c r="D206" s="494"/>
      <c r="E206" s="513"/>
      <c r="F206" s="513"/>
      <c r="G206" s="513"/>
      <c r="H206" s="513"/>
      <c r="I206" s="511"/>
      <c r="J206" s="501"/>
      <c r="K206" s="462"/>
      <c r="L206" s="462"/>
      <c r="M206" s="498"/>
      <c r="N206" s="359"/>
      <c r="O206" s="363"/>
      <c r="P206" s="363"/>
      <c r="Q206" s="363"/>
      <c r="R206" s="363"/>
      <c r="S206" s="355"/>
      <c r="T206" s="363"/>
      <c r="U206" s="363"/>
      <c r="V206" s="377"/>
      <c r="W206" s="1093"/>
      <c r="X206" s="1116"/>
      <c r="Y206" s="1125"/>
      <c r="Z206" s="363"/>
      <c r="AA206" s="363"/>
      <c r="AB206" s="377"/>
      <c r="AC206" s="1093"/>
      <c r="AD206" s="1116"/>
      <c r="AE206" s="1125"/>
      <c r="AF206" s="363"/>
      <c r="AG206" s="363"/>
      <c r="AH206" s="363"/>
      <c r="AI206" s="358"/>
      <c r="AJ206" s="363"/>
      <c r="AK206" s="440"/>
      <c r="AM206" s="460">
        <v>206</v>
      </c>
      <c r="AN206" s="1078"/>
    </row>
    <row r="207" spans="1:54" ht="12" customHeight="1" x14ac:dyDescent="0.2">
      <c r="A207" s="440"/>
      <c r="B207" s="628"/>
      <c r="C207" s="380"/>
      <c r="D207" s="380"/>
      <c r="E207" s="1084" t="str">
        <f ca="1">IF(AX207="E","",AN207)</f>
        <v>Elektroaussbau</v>
      </c>
      <c r="F207" s="1085"/>
      <c r="G207" s="1264"/>
      <c r="H207" s="1264"/>
      <c r="I207" s="1265"/>
      <c r="J207" s="559"/>
      <c r="K207" s="463"/>
      <c r="L207" s="463"/>
      <c r="M207" s="339"/>
      <c r="N207" s="361"/>
      <c r="O207" s="339"/>
      <c r="P207" s="365"/>
      <c r="Q207" s="344"/>
      <c r="R207" s="522" t="s">
        <v>363</v>
      </c>
      <c r="S207" s="353">
        <f t="shared" ref="S207:S211" ca="1" si="375">IF(AY207="E",(M207*O207)+Q207,AO207)</f>
        <v>158175.552</v>
      </c>
      <c r="T207" s="523"/>
      <c r="U207" s="350"/>
      <c r="V207" s="308"/>
      <c r="W207" s="1090" t="str">
        <f t="shared" ref="W207:W211" ca="1" si="376">IF(AZ207="E",IF(AND(V207&lt;&gt;0,U207&lt;&gt;0),"X",IF(AND(V207&lt;&gt;0,U207=0),"A",IF(AND(V207=0,U207&lt;&gt;0),"P",""))),AR207)</f>
        <v/>
      </c>
      <c r="X207" s="1103">
        <f t="shared" ref="X207:X211" ca="1" si="377">IF(AZ207="E",IFERROR(IF(W207="X",0,IF(U207&gt;0,U207,V207/S207)),0),
IFERROR(IF(OR(AR207="X",AR207=0),0,
IF(AR207="P",AP207,IF(AR207="A",AQ207/S207,0))),0))</f>
        <v>0</v>
      </c>
      <c r="Y207" s="1120">
        <f t="shared" ref="Y207:Y211" ca="1" si="378">IF(AZ207="E",IFERROR(IF(W207="X",0,IF(V207&gt;0,V207,S207*U207)),0),
IFERROR(IF(OR(AR207="X",AR207="0"),0,IF(AR207="A",AQ207,S207*AP207)),0))</f>
        <v>0</v>
      </c>
      <c r="Z207" s="524"/>
      <c r="AA207" s="350"/>
      <c r="AB207" s="308"/>
      <c r="AC207" s="1090" t="str">
        <f t="shared" ref="AC207:AC211" ca="1" si="379">IF(BA207="E",IF(AND(AB207&lt;&gt;0,AA207&lt;&gt;0),"X",IF(AND(AB207&lt;&gt;0,AA207=0),"A",IF(AND(AB207=0,AA207&lt;&gt;0),"P",""))),AU207)</f>
        <v/>
      </c>
      <c r="AD207" s="1103">
        <f t="shared" ref="AD207:AD211" ca="1" si="380">IF(BA207="E",IFERROR(IF(AC207="X",0,IF(AA207&gt;0,AA207,AB207/S207)),0),
IFERROR(IF(OR(AU207="X",AU207=0),0,
IF(AU207="P",AS207,IF(AU207="A",AT207/S207,0))),0))</f>
        <v>0</v>
      </c>
      <c r="AE207" s="1120">
        <f t="shared" ref="AE207:AE211" ca="1" si="381">IF(BA207="E",IFERROR(IF(AC207="X",0,IF(AB207&gt;0,AB207,S207*AA207)),0),
IFERROR(IF(OR(AU207="X",AU207=0),0,
IF(AU207="A",AT207,S207*AS207)),0))</f>
        <v>0</v>
      </c>
      <c r="AF207" s="525"/>
      <c r="AG207" s="637"/>
      <c r="AH207" s="525"/>
      <c r="AI207" s="1086">
        <f t="shared" ref="AI207:AI211" ca="1" si="382">IF(BB207="E",AG207,AV207)</f>
        <v>50</v>
      </c>
      <c r="AJ207" s="380"/>
      <c r="AK207" s="440"/>
      <c r="AM207" s="460">
        <v>207</v>
      </c>
      <c r="AN207" s="1087" t="str">
        <f t="shared" ref="AN207:AN211" ca="1" si="383">IF($M$13=$AN$12,"",IF(ISTEXT(INDIRECT("'"&amp;$AM$20&amp;"'!"&amp;AN$21&amp;$AM207)),INDIRECT("'"&amp;$AM$20&amp;"'!"&amp;AN$21&amp;$AM207),INDIRECT("'"&amp;$AM$20&amp;"'!"&amp;AN$22&amp;$AM207)))</f>
        <v>Elektroaussbau</v>
      </c>
      <c r="AO207" s="1083">
        <f t="shared" ref="AO207:AV211" ca="1" si="384">IF($M$13=$AN$12,"",INDIRECT("'"&amp;$AM$20&amp;"'!"&amp;AO$21&amp;$AM207))</f>
        <v>158175.552</v>
      </c>
      <c r="AP207" s="356">
        <f t="shared" ca="1" si="384"/>
        <v>0</v>
      </c>
      <c r="AQ207" s="357">
        <f t="shared" ca="1" si="384"/>
        <v>0</v>
      </c>
      <c r="AR207" s="524" t="str">
        <f t="shared" ca="1" si="384"/>
        <v/>
      </c>
      <c r="AS207" s="356">
        <f t="shared" ca="1" si="384"/>
        <v>0</v>
      </c>
      <c r="AT207" s="357">
        <f t="shared" ca="1" si="384"/>
        <v>0</v>
      </c>
      <c r="AU207" s="524" t="str">
        <f t="shared" ca="1" si="384"/>
        <v/>
      </c>
      <c r="AV207" s="1083">
        <f t="shared" ca="1" si="384"/>
        <v>50</v>
      </c>
      <c r="AX207" s="1083" t="str">
        <f t="shared" ref="AX207:AX211" si="385">IF($M$13=$AN$12,"E",IF(ISTEXT(F207),"E","U"))</f>
        <v>U</v>
      </c>
      <c r="AY207" s="1083" t="str">
        <f t="shared" ref="AY207:AY211" si="386">IF($M$13=$AN$12,"E",IF(OR(ISNUMBER(M207),ISNUMBER(O207),ISNUMBER(Q207)),"E","U"))</f>
        <v>U</v>
      </c>
      <c r="AZ207" s="1083" t="str">
        <f t="shared" ref="AZ207:AZ211" si="387">IF($M$13=$AN$12,"E",IF(OR(ISNUMBER(U207),ISNUMBER(V207)),"E","U"))</f>
        <v>U</v>
      </c>
      <c r="BA207" s="1083" t="str">
        <f t="shared" ref="BA207:BA211" si="388">IF($M$13=$AN$12,"E",IF(OR(ISNUMBER(AA207),ISNUMBER(AB207)),"E","U"))</f>
        <v>U</v>
      </c>
      <c r="BB207" s="1083" t="str">
        <f t="shared" ref="BB207:BB211" si="389">IF($M$13=$AN$12,"E",IF(ISNUMBER(AG207),"E","U"))</f>
        <v>U</v>
      </c>
    </row>
    <row r="208" spans="1:54" ht="12" customHeight="1" x14ac:dyDescent="0.2">
      <c r="A208" s="440"/>
      <c r="B208" s="628"/>
      <c r="C208" s="380"/>
      <c r="D208" s="380"/>
      <c r="E208" s="1084">
        <f ca="1">IF(AX208="E","",AN208)</f>
        <v>0</v>
      </c>
      <c r="F208" s="1085"/>
      <c r="G208" s="1264"/>
      <c r="H208" s="1264"/>
      <c r="I208" s="1265"/>
      <c r="J208" s="559"/>
      <c r="K208" s="463"/>
      <c r="L208" s="463"/>
      <c r="M208" s="339"/>
      <c r="N208" s="361"/>
      <c r="O208" s="339"/>
      <c r="P208" s="365"/>
      <c r="Q208" s="344"/>
      <c r="R208" s="522" t="s">
        <v>363</v>
      </c>
      <c r="S208" s="353">
        <f t="shared" ca="1" si="375"/>
        <v>0</v>
      </c>
      <c r="T208" s="523"/>
      <c r="U208" s="350"/>
      <c r="V208" s="308"/>
      <c r="W208" s="1090" t="str">
        <f t="shared" ca="1" si="376"/>
        <v/>
      </c>
      <c r="X208" s="1103">
        <f t="shared" ca="1" si="377"/>
        <v>0</v>
      </c>
      <c r="Y208" s="1120">
        <f t="shared" ca="1" si="378"/>
        <v>0</v>
      </c>
      <c r="Z208" s="524"/>
      <c r="AA208" s="350"/>
      <c r="AB208" s="308"/>
      <c r="AC208" s="1090" t="str">
        <f t="shared" ca="1" si="379"/>
        <v/>
      </c>
      <c r="AD208" s="1103">
        <f t="shared" ca="1" si="380"/>
        <v>0</v>
      </c>
      <c r="AE208" s="1120">
        <f t="shared" ca="1" si="381"/>
        <v>0</v>
      </c>
      <c r="AF208" s="525"/>
      <c r="AG208" s="637"/>
      <c r="AH208" s="525"/>
      <c r="AI208" s="1086">
        <f t="shared" ca="1" si="382"/>
        <v>0</v>
      </c>
      <c r="AJ208" s="380"/>
      <c r="AK208" s="440"/>
      <c r="AM208" s="460">
        <v>208</v>
      </c>
      <c r="AN208" s="1087">
        <f t="shared" ca="1" si="383"/>
        <v>0</v>
      </c>
      <c r="AO208" s="1083">
        <f t="shared" ca="1" si="384"/>
        <v>0</v>
      </c>
      <c r="AP208" s="356">
        <f t="shared" ca="1" si="384"/>
        <v>0</v>
      </c>
      <c r="AQ208" s="357">
        <f t="shared" ca="1" si="384"/>
        <v>0</v>
      </c>
      <c r="AR208" s="524" t="str">
        <f t="shared" ca="1" si="384"/>
        <v/>
      </c>
      <c r="AS208" s="356">
        <f t="shared" ca="1" si="384"/>
        <v>0</v>
      </c>
      <c r="AT208" s="357">
        <f t="shared" ca="1" si="384"/>
        <v>0</v>
      </c>
      <c r="AU208" s="524" t="str">
        <f t="shared" ca="1" si="384"/>
        <v/>
      </c>
      <c r="AV208" s="1083">
        <f t="shared" ca="1" si="384"/>
        <v>0</v>
      </c>
      <c r="AX208" s="1083" t="str">
        <f t="shared" si="385"/>
        <v>U</v>
      </c>
      <c r="AY208" s="1083" t="str">
        <f t="shared" si="386"/>
        <v>U</v>
      </c>
      <c r="AZ208" s="1083" t="str">
        <f t="shared" si="387"/>
        <v>U</v>
      </c>
      <c r="BA208" s="1083" t="str">
        <f t="shared" si="388"/>
        <v>U</v>
      </c>
      <c r="BB208" s="1083" t="str">
        <f t="shared" si="389"/>
        <v>U</v>
      </c>
    </row>
    <row r="209" spans="1:54" ht="12" customHeight="1" x14ac:dyDescent="0.2">
      <c r="A209" s="440"/>
      <c r="B209" s="628"/>
      <c r="C209" s="380"/>
      <c r="D209" s="380"/>
      <c r="E209" s="1084">
        <f ca="1">IF(AX209="E","",AN209)</f>
        <v>0</v>
      </c>
      <c r="F209" s="1085"/>
      <c r="G209" s="1264"/>
      <c r="H209" s="1264"/>
      <c r="I209" s="1265"/>
      <c r="J209" s="559"/>
      <c r="K209" s="463"/>
      <c r="L209" s="463"/>
      <c r="M209" s="339"/>
      <c r="N209" s="361"/>
      <c r="O209" s="339"/>
      <c r="P209" s="365"/>
      <c r="Q209" s="344"/>
      <c r="R209" s="522" t="s">
        <v>363</v>
      </c>
      <c r="S209" s="353">
        <f t="shared" ca="1" si="375"/>
        <v>0</v>
      </c>
      <c r="T209" s="523"/>
      <c r="U209" s="350"/>
      <c r="V209" s="308"/>
      <c r="W209" s="1090" t="str">
        <f t="shared" ca="1" si="376"/>
        <v/>
      </c>
      <c r="X209" s="1103">
        <f t="shared" ca="1" si="377"/>
        <v>0</v>
      </c>
      <c r="Y209" s="1120">
        <f t="shared" ca="1" si="378"/>
        <v>0</v>
      </c>
      <c r="Z209" s="524"/>
      <c r="AA209" s="350"/>
      <c r="AB209" s="308"/>
      <c r="AC209" s="1090" t="str">
        <f t="shared" ca="1" si="379"/>
        <v/>
      </c>
      <c r="AD209" s="1103">
        <f t="shared" ca="1" si="380"/>
        <v>0</v>
      </c>
      <c r="AE209" s="1120">
        <f t="shared" ca="1" si="381"/>
        <v>0</v>
      </c>
      <c r="AF209" s="525"/>
      <c r="AG209" s="637"/>
      <c r="AH209" s="525"/>
      <c r="AI209" s="1086">
        <f t="shared" ca="1" si="382"/>
        <v>0</v>
      </c>
      <c r="AJ209" s="380"/>
      <c r="AK209" s="440"/>
      <c r="AM209" s="460">
        <v>209</v>
      </c>
      <c r="AN209" s="1087">
        <f t="shared" ca="1" si="383"/>
        <v>0</v>
      </c>
      <c r="AO209" s="1083">
        <f t="shared" ca="1" si="384"/>
        <v>0</v>
      </c>
      <c r="AP209" s="356">
        <f t="shared" ca="1" si="384"/>
        <v>0</v>
      </c>
      <c r="AQ209" s="357">
        <f t="shared" ca="1" si="384"/>
        <v>0</v>
      </c>
      <c r="AR209" s="524" t="str">
        <f t="shared" ca="1" si="384"/>
        <v/>
      </c>
      <c r="AS209" s="356">
        <f t="shared" ca="1" si="384"/>
        <v>0</v>
      </c>
      <c r="AT209" s="357">
        <f t="shared" ca="1" si="384"/>
        <v>0</v>
      </c>
      <c r="AU209" s="524" t="str">
        <f t="shared" ca="1" si="384"/>
        <v/>
      </c>
      <c r="AV209" s="1083">
        <f t="shared" ca="1" si="384"/>
        <v>0</v>
      </c>
      <c r="AX209" s="1083" t="str">
        <f t="shared" si="385"/>
        <v>U</v>
      </c>
      <c r="AY209" s="1083" t="str">
        <f t="shared" si="386"/>
        <v>U</v>
      </c>
      <c r="AZ209" s="1083" t="str">
        <f t="shared" si="387"/>
        <v>U</v>
      </c>
      <c r="BA209" s="1083" t="str">
        <f t="shared" si="388"/>
        <v>U</v>
      </c>
      <c r="BB209" s="1083" t="str">
        <f t="shared" si="389"/>
        <v>U</v>
      </c>
    </row>
    <row r="210" spans="1:54" ht="12" customHeight="1" x14ac:dyDescent="0.2">
      <c r="A210" s="440"/>
      <c r="B210" s="628"/>
      <c r="C210" s="380"/>
      <c r="D210" s="380"/>
      <c r="E210" s="1084">
        <f ca="1">IF(AX210="E","",AN210)</f>
        <v>0</v>
      </c>
      <c r="F210" s="1085"/>
      <c r="G210" s="1264"/>
      <c r="H210" s="1264"/>
      <c r="I210" s="1265"/>
      <c r="J210" s="559"/>
      <c r="K210" s="463"/>
      <c r="L210" s="463"/>
      <c r="M210" s="339"/>
      <c r="N210" s="361"/>
      <c r="O210" s="339"/>
      <c r="P210" s="365"/>
      <c r="Q210" s="344"/>
      <c r="R210" s="522" t="s">
        <v>363</v>
      </c>
      <c r="S210" s="353">
        <f t="shared" ca="1" si="375"/>
        <v>0</v>
      </c>
      <c r="T210" s="523"/>
      <c r="U210" s="350"/>
      <c r="V210" s="308"/>
      <c r="W210" s="1090" t="str">
        <f t="shared" ca="1" si="376"/>
        <v/>
      </c>
      <c r="X210" s="1103">
        <f t="shared" ca="1" si="377"/>
        <v>0</v>
      </c>
      <c r="Y210" s="1120">
        <f t="shared" ca="1" si="378"/>
        <v>0</v>
      </c>
      <c r="Z210" s="524"/>
      <c r="AA210" s="350"/>
      <c r="AB210" s="308"/>
      <c r="AC210" s="1090" t="str">
        <f t="shared" ca="1" si="379"/>
        <v/>
      </c>
      <c r="AD210" s="1103">
        <f t="shared" ca="1" si="380"/>
        <v>0</v>
      </c>
      <c r="AE210" s="1120">
        <f t="shared" ca="1" si="381"/>
        <v>0</v>
      </c>
      <c r="AF210" s="525"/>
      <c r="AG210" s="637"/>
      <c r="AH210" s="525"/>
      <c r="AI210" s="1086">
        <f t="shared" ca="1" si="382"/>
        <v>0</v>
      </c>
      <c r="AJ210" s="380"/>
      <c r="AK210" s="440"/>
      <c r="AM210" s="460">
        <v>210</v>
      </c>
      <c r="AN210" s="1087">
        <f t="shared" ca="1" si="383"/>
        <v>0</v>
      </c>
      <c r="AO210" s="1083">
        <f t="shared" ca="1" si="384"/>
        <v>0</v>
      </c>
      <c r="AP210" s="356">
        <f t="shared" ca="1" si="384"/>
        <v>0</v>
      </c>
      <c r="AQ210" s="357">
        <f t="shared" ca="1" si="384"/>
        <v>0</v>
      </c>
      <c r="AR210" s="524" t="str">
        <f t="shared" ca="1" si="384"/>
        <v/>
      </c>
      <c r="AS210" s="356">
        <f t="shared" ca="1" si="384"/>
        <v>0</v>
      </c>
      <c r="AT210" s="357">
        <f t="shared" ca="1" si="384"/>
        <v>0</v>
      </c>
      <c r="AU210" s="524" t="str">
        <f t="shared" ca="1" si="384"/>
        <v/>
      </c>
      <c r="AV210" s="1083">
        <f t="shared" ca="1" si="384"/>
        <v>0</v>
      </c>
      <c r="AX210" s="1083" t="str">
        <f t="shared" si="385"/>
        <v>U</v>
      </c>
      <c r="AY210" s="1083" t="str">
        <f t="shared" si="386"/>
        <v>U</v>
      </c>
      <c r="AZ210" s="1083" t="str">
        <f t="shared" si="387"/>
        <v>U</v>
      </c>
      <c r="BA210" s="1083" t="str">
        <f t="shared" si="388"/>
        <v>U</v>
      </c>
      <c r="BB210" s="1083" t="str">
        <f t="shared" si="389"/>
        <v>U</v>
      </c>
    </row>
    <row r="211" spans="1:54" ht="12" customHeight="1" x14ac:dyDescent="0.2">
      <c r="A211" s="440"/>
      <c r="B211" s="628"/>
      <c r="C211" s="380"/>
      <c r="D211" s="380"/>
      <c r="E211" s="1084">
        <f ca="1">IF(AX211="E","",AN211)</f>
        <v>0</v>
      </c>
      <c r="F211" s="1085"/>
      <c r="G211" s="1264"/>
      <c r="H211" s="1264"/>
      <c r="I211" s="1265"/>
      <c r="J211" s="559"/>
      <c r="K211" s="463"/>
      <c r="L211" s="463"/>
      <c r="M211" s="339"/>
      <c r="N211" s="361"/>
      <c r="O211" s="339"/>
      <c r="P211" s="365"/>
      <c r="Q211" s="344"/>
      <c r="R211" s="522" t="s">
        <v>363</v>
      </c>
      <c r="S211" s="353">
        <f t="shared" ca="1" si="375"/>
        <v>0</v>
      </c>
      <c r="T211" s="523"/>
      <c r="U211" s="350"/>
      <c r="V211" s="308"/>
      <c r="W211" s="1090" t="str">
        <f t="shared" ca="1" si="376"/>
        <v/>
      </c>
      <c r="X211" s="1103">
        <f t="shared" ca="1" si="377"/>
        <v>0</v>
      </c>
      <c r="Y211" s="1120">
        <f t="shared" ca="1" si="378"/>
        <v>0</v>
      </c>
      <c r="Z211" s="524"/>
      <c r="AA211" s="350"/>
      <c r="AB211" s="308"/>
      <c r="AC211" s="1090" t="str">
        <f t="shared" ca="1" si="379"/>
        <v/>
      </c>
      <c r="AD211" s="1103">
        <f t="shared" ca="1" si="380"/>
        <v>0</v>
      </c>
      <c r="AE211" s="1120">
        <f t="shared" ca="1" si="381"/>
        <v>0</v>
      </c>
      <c r="AF211" s="525"/>
      <c r="AG211" s="637"/>
      <c r="AH211" s="525"/>
      <c r="AI211" s="1086">
        <f t="shared" ca="1" si="382"/>
        <v>0</v>
      </c>
      <c r="AJ211" s="380"/>
      <c r="AK211" s="440"/>
      <c r="AM211" s="460">
        <v>211</v>
      </c>
      <c r="AN211" s="1087">
        <f t="shared" ca="1" si="383"/>
        <v>0</v>
      </c>
      <c r="AO211" s="1083">
        <f t="shared" ca="1" si="384"/>
        <v>0</v>
      </c>
      <c r="AP211" s="356">
        <f t="shared" ca="1" si="384"/>
        <v>0</v>
      </c>
      <c r="AQ211" s="357">
        <f t="shared" ca="1" si="384"/>
        <v>0</v>
      </c>
      <c r="AR211" s="524" t="str">
        <f t="shared" ca="1" si="384"/>
        <v/>
      </c>
      <c r="AS211" s="356">
        <f t="shared" ca="1" si="384"/>
        <v>0</v>
      </c>
      <c r="AT211" s="357">
        <f t="shared" ca="1" si="384"/>
        <v>0</v>
      </c>
      <c r="AU211" s="524" t="str">
        <f t="shared" ca="1" si="384"/>
        <v/>
      </c>
      <c r="AV211" s="1083">
        <f t="shared" ca="1" si="384"/>
        <v>0</v>
      </c>
      <c r="AX211" s="1083" t="str">
        <f t="shared" si="385"/>
        <v>U</v>
      </c>
      <c r="AY211" s="1083" t="str">
        <f t="shared" si="386"/>
        <v>U</v>
      </c>
      <c r="AZ211" s="1083" t="str">
        <f t="shared" si="387"/>
        <v>U</v>
      </c>
      <c r="BA211" s="1083" t="str">
        <f t="shared" si="388"/>
        <v>U</v>
      </c>
      <c r="BB211" s="1083" t="str">
        <f t="shared" si="389"/>
        <v>U</v>
      </c>
    </row>
    <row r="212" spans="1:54" ht="12" customHeight="1" collapsed="1" x14ac:dyDescent="0.2">
      <c r="A212" s="440"/>
      <c r="B212" s="324"/>
      <c r="C212" s="378"/>
      <c r="D212" s="378"/>
      <c r="E212" s="378"/>
      <c r="F212" s="378"/>
      <c r="G212" s="378"/>
      <c r="H212" s="378"/>
      <c r="I212" s="378"/>
      <c r="J212" s="378"/>
      <c r="K212" s="378"/>
      <c r="L212" s="378"/>
      <c r="M212" s="560"/>
      <c r="N212" s="561"/>
      <c r="O212" s="378"/>
      <c r="P212" s="378"/>
      <c r="Q212" s="378"/>
      <c r="R212" s="378"/>
      <c r="S212" s="378"/>
      <c r="T212" s="378"/>
      <c r="U212" s="378"/>
      <c r="V212" s="378"/>
      <c r="W212" s="1098"/>
      <c r="X212" s="1117"/>
      <c r="Y212" s="1117"/>
      <c r="Z212" s="378"/>
      <c r="AA212" s="378"/>
      <c r="AB212" s="378"/>
      <c r="AC212" s="1098"/>
      <c r="AD212" s="1117"/>
      <c r="AE212" s="1117"/>
      <c r="AF212" s="378"/>
      <c r="AG212" s="378"/>
      <c r="AH212" s="378"/>
      <c r="AI212" s="562"/>
      <c r="AJ212" s="378"/>
      <c r="AK212" s="440"/>
      <c r="AM212" s="460">
        <v>212</v>
      </c>
      <c r="AN212" s="1078"/>
    </row>
    <row r="213" spans="1:54" ht="12" customHeight="1" x14ac:dyDescent="0.2">
      <c r="A213" s="440"/>
      <c r="B213" s="320"/>
      <c r="C213" s="513"/>
      <c r="D213" s="513"/>
      <c r="E213" s="513"/>
      <c r="F213" s="513"/>
      <c r="G213" s="513"/>
      <c r="H213" s="513"/>
      <c r="I213" s="513"/>
      <c r="J213" s="513"/>
      <c r="K213" s="503"/>
      <c r="L213" s="503"/>
      <c r="M213" s="549"/>
      <c r="N213" s="438"/>
      <c r="O213" s="379"/>
      <c r="P213" s="379"/>
      <c r="Q213" s="379"/>
      <c r="R213" s="379"/>
      <c r="S213" s="379"/>
      <c r="T213" s="379"/>
      <c r="U213" s="379"/>
      <c r="V213" s="379"/>
      <c r="W213" s="1099"/>
      <c r="X213" s="1118"/>
      <c r="Y213" s="1118"/>
      <c r="Z213" s="379"/>
      <c r="AA213" s="379"/>
      <c r="AB213" s="379"/>
      <c r="AC213" s="1099"/>
      <c r="AD213" s="1118"/>
      <c r="AE213" s="1118"/>
      <c r="AF213" s="379"/>
      <c r="AG213" s="379"/>
      <c r="AH213" s="379"/>
      <c r="AI213" s="481"/>
      <c r="AJ213" s="379"/>
      <c r="AK213" s="440"/>
      <c r="AM213" s="460">
        <v>213</v>
      </c>
      <c r="AN213" s="1078"/>
    </row>
    <row r="214" spans="1:54" ht="12" customHeight="1" x14ac:dyDescent="0.2">
      <c r="A214" s="440"/>
      <c r="B214" s="320"/>
      <c r="C214" s="513"/>
      <c r="D214" s="513"/>
      <c r="E214" s="513"/>
      <c r="F214" s="513"/>
      <c r="G214" s="513"/>
      <c r="H214" s="513"/>
      <c r="I214" s="513"/>
      <c r="J214" s="513"/>
      <c r="K214" s="503"/>
      <c r="L214" s="503"/>
      <c r="M214" s="498"/>
      <c r="N214" s="503"/>
      <c r="O214" s="513"/>
      <c r="P214" s="513"/>
      <c r="Q214" s="513"/>
      <c r="R214" s="513"/>
      <c r="S214" s="372"/>
      <c r="T214" s="372"/>
      <c r="U214" s="372"/>
      <c r="V214" s="372"/>
      <c r="W214" s="1096"/>
      <c r="X214" s="1110"/>
      <c r="Y214" s="1110"/>
      <c r="Z214" s="372"/>
      <c r="AA214" s="372"/>
      <c r="AB214" s="372"/>
      <c r="AC214" s="1096"/>
      <c r="AD214" s="1110"/>
      <c r="AE214" s="1110"/>
      <c r="AF214" s="372"/>
      <c r="AG214" s="372"/>
      <c r="AH214" s="372"/>
      <c r="AI214" s="482"/>
      <c r="AJ214" s="372"/>
      <c r="AK214" s="440"/>
      <c r="AM214" s="460">
        <v>214</v>
      </c>
      <c r="AN214" s="1078"/>
    </row>
    <row r="215" spans="1:54" ht="12" customHeight="1" x14ac:dyDescent="0.25">
      <c r="A215" s="440"/>
      <c r="B215" s="499">
        <v>6</v>
      </c>
      <c r="C215" s="495"/>
      <c r="D215" s="495"/>
      <c r="E215" s="1606" t="s">
        <v>10</v>
      </c>
      <c r="F215" s="1606"/>
      <c r="G215" s="1606"/>
      <c r="H215" s="1606"/>
      <c r="I215" s="1605"/>
      <c r="J215" s="501"/>
      <c r="K215" s="502"/>
      <c r="L215" s="502"/>
      <c r="M215" s="498"/>
      <c r="N215" s="503"/>
      <c r="O215" s="513"/>
      <c r="P215" s="513"/>
      <c r="Q215" s="513"/>
      <c r="R215" s="513"/>
      <c r="S215" s="385">
        <f ca="1">SUBTOTAL(109,S216)</f>
        <v>0</v>
      </c>
      <c r="T215" s="372"/>
      <c r="U215" s="372"/>
      <c r="V215" s="372"/>
      <c r="W215" s="1096"/>
      <c r="X215" s="1110"/>
      <c r="Y215" s="1110"/>
      <c r="Z215" s="372"/>
      <c r="AA215" s="372"/>
      <c r="AB215" s="372"/>
      <c r="AC215" s="1096"/>
      <c r="AD215" s="1110"/>
      <c r="AE215" s="1110"/>
      <c r="AF215" s="372"/>
      <c r="AG215" s="372"/>
      <c r="AH215" s="372"/>
      <c r="AI215" s="482"/>
      <c r="AJ215" s="372"/>
      <c r="AK215" s="440"/>
      <c r="AM215" s="460">
        <v>215</v>
      </c>
      <c r="AN215" s="1078"/>
    </row>
    <row r="216" spans="1:54" ht="12" customHeight="1" x14ac:dyDescent="0.25">
      <c r="A216" s="440"/>
      <c r="B216" s="499"/>
      <c r="C216" s="495"/>
      <c r="D216" s="495"/>
      <c r="E216" s="500"/>
      <c r="F216" s="500"/>
      <c r="G216" s="500"/>
      <c r="H216" s="500"/>
      <c r="I216" s="501"/>
      <c r="J216" s="501"/>
      <c r="K216" s="502"/>
      <c r="L216" s="502"/>
      <c r="M216" s="339"/>
      <c r="N216" s="361"/>
      <c r="O216" s="339"/>
      <c r="P216" s="365"/>
      <c r="Q216" s="344"/>
      <c r="R216" s="522" t="s">
        <v>363</v>
      </c>
      <c r="S216" s="353">
        <f ca="1">IF(AY216="E",(M216*O216)+Q216,AO216)</f>
        <v>0</v>
      </c>
      <c r="T216" s="523"/>
      <c r="U216" s="350"/>
      <c r="V216" s="308"/>
      <c r="W216" s="1090" t="str">
        <f ca="1">IF(AZ216="E",IF(AND(V216&lt;&gt;0,U216&lt;&gt;0),"X",IF(AND(V216&lt;&gt;0,U216=0),"A",IF(AND(V216=0,U216&lt;&gt;0),"P",""))),AR216)</f>
        <v/>
      </c>
      <c r="X216" s="1103">
        <f ca="1">IF(AZ216="E",IFERROR(IF(W216="X",0,IF(U216&gt;0,U216,V216/S216)),0),
IFERROR(IF(OR(AR216="X",AR216=0),0,
IF(AR216="P",AP216,IF(AR216="A",AQ216/S216,0))),0))</f>
        <v>0</v>
      </c>
      <c r="Y216" s="1120">
        <f ca="1">IF(AZ216="E",IFERROR(IF(W216="X",0,IF(V216&gt;0,V216,S216*U216)),0),
IFERROR(IF(OR(AR216="X",AR216="0"),0,IF(AR216="A",AQ216,S216*AP216)),0))</f>
        <v>0</v>
      </c>
      <c r="Z216" s="524"/>
      <c r="AA216" s="350"/>
      <c r="AB216" s="308"/>
      <c r="AC216" s="1090" t="str">
        <f ca="1">IF(BA216="E",IF(AND(AB216&lt;&gt;0,AA216&lt;&gt;0),"X",IF(AND(AB216&lt;&gt;0,AA216=0),"A",IF(AND(AB216=0,AA216&lt;&gt;0),"P",""))),AU216)</f>
        <v/>
      </c>
      <c r="AD216" s="1103">
        <f ca="1">IF(BA216="E",IFERROR(IF(AC216="X",0,IF(AA216&gt;0,AA216,AB216/S216)),0),
IFERROR(IF(OR(AU216="X",AU216=0),0,
IF(AU216="P",AS216,IF(AU216="A",AT216/S216,0))),0))</f>
        <v>0</v>
      </c>
      <c r="AE216" s="1120">
        <f ca="1">IF(BA216="E",IFERROR(IF(AC216="X",0,IF(AB216&gt;0,AB216,S216*AA216)),0),
IFERROR(IF(OR(AU216="X",AU216=0),0,
IF(AU216="A",AT216,S216*AS216)),0))</f>
        <v>0</v>
      </c>
      <c r="AF216" s="525"/>
      <c r="AG216" s="637"/>
      <c r="AH216" s="525"/>
      <c r="AI216" s="1086">
        <f ca="1">IF(BB216="E",AG216,AV216)</f>
        <v>0</v>
      </c>
      <c r="AJ216" s="380"/>
      <c r="AK216" s="440"/>
      <c r="AM216" s="460">
        <v>216</v>
      </c>
      <c r="AN216" s="1078"/>
      <c r="AO216" s="1083">
        <f t="shared" ref="AO216:AV216" ca="1" si="390">IF($M$13=$AN$12,"",INDIRECT("'"&amp;$AM$20&amp;"'!"&amp;AO$21&amp;$AM216))</f>
        <v>0</v>
      </c>
      <c r="AP216" s="356">
        <f t="shared" ca="1" si="390"/>
        <v>0</v>
      </c>
      <c r="AQ216" s="357">
        <f t="shared" ca="1" si="390"/>
        <v>0</v>
      </c>
      <c r="AR216" s="524" t="str">
        <f t="shared" ca="1" si="390"/>
        <v/>
      </c>
      <c r="AS216" s="356">
        <f t="shared" ca="1" si="390"/>
        <v>0</v>
      </c>
      <c r="AT216" s="357">
        <f t="shared" ca="1" si="390"/>
        <v>0</v>
      </c>
      <c r="AU216" s="524" t="str">
        <f t="shared" ca="1" si="390"/>
        <v/>
      </c>
      <c r="AV216" s="1083">
        <f t="shared" ca="1" si="390"/>
        <v>0</v>
      </c>
      <c r="AX216" s="1083" t="str">
        <f t="shared" ref="AX216" si="391">IF($M$13=$AN$12,"E",IF(ISTEXT(F216),"E","U"))</f>
        <v>U</v>
      </c>
      <c r="AY216" s="1083" t="str">
        <f t="shared" ref="AY216" si="392">IF($M$13=$AN$12,"E",IF(OR(ISNUMBER(M216),ISNUMBER(O216),ISNUMBER(Q216)),"E","U"))</f>
        <v>U</v>
      </c>
      <c r="AZ216" s="1083" t="str">
        <f t="shared" ref="AZ216" si="393">IF($M$13=$AN$12,"E",IF(OR(ISNUMBER(U216),ISNUMBER(V216)),"E","U"))</f>
        <v>U</v>
      </c>
      <c r="BA216" s="1083" t="str">
        <f t="shared" ref="BA216" si="394">IF($M$13=$AN$12,"E",IF(OR(ISNUMBER(AA216),ISNUMBER(AB216)),"E","U"))</f>
        <v>U</v>
      </c>
      <c r="BB216" s="1083" t="str">
        <f t="shared" ref="BB216" si="395">IF($M$13=$AN$12,"E",IF(ISNUMBER(AG216),"E","U"))</f>
        <v>U</v>
      </c>
    </row>
    <row r="217" spans="1:54" ht="12" customHeight="1" x14ac:dyDescent="0.25">
      <c r="A217" s="440"/>
      <c r="B217" s="505"/>
      <c r="C217" s="563"/>
      <c r="D217" s="563"/>
      <c r="E217" s="506"/>
      <c r="F217" s="506"/>
      <c r="G217" s="506"/>
      <c r="H217" s="506"/>
      <c r="I217" s="507"/>
      <c r="J217" s="507"/>
      <c r="K217" s="508"/>
      <c r="L217" s="508"/>
      <c r="M217" s="564"/>
      <c r="N217" s="517"/>
      <c r="O217" s="371"/>
      <c r="P217" s="371"/>
      <c r="Q217" s="371"/>
      <c r="R217" s="371"/>
      <c r="S217" s="371"/>
      <c r="T217" s="371"/>
      <c r="U217" s="371"/>
      <c r="V217" s="371"/>
      <c r="W217" s="1100"/>
      <c r="X217" s="1108"/>
      <c r="Y217" s="1108"/>
      <c r="Z217" s="371"/>
      <c r="AA217" s="371"/>
      <c r="AB217" s="371"/>
      <c r="AC217" s="1100"/>
      <c r="AD217" s="1108"/>
      <c r="AE217" s="1108"/>
      <c r="AF217" s="371"/>
      <c r="AG217" s="371"/>
      <c r="AH217" s="371"/>
      <c r="AI217" s="565"/>
      <c r="AJ217" s="371"/>
      <c r="AK217" s="440"/>
      <c r="AM217" s="460">
        <v>217</v>
      </c>
      <c r="AN217" s="1078"/>
    </row>
    <row r="218" spans="1:54" ht="12" customHeight="1" x14ac:dyDescent="0.2">
      <c r="A218" s="440"/>
      <c r="B218" s="320"/>
      <c r="C218" s="513"/>
      <c r="D218" s="513"/>
      <c r="E218" s="513"/>
      <c r="F218" s="513"/>
      <c r="G218" s="513"/>
      <c r="H218" s="513"/>
      <c r="I218" s="380"/>
      <c r="J218" s="380"/>
      <c r="K218" s="463"/>
      <c r="L218" s="463"/>
      <c r="M218" s="549"/>
      <c r="N218" s="438"/>
      <c r="O218" s="379"/>
      <c r="P218" s="379"/>
      <c r="Q218" s="379"/>
      <c r="R218" s="379"/>
      <c r="S218" s="379"/>
      <c r="T218" s="379"/>
      <c r="U218" s="379"/>
      <c r="V218" s="379"/>
      <c r="W218" s="1099"/>
      <c r="X218" s="1118"/>
      <c r="Y218" s="1118"/>
      <c r="Z218" s="379"/>
      <c r="AA218" s="379"/>
      <c r="AB218" s="379"/>
      <c r="AC218" s="1099"/>
      <c r="AD218" s="1118"/>
      <c r="AE218" s="1118"/>
      <c r="AF218" s="379"/>
      <c r="AG218" s="379"/>
      <c r="AH218" s="379"/>
      <c r="AI218" s="481"/>
      <c r="AJ218" s="379"/>
      <c r="AK218" s="440"/>
      <c r="AM218" s="460">
        <v>218</v>
      </c>
      <c r="AN218" s="1078"/>
    </row>
    <row r="219" spans="1:54" ht="12" customHeight="1" x14ac:dyDescent="0.2">
      <c r="A219" s="440"/>
      <c r="B219" s="320"/>
      <c r="C219" s="513"/>
      <c r="D219" s="513"/>
      <c r="E219" s="513"/>
      <c r="F219" s="513"/>
      <c r="G219" s="513"/>
      <c r="H219" s="513"/>
      <c r="I219" s="380"/>
      <c r="J219" s="380"/>
      <c r="K219" s="463"/>
      <c r="L219" s="463"/>
      <c r="M219" s="498"/>
      <c r="N219" s="503"/>
      <c r="O219" s="513"/>
      <c r="P219" s="513"/>
      <c r="Q219" s="513"/>
      <c r="R219" s="513"/>
      <c r="S219" s="372"/>
      <c r="T219" s="372"/>
      <c r="U219" s="372"/>
      <c r="V219" s="372"/>
      <c r="W219" s="1096"/>
      <c r="X219" s="1110"/>
      <c r="Y219" s="1110"/>
      <c r="Z219" s="372"/>
      <c r="AA219" s="372"/>
      <c r="AB219" s="372"/>
      <c r="AC219" s="1096"/>
      <c r="AD219" s="1110"/>
      <c r="AE219" s="1110"/>
      <c r="AF219" s="372"/>
      <c r="AG219" s="372"/>
      <c r="AH219" s="372"/>
      <c r="AI219" s="482"/>
      <c r="AJ219" s="372"/>
      <c r="AK219" s="440"/>
      <c r="AM219" s="460">
        <v>219</v>
      </c>
      <c r="AN219" s="1078"/>
    </row>
    <row r="220" spans="1:54" ht="12" customHeight="1" x14ac:dyDescent="0.25">
      <c r="A220" s="440"/>
      <c r="B220" s="499">
        <v>7</v>
      </c>
      <c r="C220" s="494"/>
      <c r="D220" s="495"/>
      <c r="E220" s="1606" t="s">
        <v>9</v>
      </c>
      <c r="F220" s="1606"/>
      <c r="G220" s="1606"/>
      <c r="H220" s="1606"/>
      <c r="I220" s="1597"/>
      <c r="J220" s="501"/>
      <c r="K220" s="462"/>
      <c r="L220" s="462"/>
      <c r="M220" s="363"/>
      <c r="N220" s="363"/>
      <c r="O220" s="363"/>
      <c r="P220" s="363"/>
      <c r="Q220" s="363"/>
      <c r="R220" s="363"/>
      <c r="S220" s="385">
        <f ca="1">S221</f>
        <v>526746</v>
      </c>
      <c r="T220" s="363"/>
      <c r="U220" s="363"/>
      <c r="V220" s="363"/>
      <c r="W220" s="1093"/>
      <c r="X220" s="1116"/>
      <c r="Y220" s="1116"/>
      <c r="Z220" s="363"/>
      <c r="AA220" s="363"/>
      <c r="AB220" s="363"/>
      <c r="AC220" s="1093"/>
      <c r="AD220" s="1116"/>
      <c r="AE220" s="1116"/>
      <c r="AF220" s="363"/>
      <c r="AG220" s="363"/>
      <c r="AH220" s="363"/>
      <c r="AI220" s="358"/>
      <c r="AJ220" s="363"/>
      <c r="AK220" s="440"/>
      <c r="AM220" s="460">
        <v>220</v>
      </c>
      <c r="AN220" s="1078"/>
    </row>
    <row r="221" spans="1:54" ht="12" customHeight="1" x14ac:dyDescent="0.25">
      <c r="A221" s="440"/>
      <c r="B221" s="499"/>
      <c r="C221" s="494"/>
      <c r="D221" s="495"/>
      <c r="E221" s="500"/>
      <c r="F221" s="500"/>
      <c r="G221" s="500"/>
      <c r="H221" s="500"/>
      <c r="I221" s="511"/>
      <c r="J221" s="501"/>
      <c r="K221" s="462"/>
      <c r="L221" s="462"/>
      <c r="M221" s="363"/>
      <c r="N221" s="363"/>
      <c r="O221" s="363"/>
      <c r="P221" s="363"/>
      <c r="Q221" s="363"/>
      <c r="R221" s="363"/>
      <c r="S221" s="355">
        <f ca="1">SUBTOTAL(109,S222:S227)</f>
        <v>526746</v>
      </c>
      <c r="T221" s="363"/>
      <c r="U221" s="363"/>
      <c r="V221" s="363"/>
      <c r="W221" s="1093"/>
      <c r="X221" s="1116"/>
      <c r="Y221" s="1116"/>
      <c r="Z221" s="363"/>
      <c r="AA221" s="363"/>
      <c r="AB221" s="363"/>
      <c r="AC221" s="1093"/>
      <c r="AD221" s="1116"/>
      <c r="AE221" s="1116"/>
      <c r="AF221" s="363"/>
      <c r="AG221" s="363"/>
      <c r="AH221" s="363"/>
      <c r="AI221" s="358"/>
      <c r="AJ221" s="363"/>
      <c r="AK221" s="440"/>
      <c r="AM221" s="460">
        <v>221</v>
      </c>
      <c r="AN221" s="1078"/>
    </row>
    <row r="222" spans="1:54" ht="12" customHeight="1" x14ac:dyDescent="0.25">
      <c r="A222" s="440"/>
      <c r="B222" s="499"/>
      <c r="C222" s="495"/>
      <c r="D222" s="495"/>
      <c r="E222" s="1084" t="str">
        <f t="shared" ref="E222:E227" ca="1" si="396">IF(AX222="E","",AN222)</f>
        <v>sämtliche Planungs- und Dienstleistungen</v>
      </c>
      <c r="F222" s="1085"/>
      <c r="G222" s="1264"/>
      <c r="H222" s="1264"/>
      <c r="I222" s="1265"/>
      <c r="J222" s="501"/>
      <c r="K222" s="462"/>
      <c r="L222" s="462"/>
      <c r="M222" s="339"/>
      <c r="N222" s="361"/>
      <c r="O222" s="339"/>
      <c r="P222" s="365"/>
      <c r="Q222" s="344"/>
      <c r="R222" s="522" t="s">
        <v>363</v>
      </c>
      <c r="S222" s="353">
        <f t="shared" ref="S222:S227" ca="1" si="397">IF(AY222="E",(M222*O222)+Q222,AO222)</f>
        <v>526746</v>
      </c>
      <c r="T222" s="363"/>
      <c r="U222" s="363"/>
      <c r="V222" s="363"/>
      <c r="W222" s="1093"/>
      <c r="X222" s="1116"/>
      <c r="Y222" s="1116"/>
      <c r="Z222" s="363"/>
      <c r="AA222" s="363"/>
      <c r="AB222" s="363"/>
      <c r="AC222" s="1093"/>
      <c r="AD222" s="1116"/>
      <c r="AE222" s="1116"/>
      <c r="AF222" s="363"/>
      <c r="AG222" s="363"/>
      <c r="AH222" s="363"/>
      <c r="AI222" s="358"/>
      <c r="AJ222" s="363"/>
      <c r="AK222" s="440"/>
      <c r="AM222" s="460">
        <v>222</v>
      </c>
      <c r="AN222" s="1087" t="str">
        <f t="shared" ref="AN222:AN227" ca="1" si="398">IF($M$13=$AN$12,"",IF(ISTEXT(INDIRECT("'"&amp;$AM$20&amp;"'!"&amp;AN$21&amp;$AM222)),INDIRECT("'"&amp;$AM$20&amp;"'!"&amp;AN$21&amp;$AM222),INDIRECT("'"&amp;$AM$20&amp;"'!"&amp;AN$22&amp;$AM222)))</f>
        <v>sämtliche Planungs- und Dienstleistungen</v>
      </c>
      <c r="AO222" s="1083">
        <f t="shared" ref="AO222:AO227" ca="1" si="399">IF($M$13=$AN$12,"",INDIRECT("'"&amp;$AM$20&amp;"'!"&amp;AO$21&amp;$AM222))</f>
        <v>526746</v>
      </c>
      <c r="AX222" s="1083" t="str">
        <f t="shared" ref="AX222:AX227" si="400">IF($M$13=$AN$12,"E",IF(ISTEXT(F222),"E","U"))</f>
        <v>U</v>
      </c>
      <c r="AY222" s="1083" t="str">
        <f t="shared" ref="AY222:AY227" si="401">IF($M$13=$AN$12,"E",IF(OR(ISNUMBER(M222),ISNUMBER(O222),ISNUMBER(Q222)),"E","U"))</f>
        <v>U</v>
      </c>
    </row>
    <row r="223" spans="1:54" ht="12" customHeight="1" x14ac:dyDescent="0.25">
      <c r="A223" s="440"/>
      <c r="B223" s="499"/>
      <c r="C223" s="495"/>
      <c r="D223" s="495"/>
      <c r="E223" s="1084">
        <f t="shared" ca="1" si="396"/>
        <v>0</v>
      </c>
      <c r="F223" s="1085"/>
      <c r="G223" s="1264"/>
      <c r="H223" s="1264"/>
      <c r="I223" s="1265"/>
      <c r="J223" s="501"/>
      <c r="K223" s="462"/>
      <c r="L223" s="462"/>
      <c r="M223" s="339"/>
      <c r="N223" s="361"/>
      <c r="O223" s="339"/>
      <c r="P223" s="365"/>
      <c r="Q223" s="344"/>
      <c r="R223" s="522" t="s">
        <v>363</v>
      </c>
      <c r="S223" s="353">
        <f t="shared" ca="1" si="397"/>
        <v>0</v>
      </c>
      <c r="T223" s="363"/>
      <c r="U223" s="363"/>
      <c r="V223" s="363"/>
      <c r="W223" s="1093"/>
      <c r="X223" s="1116"/>
      <c r="Y223" s="1116"/>
      <c r="Z223" s="363"/>
      <c r="AA223" s="363"/>
      <c r="AB223" s="363"/>
      <c r="AC223" s="1093"/>
      <c r="AD223" s="1116"/>
      <c r="AE223" s="1116"/>
      <c r="AF223" s="363"/>
      <c r="AG223" s="363"/>
      <c r="AH223" s="363"/>
      <c r="AI223" s="358"/>
      <c r="AJ223" s="363"/>
      <c r="AK223" s="440"/>
      <c r="AM223" s="460">
        <v>223</v>
      </c>
      <c r="AN223" s="1087">
        <f t="shared" ca="1" si="398"/>
        <v>0</v>
      </c>
      <c r="AO223" s="1083">
        <f t="shared" ca="1" si="399"/>
        <v>0</v>
      </c>
      <c r="AX223" s="1083" t="str">
        <f t="shared" si="400"/>
        <v>U</v>
      </c>
      <c r="AY223" s="1083" t="str">
        <f t="shared" si="401"/>
        <v>U</v>
      </c>
    </row>
    <row r="224" spans="1:54" ht="12" customHeight="1" x14ac:dyDescent="0.25">
      <c r="A224" s="440"/>
      <c r="B224" s="499"/>
      <c r="C224" s="495"/>
      <c r="D224" s="495"/>
      <c r="E224" s="1084">
        <f t="shared" ca="1" si="396"/>
        <v>0</v>
      </c>
      <c r="F224" s="1085"/>
      <c r="G224" s="1264"/>
      <c r="H224" s="1264"/>
      <c r="I224" s="1265"/>
      <c r="J224" s="501"/>
      <c r="K224" s="462"/>
      <c r="L224" s="462"/>
      <c r="M224" s="339"/>
      <c r="N224" s="361"/>
      <c r="O224" s="339"/>
      <c r="P224" s="365"/>
      <c r="Q224" s="344"/>
      <c r="R224" s="522" t="s">
        <v>363</v>
      </c>
      <c r="S224" s="353">
        <f t="shared" ca="1" si="397"/>
        <v>0</v>
      </c>
      <c r="T224" s="363"/>
      <c r="U224" s="363"/>
      <c r="V224" s="363"/>
      <c r="W224" s="1093"/>
      <c r="X224" s="1116"/>
      <c r="Y224" s="1116"/>
      <c r="Z224" s="363"/>
      <c r="AA224" s="363"/>
      <c r="AB224" s="363"/>
      <c r="AC224" s="1093"/>
      <c r="AD224" s="1116"/>
      <c r="AE224" s="1116"/>
      <c r="AF224" s="363"/>
      <c r="AG224" s="363"/>
      <c r="AH224" s="363"/>
      <c r="AI224" s="358"/>
      <c r="AJ224" s="363"/>
      <c r="AK224" s="440"/>
      <c r="AM224" s="460">
        <v>224</v>
      </c>
      <c r="AN224" s="1087">
        <f t="shared" ca="1" si="398"/>
        <v>0</v>
      </c>
      <c r="AO224" s="1083">
        <f t="shared" ca="1" si="399"/>
        <v>0</v>
      </c>
      <c r="AX224" s="1083" t="str">
        <f t="shared" si="400"/>
        <v>U</v>
      </c>
      <c r="AY224" s="1083" t="str">
        <f t="shared" si="401"/>
        <v>U</v>
      </c>
    </row>
    <row r="225" spans="1:51" ht="12" customHeight="1" x14ac:dyDescent="0.25">
      <c r="A225" s="440"/>
      <c r="B225" s="499"/>
      <c r="C225" s="495"/>
      <c r="D225" s="495"/>
      <c r="E225" s="1084">
        <f t="shared" ca="1" si="396"/>
        <v>0</v>
      </c>
      <c r="F225" s="1085"/>
      <c r="G225" s="1264"/>
      <c r="H225" s="1264"/>
      <c r="I225" s="1265"/>
      <c r="J225" s="501"/>
      <c r="K225" s="462"/>
      <c r="L225" s="462"/>
      <c r="M225" s="339"/>
      <c r="N225" s="361"/>
      <c r="O225" s="339"/>
      <c r="P225" s="365"/>
      <c r="Q225" s="344"/>
      <c r="R225" s="522" t="s">
        <v>363</v>
      </c>
      <c r="S225" s="353">
        <f t="shared" ca="1" si="397"/>
        <v>0</v>
      </c>
      <c r="T225" s="363"/>
      <c r="U225" s="363"/>
      <c r="V225" s="363"/>
      <c r="W225" s="1093"/>
      <c r="X225" s="1116"/>
      <c r="Y225" s="1116"/>
      <c r="Z225" s="363"/>
      <c r="AA225" s="363"/>
      <c r="AB225" s="363"/>
      <c r="AC225" s="1093"/>
      <c r="AD225" s="1116"/>
      <c r="AE225" s="1116"/>
      <c r="AF225" s="363"/>
      <c r="AG225" s="363"/>
      <c r="AH225" s="363"/>
      <c r="AI225" s="358"/>
      <c r="AJ225" s="363"/>
      <c r="AK225" s="440"/>
      <c r="AM225" s="460">
        <v>225</v>
      </c>
      <c r="AN225" s="1087">
        <f t="shared" ca="1" si="398"/>
        <v>0</v>
      </c>
      <c r="AO225" s="1083">
        <f t="shared" ca="1" si="399"/>
        <v>0</v>
      </c>
      <c r="AX225" s="1083" t="str">
        <f t="shared" si="400"/>
        <v>U</v>
      </c>
      <c r="AY225" s="1083" t="str">
        <f t="shared" si="401"/>
        <v>U</v>
      </c>
    </row>
    <row r="226" spans="1:51" ht="12" customHeight="1" x14ac:dyDescent="0.25">
      <c r="A226" s="440"/>
      <c r="B226" s="499"/>
      <c r="C226" s="495"/>
      <c r="D226" s="495"/>
      <c r="E226" s="1084">
        <f t="shared" ca="1" si="396"/>
        <v>0</v>
      </c>
      <c r="F226" s="1085"/>
      <c r="G226" s="1264"/>
      <c r="H226" s="1264"/>
      <c r="I226" s="1265"/>
      <c r="J226" s="501"/>
      <c r="K226" s="462"/>
      <c r="L226" s="462"/>
      <c r="M226" s="339"/>
      <c r="N226" s="361"/>
      <c r="O226" s="339"/>
      <c r="P226" s="365"/>
      <c r="Q226" s="344"/>
      <c r="R226" s="522" t="s">
        <v>363</v>
      </c>
      <c r="S226" s="353">
        <f t="shared" ca="1" si="397"/>
        <v>0</v>
      </c>
      <c r="T226" s="363"/>
      <c r="U226" s="363"/>
      <c r="V226" s="363"/>
      <c r="W226" s="1093"/>
      <c r="X226" s="1116"/>
      <c r="Y226" s="1116"/>
      <c r="Z226" s="363"/>
      <c r="AA226" s="363"/>
      <c r="AB226" s="363"/>
      <c r="AC226" s="1093"/>
      <c r="AD226" s="1116"/>
      <c r="AE226" s="1116"/>
      <c r="AF226" s="363"/>
      <c r="AG226" s="363"/>
      <c r="AH226" s="363"/>
      <c r="AI226" s="358"/>
      <c r="AJ226" s="363"/>
      <c r="AK226" s="440"/>
      <c r="AM226" s="460">
        <v>226</v>
      </c>
      <c r="AN226" s="1087">
        <f t="shared" ca="1" si="398"/>
        <v>0</v>
      </c>
      <c r="AO226" s="1083">
        <f t="shared" ca="1" si="399"/>
        <v>0</v>
      </c>
      <c r="AX226" s="1083" t="str">
        <f t="shared" si="400"/>
        <v>U</v>
      </c>
      <c r="AY226" s="1083" t="str">
        <f t="shared" si="401"/>
        <v>U</v>
      </c>
    </row>
    <row r="227" spans="1:51" ht="12" customHeight="1" x14ac:dyDescent="0.25">
      <c r="A227" s="440"/>
      <c r="B227" s="499"/>
      <c r="C227" s="495"/>
      <c r="D227" s="495"/>
      <c r="E227" s="1084">
        <f t="shared" ca="1" si="396"/>
        <v>0</v>
      </c>
      <c r="F227" s="1085"/>
      <c r="G227" s="1264"/>
      <c r="H227" s="1264"/>
      <c r="I227" s="1265"/>
      <c r="J227" s="501"/>
      <c r="K227" s="462"/>
      <c r="L227" s="462"/>
      <c r="M227" s="339"/>
      <c r="N227" s="361"/>
      <c r="O227" s="339"/>
      <c r="P227" s="365"/>
      <c r="Q227" s="344"/>
      <c r="R227" s="522" t="s">
        <v>363</v>
      </c>
      <c r="S227" s="353">
        <f t="shared" ca="1" si="397"/>
        <v>0</v>
      </c>
      <c r="T227" s="363"/>
      <c r="U227" s="363"/>
      <c r="V227" s="363"/>
      <c r="W227" s="1093"/>
      <c r="X227" s="1116"/>
      <c r="Y227" s="1116"/>
      <c r="Z227" s="363"/>
      <c r="AA227" s="363"/>
      <c r="AB227" s="363"/>
      <c r="AC227" s="1093"/>
      <c r="AD227" s="1116"/>
      <c r="AE227" s="1116"/>
      <c r="AF227" s="363"/>
      <c r="AG227" s="363"/>
      <c r="AH227" s="363"/>
      <c r="AI227" s="358"/>
      <c r="AJ227" s="363"/>
      <c r="AK227" s="440"/>
      <c r="AM227" s="460">
        <v>227</v>
      </c>
      <c r="AN227" s="1087">
        <f t="shared" ca="1" si="398"/>
        <v>0</v>
      </c>
      <c r="AO227" s="1083">
        <f t="shared" ca="1" si="399"/>
        <v>0</v>
      </c>
      <c r="AX227" s="1083" t="str">
        <f t="shared" si="400"/>
        <v>U</v>
      </c>
      <c r="AY227" s="1083" t="str">
        <f t="shared" si="401"/>
        <v>U</v>
      </c>
    </row>
    <row r="228" spans="1:51" ht="12" customHeight="1" collapsed="1" x14ac:dyDescent="0.25">
      <c r="A228" s="440"/>
      <c r="B228" s="505"/>
      <c r="C228" s="563"/>
      <c r="D228" s="563"/>
      <c r="E228" s="506"/>
      <c r="F228" s="506"/>
      <c r="G228" s="506"/>
      <c r="H228" s="506"/>
      <c r="I228" s="507"/>
      <c r="J228" s="507"/>
      <c r="K228" s="508"/>
      <c r="L228" s="508"/>
      <c r="M228" s="564"/>
      <c r="N228" s="517"/>
      <c r="O228" s="371"/>
      <c r="P228" s="371"/>
      <c r="Q228" s="371"/>
      <c r="R228" s="371"/>
      <c r="S228" s="391"/>
      <c r="T228" s="371"/>
      <c r="U228" s="371"/>
      <c r="V228" s="371"/>
      <c r="W228" s="1100"/>
      <c r="X228" s="1108"/>
      <c r="Y228" s="1108"/>
      <c r="Z228" s="371"/>
      <c r="AA228" s="371"/>
      <c r="AB228" s="371"/>
      <c r="AC228" s="1100"/>
      <c r="AD228" s="1108"/>
      <c r="AE228" s="1108"/>
      <c r="AF228" s="371"/>
      <c r="AG228" s="371"/>
      <c r="AH228" s="371"/>
      <c r="AI228" s="373"/>
      <c r="AJ228" s="371"/>
      <c r="AK228" s="440"/>
      <c r="AM228" s="460">
        <v>228</v>
      </c>
      <c r="AN228" s="1078"/>
    </row>
    <row r="229" spans="1:51" ht="12" customHeight="1" x14ac:dyDescent="0.2">
      <c r="A229" s="440"/>
      <c r="B229" s="320"/>
      <c r="C229" s="513"/>
      <c r="D229" s="513"/>
      <c r="E229" s="513"/>
      <c r="F229" s="513"/>
      <c r="G229" s="513"/>
      <c r="H229" s="513"/>
      <c r="I229" s="380"/>
      <c r="J229" s="380"/>
      <c r="K229" s="463"/>
      <c r="L229" s="463"/>
      <c r="M229" s="498"/>
      <c r="N229" s="503"/>
      <c r="O229" s="513"/>
      <c r="P229" s="513"/>
      <c r="Q229" s="513"/>
      <c r="R229" s="513"/>
      <c r="S229" s="379"/>
      <c r="T229" s="379"/>
      <c r="U229" s="379"/>
      <c r="V229" s="379"/>
      <c r="W229" s="1099"/>
      <c r="X229" s="1118"/>
      <c r="Y229" s="1118"/>
      <c r="Z229" s="379"/>
      <c r="AA229" s="379"/>
      <c r="AB229" s="379"/>
      <c r="AC229" s="1099"/>
      <c r="AD229" s="1118"/>
      <c r="AE229" s="1118"/>
      <c r="AF229" s="379"/>
      <c r="AG229" s="379"/>
      <c r="AH229" s="379"/>
      <c r="AI229" s="481"/>
      <c r="AJ229" s="379"/>
      <c r="AK229" s="440"/>
      <c r="AM229" s="460">
        <v>229</v>
      </c>
      <c r="AN229" s="1078"/>
    </row>
    <row r="230" spans="1:51" ht="12" customHeight="1" x14ac:dyDescent="0.2">
      <c r="A230" s="440"/>
      <c r="B230" s="320"/>
      <c r="C230" s="513"/>
      <c r="D230" s="513"/>
      <c r="E230" s="513"/>
      <c r="F230" s="513"/>
      <c r="G230" s="513"/>
      <c r="H230" s="513"/>
      <c r="I230" s="380"/>
      <c r="J230" s="380"/>
      <c r="K230" s="463"/>
      <c r="L230" s="463"/>
      <c r="M230" s="498"/>
      <c r="N230" s="503"/>
      <c r="O230" s="513"/>
      <c r="P230" s="513"/>
      <c r="Q230" s="513"/>
      <c r="R230" s="513"/>
      <c r="S230" s="372"/>
      <c r="T230" s="372"/>
      <c r="U230" s="372"/>
      <c r="V230" s="372"/>
      <c r="W230" s="1096"/>
      <c r="X230" s="1110"/>
      <c r="Y230" s="1110"/>
      <c r="Z230" s="372"/>
      <c r="AA230" s="372"/>
      <c r="AB230" s="372"/>
      <c r="AC230" s="1096"/>
      <c r="AD230" s="1110"/>
      <c r="AE230" s="1110"/>
      <c r="AF230" s="372"/>
      <c r="AG230" s="372"/>
      <c r="AH230" s="372"/>
      <c r="AI230" s="482"/>
      <c r="AJ230" s="372"/>
      <c r="AK230" s="440"/>
      <c r="AM230" s="460">
        <v>230</v>
      </c>
      <c r="AN230" s="1078"/>
    </row>
    <row r="231" spans="1:51" ht="14.25" customHeight="1" x14ac:dyDescent="0.25">
      <c r="A231" s="440"/>
      <c r="B231" s="499">
        <v>8</v>
      </c>
      <c r="C231" s="494"/>
      <c r="D231" s="495"/>
      <c r="E231" s="1606" t="s">
        <v>7</v>
      </c>
      <c r="F231" s="1606"/>
      <c r="G231" s="1606"/>
      <c r="H231" s="1606"/>
      <c r="I231" s="1597"/>
      <c r="J231" s="501"/>
      <c r="K231" s="462"/>
      <c r="L231" s="462"/>
      <c r="M231" s="498"/>
      <c r="N231" s="359"/>
      <c r="O231" s="363"/>
      <c r="P231" s="363"/>
      <c r="Q231" s="363"/>
      <c r="R231" s="363"/>
      <c r="S231" s="385">
        <f ca="1">S232</f>
        <v>0</v>
      </c>
      <c r="T231" s="363"/>
      <c r="U231" s="363"/>
      <c r="V231" s="363"/>
      <c r="W231" s="1093"/>
      <c r="X231" s="1116"/>
      <c r="Y231" s="1116"/>
      <c r="Z231" s="363"/>
      <c r="AA231" s="363"/>
      <c r="AB231" s="363"/>
      <c r="AC231" s="1093"/>
      <c r="AD231" s="1116"/>
      <c r="AE231" s="1116"/>
      <c r="AF231" s="363"/>
      <c r="AG231" s="363"/>
      <c r="AH231" s="363"/>
      <c r="AI231" s="358"/>
      <c r="AJ231" s="363"/>
      <c r="AK231" s="440"/>
      <c r="AM231" s="460">
        <v>231</v>
      </c>
      <c r="AN231" s="1078"/>
    </row>
    <row r="232" spans="1:51" ht="14.25" customHeight="1" x14ac:dyDescent="0.25">
      <c r="A232" s="440"/>
      <c r="B232" s="628"/>
      <c r="C232" s="513" t="s">
        <v>6</v>
      </c>
      <c r="D232" s="494"/>
      <c r="E232" s="1596" t="s">
        <v>5</v>
      </c>
      <c r="F232" s="1596"/>
      <c r="G232" s="1596"/>
      <c r="H232" s="1596"/>
      <c r="I232" s="1597"/>
      <c r="J232" s="501"/>
      <c r="K232" s="462"/>
      <c r="L232" s="462"/>
      <c r="M232" s="498"/>
      <c r="N232" s="359"/>
      <c r="O232" s="363"/>
      <c r="P232" s="363"/>
      <c r="Q232" s="363"/>
      <c r="R232" s="363"/>
      <c r="S232" s="355">
        <f ca="1">SUBTOTAL(109,S233:S234)</f>
        <v>0</v>
      </c>
      <c r="T232" s="363"/>
      <c r="U232" s="363"/>
      <c r="V232" s="363"/>
      <c r="W232" s="1093"/>
      <c r="X232" s="1116"/>
      <c r="Y232" s="1116"/>
      <c r="Z232" s="363"/>
      <c r="AA232" s="363"/>
      <c r="AB232" s="363"/>
      <c r="AC232" s="1093"/>
      <c r="AD232" s="1116"/>
      <c r="AE232" s="1116"/>
      <c r="AF232" s="363"/>
      <c r="AG232" s="363"/>
      <c r="AH232" s="363"/>
      <c r="AI232" s="358"/>
      <c r="AJ232" s="363"/>
      <c r="AK232" s="440"/>
      <c r="AM232" s="460">
        <v>232</v>
      </c>
      <c r="AN232" s="1078"/>
    </row>
    <row r="233" spans="1:51" ht="12" customHeight="1" x14ac:dyDescent="0.25">
      <c r="A233" s="440"/>
      <c r="B233" s="628"/>
      <c r="C233" s="380"/>
      <c r="D233" s="514" t="s">
        <v>4</v>
      </c>
      <c r="E233" s="1599" t="s">
        <v>3</v>
      </c>
      <c r="F233" s="1599"/>
      <c r="G233" s="1599"/>
      <c r="H233" s="1599"/>
      <c r="I233" s="1597"/>
      <c r="J233" s="501"/>
      <c r="K233" s="462"/>
      <c r="L233" s="462"/>
      <c r="M233" s="339"/>
      <c r="N233" s="361"/>
      <c r="O233" s="339"/>
      <c r="P233" s="363"/>
      <c r="Q233" s="351"/>
      <c r="R233" s="522" t="s">
        <v>363</v>
      </c>
      <c r="S233" s="353">
        <f t="shared" ref="S233:S234" ca="1" si="402">IF(AY233="E",(M233*O233)+Q233,AO233)</f>
        <v>0</v>
      </c>
      <c r="T233" s="363"/>
      <c r="U233" s="363"/>
      <c r="V233" s="363"/>
      <c r="W233" s="1093"/>
      <c r="X233" s="1116"/>
      <c r="Y233" s="1116"/>
      <c r="Z233" s="363"/>
      <c r="AA233" s="363"/>
      <c r="AB233" s="363"/>
      <c r="AC233" s="1093"/>
      <c r="AD233" s="1116"/>
      <c r="AE233" s="1116"/>
      <c r="AF233" s="363"/>
      <c r="AG233" s="363"/>
      <c r="AH233" s="363"/>
      <c r="AI233" s="358"/>
      <c r="AJ233" s="363"/>
      <c r="AK233" s="440"/>
      <c r="AM233" s="460">
        <v>233</v>
      </c>
      <c r="AN233" s="1078"/>
      <c r="AO233" s="1083">
        <f ca="1">IF($M$13=$AN$12,"",INDIRECT("'"&amp;$AM$20&amp;"'!"&amp;AO$21&amp;$AM233))</f>
        <v>0</v>
      </c>
      <c r="AY233" s="1083" t="str">
        <f>IF($M$13=$AN$12,"E",IF(OR(ISNUMBER(M233),ISNUMBER(O233),ISNUMBER(Q233)),"E","U"))</f>
        <v>U</v>
      </c>
    </row>
    <row r="234" spans="1:51" ht="12" customHeight="1" x14ac:dyDescent="0.25">
      <c r="A234" s="440"/>
      <c r="B234" s="628"/>
      <c r="C234" s="380"/>
      <c r="D234" s="514" t="s">
        <v>2</v>
      </c>
      <c r="E234" s="1599" t="s">
        <v>1</v>
      </c>
      <c r="F234" s="1599"/>
      <c r="G234" s="1599"/>
      <c r="H234" s="1599"/>
      <c r="I234" s="1605"/>
      <c r="J234" s="501"/>
      <c r="K234" s="502"/>
      <c r="L234" s="502"/>
      <c r="M234" s="339"/>
      <c r="N234" s="361"/>
      <c r="O234" s="339"/>
      <c r="P234" s="363"/>
      <c r="Q234" s="344"/>
      <c r="R234" s="522" t="s">
        <v>363</v>
      </c>
      <c r="S234" s="353">
        <f t="shared" ca="1" si="402"/>
        <v>0</v>
      </c>
      <c r="T234" s="363"/>
      <c r="U234" s="363"/>
      <c r="V234" s="363"/>
      <c r="W234" s="1093"/>
      <c r="X234" s="1116"/>
      <c r="Y234" s="1116"/>
      <c r="Z234" s="363"/>
      <c r="AA234" s="363"/>
      <c r="AB234" s="363"/>
      <c r="AC234" s="1093"/>
      <c r="AD234" s="1116"/>
      <c r="AE234" s="1116"/>
      <c r="AF234" s="363"/>
      <c r="AG234" s="363"/>
      <c r="AH234" s="363"/>
      <c r="AI234" s="358"/>
      <c r="AJ234" s="363"/>
      <c r="AK234" s="440"/>
      <c r="AM234" s="460">
        <v>234</v>
      </c>
      <c r="AN234" s="1078"/>
      <c r="AO234" s="1083">
        <f ca="1">IF($M$13=$AN$12,"",INDIRECT("'"&amp;$AM$20&amp;"'!"&amp;AO$21&amp;$AM234))</f>
        <v>0</v>
      </c>
      <c r="AY234" s="1083" t="str">
        <f>IF($M$13=$AN$12,"E",IF(OR(ISNUMBER(M234),ISNUMBER(O234),ISNUMBER(Q234)),"E","U"))</f>
        <v>U</v>
      </c>
    </row>
    <row r="235" spans="1:51" ht="12" customHeight="1" collapsed="1" x14ac:dyDescent="0.25">
      <c r="A235" s="440"/>
      <c r="B235" s="324"/>
      <c r="C235" s="378"/>
      <c r="D235" s="374"/>
      <c r="E235" s="374"/>
      <c r="F235" s="374"/>
      <c r="G235" s="374"/>
      <c r="H235" s="374"/>
      <c r="I235" s="374"/>
      <c r="J235" s="507"/>
      <c r="K235" s="508"/>
      <c r="L235" s="508"/>
      <c r="M235" s="564"/>
      <c r="N235" s="517"/>
      <c r="O235" s="371"/>
      <c r="P235" s="371"/>
      <c r="Q235" s="371"/>
      <c r="R235" s="371"/>
      <c r="S235" s="371"/>
      <c r="T235" s="371"/>
      <c r="U235" s="371"/>
      <c r="V235" s="371"/>
      <c r="W235" s="1100"/>
      <c r="X235" s="1108"/>
      <c r="Y235" s="1108"/>
      <c r="Z235" s="371"/>
      <c r="AA235" s="371"/>
      <c r="AB235" s="371"/>
      <c r="AC235" s="1100"/>
      <c r="AD235" s="1108"/>
      <c r="AE235" s="1108"/>
      <c r="AF235" s="371"/>
      <c r="AG235" s="371"/>
      <c r="AH235" s="371"/>
      <c r="AI235" s="373"/>
      <c r="AJ235" s="371"/>
      <c r="AK235" s="440"/>
      <c r="AM235" s="460">
        <v>235</v>
      </c>
      <c r="AN235" s="1078"/>
    </row>
    <row r="236" spans="1:51" ht="12" customHeight="1" x14ac:dyDescent="0.2">
      <c r="A236" s="440"/>
      <c r="B236" s="320"/>
      <c r="C236" s="513"/>
      <c r="D236" s="513"/>
      <c r="E236" s="513"/>
      <c r="F236" s="513"/>
      <c r="G236" s="513"/>
      <c r="H236" s="513"/>
      <c r="I236" s="513"/>
      <c r="J236" s="513"/>
      <c r="K236" s="503"/>
      <c r="L236" s="503"/>
      <c r="M236" s="549"/>
      <c r="N236" s="438"/>
      <c r="O236" s="379"/>
      <c r="P236" s="379"/>
      <c r="Q236" s="379"/>
      <c r="R236" s="379"/>
      <c r="S236" s="379"/>
      <c r="T236" s="379"/>
      <c r="U236" s="379"/>
      <c r="V236" s="379"/>
      <c r="W236" s="1099"/>
      <c r="X236" s="1118"/>
      <c r="Y236" s="1118"/>
      <c r="Z236" s="379"/>
      <c r="AA236" s="379"/>
      <c r="AB236" s="379"/>
      <c r="AC236" s="1099"/>
      <c r="AD236" s="1118"/>
      <c r="AE236" s="1118"/>
      <c r="AF236" s="379"/>
      <c r="AG236" s="379"/>
      <c r="AH236" s="379"/>
      <c r="AI236" s="481"/>
      <c r="AJ236" s="379"/>
      <c r="AK236" s="440"/>
      <c r="AM236" s="460">
        <v>236</v>
      </c>
      <c r="AN236" s="1078"/>
    </row>
    <row r="237" spans="1:51" ht="12" customHeight="1" x14ac:dyDescent="0.2">
      <c r="A237" s="440"/>
      <c r="B237" s="320"/>
      <c r="C237" s="513"/>
      <c r="D237" s="513"/>
      <c r="E237" s="513"/>
      <c r="F237" s="513"/>
      <c r="G237" s="513"/>
      <c r="H237" s="513"/>
      <c r="I237" s="513"/>
      <c r="J237" s="513"/>
      <c r="K237" s="503"/>
      <c r="L237" s="503"/>
      <c r="M237" s="498"/>
      <c r="N237" s="503"/>
      <c r="O237" s="513"/>
      <c r="P237" s="513"/>
      <c r="Q237" s="513"/>
      <c r="R237" s="513"/>
      <c r="S237" s="372"/>
      <c r="T237" s="372"/>
      <c r="U237" s="372"/>
      <c r="V237" s="372"/>
      <c r="W237" s="1096"/>
      <c r="X237" s="1110"/>
      <c r="Y237" s="1110"/>
      <c r="Z237" s="372"/>
      <c r="AA237" s="372"/>
      <c r="AB237" s="372"/>
      <c r="AC237" s="1096"/>
      <c r="AD237" s="1110"/>
      <c r="AE237" s="1110"/>
      <c r="AF237" s="372"/>
      <c r="AG237" s="372"/>
      <c r="AH237" s="372"/>
      <c r="AI237" s="482"/>
      <c r="AJ237" s="372"/>
      <c r="AK237" s="440"/>
      <c r="AM237" s="460">
        <v>237</v>
      </c>
      <c r="AN237" s="1078"/>
    </row>
    <row r="238" spans="1:51" ht="12" customHeight="1" x14ac:dyDescent="0.25">
      <c r="A238" s="440"/>
      <c r="B238" s="499">
        <v>9</v>
      </c>
      <c r="C238" s="380"/>
      <c r="D238" s="495"/>
      <c r="E238" s="1606" t="s">
        <v>0</v>
      </c>
      <c r="F238" s="1606"/>
      <c r="G238" s="1606"/>
      <c r="H238" s="1606"/>
      <c r="I238" s="1605"/>
      <c r="J238" s="501"/>
      <c r="K238" s="502"/>
      <c r="L238" s="502"/>
      <c r="M238" s="498"/>
      <c r="N238" s="503"/>
      <c r="O238" s="513"/>
      <c r="P238" s="513"/>
      <c r="Q238" s="513"/>
      <c r="R238" s="513"/>
      <c r="S238" s="385">
        <f ca="1">S239</f>
        <v>0</v>
      </c>
      <c r="T238" s="363"/>
      <c r="U238" s="363"/>
      <c r="V238" s="363"/>
      <c r="W238" s="1093"/>
      <c r="X238" s="1116"/>
      <c r="Y238" s="1116"/>
      <c r="Z238" s="363"/>
      <c r="AA238" s="363"/>
      <c r="AB238" s="363"/>
      <c r="AC238" s="1093"/>
      <c r="AD238" s="1116"/>
      <c r="AE238" s="1116"/>
      <c r="AF238" s="363"/>
      <c r="AG238" s="363"/>
      <c r="AH238" s="363"/>
      <c r="AI238" s="358"/>
      <c r="AJ238" s="363"/>
      <c r="AK238" s="440"/>
      <c r="AM238" s="460">
        <v>238</v>
      </c>
      <c r="AN238" s="1078"/>
    </row>
    <row r="239" spans="1:51" ht="12" customHeight="1" x14ac:dyDescent="0.25">
      <c r="A239" s="440"/>
      <c r="B239" s="499"/>
      <c r="C239" s="380"/>
      <c r="D239" s="495"/>
      <c r="E239" s="500"/>
      <c r="F239" s="500"/>
      <c r="G239" s="500"/>
      <c r="H239" s="500"/>
      <c r="I239" s="501"/>
      <c r="J239" s="501"/>
      <c r="K239" s="502"/>
      <c r="L239" s="502"/>
      <c r="M239" s="339"/>
      <c r="N239" s="361"/>
      <c r="O239" s="339"/>
      <c r="P239" s="363"/>
      <c r="Q239" s="344"/>
      <c r="R239" s="522" t="s">
        <v>363</v>
      </c>
      <c r="S239" s="353">
        <f ca="1">IF(AY239="E",(M239*O239)+Q239,AO239)</f>
        <v>0</v>
      </c>
      <c r="T239" s="363"/>
      <c r="U239" s="363"/>
      <c r="V239" s="363"/>
      <c r="W239" s="1093"/>
      <c r="X239" s="1116"/>
      <c r="Y239" s="1116"/>
      <c r="Z239" s="363"/>
      <c r="AA239" s="363"/>
      <c r="AB239" s="363"/>
      <c r="AC239" s="1093"/>
      <c r="AD239" s="1116"/>
      <c r="AE239" s="1116"/>
      <c r="AF239" s="363"/>
      <c r="AG239" s="363"/>
      <c r="AH239" s="363"/>
      <c r="AI239" s="358"/>
      <c r="AJ239" s="363"/>
      <c r="AK239" s="440"/>
      <c r="AM239" s="460">
        <v>239</v>
      </c>
      <c r="AN239" s="1078"/>
      <c r="AO239" s="1083">
        <f ca="1">IF($M$13=$AN$12,"",INDIRECT("'"&amp;$AM$20&amp;"'!"&amp;AO$21&amp;$AM239))</f>
        <v>0</v>
      </c>
      <c r="AY239" s="1083" t="str">
        <f>IF($M$13=$AN$12,"E",IF(OR(ISNUMBER(M239),ISNUMBER(O239),ISNUMBER(Q239)),"E","U"))</f>
        <v>U</v>
      </c>
    </row>
    <row r="240" spans="1:51" ht="11.25" x14ac:dyDescent="0.2">
      <c r="A240" s="440"/>
      <c r="B240" s="324"/>
      <c r="C240" s="378"/>
      <c r="D240" s="378"/>
      <c r="E240" s="378"/>
      <c r="F240" s="378"/>
      <c r="G240" s="378"/>
      <c r="H240" s="378"/>
      <c r="I240" s="378"/>
      <c r="J240" s="378"/>
      <c r="K240" s="561"/>
      <c r="L240" s="561"/>
      <c r="M240" s="560"/>
      <c r="N240" s="561"/>
      <c r="O240" s="378"/>
      <c r="P240" s="378"/>
      <c r="Q240" s="378"/>
      <c r="R240" s="378"/>
      <c r="S240" s="378"/>
      <c r="T240" s="378"/>
      <c r="U240" s="378"/>
      <c r="V240" s="378"/>
      <c r="W240" s="1098"/>
      <c r="X240" s="1117"/>
      <c r="Y240" s="1117"/>
      <c r="Z240" s="378"/>
      <c r="AA240" s="378"/>
      <c r="AB240" s="378"/>
      <c r="AC240" s="1098"/>
      <c r="AD240" s="1117"/>
      <c r="AE240" s="1117"/>
      <c r="AF240" s="378"/>
      <c r="AG240" s="378"/>
      <c r="AH240" s="378"/>
      <c r="AI240" s="510"/>
      <c r="AJ240" s="378"/>
      <c r="AK240" s="440"/>
      <c r="AM240" s="460">
        <v>240</v>
      </c>
      <c r="AN240" s="1078"/>
    </row>
    <row r="241" spans="1:54" ht="11.25" x14ac:dyDescent="0.2">
      <c r="A241" s="440"/>
      <c r="B241" s="628"/>
      <c r="C241" s="380"/>
      <c r="D241" s="380"/>
      <c r="E241" s="380"/>
      <c r="F241" s="380"/>
      <c r="G241" s="380"/>
      <c r="H241" s="380"/>
      <c r="I241" s="380"/>
      <c r="J241" s="380"/>
      <c r="K241" s="463"/>
      <c r="L241" s="463"/>
      <c r="M241" s="532"/>
      <c r="N241" s="463"/>
      <c r="O241" s="380"/>
      <c r="P241" s="380"/>
      <c r="Q241" s="380"/>
      <c r="R241" s="380"/>
      <c r="S241" s="380"/>
      <c r="T241" s="380"/>
      <c r="U241" s="380"/>
      <c r="V241" s="380"/>
      <c r="W241" s="1101"/>
      <c r="X241" s="1119"/>
      <c r="Y241" s="1119"/>
      <c r="Z241" s="380"/>
      <c r="AA241" s="380"/>
      <c r="AB241" s="380"/>
      <c r="AC241" s="1101"/>
      <c r="AD241" s="1119"/>
      <c r="AE241" s="1119"/>
      <c r="AF241" s="380"/>
      <c r="AG241" s="380"/>
      <c r="AH241" s="380"/>
      <c r="AI241" s="464"/>
      <c r="AJ241" s="380"/>
      <c r="AK241" s="440"/>
      <c r="AM241" s="460">
        <v>241</v>
      </c>
      <c r="AN241" s="1078"/>
    </row>
    <row r="242" spans="1:54" ht="11.25" x14ac:dyDescent="0.2">
      <c r="A242" s="440"/>
      <c r="B242" s="628"/>
      <c r="C242" s="380"/>
      <c r="D242" s="380"/>
      <c r="E242" s="380"/>
      <c r="F242" s="380"/>
      <c r="G242" s="380"/>
      <c r="H242" s="380"/>
      <c r="I242" s="380"/>
      <c r="J242" s="380"/>
      <c r="K242" s="463"/>
      <c r="L242" s="463"/>
      <c r="M242" s="532"/>
      <c r="N242" s="463"/>
      <c r="O242" s="380"/>
      <c r="P242" s="380"/>
      <c r="Q242" s="380"/>
      <c r="R242" s="380"/>
      <c r="S242" s="380"/>
      <c r="T242" s="380"/>
      <c r="U242" s="380"/>
      <c r="V242" s="380"/>
      <c r="W242" s="1101"/>
      <c r="X242" s="1119"/>
      <c r="Y242" s="1119"/>
      <c r="Z242" s="380"/>
      <c r="AA242" s="380"/>
      <c r="AB242" s="380"/>
      <c r="AC242" s="1101"/>
      <c r="AD242" s="1119"/>
      <c r="AE242" s="1119"/>
      <c r="AF242" s="380"/>
      <c r="AG242" s="380"/>
      <c r="AH242" s="380"/>
      <c r="AI242" s="464"/>
      <c r="AJ242" s="380"/>
      <c r="AK242" s="440"/>
      <c r="AM242" s="460">
        <v>242</v>
      </c>
      <c r="AN242" s="1078"/>
    </row>
    <row r="243" spans="1:54" x14ac:dyDescent="0.25">
      <c r="A243" s="440"/>
      <c r="B243" s="493" t="s">
        <v>362</v>
      </c>
      <c r="C243" s="494"/>
      <c r="D243" s="495"/>
      <c r="E243" s="1606" t="s">
        <v>272</v>
      </c>
      <c r="F243" s="1606"/>
      <c r="G243" s="1606"/>
      <c r="H243" s="1606"/>
      <c r="I243" s="1597"/>
      <c r="J243" s="501"/>
      <c r="K243" s="462"/>
      <c r="L243" s="462"/>
      <c r="M243" s="498"/>
      <c r="N243" s="359"/>
      <c r="O243" s="363"/>
      <c r="P243" s="363"/>
      <c r="Q243" s="363"/>
      <c r="R243" s="363"/>
      <c r="S243" s="385">
        <f ca="1">S244</f>
        <v>1845816.6599999997</v>
      </c>
      <c r="T243" s="363"/>
      <c r="U243" s="363"/>
      <c r="V243" s="363"/>
      <c r="W243" s="1093"/>
      <c r="X243" s="1116"/>
      <c r="Y243" s="1116"/>
      <c r="Z243" s="363"/>
      <c r="AA243" s="363"/>
      <c r="AB243" s="363"/>
      <c r="AC243" s="1093"/>
      <c r="AD243" s="1116"/>
      <c r="AE243" s="1116"/>
      <c r="AF243" s="363"/>
      <c r="AG243" s="363"/>
      <c r="AH243" s="363"/>
      <c r="AI243" s="358"/>
      <c r="AJ243" s="363"/>
      <c r="AK243" s="440"/>
      <c r="AM243" s="460">
        <v>243</v>
      </c>
      <c r="AN243" s="1078"/>
    </row>
    <row r="244" spans="1:54" ht="14.25" customHeight="1" x14ac:dyDescent="0.25">
      <c r="A244" s="440"/>
      <c r="B244" s="628"/>
      <c r="C244" s="513"/>
      <c r="D244" s="494"/>
      <c r="E244" s="1596" t="s">
        <v>359</v>
      </c>
      <c r="F244" s="1596"/>
      <c r="G244" s="1596"/>
      <c r="H244" s="1596"/>
      <c r="I244" s="1597"/>
      <c r="J244" s="501"/>
      <c r="K244" s="462"/>
      <c r="L244" s="462"/>
      <c r="M244" s="498"/>
      <c r="N244" s="359"/>
      <c r="O244" s="363"/>
      <c r="P244" s="363"/>
      <c r="Q244" s="363"/>
      <c r="R244" s="363"/>
      <c r="S244" s="355">
        <f ca="1">SUBTOTAL(109,S246:S250)</f>
        <v>1845816.6599999997</v>
      </c>
      <c r="T244" s="363"/>
      <c r="U244" s="363"/>
      <c r="V244" s="363"/>
      <c r="W244" s="1093"/>
      <c r="X244" s="1116"/>
      <c r="Y244" s="1116"/>
      <c r="Z244" s="363"/>
      <c r="AA244" s="363"/>
      <c r="AB244" s="363"/>
      <c r="AC244" s="1093"/>
      <c r="AD244" s="1116"/>
      <c r="AE244" s="1116"/>
      <c r="AF244" s="363"/>
      <c r="AG244" s="363"/>
      <c r="AH244" s="363"/>
      <c r="AI244" s="358"/>
      <c r="AJ244" s="363"/>
      <c r="AK244" s="440"/>
      <c r="AM244" s="460">
        <v>244</v>
      </c>
      <c r="AN244" s="1078"/>
    </row>
    <row r="245" spans="1:54" ht="11.25" customHeight="1" x14ac:dyDescent="0.25">
      <c r="A245" s="440"/>
      <c r="B245" s="609"/>
      <c r="C245" s="513"/>
      <c r="D245" s="494"/>
      <c r="E245" s="513"/>
      <c r="F245" s="513"/>
      <c r="G245" s="513"/>
      <c r="H245" s="513"/>
      <c r="I245" s="511"/>
      <c r="J245" s="501"/>
      <c r="K245" s="462"/>
      <c r="L245" s="462"/>
      <c r="M245" s="498"/>
      <c r="N245" s="359"/>
      <c r="O245" s="363"/>
      <c r="P245" s="363"/>
      <c r="Q245" s="363"/>
      <c r="R245" s="363"/>
      <c r="S245" s="355"/>
      <c r="T245" s="363"/>
      <c r="U245" s="363"/>
      <c r="V245" s="363"/>
      <c r="W245" s="1093"/>
      <c r="X245" s="1116"/>
      <c r="Y245" s="1116"/>
      <c r="Z245" s="363"/>
      <c r="AA245" s="363"/>
      <c r="AB245" s="363"/>
      <c r="AC245" s="1093"/>
      <c r="AD245" s="1116"/>
      <c r="AE245" s="1116"/>
      <c r="AF245" s="363"/>
      <c r="AG245" s="363"/>
      <c r="AH245" s="363"/>
      <c r="AI245" s="358"/>
      <c r="AJ245" s="363"/>
      <c r="AK245" s="440"/>
      <c r="AM245" s="460">
        <v>245</v>
      </c>
      <c r="AN245" s="1078"/>
    </row>
    <row r="246" spans="1:54" ht="12" customHeight="1" x14ac:dyDescent="0.25">
      <c r="A246" s="440"/>
      <c r="B246" s="628"/>
      <c r="C246" s="380"/>
      <c r="D246" s="514"/>
      <c r="E246" s="1084" t="str">
        <f ca="1">IF(AX246="E","",AN246)</f>
        <v>Baumeister</v>
      </c>
      <c r="F246" s="1085"/>
      <c r="G246" s="1264"/>
      <c r="H246" s="1264"/>
      <c r="I246" s="1265"/>
      <c r="J246" s="501"/>
      <c r="K246" s="462"/>
      <c r="L246" s="462"/>
      <c r="M246" s="345"/>
      <c r="N246" s="528"/>
      <c r="O246" s="345"/>
      <c r="P246" s="543"/>
      <c r="Q246" s="344"/>
      <c r="R246" s="522" t="s">
        <v>363</v>
      </c>
      <c r="S246" s="353">
        <f t="shared" ref="S246:S250" ca="1" si="403">IF(AY246="E",(M246*O246)+Q246,AO246)</f>
        <v>1116603.8639999998</v>
      </c>
      <c r="T246" s="523"/>
      <c r="U246" s="350"/>
      <c r="V246" s="308"/>
      <c r="W246" s="1090" t="str">
        <f t="shared" ref="W246:W250" ca="1" si="404">IF(AZ246="E",IF(AND(V246&lt;&gt;0,U246&lt;&gt;0),"X",IF(AND(V246&lt;&gt;0,U246=0),"A",IF(AND(V246=0,U246&lt;&gt;0),"P",""))),AR246)</f>
        <v/>
      </c>
      <c r="X246" s="1103">
        <f t="shared" ref="X246:X250" ca="1" si="405">IF(AZ246="E",IFERROR(IF(W246="X",0,IF(U246&gt;0,U246,V246/S246)),0),
IFERROR(IF(OR(AR246="X",AR246=0),0,
IF(AR246="P",AP246,IF(AR246="A",AQ246/S246,0))),0))</f>
        <v>0</v>
      </c>
      <c r="Y246" s="1120">
        <f t="shared" ref="Y246:Y250" ca="1" si="406">IF(AZ246="E",IFERROR(IF(W246="X",0,IF(V246&gt;0,V246,S246*U246)),0),
IFERROR(IF(OR(AR246="X",AR246="0"),0,IF(AR246="A",AQ246,S246*AP246)),0))</f>
        <v>0</v>
      </c>
      <c r="Z246" s="524"/>
      <c r="AA246" s="350"/>
      <c r="AB246" s="308"/>
      <c r="AC246" s="1090" t="str">
        <f t="shared" ref="AC246:AC250" ca="1" si="407">IF(BA246="E",IF(AND(AB246&lt;&gt;0,AA246&lt;&gt;0),"X",IF(AND(AB246&lt;&gt;0,AA246=0),"A",IF(AND(AB246=0,AA246&lt;&gt;0),"P",""))),AU246)</f>
        <v/>
      </c>
      <c r="AD246" s="1103">
        <f t="shared" ref="AD246:AD250" ca="1" si="408">IF(BA246="E",IFERROR(IF(AC246="X",0,IF(AA246&gt;0,AA246,AB246/S246)),0),
IFERROR(IF(OR(AU246="X",AU246=0),0,
IF(AU246="P",AS246,IF(AU246="A",AT246/S246,0))),0))</f>
        <v>0</v>
      </c>
      <c r="AE246" s="1120">
        <f t="shared" ref="AE246:AE250" ca="1" si="409">IF(BA246="E",IFERROR(IF(AC246="X",0,IF(AB246&gt;0,AB246,S246*AA246)),0),
IFERROR(IF(OR(AU246="X",AU246=0),0,
IF(AU246="A",AT246,S246*AS246)),0))</f>
        <v>0</v>
      </c>
      <c r="AF246" s="525"/>
      <c r="AG246" s="637"/>
      <c r="AH246" s="525"/>
      <c r="AI246" s="1086">
        <f t="shared" ref="AI246:AI250" ca="1" si="410">IF(BB246="E",AG246,AV246)</f>
        <v>100</v>
      </c>
      <c r="AJ246" s="380"/>
      <c r="AK246" s="440"/>
      <c r="AM246" s="460">
        <v>246</v>
      </c>
      <c r="AN246" s="1087" t="str">
        <f t="shared" ref="AN246:AN250" ca="1" si="411">IF($M$13=$AN$12,"",IF(ISTEXT(INDIRECT("'"&amp;$AM$20&amp;"'!"&amp;AN$21&amp;$AM246)),INDIRECT("'"&amp;$AM$20&amp;"'!"&amp;AN$21&amp;$AM246),INDIRECT("'"&amp;$AM$20&amp;"'!"&amp;AN$22&amp;$AM246)))</f>
        <v>Baumeister</v>
      </c>
      <c r="AO246" s="1083">
        <f t="shared" ref="AO246:AV250" ca="1" si="412">IF($M$13=$AN$12,"",INDIRECT("'"&amp;$AM$20&amp;"'!"&amp;AO$21&amp;$AM246))</f>
        <v>1116603.8639999998</v>
      </c>
      <c r="AP246" s="356">
        <f t="shared" ca="1" si="412"/>
        <v>0</v>
      </c>
      <c r="AQ246" s="357">
        <f t="shared" ca="1" si="412"/>
        <v>0</v>
      </c>
      <c r="AR246" s="524" t="str">
        <f t="shared" ca="1" si="412"/>
        <v/>
      </c>
      <c r="AS246" s="356">
        <f t="shared" ca="1" si="412"/>
        <v>0</v>
      </c>
      <c r="AT246" s="357">
        <f t="shared" ca="1" si="412"/>
        <v>0</v>
      </c>
      <c r="AU246" s="524" t="str">
        <f t="shared" ca="1" si="412"/>
        <v/>
      </c>
      <c r="AV246" s="1083">
        <f t="shared" ca="1" si="412"/>
        <v>100</v>
      </c>
      <c r="AX246" s="1083" t="str">
        <f t="shared" ref="AX246:AX250" si="413">IF($M$13=$AN$12,"E",IF(ISTEXT(F246),"E","U"))</f>
        <v>U</v>
      </c>
      <c r="AY246" s="1083" t="str">
        <f t="shared" ref="AY246:AY250" si="414">IF($M$13=$AN$12,"E",IF(OR(ISNUMBER(M246),ISNUMBER(O246),ISNUMBER(Q246)),"E","U"))</f>
        <v>U</v>
      </c>
      <c r="AZ246" s="1083" t="str">
        <f t="shared" ref="AZ246:AZ250" si="415">IF($M$13=$AN$12,"E",IF(OR(ISNUMBER(U246),ISNUMBER(V246)),"E","U"))</f>
        <v>U</v>
      </c>
      <c r="BA246" s="1083" t="str">
        <f t="shared" ref="BA246:BA250" si="416">IF($M$13=$AN$12,"E",IF(OR(ISNUMBER(AA246),ISNUMBER(AB246)),"E","U"))</f>
        <v>U</v>
      </c>
      <c r="BB246" s="1083" t="str">
        <f t="shared" ref="BB246:BB250" si="417">IF($M$13=$AN$12,"E",IF(ISNUMBER(AG246),"E","U"))</f>
        <v>U</v>
      </c>
    </row>
    <row r="247" spans="1:54" ht="12" customHeight="1" x14ac:dyDescent="0.25">
      <c r="A247" s="440"/>
      <c r="B247" s="628"/>
      <c r="C247" s="380"/>
      <c r="D247" s="514"/>
      <c r="E247" s="1084" t="str">
        <f ca="1">IF(AX247="E","",AN247)</f>
        <v>Zimmermann</v>
      </c>
      <c r="F247" s="1085"/>
      <c r="G247" s="1264"/>
      <c r="H247" s="1264"/>
      <c r="I247" s="1265"/>
      <c r="J247" s="501"/>
      <c r="K247" s="462"/>
      <c r="L247" s="462"/>
      <c r="M247" s="345"/>
      <c r="N247" s="528"/>
      <c r="O247" s="345"/>
      <c r="P247" s="543"/>
      <c r="Q247" s="344"/>
      <c r="R247" s="522" t="s">
        <v>363</v>
      </c>
      <c r="S247" s="353">
        <f t="shared" ca="1" si="403"/>
        <v>22720.5</v>
      </c>
      <c r="T247" s="523"/>
      <c r="U247" s="350"/>
      <c r="V247" s="308"/>
      <c r="W247" s="1090" t="str">
        <f t="shared" ca="1" si="404"/>
        <v/>
      </c>
      <c r="X247" s="1103">
        <f t="shared" ca="1" si="405"/>
        <v>0</v>
      </c>
      <c r="Y247" s="1120">
        <f t="shared" ca="1" si="406"/>
        <v>0</v>
      </c>
      <c r="Z247" s="524"/>
      <c r="AA247" s="350"/>
      <c r="AB247" s="308"/>
      <c r="AC247" s="1090" t="str">
        <f t="shared" ca="1" si="407"/>
        <v/>
      </c>
      <c r="AD247" s="1103">
        <f t="shared" ca="1" si="408"/>
        <v>0</v>
      </c>
      <c r="AE247" s="1120">
        <f t="shared" ca="1" si="409"/>
        <v>0</v>
      </c>
      <c r="AF247" s="525"/>
      <c r="AG247" s="637"/>
      <c r="AH247" s="525"/>
      <c r="AI247" s="1086">
        <f t="shared" ca="1" si="410"/>
        <v>50</v>
      </c>
      <c r="AJ247" s="380"/>
      <c r="AK247" s="440"/>
      <c r="AM247" s="460">
        <v>247</v>
      </c>
      <c r="AN247" s="1087" t="str">
        <f t="shared" ca="1" si="411"/>
        <v>Zimmermann</v>
      </c>
      <c r="AO247" s="1083">
        <f t="shared" ca="1" si="412"/>
        <v>22720.5</v>
      </c>
      <c r="AP247" s="356">
        <f t="shared" ca="1" si="412"/>
        <v>0</v>
      </c>
      <c r="AQ247" s="357">
        <f t="shared" ca="1" si="412"/>
        <v>0</v>
      </c>
      <c r="AR247" s="524" t="str">
        <f t="shared" ca="1" si="412"/>
        <v/>
      </c>
      <c r="AS247" s="356">
        <f t="shared" ca="1" si="412"/>
        <v>0</v>
      </c>
      <c r="AT247" s="357">
        <f t="shared" ca="1" si="412"/>
        <v>0</v>
      </c>
      <c r="AU247" s="524" t="str">
        <f t="shared" ca="1" si="412"/>
        <v/>
      </c>
      <c r="AV247" s="1083">
        <f t="shared" ca="1" si="412"/>
        <v>50</v>
      </c>
      <c r="AX247" s="1083" t="str">
        <f t="shared" si="413"/>
        <v>U</v>
      </c>
      <c r="AY247" s="1083" t="str">
        <f t="shared" si="414"/>
        <v>U</v>
      </c>
      <c r="AZ247" s="1083" t="str">
        <f t="shared" si="415"/>
        <v>U</v>
      </c>
      <c r="BA247" s="1083" t="str">
        <f t="shared" si="416"/>
        <v>U</v>
      </c>
      <c r="BB247" s="1083" t="str">
        <f t="shared" si="417"/>
        <v>U</v>
      </c>
    </row>
    <row r="248" spans="1:54" ht="12" customHeight="1" x14ac:dyDescent="0.25">
      <c r="A248" s="440"/>
      <c r="B248" s="628"/>
      <c r="C248" s="380"/>
      <c r="D248" s="514"/>
      <c r="E248" s="1084" t="str">
        <f ca="1">IF(AX248="E","",AN248)</f>
        <v>alle sonst. mit LD100</v>
      </c>
      <c r="F248" s="1085"/>
      <c r="G248" s="1264"/>
      <c r="H248" s="1264"/>
      <c r="I248" s="1265"/>
      <c r="J248" s="501"/>
      <c r="K248" s="462"/>
      <c r="L248" s="462"/>
      <c r="M248" s="345"/>
      <c r="N248" s="528"/>
      <c r="O248" s="345"/>
      <c r="P248" s="543"/>
      <c r="Q248" s="344"/>
      <c r="R248" s="522" t="s">
        <v>363</v>
      </c>
      <c r="S248" s="353">
        <f t="shared" ca="1" si="403"/>
        <v>507862.68</v>
      </c>
      <c r="T248" s="523"/>
      <c r="U248" s="350"/>
      <c r="V248" s="308"/>
      <c r="W248" s="1090" t="str">
        <f t="shared" ca="1" si="404"/>
        <v/>
      </c>
      <c r="X248" s="1103">
        <f t="shared" ca="1" si="405"/>
        <v>0</v>
      </c>
      <c r="Y248" s="1120">
        <f t="shared" ca="1" si="406"/>
        <v>0</v>
      </c>
      <c r="Z248" s="524"/>
      <c r="AA248" s="350"/>
      <c r="AB248" s="308"/>
      <c r="AC248" s="1090" t="str">
        <f t="shared" ca="1" si="407"/>
        <v/>
      </c>
      <c r="AD248" s="1103">
        <f t="shared" ca="1" si="408"/>
        <v>0</v>
      </c>
      <c r="AE248" s="1120">
        <f t="shared" ca="1" si="409"/>
        <v>0</v>
      </c>
      <c r="AF248" s="525"/>
      <c r="AG248" s="637"/>
      <c r="AH248" s="525"/>
      <c r="AI248" s="1086">
        <f t="shared" ca="1" si="410"/>
        <v>100</v>
      </c>
      <c r="AJ248" s="380"/>
      <c r="AK248" s="440"/>
      <c r="AM248" s="460">
        <v>248</v>
      </c>
      <c r="AN248" s="1087" t="str">
        <f t="shared" ca="1" si="411"/>
        <v>alle sonst. mit LD100</v>
      </c>
      <c r="AO248" s="1083">
        <f t="shared" ca="1" si="412"/>
        <v>507862.68</v>
      </c>
      <c r="AP248" s="356">
        <f t="shared" ca="1" si="412"/>
        <v>0</v>
      </c>
      <c r="AQ248" s="357">
        <f t="shared" ca="1" si="412"/>
        <v>0</v>
      </c>
      <c r="AR248" s="524" t="str">
        <f t="shared" ca="1" si="412"/>
        <v/>
      </c>
      <c r="AS248" s="356">
        <f t="shared" ca="1" si="412"/>
        <v>0</v>
      </c>
      <c r="AT248" s="357">
        <f t="shared" ca="1" si="412"/>
        <v>0</v>
      </c>
      <c r="AU248" s="524" t="str">
        <f t="shared" ca="1" si="412"/>
        <v/>
      </c>
      <c r="AV248" s="1083">
        <f t="shared" ca="1" si="412"/>
        <v>100</v>
      </c>
      <c r="AX248" s="1083" t="str">
        <f t="shared" si="413"/>
        <v>U</v>
      </c>
      <c r="AY248" s="1083" t="str">
        <f t="shared" si="414"/>
        <v>U</v>
      </c>
      <c r="AZ248" s="1083" t="str">
        <f t="shared" si="415"/>
        <v>U</v>
      </c>
      <c r="BA248" s="1083" t="str">
        <f t="shared" si="416"/>
        <v>U</v>
      </c>
      <c r="BB248" s="1083" t="str">
        <f t="shared" si="417"/>
        <v>U</v>
      </c>
    </row>
    <row r="249" spans="1:54" ht="12" customHeight="1" x14ac:dyDescent="0.25">
      <c r="A249" s="440"/>
      <c r="B249" s="628"/>
      <c r="C249" s="380"/>
      <c r="D249" s="514"/>
      <c r="E249" s="1084" t="str">
        <f ca="1">IF(AX249="E","",AN249)</f>
        <v>Trockenbau</v>
      </c>
      <c r="F249" s="1085"/>
      <c r="G249" s="1264"/>
      <c r="H249" s="1264"/>
      <c r="I249" s="1265"/>
      <c r="J249" s="501"/>
      <c r="K249" s="462"/>
      <c r="L249" s="462"/>
      <c r="M249" s="345"/>
      <c r="N249" s="528"/>
      <c r="O249" s="345"/>
      <c r="P249" s="543"/>
      <c r="Q249" s="344"/>
      <c r="R249" s="522" t="s">
        <v>363</v>
      </c>
      <c r="S249" s="353">
        <f t="shared" ca="1" si="403"/>
        <v>138950.43599999999</v>
      </c>
      <c r="T249" s="523"/>
      <c r="U249" s="350"/>
      <c r="V249" s="308"/>
      <c r="W249" s="1090" t="str">
        <f t="shared" ca="1" si="404"/>
        <v/>
      </c>
      <c r="X249" s="1103">
        <f t="shared" ca="1" si="405"/>
        <v>0</v>
      </c>
      <c r="Y249" s="1120">
        <f t="shared" ca="1" si="406"/>
        <v>0</v>
      </c>
      <c r="Z249" s="524"/>
      <c r="AA249" s="350"/>
      <c r="AB249" s="308"/>
      <c r="AC249" s="1090" t="str">
        <f t="shared" ca="1" si="407"/>
        <v/>
      </c>
      <c r="AD249" s="1103">
        <f t="shared" ca="1" si="408"/>
        <v>0</v>
      </c>
      <c r="AE249" s="1120">
        <f t="shared" ca="1" si="409"/>
        <v>0</v>
      </c>
      <c r="AF249" s="525"/>
      <c r="AG249" s="637"/>
      <c r="AH249" s="525"/>
      <c r="AI249" s="1086">
        <f t="shared" ca="1" si="410"/>
        <v>50</v>
      </c>
      <c r="AJ249" s="380"/>
      <c r="AK249" s="440"/>
      <c r="AM249" s="460">
        <v>249</v>
      </c>
      <c r="AN249" s="1087" t="str">
        <f t="shared" ca="1" si="411"/>
        <v>Trockenbau</v>
      </c>
      <c r="AO249" s="1083">
        <f t="shared" ca="1" si="412"/>
        <v>138950.43599999999</v>
      </c>
      <c r="AP249" s="356">
        <f t="shared" ca="1" si="412"/>
        <v>0</v>
      </c>
      <c r="AQ249" s="357">
        <f t="shared" ca="1" si="412"/>
        <v>0</v>
      </c>
      <c r="AR249" s="524" t="str">
        <f t="shared" ca="1" si="412"/>
        <v/>
      </c>
      <c r="AS249" s="356">
        <f t="shared" ca="1" si="412"/>
        <v>0</v>
      </c>
      <c r="AT249" s="357">
        <f t="shared" ca="1" si="412"/>
        <v>0</v>
      </c>
      <c r="AU249" s="524" t="str">
        <f t="shared" ca="1" si="412"/>
        <v/>
      </c>
      <c r="AV249" s="1083">
        <f t="shared" ca="1" si="412"/>
        <v>50</v>
      </c>
      <c r="AX249" s="1083" t="str">
        <f t="shared" si="413"/>
        <v>U</v>
      </c>
      <c r="AY249" s="1083" t="str">
        <f t="shared" si="414"/>
        <v>U</v>
      </c>
      <c r="AZ249" s="1083" t="str">
        <f t="shared" si="415"/>
        <v>U</v>
      </c>
      <c r="BA249" s="1083" t="str">
        <f t="shared" si="416"/>
        <v>U</v>
      </c>
      <c r="BB249" s="1083" t="str">
        <f t="shared" si="417"/>
        <v>U</v>
      </c>
    </row>
    <row r="250" spans="1:54" ht="12" customHeight="1" x14ac:dyDescent="0.25">
      <c r="A250" s="440"/>
      <c r="B250" s="628"/>
      <c r="C250" s="380"/>
      <c r="D250" s="514"/>
      <c r="E250" s="1084" t="str">
        <f ca="1">IF(AX250="E","",AN250)</f>
        <v>Türen mit Stahlzargen</v>
      </c>
      <c r="F250" s="1085"/>
      <c r="G250" s="1264"/>
      <c r="H250" s="1264"/>
      <c r="I250" s="1265"/>
      <c r="J250" s="501"/>
      <c r="K250" s="462"/>
      <c r="L250" s="462"/>
      <c r="M250" s="344"/>
      <c r="N250" s="528"/>
      <c r="O250" s="344"/>
      <c r="P250" s="543"/>
      <c r="Q250" s="344"/>
      <c r="R250" s="522" t="s">
        <v>363</v>
      </c>
      <c r="S250" s="353">
        <f t="shared" ca="1" si="403"/>
        <v>59679.18</v>
      </c>
      <c r="T250" s="523"/>
      <c r="U250" s="350"/>
      <c r="V250" s="308"/>
      <c r="W250" s="1090" t="str">
        <f t="shared" ca="1" si="404"/>
        <v/>
      </c>
      <c r="X250" s="1103">
        <f t="shared" ca="1" si="405"/>
        <v>0</v>
      </c>
      <c r="Y250" s="1120">
        <f t="shared" ca="1" si="406"/>
        <v>0</v>
      </c>
      <c r="Z250" s="524"/>
      <c r="AA250" s="350"/>
      <c r="AB250" s="308"/>
      <c r="AC250" s="1090" t="str">
        <f t="shared" ca="1" si="407"/>
        <v/>
      </c>
      <c r="AD250" s="1103">
        <f t="shared" ca="1" si="408"/>
        <v>0</v>
      </c>
      <c r="AE250" s="1120">
        <f t="shared" ca="1" si="409"/>
        <v>0</v>
      </c>
      <c r="AF250" s="525"/>
      <c r="AG250" s="637"/>
      <c r="AH250" s="525"/>
      <c r="AI250" s="1086">
        <f t="shared" ca="1" si="410"/>
        <v>100</v>
      </c>
      <c r="AJ250" s="380"/>
      <c r="AK250" s="440"/>
      <c r="AM250" s="460">
        <v>250</v>
      </c>
      <c r="AN250" s="1087" t="str">
        <f t="shared" ca="1" si="411"/>
        <v>Türen mit Stahlzargen</v>
      </c>
      <c r="AO250" s="1083">
        <f t="shared" ca="1" si="412"/>
        <v>59679.18</v>
      </c>
      <c r="AP250" s="356">
        <f t="shared" ca="1" si="412"/>
        <v>0</v>
      </c>
      <c r="AQ250" s="357">
        <f t="shared" ca="1" si="412"/>
        <v>0</v>
      </c>
      <c r="AR250" s="524" t="str">
        <f t="shared" ca="1" si="412"/>
        <v/>
      </c>
      <c r="AS250" s="356">
        <f t="shared" ca="1" si="412"/>
        <v>0</v>
      </c>
      <c r="AT250" s="357">
        <f t="shared" ca="1" si="412"/>
        <v>0</v>
      </c>
      <c r="AU250" s="524" t="str">
        <f t="shared" ca="1" si="412"/>
        <v/>
      </c>
      <c r="AV250" s="1083">
        <f t="shared" ca="1" si="412"/>
        <v>100</v>
      </c>
      <c r="AX250" s="1083" t="str">
        <f t="shared" si="413"/>
        <v>U</v>
      </c>
      <c r="AY250" s="1083" t="str">
        <f t="shared" si="414"/>
        <v>U</v>
      </c>
      <c r="AZ250" s="1083" t="str">
        <f t="shared" si="415"/>
        <v>U</v>
      </c>
      <c r="BA250" s="1083" t="str">
        <f t="shared" si="416"/>
        <v>U</v>
      </c>
      <c r="BB250" s="1083" t="str">
        <f t="shared" si="417"/>
        <v>U</v>
      </c>
    </row>
    <row r="251" spans="1:54" ht="11.25" collapsed="1" x14ac:dyDescent="0.2">
      <c r="A251" s="440"/>
      <c r="B251" s="324"/>
      <c r="C251" s="378"/>
      <c r="D251" s="378"/>
      <c r="E251" s="378"/>
      <c r="F251" s="378"/>
      <c r="G251" s="378"/>
      <c r="H251" s="378"/>
      <c r="I251" s="378"/>
      <c r="J251" s="378"/>
      <c r="K251" s="378"/>
      <c r="L251" s="378"/>
      <c r="M251" s="560"/>
      <c r="N251" s="561"/>
      <c r="O251" s="378"/>
      <c r="P251" s="378"/>
      <c r="Q251" s="378"/>
      <c r="R251" s="378"/>
      <c r="S251" s="378"/>
      <c r="T251" s="378"/>
      <c r="U251" s="378"/>
      <c r="V251" s="378"/>
      <c r="W251" s="378"/>
      <c r="X251" s="378"/>
      <c r="Y251" s="378"/>
      <c r="Z251" s="378"/>
      <c r="AA251" s="378"/>
      <c r="AB251" s="378"/>
      <c r="AC251" s="378"/>
      <c r="AD251" s="378"/>
      <c r="AE251" s="378"/>
      <c r="AF251" s="378"/>
      <c r="AG251" s="378"/>
      <c r="AH251" s="378"/>
      <c r="AI251" s="510"/>
      <c r="AJ251" s="378"/>
      <c r="AK251" s="440"/>
      <c r="AM251" s="460">
        <v>251</v>
      </c>
      <c r="AN251" s="1078"/>
    </row>
    <row r="252" spans="1:54" ht="11.25" x14ac:dyDescent="0.2">
      <c r="A252" s="440"/>
      <c r="B252" s="628"/>
      <c r="C252" s="380"/>
      <c r="D252" s="380"/>
      <c r="E252" s="380"/>
      <c r="F252" s="380"/>
      <c r="G252" s="380"/>
      <c r="H252" s="380"/>
      <c r="I252" s="380"/>
      <c r="J252" s="380"/>
      <c r="K252" s="463"/>
      <c r="L252" s="463"/>
      <c r="M252" s="532"/>
      <c r="N252" s="463"/>
      <c r="O252" s="380"/>
      <c r="P252" s="380"/>
      <c r="Q252" s="380"/>
      <c r="R252" s="380"/>
      <c r="S252" s="380"/>
      <c r="T252" s="380"/>
      <c r="U252" s="380"/>
      <c r="V252" s="380"/>
      <c r="W252" s="380"/>
      <c r="X252" s="380"/>
      <c r="Y252" s="380"/>
      <c r="Z252" s="380"/>
      <c r="AA252" s="380"/>
      <c r="AB252" s="380"/>
      <c r="AC252" s="380"/>
      <c r="AD252" s="380"/>
      <c r="AE252" s="380"/>
      <c r="AF252" s="380"/>
      <c r="AG252" s="380"/>
      <c r="AH252" s="380"/>
      <c r="AI252" s="464"/>
      <c r="AJ252" s="380"/>
      <c r="AK252" s="440"/>
      <c r="AM252" s="460">
        <v>252</v>
      </c>
      <c r="AN252" s="1078"/>
    </row>
    <row r="253" spans="1:54" ht="11.25" x14ac:dyDescent="0.2">
      <c r="A253" s="440"/>
      <c r="B253" s="628"/>
      <c r="C253" s="380"/>
      <c r="D253" s="380"/>
      <c r="E253" s="380"/>
      <c r="F253" s="380"/>
      <c r="G253" s="380"/>
      <c r="H253" s="380"/>
      <c r="I253" s="380"/>
      <c r="J253" s="380"/>
      <c r="K253" s="463"/>
      <c r="L253" s="463"/>
      <c r="M253" s="532"/>
      <c r="N253" s="463"/>
      <c r="O253" s="380"/>
      <c r="P253" s="380"/>
      <c r="Q253" s="380"/>
      <c r="R253" s="380"/>
      <c r="S253" s="380"/>
      <c r="T253" s="380"/>
      <c r="U253" s="380"/>
      <c r="V253" s="380"/>
      <c r="W253" s="380"/>
      <c r="X253" s="380"/>
      <c r="Y253" s="380"/>
      <c r="Z253" s="380"/>
      <c r="AA253" s="380"/>
      <c r="AB253" s="380"/>
      <c r="AC253" s="380"/>
      <c r="AD253" s="380"/>
      <c r="AE253" s="380"/>
      <c r="AF253" s="380"/>
      <c r="AG253" s="380"/>
      <c r="AH253" s="380"/>
      <c r="AI253" s="464"/>
      <c r="AJ253" s="380"/>
      <c r="AK253" s="440"/>
      <c r="AM253" s="460">
        <v>253</v>
      </c>
      <c r="AN253" s="1078"/>
    </row>
    <row r="254" spans="1:54" ht="12.75" customHeight="1" x14ac:dyDescent="0.25">
      <c r="A254" s="440"/>
      <c r="B254" s="493" t="s">
        <v>366</v>
      </c>
      <c r="C254" s="494"/>
      <c r="D254" s="495"/>
      <c r="E254" s="1606" t="s">
        <v>365</v>
      </c>
      <c r="F254" s="1606"/>
      <c r="G254" s="1606"/>
      <c r="H254" s="1606"/>
      <c r="I254" s="1597"/>
      <c r="J254" s="501"/>
      <c r="K254" s="462"/>
      <c r="L254" s="462"/>
      <c r="M254" s="498"/>
      <c r="N254" s="359"/>
      <c r="O254" s="363"/>
      <c r="P254" s="363"/>
      <c r="Q254" s="363"/>
      <c r="R254" s="363"/>
      <c r="S254" s="385">
        <f ca="1">S255</f>
        <v>0</v>
      </c>
      <c r="T254" s="363"/>
      <c r="U254" s="363"/>
      <c r="V254" s="363"/>
      <c r="W254" s="363"/>
      <c r="X254" s="363"/>
      <c r="Y254" s="363"/>
      <c r="Z254" s="363"/>
      <c r="AA254" s="363"/>
      <c r="AB254" s="363"/>
      <c r="AC254" s="363"/>
      <c r="AD254" s="363"/>
      <c r="AE254" s="363"/>
      <c r="AF254" s="363"/>
      <c r="AG254" s="363"/>
      <c r="AH254" s="363"/>
      <c r="AI254" s="358"/>
      <c r="AJ254" s="363"/>
      <c r="AK254" s="440"/>
      <c r="AM254" s="460">
        <v>254</v>
      </c>
      <c r="AN254" s="1078"/>
    </row>
    <row r="255" spans="1:54" ht="12.75" customHeight="1" x14ac:dyDescent="0.25">
      <c r="A255" s="440"/>
      <c r="B255" s="493"/>
      <c r="C255" s="494"/>
      <c r="D255" s="495"/>
      <c r="E255" s="500"/>
      <c r="F255" s="500"/>
      <c r="G255" s="500"/>
      <c r="H255" s="500"/>
      <c r="I255" s="511"/>
      <c r="J255" s="501"/>
      <c r="K255" s="462"/>
      <c r="L255" s="462"/>
      <c r="M255" s="498"/>
      <c r="N255" s="359"/>
      <c r="O255" s="363"/>
      <c r="P255" s="363"/>
      <c r="Q255" s="363"/>
      <c r="R255" s="363"/>
      <c r="S255" s="355">
        <f ca="1">SUBTOTAL(109,S256:S258)</f>
        <v>0</v>
      </c>
      <c r="T255" s="363"/>
      <c r="U255" s="363"/>
      <c r="V255" s="363"/>
      <c r="W255" s="363"/>
      <c r="X255" s="363"/>
      <c r="Y255" s="363"/>
      <c r="Z255" s="363"/>
      <c r="AA255" s="363"/>
      <c r="AB255" s="363"/>
      <c r="AC255" s="363"/>
      <c r="AD255" s="363"/>
      <c r="AE255" s="363"/>
      <c r="AF255" s="363"/>
      <c r="AG255" s="363"/>
      <c r="AH255" s="363"/>
      <c r="AI255" s="358"/>
      <c r="AJ255" s="363"/>
      <c r="AK255" s="440"/>
      <c r="AM255" s="460">
        <v>255</v>
      </c>
      <c r="AN255" s="1078"/>
    </row>
    <row r="256" spans="1:54" ht="11.25" x14ac:dyDescent="0.2">
      <c r="A256" s="440"/>
      <c r="B256" s="628"/>
      <c r="C256" s="380"/>
      <c r="D256" s="380"/>
      <c r="E256" s="1084">
        <f ca="1">IF(AX256="E","",AN256)</f>
        <v>0</v>
      </c>
      <c r="F256" s="1085"/>
      <c r="G256" s="1264"/>
      <c r="H256" s="1264"/>
      <c r="I256" s="1265"/>
      <c r="J256" s="559"/>
      <c r="K256" s="463"/>
      <c r="L256" s="463"/>
      <c r="M256" s="339"/>
      <c r="N256" s="359" t="s">
        <v>67</v>
      </c>
      <c r="O256" s="339"/>
      <c r="P256" s="363"/>
      <c r="Q256" s="344"/>
      <c r="R256" s="522" t="s">
        <v>363</v>
      </c>
      <c r="S256" s="353">
        <f t="shared" ref="S256:S258" ca="1" si="418">IF(AY256="E",(M256*O256)+Q256,AO256)</f>
        <v>0</v>
      </c>
      <c r="T256" s="363"/>
      <c r="U256" s="381"/>
      <c r="V256" s="363"/>
      <c r="W256" s="363"/>
      <c r="X256" s="381"/>
      <c r="Y256" s="363"/>
      <c r="Z256" s="363"/>
      <c r="AA256" s="381"/>
      <c r="AB256" s="363"/>
      <c r="AC256" s="363"/>
      <c r="AD256" s="381"/>
      <c r="AE256" s="363"/>
      <c r="AF256" s="363"/>
      <c r="AG256" s="363"/>
      <c r="AH256" s="363"/>
      <c r="AI256" s="358"/>
      <c r="AJ256" s="363"/>
      <c r="AK256" s="440"/>
      <c r="AM256" s="460">
        <v>256</v>
      </c>
      <c r="AN256" s="1087">
        <f ca="1">IF($M$13=$AN$12,"",IF(ISTEXT(INDIRECT("'"&amp;$AM$20&amp;"'!"&amp;AN$21&amp;$AM256)),INDIRECT("'"&amp;$AM$20&amp;"'!"&amp;AN$21&amp;$AM256),INDIRECT("'"&amp;$AM$20&amp;"'!"&amp;AN$22&amp;$AM256)))</f>
        <v>0</v>
      </c>
      <c r="AO256" s="1083">
        <f ca="1">IF($M$13=$AN$12,"",INDIRECT("'"&amp;$AM$20&amp;"'!"&amp;AO$21&amp;$AM256))</f>
        <v>0</v>
      </c>
      <c r="AX256" s="1083" t="str">
        <f>IF($M$13=$AN$12,"E",IF(ISTEXT(F256),"E","U"))</f>
        <v>U</v>
      </c>
      <c r="AY256" s="1083" t="str">
        <f>IF($M$13=$AN$12,"E",IF(OR(ISNUMBER(M256),ISNUMBER(O256),ISNUMBER(Q256)),"E","U"))</f>
        <v>U</v>
      </c>
    </row>
    <row r="257" spans="1:51" ht="11.25" x14ac:dyDescent="0.2">
      <c r="A257" s="440"/>
      <c r="B257" s="628"/>
      <c r="C257" s="380"/>
      <c r="D257" s="380"/>
      <c r="E257" s="1084">
        <f ca="1">IF(AX257="E","",AN257)</f>
        <v>0</v>
      </c>
      <c r="F257" s="1085"/>
      <c r="G257" s="1264"/>
      <c r="H257" s="1264"/>
      <c r="I257" s="1265"/>
      <c r="J257" s="559"/>
      <c r="K257" s="463"/>
      <c r="L257" s="463"/>
      <c r="M257" s="339"/>
      <c r="N257" s="359" t="s">
        <v>67</v>
      </c>
      <c r="O257" s="339"/>
      <c r="P257" s="363"/>
      <c r="Q257" s="344"/>
      <c r="R257" s="522" t="s">
        <v>363</v>
      </c>
      <c r="S257" s="353">
        <f t="shared" ca="1" si="418"/>
        <v>0</v>
      </c>
      <c r="T257" s="380"/>
      <c r="U257" s="380"/>
      <c r="V257" s="380"/>
      <c r="W257" s="380"/>
      <c r="X257" s="380"/>
      <c r="Y257" s="380"/>
      <c r="Z257" s="380"/>
      <c r="AA257" s="380"/>
      <c r="AB257" s="380"/>
      <c r="AC257" s="380"/>
      <c r="AD257" s="380"/>
      <c r="AE257" s="380"/>
      <c r="AF257" s="380"/>
      <c r="AG257" s="380"/>
      <c r="AH257" s="380"/>
      <c r="AI257" s="464"/>
      <c r="AJ257" s="380"/>
      <c r="AK257" s="440"/>
      <c r="AM257" s="460">
        <v>257</v>
      </c>
      <c r="AN257" s="1087">
        <f ca="1">IF($M$13=$AN$12,"",IF(ISTEXT(INDIRECT("'"&amp;$AM$20&amp;"'!"&amp;AN$21&amp;$AM257)),INDIRECT("'"&amp;$AM$20&amp;"'!"&amp;AN$21&amp;$AM257),INDIRECT("'"&amp;$AM$20&amp;"'!"&amp;AN$22&amp;$AM257)))</f>
        <v>0</v>
      </c>
      <c r="AO257" s="1083">
        <f ca="1">IF($M$13=$AN$12,"",INDIRECT("'"&amp;$AM$20&amp;"'!"&amp;AO$21&amp;$AM257))</f>
        <v>0</v>
      </c>
      <c r="AX257" s="1083" t="str">
        <f>IF($M$13=$AN$12,"E",IF(ISTEXT(F257),"E","U"))</f>
        <v>U</v>
      </c>
      <c r="AY257" s="1083" t="str">
        <f>IF($M$13=$AN$12,"E",IF(OR(ISNUMBER(M257),ISNUMBER(O257),ISNUMBER(Q257)),"E","U"))</f>
        <v>U</v>
      </c>
    </row>
    <row r="258" spans="1:51" ht="11.25" x14ac:dyDescent="0.2">
      <c r="A258" s="440"/>
      <c r="B258" s="628"/>
      <c r="C258" s="380"/>
      <c r="D258" s="380"/>
      <c r="E258" s="1084">
        <f ca="1">IF(AX258="E","",AN258)</f>
        <v>0</v>
      </c>
      <c r="F258" s="1085"/>
      <c r="G258" s="1264"/>
      <c r="H258" s="1264"/>
      <c r="I258" s="1265"/>
      <c r="J258" s="559"/>
      <c r="K258" s="463"/>
      <c r="L258" s="463"/>
      <c r="M258" s="339"/>
      <c r="N258" s="359" t="s">
        <v>67</v>
      </c>
      <c r="O258" s="339"/>
      <c r="P258" s="363"/>
      <c r="Q258" s="344"/>
      <c r="R258" s="522" t="s">
        <v>363</v>
      </c>
      <c r="S258" s="353">
        <f t="shared" ca="1" si="418"/>
        <v>0</v>
      </c>
      <c r="T258" s="380"/>
      <c r="U258" s="380"/>
      <c r="V258" s="380"/>
      <c r="W258" s="380"/>
      <c r="X258" s="380"/>
      <c r="Y258" s="380"/>
      <c r="Z258" s="380"/>
      <c r="AA258" s="380"/>
      <c r="AB258" s="380"/>
      <c r="AC258" s="380"/>
      <c r="AD258" s="380"/>
      <c r="AE258" s="380"/>
      <c r="AF258" s="380"/>
      <c r="AG258" s="380"/>
      <c r="AH258" s="380"/>
      <c r="AI258" s="464"/>
      <c r="AJ258" s="380"/>
      <c r="AK258" s="440"/>
      <c r="AM258" s="460">
        <v>258</v>
      </c>
      <c r="AN258" s="1087">
        <f ca="1">IF($M$13=$AN$12,"",IF(ISTEXT(INDIRECT("'"&amp;$AM$20&amp;"'!"&amp;AN$21&amp;$AM258)),INDIRECT("'"&amp;$AM$20&amp;"'!"&amp;AN$21&amp;$AM258),INDIRECT("'"&amp;$AM$20&amp;"'!"&amp;AN$22&amp;$AM258)))</f>
        <v>0</v>
      </c>
      <c r="AO258" s="1083">
        <f ca="1">IF($M$13=$AN$12,"",INDIRECT("'"&amp;$AM$20&amp;"'!"&amp;AO$21&amp;$AM258))</f>
        <v>0</v>
      </c>
      <c r="AX258" s="1083" t="str">
        <f>IF($M$13=$AN$12,"E",IF(ISTEXT(F258),"E","U"))</f>
        <v>U</v>
      </c>
      <c r="AY258" s="1083" t="str">
        <f>IF($M$13=$AN$12,"E",IF(OR(ISNUMBER(M258),ISNUMBER(O258),ISNUMBER(Q258)),"E","U"))</f>
        <v>U</v>
      </c>
    </row>
    <row r="259" spans="1:51" ht="11.25" collapsed="1" x14ac:dyDescent="0.2">
      <c r="A259" s="440"/>
      <c r="B259" s="628"/>
      <c r="C259" s="380"/>
      <c r="D259" s="380"/>
      <c r="E259" s="380"/>
      <c r="F259" s="380"/>
      <c r="G259" s="380"/>
      <c r="H259" s="380"/>
      <c r="I259" s="380"/>
      <c r="J259" s="380"/>
      <c r="K259" s="463"/>
      <c r="L259" s="463"/>
      <c r="M259" s="380"/>
      <c r="N259" s="463"/>
      <c r="O259" s="380"/>
      <c r="P259" s="380"/>
      <c r="Q259" s="380"/>
      <c r="R259" s="380"/>
      <c r="S259" s="380"/>
      <c r="T259" s="380"/>
      <c r="U259" s="380"/>
      <c r="V259" s="380"/>
      <c r="W259" s="380"/>
      <c r="X259" s="380"/>
      <c r="Y259" s="380"/>
      <c r="Z259" s="380"/>
      <c r="AA259" s="380"/>
      <c r="AB259" s="380"/>
      <c r="AC259" s="380"/>
      <c r="AD259" s="380"/>
      <c r="AE259" s="380"/>
      <c r="AF259" s="380"/>
      <c r="AG259" s="380"/>
      <c r="AH259" s="380"/>
      <c r="AI259" s="464"/>
      <c r="AJ259" s="380"/>
      <c r="AK259" s="440"/>
      <c r="AM259" s="460">
        <v>259</v>
      </c>
      <c r="AN259" s="1078"/>
    </row>
    <row r="260" spans="1:51" ht="11.25" x14ac:dyDescent="0.2">
      <c r="A260" s="440"/>
      <c r="B260" s="628"/>
      <c r="C260" s="380"/>
      <c r="D260" s="380"/>
      <c r="E260" s="380"/>
      <c r="F260" s="380"/>
      <c r="G260" s="380"/>
      <c r="H260" s="380"/>
      <c r="I260" s="380"/>
      <c r="J260" s="380"/>
      <c r="K260" s="463"/>
      <c r="L260" s="463"/>
      <c r="M260" s="380"/>
      <c r="N260" s="463"/>
      <c r="O260" s="380"/>
      <c r="P260" s="380"/>
      <c r="Q260" s="380"/>
      <c r="R260" s="380"/>
      <c r="S260" s="380"/>
      <c r="T260" s="380"/>
      <c r="U260" s="380"/>
      <c r="V260" s="380"/>
      <c r="W260" s="380"/>
      <c r="X260" s="380"/>
      <c r="Y260" s="380"/>
      <c r="Z260" s="380"/>
      <c r="AA260" s="380"/>
      <c r="AB260" s="380"/>
      <c r="AC260" s="380"/>
      <c r="AD260" s="380"/>
      <c r="AE260" s="380"/>
      <c r="AF260" s="380"/>
      <c r="AG260" s="380"/>
      <c r="AH260" s="380"/>
      <c r="AI260" s="464"/>
      <c r="AJ260" s="380"/>
      <c r="AK260" s="440"/>
      <c r="AM260" s="460">
        <v>260</v>
      </c>
      <c r="AN260" s="1078"/>
    </row>
    <row r="261" spans="1:51" ht="11.25" x14ac:dyDescent="0.2">
      <c r="A261" s="440"/>
      <c r="B261" s="324"/>
      <c r="C261" s="378"/>
      <c r="D261" s="378"/>
      <c r="E261" s="378"/>
      <c r="F261" s="378"/>
      <c r="G261" s="378"/>
      <c r="H261" s="378"/>
      <c r="I261" s="378"/>
      <c r="J261" s="378"/>
      <c r="K261" s="561"/>
      <c r="L261" s="561"/>
      <c r="M261" s="378"/>
      <c r="N261" s="561"/>
      <c r="O261" s="378"/>
      <c r="P261" s="378"/>
      <c r="Q261" s="378"/>
      <c r="R261" s="378"/>
      <c r="S261" s="378"/>
      <c r="T261" s="378"/>
      <c r="U261" s="378"/>
      <c r="V261" s="378"/>
      <c r="W261" s="378"/>
      <c r="X261" s="378"/>
      <c r="Y261" s="378"/>
      <c r="Z261" s="378"/>
      <c r="AA261" s="378"/>
      <c r="AB261" s="378"/>
      <c r="AC261" s="378"/>
      <c r="AD261" s="378"/>
      <c r="AE261" s="378"/>
      <c r="AF261" s="378"/>
      <c r="AG261" s="378"/>
      <c r="AH261" s="378"/>
      <c r="AI261" s="510"/>
      <c r="AJ261" s="378"/>
      <c r="AK261" s="440"/>
      <c r="AM261" s="460">
        <v>261</v>
      </c>
      <c r="AN261" s="1078"/>
    </row>
    <row r="262" spans="1:51" ht="11.25" x14ac:dyDescent="0.2">
      <c r="A262" s="440"/>
      <c r="B262" s="440"/>
      <c r="C262" s="440"/>
      <c r="D262" s="440"/>
      <c r="E262" s="440"/>
      <c r="F262" s="440"/>
      <c r="G262" s="440"/>
      <c r="H262" s="440"/>
      <c r="I262" s="440"/>
      <c r="J262" s="440"/>
      <c r="K262" s="440"/>
      <c r="L262" s="440"/>
      <c r="M262" s="440"/>
      <c r="N262" s="440"/>
      <c r="O262" s="440"/>
      <c r="P262" s="440"/>
      <c r="Q262" s="440"/>
      <c r="R262" s="440"/>
      <c r="S262" s="440"/>
      <c r="T262" s="440"/>
      <c r="U262" s="440"/>
      <c r="V262" s="440"/>
      <c r="W262" s="440"/>
      <c r="X262" s="440"/>
      <c r="Y262" s="440"/>
      <c r="Z262" s="440"/>
      <c r="AA262" s="440"/>
      <c r="AB262" s="440"/>
      <c r="AC262" s="440"/>
      <c r="AD262" s="440"/>
      <c r="AE262" s="440"/>
      <c r="AF262" s="440"/>
      <c r="AG262" s="440"/>
      <c r="AH262" s="440"/>
      <c r="AI262" s="440"/>
      <c r="AJ262" s="440"/>
      <c r="AK262" s="440"/>
    </row>
    <row r="263" spans="1:51" ht="11.25" x14ac:dyDescent="0.2">
      <c r="AC263" s="569"/>
      <c r="AD263" s="460"/>
    </row>
    <row r="264" spans="1:51" ht="11.25" x14ac:dyDescent="0.2">
      <c r="Z264" s="568"/>
      <c r="AA264" s="569"/>
      <c r="AB264" s="569"/>
      <c r="AC264" s="569"/>
      <c r="AD264" s="460"/>
    </row>
    <row r="265" spans="1:51" ht="11.25" x14ac:dyDescent="0.2">
      <c r="Z265" s="568"/>
      <c r="AA265" s="569"/>
      <c r="AB265" s="569"/>
      <c r="AC265" s="569"/>
      <c r="AD265" s="460"/>
    </row>
    <row r="266" spans="1:51" ht="11.25" x14ac:dyDescent="0.2">
      <c r="Z266" s="568"/>
      <c r="AA266" s="569"/>
      <c r="AB266" s="569"/>
      <c r="AC266" s="569"/>
      <c r="AD266" s="460"/>
    </row>
    <row r="267" spans="1:51" ht="11.25" x14ac:dyDescent="0.2">
      <c r="Z267" s="568"/>
      <c r="AA267" s="569"/>
      <c r="AB267" s="569"/>
      <c r="AC267" s="569"/>
      <c r="AD267" s="460"/>
    </row>
    <row r="268" spans="1:51" ht="11.25" x14ac:dyDescent="0.2">
      <c r="Z268" s="568"/>
      <c r="AA268" s="569"/>
      <c r="AB268" s="569"/>
      <c r="AC268" s="569"/>
      <c r="AD268" s="460"/>
    </row>
    <row r="269" spans="1:51" ht="11.25" x14ac:dyDescent="0.2">
      <c r="Z269" s="568"/>
      <c r="AA269" s="569"/>
      <c r="AB269" s="569"/>
      <c r="AC269" s="569"/>
      <c r="AD269" s="460"/>
    </row>
    <row r="270" spans="1:51" ht="11.25" x14ac:dyDescent="0.2">
      <c r="AC270" s="569"/>
      <c r="AD270" s="460"/>
    </row>
    <row r="271" spans="1:51" ht="11.25" x14ac:dyDescent="0.2">
      <c r="AC271" s="569"/>
      <c r="AD271" s="460"/>
    </row>
    <row r="272" spans="1:51" ht="11.25" x14ac:dyDescent="0.2">
      <c r="AC272" s="569"/>
      <c r="AD272" s="460"/>
    </row>
    <row r="273" spans="26:30" ht="11.25" x14ac:dyDescent="0.2">
      <c r="AC273" s="569"/>
      <c r="AD273" s="460"/>
    </row>
    <row r="274" spans="26:30" ht="11.25" x14ac:dyDescent="0.2">
      <c r="AC274" s="569"/>
      <c r="AD274" s="460"/>
    </row>
    <row r="275" spans="26:30" ht="11.25" x14ac:dyDescent="0.2">
      <c r="AC275" s="569"/>
      <c r="AD275" s="460"/>
    </row>
    <row r="276" spans="26:30" ht="11.25" x14ac:dyDescent="0.2">
      <c r="AC276" s="569"/>
      <c r="AD276" s="460"/>
    </row>
    <row r="277" spans="26:30" ht="11.25" x14ac:dyDescent="0.2">
      <c r="AC277" s="569"/>
      <c r="AD277" s="460"/>
    </row>
    <row r="278" spans="26:30" ht="11.25" x14ac:dyDescent="0.2">
      <c r="Z278" s="568"/>
      <c r="AA278" s="569"/>
      <c r="AB278" s="569"/>
      <c r="AC278" s="569"/>
      <c r="AD278" s="460"/>
    </row>
    <row r="279" spans="26:30" ht="11.25" x14ac:dyDescent="0.2">
      <c r="Z279" s="568"/>
      <c r="AA279" s="569"/>
      <c r="AB279" s="569"/>
      <c r="AC279" s="569"/>
      <c r="AD279" s="460"/>
    </row>
    <row r="280" spans="26:30" ht="11.25" x14ac:dyDescent="0.2">
      <c r="Z280" s="568"/>
      <c r="AA280" s="569"/>
      <c r="AB280" s="569"/>
      <c r="AC280" s="569"/>
      <c r="AD280" s="460"/>
    </row>
    <row r="281" spans="26:30" ht="11.25" x14ac:dyDescent="0.2">
      <c r="Z281" s="568"/>
      <c r="AA281" s="569"/>
      <c r="AB281" s="569"/>
      <c r="AC281" s="569"/>
      <c r="AD281" s="460"/>
    </row>
    <row r="282" spans="26:30" ht="11.25" x14ac:dyDescent="0.2">
      <c r="Z282" s="568"/>
      <c r="AA282" s="569"/>
      <c r="AB282" s="569"/>
      <c r="AC282" s="569"/>
      <c r="AD282" s="460"/>
    </row>
    <row r="283" spans="26:30" ht="11.25" x14ac:dyDescent="0.2">
      <c r="Z283" s="568"/>
      <c r="AA283" s="569"/>
      <c r="AB283" s="569"/>
      <c r="AC283" s="569"/>
      <c r="AD283" s="460"/>
    </row>
    <row r="284" spans="26:30" ht="11.25" x14ac:dyDescent="0.2">
      <c r="Z284" s="568"/>
      <c r="AA284" s="569"/>
      <c r="AB284" s="569"/>
      <c r="AC284" s="569"/>
      <c r="AD284" s="460"/>
    </row>
    <row r="285" spans="26:30" ht="11.25" x14ac:dyDescent="0.2">
      <c r="Z285" s="568"/>
      <c r="AA285" s="569"/>
      <c r="AB285" s="569"/>
      <c r="AC285" s="569"/>
      <c r="AD285" s="460"/>
    </row>
    <row r="286" spans="26:30" ht="11.25" x14ac:dyDescent="0.2">
      <c r="Z286" s="568"/>
      <c r="AA286" s="569"/>
      <c r="AB286" s="569"/>
      <c r="AC286" s="569"/>
      <c r="AD286" s="460"/>
    </row>
    <row r="287" spans="26:30" ht="11.25" x14ac:dyDescent="0.2">
      <c r="Z287" s="568"/>
      <c r="AA287" s="569"/>
      <c r="AB287" s="569"/>
      <c r="AC287" s="569"/>
      <c r="AD287" s="460"/>
    </row>
    <row r="288" spans="26:30" ht="11.25" x14ac:dyDescent="0.2">
      <c r="Z288" s="568"/>
      <c r="AA288" s="569"/>
      <c r="AB288" s="569"/>
      <c r="AC288" s="569"/>
      <c r="AD288" s="460"/>
    </row>
    <row r="289" spans="26:30" ht="11.25" x14ac:dyDescent="0.2">
      <c r="Z289" s="568"/>
      <c r="AA289" s="569"/>
      <c r="AB289" s="569"/>
      <c r="AC289" s="569"/>
      <c r="AD289" s="460"/>
    </row>
    <row r="290" spans="26:30" ht="11.25" x14ac:dyDescent="0.2">
      <c r="Z290" s="568"/>
      <c r="AA290" s="569"/>
      <c r="AB290" s="569"/>
      <c r="AC290" s="569"/>
      <c r="AD290" s="460"/>
    </row>
    <row r="291" spans="26:30" ht="11.25" x14ac:dyDescent="0.2">
      <c r="Z291" s="568"/>
      <c r="AA291" s="569"/>
      <c r="AB291" s="569"/>
      <c r="AC291" s="569"/>
      <c r="AD291" s="460"/>
    </row>
    <row r="292" spans="26:30" ht="11.25" x14ac:dyDescent="0.2">
      <c r="Z292" s="568"/>
      <c r="AA292" s="569"/>
      <c r="AB292" s="569"/>
      <c r="AC292" s="569"/>
      <c r="AD292" s="460"/>
    </row>
    <row r="293" spans="26:30" ht="11.25" x14ac:dyDescent="0.2">
      <c r="Z293" s="568"/>
      <c r="AA293" s="569"/>
      <c r="AB293" s="569"/>
      <c r="AC293" s="569"/>
      <c r="AD293" s="460"/>
    </row>
    <row r="294" spans="26:30" ht="11.25" x14ac:dyDescent="0.2">
      <c r="Z294" s="568"/>
      <c r="AA294" s="569"/>
      <c r="AB294" s="569"/>
      <c r="AC294" s="569"/>
      <c r="AD294" s="460"/>
    </row>
    <row r="295" spans="26:30" ht="11.25" x14ac:dyDescent="0.2">
      <c r="Z295" s="568"/>
      <c r="AA295" s="569"/>
      <c r="AB295" s="569"/>
      <c r="AC295" s="569"/>
      <c r="AD295" s="460"/>
    </row>
    <row r="296" spans="26:30" ht="11.25" x14ac:dyDescent="0.2">
      <c r="Z296" s="568"/>
      <c r="AA296" s="569"/>
      <c r="AB296" s="569"/>
      <c r="AC296" s="569"/>
      <c r="AD296" s="460"/>
    </row>
    <row r="297" spans="26:30" ht="11.25" x14ac:dyDescent="0.2">
      <c r="Z297" s="568"/>
      <c r="AA297" s="569"/>
      <c r="AB297" s="569"/>
      <c r="AC297" s="569"/>
      <c r="AD297" s="460"/>
    </row>
    <row r="298" spans="26:30" ht="11.25" x14ac:dyDescent="0.2">
      <c r="Z298" s="568"/>
      <c r="AA298" s="569"/>
      <c r="AB298" s="569"/>
      <c r="AC298" s="569"/>
      <c r="AD298" s="460"/>
    </row>
    <row r="299" spans="26:30" ht="11.25" x14ac:dyDescent="0.2">
      <c r="Z299" s="568"/>
      <c r="AA299" s="569"/>
      <c r="AB299" s="569"/>
      <c r="AC299" s="569"/>
      <c r="AD299" s="460"/>
    </row>
    <row r="300" spans="26:30" ht="11.25" x14ac:dyDescent="0.2">
      <c r="Z300" s="568"/>
      <c r="AA300" s="569"/>
      <c r="AB300" s="569"/>
      <c r="AC300" s="569"/>
      <c r="AD300" s="460"/>
    </row>
    <row r="301" spans="26:30" ht="11.25" x14ac:dyDescent="0.2">
      <c r="Z301" s="568"/>
      <c r="AA301" s="569"/>
      <c r="AB301" s="569"/>
      <c r="AC301" s="569"/>
      <c r="AD301" s="460"/>
    </row>
    <row r="302" spans="26:30" ht="11.25" x14ac:dyDescent="0.2">
      <c r="Z302" s="568"/>
      <c r="AA302" s="569"/>
      <c r="AB302" s="569"/>
      <c r="AC302" s="569"/>
      <c r="AD302" s="460"/>
    </row>
    <row r="303" spans="26:30" ht="11.25" x14ac:dyDescent="0.2">
      <c r="Z303" s="568"/>
      <c r="AA303" s="569"/>
      <c r="AB303" s="569"/>
      <c r="AC303" s="569"/>
      <c r="AD303" s="460"/>
    </row>
    <row r="304" spans="26:30" ht="11.25" x14ac:dyDescent="0.2">
      <c r="Z304" s="568"/>
      <c r="AA304" s="569"/>
      <c r="AB304" s="569"/>
      <c r="AC304" s="569"/>
      <c r="AD304" s="460"/>
    </row>
    <row r="305" spans="26:30" ht="11.25" x14ac:dyDescent="0.2">
      <c r="Z305" s="568"/>
      <c r="AA305" s="569"/>
      <c r="AB305" s="569"/>
      <c r="AC305" s="569"/>
      <c r="AD305" s="460"/>
    </row>
    <row r="306" spans="26:30" ht="11.25" x14ac:dyDescent="0.2">
      <c r="Z306" s="568"/>
      <c r="AA306" s="569"/>
      <c r="AB306" s="569"/>
      <c r="AC306" s="569"/>
      <c r="AD306" s="460"/>
    </row>
    <row r="307" spans="26:30" ht="11.25" x14ac:dyDescent="0.2">
      <c r="Z307" s="568"/>
      <c r="AA307" s="569"/>
      <c r="AB307" s="569"/>
      <c r="AC307" s="569"/>
      <c r="AD307" s="460"/>
    </row>
    <row r="308" spans="26:30" ht="11.25" x14ac:dyDescent="0.2">
      <c r="Z308" s="568"/>
      <c r="AA308" s="569"/>
      <c r="AB308" s="569"/>
      <c r="AC308" s="569"/>
      <c r="AD308" s="460"/>
    </row>
    <row r="309" spans="26:30" ht="11.25" x14ac:dyDescent="0.2">
      <c r="Z309" s="568"/>
      <c r="AA309" s="569"/>
      <c r="AB309" s="569"/>
      <c r="AC309" s="569"/>
      <c r="AD309" s="460"/>
    </row>
    <row r="310" spans="26:30" ht="11.25" x14ac:dyDescent="0.2">
      <c r="Z310" s="568"/>
      <c r="AA310" s="569"/>
      <c r="AB310" s="569"/>
      <c r="AC310" s="569"/>
      <c r="AD310" s="460"/>
    </row>
    <row r="311" spans="26:30" ht="11.25" x14ac:dyDescent="0.2">
      <c r="Z311" s="568"/>
      <c r="AA311" s="569"/>
      <c r="AB311" s="569"/>
      <c r="AC311" s="569"/>
      <c r="AD311" s="460"/>
    </row>
    <row r="312" spans="26:30" ht="11.25" x14ac:dyDescent="0.2">
      <c r="Z312" s="568"/>
      <c r="AA312" s="569"/>
      <c r="AB312" s="569"/>
      <c r="AC312" s="569"/>
      <c r="AD312" s="460"/>
    </row>
    <row r="313" spans="26:30" ht="11.25" x14ac:dyDescent="0.2">
      <c r="Z313" s="568"/>
      <c r="AA313" s="569"/>
      <c r="AB313" s="569"/>
      <c r="AC313" s="569"/>
      <c r="AD313" s="460"/>
    </row>
    <row r="314" spans="26:30" ht="11.25" x14ac:dyDescent="0.2">
      <c r="Z314" s="568"/>
      <c r="AA314" s="569"/>
      <c r="AB314" s="569"/>
      <c r="AC314" s="569"/>
      <c r="AD314" s="460"/>
    </row>
    <row r="315" spans="26:30" ht="11.25" x14ac:dyDescent="0.2">
      <c r="Z315" s="568"/>
      <c r="AA315" s="569"/>
      <c r="AB315" s="569"/>
      <c r="AC315" s="569"/>
      <c r="AD315" s="460"/>
    </row>
    <row r="316" spans="26:30" ht="11.25" x14ac:dyDescent="0.2">
      <c r="Z316" s="568"/>
      <c r="AA316" s="569"/>
      <c r="AB316" s="569"/>
      <c r="AC316" s="569"/>
      <c r="AD316" s="460"/>
    </row>
    <row r="317" spans="26:30" ht="11.25" x14ac:dyDescent="0.2">
      <c r="Z317" s="568"/>
      <c r="AA317" s="569"/>
      <c r="AB317" s="569"/>
      <c r="AC317" s="569"/>
      <c r="AD317" s="460"/>
    </row>
    <row r="318" spans="26:30" ht="11.25" x14ac:dyDescent="0.2">
      <c r="Z318" s="568"/>
      <c r="AA318" s="569"/>
      <c r="AB318" s="569"/>
      <c r="AC318" s="569"/>
      <c r="AD318" s="460"/>
    </row>
    <row r="319" spans="26:30" ht="11.25" x14ac:dyDescent="0.2">
      <c r="Z319" s="568"/>
      <c r="AA319" s="569"/>
      <c r="AB319" s="569"/>
      <c r="AC319" s="569"/>
      <c r="AD319" s="460"/>
    </row>
    <row r="320" spans="26:30" ht="11.25" x14ac:dyDescent="0.2">
      <c r="Z320" s="568"/>
      <c r="AA320" s="569"/>
      <c r="AB320" s="569"/>
      <c r="AC320" s="569"/>
      <c r="AD320" s="460"/>
    </row>
    <row r="321" spans="26:30" ht="11.25" x14ac:dyDescent="0.2">
      <c r="Z321" s="568"/>
      <c r="AA321" s="569"/>
      <c r="AB321" s="569"/>
      <c r="AC321" s="569"/>
      <c r="AD321" s="460"/>
    </row>
    <row r="322" spans="26:30" ht="11.25" x14ac:dyDescent="0.2">
      <c r="Z322" s="568"/>
      <c r="AA322" s="569"/>
      <c r="AB322" s="569"/>
      <c r="AC322" s="569"/>
      <c r="AD322" s="460"/>
    </row>
    <row r="323" spans="26:30" ht="11.25" x14ac:dyDescent="0.2">
      <c r="Z323" s="568"/>
      <c r="AA323" s="569"/>
      <c r="AB323" s="569"/>
      <c r="AC323" s="569"/>
      <c r="AD323" s="460"/>
    </row>
    <row r="324" spans="26:30" ht="11.25" x14ac:dyDescent="0.2">
      <c r="Z324" s="568"/>
      <c r="AA324" s="569"/>
      <c r="AB324" s="569"/>
      <c r="AC324" s="569"/>
      <c r="AD324" s="460"/>
    </row>
    <row r="325" spans="26:30" ht="11.25" x14ac:dyDescent="0.2">
      <c r="Z325" s="568"/>
      <c r="AA325" s="569"/>
      <c r="AB325" s="569"/>
      <c r="AC325" s="569"/>
      <c r="AD325" s="460"/>
    </row>
    <row r="326" spans="26:30" ht="11.25" x14ac:dyDescent="0.2">
      <c r="Z326" s="568"/>
      <c r="AA326" s="569"/>
      <c r="AB326" s="569"/>
      <c r="AC326" s="569"/>
      <c r="AD326" s="460"/>
    </row>
    <row r="327" spans="26:30" ht="11.25" x14ac:dyDescent="0.2">
      <c r="Z327" s="568"/>
      <c r="AA327" s="569"/>
      <c r="AB327" s="569"/>
      <c r="AC327" s="569"/>
      <c r="AD327" s="460"/>
    </row>
    <row r="328" spans="26:30" ht="11.25" x14ac:dyDescent="0.2">
      <c r="Z328" s="568"/>
      <c r="AA328" s="569"/>
      <c r="AB328" s="569"/>
      <c r="AC328" s="569"/>
      <c r="AD328" s="460"/>
    </row>
    <row r="329" spans="26:30" ht="11.25" x14ac:dyDescent="0.2">
      <c r="Z329" s="568"/>
      <c r="AA329" s="569"/>
      <c r="AB329" s="569"/>
      <c r="AC329" s="569"/>
      <c r="AD329" s="460"/>
    </row>
    <row r="330" spans="26:30" ht="11.25" x14ac:dyDescent="0.2">
      <c r="Z330" s="568"/>
      <c r="AA330" s="569"/>
      <c r="AB330" s="569"/>
      <c r="AC330" s="569"/>
      <c r="AD330" s="460"/>
    </row>
    <row r="331" spans="26:30" ht="11.25" x14ac:dyDescent="0.2">
      <c r="Z331" s="568"/>
      <c r="AA331" s="569"/>
      <c r="AB331" s="569"/>
      <c r="AC331" s="569"/>
      <c r="AD331" s="460"/>
    </row>
    <row r="332" spans="26:30" ht="11.25" x14ac:dyDescent="0.2">
      <c r="Z332" s="568"/>
      <c r="AA332" s="569"/>
      <c r="AB332" s="569"/>
      <c r="AC332" s="569"/>
      <c r="AD332" s="460"/>
    </row>
    <row r="333" spans="26:30" ht="11.25" x14ac:dyDescent="0.2">
      <c r="Z333" s="568"/>
      <c r="AA333" s="569"/>
      <c r="AB333" s="569"/>
      <c r="AC333" s="569"/>
      <c r="AD333" s="460"/>
    </row>
    <row r="334" spans="26:30" ht="11.25" x14ac:dyDescent="0.2">
      <c r="Z334" s="568"/>
      <c r="AA334" s="569"/>
      <c r="AB334" s="569"/>
      <c r="AC334" s="569"/>
      <c r="AD334" s="460"/>
    </row>
    <row r="335" spans="26:30" ht="11.25" x14ac:dyDescent="0.2">
      <c r="Z335" s="568"/>
      <c r="AA335" s="569"/>
      <c r="AB335" s="569"/>
      <c r="AC335" s="569"/>
      <c r="AD335" s="460"/>
    </row>
    <row r="336" spans="26:30" ht="11.25" x14ac:dyDescent="0.2">
      <c r="Z336" s="568"/>
      <c r="AA336" s="569"/>
      <c r="AB336" s="569"/>
      <c r="AC336" s="569"/>
      <c r="AD336" s="460"/>
    </row>
    <row r="337" spans="26:30" ht="11.25" x14ac:dyDescent="0.2">
      <c r="Z337" s="568"/>
      <c r="AA337" s="569"/>
      <c r="AB337" s="569"/>
      <c r="AC337" s="569"/>
      <c r="AD337" s="460"/>
    </row>
    <row r="338" spans="26:30" ht="11.25" x14ac:dyDescent="0.2">
      <c r="Z338" s="568"/>
      <c r="AA338" s="569"/>
      <c r="AB338" s="569"/>
      <c r="AC338" s="569"/>
      <c r="AD338" s="460"/>
    </row>
    <row r="339" spans="26:30" ht="11.25" x14ac:dyDescent="0.2">
      <c r="Z339" s="568"/>
      <c r="AA339" s="569"/>
      <c r="AB339" s="569"/>
      <c r="AC339" s="569"/>
      <c r="AD339" s="460"/>
    </row>
    <row r="340" spans="26:30" ht="11.25" x14ac:dyDescent="0.2">
      <c r="Z340" s="568"/>
      <c r="AA340" s="569"/>
      <c r="AB340" s="569"/>
      <c r="AC340" s="569"/>
      <c r="AD340" s="460"/>
    </row>
    <row r="341" spans="26:30" ht="11.25" x14ac:dyDescent="0.2">
      <c r="Z341" s="568"/>
      <c r="AA341" s="569"/>
      <c r="AB341" s="569"/>
      <c r="AC341" s="569"/>
      <c r="AD341" s="460"/>
    </row>
    <row r="342" spans="26:30" ht="11.25" x14ac:dyDescent="0.2">
      <c r="Z342" s="568"/>
      <c r="AA342" s="569"/>
      <c r="AB342" s="569"/>
      <c r="AC342" s="569"/>
      <c r="AD342" s="460"/>
    </row>
    <row r="343" spans="26:30" ht="11.25" x14ac:dyDescent="0.2">
      <c r="Z343" s="568"/>
      <c r="AA343" s="569"/>
      <c r="AB343" s="569"/>
      <c r="AC343" s="569"/>
      <c r="AD343" s="460"/>
    </row>
    <row r="344" spans="26:30" ht="11.25" x14ac:dyDescent="0.2">
      <c r="Z344" s="568"/>
      <c r="AA344" s="569"/>
      <c r="AB344" s="569"/>
      <c r="AC344" s="569"/>
      <c r="AD344" s="460"/>
    </row>
    <row r="345" spans="26:30" ht="11.25" x14ac:dyDescent="0.2">
      <c r="Z345" s="568"/>
      <c r="AA345" s="569"/>
      <c r="AB345" s="569"/>
      <c r="AC345" s="569"/>
      <c r="AD345" s="460"/>
    </row>
    <row r="346" spans="26:30" ht="11.25" x14ac:dyDescent="0.2">
      <c r="Z346" s="568"/>
      <c r="AA346" s="569"/>
      <c r="AB346" s="569"/>
      <c r="AC346" s="569"/>
      <c r="AD346" s="460"/>
    </row>
    <row r="347" spans="26:30" ht="11.25" x14ac:dyDescent="0.2">
      <c r="Z347" s="568"/>
      <c r="AA347" s="569"/>
      <c r="AB347" s="569"/>
      <c r="AC347" s="569"/>
      <c r="AD347" s="460"/>
    </row>
    <row r="348" spans="26:30" ht="11.25" x14ac:dyDescent="0.2">
      <c r="Z348" s="568"/>
      <c r="AA348" s="569"/>
      <c r="AB348" s="569"/>
      <c r="AC348" s="569"/>
      <c r="AD348" s="460"/>
    </row>
    <row r="349" spans="26:30" ht="11.25" x14ac:dyDescent="0.2">
      <c r="Z349" s="568"/>
      <c r="AA349" s="569"/>
      <c r="AB349" s="569"/>
      <c r="AC349" s="569"/>
      <c r="AD349" s="460"/>
    </row>
    <row r="350" spans="26:30" ht="11.25" x14ac:dyDescent="0.2">
      <c r="Z350" s="568"/>
      <c r="AA350" s="569"/>
      <c r="AB350" s="569"/>
      <c r="AC350" s="569"/>
      <c r="AD350" s="460"/>
    </row>
    <row r="351" spans="26:30" ht="11.25" x14ac:dyDescent="0.2">
      <c r="Z351" s="568"/>
      <c r="AA351" s="569"/>
      <c r="AB351" s="569"/>
      <c r="AC351" s="569"/>
      <c r="AD351" s="460"/>
    </row>
    <row r="352" spans="26:30" ht="11.25" x14ac:dyDescent="0.2">
      <c r="Z352" s="568"/>
      <c r="AA352" s="569"/>
      <c r="AB352" s="569"/>
      <c r="AC352" s="569"/>
      <c r="AD352" s="460"/>
    </row>
    <row r="353" spans="26:30" ht="11.25" x14ac:dyDescent="0.2">
      <c r="Z353" s="568"/>
      <c r="AA353" s="569"/>
      <c r="AB353" s="569"/>
      <c r="AC353" s="569"/>
      <c r="AD353" s="460"/>
    </row>
    <row r="354" spans="26:30" ht="11.25" x14ac:dyDescent="0.2">
      <c r="Z354" s="568"/>
      <c r="AA354" s="569"/>
      <c r="AB354" s="569"/>
      <c r="AC354" s="569"/>
      <c r="AD354" s="460"/>
    </row>
    <row r="355" spans="26:30" ht="11.25" x14ac:dyDescent="0.2">
      <c r="Z355" s="568"/>
      <c r="AA355" s="569"/>
      <c r="AB355" s="569"/>
      <c r="AC355" s="569"/>
      <c r="AD355" s="460"/>
    </row>
    <row r="356" spans="26:30" ht="11.25" x14ac:dyDescent="0.2">
      <c r="Z356" s="568"/>
      <c r="AA356" s="569"/>
      <c r="AB356" s="569"/>
      <c r="AC356" s="569"/>
      <c r="AD356" s="460"/>
    </row>
    <row r="357" spans="26:30" ht="11.25" x14ac:dyDescent="0.2">
      <c r="Z357" s="568"/>
      <c r="AA357" s="569"/>
      <c r="AB357" s="569"/>
      <c r="AC357" s="569"/>
      <c r="AD357" s="460"/>
    </row>
    <row r="358" spans="26:30" ht="11.25" x14ac:dyDescent="0.2">
      <c r="Z358" s="568"/>
      <c r="AA358" s="569"/>
      <c r="AB358" s="569"/>
      <c r="AC358" s="569"/>
      <c r="AD358" s="460"/>
    </row>
    <row r="359" spans="26:30" ht="11.25" x14ac:dyDescent="0.2">
      <c r="Z359" s="568"/>
      <c r="AA359" s="569"/>
      <c r="AB359" s="569"/>
      <c r="AC359" s="569"/>
      <c r="AD359" s="460"/>
    </row>
    <row r="360" spans="26:30" ht="11.25" x14ac:dyDescent="0.2">
      <c r="Z360" s="568"/>
      <c r="AA360" s="569"/>
      <c r="AB360" s="569"/>
      <c r="AC360" s="569"/>
      <c r="AD360" s="460"/>
    </row>
    <row r="361" spans="26:30" ht="11.25" x14ac:dyDescent="0.2">
      <c r="Z361" s="568"/>
      <c r="AA361" s="569"/>
      <c r="AB361" s="569"/>
      <c r="AC361" s="569"/>
      <c r="AD361" s="460"/>
    </row>
    <row r="362" spans="26:30" ht="11.25" x14ac:dyDescent="0.2">
      <c r="Z362" s="568"/>
      <c r="AA362" s="569"/>
      <c r="AB362" s="569"/>
      <c r="AC362" s="569"/>
      <c r="AD362" s="460"/>
    </row>
    <row r="363" spans="26:30" ht="11.25" x14ac:dyDescent="0.2">
      <c r="Z363" s="568"/>
      <c r="AA363" s="569"/>
      <c r="AB363" s="569"/>
      <c r="AC363" s="569"/>
      <c r="AD363" s="460"/>
    </row>
    <row r="364" spans="26:30" ht="11.25" x14ac:dyDescent="0.2">
      <c r="Z364" s="568"/>
      <c r="AA364" s="569"/>
      <c r="AB364" s="569"/>
      <c r="AC364" s="569"/>
      <c r="AD364" s="460"/>
    </row>
    <row r="365" spans="26:30" ht="11.25" x14ac:dyDescent="0.2">
      <c r="Z365" s="568"/>
      <c r="AA365" s="569"/>
      <c r="AB365" s="569"/>
      <c r="AC365" s="569"/>
      <c r="AD365" s="460"/>
    </row>
    <row r="366" spans="26:30" ht="11.25" x14ac:dyDescent="0.2">
      <c r="Z366" s="568"/>
      <c r="AA366" s="569"/>
      <c r="AB366" s="569"/>
      <c r="AC366" s="569"/>
      <c r="AD366" s="460"/>
    </row>
    <row r="367" spans="26:30" ht="11.25" x14ac:dyDescent="0.2">
      <c r="Z367" s="568"/>
      <c r="AA367" s="569"/>
      <c r="AB367" s="569"/>
      <c r="AC367" s="569"/>
      <c r="AD367" s="460"/>
    </row>
    <row r="368" spans="26:30" ht="11.25" x14ac:dyDescent="0.2">
      <c r="Z368" s="568"/>
      <c r="AA368" s="569"/>
      <c r="AB368" s="569"/>
      <c r="AC368" s="569"/>
      <c r="AD368" s="460"/>
    </row>
    <row r="369" spans="26:30" ht="11.25" x14ac:dyDescent="0.2">
      <c r="Z369" s="568"/>
      <c r="AA369" s="569"/>
      <c r="AB369" s="569"/>
      <c r="AC369" s="569"/>
      <c r="AD369" s="460"/>
    </row>
    <row r="370" spans="26:30" ht="11.25" x14ac:dyDescent="0.2">
      <c r="Z370" s="568"/>
      <c r="AA370" s="569"/>
      <c r="AB370" s="569"/>
      <c r="AC370" s="569"/>
      <c r="AD370" s="460"/>
    </row>
    <row r="371" spans="26:30" ht="11.25" x14ac:dyDescent="0.2">
      <c r="Z371" s="568"/>
      <c r="AA371" s="569"/>
      <c r="AB371" s="569"/>
      <c r="AC371" s="569"/>
      <c r="AD371" s="460"/>
    </row>
    <row r="372" spans="26:30" ht="11.25" x14ac:dyDescent="0.2">
      <c r="Z372" s="568"/>
      <c r="AA372" s="569"/>
      <c r="AB372" s="569"/>
      <c r="AC372" s="569"/>
      <c r="AD372" s="460"/>
    </row>
    <row r="373" spans="26:30" ht="11.25" x14ac:dyDescent="0.2">
      <c r="Z373" s="568"/>
      <c r="AA373" s="569"/>
      <c r="AB373" s="569"/>
      <c r="AC373" s="569"/>
      <c r="AD373" s="460"/>
    </row>
    <row r="374" spans="26:30" ht="11.25" x14ac:dyDescent="0.2">
      <c r="Z374" s="568"/>
      <c r="AA374" s="569"/>
      <c r="AB374" s="569"/>
      <c r="AC374" s="569"/>
      <c r="AD374" s="460"/>
    </row>
    <row r="375" spans="26:30" ht="11.25" x14ac:dyDescent="0.2">
      <c r="Z375" s="568"/>
      <c r="AA375" s="569"/>
      <c r="AB375" s="569"/>
      <c r="AC375" s="569"/>
      <c r="AD375" s="460"/>
    </row>
    <row r="376" spans="26:30" ht="11.25" x14ac:dyDescent="0.2">
      <c r="Z376" s="568"/>
      <c r="AA376" s="569"/>
      <c r="AB376" s="569"/>
      <c r="AC376" s="569"/>
      <c r="AD376" s="460"/>
    </row>
    <row r="377" spans="26:30" ht="11.25" x14ac:dyDescent="0.2">
      <c r="AD377" s="460"/>
    </row>
    <row r="378" spans="26:30" ht="11.25" x14ac:dyDescent="0.2">
      <c r="AD378" s="460"/>
    </row>
    <row r="379" spans="26:30" ht="11.25" x14ac:dyDescent="0.2">
      <c r="AD379" s="460"/>
    </row>
    <row r="380" spans="26:30" ht="11.25" x14ac:dyDescent="0.2">
      <c r="AD380" s="460"/>
    </row>
    <row r="381" spans="26:30" ht="11.25" x14ac:dyDescent="0.2">
      <c r="AD381" s="460"/>
    </row>
    <row r="382" spans="26:30" ht="11.25" x14ac:dyDescent="0.2">
      <c r="AD382" s="460"/>
    </row>
    <row r="383" spans="26:30" ht="11.25" x14ac:dyDescent="0.2">
      <c r="AD383" s="460"/>
    </row>
    <row r="384" spans="26:30" ht="11.25" x14ac:dyDescent="0.2">
      <c r="AD384" s="460"/>
    </row>
    <row r="385" spans="30:30" ht="11.25" x14ac:dyDescent="0.2">
      <c r="AD385" s="460"/>
    </row>
    <row r="386" spans="30:30" ht="11.25" x14ac:dyDescent="0.2">
      <c r="AD386" s="460"/>
    </row>
    <row r="387" spans="30:30" ht="11.25" x14ac:dyDescent="0.2">
      <c r="AD387" s="460"/>
    </row>
    <row r="388" spans="30:30" ht="11.25" x14ac:dyDescent="0.2">
      <c r="AD388" s="460"/>
    </row>
    <row r="389" spans="30:30" ht="11.25" x14ac:dyDescent="0.2">
      <c r="AD389" s="460"/>
    </row>
    <row r="390" spans="30:30" ht="11.25" x14ac:dyDescent="0.2">
      <c r="AD390" s="460"/>
    </row>
    <row r="391" spans="30:30" ht="11.25" x14ac:dyDescent="0.2">
      <c r="AD391" s="460"/>
    </row>
    <row r="392" spans="30:30" ht="11.25" x14ac:dyDescent="0.2">
      <c r="AD392" s="460"/>
    </row>
    <row r="393" spans="30:30" ht="11.25" x14ac:dyDescent="0.2">
      <c r="AD393" s="460"/>
    </row>
    <row r="394" spans="30:30" ht="11.25" x14ac:dyDescent="0.2">
      <c r="AD394" s="460"/>
    </row>
    <row r="395" spans="30:30" ht="11.25" x14ac:dyDescent="0.2">
      <c r="AD395" s="460"/>
    </row>
    <row r="396" spans="30:30" ht="11.25" x14ac:dyDescent="0.2">
      <c r="AD396" s="460"/>
    </row>
    <row r="397" spans="30:30" ht="11.25" x14ac:dyDescent="0.2">
      <c r="AD397" s="460"/>
    </row>
    <row r="398" spans="30:30" ht="11.25" x14ac:dyDescent="0.2">
      <c r="AD398" s="460"/>
    </row>
    <row r="399" spans="30:30" ht="11.25" x14ac:dyDescent="0.2">
      <c r="AD399" s="460"/>
    </row>
    <row r="400" spans="30:30" ht="11.25" x14ac:dyDescent="0.2">
      <c r="AD400" s="460"/>
    </row>
    <row r="401" spans="30:30" ht="11.25" x14ac:dyDescent="0.2">
      <c r="AD401" s="460"/>
    </row>
    <row r="402" spans="30:30" ht="11.25" x14ac:dyDescent="0.2">
      <c r="AD402" s="460"/>
    </row>
    <row r="403" spans="30:30" ht="11.25" x14ac:dyDescent="0.2">
      <c r="AD403" s="460"/>
    </row>
    <row r="404" spans="30:30" ht="11.25" x14ac:dyDescent="0.2">
      <c r="AD404" s="460"/>
    </row>
    <row r="405" spans="30:30" ht="11.25" x14ac:dyDescent="0.2">
      <c r="AD405" s="460"/>
    </row>
    <row r="406" spans="30:30" ht="11.25" x14ac:dyDescent="0.2">
      <c r="AD406" s="460"/>
    </row>
    <row r="407" spans="30:30" ht="11.25" x14ac:dyDescent="0.2">
      <c r="AD407" s="460"/>
    </row>
    <row r="408" spans="30:30" ht="11.25" x14ac:dyDescent="0.2">
      <c r="AD408" s="460"/>
    </row>
    <row r="409" spans="30:30" ht="11.25" x14ac:dyDescent="0.2">
      <c r="AD409" s="460"/>
    </row>
    <row r="410" spans="30:30" ht="11.25" x14ac:dyDescent="0.2">
      <c r="AD410" s="460"/>
    </row>
    <row r="411" spans="30:30" ht="11.25" x14ac:dyDescent="0.2">
      <c r="AD411" s="460"/>
    </row>
    <row r="412" spans="30:30" ht="11.25" x14ac:dyDescent="0.2">
      <c r="AD412" s="460"/>
    </row>
    <row r="413" spans="30:30" ht="11.25" x14ac:dyDescent="0.2">
      <c r="AD413" s="460"/>
    </row>
    <row r="414" spans="30:30" ht="11.25" x14ac:dyDescent="0.2">
      <c r="AD414" s="460"/>
    </row>
    <row r="415" spans="30:30" ht="11.25" x14ac:dyDescent="0.2">
      <c r="AD415" s="460"/>
    </row>
    <row r="416" spans="30:30" ht="11.25" x14ac:dyDescent="0.2">
      <c r="AD416" s="460"/>
    </row>
    <row r="417" spans="30:30" ht="11.25" x14ac:dyDescent="0.2">
      <c r="AD417" s="460"/>
    </row>
    <row r="418" spans="30:30" ht="11.25" x14ac:dyDescent="0.2">
      <c r="AD418" s="460"/>
    </row>
    <row r="419" spans="30:30" ht="11.25" x14ac:dyDescent="0.2">
      <c r="AD419" s="460"/>
    </row>
    <row r="420" spans="30:30" ht="11.25" x14ac:dyDescent="0.2">
      <c r="AD420" s="460"/>
    </row>
    <row r="421" spans="30:30" ht="11.25" x14ac:dyDescent="0.2">
      <c r="AD421" s="460"/>
    </row>
    <row r="422" spans="30:30" ht="11.25" x14ac:dyDescent="0.2">
      <c r="AD422" s="460"/>
    </row>
    <row r="423" spans="30:30" ht="11.25" x14ac:dyDescent="0.2">
      <c r="AD423" s="460"/>
    </row>
    <row r="424" spans="30:30" ht="11.25" x14ac:dyDescent="0.2">
      <c r="AD424" s="460"/>
    </row>
    <row r="425" spans="30:30" ht="11.25" x14ac:dyDescent="0.2">
      <c r="AD425" s="460"/>
    </row>
    <row r="426" spans="30:30" ht="11.25" x14ac:dyDescent="0.2">
      <c r="AD426" s="460"/>
    </row>
    <row r="427" spans="30:30" ht="11.25" x14ac:dyDescent="0.2">
      <c r="AD427" s="460"/>
    </row>
    <row r="428" spans="30:30" ht="11.25" x14ac:dyDescent="0.2">
      <c r="AD428" s="460"/>
    </row>
    <row r="429" spans="30:30" ht="11.25" x14ac:dyDescent="0.2">
      <c r="AD429" s="460"/>
    </row>
    <row r="430" spans="30:30" ht="11.25" x14ac:dyDescent="0.2">
      <c r="AD430" s="460"/>
    </row>
    <row r="431" spans="30:30" ht="11.25" x14ac:dyDescent="0.2">
      <c r="AD431" s="460"/>
    </row>
    <row r="432" spans="30:30" ht="11.25" x14ac:dyDescent="0.2">
      <c r="AD432" s="460"/>
    </row>
    <row r="433" spans="30:30" ht="11.25" x14ac:dyDescent="0.2">
      <c r="AD433" s="460"/>
    </row>
    <row r="434" spans="30:30" ht="11.25" x14ac:dyDescent="0.2">
      <c r="AD434" s="460"/>
    </row>
    <row r="435" spans="30:30" ht="11.25" x14ac:dyDescent="0.2">
      <c r="AD435" s="460"/>
    </row>
    <row r="436" spans="30:30" ht="11.25" x14ac:dyDescent="0.2">
      <c r="AD436" s="460"/>
    </row>
    <row r="437" spans="30:30" ht="11.25" x14ac:dyDescent="0.2">
      <c r="AD437" s="460"/>
    </row>
    <row r="438" spans="30:30" ht="11.25" x14ac:dyDescent="0.2">
      <c r="AD438" s="460"/>
    </row>
    <row r="439" spans="30:30" ht="11.25" x14ac:dyDescent="0.2">
      <c r="AD439" s="460"/>
    </row>
    <row r="440" spans="30:30" ht="11.25" x14ac:dyDescent="0.2">
      <c r="AD440" s="460"/>
    </row>
    <row r="441" spans="30:30" ht="11.25" x14ac:dyDescent="0.2">
      <c r="AD441" s="460"/>
    </row>
    <row r="442" spans="30:30" ht="11.25" x14ac:dyDescent="0.2">
      <c r="AD442" s="460"/>
    </row>
    <row r="443" spans="30:30" ht="11.25" x14ac:dyDescent="0.2">
      <c r="AD443" s="460"/>
    </row>
    <row r="444" spans="30:30" ht="11.25" x14ac:dyDescent="0.2">
      <c r="AD444" s="460"/>
    </row>
    <row r="445" spans="30:30" ht="11.25" x14ac:dyDescent="0.2">
      <c r="AD445" s="460"/>
    </row>
    <row r="446" spans="30:30" ht="11.25" x14ac:dyDescent="0.2">
      <c r="AD446" s="460"/>
    </row>
    <row r="447" spans="30:30" ht="11.25" x14ac:dyDescent="0.2">
      <c r="AD447" s="460"/>
    </row>
    <row r="448" spans="30:30" ht="11.25" x14ac:dyDescent="0.2">
      <c r="AD448" s="460"/>
    </row>
    <row r="449" spans="30:30" ht="11.25" x14ac:dyDescent="0.2">
      <c r="AD449" s="460"/>
    </row>
    <row r="450" spans="30:30" ht="11.25" x14ac:dyDescent="0.2">
      <c r="AD450" s="460"/>
    </row>
    <row r="451" spans="30:30" ht="11.25" x14ac:dyDescent="0.2">
      <c r="AD451" s="460"/>
    </row>
    <row r="452" spans="30:30" ht="11.25" x14ac:dyDescent="0.2">
      <c r="AD452" s="460"/>
    </row>
    <row r="453" spans="30:30" ht="11.25" x14ac:dyDescent="0.2">
      <c r="AD453" s="460"/>
    </row>
    <row r="454" spans="30:30" ht="11.25" x14ac:dyDescent="0.2">
      <c r="AD454" s="460"/>
    </row>
    <row r="455" spans="30:30" ht="11.25" x14ac:dyDescent="0.2">
      <c r="AD455" s="460"/>
    </row>
    <row r="456" spans="30:30" ht="11.25" x14ac:dyDescent="0.2">
      <c r="AD456" s="460"/>
    </row>
    <row r="457" spans="30:30" ht="11.25" x14ac:dyDescent="0.2">
      <c r="AD457" s="460"/>
    </row>
    <row r="458" spans="30:30" ht="11.25" x14ac:dyDescent="0.2">
      <c r="AD458" s="460"/>
    </row>
    <row r="459" spans="30:30" ht="11.25" x14ac:dyDescent="0.2">
      <c r="AD459" s="460"/>
    </row>
    <row r="460" spans="30:30" ht="11.25" x14ac:dyDescent="0.2">
      <c r="AD460" s="460"/>
    </row>
    <row r="461" spans="30:30" ht="11.25" x14ac:dyDescent="0.2">
      <c r="AD461" s="460"/>
    </row>
    <row r="462" spans="30:30" ht="11.25" x14ac:dyDescent="0.2">
      <c r="AD462" s="460"/>
    </row>
    <row r="463" spans="30:30" ht="11.25" x14ac:dyDescent="0.2">
      <c r="AD463" s="460"/>
    </row>
    <row r="464" spans="30:30" ht="11.25" x14ac:dyDescent="0.2">
      <c r="AD464" s="460"/>
    </row>
    <row r="465" spans="30:30" ht="11.25" x14ac:dyDescent="0.2">
      <c r="AD465" s="460"/>
    </row>
    <row r="466" spans="30:30" ht="11.25" x14ac:dyDescent="0.2">
      <c r="AD466" s="460"/>
    </row>
    <row r="467" spans="30:30" ht="11.25" x14ac:dyDescent="0.2">
      <c r="AD467" s="460"/>
    </row>
    <row r="468" spans="30:30" ht="11.25" x14ac:dyDescent="0.2">
      <c r="AD468" s="460"/>
    </row>
    <row r="469" spans="30:30" ht="11.25" x14ac:dyDescent="0.2">
      <c r="AD469" s="460"/>
    </row>
    <row r="470" spans="30:30" ht="11.25" x14ac:dyDescent="0.2">
      <c r="AD470" s="460"/>
    </row>
    <row r="471" spans="30:30" ht="11.25" x14ac:dyDescent="0.2">
      <c r="AD471" s="460"/>
    </row>
    <row r="472" spans="30:30" ht="11.25" x14ac:dyDescent="0.2">
      <c r="AD472" s="460"/>
    </row>
    <row r="473" spans="30:30" ht="11.25" x14ac:dyDescent="0.2">
      <c r="AD473" s="460"/>
    </row>
    <row r="474" spans="30:30" ht="11.25" x14ac:dyDescent="0.2">
      <c r="AD474" s="460"/>
    </row>
    <row r="475" spans="30:30" ht="11.25" x14ac:dyDescent="0.2">
      <c r="AD475" s="460"/>
    </row>
    <row r="476" spans="30:30" ht="11.25" x14ac:dyDescent="0.2">
      <c r="AD476" s="460"/>
    </row>
    <row r="477" spans="30:30" ht="11.25" x14ac:dyDescent="0.2">
      <c r="AD477" s="460"/>
    </row>
    <row r="478" spans="30:30" ht="11.25" x14ac:dyDescent="0.2">
      <c r="AD478" s="460"/>
    </row>
    <row r="479" spans="30:30" ht="11.25" x14ac:dyDescent="0.2">
      <c r="AD479" s="460"/>
    </row>
    <row r="480" spans="30:30" ht="11.25" x14ac:dyDescent="0.2">
      <c r="AD480" s="460"/>
    </row>
    <row r="481" spans="30:30" ht="11.25" x14ac:dyDescent="0.2">
      <c r="AD481" s="460"/>
    </row>
    <row r="482" spans="30:30" ht="11.25" x14ac:dyDescent="0.2">
      <c r="AD482" s="460"/>
    </row>
    <row r="483" spans="30:30" ht="11.25" x14ac:dyDescent="0.2">
      <c r="AD483" s="460"/>
    </row>
    <row r="484" spans="30:30" ht="11.25" x14ac:dyDescent="0.2">
      <c r="AD484" s="460"/>
    </row>
    <row r="485" spans="30:30" ht="11.25" x14ac:dyDescent="0.2">
      <c r="AD485" s="460"/>
    </row>
    <row r="486" spans="30:30" ht="11.25" x14ac:dyDescent="0.2">
      <c r="AD486" s="460"/>
    </row>
    <row r="487" spans="30:30" ht="11.25" x14ac:dyDescent="0.2">
      <c r="AD487" s="460"/>
    </row>
    <row r="488" spans="30:30" ht="11.25" x14ac:dyDescent="0.2">
      <c r="AD488" s="460"/>
    </row>
    <row r="489" spans="30:30" ht="11.25" x14ac:dyDescent="0.2">
      <c r="AD489" s="460"/>
    </row>
    <row r="490" spans="30:30" ht="11.25" x14ac:dyDescent="0.2">
      <c r="AD490" s="460"/>
    </row>
    <row r="491" spans="30:30" ht="11.25" x14ac:dyDescent="0.2">
      <c r="AD491" s="460"/>
    </row>
    <row r="492" spans="30:30" ht="11.25" x14ac:dyDescent="0.2">
      <c r="AD492" s="460"/>
    </row>
    <row r="493" spans="30:30" ht="11.25" x14ac:dyDescent="0.2">
      <c r="AD493" s="460"/>
    </row>
    <row r="494" spans="30:30" ht="11.25" x14ac:dyDescent="0.2">
      <c r="AD494" s="460"/>
    </row>
    <row r="495" spans="30:30" ht="11.25" x14ac:dyDescent="0.2">
      <c r="AD495" s="460"/>
    </row>
    <row r="496" spans="30:30" ht="11.25" x14ac:dyDescent="0.2">
      <c r="AD496" s="460"/>
    </row>
    <row r="497" spans="30:30" ht="11.25" x14ac:dyDescent="0.2">
      <c r="AD497" s="460"/>
    </row>
    <row r="498" spans="30:30" ht="11.25" x14ac:dyDescent="0.2">
      <c r="AD498" s="460"/>
    </row>
    <row r="499" spans="30:30" ht="11.25" x14ac:dyDescent="0.2">
      <c r="AD499" s="460"/>
    </row>
    <row r="500" spans="30:30" ht="11.25" x14ac:dyDescent="0.2">
      <c r="AD500" s="460"/>
    </row>
    <row r="501" spans="30:30" ht="11.25" x14ac:dyDescent="0.2">
      <c r="AD501" s="460"/>
    </row>
    <row r="502" spans="30:30" ht="11.25" x14ac:dyDescent="0.2">
      <c r="AD502" s="460"/>
    </row>
    <row r="503" spans="30:30" ht="11.25" x14ac:dyDescent="0.2">
      <c r="AD503" s="460"/>
    </row>
    <row r="504" spans="30:30" ht="11.25" x14ac:dyDescent="0.2">
      <c r="AD504" s="460"/>
    </row>
    <row r="505" spans="30:30" ht="11.25" x14ac:dyDescent="0.2">
      <c r="AD505" s="460"/>
    </row>
    <row r="506" spans="30:30" ht="11.25" x14ac:dyDescent="0.2">
      <c r="AD506" s="460"/>
    </row>
    <row r="507" spans="30:30" ht="11.25" x14ac:dyDescent="0.2">
      <c r="AD507" s="460"/>
    </row>
    <row r="508" spans="30:30" ht="11.25" x14ac:dyDescent="0.2">
      <c r="AD508" s="460"/>
    </row>
    <row r="509" spans="30:30" ht="11.25" x14ac:dyDescent="0.2">
      <c r="AD509" s="460"/>
    </row>
    <row r="510" spans="30:30" ht="11.25" x14ac:dyDescent="0.2">
      <c r="AD510" s="460"/>
    </row>
    <row r="511" spans="30:30" ht="11.25" x14ac:dyDescent="0.2">
      <c r="AD511" s="460"/>
    </row>
    <row r="512" spans="30:30" ht="11.25" x14ac:dyDescent="0.2">
      <c r="AD512" s="460"/>
    </row>
    <row r="513" spans="30:30" ht="11.25" x14ac:dyDescent="0.2">
      <c r="AD513" s="460"/>
    </row>
    <row r="514" spans="30:30" ht="11.25" x14ac:dyDescent="0.2">
      <c r="AD514" s="460"/>
    </row>
    <row r="515" spans="30:30" ht="11.25" x14ac:dyDescent="0.2">
      <c r="AD515" s="460"/>
    </row>
    <row r="516" spans="30:30" ht="11.25" x14ac:dyDescent="0.2">
      <c r="AD516" s="460"/>
    </row>
    <row r="517" spans="30:30" ht="11.25" x14ac:dyDescent="0.2">
      <c r="AD517" s="460"/>
    </row>
    <row r="518" spans="30:30" ht="11.25" x14ac:dyDescent="0.2">
      <c r="AD518" s="460"/>
    </row>
    <row r="519" spans="30:30" ht="11.25" x14ac:dyDescent="0.2">
      <c r="AD519" s="460"/>
    </row>
    <row r="520" spans="30:30" ht="11.25" x14ac:dyDescent="0.2">
      <c r="AD520" s="460"/>
    </row>
    <row r="521" spans="30:30" ht="11.25" x14ac:dyDescent="0.2">
      <c r="AD521" s="460"/>
    </row>
    <row r="522" spans="30:30" ht="11.25" x14ac:dyDescent="0.2">
      <c r="AD522" s="460"/>
    </row>
    <row r="523" spans="30:30" ht="11.25" x14ac:dyDescent="0.2">
      <c r="AD523" s="460"/>
    </row>
    <row r="524" spans="30:30" ht="11.25" x14ac:dyDescent="0.2">
      <c r="AD524" s="460"/>
    </row>
    <row r="525" spans="30:30" ht="11.25" x14ac:dyDescent="0.2">
      <c r="AD525" s="460"/>
    </row>
    <row r="526" spans="30:30" ht="11.25" x14ac:dyDescent="0.2">
      <c r="AD526" s="460"/>
    </row>
    <row r="527" spans="30:30" ht="11.25" x14ac:dyDescent="0.2">
      <c r="AD527" s="460"/>
    </row>
    <row r="528" spans="30:30" ht="11.25" x14ac:dyDescent="0.2">
      <c r="AD528" s="460"/>
    </row>
    <row r="529" spans="30:30" ht="11.25" x14ac:dyDescent="0.2">
      <c r="AD529" s="460"/>
    </row>
    <row r="530" spans="30:30" ht="11.25" x14ac:dyDescent="0.2">
      <c r="AD530" s="460"/>
    </row>
    <row r="531" spans="30:30" ht="11.25" x14ac:dyDescent="0.2">
      <c r="AD531" s="460"/>
    </row>
    <row r="532" spans="30:30" ht="11.25" x14ac:dyDescent="0.2">
      <c r="AD532" s="460"/>
    </row>
    <row r="533" spans="30:30" ht="11.25" x14ac:dyDescent="0.2">
      <c r="AD533" s="460"/>
    </row>
    <row r="534" spans="30:30" ht="11.25" x14ac:dyDescent="0.2">
      <c r="AD534" s="460"/>
    </row>
    <row r="535" spans="30:30" ht="11.25" x14ac:dyDescent="0.2">
      <c r="AD535" s="460"/>
    </row>
    <row r="536" spans="30:30" ht="11.25" x14ac:dyDescent="0.2">
      <c r="AD536" s="460"/>
    </row>
    <row r="537" spans="30:30" ht="11.25" x14ac:dyDescent="0.2">
      <c r="AD537" s="460"/>
    </row>
    <row r="538" spans="30:30" ht="11.25" x14ac:dyDescent="0.2">
      <c r="AD538" s="460"/>
    </row>
    <row r="539" spans="30:30" ht="11.25" x14ac:dyDescent="0.2">
      <c r="AD539" s="460"/>
    </row>
    <row r="540" spans="30:30" ht="11.25" x14ac:dyDescent="0.2">
      <c r="AD540" s="460"/>
    </row>
    <row r="541" spans="30:30" ht="11.25" x14ac:dyDescent="0.2">
      <c r="AD541" s="460"/>
    </row>
    <row r="542" spans="30:30" ht="11.25" x14ac:dyDescent="0.2">
      <c r="AD542" s="460"/>
    </row>
    <row r="543" spans="30:30" ht="11.25" x14ac:dyDescent="0.2">
      <c r="AD543" s="460"/>
    </row>
    <row r="544" spans="30:30" ht="11.25" x14ac:dyDescent="0.2">
      <c r="AD544" s="460"/>
    </row>
    <row r="545" spans="30:30" ht="11.25" x14ac:dyDescent="0.2">
      <c r="AD545" s="460"/>
    </row>
    <row r="546" spans="30:30" ht="11.25" x14ac:dyDescent="0.2">
      <c r="AD546" s="460"/>
    </row>
    <row r="547" spans="30:30" ht="11.25" x14ac:dyDescent="0.2">
      <c r="AD547" s="460"/>
    </row>
    <row r="548" spans="30:30" ht="11.25" x14ac:dyDescent="0.2">
      <c r="AD548" s="460"/>
    </row>
    <row r="549" spans="30:30" ht="11.25" x14ac:dyDescent="0.2">
      <c r="AD549" s="460"/>
    </row>
    <row r="550" spans="30:30" ht="11.25" x14ac:dyDescent="0.2">
      <c r="AD550" s="460"/>
    </row>
    <row r="551" spans="30:30" ht="11.25" x14ac:dyDescent="0.2">
      <c r="AD551" s="460"/>
    </row>
    <row r="552" spans="30:30" ht="11.25" x14ac:dyDescent="0.2">
      <c r="AD552" s="460"/>
    </row>
    <row r="553" spans="30:30" ht="11.25" x14ac:dyDescent="0.2">
      <c r="AD553" s="460"/>
    </row>
    <row r="554" spans="30:30" ht="11.25" x14ac:dyDescent="0.2">
      <c r="AD554" s="460"/>
    </row>
    <row r="555" spans="30:30" ht="11.25" x14ac:dyDescent="0.2">
      <c r="AD555" s="460"/>
    </row>
    <row r="556" spans="30:30" ht="11.25" x14ac:dyDescent="0.2">
      <c r="AD556" s="460"/>
    </row>
    <row r="557" spans="30:30" ht="11.25" x14ac:dyDescent="0.2">
      <c r="AD557" s="460"/>
    </row>
    <row r="558" spans="30:30" ht="11.25" x14ac:dyDescent="0.2">
      <c r="AD558" s="460"/>
    </row>
    <row r="559" spans="30:30" ht="11.25" x14ac:dyDescent="0.2">
      <c r="AD559" s="460"/>
    </row>
    <row r="560" spans="30:30" ht="11.25" x14ac:dyDescent="0.2">
      <c r="AD560" s="460"/>
    </row>
    <row r="561" spans="30:30" ht="11.25" x14ac:dyDescent="0.2">
      <c r="AD561" s="460"/>
    </row>
    <row r="562" spans="30:30" ht="11.25" x14ac:dyDescent="0.2">
      <c r="AD562" s="460"/>
    </row>
    <row r="563" spans="30:30" ht="11.25" x14ac:dyDescent="0.2">
      <c r="AD563" s="460"/>
    </row>
    <row r="564" spans="30:30" ht="11.25" x14ac:dyDescent="0.2">
      <c r="AD564" s="460"/>
    </row>
    <row r="565" spans="30:30" ht="11.25" x14ac:dyDescent="0.2">
      <c r="AD565" s="460"/>
    </row>
    <row r="566" spans="30:30" ht="11.25" x14ac:dyDescent="0.2">
      <c r="AD566" s="460"/>
    </row>
    <row r="567" spans="30:30" ht="11.25" x14ac:dyDescent="0.2">
      <c r="AD567" s="460"/>
    </row>
    <row r="568" spans="30:30" ht="11.25" x14ac:dyDescent="0.2">
      <c r="AD568" s="460"/>
    </row>
    <row r="569" spans="30:30" ht="11.25" x14ac:dyDescent="0.2">
      <c r="AD569" s="460"/>
    </row>
    <row r="570" spans="30:30" ht="11.25" x14ac:dyDescent="0.2">
      <c r="AD570" s="460"/>
    </row>
    <row r="571" spans="30:30" ht="11.25" x14ac:dyDescent="0.2">
      <c r="AD571" s="460"/>
    </row>
    <row r="572" spans="30:30" ht="11.25" x14ac:dyDescent="0.2">
      <c r="AD572" s="460"/>
    </row>
    <row r="573" spans="30:30" ht="11.25" x14ac:dyDescent="0.2">
      <c r="AD573" s="460"/>
    </row>
    <row r="574" spans="30:30" ht="11.25" x14ac:dyDescent="0.2">
      <c r="AD574" s="460"/>
    </row>
    <row r="575" spans="30:30" ht="11.25" x14ac:dyDescent="0.2">
      <c r="AD575" s="460"/>
    </row>
    <row r="576" spans="30:30" ht="11.25" x14ac:dyDescent="0.2">
      <c r="AD576" s="460"/>
    </row>
    <row r="577" spans="30:30" ht="11.25" x14ac:dyDescent="0.2">
      <c r="AD577" s="460"/>
    </row>
    <row r="578" spans="30:30" ht="11.25" x14ac:dyDescent="0.2">
      <c r="AD578" s="460"/>
    </row>
    <row r="579" spans="30:30" ht="11.25" x14ac:dyDescent="0.2">
      <c r="AD579" s="460"/>
    </row>
    <row r="580" spans="30:30" ht="11.25" x14ac:dyDescent="0.2">
      <c r="AD580" s="460"/>
    </row>
    <row r="581" spans="30:30" ht="11.25" x14ac:dyDescent="0.2">
      <c r="AD581" s="460"/>
    </row>
    <row r="582" spans="30:30" ht="11.25" x14ac:dyDescent="0.2">
      <c r="AD582" s="460"/>
    </row>
    <row r="583" spans="30:30" ht="11.25" x14ac:dyDescent="0.2">
      <c r="AD583" s="460"/>
    </row>
    <row r="584" spans="30:30" ht="11.25" x14ac:dyDescent="0.2">
      <c r="AD584" s="460"/>
    </row>
    <row r="585" spans="30:30" ht="11.25" x14ac:dyDescent="0.2">
      <c r="AD585" s="460"/>
    </row>
    <row r="586" spans="30:30" ht="11.25" x14ac:dyDescent="0.2">
      <c r="AD586" s="460"/>
    </row>
    <row r="587" spans="30:30" ht="11.25" x14ac:dyDescent="0.2">
      <c r="AD587" s="460"/>
    </row>
    <row r="588" spans="30:30" ht="11.25" x14ac:dyDescent="0.2">
      <c r="AD588" s="460"/>
    </row>
    <row r="589" spans="30:30" ht="11.25" x14ac:dyDescent="0.2">
      <c r="AD589" s="460"/>
    </row>
    <row r="590" spans="30:30" ht="11.25" x14ac:dyDescent="0.2">
      <c r="AD590" s="460"/>
    </row>
    <row r="591" spans="30:30" ht="11.25" x14ac:dyDescent="0.2">
      <c r="AD591" s="460"/>
    </row>
    <row r="592" spans="30:30" ht="11.25" x14ac:dyDescent="0.2">
      <c r="AD592" s="460"/>
    </row>
    <row r="593" spans="30:30" ht="11.25" x14ac:dyDescent="0.2">
      <c r="AD593" s="460"/>
    </row>
    <row r="594" spans="30:30" ht="11.25" x14ac:dyDescent="0.2">
      <c r="AD594" s="460"/>
    </row>
    <row r="595" spans="30:30" ht="11.25" x14ac:dyDescent="0.2">
      <c r="AD595" s="460"/>
    </row>
    <row r="596" spans="30:30" ht="11.25" x14ac:dyDescent="0.2">
      <c r="AD596" s="460"/>
    </row>
    <row r="597" spans="30:30" ht="11.25" x14ac:dyDescent="0.2">
      <c r="AD597" s="460"/>
    </row>
    <row r="598" spans="30:30" ht="11.25" x14ac:dyDescent="0.2">
      <c r="AD598" s="460"/>
    </row>
    <row r="599" spans="30:30" ht="11.25" x14ac:dyDescent="0.2">
      <c r="AD599" s="460"/>
    </row>
    <row r="600" spans="30:30" ht="11.25" x14ac:dyDescent="0.2">
      <c r="AD600" s="460"/>
    </row>
    <row r="601" spans="30:30" ht="11.25" x14ac:dyDescent="0.2">
      <c r="AD601" s="460"/>
    </row>
    <row r="602" spans="30:30" ht="11.25" x14ac:dyDescent="0.2">
      <c r="AD602" s="460"/>
    </row>
    <row r="603" spans="30:30" ht="11.25" x14ac:dyDescent="0.2">
      <c r="AD603" s="460"/>
    </row>
    <row r="604" spans="30:30" ht="11.25" x14ac:dyDescent="0.2">
      <c r="AD604" s="460"/>
    </row>
    <row r="605" spans="30:30" ht="11.25" x14ac:dyDescent="0.2">
      <c r="AD605" s="460"/>
    </row>
    <row r="606" spans="30:30" ht="11.25" x14ac:dyDescent="0.2">
      <c r="AD606" s="460"/>
    </row>
    <row r="607" spans="30:30" ht="11.25" x14ac:dyDescent="0.2">
      <c r="AD607" s="460"/>
    </row>
    <row r="608" spans="30:30" ht="11.25" x14ac:dyDescent="0.2">
      <c r="AD608" s="460"/>
    </row>
    <row r="609" spans="30:30" ht="11.25" x14ac:dyDescent="0.2">
      <c r="AD609" s="460"/>
    </row>
    <row r="610" spans="30:30" ht="11.25" x14ac:dyDescent="0.2">
      <c r="AD610" s="460"/>
    </row>
    <row r="611" spans="30:30" ht="11.25" x14ac:dyDescent="0.2">
      <c r="AD611" s="460"/>
    </row>
    <row r="612" spans="30:30" ht="11.25" x14ac:dyDescent="0.2">
      <c r="AD612" s="460"/>
    </row>
    <row r="613" spans="30:30" ht="11.25" x14ac:dyDescent="0.2">
      <c r="AD613" s="460"/>
    </row>
    <row r="614" spans="30:30" ht="11.25" x14ac:dyDescent="0.2">
      <c r="AD614" s="460"/>
    </row>
    <row r="615" spans="30:30" ht="11.25" x14ac:dyDescent="0.2">
      <c r="AD615" s="460"/>
    </row>
    <row r="616" spans="30:30" ht="11.25" x14ac:dyDescent="0.2">
      <c r="AD616" s="460"/>
    </row>
    <row r="617" spans="30:30" ht="11.25" x14ac:dyDescent="0.2">
      <c r="AD617" s="460"/>
    </row>
    <row r="618" spans="30:30" ht="11.25" x14ac:dyDescent="0.2">
      <c r="AD618" s="460"/>
    </row>
    <row r="619" spans="30:30" ht="11.25" x14ac:dyDescent="0.2">
      <c r="AD619" s="460"/>
    </row>
    <row r="620" spans="30:30" ht="11.25" x14ac:dyDescent="0.2">
      <c r="AD620" s="460"/>
    </row>
    <row r="621" spans="30:30" ht="11.25" x14ac:dyDescent="0.2">
      <c r="AD621" s="460"/>
    </row>
    <row r="622" spans="30:30" ht="11.25" x14ac:dyDescent="0.2">
      <c r="AD622" s="460"/>
    </row>
  </sheetData>
  <sheetProtection sheet="1" objects="1" scenarios="1" selectLockedCells="1"/>
  <mergeCells count="110">
    <mergeCell ref="B1:AJ1"/>
    <mergeCell ref="E215:I215"/>
    <mergeCell ref="E220:I220"/>
    <mergeCell ref="E204:I204"/>
    <mergeCell ref="E205:I205"/>
    <mergeCell ref="E254:I254"/>
    <mergeCell ref="E233:I233"/>
    <mergeCell ref="E234:I234"/>
    <mergeCell ref="E238:I238"/>
    <mergeCell ref="E243:I243"/>
    <mergeCell ref="E244:I244"/>
    <mergeCell ref="E231:I231"/>
    <mergeCell ref="E232:I232"/>
    <mergeCell ref="E186:I186"/>
    <mergeCell ref="J187:K187"/>
    <mergeCell ref="E181:I181"/>
    <mergeCell ref="E182:I182"/>
    <mergeCell ref="J183:K183"/>
    <mergeCell ref="U202:V202"/>
    <mergeCell ref="E147:I147"/>
    <mergeCell ref="E136:I136"/>
    <mergeCell ref="AA202:AB202"/>
    <mergeCell ref="E195:I195"/>
    <mergeCell ref="J196:K196"/>
    <mergeCell ref="AA172:AB172"/>
    <mergeCell ref="E162:I162"/>
    <mergeCell ref="E164:I164"/>
    <mergeCell ref="E165:I165"/>
    <mergeCell ref="J173:K173"/>
    <mergeCell ref="E175:I175"/>
    <mergeCell ref="E176:I176"/>
    <mergeCell ref="J177:K177"/>
    <mergeCell ref="J172:K172"/>
    <mergeCell ref="U172:V172"/>
    <mergeCell ref="J137:K137"/>
    <mergeCell ref="E155:I155"/>
    <mergeCell ref="E156:I156"/>
    <mergeCell ref="J157:K157"/>
    <mergeCell ref="J148:K148"/>
    <mergeCell ref="E151:I151"/>
    <mergeCell ref="J152:K152"/>
    <mergeCell ref="E134:I134"/>
    <mergeCell ref="J123:K123"/>
    <mergeCell ref="E124:I124"/>
    <mergeCell ref="E125:I125"/>
    <mergeCell ref="E126:I126"/>
    <mergeCell ref="J127:K127"/>
    <mergeCell ref="E142:I142"/>
    <mergeCell ref="E143:I143"/>
    <mergeCell ref="J144:K144"/>
    <mergeCell ref="E98:I98"/>
    <mergeCell ref="J99:K99"/>
    <mergeCell ref="E92:K92"/>
    <mergeCell ref="J94:K94"/>
    <mergeCell ref="J113:K113"/>
    <mergeCell ref="U113:V113"/>
    <mergeCell ref="AA113:AB113"/>
    <mergeCell ref="E102:K102"/>
    <mergeCell ref="J122:K122"/>
    <mergeCell ref="J114:K114"/>
    <mergeCell ref="E115:I115"/>
    <mergeCell ref="E116:I116"/>
    <mergeCell ref="E117:I117"/>
    <mergeCell ref="E73:I73"/>
    <mergeCell ref="E74:I74"/>
    <mergeCell ref="J75:K75"/>
    <mergeCell ref="E64:I64"/>
    <mergeCell ref="J65:K65"/>
    <mergeCell ref="J69:K69"/>
    <mergeCell ref="J83:K83"/>
    <mergeCell ref="E87:I87"/>
    <mergeCell ref="J88:K88"/>
    <mergeCell ref="E82:I82"/>
    <mergeCell ref="J48:K48"/>
    <mergeCell ref="E40:I40"/>
    <mergeCell ref="E41:I41"/>
    <mergeCell ref="J42:K42"/>
    <mergeCell ref="E59:I59"/>
    <mergeCell ref="J60:K60"/>
    <mergeCell ref="E53:I53"/>
    <mergeCell ref="E54:I54"/>
    <mergeCell ref="J55:K55"/>
    <mergeCell ref="J38:K38"/>
    <mergeCell ref="E39:I39"/>
    <mergeCell ref="E32:I32"/>
    <mergeCell ref="E33:I33"/>
    <mergeCell ref="D34:E34"/>
    <mergeCell ref="F34:G34"/>
    <mergeCell ref="H34:I34"/>
    <mergeCell ref="H35:I35"/>
    <mergeCell ref="E47:I47"/>
    <mergeCell ref="E31:I31"/>
    <mergeCell ref="J37:K37"/>
    <mergeCell ref="U37:V37"/>
    <mergeCell ref="X37:Y37"/>
    <mergeCell ref="AA37:AB37"/>
    <mergeCell ref="U19:V19"/>
    <mergeCell ref="X19:Y19"/>
    <mergeCell ref="AA19:AB19"/>
    <mergeCell ref="AD19:AE19"/>
    <mergeCell ref="E23:I23"/>
    <mergeCell ref="M13:O13"/>
    <mergeCell ref="AG19:AH19"/>
    <mergeCell ref="AP19:AQ19"/>
    <mergeCell ref="AS19:AT19"/>
    <mergeCell ref="J18:K18"/>
    <mergeCell ref="U18:Y18"/>
    <mergeCell ref="AA18:AE18"/>
    <mergeCell ref="J19:K19"/>
    <mergeCell ref="E26:I26"/>
  </mergeCells>
  <conditionalFormatting sqref="W47:W48 W53:W55 W59:W60 W64:W65 W68:W69 W73:W75 W82:W83 W87:W88 W92:W94 W98:W99 W102:W103 W111 W121:W127 W134 W136:W137 W142:W144 W147:W148 W151:W152 W155:W157 W162 W164:W166 W171:W177 W181:W183 W186:W187 W195:W196 W201:W206 W212:W215 W217:W245 W113:W118">
    <cfRule type="cellIs" dxfId="287" priority="65" operator="equal">
      <formula>"X"</formula>
    </cfRule>
  </conditionalFormatting>
  <conditionalFormatting sqref="AC47:AC48 AC53:AC55 AC59:AC60 AC64:AC65 AC68:AC69 AC73:AC75 AC82:AC83 AC87:AC88 AC92:AC94 AC98:AC99 AC102:AC103 AC111 AC121:AC127 AC134 AC136:AC137 AC142:AC144 AC147:AC148 AC151:AC152 AC155:AC157 AC162 AC164:AC166 AC171:AC177 AC181:AC183 AC186:AC187 AC195:AC196 AC201:AC206 AC212:AC215 AC217:AC245 AC113:AC118">
    <cfRule type="cellIs" dxfId="286" priority="64" operator="equal">
      <formula>"X"</formula>
    </cfRule>
  </conditionalFormatting>
  <conditionalFormatting sqref="W49:W52">
    <cfRule type="cellIs" dxfId="285" priority="62" operator="equal">
      <formula>"X"</formula>
    </cfRule>
  </conditionalFormatting>
  <conditionalFormatting sqref="AC49:AC52">
    <cfRule type="cellIs" dxfId="284" priority="61" operator="equal">
      <formula>"X"</formula>
    </cfRule>
  </conditionalFormatting>
  <conditionalFormatting sqref="W56:W58">
    <cfRule type="cellIs" dxfId="283" priority="60" operator="equal">
      <formula>"X"</formula>
    </cfRule>
  </conditionalFormatting>
  <conditionalFormatting sqref="AC56:AC58">
    <cfRule type="cellIs" dxfId="282" priority="59" operator="equal">
      <formula>"X"</formula>
    </cfRule>
  </conditionalFormatting>
  <conditionalFormatting sqref="W61:W63">
    <cfRule type="cellIs" dxfId="281" priority="58" operator="equal">
      <formula>"X"</formula>
    </cfRule>
  </conditionalFormatting>
  <conditionalFormatting sqref="AC61:AC63">
    <cfRule type="cellIs" dxfId="280" priority="57" operator="equal">
      <formula>"X"</formula>
    </cfRule>
  </conditionalFormatting>
  <conditionalFormatting sqref="W66:W67">
    <cfRule type="cellIs" dxfId="279" priority="56" operator="equal">
      <formula>"X"</formula>
    </cfRule>
  </conditionalFormatting>
  <conditionalFormatting sqref="AC66:AC67">
    <cfRule type="cellIs" dxfId="278" priority="55" operator="equal">
      <formula>"X"</formula>
    </cfRule>
  </conditionalFormatting>
  <conditionalFormatting sqref="W70:W72">
    <cfRule type="cellIs" dxfId="277" priority="54" operator="equal">
      <formula>"X"</formula>
    </cfRule>
  </conditionalFormatting>
  <conditionalFormatting sqref="AC70:AC72">
    <cfRule type="cellIs" dxfId="276" priority="53" operator="equal">
      <formula>"X"</formula>
    </cfRule>
  </conditionalFormatting>
  <conditionalFormatting sqref="W76:W81">
    <cfRule type="cellIs" dxfId="275" priority="52" operator="equal">
      <formula>"X"</formula>
    </cfRule>
  </conditionalFormatting>
  <conditionalFormatting sqref="AC76:AC81">
    <cfRule type="cellIs" dxfId="274" priority="51" operator="equal">
      <formula>"X"</formula>
    </cfRule>
  </conditionalFormatting>
  <conditionalFormatting sqref="W84:W86">
    <cfRule type="cellIs" dxfId="273" priority="50" operator="equal">
      <formula>"X"</formula>
    </cfRule>
  </conditionalFormatting>
  <conditionalFormatting sqref="AC84:AC86">
    <cfRule type="cellIs" dxfId="272" priority="49" operator="equal">
      <formula>"X"</formula>
    </cfRule>
  </conditionalFormatting>
  <conditionalFormatting sqref="W89:W91">
    <cfRule type="cellIs" dxfId="271" priority="48" operator="equal">
      <formula>"X"</formula>
    </cfRule>
  </conditionalFormatting>
  <conditionalFormatting sqref="AC89:AC91">
    <cfRule type="cellIs" dxfId="270" priority="47" operator="equal">
      <formula>"X"</formula>
    </cfRule>
  </conditionalFormatting>
  <conditionalFormatting sqref="W95:W97">
    <cfRule type="cellIs" dxfId="269" priority="46" operator="equal">
      <formula>"X"</formula>
    </cfRule>
  </conditionalFormatting>
  <conditionalFormatting sqref="AC95:AC97">
    <cfRule type="cellIs" dxfId="268" priority="45" operator="equal">
      <formula>"X"</formula>
    </cfRule>
  </conditionalFormatting>
  <conditionalFormatting sqref="W100:W101">
    <cfRule type="cellIs" dxfId="267" priority="44" operator="equal">
      <formula>"X"</formula>
    </cfRule>
  </conditionalFormatting>
  <conditionalFormatting sqref="AC100:AC101">
    <cfRule type="cellIs" dxfId="266" priority="43" operator="equal">
      <formula>"X"</formula>
    </cfRule>
  </conditionalFormatting>
  <conditionalFormatting sqref="W104:W110">
    <cfRule type="cellIs" dxfId="265" priority="42" operator="equal">
      <formula>"X"</formula>
    </cfRule>
  </conditionalFormatting>
  <conditionalFormatting sqref="AC104:AC110">
    <cfRule type="cellIs" dxfId="264" priority="41" operator="equal">
      <formula>"X"</formula>
    </cfRule>
  </conditionalFormatting>
  <conditionalFormatting sqref="W119:W120">
    <cfRule type="cellIs" dxfId="263" priority="40" operator="equal">
      <formula>"X"</formula>
    </cfRule>
  </conditionalFormatting>
  <conditionalFormatting sqref="AC119:AC120">
    <cfRule type="cellIs" dxfId="262" priority="39" operator="equal">
      <formula>"X"</formula>
    </cfRule>
  </conditionalFormatting>
  <conditionalFormatting sqref="W128:W133">
    <cfRule type="cellIs" dxfId="261" priority="38" operator="equal">
      <formula>"X"</formula>
    </cfRule>
  </conditionalFormatting>
  <conditionalFormatting sqref="AC128:AC133">
    <cfRule type="cellIs" dxfId="260" priority="37" operator="equal">
      <formula>"X"</formula>
    </cfRule>
  </conditionalFormatting>
  <conditionalFormatting sqref="W135">
    <cfRule type="cellIs" dxfId="259" priority="36" operator="equal">
      <formula>"X"</formula>
    </cfRule>
  </conditionalFormatting>
  <conditionalFormatting sqref="AC135">
    <cfRule type="cellIs" dxfId="258" priority="35" operator="equal">
      <formula>"X"</formula>
    </cfRule>
  </conditionalFormatting>
  <conditionalFormatting sqref="W138:W141">
    <cfRule type="cellIs" dxfId="257" priority="34" operator="equal">
      <formula>"X"</formula>
    </cfRule>
  </conditionalFormatting>
  <conditionalFormatting sqref="AC138:AC141">
    <cfRule type="cellIs" dxfId="256" priority="33" operator="equal">
      <formula>"X"</formula>
    </cfRule>
  </conditionalFormatting>
  <conditionalFormatting sqref="W145:W146">
    <cfRule type="cellIs" dxfId="255" priority="32" operator="equal">
      <formula>"X"</formula>
    </cfRule>
  </conditionalFormatting>
  <conditionalFormatting sqref="AC145:AC146">
    <cfRule type="cellIs" dxfId="254" priority="31" operator="equal">
      <formula>"X"</formula>
    </cfRule>
  </conditionalFormatting>
  <conditionalFormatting sqref="W149:W150">
    <cfRule type="cellIs" dxfId="253" priority="30" operator="equal">
      <formula>"X"</formula>
    </cfRule>
  </conditionalFormatting>
  <conditionalFormatting sqref="AC149:AC150">
    <cfRule type="cellIs" dxfId="252" priority="29" operator="equal">
      <formula>"X"</formula>
    </cfRule>
  </conditionalFormatting>
  <conditionalFormatting sqref="W153:W154">
    <cfRule type="cellIs" dxfId="251" priority="28" operator="equal">
      <formula>"X"</formula>
    </cfRule>
  </conditionalFormatting>
  <conditionalFormatting sqref="AC153:AC154">
    <cfRule type="cellIs" dxfId="250" priority="27" operator="equal">
      <formula>"X"</formula>
    </cfRule>
  </conditionalFormatting>
  <conditionalFormatting sqref="W158:W161">
    <cfRule type="cellIs" dxfId="249" priority="26" operator="equal">
      <formula>"X"</formula>
    </cfRule>
  </conditionalFormatting>
  <conditionalFormatting sqref="AC158:AC161">
    <cfRule type="cellIs" dxfId="248" priority="25" operator="equal">
      <formula>"X"</formula>
    </cfRule>
  </conditionalFormatting>
  <conditionalFormatting sqref="W163">
    <cfRule type="cellIs" dxfId="247" priority="24" operator="equal">
      <formula>"X"</formula>
    </cfRule>
  </conditionalFormatting>
  <conditionalFormatting sqref="AC163">
    <cfRule type="cellIs" dxfId="246" priority="23" operator="equal">
      <formula>"X"</formula>
    </cfRule>
  </conditionalFormatting>
  <conditionalFormatting sqref="W167:W170">
    <cfRule type="cellIs" dxfId="245" priority="22" operator="equal">
      <formula>"X"</formula>
    </cfRule>
  </conditionalFormatting>
  <conditionalFormatting sqref="AC167:AC170">
    <cfRule type="cellIs" dxfId="244" priority="21" operator="equal">
      <formula>"X"</formula>
    </cfRule>
  </conditionalFormatting>
  <conditionalFormatting sqref="W178:W180">
    <cfRule type="cellIs" dxfId="243" priority="20" operator="equal">
      <formula>"X"</formula>
    </cfRule>
  </conditionalFormatting>
  <conditionalFormatting sqref="AC178:AC180">
    <cfRule type="cellIs" dxfId="242" priority="19" operator="equal">
      <formula>"X"</formula>
    </cfRule>
  </conditionalFormatting>
  <conditionalFormatting sqref="W184:W185">
    <cfRule type="cellIs" dxfId="241" priority="18" operator="equal">
      <formula>"X"</formula>
    </cfRule>
  </conditionalFormatting>
  <conditionalFormatting sqref="AC184:AC185">
    <cfRule type="cellIs" dxfId="240" priority="17" operator="equal">
      <formula>"X"</formula>
    </cfRule>
  </conditionalFormatting>
  <conditionalFormatting sqref="W188:W194">
    <cfRule type="cellIs" dxfId="239" priority="16" operator="equal">
      <formula>"X"</formula>
    </cfRule>
  </conditionalFormatting>
  <conditionalFormatting sqref="AC188:AC194">
    <cfRule type="cellIs" dxfId="238" priority="15" operator="equal">
      <formula>"X"</formula>
    </cfRule>
  </conditionalFormatting>
  <conditionalFormatting sqref="W197:W200">
    <cfRule type="cellIs" dxfId="237" priority="14" operator="equal">
      <formula>"X"</formula>
    </cfRule>
  </conditionalFormatting>
  <conditionalFormatting sqref="AC197:AC200">
    <cfRule type="cellIs" dxfId="236" priority="13" operator="equal">
      <formula>"X"</formula>
    </cfRule>
  </conditionalFormatting>
  <conditionalFormatting sqref="W207:W211">
    <cfRule type="cellIs" dxfId="235" priority="12" operator="equal">
      <formula>"X"</formula>
    </cfRule>
  </conditionalFormatting>
  <conditionalFormatting sqref="AC207:AC211">
    <cfRule type="cellIs" dxfId="234" priority="11" operator="equal">
      <formula>"X"</formula>
    </cfRule>
  </conditionalFormatting>
  <conditionalFormatting sqref="W216">
    <cfRule type="cellIs" dxfId="233" priority="10" operator="equal">
      <formula>"X"</formula>
    </cfRule>
  </conditionalFormatting>
  <conditionalFormatting sqref="AC216">
    <cfRule type="cellIs" dxfId="232" priority="9" operator="equal">
      <formula>"X"</formula>
    </cfRule>
  </conditionalFormatting>
  <conditionalFormatting sqref="W246:W250">
    <cfRule type="cellIs" dxfId="231" priority="8" operator="equal">
      <formula>"X"</formula>
    </cfRule>
  </conditionalFormatting>
  <conditionalFormatting sqref="AC246:AC250">
    <cfRule type="cellIs" dxfId="230" priority="7" operator="equal">
      <formula>"X"</formula>
    </cfRule>
  </conditionalFormatting>
  <conditionalFormatting sqref="X43:X111 X113:X250">
    <cfRule type="expression" dxfId="229" priority="6">
      <formula>IF(W43="P",TRUE,FALSE)</formula>
    </cfRule>
  </conditionalFormatting>
  <conditionalFormatting sqref="AD43:AD111 AD113:AD250">
    <cfRule type="expression" dxfId="228" priority="5">
      <formula>IF(AC43="P",TRUE,FALSE)</formula>
    </cfRule>
  </conditionalFormatting>
  <conditionalFormatting sqref="Y43:Y111 Y113:Y250">
    <cfRule type="expression" dxfId="227" priority="4">
      <formula>IF(W43="A",TRUE,FALSE)</formula>
    </cfRule>
  </conditionalFormatting>
  <conditionalFormatting sqref="AE43:AE111 AE113:AE250">
    <cfRule type="expression" dxfId="226" priority="3">
      <formula>IF(AC43="A",TRUE,FALSE)</formula>
    </cfRule>
  </conditionalFormatting>
  <conditionalFormatting sqref="W43:W46">
    <cfRule type="cellIs" dxfId="225" priority="2" operator="equal">
      <formula>"X"</formula>
    </cfRule>
  </conditionalFormatting>
  <conditionalFormatting sqref="AC43:AC46">
    <cfRule type="cellIs" dxfId="224" priority="1" operator="equal">
      <formula>"X"</formula>
    </cfRule>
  </conditionalFormatting>
  <pageMargins left="0.23622047244094491" right="0.23622047244094491" top="0.55118110236220474" bottom="0.55118110236220474" header="0.31496062992125984" footer="0.31496062992125984"/>
  <pageSetup paperSize="9" scale="66" fitToHeight="0" orientation="landscape" r:id="rId1"/>
  <rowBreaks count="4" manualBreakCount="4">
    <brk id="52" max="16383" man="1"/>
    <brk id="111" max="16383" man="1"/>
    <brk id="171" max="16383" man="1"/>
    <brk id="2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2710" r:id="rId4" name="Drop Down 38">
              <controlPr defaultSize="0" autoLine="0" autoPict="0">
                <anchor moveWithCells="1">
                  <from>
                    <xdr:col>12</xdr:col>
                    <xdr:colOff>0</xdr:colOff>
                    <xdr:row>11</xdr:row>
                    <xdr:rowOff>142875</xdr:rowOff>
                  </from>
                  <to>
                    <xdr:col>15</xdr:col>
                    <xdr:colOff>57150</xdr:colOff>
                    <xdr:row>13</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5">
    <tabColor rgb="FF00B0F0"/>
    <outlinePr summaryBelow="0" summaryRight="0"/>
  </sheetPr>
  <dimension ref="A1:AC401"/>
  <sheetViews>
    <sheetView showGridLines="0" showRowColHeaders="0" showZeros="0" zoomScaleNormal="100" workbookViewId="0">
      <pane ySplit="1" topLeftCell="A2" activePane="bottomLeft" state="frozen"/>
      <selection activeCell="I1" sqref="I1"/>
      <selection pane="bottomLeft" activeCell="G14" sqref="G14"/>
    </sheetView>
  </sheetViews>
  <sheetFormatPr baseColWidth="10" defaultRowHeight="11.25" x14ac:dyDescent="0.2"/>
  <cols>
    <col min="1" max="1" width="4.28515625" style="460" customWidth="1"/>
    <col min="2" max="2" width="2.7109375" style="327" customWidth="1"/>
    <col min="3" max="3" width="3.85546875" style="327" customWidth="1"/>
    <col min="4" max="4" width="10.7109375" style="327" customWidth="1"/>
    <col min="5" max="5" width="7" style="327" customWidth="1"/>
    <col min="6" max="6" width="16.28515625" style="327" customWidth="1"/>
    <col min="7" max="7" width="18" style="327" customWidth="1"/>
    <col min="8" max="8" width="12.85546875" style="327" customWidth="1"/>
    <col min="9" max="10" width="17.42578125" style="327" customWidth="1"/>
    <col min="11" max="12" width="16.140625" style="327" customWidth="1"/>
    <col min="13" max="13" width="11.7109375" style="327" customWidth="1"/>
    <col min="14" max="14" width="13.85546875" style="327" customWidth="1"/>
    <col min="15" max="18" width="11.42578125" style="327" customWidth="1"/>
    <col min="19" max="19" width="4.28515625" style="460" customWidth="1"/>
    <col min="20" max="20" width="11.42578125" style="327"/>
    <col min="21" max="21" width="11.42578125" style="327" customWidth="1"/>
    <col min="22" max="22" width="14.42578125" style="327" customWidth="1"/>
    <col min="23" max="23" width="11.42578125" style="327"/>
    <col min="24" max="24" width="14.28515625" style="327" customWidth="1"/>
    <col min="25" max="25" width="11.42578125" style="327" customWidth="1"/>
    <col min="26" max="30" width="11.42578125" style="327"/>
    <col min="31" max="31" width="14" style="327" customWidth="1"/>
    <col min="32" max="16384" width="11.42578125" style="327"/>
  </cols>
  <sheetData>
    <row r="1" spans="1:27" ht="24.95" customHeight="1" thickBot="1" x14ac:dyDescent="0.25">
      <c r="A1" s="1435"/>
      <c r="B1" s="1609" t="str">
        <f>"Eingabe: Finanzierungs- und Folgekosten - Variante: "&amp;'1. Projektangaben'!C24&amp;" "&amp;LISTEN!E38&amp;""</f>
        <v xml:space="preserve">Eingabe: Finanzierungs- und Folgekosten - Variante: PH-WDVS-WP-Abl-ohne Sol_PV </v>
      </c>
      <c r="C1" s="1609"/>
      <c r="D1" s="1609"/>
      <c r="E1" s="1609"/>
      <c r="F1" s="1609"/>
      <c r="G1" s="1609"/>
      <c r="H1" s="1609"/>
      <c r="I1" s="1609"/>
      <c r="J1" s="1609"/>
      <c r="K1" s="1609"/>
      <c r="L1" s="1609"/>
      <c r="M1" s="1609"/>
      <c r="N1" s="1609"/>
      <c r="O1" s="1609"/>
      <c r="P1" s="1609"/>
      <c r="Q1" s="1609"/>
      <c r="R1" s="1609"/>
      <c r="S1" s="459"/>
      <c r="T1" s="571"/>
    </row>
    <row r="2" spans="1:27" ht="50.1" customHeight="1" x14ac:dyDescent="0.2">
      <c r="A2" s="440"/>
      <c r="B2" s="1164"/>
      <c r="C2" s="1165"/>
      <c r="D2" s="1165"/>
      <c r="E2" s="1165"/>
      <c r="F2" s="1165"/>
      <c r="G2" s="1165"/>
      <c r="H2" s="1165"/>
      <c r="I2" s="1165"/>
      <c r="J2" s="1165"/>
      <c r="K2" s="1165"/>
      <c r="L2" s="1165"/>
      <c r="M2" s="1165"/>
      <c r="N2" s="1165"/>
      <c r="O2" s="1165"/>
      <c r="P2" s="1165"/>
      <c r="Q2" s="1165"/>
      <c r="R2" s="1165"/>
      <c r="S2" s="440"/>
    </row>
    <row r="3" spans="1:27" ht="12.95" customHeight="1" x14ac:dyDescent="0.2">
      <c r="A3" s="440"/>
      <c r="B3" s="759" t="s">
        <v>105</v>
      </c>
      <c r="C3" s="628"/>
      <c r="D3" s="628"/>
      <c r="E3" s="628"/>
      <c r="F3" s="628"/>
      <c r="G3" s="628"/>
      <c r="H3" s="628"/>
      <c r="I3" s="628"/>
      <c r="J3" s="628"/>
      <c r="K3" s="628"/>
      <c r="L3" s="610"/>
      <c r="M3" s="628"/>
      <c r="N3" s="628"/>
      <c r="O3" s="610"/>
      <c r="P3" s="610"/>
      <c r="Q3" s="610"/>
      <c r="R3" s="610"/>
      <c r="S3" s="440"/>
      <c r="T3" s="571"/>
    </row>
    <row r="4" spans="1:27" ht="12.95" customHeight="1" x14ac:dyDescent="0.2">
      <c r="A4" s="440"/>
      <c r="B4" s="610"/>
      <c r="C4" s="610"/>
      <c r="D4" s="610"/>
      <c r="E4" s="437" t="str">
        <f>'1. Projektangaben'!$B$4</f>
        <v>Bauvorhaben</v>
      </c>
      <c r="F4" s="404" t="str">
        <f>IF('1. Projektangaben'!$C$4="","",'1. Projektangaben'!$C$4)</f>
        <v>KliNaWo</v>
      </c>
      <c r="G4" s="406"/>
      <c r="H4" s="1403" t="str">
        <f>'1. Projektangaben'!$H$4</f>
        <v>Architekt</v>
      </c>
      <c r="I4" s="404" t="str">
        <f>IF('1. Projektangaben'!$I$4="","",'1. Projektangaben'!$I$4)</f>
        <v>Walser und Werle Architekten</v>
      </c>
      <c r="J4" s="447"/>
      <c r="K4" s="1404"/>
      <c r="L4" s="1404"/>
      <c r="M4" s="572"/>
      <c r="N4" s="610"/>
      <c r="O4" s="610"/>
      <c r="P4" s="610"/>
      <c r="Q4" s="610"/>
      <c r="R4" s="610"/>
      <c r="S4" s="440"/>
      <c r="T4" s="458"/>
      <c r="X4" s="573"/>
      <c r="Y4" s="574"/>
      <c r="Z4" s="569"/>
      <c r="AA4" s="571"/>
    </row>
    <row r="5" spans="1:27" ht="12.95" customHeight="1" x14ac:dyDescent="0.2">
      <c r="A5" s="440"/>
      <c r="B5" s="610"/>
      <c r="C5" s="610"/>
      <c r="D5" s="610"/>
      <c r="E5" s="437" t="str">
        <f>'1. Projektangaben'!$B$5</f>
        <v>Bauherr</v>
      </c>
      <c r="F5" s="404" t="str">
        <f>IF('1. Projektangaben'!$C$5="","",'1. Projektangaben'!$C$5)</f>
        <v>privater Bauträger</v>
      </c>
      <c r="G5" s="443"/>
      <c r="H5" s="1403" t="str">
        <f>'1. Projektangaben'!$H$5</f>
        <v>Baujahr</v>
      </c>
      <c r="I5" s="1402">
        <f>IF('1. Projektangaben'!$I$5="","",'1. Projektangaben'!$I$5)</f>
        <v>2017</v>
      </c>
      <c r="J5" s="1404"/>
      <c r="K5" s="1404"/>
      <c r="L5" s="1404"/>
      <c r="M5" s="628"/>
      <c r="N5" s="610"/>
      <c r="O5" s="610"/>
      <c r="P5" s="610"/>
      <c r="Q5" s="610"/>
      <c r="R5" s="610"/>
      <c r="S5" s="440"/>
      <c r="T5" s="458"/>
      <c r="X5" s="573"/>
      <c r="Y5" s="574"/>
      <c r="Z5" s="569"/>
      <c r="AA5" s="571"/>
    </row>
    <row r="6" spans="1:27" ht="12.95" customHeight="1" x14ac:dyDescent="0.2">
      <c r="A6" s="440"/>
      <c r="B6" s="610"/>
      <c r="C6" s="610"/>
      <c r="D6" s="610"/>
      <c r="E6" s="437" t="str">
        <f>'1. Projektangaben'!$B$6</f>
        <v>Adresse, Ort</v>
      </c>
      <c r="F6" s="404" t="str">
        <f>IF('1. Projektangaben'!$C$6="","",'1. Projektangaben'!$C$6)</f>
        <v>Siedlungsstrasse, Feldkirch</v>
      </c>
      <c r="G6" s="443"/>
      <c r="H6" s="1403" t="str">
        <f>'1. Projektangaben'!$H$6</f>
        <v>Personen</v>
      </c>
      <c r="I6" s="1402">
        <f>IF('1. Projektangaben'!$I$6="","",'1. Projektangaben'!$I$6)</f>
        <v>54</v>
      </c>
      <c r="J6" s="1404"/>
      <c r="K6" s="1404"/>
      <c r="L6" s="1404"/>
      <c r="M6" s="328"/>
      <c r="N6" s="610"/>
      <c r="O6" s="610"/>
      <c r="P6" s="610"/>
      <c r="Q6" s="610"/>
      <c r="R6" s="610"/>
      <c r="S6" s="440"/>
      <c r="T6" s="458"/>
      <c r="X6" s="573"/>
      <c r="Y6" s="574"/>
      <c r="Z6" s="571"/>
      <c r="AA6" s="571"/>
    </row>
    <row r="7" spans="1:27" ht="12.95" customHeight="1" x14ac:dyDescent="0.2">
      <c r="A7" s="440"/>
      <c r="B7" s="610"/>
      <c r="C7" s="610"/>
      <c r="D7" s="610"/>
      <c r="E7" s="437" t="str">
        <f>'1. Projektangaben'!B7</f>
        <v>Gebäudetyp</v>
      </c>
      <c r="F7" s="1409" t="str">
        <f>IF('1. Projektangaben'!$C$7="","",'1. Projektangaben'!$C$7)</f>
        <v>Mehrfamilienhaus</v>
      </c>
      <c r="G7" s="1216" t="str">
        <f>'1. Projektangaben'!$E$7</f>
        <v>18+1 WE</v>
      </c>
      <c r="H7" s="1403" t="str">
        <f>'1. Projektangaben'!$H$7</f>
        <v>Anmerkung</v>
      </c>
      <c r="I7" s="404" t="str">
        <f>IF('1. Projektangaben'!$I$7="","",'1. Projektangaben'!$I$7)</f>
        <v>Beispiele verschiedener Varianten</v>
      </c>
      <c r="J7" s="447"/>
      <c r="K7" s="1404"/>
      <c r="L7" s="1404"/>
      <c r="M7" s="572"/>
      <c r="N7" s="610"/>
      <c r="O7" s="610"/>
      <c r="P7" s="610"/>
      <c r="Q7" s="610"/>
      <c r="R7" s="610"/>
      <c r="S7" s="440"/>
      <c r="T7" s="458"/>
      <c r="X7" s="458"/>
      <c r="Y7" s="458"/>
      <c r="Z7" s="458"/>
      <c r="AA7" s="458"/>
    </row>
    <row r="8" spans="1:27" ht="12.95" customHeight="1" x14ac:dyDescent="0.2">
      <c r="A8" s="440"/>
      <c r="B8" s="446"/>
      <c r="C8" s="610"/>
      <c r="D8" s="610"/>
      <c r="E8" s="437" t="s">
        <v>111</v>
      </c>
      <c r="F8" s="469" t="str">
        <f>'1. Projektangaben'!E24</f>
        <v>PH</v>
      </c>
      <c r="G8" s="470"/>
      <c r="H8" s="1403" t="str">
        <f>'1. Projektangaben'!G22</f>
        <v>EBF</v>
      </c>
      <c r="I8" s="1402">
        <f>'1. Projektangaben'!G23</f>
        <v>1410.2</v>
      </c>
      <c r="J8" s="1404" t="s">
        <v>67</v>
      </c>
      <c r="K8" s="1404"/>
      <c r="L8" s="1404"/>
      <c r="M8" s="628"/>
      <c r="N8" s="610"/>
      <c r="O8" s="610"/>
      <c r="P8" s="610"/>
      <c r="Q8" s="610"/>
      <c r="R8" s="610"/>
      <c r="S8" s="440"/>
      <c r="T8" s="458"/>
    </row>
    <row r="9" spans="1:27" ht="12.95" customHeight="1" x14ac:dyDescent="0.2">
      <c r="A9" s="440"/>
      <c r="B9" s="628"/>
      <c r="C9" s="628"/>
      <c r="D9" s="628"/>
      <c r="E9" s="628"/>
      <c r="F9" s="628"/>
      <c r="G9" s="628"/>
      <c r="H9" s="628"/>
      <c r="I9" s="628"/>
      <c r="J9" s="628"/>
      <c r="K9" s="628"/>
      <c r="L9" s="628"/>
      <c r="M9" s="628"/>
      <c r="N9" s="628"/>
      <c r="O9" s="610"/>
      <c r="P9" s="610"/>
      <c r="Q9" s="610"/>
      <c r="R9" s="610"/>
      <c r="S9" s="440"/>
      <c r="T9" s="458"/>
    </row>
    <row r="10" spans="1:27" ht="39.950000000000003" customHeight="1" x14ac:dyDescent="0.2">
      <c r="A10" s="440"/>
      <c r="B10" s="1164"/>
      <c r="C10" s="1165"/>
      <c r="D10" s="1165"/>
      <c r="E10" s="1165"/>
      <c r="F10" s="1165"/>
      <c r="G10" s="1165"/>
      <c r="H10" s="1165"/>
      <c r="I10" s="1165"/>
      <c r="J10" s="1165"/>
      <c r="K10" s="1165"/>
      <c r="L10" s="1165"/>
      <c r="M10" s="1165"/>
      <c r="N10" s="1165"/>
      <c r="O10" s="1165"/>
      <c r="P10" s="1165"/>
      <c r="Q10" s="1165"/>
      <c r="R10" s="1165"/>
      <c r="S10" s="440"/>
    </row>
    <row r="11" spans="1:27" ht="12.95" customHeight="1" x14ac:dyDescent="0.2">
      <c r="A11" s="440"/>
      <c r="B11" s="577"/>
      <c r="C11" s="578"/>
      <c r="D11" s="578"/>
      <c r="E11" s="579"/>
      <c r="F11" s="579"/>
      <c r="G11" s="579"/>
      <c r="H11" s="579"/>
      <c r="I11" s="578"/>
      <c r="J11" s="578"/>
      <c r="K11" s="578"/>
      <c r="L11" s="578"/>
      <c r="M11" s="578"/>
      <c r="N11" s="578"/>
      <c r="O11" s="1151"/>
      <c r="P11" s="1151"/>
      <c r="Q11" s="1151"/>
      <c r="R11" s="1151"/>
      <c r="S11" s="440"/>
    </row>
    <row r="12" spans="1:27" ht="18" customHeight="1" thickBot="1" x14ac:dyDescent="0.25">
      <c r="A12" s="440"/>
      <c r="B12" s="577"/>
      <c r="C12" s="1151"/>
      <c r="D12" s="1151"/>
      <c r="E12" s="579"/>
      <c r="F12" s="579"/>
      <c r="G12" s="328" t="s">
        <v>65</v>
      </c>
      <c r="H12" s="1151"/>
      <c r="I12" s="1151"/>
      <c r="J12" s="1151"/>
      <c r="K12" s="1151"/>
      <c r="L12" s="1151"/>
      <c r="M12" s="578"/>
      <c r="N12" s="1151"/>
      <c r="O12" s="1151"/>
      <c r="P12" s="1151"/>
      <c r="Q12" s="1151"/>
      <c r="R12" s="1151"/>
      <c r="S12" s="440"/>
    </row>
    <row r="13" spans="1:27" ht="18" customHeight="1" thickBot="1" x14ac:dyDescent="0.25">
      <c r="A13" s="440"/>
      <c r="B13" s="577"/>
      <c r="C13" s="1151"/>
      <c r="D13" s="1151"/>
      <c r="E13" s="1151"/>
      <c r="F13" s="580" t="s">
        <v>193</v>
      </c>
      <c r="G13" s="581">
        <f ca="1">SUM(BERECHNUNG!O373:O479)</f>
        <v>4024329.4920000001</v>
      </c>
      <c r="H13" s="1150"/>
      <c r="I13" s="1150"/>
      <c r="J13" s="1150"/>
      <c r="K13" s="1150"/>
      <c r="L13" s="1150"/>
      <c r="M13" s="1175" t="s">
        <v>400</v>
      </c>
      <c r="N13" s="1176"/>
      <c r="O13" s="1176"/>
      <c r="P13" s="1177"/>
      <c r="Q13" s="1151"/>
      <c r="R13" s="1151"/>
      <c r="S13" s="440"/>
    </row>
    <row r="14" spans="1:27" ht="18" customHeight="1" x14ac:dyDescent="0.2">
      <c r="A14" s="440"/>
      <c r="B14" s="577"/>
      <c r="C14" s="1151"/>
      <c r="D14" s="1151"/>
      <c r="E14" s="1150"/>
      <c r="F14" s="582" t="str">
        <f>"- Einmalzuschuss"</f>
        <v>- Einmalzuschuss</v>
      </c>
      <c r="G14" s="346">
        <v>10250</v>
      </c>
      <c r="H14" s="1150"/>
      <c r="I14" s="1143" t="s">
        <v>439</v>
      </c>
      <c r="J14" s="1143" t="s">
        <v>440</v>
      </c>
      <c r="K14" s="1150"/>
      <c r="L14" s="1150"/>
      <c r="M14" s="1412"/>
      <c r="N14" s="1413"/>
      <c r="O14" s="1422"/>
      <c r="P14" s="1423"/>
      <c r="Q14" s="1151"/>
      <c r="R14" s="1151"/>
      <c r="S14" s="440"/>
    </row>
    <row r="15" spans="1:27" ht="18" customHeight="1" thickBot="1" x14ac:dyDescent="0.25">
      <c r="A15" s="440"/>
      <c r="B15" s="577"/>
      <c r="C15" s="1151"/>
      <c r="D15" s="1151"/>
      <c r="E15" s="583"/>
      <c r="F15" s="584" t="str">
        <f>"- Summe Jährlicher Zuschüsse"</f>
        <v>- Summe Jährlicher Zuschüsse</v>
      </c>
      <c r="G15" s="457">
        <f>I15*J15</f>
        <v>0</v>
      </c>
      <c r="H15" s="585"/>
      <c r="I15" s="347"/>
      <c r="J15" s="348"/>
      <c r="K15" s="1150"/>
      <c r="L15" s="1150"/>
      <c r="M15" s="1415"/>
      <c r="N15" s="1416"/>
      <c r="O15" s="1417"/>
      <c r="P15" s="1424"/>
      <c r="Q15" s="1151"/>
      <c r="R15" s="1151"/>
      <c r="S15" s="440"/>
    </row>
    <row r="16" spans="1:27" ht="18" customHeight="1" x14ac:dyDescent="0.2">
      <c r="A16" s="440"/>
      <c r="B16" s="577"/>
      <c r="C16" s="1151"/>
      <c r="D16" s="1151"/>
      <c r="E16" s="1150"/>
      <c r="F16" s="582" t="str">
        <f>"= Gesamtkosten nach  Abzug Zuschüsse"</f>
        <v>= Gesamtkosten nach  Abzug Zuschüsse</v>
      </c>
      <c r="G16" s="586">
        <f ca="1">G13-G14-G15</f>
        <v>4014079.4920000001</v>
      </c>
      <c r="H16" s="1143" t="s">
        <v>195</v>
      </c>
      <c r="I16" s="1431" t="s">
        <v>849</v>
      </c>
      <c r="J16" s="587"/>
      <c r="K16" s="1150"/>
      <c r="L16" s="1150"/>
      <c r="M16" s="1418"/>
      <c r="N16" s="1414"/>
      <c r="O16" s="1417"/>
      <c r="P16" s="1424"/>
      <c r="Q16" s="1151"/>
      <c r="R16" s="1151"/>
      <c r="S16" s="440"/>
    </row>
    <row r="17" spans="1:19" ht="18" customHeight="1" thickBot="1" x14ac:dyDescent="0.25">
      <c r="A17" s="440"/>
      <c r="B17" s="577"/>
      <c r="C17" s="1151"/>
      <c r="D17" s="1151"/>
      <c r="E17" s="583"/>
      <c r="F17" s="584" t="str">
        <f>"- Eigenkapitaleinsatz"</f>
        <v>- Eigenkapitaleinsatz</v>
      </c>
      <c r="G17" s="1427">
        <f>IF(I17="",'1. Projektangaben'!$O$12,I17)</f>
        <v>1114633.632</v>
      </c>
      <c r="H17" s="588">
        <f ca="1">IF(G13=0,0,G17/G16)</f>
        <v>0.27768100612393154</v>
      </c>
      <c r="I17" s="1434"/>
      <c r="J17" s="589"/>
      <c r="K17" s="1150"/>
      <c r="L17" s="1150"/>
      <c r="M17" s="1418"/>
      <c r="N17" s="1414"/>
      <c r="O17" s="1417"/>
      <c r="P17" s="1424"/>
      <c r="Q17" s="1151"/>
      <c r="R17" s="1151"/>
      <c r="S17" s="440"/>
    </row>
    <row r="18" spans="1:19" ht="18" customHeight="1" thickBot="1" x14ac:dyDescent="0.25">
      <c r="A18" s="440"/>
      <c r="B18" s="577"/>
      <c r="C18" s="1151"/>
      <c r="D18" s="1151"/>
      <c r="E18" s="590"/>
      <c r="F18" s="591" t="str">
        <f>"= Fremdkapitaleinsatz"</f>
        <v>= Fremdkapitaleinsatz</v>
      </c>
      <c r="G18" s="592">
        <f ca="1">G16-G17</f>
        <v>2899445.8600000003</v>
      </c>
      <c r="H18" s="593">
        <f ca="1">1-H17</f>
        <v>0.72231899387606846</v>
      </c>
      <c r="I18" s="1150"/>
      <c r="J18" s="1150"/>
      <c r="K18" s="1150"/>
      <c r="L18" s="1150"/>
      <c r="M18" s="1418"/>
      <c r="N18" s="1414"/>
      <c r="O18" s="1417"/>
      <c r="P18" s="1424"/>
      <c r="Q18" s="1151"/>
      <c r="R18" s="1151"/>
      <c r="S18" s="440"/>
    </row>
    <row r="19" spans="1:19" ht="18" customHeight="1" thickTop="1" x14ac:dyDescent="0.2">
      <c r="A19" s="440"/>
      <c r="B19" s="577"/>
      <c r="C19" s="1151"/>
      <c r="D19" s="1151"/>
      <c r="E19" s="1150"/>
      <c r="F19" s="594" t="s">
        <v>112</v>
      </c>
      <c r="G19" s="1429">
        <f>N20</f>
        <v>1574689.6</v>
      </c>
      <c r="H19" s="595">
        <f ca="1">IF(G16=0,0,G19/G16)</f>
        <v>0.39229158344729664</v>
      </c>
      <c r="I19" s="1150"/>
      <c r="J19" s="1150"/>
      <c r="K19" s="1150"/>
      <c r="L19" s="1150"/>
      <c r="M19" s="1419"/>
      <c r="N19" s="1414" t="s">
        <v>858</v>
      </c>
      <c r="O19" s="1417"/>
      <c r="P19" s="1424"/>
      <c r="Q19" s="1151"/>
      <c r="R19" s="1151"/>
      <c r="S19" s="440"/>
    </row>
    <row r="20" spans="1:19" ht="18" customHeight="1" x14ac:dyDescent="0.2">
      <c r="A20" s="440"/>
      <c r="B20" s="577"/>
      <c r="C20" s="578"/>
      <c r="D20" s="578"/>
      <c r="E20" s="579"/>
      <c r="F20" s="596" t="s">
        <v>191</v>
      </c>
      <c r="G20" s="1428">
        <f ca="1">G18-G19</f>
        <v>1324756.2600000002</v>
      </c>
      <c r="H20" s="597">
        <f ca="1">IFERROR(IF(G16=0,0,G20/G18),0)</f>
        <v>0.45689980912421663</v>
      </c>
      <c r="I20" s="1150"/>
      <c r="J20" s="1150"/>
      <c r="K20" s="1150"/>
      <c r="L20" s="1150"/>
      <c r="M20" s="1420"/>
      <c r="N20" s="1421">
        <f>1108*'1. Projektangaben'!G24</f>
        <v>1574689.6</v>
      </c>
      <c r="O20" s="1417"/>
      <c r="P20" s="1424"/>
      <c r="Q20" s="1151"/>
      <c r="R20" s="1151"/>
      <c r="S20" s="440"/>
    </row>
    <row r="21" spans="1:19" ht="18" customHeight="1" x14ac:dyDescent="0.2">
      <c r="A21" s="440"/>
      <c r="B21" s="577"/>
      <c r="C21" s="578"/>
      <c r="D21" s="1181" t="s">
        <v>793</v>
      </c>
      <c r="E21" s="578"/>
      <c r="F21" s="578"/>
      <c r="G21" s="1150"/>
      <c r="H21" s="598"/>
      <c r="I21" s="589"/>
      <c r="J21" s="589"/>
      <c r="K21" s="1150"/>
      <c r="L21" s="1150"/>
      <c r="M21" s="1418"/>
      <c r="N21" s="1414"/>
      <c r="O21" s="1417"/>
      <c r="P21" s="1424"/>
      <c r="Q21" s="1151"/>
      <c r="R21" s="1151"/>
      <c r="S21" s="440"/>
    </row>
    <row r="22" spans="1:19" ht="18" customHeight="1" x14ac:dyDescent="0.25">
      <c r="A22" s="483"/>
      <c r="B22" s="577"/>
      <c r="C22" s="599"/>
      <c r="D22" s="1432" t="s">
        <v>191</v>
      </c>
      <c r="E22" s="600"/>
      <c r="F22" s="1147" t="s">
        <v>202</v>
      </c>
      <c r="G22" s="1147" t="s">
        <v>113</v>
      </c>
      <c r="H22" s="1147" t="s">
        <v>115</v>
      </c>
      <c r="I22" s="1147" t="s">
        <v>114</v>
      </c>
      <c r="J22" s="1147"/>
      <c r="K22" s="1150"/>
      <c r="L22" s="1150"/>
      <c r="M22" s="1418"/>
      <c r="N22" s="1414"/>
      <c r="O22" s="1417"/>
      <c r="P22" s="1424"/>
      <c r="Q22" s="1151"/>
      <c r="R22" s="1151"/>
      <c r="S22" s="483"/>
    </row>
    <row r="23" spans="1:19" ht="18" customHeight="1" thickBot="1" x14ac:dyDescent="0.25">
      <c r="A23" s="440"/>
      <c r="B23" s="577"/>
      <c r="C23" s="599"/>
      <c r="D23" s="578"/>
      <c r="E23" s="599"/>
      <c r="F23" s="328" t="s">
        <v>65</v>
      </c>
      <c r="G23" s="328" t="s">
        <v>66</v>
      </c>
      <c r="H23" s="328" t="s">
        <v>204</v>
      </c>
      <c r="I23" s="328" t="s">
        <v>93</v>
      </c>
      <c r="J23" s="328"/>
      <c r="K23" s="1150"/>
      <c r="L23" s="1150"/>
      <c r="M23" s="1410"/>
      <c r="N23" s="1411"/>
      <c r="O23" s="314"/>
      <c r="P23" s="1425"/>
      <c r="Q23" s="1151"/>
      <c r="R23" s="1151"/>
      <c r="S23" s="440"/>
    </row>
    <row r="24" spans="1:19" ht="18" customHeight="1" x14ac:dyDescent="0.2">
      <c r="A24" s="440"/>
      <c r="B24" s="577"/>
      <c r="C24" s="599"/>
      <c r="D24" s="599" t="s">
        <v>468</v>
      </c>
      <c r="E24" s="599"/>
      <c r="F24" s="602"/>
      <c r="G24" s="313"/>
      <c r="H24" s="217"/>
      <c r="I24" s="602"/>
      <c r="J24" s="602"/>
      <c r="K24" s="1150"/>
      <c r="L24" s="1150"/>
      <c r="M24" s="578"/>
      <c r="N24" s="578"/>
      <c r="O24" s="1151"/>
      <c r="P24" s="1151"/>
      <c r="Q24" s="1151"/>
      <c r="R24" s="1151"/>
      <c r="S24" s="440"/>
    </row>
    <row r="25" spans="1:19" ht="18" customHeight="1" x14ac:dyDescent="0.2">
      <c r="A25" s="440"/>
      <c r="B25" s="577"/>
      <c r="C25" s="599"/>
      <c r="D25" s="599" t="s">
        <v>469</v>
      </c>
      <c r="E25" s="599"/>
      <c r="F25" s="1430">
        <f ca="1">G20</f>
        <v>1324756.2600000002</v>
      </c>
      <c r="G25" s="601">
        <f ca="1">IF(F25=0,"",IF(ISNUMBER(G24),G24,'1. Projektangaben'!$F$12))</f>
        <v>35</v>
      </c>
      <c r="H25" s="642">
        <f ca="1">IF(F25=0,"",IF(ISNUMBER(H24),H24,'1. Projektangaben'!$F$14))</f>
        <v>0.02</v>
      </c>
      <c r="I25" s="601">
        <f ca="1">IFERROR(PMT(H25,G25,F25,,0)*-1,"")</f>
        <v>52993.177039275775</v>
      </c>
      <c r="J25" s="602"/>
      <c r="K25" s="1150"/>
      <c r="L25" s="1150"/>
      <c r="M25" s="578"/>
      <c r="N25" s="578"/>
      <c r="O25" s="1151"/>
      <c r="P25" s="1151"/>
      <c r="Q25" s="1151"/>
      <c r="R25" s="1151"/>
      <c r="S25" s="440"/>
    </row>
    <row r="26" spans="1:19" ht="12.95" customHeight="1" x14ac:dyDescent="0.2">
      <c r="A26" s="440"/>
      <c r="B26" s="577"/>
      <c r="C26" s="582"/>
      <c r="D26" s="582"/>
      <c r="E26" s="455"/>
      <c r="F26" s="603" t="str">
        <f>IF(G24&gt;'1. Projektangaben'!F12,"Achtung, Kreditlaufzeit ist länger als Betrachtungszeitraum!","")</f>
        <v/>
      </c>
      <c r="G26" s="1150"/>
      <c r="H26" s="1150"/>
      <c r="I26" s="1150"/>
      <c r="J26" s="1150"/>
      <c r="K26" s="1151"/>
      <c r="L26" s="1151"/>
      <c r="M26" s="1151"/>
      <c r="N26" s="1151"/>
      <c r="O26" s="1151"/>
      <c r="P26" s="1151"/>
      <c r="Q26" s="1151"/>
      <c r="R26" s="1151"/>
      <c r="S26" s="440"/>
    </row>
    <row r="27" spans="1:19" ht="12.95" customHeight="1" x14ac:dyDescent="0.2">
      <c r="A27" s="440"/>
      <c r="B27" s="577"/>
      <c r="C27" s="582"/>
      <c r="D27" s="1432" t="s">
        <v>207</v>
      </c>
      <c r="E27" s="1141"/>
      <c r="F27" s="605"/>
      <c r="G27" s="605"/>
      <c r="H27" s="605"/>
      <c r="I27" s="605"/>
      <c r="J27" s="605"/>
      <c r="K27" s="1151"/>
      <c r="L27" s="1151"/>
      <c r="M27" s="1151"/>
      <c r="N27" s="1151"/>
      <c r="O27" s="1151"/>
      <c r="P27" s="1151"/>
      <c r="Q27" s="1151"/>
      <c r="R27" s="1151"/>
      <c r="S27" s="440"/>
    </row>
    <row r="28" spans="1:19" ht="12.95" customHeight="1" x14ac:dyDescent="0.2">
      <c r="A28" s="440"/>
      <c r="B28" s="577"/>
      <c r="C28" s="582"/>
      <c r="D28" s="1433" t="s">
        <v>206</v>
      </c>
      <c r="E28" s="455"/>
      <c r="F28" s="1143" t="s">
        <v>203</v>
      </c>
      <c r="G28" s="1150"/>
      <c r="H28" s="449" t="s">
        <v>372</v>
      </c>
      <c r="I28" s="1150"/>
      <c r="J28" s="1150"/>
      <c r="K28" s="1151"/>
      <c r="L28" s="1151"/>
      <c r="M28" s="1151"/>
      <c r="N28" s="1151"/>
      <c r="O28" s="1151"/>
      <c r="P28" s="1151"/>
      <c r="Q28" s="1151"/>
      <c r="R28" s="1151"/>
      <c r="S28" s="440"/>
    </row>
    <row r="29" spans="1:19" ht="12.95" customHeight="1" x14ac:dyDescent="0.2">
      <c r="A29" s="440"/>
      <c r="B29" s="577"/>
      <c r="C29" s="582"/>
      <c r="D29" s="1151"/>
      <c r="E29" s="455"/>
      <c r="F29" s="313">
        <v>35</v>
      </c>
      <c r="G29" s="1150" t="s">
        <v>161</v>
      </c>
      <c r="H29" s="313">
        <v>12</v>
      </c>
      <c r="I29" s="1150" t="s">
        <v>371</v>
      </c>
      <c r="J29" s="1151"/>
      <c r="K29" s="1151"/>
      <c r="L29" s="1151"/>
      <c r="M29" s="1151"/>
      <c r="N29" s="1151"/>
      <c r="O29" s="1151"/>
      <c r="P29" s="1151"/>
      <c r="Q29" s="1151"/>
      <c r="R29" s="1151"/>
      <c r="S29" s="440"/>
    </row>
    <row r="30" spans="1:19" ht="12.95" customHeight="1" x14ac:dyDescent="0.2">
      <c r="A30" s="440"/>
      <c r="B30" s="577"/>
      <c r="C30" s="582"/>
      <c r="D30" s="603" t="str">
        <f>IF(F29&gt;'1. Projektangaben'!F12,"Achtung, Kreditlaufzeit ist länger als Betrachtungszeitraum!","")</f>
        <v/>
      </c>
      <c r="E30" s="1151"/>
      <c r="F30" s="1150"/>
      <c r="G30" s="1150"/>
      <c r="H30" s="1150"/>
      <c r="I30" s="1150"/>
      <c r="J30" s="1150"/>
      <c r="K30" s="1151"/>
      <c r="L30" s="1151"/>
      <c r="M30" s="1151"/>
      <c r="N30" s="1151"/>
      <c r="O30" s="1151"/>
      <c r="P30" s="1151"/>
      <c r="Q30" s="1151"/>
      <c r="R30" s="1151"/>
      <c r="S30" s="440"/>
    </row>
    <row r="31" spans="1:19" ht="12.95" customHeight="1" x14ac:dyDescent="0.2">
      <c r="A31" s="440"/>
      <c r="B31" s="577"/>
      <c r="C31" s="582"/>
      <c r="D31" s="603"/>
      <c r="E31" s="1151"/>
      <c r="F31" s="1150"/>
      <c r="G31" s="1150"/>
      <c r="H31" s="1150"/>
      <c r="I31" s="1150"/>
      <c r="J31" s="1150"/>
      <c r="K31" s="1151"/>
      <c r="L31" s="1151"/>
      <c r="M31" s="1151"/>
      <c r="N31" s="1151"/>
      <c r="O31" s="1151"/>
      <c r="P31" s="1151"/>
      <c r="Q31" s="1151"/>
      <c r="R31" s="1151"/>
      <c r="S31" s="440"/>
    </row>
    <row r="32" spans="1:19" ht="12.95" customHeight="1" x14ac:dyDescent="0.2">
      <c r="A32" s="440"/>
      <c r="B32" s="577"/>
      <c r="C32" s="579"/>
      <c r="D32" s="942" t="s">
        <v>351</v>
      </c>
      <c r="E32" s="1143"/>
      <c r="F32" s="1143"/>
      <c r="G32" s="1143"/>
      <c r="H32" s="1143" t="s">
        <v>113</v>
      </c>
      <c r="I32" s="1143" t="s">
        <v>245</v>
      </c>
      <c r="J32" s="1143" t="s">
        <v>114</v>
      </c>
      <c r="K32" s="1151"/>
      <c r="L32" s="1151"/>
      <c r="M32" s="1151"/>
      <c r="N32" s="1151"/>
      <c r="O32" s="1151"/>
      <c r="P32" s="1151"/>
      <c r="Q32" s="1151"/>
      <c r="R32" s="1151"/>
      <c r="S32" s="440"/>
    </row>
    <row r="33" spans="1:29" ht="12.95" customHeight="1" x14ac:dyDescent="0.2">
      <c r="A33" s="440"/>
      <c r="B33" s="577"/>
      <c r="C33" s="578"/>
      <c r="D33" s="328" t="s">
        <v>349</v>
      </c>
      <c r="E33" s="328"/>
      <c r="F33" s="328" t="s">
        <v>350</v>
      </c>
      <c r="G33" s="328"/>
      <c r="H33" s="328" t="s">
        <v>66</v>
      </c>
      <c r="I33" s="328" t="s">
        <v>204</v>
      </c>
      <c r="J33" s="328" t="s">
        <v>93</v>
      </c>
      <c r="K33" s="1151"/>
      <c r="L33" s="1151"/>
      <c r="M33" s="1151"/>
      <c r="N33" s="1151"/>
      <c r="O33" s="1151"/>
      <c r="P33" s="1151"/>
      <c r="Q33" s="1151"/>
      <c r="R33" s="1151"/>
      <c r="S33" s="440"/>
      <c r="AC33" s="606"/>
    </row>
    <row r="34" spans="1:29" ht="12.95" customHeight="1" x14ac:dyDescent="0.2">
      <c r="A34" s="440"/>
      <c r="B34" s="577"/>
      <c r="C34" s="578"/>
      <c r="D34" s="1142">
        <v>1</v>
      </c>
      <c r="E34" s="1142" t="str">
        <f>"-"</f>
        <v>-</v>
      </c>
      <c r="F34" s="313">
        <v>5</v>
      </c>
      <c r="G34" s="603" t="str">
        <f>IF(F34&gt;$F$29,"Achtung! Wert liegt über gesamster Kreditlaufzeit","")</f>
        <v/>
      </c>
      <c r="H34" s="1142">
        <f>IF(OR(D34="",F34=""),"",F34-D34+1)</f>
        <v>5</v>
      </c>
      <c r="I34" s="218">
        <v>1.4999999999999999E-2</v>
      </c>
      <c r="J34" s="607">
        <f t="shared" ref="J34:J40" si="0">IF(OR($G$19="",$G$19=0,F34=""),"",$G$19*I34+$H$29)</f>
        <v>23632.344000000001</v>
      </c>
      <c r="K34" s="1151"/>
      <c r="L34" s="1151"/>
      <c r="M34" s="1151"/>
      <c r="N34" s="1151"/>
      <c r="O34" s="1151"/>
      <c r="P34" s="1151"/>
      <c r="Q34" s="1151"/>
      <c r="R34" s="1151"/>
      <c r="S34" s="440"/>
    </row>
    <row r="35" spans="1:29" ht="12.95" customHeight="1" x14ac:dyDescent="0.2">
      <c r="A35" s="440"/>
      <c r="B35" s="577"/>
      <c r="C35" s="578"/>
      <c r="D35" s="1142">
        <f>IF(OR(F34="",F34=0,F34=$F$29),"",1+F34)</f>
        <v>6</v>
      </c>
      <c r="E35" s="1142" t="str">
        <f t="shared" ref="E35:E40" si="1">"-"</f>
        <v>-</v>
      </c>
      <c r="F35" s="313">
        <v>10</v>
      </c>
      <c r="G35" s="603" t="str">
        <f>IF(F35&gt;$F$29,"Achtung! Wert liegt über gesamster Kreditlaufzeit","")</f>
        <v/>
      </c>
      <c r="H35" s="1142">
        <f t="shared" ref="H35:H40" si="2">IF(OR(D35="",F35=""),"",F35-D35+1)</f>
        <v>5</v>
      </c>
      <c r="I35" s="218">
        <v>2.5000000000000001E-2</v>
      </c>
      <c r="J35" s="607">
        <f t="shared" si="0"/>
        <v>39379.240000000005</v>
      </c>
      <c r="K35" s="1151"/>
      <c r="L35" s="1151"/>
      <c r="M35" s="1151"/>
      <c r="N35" s="1151"/>
      <c r="O35" s="1151"/>
      <c r="P35" s="1151"/>
      <c r="Q35" s="1151"/>
      <c r="R35" s="1151"/>
      <c r="S35" s="440"/>
    </row>
    <row r="36" spans="1:29" ht="12.95" customHeight="1" x14ac:dyDescent="0.2">
      <c r="A36" s="440"/>
      <c r="B36" s="577"/>
      <c r="C36" s="578"/>
      <c r="D36" s="1142">
        <f>IF(OR(F35="",F35=0,F35=$F$29),"",1+F35)</f>
        <v>11</v>
      </c>
      <c r="E36" s="1142" t="str">
        <f t="shared" si="1"/>
        <v>-</v>
      </c>
      <c r="F36" s="313">
        <v>15</v>
      </c>
      <c r="G36" s="603" t="str">
        <f t="shared" ref="G36:G40" si="3">IF(F36&gt;$F$29,"Achtung! Wert liegt über gesamster Kreditlaufzeit","")</f>
        <v/>
      </c>
      <c r="H36" s="1142">
        <f t="shared" si="2"/>
        <v>5</v>
      </c>
      <c r="I36" s="218">
        <v>3.5000000000000003E-2</v>
      </c>
      <c r="J36" s="607">
        <f t="shared" si="0"/>
        <v>55126.136000000006</v>
      </c>
      <c r="K36" s="1151"/>
      <c r="L36" s="1151"/>
      <c r="M36" s="1151"/>
      <c r="N36" s="1151"/>
      <c r="O36" s="1151"/>
      <c r="P36" s="1151"/>
      <c r="Q36" s="1151"/>
      <c r="R36" s="1151"/>
      <c r="S36" s="440"/>
    </row>
    <row r="37" spans="1:29" ht="12.95" customHeight="1" x14ac:dyDescent="0.2">
      <c r="A37" s="440"/>
      <c r="B37" s="577"/>
      <c r="C37" s="578"/>
      <c r="D37" s="1142">
        <f>IF(OR(F36="",F36=0,F36=$F$29),"",1+F36)</f>
        <v>16</v>
      </c>
      <c r="E37" s="1142" t="str">
        <f t="shared" si="1"/>
        <v>-</v>
      </c>
      <c r="F37" s="313">
        <v>20</v>
      </c>
      <c r="G37" s="603" t="str">
        <f t="shared" si="3"/>
        <v/>
      </c>
      <c r="H37" s="1142">
        <f t="shared" si="2"/>
        <v>5</v>
      </c>
      <c r="I37" s="218">
        <v>4.4999999999999998E-2</v>
      </c>
      <c r="J37" s="607">
        <f t="shared" si="0"/>
        <v>70873.032000000007</v>
      </c>
      <c r="K37" s="1151"/>
      <c r="L37" s="1151"/>
      <c r="M37" s="1151"/>
      <c r="N37" s="1151"/>
      <c r="O37" s="1151"/>
      <c r="P37" s="1151"/>
      <c r="Q37" s="1151"/>
      <c r="R37" s="1151"/>
      <c r="S37" s="440"/>
    </row>
    <row r="38" spans="1:29" ht="12.95" customHeight="1" x14ac:dyDescent="0.2">
      <c r="A38" s="440"/>
      <c r="B38" s="577"/>
      <c r="C38" s="578"/>
      <c r="D38" s="1142">
        <f t="shared" ref="D38:D40" si="4">IF(OR(F37="",F37=0,F37=$F$29),"",1+F37)</f>
        <v>21</v>
      </c>
      <c r="E38" s="1142" t="str">
        <f t="shared" si="1"/>
        <v>-</v>
      </c>
      <c r="F38" s="313">
        <v>25</v>
      </c>
      <c r="G38" s="603" t="str">
        <f t="shared" si="3"/>
        <v/>
      </c>
      <c r="H38" s="1142">
        <f t="shared" si="2"/>
        <v>5</v>
      </c>
      <c r="I38" s="218">
        <v>5.5E-2</v>
      </c>
      <c r="J38" s="607">
        <f t="shared" si="0"/>
        <v>86619.928</v>
      </c>
      <c r="K38" s="1151"/>
      <c r="L38" s="1151"/>
      <c r="M38" s="1151"/>
      <c r="N38" s="1151"/>
      <c r="O38" s="1151"/>
      <c r="P38" s="1151"/>
      <c r="Q38" s="1151"/>
      <c r="R38" s="1151"/>
      <c r="S38" s="440"/>
    </row>
    <row r="39" spans="1:29" ht="12.95" customHeight="1" x14ac:dyDescent="0.2">
      <c r="A39" s="440"/>
      <c r="B39" s="577"/>
      <c r="C39" s="578"/>
      <c r="D39" s="1142">
        <f t="shared" si="4"/>
        <v>26</v>
      </c>
      <c r="E39" s="1142" t="str">
        <f t="shared" si="1"/>
        <v>-</v>
      </c>
      <c r="F39" s="313">
        <v>30</v>
      </c>
      <c r="G39" s="603" t="str">
        <f t="shared" si="3"/>
        <v/>
      </c>
      <c r="H39" s="1142">
        <f t="shared" si="2"/>
        <v>5</v>
      </c>
      <c r="I39" s="218">
        <v>0.06</v>
      </c>
      <c r="J39" s="607">
        <f t="shared" si="0"/>
        <v>94493.376000000004</v>
      </c>
      <c r="K39" s="1151"/>
      <c r="L39" s="1151"/>
      <c r="M39" s="1151"/>
      <c r="N39" s="1151"/>
      <c r="O39" s="1151"/>
      <c r="P39" s="1151"/>
      <c r="Q39" s="1151"/>
      <c r="R39" s="1151"/>
      <c r="S39" s="440"/>
    </row>
    <row r="40" spans="1:29" ht="12.95" customHeight="1" x14ac:dyDescent="0.2">
      <c r="A40" s="440"/>
      <c r="B40" s="577"/>
      <c r="C40" s="578"/>
      <c r="D40" s="1142">
        <f t="shared" si="4"/>
        <v>31</v>
      </c>
      <c r="E40" s="1142" t="str">
        <f t="shared" si="1"/>
        <v>-</v>
      </c>
      <c r="F40" s="313">
        <v>35</v>
      </c>
      <c r="G40" s="603" t="str">
        <f t="shared" si="3"/>
        <v/>
      </c>
      <c r="H40" s="1142">
        <f t="shared" si="2"/>
        <v>5</v>
      </c>
      <c r="I40" s="218">
        <v>6.5000000000000002E-2</v>
      </c>
      <c r="J40" s="607">
        <f t="shared" si="0"/>
        <v>102366.82400000001</v>
      </c>
      <c r="K40" s="1151"/>
      <c r="L40" s="1151"/>
      <c r="M40" s="1151"/>
      <c r="N40" s="1151"/>
      <c r="O40" s="1151"/>
      <c r="P40" s="1151"/>
      <c r="Q40" s="1151"/>
      <c r="R40" s="1151"/>
      <c r="S40" s="440"/>
    </row>
    <row r="41" spans="1:29" ht="12.95" customHeight="1" x14ac:dyDescent="0.2">
      <c r="A41" s="440"/>
      <c r="B41" s="1151"/>
      <c r="C41" s="1151"/>
      <c r="D41" s="1151"/>
      <c r="E41" s="1151"/>
      <c r="F41" s="1151"/>
      <c r="G41" s="1151"/>
      <c r="H41" s="1151"/>
      <c r="I41" s="1151"/>
      <c r="J41" s="1151"/>
      <c r="K41" s="1151"/>
      <c r="L41" s="1151"/>
      <c r="M41" s="1151"/>
      <c r="N41" s="1151"/>
      <c r="O41" s="1151"/>
      <c r="P41" s="1151"/>
      <c r="Q41" s="1151"/>
      <c r="R41" s="1151"/>
      <c r="S41" s="440"/>
    </row>
    <row r="42" spans="1:29" ht="12.95" customHeight="1" x14ac:dyDescent="0.2">
      <c r="A42" s="440"/>
      <c r="B42" s="577"/>
      <c r="C42" s="578"/>
      <c r="D42" s="578"/>
      <c r="E42" s="579"/>
      <c r="F42" s="579"/>
      <c r="G42" s="579"/>
      <c r="H42" s="1151"/>
      <c r="I42" s="1151"/>
      <c r="J42" s="1151"/>
      <c r="K42" s="1151"/>
      <c r="L42" s="317"/>
      <c r="M42" s="317"/>
      <c r="N42" s="608"/>
      <c r="O42" s="317"/>
      <c r="P42" s="317"/>
      <c r="Q42" s="317"/>
      <c r="R42" s="317"/>
      <c r="S42" s="440"/>
    </row>
    <row r="43" spans="1:29" ht="39.950000000000003" customHeight="1" x14ac:dyDescent="0.2">
      <c r="A43" s="440"/>
      <c r="B43" s="1164"/>
      <c r="C43" s="1165"/>
      <c r="D43" s="1165"/>
      <c r="E43" s="1165"/>
      <c r="F43" s="1165"/>
      <c r="G43" s="1165"/>
      <c r="H43" s="1165"/>
      <c r="I43" s="1165"/>
      <c r="J43" s="1165"/>
      <c r="K43" s="1165"/>
      <c r="L43" s="1165"/>
      <c r="M43" s="1165"/>
      <c r="N43" s="1165"/>
      <c r="O43" s="1165"/>
      <c r="P43" s="1165"/>
      <c r="Q43" s="1165"/>
      <c r="R43" s="1165"/>
      <c r="S43" s="440"/>
    </row>
    <row r="44" spans="1:29" ht="12.95" customHeight="1" x14ac:dyDescent="0.2">
      <c r="A44" s="440"/>
      <c r="B44" s="413"/>
      <c r="C44" s="628"/>
      <c r="D44" s="628"/>
      <c r="E44" s="414"/>
      <c r="F44" s="414"/>
      <c r="G44" s="414"/>
      <c r="H44" s="414"/>
      <c r="I44" s="628"/>
      <c r="J44" s="628"/>
      <c r="K44" s="1053" t="s">
        <v>94</v>
      </c>
      <c r="L44" s="438"/>
      <c r="M44" s="628"/>
      <c r="N44" s="628"/>
      <c r="O44" s="610"/>
      <c r="P44" s="610"/>
      <c r="Q44" s="610"/>
      <c r="R44" s="610"/>
      <c r="S44" s="440"/>
    </row>
    <row r="45" spans="1:29" ht="12.95" customHeight="1" x14ac:dyDescent="0.2">
      <c r="A45" s="440"/>
      <c r="B45" s="413"/>
      <c r="C45" s="628"/>
      <c r="D45" s="628"/>
      <c r="E45" s="414"/>
      <c r="F45" s="414"/>
      <c r="G45" s="414"/>
      <c r="H45" s="414"/>
      <c r="I45" s="628"/>
      <c r="J45" s="628"/>
      <c r="K45" s="319" t="s">
        <v>93</v>
      </c>
      <c r="L45" s="319"/>
      <c r="M45" s="628"/>
      <c r="N45" s="628"/>
      <c r="O45" s="610"/>
      <c r="P45" s="610"/>
      <c r="Q45" s="610"/>
      <c r="R45" s="610"/>
      <c r="S45" s="440"/>
    </row>
    <row r="46" spans="1:29" ht="12.95" customHeight="1" x14ac:dyDescent="0.2">
      <c r="A46" s="440"/>
      <c r="B46" s="609" t="s">
        <v>60</v>
      </c>
      <c r="C46" s="494"/>
      <c r="D46" s="1618" t="s">
        <v>73</v>
      </c>
      <c r="E46" s="1625"/>
      <c r="F46" s="1626"/>
      <c r="G46" s="611"/>
      <c r="H46" s="611"/>
      <c r="I46" s="611"/>
      <c r="J46" s="611"/>
      <c r="K46" s="1131">
        <f ca="1">SUM(K47:K48)</f>
        <v>2996.3999999999996</v>
      </c>
      <c r="L46" s="328"/>
      <c r="M46" s="628"/>
      <c r="N46" s="628"/>
      <c r="O46" s="610"/>
      <c r="P46" s="610"/>
      <c r="Q46" s="610"/>
      <c r="R46" s="610"/>
      <c r="S46" s="440"/>
    </row>
    <row r="47" spans="1:29" ht="12.95" customHeight="1" x14ac:dyDescent="0.2">
      <c r="A47" s="440"/>
      <c r="B47" s="320"/>
      <c r="C47" s="320" t="s">
        <v>74</v>
      </c>
      <c r="D47" s="1621" t="s">
        <v>75</v>
      </c>
      <c r="E47" s="1621"/>
      <c r="F47" s="1621"/>
      <c r="G47" s="1621"/>
      <c r="H47" s="610"/>
      <c r="I47" s="610"/>
      <c r="J47" s="610"/>
      <c r="K47" s="306"/>
      <c r="L47" s="438"/>
      <c r="M47" s="438"/>
      <c r="N47" s="438"/>
      <c r="O47" s="610"/>
      <c r="P47" s="610"/>
      <c r="Q47" s="610"/>
      <c r="R47" s="610"/>
      <c r="S47" s="440"/>
    </row>
    <row r="48" spans="1:29" ht="12.95" customHeight="1" x14ac:dyDescent="0.2">
      <c r="A48" s="440"/>
      <c r="B48" s="320"/>
      <c r="C48" s="320" t="s">
        <v>76</v>
      </c>
      <c r="D48" s="1621" t="s">
        <v>77</v>
      </c>
      <c r="E48" s="1621"/>
      <c r="F48" s="1621"/>
      <c r="G48" s="1621"/>
      <c r="H48" s="628"/>
      <c r="I48" s="628"/>
      <c r="J48" s="628"/>
      <c r="K48" s="620">
        <f ca="1">SUM(K49:K51)</f>
        <v>2996.3999999999996</v>
      </c>
      <c r="L48" s="438"/>
      <c r="M48" s="628"/>
      <c r="N48" s="319"/>
      <c r="O48" s="610"/>
      <c r="P48" s="610"/>
      <c r="Q48" s="610"/>
      <c r="R48" s="610"/>
      <c r="S48" s="440"/>
    </row>
    <row r="49" spans="1:19" ht="12.95" customHeight="1" x14ac:dyDescent="0.2">
      <c r="A49" s="440"/>
      <c r="B49" s="320"/>
      <c r="C49" s="320"/>
      <c r="D49" s="753"/>
      <c r="E49" s="753"/>
      <c r="F49" s="753"/>
      <c r="G49" s="753"/>
      <c r="H49" s="753"/>
      <c r="I49" s="753"/>
      <c r="J49" s="621" t="s">
        <v>531</v>
      </c>
      <c r="K49" s="1133">
        <f ca="1">BERECHNUNG!R148+'PV-Einspeisung'!AB83</f>
        <v>2996.3999999999996</v>
      </c>
      <c r="L49" s="749"/>
      <c r="M49" s="751"/>
      <c r="N49" s="319"/>
      <c r="O49" s="754"/>
      <c r="P49" s="754"/>
      <c r="Q49" s="754"/>
      <c r="R49" s="754"/>
      <c r="S49" s="440"/>
    </row>
    <row r="50" spans="1:19" ht="12.95" customHeight="1" x14ac:dyDescent="0.2">
      <c r="A50" s="440"/>
      <c r="B50" s="320"/>
      <c r="C50" s="320"/>
      <c r="D50" s="753"/>
      <c r="E50" s="753"/>
      <c r="F50" s="753"/>
      <c r="G50" s="753"/>
      <c r="H50" s="753"/>
      <c r="I50" s="753"/>
      <c r="J50" s="621" t="s">
        <v>532</v>
      </c>
      <c r="K50" s="1132"/>
      <c r="L50" s="749"/>
      <c r="M50" s="751"/>
      <c r="N50" s="319"/>
      <c r="O50" s="754"/>
      <c r="P50" s="754"/>
      <c r="Q50" s="754"/>
      <c r="R50" s="754"/>
      <c r="S50" s="440"/>
    </row>
    <row r="51" spans="1:19" ht="12.95" customHeight="1" x14ac:dyDescent="0.2">
      <c r="A51" s="440"/>
      <c r="B51" s="320"/>
      <c r="C51" s="320"/>
      <c r="D51" s="753"/>
      <c r="E51" s="753"/>
      <c r="F51" s="753"/>
      <c r="G51" s="753"/>
      <c r="H51" s="753"/>
      <c r="I51" s="753"/>
      <c r="J51" s="621" t="s">
        <v>272</v>
      </c>
      <c r="K51" s="1132"/>
      <c r="L51" s="749"/>
      <c r="M51" s="751"/>
      <c r="N51" s="319"/>
      <c r="O51" s="754"/>
      <c r="P51" s="754"/>
      <c r="Q51" s="754"/>
      <c r="R51" s="754"/>
      <c r="S51" s="440"/>
    </row>
    <row r="52" spans="1:19" ht="12.95" customHeight="1" x14ac:dyDescent="0.2">
      <c r="A52" s="440"/>
      <c r="B52" s="321"/>
      <c r="C52" s="321"/>
      <c r="D52" s="612"/>
      <c r="E52" s="612"/>
      <c r="F52" s="612"/>
      <c r="G52" s="612"/>
      <c r="H52" s="324"/>
      <c r="I52" s="324"/>
      <c r="J52" s="324"/>
      <c r="K52" s="613"/>
      <c r="L52" s="613"/>
      <c r="M52" s="324"/>
      <c r="N52" s="318"/>
      <c r="O52" s="318"/>
      <c r="P52" s="318"/>
      <c r="Q52" s="318"/>
      <c r="R52" s="319"/>
      <c r="S52" s="440"/>
    </row>
    <row r="53" spans="1:19" ht="12.95" customHeight="1" x14ac:dyDescent="0.2">
      <c r="A53" s="440"/>
      <c r="B53" s="320"/>
      <c r="C53" s="320"/>
      <c r="D53" s="614"/>
      <c r="E53" s="614"/>
      <c r="F53" s="614"/>
      <c r="G53" s="614"/>
      <c r="H53" s="628"/>
      <c r="I53" s="628"/>
      <c r="J53" s="628"/>
      <c r="K53" s="1053" t="s">
        <v>94</v>
      </c>
      <c r="L53" s="438"/>
      <c r="M53" s="628"/>
      <c r="N53" s="319"/>
      <c r="O53" s="319"/>
      <c r="P53" s="319"/>
      <c r="Q53" s="319"/>
      <c r="R53" s="319"/>
      <c r="S53" s="440"/>
    </row>
    <row r="54" spans="1:19" ht="12.95" customHeight="1" x14ac:dyDescent="0.2">
      <c r="A54" s="440"/>
      <c r="B54" s="320"/>
      <c r="C54" s="320"/>
      <c r="D54" s="320"/>
      <c r="E54" s="320"/>
      <c r="F54" s="320"/>
      <c r="G54" s="320"/>
      <c r="H54" s="628"/>
      <c r="I54" s="628"/>
      <c r="J54" s="628"/>
      <c r="K54" s="319" t="s">
        <v>93</v>
      </c>
      <c r="L54" s="319"/>
      <c r="M54" s="628"/>
      <c r="N54" s="319"/>
      <c r="O54" s="319"/>
      <c r="P54" s="319"/>
      <c r="Q54" s="319"/>
      <c r="R54" s="319"/>
      <c r="S54" s="440"/>
    </row>
    <row r="55" spans="1:19" ht="12.95" customHeight="1" x14ac:dyDescent="0.2">
      <c r="A55" s="440"/>
      <c r="B55" s="609" t="s">
        <v>55</v>
      </c>
      <c r="C55" s="494"/>
      <c r="D55" s="609" t="s">
        <v>78</v>
      </c>
      <c r="E55" s="609"/>
      <c r="F55" s="609"/>
      <c r="G55" s="322"/>
      <c r="H55" s="610"/>
      <c r="I55" s="610"/>
      <c r="J55" s="610"/>
      <c r="K55" s="1131">
        <f>SUM(K56:K56)</f>
        <v>0</v>
      </c>
      <c r="L55" s="328"/>
      <c r="M55" s="320"/>
      <c r="N55" s="320"/>
      <c r="O55" s="320"/>
      <c r="P55" s="320"/>
      <c r="Q55" s="320"/>
      <c r="R55" s="320"/>
      <c r="S55" s="440"/>
    </row>
    <row r="56" spans="1:19" ht="12.95" customHeight="1" x14ac:dyDescent="0.2">
      <c r="A56" s="440"/>
      <c r="B56" s="628"/>
      <c r="C56" s="320" t="s">
        <v>80</v>
      </c>
      <c r="D56" s="1621" t="s">
        <v>79</v>
      </c>
      <c r="E56" s="1622"/>
      <c r="F56" s="1617"/>
      <c r="G56" s="1617"/>
      <c r="H56" s="610"/>
      <c r="I56" s="610"/>
      <c r="J56" s="610"/>
      <c r="K56" s="1132"/>
      <c r="L56" s="438"/>
      <c r="M56" s="320"/>
      <c r="N56" s="320"/>
      <c r="O56" s="320"/>
      <c r="P56" s="320"/>
      <c r="Q56" s="320"/>
      <c r="R56" s="320"/>
      <c r="S56" s="440"/>
    </row>
    <row r="57" spans="1:19" ht="12.95" customHeight="1" x14ac:dyDescent="0.2">
      <c r="A57" s="440"/>
      <c r="B57" s="324"/>
      <c r="C57" s="321"/>
      <c r="D57" s="321"/>
      <c r="E57" s="321"/>
      <c r="F57" s="321"/>
      <c r="G57" s="321"/>
      <c r="H57" s="321"/>
      <c r="I57" s="321"/>
      <c r="J57" s="321"/>
      <c r="K57" s="321"/>
      <c r="L57" s="321"/>
      <c r="M57" s="321"/>
      <c r="N57" s="321"/>
      <c r="O57" s="321"/>
      <c r="P57" s="321"/>
      <c r="Q57" s="321"/>
      <c r="R57" s="320"/>
      <c r="S57" s="440"/>
    </row>
    <row r="58" spans="1:19" ht="12.95" customHeight="1" x14ac:dyDescent="0.2">
      <c r="A58" s="440"/>
      <c r="B58" s="628"/>
      <c r="C58" s="320"/>
      <c r="D58" s="614"/>
      <c r="E58" s="623"/>
      <c r="F58" s="624"/>
      <c r="G58" s="624"/>
      <c r="H58" s="628"/>
      <c r="I58" s="320"/>
      <c r="J58" s="320"/>
      <c r="K58" s="616" t="s">
        <v>94</v>
      </c>
      <c r="L58" s="616"/>
      <c r="M58" s="320"/>
      <c r="N58" s="320"/>
      <c r="O58" s="320"/>
      <c r="P58" s="320"/>
      <c r="Q58" s="320"/>
      <c r="R58" s="320"/>
      <c r="S58" s="440"/>
    </row>
    <row r="59" spans="1:19" ht="12.95" customHeight="1" x14ac:dyDescent="0.2">
      <c r="A59" s="440"/>
      <c r="B59" s="628"/>
      <c r="C59" s="320"/>
      <c r="D59" s="614"/>
      <c r="E59" s="623"/>
      <c r="F59" s="624"/>
      <c r="G59" s="624"/>
      <c r="H59" s="628"/>
      <c r="I59" s="320"/>
      <c r="J59" s="320"/>
      <c r="K59" s="328" t="s">
        <v>93</v>
      </c>
      <c r="L59" s="328"/>
      <c r="M59" s="320"/>
      <c r="N59" s="320"/>
      <c r="O59" s="320"/>
      <c r="P59" s="320"/>
      <c r="Q59" s="320"/>
      <c r="R59" s="320"/>
      <c r="S59" s="440"/>
    </row>
    <row r="60" spans="1:19" ht="12.95" customHeight="1" x14ac:dyDescent="0.2">
      <c r="A60" s="440"/>
      <c r="B60" s="609" t="s">
        <v>49</v>
      </c>
      <c r="C60" s="494"/>
      <c r="D60" s="1618" t="s">
        <v>187</v>
      </c>
      <c r="E60" s="1618"/>
      <c r="F60" s="1618"/>
      <c r="G60" s="322"/>
      <c r="H60" s="322"/>
      <c r="I60" s="610"/>
      <c r="J60" s="610"/>
      <c r="K60" s="1131">
        <f ca="1">SUM(K63:K80,K89,K84:K85)</f>
        <v>11460.111577200001</v>
      </c>
      <c r="L60" s="628"/>
      <c r="M60" s="610"/>
      <c r="N60" s="322"/>
      <c r="O60" s="322"/>
      <c r="P60" s="322"/>
      <c r="Q60" s="322"/>
      <c r="R60" s="322"/>
      <c r="S60" s="440"/>
    </row>
    <row r="61" spans="1:19" ht="12.95" customHeight="1" x14ac:dyDescent="0.2">
      <c r="A61" s="440"/>
      <c r="B61" s="320"/>
      <c r="C61" s="320" t="s">
        <v>81</v>
      </c>
      <c r="D61" s="1621" t="s">
        <v>168</v>
      </c>
      <c r="E61" s="1621"/>
      <c r="F61" s="1621"/>
      <c r="G61" s="623" t="s">
        <v>453</v>
      </c>
      <c r="H61" s="610" t="s">
        <v>321</v>
      </c>
      <c r="I61" s="446" t="s">
        <v>319</v>
      </c>
      <c r="J61" s="446" t="s">
        <v>208</v>
      </c>
      <c r="K61" s="1056"/>
      <c r="L61" s="610"/>
      <c r="M61" s="610"/>
      <c r="N61" s="610"/>
      <c r="O61" s="610"/>
      <c r="P61" s="610"/>
      <c r="Q61" s="610"/>
      <c r="R61" s="610"/>
      <c r="S61" s="440"/>
    </row>
    <row r="62" spans="1:19" ht="12.75" customHeight="1" x14ac:dyDescent="0.2">
      <c r="A62" s="440"/>
      <c r="B62" s="320"/>
      <c r="C62" s="320"/>
      <c r="D62" s="418" t="s">
        <v>352</v>
      </c>
      <c r="E62" s="610"/>
      <c r="F62" s="610"/>
      <c r="G62" s="328" t="s">
        <v>122</v>
      </c>
      <c r="H62" s="446" t="s">
        <v>121</v>
      </c>
      <c r="I62" s="446" t="s">
        <v>320</v>
      </c>
      <c r="J62" s="446" t="s">
        <v>209</v>
      </c>
      <c r="K62" s="1056"/>
      <c r="L62" s="610"/>
      <c r="M62" s="610"/>
      <c r="N62" s="610"/>
      <c r="O62" s="610"/>
      <c r="P62" s="610"/>
      <c r="Q62" s="610"/>
      <c r="R62" s="610"/>
      <c r="S62" s="440"/>
    </row>
    <row r="63" spans="1:19" ht="12.75" customHeight="1" x14ac:dyDescent="0.2">
      <c r="A63" s="440"/>
      <c r="B63" s="320"/>
      <c r="C63" s="320"/>
      <c r="D63" s="610"/>
      <c r="E63" s="617" t="str">
        <f>'2. Energie KW.'!E15</f>
        <v>Heizung</v>
      </c>
      <c r="F63" s="619" t="str">
        <f ca="1">VLOOKUP(E63,'2. Energie KW.'!$E$46:$J$63,2,FALSE)</f>
        <v>Wärmepumpenstrom</v>
      </c>
      <c r="G63" s="618">
        <f ca="1">IFERROR(IF(OR(F63="",F63="keine"),0,LOOKUP(MATCH(F63,'1. Projektangaben'!$C$36:$C$43,0),'1. Projektangaben'!$B$36:$B$43,'1. Projektangaben'!$D$36:$D$43)),0)</f>
        <v>0.12156</v>
      </c>
      <c r="H63" s="619">
        <f>VLOOKUP(E63,'2. Energie KW.'!$E$46:$J$63,6,FALSE)</f>
        <v>13.7</v>
      </c>
      <c r="I63" s="619">
        <f ca="1">G63*H63</f>
        <v>1.6653719999999999</v>
      </c>
      <c r="J63" s="619">
        <f t="shared" ref="J63:J80" ca="1" si="5">IF(OR(F63="",F63="keine"),0,$I$8)</f>
        <v>1410.2</v>
      </c>
      <c r="K63" s="620">
        <f ca="1">J63*I63</f>
        <v>2348.5075944</v>
      </c>
      <c r="L63" s="710"/>
      <c r="M63" s="610"/>
      <c r="N63" s="610"/>
      <c r="O63" s="610"/>
      <c r="P63" s="610"/>
      <c r="Q63" s="610"/>
      <c r="R63" s="610"/>
      <c r="S63" s="440"/>
    </row>
    <row r="64" spans="1:19" ht="12.75" customHeight="1" x14ac:dyDescent="0.2">
      <c r="A64" s="440"/>
      <c r="B64" s="320"/>
      <c r="C64" s="320"/>
      <c r="D64" s="610"/>
      <c r="E64" s="617" t="str">
        <f>'2. Energie KW.'!E16</f>
        <v>Heizung 2</v>
      </c>
      <c r="F64" s="619">
        <f ca="1">VLOOKUP(E64,'2. Energie KW.'!$E$46:$J$63,2,FALSE)</f>
        <v>0</v>
      </c>
      <c r="G64" s="618">
        <f ca="1">IFERROR(IF(OR(F64="",F64="keine"),0,LOOKUP(MATCH(F64,'1. Projektangaben'!$C$36:$C$43,0),'1. Projektangaben'!$B$36:$B$43,'1. Projektangaben'!$D$36:$D$43)),0)</f>
        <v>0</v>
      </c>
      <c r="H64" s="619">
        <f ca="1">VLOOKUP(E64,'2. Energie KW.'!$E$46:$J$63,6,FALSE)</f>
        <v>0</v>
      </c>
      <c r="I64" s="619">
        <f t="shared" ref="I64:I80" ca="1" si="6">G64*H64</f>
        <v>0</v>
      </c>
      <c r="J64" s="619">
        <f t="shared" ca="1" si="5"/>
        <v>1410.2</v>
      </c>
      <c r="K64" s="620">
        <f ca="1">J64*I64</f>
        <v>0</v>
      </c>
      <c r="L64" s="325"/>
      <c r="M64" s="610"/>
      <c r="N64" s="610"/>
      <c r="O64" s="610"/>
      <c r="P64" s="610"/>
      <c r="Q64" s="610"/>
      <c r="R64" s="610"/>
      <c r="S64" s="440"/>
    </row>
    <row r="65" spans="1:19" ht="12.75" customHeight="1" x14ac:dyDescent="0.2">
      <c r="A65" s="440"/>
      <c r="B65" s="320"/>
      <c r="C65" s="320"/>
      <c r="D65" s="610"/>
      <c r="E65" s="617" t="str">
        <f>'2. Energie KW.'!E17</f>
        <v>Warmwasser</v>
      </c>
      <c r="F65" s="619" t="str">
        <f ca="1">VLOOKUP(E65,'2. Energie KW.'!$E$46:$J$63,2,FALSE)</f>
        <v>Wärmepumpenstrom</v>
      </c>
      <c r="G65" s="618">
        <f ca="1">IFERROR(IF(OR(F65="",F65="keine"),0,LOOKUP(MATCH(F65,'1. Projektangaben'!$C$36:$C$43,0),'1. Projektangaben'!$B$36:$B$43,'1. Projektangaben'!$D$36:$D$43)),0)</f>
        <v>0.12156</v>
      </c>
      <c r="H65" s="619">
        <f>VLOOKUP(E65,'2. Energie KW.'!$E$46:$J$63,6,FALSE)</f>
        <v>17.649999999999999</v>
      </c>
      <c r="I65" s="619">
        <f t="shared" ca="1" si="6"/>
        <v>2.1455340000000001</v>
      </c>
      <c r="J65" s="619">
        <f t="shared" ca="1" si="5"/>
        <v>1410.2</v>
      </c>
      <c r="K65" s="620">
        <f t="shared" ref="K65:K80" ca="1" si="7">J65*I65</f>
        <v>3025.6320468000004</v>
      </c>
      <c r="L65" s="325"/>
      <c r="M65" s="610"/>
      <c r="N65" s="610"/>
      <c r="O65" s="610"/>
      <c r="P65" s="610"/>
      <c r="Q65" s="610"/>
      <c r="R65" s="610"/>
      <c r="S65" s="440"/>
    </row>
    <row r="66" spans="1:19" ht="12.75" customHeight="1" x14ac:dyDescent="0.2">
      <c r="A66" s="440"/>
      <c r="B66" s="320"/>
      <c r="C66" s="320"/>
      <c r="D66" s="610"/>
      <c r="E66" s="617" t="str">
        <f>'2. Energie KW.'!E18</f>
        <v>Warmwasser 2</v>
      </c>
      <c r="F66" s="619">
        <f ca="1">VLOOKUP(E66,'2. Energie KW.'!$E$46:$J$63,2,FALSE)</f>
        <v>0</v>
      </c>
      <c r="G66" s="618">
        <f ca="1">IFERROR(IF(OR(F66="",F66="keine"),0,LOOKUP(MATCH(F66,'1. Projektangaben'!$C$36:$C$43,0),'1. Projektangaben'!$B$36:$B$43,'1. Projektangaben'!$D$36:$D$43)),0)</f>
        <v>0</v>
      </c>
      <c r="H66" s="619">
        <f ca="1">VLOOKUP(E66,'2. Energie KW.'!$E$46:$J$63,6,FALSE)</f>
        <v>0</v>
      </c>
      <c r="I66" s="619">
        <f t="shared" ca="1" si="6"/>
        <v>0</v>
      </c>
      <c r="J66" s="619">
        <f t="shared" ca="1" si="5"/>
        <v>1410.2</v>
      </c>
      <c r="K66" s="620">
        <f t="shared" ca="1" si="7"/>
        <v>0</v>
      </c>
      <c r="L66" s="325"/>
      <c r="M66" s="610"/>
      <c r="N66" s="610"/>
      <c r="O66" s="610"/>
      <c r="P66" s="610"/>
      <c r="Q66" s="610"/>
      <c r="R66" s="610"/>
      <c r="S66" s="440"/>
    </row>
    <row r="67" spans="1:19" ht="12.75" customHeight="1" x14ac:dyDescent="0.2">
      <c r="A67" s="440"/>
      <c r="B67" s="320"/>
      <c r="C67" s="320"/>
      <c r="D67" s="610"/>
      <c r="E67" s="617" t="str">
        <f>'2. Energie KW.'!E19</f>
        <v>Klimatisierung</v>
      </c>
      <c r="F67" s="619">
        <f ca="1">VLOOKUP(E67,'2. Energie KW.'!$E$46:$J$63,2,FALSE)</f>
        <v>0</v>
      </c>
      <c r="G67" s="618">
        <f ca="1">IFERROR(IF(OR(F67="",F67="keine"),0,LOOKUP(MATCH(F67,'1. Projektangaben'!$C$36:$C$43,0),'1. Projektangaben'!$B$36:$B$43,'1. Projektangaben'!$D$36:$D$43)),0)</f>
        <v>0</v>
      </c>
      <c r="H67" s="619">
        <f ca="1">VLOOKUP(E67,'2. Energie KW.'!$E$46:$J$63,6,FALSE)</f>
        <v>0</v>
      </c>
      <c r="I67" s="619">
        <f t="shared" ca="1" si="6"/>
        <v>0</v>
      </c>
      <c r="J67" s="619">
        <f t="shared" ca="1" si="5"/>
        <v>1410.2</v>
      </c>
      <c r="K67" s="620">
        <f t="shared" ca="1" si="7"/>
        <v>0</v>
      </c>
      <c r="L67" s="325"/>
      <c r="M67" s="610"/>
      <c r="N67" s="610"/>
      <c r="O67" s="610"/>
      <c r="P67" s="610"/>
      <c r="Q67" s="610"/>
      <c r="R67" s="610"/>
      <c r="S67" s="440"/>
    </row>
    <row r="68" spans="1:19" ht="12.75" customHeight="1" x14ac:dyDescent="0.2">
      <c r="A68" s="440"/>
      <c r="B68" s="320"/>
      <c r="C68" s="320"/>
      <c r="D68" s="610"/>
      <c r="E68" s="617" t="str">
        <f>'2. Energie KW.'!E20</f>
        <v>Kühlung</v>
      </c>
      <c r="F68" s="619">
        <f ca="1">VLOOKUP(E68,'2. Energie KW.'!$E$46:$J$63,2,FALSE)</f>
        <v>0</v>
      </c>
      <c r="G68" s="618">
        <f ca="1">IFERROR(IF(OR(F68="",F68="keine"),0,LOOKUP(MATCH(F68,'1. Projektangaben'!$C$36:$C$43,0),'1. Projektangaben'!$B$36:$B$43,'1. Projektangaben'!$D$36:$D$43)),0)</f>
        <v>0</v>
      </c>
      <c r="H68" s="619">
        <f ca="1">VLOOKUP(E68,'2. Energie KW.'!$E$46:$J$63,6,FALSE)</f>
        <v>0</v>
      </c>
      <c r="I68" s="619">
        <f t="shared" ca="1" si="6"/>
        <v>0</v>
      </c>
      <c r="J68" s="619">
        <f t="shared" ca="1" si="5"/>
        <v>1410.2</v>
      </c>
      <c r="K68" s="620">
        <f t="shared" ca="1" si="7"/>
        <v>0</v>
      </c>
      <c r="L68" s="325"/>
      <c r="M68" s="610"/>
      <c r="N68" s="610"/>
      <c r="O68" s="610"/>
      <c r="P68" s="610"/>
      <c r="Q68" s="610"/>
      <c r="R68" s="610"/>
      <c r="S68" s="440"/>
    </row>
    <row r="69" spans="1:19" ht="12.75" customHeight="1" x14ac:dyDescent="0.2">
      <c r="A69" s="440"/>
      <c r="B69" s="320"/>
      <c r="C69" s="320"/>
      <c r="D69" s="610"/>
      <c r="E69" s="617" t="str">
        <f>'2. Energie KW.'!E21</f>
        <v>Hilfstrom Heizung</v>
      </c>
      <c r="F69" s="619" t="str">
        <f>VLOOKUP(E69,'2. Energie KW.'!$E$46:$J$63,2,FALSE)</f>
        <v>Strom</v>
      </c>
      <c r="G69" s="618">
        <f>IFERROR(IF(OR(F69="",F69="keine"),0,LOOKUP(MATCH(F69,'1. Projektangaben'!$C$36:$C$43,0),'1. Projektangaben'!$B$36:$B$43,'1. Projektangaben'!$D$36:$D$43)),0)</f>
        <v>0.15551999999999999</v>
      </c>
      <c r="H69" s="619">
        <f>VLOOKUP(E69,'2. Energie KW.'!$E$46:$J$63,6,FALSE)</f>
        <v>0.85</v>
      </c>
      <c r="I69" s="619">
        <f t="shared" si="6"/>
        <v>0.13219199999999998</v>
      </c>
      <c r="J69" s="619">
        <f t="shared" si="5"/>
        <v>1410.2</v>
      </c>
      <c r="K69" s="620">
        <f t="shared" si="7"/>
        <v>186.41715839999998</v>
      </c>
      <c r="L69" s="325"/>
      <c r="M69" s="610"/>
      <c r="N69" s="610"/>
      <c r="O69" s="610"/>
      <c r="P69" s="610"/>
      <c r="Q69" s="610"/>
      <c r="R69" s="610"/>
      <c r="S69" s="440"/>
    </row>
    <row r="70" spans="1:19" ht="12.75" customHeight="1" x14ac:dyDescent="0.2">
      <c r="A70" s="440"/>
      <c r="B70" s="320"/>
      <c r="C70" s="320"/>
      <c r="D70" s="610"/>
      <c r="E70" s="617" t="str">
        <f>'2. Energie KW.'!E22</f>
        <v>Hilfsstrom Warmwasser</v>
      </c>
      <c r="F70" s="619" t="str">
        <f>VLOOKUP(E70,'2. Energie KW.'!$E$46:$J$63,2,FALSE)</f>
        <v>Strom</v>
      </c>
      <c r="G70" s="618">
        <f>IFERROR(IF(OR(F70="",F70="keine"),0,LOOKUP(MATCH(F70,'1. Projektangaben'!$C$36:$C$43,0),'1. Projektangaben'!$B$36:$B$43,'1. Projektangaben'!$D$36:$D$43)),0)</f>
        <v>0.15551999999999999</v>
      </c>
      <c r="H70" s="619">
        <f ca="1">VLOOKUP(E70,'2. Energie KW.'!$E$46:$J$63,6,FALSE)</f>
        <v>0.5</v>
      </c>
      <c r="I70" s="619">
        <f t="shared" ca="1" si="6"/>
        <v>7.7759999999999996E-2</v>
      </c>
      <c r="J70" s="619">
        <f t="shared" si="5"/>
        <v>1410.2</v>
      </c>
      <c r="K70" s="620">
        <f t="shared" ca="1" si="7"/>
        <v>109.657152</v>
      </c>
      <c r="L70" s="325"/>
      <c r="M70" s="610"/>
      <c r="N70" s="610"/>
      <c r="O70" s="610"/>
      <c r="P70" s="610"/>
      <c r="Q70" s="610"/>
      <c r="R70" s="610"/>
      <c r="S70" s="440"/>
    </row>
    <row r="71" spans="1:19" ht="12.75" customHeight="1" x14ac:dyDescent="0.2">
      <c r="A71" s="440"/>
      <c r="B71" s="320"/>
      <c r="C71" s="320"/>
      <c r="D71" s="610"/>
      <c r="E71" s="617" t="str">
        <f>'2. Energie KW.'!E23</f>
        <v>Hilfsstrom Solaranlage</v>
      </c>
      <c r="F71" s="619" t="str">
        <f>VLOOKUP(E71,'2. Energie KW.'!$E$46:$J$63,2,FALSE)</f>
        <v>Strom</v>
      </c>
      <c r="G71" s="618">
        <f>IFERROR(IF(OR(F71="",F71="keine"),0,LOOKUP(MATCH(F71,'1. Projektangaben'!$C$36:$C$43,0),'1. Projektangaben'!$B$36:$B$43,'1. Projektangaben'!$D$36:$D$43)),0)</f>
        <v>0.15551999999999999</v>
      </c>
      <c r="H71" s="619">
        <f ca="1">VLOOKUP(E71,'2. Energie KW.'!$E$46:$J$63,6,FALSE)</f>
        <v>0</v>
      </c>
      <c r="I71" s="619">
        <f t="shared" ca="1" si="6"/>
        <v>0</v>
      </c>
      <c r="J71" s="619">
        <f t="shared" si="5"/>
        <v>1410.2</v>
      </c>
      <c r="K71" s="620">
        <f t="shared" ca="1" si="7"/>
        <v>0</v>
      </c>
      <c r="L71" s="325"/>
      <c r="M71" s="610"/>
      <c r="N71" s="610"/>
      <c r="O71" s="610"/>
      <c r="P71" s="610"/>
      <c r="Q71" s="610"/>
      <c r="R71" s="610"/>
      <c r="S71" s="440"/>
    </row>
    <row r="72" spans="1:19" ht="12.75" customHeight="1" x14ac:dyDescent="0.2">
      <c r="A72" s="440"/>
      <c r="B72" s="320"/>
      <c r="C72" s="320"/>
      <c r="D72" s="610"/>
      <c r="E72" s="617" t="str">
        <f>'2. Energie KW.'!E24</f>
        <v>Hilfsstrom Klimatisierung</v>
      </c>
      <c r="F72" s="619" t="str">
        <f>VLOOKUP(E72,'2. Energie KW.'!$E$46:$J$63,2,FALSE)</f>
        <v>Strom</v>
      </c>
      <c r="G72" s="618">
        <f>IFERROR(IF(OR(F72="",F72="keine"),0,LOOKUP(MATCH(F72,'1. Projektangaben'!$C$36:$C$43,0),'1. Projektangaben'!$B$36:$B$43,'1. Projektangaben'!$D$36:$D$43)),0)</f>
        <v>0.15551999999999999</v>
      </c>
      <c r="H72" s="619">
        <f ca="1">VLOOKUP(E72,'2. Energie KW.'!$E$46:$J$63,6,FALSE)</f>
        <v>0</v>
      </c>
      <c r="I72" s="619">
        <f t="shared" ca="1" si="6"/>
        <v>0</v>
      </c>
      <c r="J72" s="619">
        <f t="shared" si="5"/>
        <v>1410.2</v>
      </c>
      <c r="K72" s="620">
        <f t="shared" ca="1" si="7"/>
        <v>0</v>
      </c>
      <c r="L72" s="325"/>
      <c r="M72" s="610"/>
      <c r="N72" s="610"/>
      <c r="O72" s="610"/>
      <c r="P72" s="610"/>
      <c r="Q72" s="610"/>
      <c r="R72" s="610"/>
      <c r="S72" s="440"/>
    </row>
    <row r="73" spans="1:19" ht="12.75" customHeight="1" x14ac:dyDescent="0.2">
      <c r="A73" s="440"/>
      <c r="B73" s="320"/>
      <c r="C73" s="320"/>
      <c r="D73" s="610"/>
      <c r="E73" s="617" t="str">
        <f>'2. Energie KW.'!E25</f>
        <v>Hilfsstrom Lüftung</v>
      </c>
      <c r="F73" s="619" t="str">
        <f>VLOOKUP(E73,'2. Energie KW.'!$E$46:$J$63,2,FALSE)</f>
        <v>Strom</v>
      </c>
      <c r="G73" s="618">
        <f>IFERROR(IF(OR(F73="",F73="keine"),0,LOOKUP(MATCH(F73,'1. Projektangaben'!$C$36:$C$43,0),'1. Projektangaben'!$B$36:$B$43,'1. Projektangaben'!$D$36:$D$43)),0)</f>
        <v>0.15551999999999999</v>
      </c>
      <c r="H73" s="619">
        <f ca="1">VLOOKUP(E73,'2. Energie KW.'!$E$46:$J$63,6,FALSE)</f>
        <v>1.4</v>
      </c>
      <c r="I73" s="619">
        <f t="shared" ca="1" si="6"/>
        <v>0.21772799999999998</v>
      </c>
      <c r="J73" s="619">
        <f t="shared" si="5"/>
        <v>1410.2</v>
      </c>
      <c r="K73" s="620">
        <f t="shared" ca="1" si="7"/>
        <v>307.04002559999998</v>
      </c>
      <c r="L73" s="325"/>
      <c r="M73" s="610"/>
      <c r="N73" s="610"/>
      <c r="O73" s="610"/>
      <c r="P73" s="610"/>
      <c r="Q73" s="610"/>
      <c r="R73" s="610"/>
      <c r="S73" s="440"/>
    </row>
    <row r="74" spans="1:19" ht="12.75" customHeight="1" x14ac:dyDescent="0.2">
      <c r="A74" s="440"/>
      <c r="B74" s="320"/>
      <c r="C74" s="320"/>
      <c r="D74" s="610"/>
      <c r="E74" s="617" t="str">
        <f>'2. Energie KW.'!E26</f>
        <v>Hilfsstrom Kühlung</v>
      </c>
      <c r="F74" s="619" t="str">
        <f>VLOOKUP(E74,'2. Energie KW.'!$E$46:$J$63,2,FALSE)</f>
        <v>Strom</v>
      </c>
      <c r="G74" s="618">
        <f>IFERROR(IF(OR(F74="",F74="keine"),0,LOOKUP(MATCH(F74,'1. Projektangaben'!$C$36:$C$43,0),'1. Projektangaben'!$B$36:$B$43,'1. Projektangaben'!$D$36:$D$43)),0)</f>
        <v>0.15551999999999999</v>
      </c>
      <c r="H74" s="619">
        <f ca="1">VLOOKUP(E74,'2. Energie KW.'!$E$46:$J$63,6,FALSE)</f>
        <v>0</v>
      </c>
      <c r="I74" s="619">
        <f t="shared" ca="1" si="6"/>
        <v>0</v>
      </c>
      <c r="J74" s="619">
        <f t="shared" si="5"/>
        <v>1410.2</v>
      </c>
      <c r="K74" s="620">
        <f t="shared" ca="1" si="7"/>
        <v>0</v>
      </c>
      <c r="L74" s="325"/>
      <c r="M74" s="610"/>
      <c r="N74" s="610"/>
      <c r="O74" s="610"/>
      <c r="P74" s="610"/>
      <c r="Q74" s="610"/>
      <c r="R74" s="610"/>
      <c r="S74" s="440"/>
    </row>
    <row r="75" spans="1:19" ht="12.75" customHeight="1" x14ac:dyDescent="0.2">
      <c r="A75" s="440"/>
      <c r="B75" s="320"/>
      <c r="C75" s="320"/>
      <c r="D75" s="610"/>
      <c r="E75" s="617" t="str">
        <f>'2. Energie KW.'!E27</f>
        <v>Beleuchtung</v>
      </c>
      <c r="F75" s="619" t="str">
        <f>VLOOKUP(E75,'2. Energie KW.'!$E$46:$J$63,2,FALSE)</f>
        <v>Strom</v>
      </c>
      <c r="G75" s="618">
        <f>IFERROR(IF(OR(F75="",F75="keine"),0,LOOKUP(MATCH(F75,'1. Projektangaben'!$C$36:$C$43,0),'1. Projektangaben'!$B$36:$B$43,'1. Projektangaben'!$D$36:$D$43)),0)</f>
        <v>0.15551999999999999</v>
      </c>
      <c r="H75" s="619">
        <f ca="1">VLOOKUP(E75,'2. Energie KW.'!$E$46:$J$63,6,FALSE)</f>
        <v>0</v>
      </c>
      <c r="I75" s="619">
        <f t="shared" ca="1" si="6"/>
        <v>0</v>
      </c>
      <c r="J75" s="619">
        <f t="shared" si="5"/>
        <v>1410.2</v>
      </c>
      <c r="K75" s="620">
        <f t="shared" ca="1" si="7"/>
        <v>0</v>
      </c>
      <c r="L75" s="325"/>
      <c r="M75" s="610"/>
      <c r="N75" s="610"/>
      <c r="O75" s="610"/>
      <c r="P75" s="610"/>
      <c r="Q75" s="610"/>
      <c r="R75" s="610"/>
      <c r="S75" s="440"/>
    </row>
    <row r="76" spans="1:19" ht="12.75" customHeight="1" x14ac:dyDescent="0.2">
      <c r="A76" s="440"/>
      <c r="B76" s="320"/>
      <c r="C76" s="320"/>
      <c r="D76" s="610"/>
      <c r="E76" s="617" t="str">
        <f>'2. Energie KW.'!E28</f>
        <v>EDV</v>
      </c>
      <c r="F76" s="619" t="str">
        <f>VLOOKUP(E76,'2. Energie KW.'!$E$46:$J$63,2,FALSE)</f>
        <v>Strom</v>
      </c>
      <c r="G76" s="618">
        <f>IFERROR(IF(OR(F76="",F76="keine"),0,LOOKUP(MATCH(F76,'1. Projektangaben'!$C$36:$C$43,0),'1. Projektangaben'!$B$36:$B$43,'1. Projektangaben'!$D$36:$D$43)),0)</f>
        <v>0.15551999999999999</v>
      </c>
      <c r="H76" s="619">
        <f ca="1">VLOOKUP(E76,'2. Energie KW.'!$E$46:$J$63,6,FALSE)</f>
        <v>0</v>
      </c>
      <c r="I76" s="619">
        <f t="shared" ca="1" si="6"/>
        <v>0</v>
      </c>
      <c r="J76" s="619">
        <f t="shared" si="5"/>
        <v>1410.2</v>
      </c>
      <c r="K76" s="620">
        <f t="shared" ca="1" si="7"/>
        <v>0</v>
      </c>
      <c r="L76" s="325"/>
      <c r="M76" s="610"/>
      <c r="N76" s="610"/>
      <c r="O76" s="610"/>
      <c r="P76" s="610"/>
      <c r="Q76" s="610"/>
      <c r="R76" s="610"/>
      <c r="S76" s="440"/>
    </row>
    <row r="77" spans="1:19" ht="12.75" customHeight="1" x14ac:dyDescent="0.2">
      <c r="A77" s="440"/>
      <c r="B77" s="320"/>
      <c r="C77" s="320"/>
      <c r="D77" s="610"/>
      <c r="E77" s="617" t="str">
        <f>'2. Energie KW.'!E29</f>
        <v>Haushaltsstrom</v>
      </c>
      <c r="F77" s="619" t="str">
        <f>VLOOKUP(E77,'2. Energie KW.'!$E$46:$J$63,2,FALSE)</f>
        <v>Strom</v>
      </c>
      <c r="G77" s="618">
        <f>IFERROR(IF(OR(F77="",F77="keine"),0,LOOKUP(MATCH(F77,'1. Projektangaben'!$C$36:$C$43,0),'1. Projektangaben'!$B$36:$B$43,'1. Projektangaben'!$D$36:$D$43)),0)</f>
        <v>0.15551999999999999</v>
      </c>
      <c r="H77" s="619">
        <f ca="1">VLOOKUP(E77,'2. Energie KW.'!$E$46:$J$63,6,FALSE)</f>
        <v>25</v>
      </c>
      <c r="I77" s="619">
        <f t="shared" ca="1" si="6"/>
        <v>3.8879999999999999</v>
      </c>
      <c r="J77" s="619">
        <f t="shared" si="5"/>
        <v>1410.2</v>
      </c>
      <c r="K77" s="620">
        <f t="shared" ca="1" si="7"/>
        <v>5482.8576000000003</v>
      </c>
      <c r="L77" s="325"/>
      <c r="M77" s="610"/>
      <c r="N77" s="610"/>
      <c r="O77" s="610"/>
      <c r="P77" s="610"/>
      <c r="Q77" s="610"/>
      <c r="R77" s="610"/>
      <c r="S77" s="440"/>
    </row>
    <row r="78" spans="1:19" ht="12.75" customHeight="1" x14ac:dyDescent="0.2">
      <c r="A78" s="440"/>
      <c r="B78" s="320"/>
      <c r="C78" s="320"/>
      <c r="D78" s="610"/>
      <c r="E78" s="617" t="str">
        <f>'2. Energie KW.'!E30</f>
        <v>Befeuchten</v>
      </c>
      <c r="F78" s="619">
        <f ca="1">VLOOKUP(E78,'2. Energie KW.'!$E$46:$J$63,2,FALSE)</f>
        <v>0</v>
      </c>
      <c r="G78" s="618">
        <f ca="1">IFERROR(IF(OR(F78="",F78="keine"),0,LOOKUP(MATCH(F78,'1. Projektangaben'!$C$36:$C$43,0),'1. Projektangaben'!$B$36:$B$43,'1. Projektangaben'!$D$36:$D$43)),0)</f>
        <v>0</v>
      </c>
      <c r="H78" s="619">
        <f ca="1">VLOOKUP(E78,'2. Energie KW.'!$E$46:$J$63,6,FALSE)</f>
        <v>0</v>
      </c>
      <c r="I78" s="619">
        <f t="shared" ca="1" si="6"/>
        <v>0</v>
      </c>
      <c r="J78" s="619">
        <f t="shared" ca="1" si="5"/>
        <v>1410.2</v>
      </c>
      <c r="K78" s="620">
        <f t="shared" ca="1" si="7"/>
        <v>0</v>
      </c>
      <c r="L78" s="325"/>
      <c r="M78" s="610"/>
      <c r="N78" s="610"/>
      <c r="O78" s="610"/>
      <c r="P78" s="610"/>
      <c r="Q78" s="610"/>
      <c r="R78" s="610"/>
      <c r="S78" s="440"/>
    </row>
    <row r="79" spans="1:19" ht="12.75" customHeight="1" x14ac:dyDescent="0.2">
      <c r="A79" s="440"/>
      <c r="B79" s="320"/>
      <c r="C79" s="320"/>
      <c r="D79" s="610"/>
      <c r="E79" s="617" t="str">
        <f>'2. Energie KW.'!E31</f>
        <v>Entfeuchten</v>
      </c>
      <c r="F79" s="619">
        <f ca="1">VLOOKUP(E79,'2. Energie KW.'!$E$46:$J$63,2,FALSE)</f>
        <v>0</v>
      </c>
      <c r="G79" s="618">
        <f ca="1">IFERROR(IF(OR(F79="",F79="keine"),0,LOOKUP(MATCH(F79,'1. Projektangaben'!$C$36:$C$43,0),'1. Projektangaben'!$B$36:$B$43,'1. Projektangaben'!$D$36:$D$43)),0)</f>
        <v>0</v>
      </c>
      <c r="H79" s="619">
        <f ca="1">VLOOKUP(E79,'2. Energie KW.'!$E$46:$J$63,6,FALSE)</f>
        <v>0</v>
      </c>
      <c r="I79" s="619">
        <f t="shared" ca="1" si="6"/>
        <v>0</v>
      </c>
      <c r="J79" s="619">
        <f t="shared" ca="1" si="5"/>
        <v>1410.2</v>
      </c>
      <c r="K79" s="620">
        <f t="shared" ca="1" si="7"/>
        <v>0</v>
      </c>
      <c r="L79" s="325"/>
      <c r="M79" s="610"/>
      <c r="N79" s="610"/>
      <c r="O79" s="610"/>
      <c r="P79" s="610"/>
      <c r="Q79" s="610"/>
      <c r="R79" s="610"/>
      <c r="S79" s="440"/>
    </row>
    <row r="80" spans="1:19" ht="12.75" customHeight="1" x14ac:dyDescent="0.2">
      <c r="A80" s="440"/>
      <c r="B80" s="320"/>
      <c r="C80" s="320"/>
      <c r="D80" s="610"/>
      <c r="E80" s="617" t="str">
        <f>'2. Energie KW.'!E32</f>
        <v>Sonstiges</v>
      </c>
      <c r="F80" s="619">
        <f ca="1">VLOOKUP(E80,'2. Energie KW.'!$E$46:$J$63,2,FALSE)</f>
        <v>0</v>
      </c>
      <c r="G80" s="618">
        <f ca="1">IFERROR(IF(OR(F80="",F80="keine"),0,LOOKUP(MATCH(F80,'1. Projektangaben'!$C$36:$C$43,0),'1. Projektangaben'!$B$36:$B$43,'1. Projektangaben'!$D$36:$D$43)),0)</f>
        <v>0</v>
      </c>
      <c r="H80" s="619">
        <f ca="1">VLOOKUP(E80,'2. Energie KW.'!$E$46:$J$63,6,FALSE)</f>
        <v>0</v>
      </c>
      <c r="I80" s="619">
        <f t="shared" ca="1" si="6"/>
        <v>0</v>
      </c>
      <c r="J80" s="619">
        <f t="shared" ca="1" si="5"/>
        <v>1410.2</v>
      </c>
      <c r="K80" s="620">
        <f t="shared" ca="1" si="7"/>
        <v>0</v>
      </c>
      <c r="L80" s="325"/>
      <c r="M80" s="610"/>
      <c r="N80" s="610"/>
      <c r="O80" s="610"/>
      <c r="P80" s="610"/>
      <c r="Q80" s="610"/>
      <c r="R80" s="610"/>
      <c r="S80" s="440"/>
    </row>
    <row r="81" spans="1:19" ht="12.75" customHeight="1" x14ac:dyDescent="0.2">
      <c r="A81" s="440"/>
      <c r="B81" s="320"/>
      <c r="C81" s="320"/>
      <c r="D81" s="610"/>
      <c r="E81" s="610"/>
      <c r="F81" s="446">
        <f>'2. Energie KW.'!F64</f>
        <v>0</v>
      </c>
      <c r="G81" s="610"/>
      <c r="H81" s="610"/>
      <c r="I81" s="610"/>
      <c r="J81" s="610"/>
      <c r="K81" s="1056"/>
      <c r="L81" s="643"/>
      <c r="M81" s="610"/>
      <c r="N81" s="610"/>
      <c r="O81" s="610"/>
      <c r="P81" s="610"/>
      <c r="Q81" s="610"/>
      <c r="R81" s="610"/>
      <c r="S81" s="440"/>
    </row>
    <row r="82" spans="1:19" ht="12.75" customHeight="1" x14ac:dyDescent="0.2">
      <c r="A82" s="440"/>
      <c r="B82" s="320"/>
      <c r="C82" s="320"/>
      <c r="D82" s="754"/>
      <c r="E82" s="754"/>
      <c r="F82" s="446"/>
      <c r="G82" s="754"/>
      <c r="H82" s="754"/>
      <c r="I82" s="754"/>
      <c r="J82" s="754"/>
      <c r="K82" s="1053" t="s">
        <v>94</v>
      </c>
      <c r="L82" s="643"/>
      <c r="M82" s="610"/>
      <c r="N82" s="610"/>
      <c r="O82" s="610"/>
      <c r="P82" s="610"/>
      <c r="Q82" s="610"/>
      <c r="R82" s="610"/>
      <c r="S82" s="440"/>
    </row>
    <row r="83" spans="1:19" ht="12.75" customHeight="1" x14ac:dyDescent="0.2">
      <c r="A83" s="440"/>
      <c r="B83" s="320"/>
      <c r="C83" s="320"/>
      <c r="D83" s="418" t="s">
        <v>548</v>
      </c>
      <c r="E83" s="748"/>
      <c r="F83" s="446"/>
      <c r="G83" s="328" t="s">
        <v>122</v>
      </c>
      <c r="H83" s="446" t="s">
        <v>123</v>
      </c>
      <c r="I83" s="751"/>
      <c r="J83" s="751"/>
      <c r="K83" s="328" t="s">
        <v>93</v>
      </c>
      <c r="L83" s="643"/>
      <c r="M83" s="610"/>
      <c r="N83" s="610"/>
      <c r="O83" s="610"/>
      <c r="P83" s="610"/>
      <c r="Q83" s="610"/>
      <c r="R83" s="610"/>
      <c r="S83" s="440"/>
    </row>
    <row r="84" spans="1:19" ht="12.75" customHeight="1" x14ac:dyDescent="0.2">
      <c r="A84" s="440"/>
      <c r="B84" s="320"/>
      <c r="C84" s="320"/>
      <c r="D84" s="754"/>
      <c r="E84" s="621" t="s">
        <v>549</v>
      </c>
      <c r="F84" s="576" t="s">
        <v>82</v>
      </c>
      <c r="G84" s="618">
        <f>IFERROR(IF(OR(F84="",F84="keine"),0,LOOKUP(MATCH(F84,'1. Projektangaben'!$C$36:$C$43,0),'1. Projektangaben'!$B$36:$B$43,'1. Projektangaben'!$D$36:$D$43)),0)</f>
        <v>0.15551999999999999</v>
      </c>
      <c r="H84" s="619">
        <f ca="1">'2. Energie KW.'!J68</f>
        <v>0</v>
      </c>
      <c r="I84" s="751"/>
      <c r="J84" s="622"/>
      <c r="K84" s="620">
        <f ca="1">G84*H84*-1</f>
        <v>0</v>
      </c>
      <c r="L84" s="643"/>
      <c r="M84" s="610"/>
      <c r="N84" s="610"/>
      <c r="O84" s="610"/>
      <c r="P84" s="610"/>
      <c r="Q84" s="610"/>
      <c r="R84" s="610"/>
      <c r="S84" s="440"/>
    </row>
    <row r="85" spans="1:19" ht="12.75" customHeight="1" x14ac:dyDescent="0.2">
      <c r="A85" s="440"/>
      <c r="B85" s="320"/>
      <c r="C85" s="320"/>
      <c r="D85" s="754"/>
      <c r="E85" s="621" t="str">
        <f>'2. Energie KW.'!E36</f>
        <v>Stromeinspeisung PV</v>
      </c>
      <c r="F85" s="1623" t="s">
        <v>534</v>
      </c>
      <c r="G85" s="1624"/>
      <c r="H85" s="619">
        <f ca="1">'2. Energie KW.'!J67-'3.2 Fi&amp;Fo'!H84</f>
        <v>0</v>
      </c>
      <c r="I85" s="751"/>
      <c r="J85" s="622"/>
      <c r="K85" s="620">
        <f ca="1">'PV-Einspeisung'!AA83*-1</f>
        <v>0</v>
      </c>
      <c r="L85" s="325"/>
      <c r="M85" s="628"/>
      <c r="N85" s="628"/>
      <c r="O85" s="628"/>
      <c r="P85" s="628"/>
      <c r="Q85" s="628"/>
      <c r="R85" s="628"/>
      <c r="S85" s="440"/>
    </row>
    <row r="86" spans="1:19" ht="12.75" customHeight="1" x14ac:dyDescent="0.2">
      <c r="A86" s="440"/>
      <c r="B86" s="320"/>
      <c r="C86" s="320"/>
      <c r="D86" s="610"/>
      <c r="E86" s="610"/>
      <c r="F86" s="621"/>
      <c r="G86" s="446"/>
      <c r="H86" s="610"/>
      <c r="I86" s="324"/>
      <c r="J86" s="324"/>
      <c r="K86" s="1056"/>
      <c r="L86" s="610"/>
      <c r="M86" s="610"/>
      <c r="N86" s="610"/>
      <c r="O86" s="610"/>
      <c r="P86" s="610"/>
      <c r="Q86" s="610"/>
      <c r="R86" s="628"/>
      <c r="S86" s="440"/>
    </row>
    <row r="87" spans="1:19" ht="12.95" customHeight="1" x14ac:dyDescent="0.2">
      <c r="A87" s="440"/>
      <c r="B87" s="320"/>
      <c r="C87" s="547"/>
      <c r="D87" s="557"/>
      <c r="E87" s="557"/>
      <c r="F87" s="557"/>
      <c r="G87" s="557"/>
      <c r="H87" s="605"/>
      <c r="I87" s="610"/>
      <c r="J87" s="610"/>
      <c r="K87" s="1054" t="s">
        <v>94</v>
      </c>
      <c r="L87" s="438"/>
      <c r="M87" s="628"/>
      <c r="N87" s="628"/>
      <c r="O87" s="628"/>
      <c r="P87" s="628"/>
      <c r="Q87" s="628"/>
      <c r="R87" s="628"/>
      <c r="S87" s="440"/>
    </row>
    <row r="88" spans="1:19" ht="12.95" customHeight="1" x14ac:dyDescent="0.2">
      <c r="A88" s="440"/>
      <c r="B88" s="320"/>
      <c r="C88" s="320"/>
      <c r="D88" s="438"/>
      <c r="E88" s="438"/>
      <c r="F88" s="438"/>
      <c r="G88" s="438"/>
      <c r="H88" s="610"/>
      <c r="I88" s="610"/>
      <c r="J88" s="610"/>
      <c r="K88" s="319" t="s">
        <v>93</v>
      </c>
      <c r="L88" s="319"/>
      <c r="M88" s="610"/>
      <c r="N88" s="610"/>
      <c r="O88" s="610"/>
      <c r="P88" s="610"/>
      <c r="Q88" s="610"/>
      <c r="R88" s="610"/>
      <c r="S88" s="440"/>
    </row>
    <row r="89" spans="1:19" ht="12.95" customHeight="1" x14ac:dyDescent="0.2">
      <c r="A89" s="440"/>
      <c r="B89" s="320"/>
      <c r="C89" s="320" t="s">
        <v>86</v>
      </c>
      <c r="D89" s="1621" t="s">
        <v>83</v>
      </c>
      <c r="E89" s="1615"/>
      <c r="F89" s="1616"/>
      <c r="G89" s="1616"/>
      <c r="H89" s="438"/>
      <c r="I89" s="628"/>
      <c r="J89" s="628"/>
      <c r="K89" s="306"/>
      <c r="L89" s="438"/>
      <c r="M89" s="628"/>
      <c r="N89" s="628"/>
      <c r="O89" s="628"/>
      <c r="P89" s="628"/>
      <c r="Q89" s="628"/>
      <c r="R89" s="628"/>
      <c r="S89" s="440"/>
    </row>
    <row r="90" spans="1:19" ht="12.95" customHeight="1" x14ac:dyDescent="0.2">
      <c r="A90" s="440"/>
      <c r="B90" s="321"/>
      <c r="C90" s="321"/>
      <c r="D90" s="612"/>
      <c r="E90" s="625"/>
      <c r="F90" s="626"/>
      <c r="G90" s="626"/>
      <c r="H90" s="613"/>
      <c r="I90" s="324"/>
      <c r="J90" s="324"/>
      <c r="K90" s="613"/>
      <c r="L90" s="613"/>
      <c r="M90" s="324"/>
      <c r="N90" s="324"/>
      <c r="O90" s="324"/>
      <c r="P90" s="324"/>
      <c r="Q90" s="324"/>
      <c r="R90" s="628"/>
      <c r="S90" s="440"/>
    </row>
    <row r="91" spans="1:19" ht="12.95" customHeight="1" x14ac:dyDescent="0.2">
      <c r="A91" s="440"/>
      <c r="B91" s="320"/>
      <c r="C91" s="320"/>
      <c r="D91" s="614"/>
      <c r="E91" s="623"/>
      <c r="F91" s="624"/>
      <c r="G91" s="624"/>
      <c r="H91" s="438"/>
      <c r="I91" s="628"/>
      <c r="J91" s="628"/>
      <c r="K91" s="1053" t="s">
        <v>94</v>
      </c>
      <c r="L91" s="438"/>
      <c r="M91" s="628"/>
      <c r="N91" s="628"/>
      <c r="O91" s="628"/>
      <c r="P91" s="628"/>
      <c r="Q91" s="628"/>
      <c r="R91" s="628"/>
      <c r="S91" s="440"/>
    </row>
    <row r="92" spans="1:19" ht="12.95" customHeight="1" x14ac:dyDescent="0.2">
      <c r="A92" s="440"/>
      <c r="B92" s="320"/>
      <c r="C92" s="320"/>
      <c r="D92" s="320"/>
      <c r="E92" s="628"/>
      <c r="F92" s="629"/>
      <c r="G92" s="438"/>
      <c r="H92" s="438"/>
      <c r="I92" s="610"/>
      <c r="J92" s="610"/>
      <c r="K92" s="319" t="s">
        <v>93</v>
      </c>
      <c r="L92" s="319"/>
      <c r="M92" s="628"/>
      <c r="N92" s="628"/>
      <c r="O92" s="628"/>
      <c r="P92" s="628"/>
      <c r="Q92" s="628"/>
      <c r="R92" s="628"/>
      <c r="S92" s="440"/>
    </row>
    <row r="93" spans="1:19" ht="12.95" customHeight="1" x14ac:dyDescent="0.2">
      <c r="A93" s="440"/>
      <c r="B93" s="609" t="s">
        <v>24</v>
      </c>
      <c r="C93" s="494"/>
      <c r="D93" s="1614" t="s">
        <v>84</v>
      </c>
      <c r="E93" s="1616"/>
      <c r="F93" s="1616"/>
      <c r="G93" s="1617"/>
      <c r="H93" s="438"/>
      <c r="I93" s="610"/>
      <c r="J93" s="610"/>
      <c r="K93" s="1131">
        <f>K95+K96+K94</f>
        <v>0</v>
      </c>
      <c r="L93" s="628"/>
      <c r="M93" s="628"/>
      <c r="N93" s="628"/>
      <c r="O93" s="628"/>
      <c r="P93" s="628"/>
      <c r="Q93" s="628"/>
      <c r="R93" s="628"/>
      <c r="S93" s="440"/>
    </row>
    <row r="94" spans="1:19" ht="12.95" customHeight="1" x14ac:dyDescent="0.2">
      <c r="A94" s="440"/>
      <c r="B94" s="609"/>
      <c r="C94" s="320" t="s">
        <v>407</v>
      </c>
      <c r="D94" s="1621" t="s">
        <v>408</v>
      </c>
      <c r="E94" s="1622"/>
      <c r="F94" s="1617"/>
      <c r="G94" s="1617"/>
      <c r="H94" s="322"/>
      <c r="I94" s="610"/>
      <c r="J94" s="610"/>
      <c r="K94" s="1132"/>
      <c r="L94" s="628"/>
      <c r="M94" s="628"/>
      <c r="N94" s="628"/>
      <c r="O94" s="628"/>
      <c r="P94" s="628"/>
      <c r="Q94" s="628"/>
      <c r="R94" s="628"/>
      <c r="S94" s="440"/>
    </row>
    <row r="95" spans="1:19" ht="12.95" customHeight="1" x14ac:dyDescent="0.2">
      <c r="A95" s="440"/>
      <c r="B95" s="320"/>
      <c r="C95" s="320" t="s">
        <v>85</v>
      </c>
      <c r="D95" s="1621" t="s">
        <v>87</v>
      </c>
      <c r="E95" s="1622"/>
      <c r="F95" s="1617"/>
      <c r="G95" s="1617"/>
      <c r="H95" s="322"/>
      <c r="I95" s="610"/>
      <c r="J95" s="610"/>
      <c r="K95" s="1132"/>
      <c r="L95" s="438"/>
      <c r="M95" s="322"/>
      <c r="N95" s="322"/>
      <c r="O95" s="322"/>
      <c r="P95" s="322"/>
      <c r="Q95" s="322"/>
      <c r="R95" s="322"/>
      <c r="S95" s="440"/>
    </row>
    <row r="96" spans="1:19" ht="12.95" customHeight="1" x14ac:dyDescent="0.2">
      <c r="A96" s="440"/>
      <c r="B96" s="320"/>
      <c r="C96" s="320" t="s">
        <v>88</v>
      </c>
      <c r="D96" s="1621" t="s">
        <v>89</v>
      </c>
      <c r="E96" s="1615"/>
      <c r="F96" s="1616"/>
      <c r="G96" s="1616"/>
      <c r="H96" s="438"/>
      <c r="I96" s="628"/>
      <c r="J96" s="628"/>
      <c r="K96" s="1132"/>
      <c r="L96" s="438"/>
      <c r="M96" s="325"/>
      <c r="N96" s="325"/>
      <c r="O96" s="325"/>
      <c r="P96" s="325"/>
      <c r="Q96" s="325"/>
      <c r="R96" s="325"/>
      <c r="S96" s="440"/>
    </row>
    <row r="97" spans="1:19" ht="12.95" customHeight="1" x14ac:dyDescent="0.2">
      <c r="A97" s="440"/>
      <c r="B97" s="320"/>
      <c r="C97" s="320"/>
      <c r="D97" s="612"/>
      <c r="E97" s="625"/>
      <c r="F97" s="626"/>
      <c r="G97" s="626"/>
      <c r="H97" s="613"/>
      <c r="I97" s="324"/>
      <c r="J97" s="324"/>
      <c r="K97" s="613"/>
      <c r="L97" s="613"/>
      <c r="M97" s="326"/>
      <c r="N97" s="326"/>
      <c r="O97" s="326"/>
      <c r="P97" s="326"/>
      <c r="Q97" s="326"/>
      <c r="R97" s="325"/>
      <c r="S97" s="440"/>
    </row>
    <row r="98" spans="1:19" ht="12.95" customHeight="1" x14ac:dyDescent="0.2">
      <c r="A98" s="440"/>
      <c r="B98" s="605"/>
      <c r="C98" s="605"/>
      <c r="D98" s="628"/>
      <c r="E98" s="628"/>
      <c r="F98" s="628"/>
      <c r="G98" s="628"/>
      <c r="H98" s="322"/>
      <c r="I98" s="610"/>
      <c r="J98" s="610"/>
      <c r="K98" s="1053" t="s">
        <v>94</v>
      </c>
      <c r="L98" s="438"/>
      <c r="M98" s="322"/>
      <c r="N98" s="322"/>
      <c r="O98" s="322"/>
      <c r="P98" s="322"/>
      <c r="Q98" s="322"/>
      <c r="R98" s="322"/>
      <c r="S98" s="440"/>
    </row>
    <row r="99" spans="1:19" ht="12.95" customHeight="1" x14ac:dyDescent="0.2">
      <c r="A99" s="440"/>
      <c r="B99" s="609" t="s">
        <v>14</v>
      </c>
      <c r="C99" s="449"/>
      <c r="D99" s="1618" t="s">
        <v>90</v>
      </c>
      <c r="E99" s="1619"/>
      <c r="F99" s="1620"/>
      <c r="G99" s="628"/>
      <c r="H99" s="322"/>
      <c r="I99" s="610"/>
      <c r="J99" s="610"/>
      <c r="K99" s="319" t="s">
        <v>93</v>
      </c>
      <c r="L99" s="319"/>
      <c r="M99" s="322"/>
      <c r="N99" s="322"/>
      <c r="O99" s="322"/>
      <c r="P99" s="322"/>
      <c r="Q99" s="322"/>
      <c r="R99" s="322"/>
      <c r="S99" s="440"/>
    </row>
    <row r="100" spans="1:19" ht="12.95" customHeight="1" x14ac:dyDescent="0.2">
      <c r="A100" s="440"/>
      <c r="B100" s="320"/>
      <c r="C100" s="320"/>
      <c r="D100" s="610"/>
      <c r="E100" s="610"/>
      <c r="F100" s="1612"/>
      <c r="G100" s="1613"/>
      <c r="H100" s="1613"/>
      <c r="I100" s="426"/>
      <c r="J100" s="409"/>
      <c r="K100" s="306"/>
      <c r="L100" s="613"/>
      <c r="M100" s="326"/>
      <c r="N100" s="326"/>
      <c r="O100" s="326"/>
      <c r="P100" s="326"/>
      <c r="Q100" s="326"/>
      <c r="R100" s="325"/>
      <c r="S100" s="440"/>
    </row>
    <row r="101" spans="1:19" ht="12.95" customHeight="1" x14ac:dyDescent="0.2">
      <c r="A101" s="440"/>
      <c r="B101" s="547"/>
      <c r="C101" s="547"/>
      <c r="D101" s="630"/>
      <c r="E101" s="631"/>
      <c r="F101" s="632"/>
      <c r="G101" s="632"/>
      <c r="H101" s="438"/>
      <c r="I101" s="628"/>
      <c r="J101" s="628"/>
      <c r="K101" s="1053" t="s">
        <v>94</v>
      </c>
      <c r="L101" s="438"/>
      <c r="M101" s="325"/>
      <c r="N101" s="325"/>
      <c r="O101" s="325"/>
      <c r="P101" s="325"/>
      <c r="Q101" s="325"/>
      <c r="R101" s="325"/>
      <c r="S101" s="440"/>
    </row>
    <row r="102" spans="1:19" ht="12.95" customHeight="1" x14ac:dyDescent="0.2">
      <c r="A102" s="440"/>
      <c r="B102" s="628"/>
      <c r="C102" s="628"/>
      <c r="D102" s="628"/>
      <c r="E102" s="628"/>
      <c r="F102" s="628"/>
      <c r="G102" s="610"/>
      <c r="H102" s="322"/>
      <c r="I102" s="610"/>
      <c r="J102" s="610"/>
      <c r="K102" s="319" t="s">
        <v>93</v>
      </c>
      <c r="L102" s="319"/>
      <c r="M102" s="322"/>
      <c r="N102" s="322"/>
      <c r="O102" s="322"/>
      <c r="P102" s="322"/>
      <c r="Q102" s="322"/>
      <c r="R102" s="322"/>
      <c r="S102" s="440"/>
    </row>
    <row r="103" spans="1:19" ht="12.95" customHeight="1" x14ac:dyDescent="0.2">
      <c r="A103" s="440"/>
      <c r="B103" s="609" t="s">
        <v>8</v>
      </c>
      <c r="C103" s="494"/>
      <c r="D103" s="1614" t="s">
        <v>91</v>
      </c>
      <c r="E103" s="1615"/>
      <c r="F103" s="1616"/>
      <c r="G103" s="1617"/>
      <c r="H103" s="322"/>
      <c r="I103" s="610"/>
      <c r="J103" s="610"/>
      <c r="K103" s="1131">
        <f>K104+K105+K106</f>
        <v>0</v>
      </c>
      <c r="L103" s="628"/>
      <c r="M103" s="322"/>
      <c r="N103" s="322"/>
      <c r="O103" s="322"/>
      <c r="P103" s="322"/>
      <c r="Q103" s="322"/>
      <c r="R103" s="322"/>
      <c r="S103" s="440"/>
    </row>
    <row r="104" spans="1:19" ht="12.95" customHeight="1" x14ac:dyDescent="0.2">
      <c r="A104" s="440"/>
      <c r="B104" s="320"/>
      <c r="C104" s="320"/>
      <c r="D104" s="320"/>
      <c r="E104" s="610"/>
      <c r="F104" s="1612"/>
      <c r="G104" s="1613"/>
      <c r="H104" s="1613"/>
      <c r="I104" s="610"/>
      <c r="J104" s="610"/>
      <c r="K104" s="1132"/>
      <c r="L104" s="438"/>
      <c r="M104" s="325"/>
      <c r="N104" s="325"/>
      <c r="O104" s="325"/>
      <c r="P104" s="325"/>
      <c r="Q104" s="325"/>
      <c r="R104" s="325"/>
      <c r="S104" s="440"/>
    </row>
    <row r="105" spans="1:19" ht="12.95" customHeight="1" x14ac:dyDescent="0.2">
      <c r="A105" s="440"/>
      <c r="B105" s="320"/>
      <c r="C105" s="320"/>
      <c r="D105" s="320"/>
      <c r="E105" s="610"/>
      <c r="F105" s="1612"/>
      <c r="G105" s="1613"/>
      <c r="H105" s="1613"/>
      <c r="I105" s="610"/>
      <c r="J105" s="610"/>
      <c r="K105" s="1132"/>
      <c r="L105" s="438"/>
      <c r="M105" s="325"/>
      <c r="N105" s="325"/>
      <c r="O105" s="325"/>
      <c r="P105" s="325"/>
      <c r="Q105" s="325"/>
      <c r="R105" s="325"/>
      <c r="S105" s="440"/>
    </row>
    <row r="106" spans="1:19" ht="12.95" customHeight="1" x14ac:dyDescent="0.2">
      <c r="A106" s="440"/>
      <c r="B106" s="320"/>
      <c r="C106" s="320"/>
      <c r="D106" s="320"/>
      <c r="E106" s="610"/>
      <c r="F106" s="1612"/>
      <c r="G106" s="1613"/>
      <c r="H106" s="1613"/>
      <c r="I106" s="628"/>
      <c r="J106" s="628"/>
      <c r="K106" s="1132"/>
      <c r="L106" s="438"/>
      <c r="M106" s="325"/>
      <c r="N106" s="325"/>
      <c r="O106" s="325"/>
      <c r="P106" s="325"/>
      <c r="Q106" s="325"/>
      <c r="R106" s="325"/>
      <c r="S106" s="440"/>
    </row>
    <row r="107" spans="1:19" ht="12.95" customHeight="1" x14ac:dyDescent="0.2">
      <c r="A107" s="440"/>
      <c r="B107" s="423"/>
      <c r="C107" s="423"/>
      <c r="D107" s="423"/>
      <c r="E107" s="423"/>
      <c r="F107" s="423"/>
      <c r="G107" s="633"/>
      <c r="H107" s="633"/>
      <c r="I107" s="324"/>
      <c r="J107" s="324"/>
      <c r="K107" s="613"/>
      <c r="L107" s="613"/>
      <c r="M107" s="326"/>
      <c r="N107" s="326"/>
      <c r="O107" s="326"/>
      <c r="P107" s="326"/>
      <c r="Q107" s="326"/>
      <c r="R107" s="325"/>
      <c r="S107" s="440"/>
    </row>
    <row r="108" spans="1:19" x14ac:dyDescent="0.2">
      <c r="A108" s="440"/>
      <c r="B108" s="610"/>
      <c r="C108" s="610"/>
      <c r="D108" s="610"/>
      <c r="E108" s="610"/>
      <c r="F108" s="610"/>
      <c r="G108" s="610"/>
      <c r="H108" s="610"/>
      <c r="I108" s="610"/>
      <c r="J108" s="610"/>
      <c r="K108" s="1053" t="s">
        <v>94</v>
      </c>
      <c r="L108" s="610"/>
      <c r="M108" s="610"/>
      <c r="N108" s="610"/>
      <c r="O108" s="610"/>
      <c r="P108" s="610"/>
      <c r="Q108" s="610"/>
      <c r="R108" s="610"/>
      <c r="S108" s="440"/>
    </row>
    <row r="109" spans="1:19" x14ac:dyDescent="0.2">
      <c r="A109" s="440"/>
      <c r="B109" s="610"/>
      <c r="C109" s="610"/>
      <c r="D109" s="610"/>
      <c r="E109" s="610"/>
      <c r="F109" s="610"/>
      <c r="G109" s="610"/>
      <c r="H109" s="610"/>
      <c r="I109" s="610"/>
      <c r="J109" s="610"/>
      <c r="K109" s="319" t="s">
        <v>93</v>
      </c>
      <c r="L109" s="610"/>
      <c r="M109" s="610"/>
      <c r="N109" s="610"/>
      <c r="O109" s="610"/>
      <c r="P109" s="610"/>
      <c r="Q109" s="610"/>
      <c r="R109" s="610"/>
      <c r="S109" s="440"/>
    </row>
    <row r="110" spans="1:19" ht="15" x14ac:dyDescent="0.2">
      <c r="A110" s="440"/>
      <c r="B110" s="609" t="s">
        <v>409</v>
      </c>
      <c r="C110" s="494"/>
      <c r="D110" s="1618" t="s">
        <v>406</v>
      </c>
      <c r="E110" s="1619"/>
      <c r="F110" s="1620"/>
      <c r="G110" s="610"/>
      <c r="H110" s="610"/>
      <c r="I110" s="610"/>
      <c r="J110" s="610"/>
      <c r="K110" s="1131">
        <f>K112+K113+K114</f>
        <v>0</v>
      </c>
      <c r="L110" s="610"/>
      <c r="M110" s="610"/>
      <c r="N110" s="610"/>
      <c r="O110" s="610"/>
      <c r="P110" s="610"/>
      <c r="Q110" s="610"/>
      <c r="R110" s="610"/>
      <c r="S110" s="440"/>
    </row>
    <row r="111" spans="1:19" ht="15" x14ac:dyDescent="0.2">
      <c r="A111" s="440"/>
      <c r="B111" s="609"/>
      <c r="C111" s="494"/>
      <c r="D111" s="609"/>
      <c r="E111" s="628"/>
      <c r="F111" s="629"/>
      <c r="G111" s="610"/>
      <c r="H111" s="610"/>
      <c r="I111" s="610"/>
      <c r="J111" s="610"/>
      <c r="K111" s="1056"/>
      <c r="L111" s="610"/>
      <c r="M111" s="610"/>
      <c r="N111" s="610"/>
      <c r="O111" s="610"/>
      <c r="P111" s="610"/>
      <c r="Q111" s="610"/>
      <c r="R111" s="610"/>
      <c r="S111" s="440"/>
    </row>
    <row r="112" spans="1:19" ht="15" x14ac:dyDescent="0.2">
      <c r="A112" s="440"/>
      <c r="B112" s="610"/>
      <c r="C112" s="610"/>
      <c r="D112" s="610"/>
      <c r="E112" s="610"/>
      <c r="F112" s="1612"/>
      <c r="G112" s="1613"/>
      <c r="H112" s="1613"/>
      <c r="I112" s="610"/>
      <c r="J112" s="610"/>
      <c r="K112" s="1132"/>
      <c r="L112" s="610"/>
      <c r="M112" s="610"/>
      <c r="N112" s="610"/>
      <c r="O112" s="610"/>
      <c r="P112" s="610"/>
      <c r="Q112" s="610"/>
      <c r="R112" s="610"/>
      <c r="S112" s="440"/>
    </row>
    <row r="113" spans="1:19" ht="15" x14ac:dyDescent="0.2">
      <c r="A113" s="440"/>
      <c r="B113" s="610"/>
      <c r="C113" s="610"/>
      <c r="D113" s="610"/>
      <c r="E113" s="610"/>
      <c r="F113" s="1612"/>
      <c r="G113" s="1613"/>
      <c r="H113" s="1613"/>
      <c r="I113" s="610"/>
      <c r="J113" s="610"/>
      <c r="K113" s="1132"/>
      <c r="L113" s="610"/>
      <c r="M113" s="610"/>
      <c r="N113" s="610"/>
      <c r="O113" s="610"/>
      <c r="P113" s="610"/>
      <c r="Q113" s="610"/>
      <c r="R113" s="610"/>
      <c r="S113" s="440"/>
    </row>
    <row r="114" spans="1:19" ht="15" x14ac:dyDescent="0.2">
      <c r="A114" s="440"/>
      <c r="B114" s="610"/>
      <c r="C114" s="610"/>
      <c r="D114" s="610"/>
      <c r="E114" s="610"/>
      <c r="F114" s="1612"/>
      <c r="G114" s="1613"/>
      <c r="H114" s="1613"/>
      <c r="I114" s="610"/>
      <c r="J114" s="610"/>
      <c r="K114" s="1132"/>
      <c r="L114" s="610"/>
      <c r="M114" s="610"/>
      <c r="N114" s="610"/>
      <c r="O114" s="610"/>
      <c r="P114" s="610"/>
      <c r="Q114" s="610"/>
      <c r="R114" s="610"/>
      <c r="S114" s="440"/>
    </row>
    <row r="115" spans="1:19" x14ac:dyDescent="0.2">
      <c r="A115" s="440"/>
      <c r="B115" s="324"/>
      <c r="C115" s="324"/>
      <c r="D115" s="324"/>
      <c r="E115" s="324"/>
      <c r="F115" s="324"/>
      <c r="G115" s="324"/>
      <c r="H115" s="324"/>
      <c r="I115" s="324"/>
      <c r="J115" s="324"/>
      <c r="K115" s="324"/>
      <c r="L115" s="324"/>
      <c r="M115" s="324"/>
      <c r="N115" s="324"/>
      <c r="O115" s="324"/>
      <c r="P115" s="324"/>
      <c r="Q115" s="324"/>
      <c r="R115" s="628"/>
      <c r="S115" s="440"/>
    </row>
    <row r="116" spans="1:19" x14ac:dyDescent="0.2">
      <c r="A116" s="440"/>
      <c r="B116" s="440"/>
      <c r="C116" s="440"/>
      <c r="D116" s="329"/>
      <c r="E116" s="329"/>
      <c r="F116" s="329"/>
      <c r="G116" s="329"/>
      <c r="H116" s="329"/>
      <c r="I116" s="329"/>
      <c r="J116" s="329"/>
      <c r="K116" s="329"/>
      <c r="L116" s="329"/>
      <c r="M116" s="329"/>
      <c r="N116" s="329"/>
      <c r="O116" s="329"/>
      <c r="P116" s="329"/>
      <c r="Q116" s="329"/>
      <c r="R116" s="440"/>
      <c r="S116" s="440"/>
    </row>
    <row r="117" spans="1:19" x14ac:dyDescent="0.2">
      <c r="A117" s="440"/>
      <c r="S117" s="440"/>
    </row>
    <row r="118" spans="1:19" x14ac:dyDescent="0.2">
      <c r="A118" s="440"/>
      <c r="S118" s="440"/>
    </row>
    <row r="119" spans="1:19" x14ac:dyDescent="0.2">
      <c r="A119" s="440"/>
      <c r="S119" s="440"/>
    </row>
    <row r="120" spans="1:19" x14ac:dyDescent="0.2">
      <c r="A120" s="440"/>
      <c r="S120" s="440"/>
    </row>
    <row r="121" spans="1:19" x14ac:dyDescent="0.2">
      <c r="A121" s="440"/>
      <c r="S121" s="440"/>
    </row>
    <row r="122" spans="1:19" x14ac:dyDescent="0.2">
      <c r="A122" s="440"/>
      <c r="S122" s="440"/>
    </row>
    <row r="123" spans="1:19" x14ac:dyDescent="0.2">
      <c r="A123" s="440"/>
      <c r="S123" s="440"/>
    </row>
    <row r="124" spans="1:19" x14ac:dyDescent="0.2">
      <c r="A124" s="440"/>
      <c r="S124" s="440"/>
    </row>
    <row r="125" spans="1:19" x14ac:dyDescent="0.2">
      <c r="A125" s="440"/>
      <c r="S125" s="440"/>
    </row>
    <row r="126" spans="1:19" x14ac:dyDescent="0.2">
      <c r="A126" s="440"/>
      <c r="S126" s="440"/>
    </row>
    <row r="127" spans="1:19" x14ac:dyDescent="0.2">
      <c r="A127" s="440"/>
      <c r="S127" s="440"/>
    </row>
    <row r="128" spans="1:19" x14ac:dyDescent="0.2">
      <c r="A128" s="440"/>
      <c r="S128" s="440"/>
    </row>
    <row r="129" spans="1:19" x14ac:dyDescent="0.2">
      <c r="A129" s="440"/>
      <c r="S129" s="440"/>
    </row>
    <row r="130" spans="1:19" x14ac:dyDescent="0.2">
      <c r="A130" s="440"/>
      <c r="S130" s="440"/>
    </row>
    <row r="131" spans="1:19" x14ac:dyDescent="0.2">
      <c r="A131" s="440"/>
      <c r="S131" s="440"/>
    </row>
    <row r="132" spans="1:19" x14ac:dyDescent="0.2">
      <c r="A132" s="440"/>
      <c r="S132" s="440"/>
    </row>
    <row r="133" spans="1:19" x14ac:dyDescent="0.2">
      <c r="A133" s="440"/>
      <c r="S133" s="440"/>
    </row>
    <row r="134" spans="1:19" x14ac:dyDescent="0.2">
      <c r="A134" s="440"/>
      <c r="S134" s="440"/>
    </row>
    <row r="135" spans="1:19" x14ac:dyDescent="0.2">
      <c r="A135" s="440"/>
      <c r="S135" s="440"/>
    </row>
    <row r="136" spans="1:19" x14ac:dyDescent="0.2">
      <c r="A136" s="440"/>
      <c r="S136" s="440"/>
    </row>
    <row r="137" spans="1:19" x14ac:dyDescent="0.2">
      <c r="A137" s="440"/>
      <c r="S137" s="440"/>
    </row>
    <row r="138" spans="1:19" x14ac:dyDescent="0.2">
      <c r="A138" s="440"/>
      <c r="S138" s="440"/>
    </row>
    <row r="139" spans="1:19" x14ac:dyDescent="0.2">
      <c r="A139" s="440"/>
      <c r="S139" s="440"/>
    </row>
    <row r="140" spans="1:19" x14ac:dyDescent="0.2">
      <c r="A140" s="440"/>
      <c r="S140" s="440"/>
    </row>
    <row r="141" spans="1:19" x14ac:dyDescent="0.2">
      <c r="A141" s="440"/>
      <c r="S141" s="440"/>
    </row>
    <row r="142" spans="1:19" x14ac:dyDescent="0.2">
      <c r="A142" s="440"/>
      <c r="S142" s="440"/>
    </row>
    <row r="143" spans="1:19" x14ac:dyDescent="0.2">
      <c r="A143" s="440"/>
      <c r="S143" s="440"/>
    </row>
    <row r="144" spans="1:19" x14ac:dyDescent="0.2">
      <c r="A144" s="440"/>
      <c r="S144" s="440"/>
    </row>
    <row r="145" spans="1:19" x14ac:dyDescent="0.2">
      <c r="A145" s="440"/>
      <c r="S145" s="440"/>
    </row>
    <row r="146" spans="1:19" x14ac:dyDescent="0.2">
      <c r="A146" s="440"/>
      <c r="S146" s="440"/>
    </row>
    <row r="147" spans="1:19" x14ac:dyDescent="0.2">
      <c r="A147" s="440"/>
      <c r="S147" s="440"/>
    </row>
    <row r="148" spans="1:19" x14ac:dyDescent="0.2">
      <c r="A148" s="440"/>
      <c r="S148" s="440"/>
    </row>
    <row r="149" spans="1:19" x14ac:dyDescent="0.2">
      <c r="A149" s="440"/>
      <c r="S149" s="440"/>
    </row>
    <row r="150" spans="1:19" x14ac:dyDescent="0.2">
      <c r="A150" s="440"/>
      <c r="S150" s="440"/>
    </row>
    <row r="151" spans="1:19" x14ac:dyDescent="0.2">
      <c r="A151" s="440"/>
      <c r="S151" s="440"/>
    </row>
    <row r="152" spans="1:19" x14ac:dyDescent="0.2">
      <c r="A152" s="440"/>
      <c r="S152" s="440"/>
    </row>
    <row r="153" spans="1:19" x14ac:dyDescent="0.2">
      <c r="A153" s="440"/>
      <c r="S153" s="440"/>
    </row>
    <row r="154" spans="1:19" x14ac:dyDescent="0.2">
      <c r="A154" s="440"/>
      <c r="S154" s="440"/>
    </row>
    <row r="155" spans="1:19" x14ac:dyDescent="0.2">
      <c r="A155" s="440"/>
      <c r="S155" s="440"/>
    </row>
    <row r="156" spans="1:19" x14ac:dyDescent="0.2">
      <c r="A156" s="440"/>
      <c r="S156" s="440"/>
    </row>
    <row r="157" spans="1:19" ht="11.25" customHeight="1" x14ac:dyDescent="0.2">
      <c r="A157" s="440"/>
      <c r="S157" s="440"/>
    </row>
    <row r="158" spans="1:19" x14ac:dyDescent="0.2">
      <c r="A158" s="440"/>
      <c r="S158" s="440"/>
    </row>
    <row r="159" spans="1:19" x14ac:dyDescent="0.2">
      <c r="A159" s="440"/>
      <c r="S159" s="440"/>
    </row>
    <row r="160" spans="1:19" x14ac:dyDescent="0.2">
      <c r="A160" s="440"/>
      <c r="S160" s="440"/>
    </row>
    <row r="161" spans="1:19" x14ac:dyDescent="0.2">
      <c r="A161" s="440"/>
      <c r="S161" s="440"/>
    </row>
    <row r="162" spans="1:19" x14ac:dyDescent="0.2">
      <c r="A162" s="440"/>
      <c r="S162" s="440"/>
    </row>
    <row r="163" spans="1:19" x14ac:dyDescent="0.2">
      <c r="A163" s="440"/>
      <c r="S163" s="440"/>
    </row>
    <row r="164" spans="1:19" x14ac:dyDescent="0.2">
      <c r="A164" s="440"/>
      <c r="S164" s="440"/>
    </row>
    <row r="165" spans="1:19" x14ac:dyDescent="0.2">
      <c r="A165" s="440"/>
      <c r="S165" s="440"/>
    </row>
    <row r="166" spans="1:19" x14ac:dyDescent="0.2">
      <c r="A166" s="440"/>
      <c r="S166" s="440"/>
    </row>
    <row r="167" spans="1:19" x14ac:dyDescent="0.2">
      <c r="A167" s="440"/>
      <c r="S167" s="440"/>
    </row>
    <row r="168" spans="1:19" x14ac:dyDescent="0.2">
      <c r="A168" s="440"/>
      <c r="S168" s="440"/>
    </row>
    <row r="169" spans="1:19" x14ac:dyDescent="0.2">
      <c r="A169" s="440"/>
      <c r="S169" s="440"/>
    </row>
    <row r="170" spans="1:19" x14ac:dyDescent="0.2">
      <c r="A170" s="440"/>
      <c r="S170" s="440"/>
    </row>
    <row r="171" spans="1:19" x14ac:dyDescent="0.2">
      <c r="A171" s="440"/>
      <c r="S171" s="440"/>
    </row>
    <row r="172" spans="1:19" x14ac:dyDescent="0.2">
      <c r="A172" s="440"/>
      <c r="S172" s="440"/>
    </row>
    <row r="173" spans="1:19" x14ac:dyDescent="0.2">
      <c r="A173" s="440"/>
      <c r="S173" s="440"/>
    </row>
    <row r="174" spans="1:19" x14ac:dyDescent="0.2">
      <c r="A174" s="440"/>
      <c r="S174" s="440"/>
    </row>
    <row r="175" spans="1:19" x14ac:dyDescent="0.2">
      <c r="A175" s="440"/>
      <c r="S175" s="440"/>
    </row>
    <row r="176" spans="1:19" x14ac:dyDescent="0.2">
      <c r="A176" s="440"/>
      <c r="S176" s="440"/>
    </row>
    <row r="177" spans="1:19" x14ac:dyDescent="0.2">
      <c r="A177" s="440"/>
      <c r="S177" s="440"/>
    </row>
    <row r="178" spans="1:19" x14ac:dyDescent="0.2">
      <c r="A178" s="440"/>
      <c r="S178" s="440"/>
    </row>
    <row r="179" spans="1:19" x14ac:dyDescent="0.2">
      <c r="A179" s="440"/>
      <c r="S179" s="440"/>
    </row>
    <row r="180" spans="1:19" x14ac:dyDescent="0.2">
      <c r="A180" s="440"/>
      <c r="S180" s="440"/>
    </row>
    <row r="181" spans="1:19" x14ac:dyDescent="0.2">
      <c r="A181" s="440"/>
      <c r="S181" s="440"/>
    </row>
    <row r="182" spans="1:19" x14ac:dyDescent="0.2">
      <c r="A182" s="440"/>
      <c r="S182" s="440"/>
    </row>
    <row r="183" spans="1:19" x14ac:dyDescent="0.2">
      <c r="A183" s="440"/>
      <c r="S183" s="440"/>
    </row>
    <row r="184" spans="1:19" x14ac:dyDescent="0.2">
      <c r="A184" s="440"/>
      <c r="S184" s="440"/>
    </row>
    <row r="185" spans="1:19" x14ac:dyDescent="0.2">
      <c r="A185" s="440"/>
      <c r="S185" s="440"/>
    </row>
    <row r="186" spans="1:19" x14ac:dyDescent="0.2">
      <c r="A186" s="440"/>
      <c r="S186" s="440"/>
    </row>
    <row r="187" spans="1:19" x14ac:dyDescent="0.2">
      <c r="A187" s="440"/>
      <c r="S187" s="440"/>
    </row>
    <row r="188" spans="1:19" x14ac:dyDescent="0.2">
      <c r="A188" s="440"/>
      <c r="S188" s="440"/>
    </row>
    <row r="189" spans="1:19" x14ac:dyDescent="0.2">
      <c r="A189" s="440"/>
      <c r="S189" s="440"/>
    </row>
    <row r="190" spans="1:19" x14ac:dyDescent="0.2">
      <c r="A190" s="440"/>
      <c r="S190" s="440"/>
    </row>
    <row r="191" spans="1:19" x14ac:dyDescent="0.2">
      <c r="A191" s="440"/>
      <c r="S191" s="440"/>
    </row>
    <row r="192" spans="1:19" x14ac:dyDescent="0.2">
      <c r="A192" s="440"/>
      <c r="S192" s="440"/>
    </row>
    <row r="193" spans="1:19" x14ac:dyDescent="0.2">
      <c r="A193" s="440"/>
      <c r="S193" s="440"/>
    </row>
    <row r="194" spans="1:19" x14ac:dyDescent="0.2">
      <c r="A194" s="440"/>
      <c r="S194" s="440"/>
    </row>
    <row r="195" spans="1:19" x14ac:dyDescent="0.2">
      <c r="A195" s="440"/>
      <c r="S195" s="440"/>
    </row>
    <row r="196" spans="1:19" x14ac:dyDescent="0.2">
      <c r="A196" s="440"/>
      <c r="S196" s="440"/>
    </row>
    <row r="197" spans="1:19" x14ac:dyDescent="0.2">
      <c r="A197" s="440"/>
      <c r="S197" s="440"/>
    </row>
    <row r="198" spans="1:19" x14ac:dyDescent="0.2">
      <c r="A198" s="440"/>
      <c r="S198" s="440"/>
    </row>
    <row r="199" spans="1:19" x14ac:dyDescent="0.2">
      <c r="A199" s="440"/>
      <c r="S199" s="440"/>
    </row>
    <row r="200" spans="1:19" x14ac:dyDescent="0.2">
      <c r="A200" s="440"/>
      <c r="S200" s="440"/>
    </row>
    <row r="201" spans="1:19" x14ac:dyDescent="0.2">
      <c r="A201" s="440"/>
      <c r="S201" s="440"/>
    </row>
    <row r="202" spans="1:19" x14ac:dyDescent="0.2">
      <c r="A202" s="440"/>
      <c r="S202" s="440"/>
    </row>
    <row r="203" spans="1:19" x14ac:dyDescent="0.2">
      <c r="A203" s="440"/>
      <c r="S203" s="440"/>
    </row>
    <row r="204" spans="1:19" x14ac:dyDescent="0.2">
      <c r="A204" s="440"/>
      <c r="S204" s="440"/>
    </row>
    <row r="205" spans="1:19" x14ac:dyDescent="0.2">
      <c r="A205" s="440"/>
      <c r="S205" s="440"/>
    </row>
    <row r="206" spans="1:19" x14ac:dyDescent="0.2">
      <c r="A206" s="440"/>
      <c r="S206" s="440"/>
    </row>
    <row r="207" spans="1:19" x14ac:dyDescent="0.2">
      <c r="A207" s="440"/>
      <c r="S207" s="440"/>
    </row>
    <row r="208" spans="1:19" x14ac:dyDescent="0.2">
      <c r="A208" s="440"/>
      <c r="S208" s="440"/>
    </row>
    <row r="209" spans="1:19" x14ac:dyDescent="0.2">
      <c r="A209" s="440"/>
      <c r="S209" s="440"/>
    </row>
    <row r="210" spans="1:19" x14ac:dyDescent="0.2">
      <c r="A210" s="440"/>
      <c r="S210" s="440"/>
    </row>
    <row r="211" spans="1:19" x14ac:dyDescent="0.2">
      <c r="A211" s="440"/>
      <c r="S211" s="440"/>
    </row>
    <row r="212" spans="1:19" x14ac:dyDescent="0.2">
      <c r="A212" s="440"/>
      <c r="S212" s="440"/>
    </row>
    <row r="213" spans="1:19" x14ac:dyDescent="0.2">
      <c r="A213" s="440"/>
      <c r="S213" s="440"/>
    </row>
    <row r="214" spans="1:19" x14ac:dyDescent="0.2">
      <c r="A214" s="440"/>
      <c r="S214" s="440"/>
    </row>
    <row r="215" spans="1:19" x14ac:dyDescent="0.2">
      <c r="A215" s="440"/>
      <c r="S215" s="440"/>
    </row>
    <row r="216" spans="1:19" x14ac:dyDescent="0.2">
      <c r="A216" s="440"/>
      <c r="S216" s="440"/>
    </row>
    <row r="217" spans="1:19" x14ac:dyDescent="0.2">
      <c r="A217" s="440"/>
      <c r="S217" s="440"/>
    </row>
    <row r="218" spans="1:19" x14ac:dyDescent="0.2">
      <c r="A218" s="440"/>
      <c r="S218" s="440"/>
    </row>
    <row r="219" spans="1:19" x14ac:dyDescent="0.2">
      <c r="A219" s="440"/>
      <c r="S219" s="440"/>
    </row>
    <row r="220" spans="1:19" x14ac:dyDescent="0.2">
      <c r="A220" s="440"/>
      <c r="S220" s="440"/>
    </row>
    <row r="221" spans="1:19" x14ac:dyDescent="0.2">
      <c r="A221" s="440"/>
      <c r="S221" s="440"/>
    </row>
    <row r="222" spans="1:19" x14ac:dyDescent="0.2">
      <c r="A222" s="440"/>
      <c r="S222" s="440"/>
    </row>
    <row r="223" spans="1:19" x14ac:dyDescent="0.2">
      <c r="A223" s="440"/>
      <c r="S223" s="440"/>
    </row>
    <row r="224" spans="1:19" x14ac:dyDescent="0.2">
      <c r="A224" s="440"/>
      <c r="S224" s="440"/>
    </row>
    <row r="225" spans="1:19" x14ac:dyDescent="0.2">
      <c r="A225" s="440"/>
      <c r="S225" s="440"/>
    </row>
    <row r="226" spans="1:19" x14ac:dyDescent="0.2">
      <c r="A226" s="440"/>
      <c r="S226" s="440"/>
    </row>
    <row r="227" spans="1:19" x14ac:dyDescent="0.2">
      <c r="A227" s="440"/>
      <c r="S227" s="440"/>
    </row>
    <row r="228" spans="1:19" x14ac:dyDescent="0.2">
      <c r="A228" s="440"/>
      <c r="S228" s="440"/>
    </row>
    <row r="229" spans="1:19" x14ac:dyDescent="0.2">
      <c r="A229" s="440"/>
      <c r="S229" s="440"/>
    </row>
    <row r="230" spans="1:19" x14ac:dyDescent="0.2">
      <c r="A230" s="440"/>
      <c r="S230" s="440"/>
    </row>
    <row r="231" spans="1:19" x14ac:dyDescent="0.2">
      <c r="A231" s="440"/>
      <c r="S231" s="440"/>
    </row>
    <row r="232" spans="1:19" x14ac:dyDescent="0.2">
      <c r="A232" s="440"/>
      <c r="S232" s="440"/>
    </row>
    <row r="233" spans="1:19" x14ac:dyDescent="0.2">
      <c r="A233" s="440"/>
      <c r="S233" s="440"/>
    </row>
    <row r="234" spans="1:19" x14ac:dyDescent="0.2">
      <c r="A234" s="440"/>
      <c r="S234" s="440"/>
    </row>
    <row r="235" spans="1:19" x14ac:dyDescent="0.2">
      <c r="A235" s="440"/>
      <c r="S235" s="440"/>
    </row>
    <row r="236" spans="1:19" x14ac:dyDescent="0.2">
      <c r="A236" s="440"/>
      <c r="S236" s="440"/>
    </row>
    <row r="237" spans="1:19" x14ac:dyDescent="0.2">
      <c r="A237" s="440"/>
      <c r="S237" s="440"/>
    </row>
    <row r="238" spans="1:19" x14ac:dyDescent="0.2">
      <c r="A238" s="440"/>
      <c r="S238" s="440"/>
    </row>
    <row r="239" spans="1:19" x14ac:dyDescent="0.2">
      <c r="A239" s="440"/>
      <c r="S239" s="440"/>
    </row>
    <row r="240" spans="1:19" x14ac:dyDescent="0.2">
      <c r="A240" s="440"/>
      <c r="S240" s="440"/>
    </row>
    <row r="241" spans="1:19" x14ac:dyDescent="0.2">
      <c r="A241" s="440"/>
      <c r="S241" s="440"/>
    </row>
    <row r="242" spans="1:19" x14ac:dyDescent="0.2">
      <c r="A242" s="440"/>
      <c r="S242" s="440"/>
    </row>
    <row r="243" spans="1:19" x14ac:dyDescent="0.2">
      <c r="A243" s="440"/>
      <c r="S243" s="440"/>
    </row>
    <row r="244" spans="1:19" x14ac:dyDescent="0.2">
      <c r="A244" s="440"/>
      <c r="S244" s="440"/>
    </row>
    <row r="245" spans="1:19" x14ac:dyDescent="0.2">
      <c r="A245" s="440"/>
      <c r="S245" s="440"/>
    </row>
    <row r="246" spans="1:19" x14ac:dyDescent="0.2">
      <c r="A246" s="440"/>
      <c r="S246" s="440"/>
    </row>
    <row r="247" spans="1:19" x14ac:dyDescent="0.2">
      <c r="A247" s="440"/>
      <c r="S247" s="440"/>
    </row>
    <row r="248" spans="1:19" x14ac:dyDescent="0.2">
      <c r="A248" s="440"/>
      <c r="S248" s="440"/>
    </row>
    <row r="249" spans="1:19" x14ac:dyDescent="0.2">
      <c r="A249" s="440"/>
      <c r="S249" s="440"/>
    </row>
    <row r="250" spans="1:19" x14ac:dyDescent="0.2">
      <c r="A250" s="440"/>
      <c r="S250" s="440"/>
    </row>
    <row r="251" spans="1:19" x14ac:dyDescent="0.2">
      <c r="A251" s="440"/>
      <c r="S251" s="440"/>
    </row>
    <row r="252" spans="1:19" x14ac:dyDescent="0.2">
      <c r="A252" s="440"/>
      <c r="S252" s="440"/>
    </row>
    <row r="253" spans="1:19" x14ac:dyDescent="0.2">
      <c r="A253" s="440"/>
      <c r="S253" s="440"/>
    </row>
    <row r="254" spans="1:19" x14ac:dyDescent="0.2">
      <c r="A254" s="440"/>
      <c r="S254" s="440"/>
    </row>
    <row r="255" spans="1:19" x14ac:dyDescent="0.2">
      <c r="A255" s="440"/>
      <c r="S255" s="440"/>
    </row>
    <row r="256" spans="1:19" x14ac:dyDescent="0.2">
      <c r="A256" s="440"/>
      <c r="S256" s="440"/>
    </row>
    <row r="257" spans="1:19" x14ac:dyDescent="0.2">
      <c r="A257" s="440"/>
      <c r="S257" s="440"/>
    </row>
    <row r="258" spans="1:19" x14ac:dyDescent="0.2">
      <c r="A258" s="440"/>
      <c r="S258" s="440"/>
    </row>
    <row r="259" spans="1:19" x14ac:dyDescent="0.2">
      <c r="A259" s="440"/>
      <c r="S259" s="440"/>
    </row>
    <row r="260" spans="1:19" x14ac:dyDescent="0.2">
      <c r="A260" s="440"/>
      <c r="S260" s="440"/>
    </row>
    <row r="261" spans="1:19" x14ac:dyDescent="0.2">
      <c r="A261" s="440"/>
      <c r="S261" s="440"/>
    </row>
    <row r="350" spans="3:3" x14ac:dyDescent="0.2">
      <c r="C350" s="634" t="s">
        <v>248</v>
      </c>
    </row>
    <row r="351" spans="3:3" x14ac:dyDescent="0.2">
      <c r="C351" s="634">
        <v>0</v>
      </c>
    </row>
    <row r="352" spans="3:3" x14ac:dyDescent="0.2">
      <c r="C352" s="634">
        <v>1</v>
      </c>
    </row>
    <row r="353" spans="3:3" x14ac:dyDescent="0.2">
      <c r="C353" s="634">
        <v>2</v>
      </c>
    </row>
    <row r="354" spans="3:3" x14ac:dyDescent="0.2">
      <c r="C354" s="634">
        <v>3</v>
      </c>
    </row>
    <row r="355" spans="3:3" x14ac:dyDescent="0.2">
      <c r="C355" s="634">
        <v>4</v>
      </c>
    </row>
    <row r="356" spans="3:3" x14ac:dyDescent="0.2">
      <c r="C356" s="634">
        <v>5</v>
      </c>
    </row>
    <row r="357" spans="3:3" x14ac:dyDescent="0.2">
      <c r="C357" s="634">
        <v>6</v>
      </c>
    </row>
    <row r="358" spans="3:3" x14ac:dyDescent="0.2">
      <c r="C358" s="634">
        <v>7</v>
      </c>
    </row>
    <row r="359" spans="3:3" x14ac:dyDescent="0.2">
      <c r="C359" s="634">
        <v>8</v>
      </c>
    </row>
    <row r="360" spans="3:3" x14ac:dyDescent="0.2">
      <c r="C360" s="634">
        <v>9</v>
      </c>
    </row>
    <row r="361" spans="3:3" x14ac:dyDescent="0.2">
      <c r="C361" s="634">
        <v>10</v>
      </c>
    </row>
    <row r="362" spans="3:3" x14ac:dyDescent="0.2">
      <c r="C362" s="634">
        <v>11</v>
      </c>
    </row>
    <row r="363" spans="3:3" x14ac:dyDescent="0.2">
      <c r="C363" s="634">
        <v>12</v>
      </c>
    </row>
    <row r="364" spans="3:3" x14ac:dyDescent="0.2">
      <c r="C364" s="634">
        <v>13</v>
      </c>
    </row>
    <row r="365" spans="3:3" x14ac:dyDescent="0.2">
      <c r="C365" s="634">
        <v>14</v>
      </c>
    </row>
    <row r="366" spans="3:3" x14ac:dyDescent="0.2">
      <c r="C366" s="634">
        <v>15</v>
      </c>
    </row>
    <row r="367" spans="3:3" x14ac:dyDescent="0.2">
      <c r="C367" s="634">
        <v>16</v>
      </c>
    </row>
    <row r="368" spans="3:3" x14ac:dyDescent="0.2">
      <c r="C368" s="634">
        <v>17</v>
      </c>
    </row>
    <row r="369" spans="3:3" x14ac:dyDescent="0.2">
      <c r="C369" s="634">
        <v>18</v>
      </c>
    </row>
    <row r="370" spans="3:3" x14ac:dyDescent="0.2">
      <c r="C370" s="634">
        <v>19</v>
      </c>
    </row>
    <row r="371" spans="3:3" x14ac:dyDescent="0.2">
      <c r="C371" s="634">
        <v>20</v>
      </c>
    </row>
    <row r="372" spans="3:3" x14ac:dyDescent="0.2">
      <c r="C372" s="634">
        <v>21</v>
      </c>
    </row>
    <row r="373" spans="3:3" x14ac:dyDescent="0.2">
      <c r="C373" s="634">
        <v>22</v>
      </c>
    </row>
    <row r="374" spans="3:3" x14ac:dyDescent="0.2">
      <c r="C374" s="634">
        <v>23</v>
      </c>
    </row>
    <row r="375" spans="3:3" x14ac:dyDescent="0.2">
      <c r="C375" s="634">
        <v>24</v>
      </c>
    </row>
    <row r="376" spans="3:3" x14ac:dyDescent="0.2">
      <c r="C376" s="634">
        <v>25</v>
      </c>
    </row>
    <row r="377" spans="3:3" x14ac:dyDescent="0.2">
      <c r="C377" s="634">
        <v>26</v>
      </c>
    </row>
    <row r="378" spans="3:3" x14ac:dyDescent="0.2">
      <c r="C378" s="634">
        <v>27</v>
      </c>
    </row>
    <row r="379" spans="3:3" x14ac:dyDescent="0.2">
      <c r="C379" s="634">
        <v>28</v>
      </c>
    </row>
    <row r="380" spans="3:3" x14ac:dyDescent="0.2">
      <c r="C380" s="634">
        <v>29</v>
      </c>
    </row>
    <row r="381" spans="3:3" x14ac:dyDescent="0.2">
      <c r="C381" s="634">
        <v>30</v>
      </c>
    </row>
    <row r="382" spans="3:3" x14ac:dyDescent="0.2">
      <c r="C382" s="634">
        <v>31</v>
      </c>
    </row>
    <row r="383" spans="3:3" x14ac:dyDescent="0.2">
      <c r="C383" s="634">
        <v>32</v>
      </c>
    </row>
    <row r="384" spans="3:3" x14ac:dyDescent="0.2">
      <c r="C384" s="634">
        <v>33</v>
      </c>
    </row>
    <row r="385" spans="3:3" x14ac:dyDescent="0.2">
      <c r="C385" s="634">
        <v>34</v>
      </c>
    </row>
    <row r="386" spans="3:3" x14ac:dyDescent="0.2">
      <c r="C386" s="634">
        <v>35</v>
      </c>
    </row>
    <row r="387" spans="3:3" x14ac:dyDescent="0.2">
      <c r="C387" s="634">
        <v>36</v>
      </c>
    </row>
    <row r="388" spans="3:3" x14ac:dyDescent="0.2">
      <c r="C388" s="634">
        <v>37</v>
      </c>
    </row>
    <row r="389" spans="3:3" x14ac:dyDescent="0.2">
      <c r="C389" s="634">
        <v>38</v>
      </c>
    </row>
    <row r="390" spans="3:3" x14ac:dyDescent="0.2">
      <c r="C390" s="634">
        <v>39</v>
      </c>
    </row>
    <row r="391" spans="3:3" x14ac:dyDescent="0.2">
      <c r="C391" s="634">
        <v>40</v>
      </c>
    </row>
    <row r="392" spans="3:3" x14ac:dyDescent="0.2">
      <c r="C392" s="634">
        <v>41</v>
      </c>
    </row>
    <row r="393" spans="3:3" x14ac:dyDescent="0.2">
      <c r="C393" s="634">
        <v>42</v>
      </c>
    </row>
    <row r="394" spans="3:3" x14ac:dyDescent="0.2">
      <c r="C394" s="634">
        <v>43</v>
      </c>
    </row>
    <row r="395" spans="3:3" x14ac:dyDescent="0.2">
      <c r="C395" s="634">
        <v>44</v>
      </c>
    </row>
    <row r="396" spans="3:3" x14ac:dyDescent="0.2">
      <c r="C396" s="634">
        <v>45</v>
      </c>
    </row>
    <row r="397" spans="3:3" x14ac:dyDescent="0.2">
      <c r="C397" s="634">
        <v>46</v>
      </c>
    </row>
    <row r="398" spans="3:3" x14ac:dyDescent="0.2">
      <c r="C398" s="634">
        <v>47</v>
      </c>
    </row>
    <row r="399" spans="3:3" x14ac:dyDescent="0.2">
      <c r="C399" s="634">
        <v>48</v>
      </c>
    </row>
    <row r="400" spans="3:3" x14ac:dyDescent="0.2">
      <c r="C400" s="634">
        <v>49</v>
      </c>
    </row>
    <row r="401" spans="3:3" x14ac:dyDescent="0.2">
      <c r="C401" s="634">
        <v>50</v>
      </c>
    </row>
  </sheetData>
  <sheetProtection sheet="1" objects="1" scenarios="1" selectLockedCells="1"/>
  <dataConsolidate/>
  <mergeCells count="23">
    <mergeCell ref="F113:H113"/>
    <mergeCell ref="F114:H114"/>
    <mergeCell ref="D103:G103"/>
    <mergeCell ref="F104:H104"/>
    <mergeCell ref="F105:H105"/>
    <mergeCell ref="F106:H106"/>
    <mergeCell ref="D110:F110"/>
    <mergeCell ref="F112:H112"/>
    <mergeCell ref="B1:R1"/>
    <mergeCell ref="D46:F46"/>
    <mergeCell ref="F100:H100"/>
    <mergeCell ref="D47:G47"/>
    <mergeCell ref="D48:G48"/>
    <mergeCell ref="D56:G56"/>
    <mergeCell ref="D60:F60"/>
    <mergeCell ref="D61:F61"/>
    <mergeCell ref="D89:G89"/>
    <mergeCell ref="D93:G93"/>
    <mergeCell ref="D94:G94"/>
    <mergeCell ref="D95:G95"/>
    <mergeCell ref="D96:G96"/>
    <mergeCell ref="D99:F99"/>
    <mergeCell ref="F85:G85"/>
  </mergeCells>
  <dataValidations count="5">
    <dataValidation type="whole" operator="lessThanOrEqual" allowBlank="1" showInputMessage="1" showErrorMessage="1" errorTitle="Bereichsfehler" error="Zeitraum kann nicht größer als 50 Jahre sein!" sqref="J15">
      <formula1>50</formula1>
    </dataValidation>
    <dataValidation type="custom" allowBlank="1" showInputMessage="1" showErrorMessage="1" errorTitle="Zu hoher Anteil" error="Anteil für Zinsbegünstigtern Kredit übersteigt Fremdkapitaleinsatz!!!" sqref="G19">
      <formula1>H19&lt;=1</formula1>
    </dataValidation>
    <dataValidation type="custom" allowBlank="1" showInputMessage="1" showErrorMessage="1" errorTitle="Fehler in der Eingabe" error="Nachfolgender Wert muss größer als vorheriger sein!!!" sqref="F41 F35:F38">
      <formula1>F35&gt;F34</formula1>
    </dataValidation>
    <dataValidation type="custom" allowBlank="1" showInputMessage="1" showErrorMessage="1" errorTitle="Fehler in der Eingabe" error="Nachfolgender Wert muss größer als vorheriger sein!!!" sqref="F40">
      <formula1>F40&gt;F37</formula1>
    </dataValidation>
    <dataValidation type="custom" allowBlank="1" showInputMessage="1" showErrorMessage="1" errorTitle="Fehler in der Eingabe" error="Nachfolgender Wert muss größer als vorheriger sein!!!" sqref="F39">
      <formula1>F39&gt;F37</formula1>
    </dataValidation>
  </dataValidations>
  <pageMargins left="0.7" right="0.7" top="0.78740157499999996" bottom="0.78740157499999996"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 id="{A6BC1F26-EDE5-45D4-A5F7-F05637A676DA}">
            <xm:f>OR('1. Projektangaben'!$P$60="x",'1. Projektangaben'!$P$60="X")</xm:f>
            <x14:dxf>
              <font>
                <color theme="0" tint="-0.14996795556505021"/>
              </font>
              <fill>
                <patternFill>
                  <bgColor theme="0" tint="-0.14996795556505021"/>
                </patternFill>
              </fill>
              <border>
                <left/>
                <right/>
                <top/>
                <bottom/>
                <vertical/>
                <horizontal/>
              </border>
            </x14:dxf>
          </x14:cfRule>
          <xm:sqref>B11:R13 B29:R42 B14:L15 Q14:R23 B21:L21 B19:E20 G19:L20 B18:L18 B17:F17 B16:H16 J16:L17 E22:L23 B22:C28 E24:R28</xm:sqref>
        </x14:conditionalFormatting>
        <x14:conditionalFormatting xmlns:xm="http://schemas.microsoft.com/office/excel/2006/main">
          <x14:cfRule type="expression" priority="8" id="{B593C8BD-533F-40D5-8111-85BA4FFB4836}">
            <xm:f>OR('1. Projektangaben'!$P$60="",'1. Projektangaben'!$P$60="0")</xm:f>
            <x14:dxf>
              <font>
                <color theme="0" tint="-0.14996795556505021"/>
              </font>
            </x14:dxf>
          </x14:cfRule>
          <x14:cfRule type="expression" priority="9" id="{CA37E3E4-FCAD-478F-92BC-27E7AF95BFD9}">
            <xm:f>OR('1. Projektangaben'!$P$60="x",'1. Projektangaben'!$P$60="X")</xm:f>
            <x14:dxf>
              <font>
                <color rgb="FFDA0000"/>
              </font>
            </x14:dxf>
          </x14:cfRule>
          <xm:sqref>D21:K21</xm:sqref>
        </x14:conditionalFormatting>
        <x14:conditionalFormatting xmlns:xm="http://schemas.microsoft.com/office/excel/2006/main">
          <x14:cfRule type="expression" priority="7" id="{1B137F93-CEC5-4AC5-8FED-274A46E6CEAC}">
            <xm:f>OR('1. Projektangaben'!$P$60="x",'1. Projektangaben'!$P$60="X")</xm:f>
            <x14:dxf>
              <font>
                <color theme="0" tint="-0.14996795556505021"/>
              </font>
              <fill>
                <patternFill>
                  <bgColor theme="0" tint="-0.14996795556505021"/>
                </patternFill>
              </fill>
              <border>
                <left/>
                <right/>
                <top/>
                <bottom/>
                <vertical/>
                <horizontal/>
              </border>
            </x14:dxf>
          </x14:cfRule>
          <xm:sqref>M14:P23</xm:sqref>
        </x14:conditionalFormatting>
        <x14:conditionalFormatting xmlns:xm="http://schemas.microsoft.com/office/excel/2006/main">
          <x14:cfRule type="expression" priority="6" id="{F328D4BA-239A-44A0-947F-4DC3855DE7A9}">
            <xm:f>OR('1. Projektangaben'!$P$60="x",'1. Projektangaben'!$P$60="X")</xm:f>
            <x14:dxf>
              <font>
                <color theme="0" tint="-0.14996795556505021"/>
              </font>
              <fill>
                <patternFill>
                  <bgColor theme="0" tint="-0.14996795556505021"/>
                </patternFill>
              </fill>
              <border>
                <left/>
                <right/>
                <top/>
                <bottom/>
                <vertical/>
                <horizontal/>
              </border>
            </x14:dxf>
          </x14:cfRule>
          <xm:sqref>F19:F20</xm:sqref>
        </x14:conditionalFormatting>
        <x14:conditionalFormatting xmlns:xm="http://schemas.microsoft.com/office/excel/2006/main">
          <x14:cfRule type="expression" priority="4" id="{F67DE4EF-B9E6-44EE-A1B3-C5152A564CB7}">
            <xm:f>OR('1. Projektangaben'!$P$60="x",'1. Projektangaben'!$P$60="X")</xm:f>
            <x14:dxf>
              <font>
                <color theme="0" tint="-0.14996795556505021"/>
              </font>
              <fill>
                <patternFill>
                  <bgColor theme="0" tint="-0.14996795556505021"/>
                </patternFill>
              </fill>
              <border>
                <left/>
                <right/>
                <top/>
                <bottom/>
                <vertical/>
                <horizontal/>
              </border>
            </x14:dxf>
          </x14:cfRule>
          <xm:sqref>G17:H17</xm:sqref>
        </x14:conditionalFormatting>
        <x14:conditionalFormatting xmlns:xm="http://schemas.microsoft.com/office/excel/2006/main">
          <x14:cfRule type="expression" priority="3" id="{20E04DFC-3833-4B33-AACD-BEAA1F730664}">
            <xm:f>OR('1. Projektangaben'!$P$60="x",'1. Projektangaben'!$P$60="X")</xm:f>
            <x14:dxf>
              <font>
                <color theme="0" tint="-0.14996795556505021"/>
              </font>
              <fill>
                <patternFill>
                  <bgColor theme="0" tint="-0.14996795556505021"/>
                </patternFill>
              </fill>
              <border>
                <left/>
                <right/>
                <top/>
                <bottom/>
                <vertical/>
                <horizontal/>
              </border>
            </x14:dxf>
          </x14:cfRule>
          <xm:sqref>I16</xm:sqref>
        </x14:conditionalFormatting>
        <x14:conditionalFormatting xmlns:xm="http://schemas.microsoft.com/office/excel/2006/main">
          <x14:cfRule type="expression" priority="2" id="{3F265C40-81B8-4F74-824C-19D0E7672AA3}">
            <xm:f>OR('1. Projektangaben'!$P$60="x",'1. Projektangaben'!$P$60="X")</xm:f>
            <x14:dxf>
              <font>
                <color theme="0" tint="-0.14996795556505021"/>
              </font>
              <fill>
                <patternFill>
                  <bgColor theme="0" tint="-0.14996795556505021"/>
                </patternFill>
              </fill>
              <border>
                <left/>
                <right/>
                <top/>
                <bottom/>
                <vertical/>
                <horizontal/>
              </border>
            </x14:dxf>
          </x14:cfRule>
          <xm:sqref>D22:D28</xm:sqref>
        </x14:conditionalFormatting>
        <x14:conditionalFormatting xmlns:xm="http://schemas.microsoft.com/office/excel/2006/main">
          <x14:cfRule type="expression" priority="1" id="{8EB3F52A-8E79-442B-A929-68E8298E5815}">
            <xm:f>OR('1. Projektangaben'!$P$60="x",'1. Projektangaben'!$P$60="X")</xm:f>
            <x14:dxf>
              <font>
                <color theme="0" tint="-0.14996795556505021"/>
              </font>
              <fill>
                <patternFill>
                  <bgColor theme="0" tint="-0.14996795556505021"/>
                </patternFill>
              </fill>
              <border>
                <left/>
                <right/>
                <top/>
                <bottom/>
                <vertical/>
                <horizontal/>
              </border>
            </x14:dxf>
          </x14:cfRule>
          <xm:sqref>I17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14</vt:i4>
      </vt:variant>
    </vt:vector>
  </HeadingPairs>
  <TitlesOfParts>
    <vt:vector size="33" baseType="lpstr">
      <vt:lpstr>0. Info</vt:lpstr>
      <vt:lpstr>E.1 Kosten</vt:lpstr>
      <vt:lpstr>E.2 Wirtschaftlichkeit</vt:lpstr>
      <vt:lpstr>1. Projektangaben</vt:lpstr>
      <vt:lpstr>2. Energie KW.</vt:lpstr>
      <vt:lpstr>3.1 I&amp;W</vt:lpstr>
      <vt:lpstr>3.1 Fi&amp;Fo</vt:lpstr>
      <vt:lpstr>3.2 I&amp;W</vt:lpstr>
      <vt:lpstr>3.2 Fi&amp;Fo</vt:lpstr>
      <vt:lpstr>3.3 I&amp;W</vt:lpstr>
      <vt:lpstr>3.3 Fi&amp;Fo</vt:lpstr>
      <vt:lpstr>3.4 I&amp;W</vt:lpstr>
      <vt:lpstr>3.4 Fi&amp;Fo</vt:lpstr>
      <vt:lpstr>3.5 I&amp;W</vt:lpstr>
      <vt:lpstr>3.5 Fi&amp;Fo</vt:lpstr>
      <vt:lpstr>LISTEN</vt:lpstr>
      <vt:lpstr>BERECHNUNG</vt:lpstr>
      <vt:lpstr>PV-Einspeisung</vt:lpstr>
      <vt:lpstr>Annuitätenzuschuss</vt:lpstr>
      <vt:lpstr>'1. Projektangaben'!Druckbereich</vt:lpstr>
      <vt:lpstr>'2. Energie KW.'!Druckbereich</vt:lpstr>
      <vt:lpstr>'E.1 Kosten'!Druckbereich</vt:lpstr>
      <vt:lpstr>'E.2 Wirtschaftlichkeit'!Druckbereich</vt:lpstr>
      <vt:lpstr>'1. Projektangaben'!Drucktitel</vt:lpstr>
      <vt:lpstr>'2. Energie KW.'!Drucktitel</vt:lpstr>
      <vt:lpstr>'E.2 Wirtschaftlichkeit'!Drucktitel</vt:lpstr>
      <vt:lpstr>Liste_Bauherr</vt:lpstr>
      <vt:lpstr>Liste_Betrachtung</vt:lpstr>
      <vt:lpstr>Liste_ENTR</vt:lpstr>
      <vt:lpstr>Liste_Gebtyp</vt:lpstr>
      <vt:lpstr>'0. Info'!Print_Area</vt:lpstr>
      <vt:lpstr>'2. Energie KW.'!Print_Area</vt:lpstr>
      <vt:lpstr>'2. Energie KW.'!Print_Titles</vt:lpstr>
    </vt:vector>
  </TitlesOfParts>
  <Company>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Frick David</dc:creator>
  <cp:lastModifiedBy>Beatrix Dold</cp:lastModifiedBy>
  <cp:lastPrinted>2017-09-18T07:07:56Z</cp:lastPrinted>
  <dcterms:created xsi:type="dcterms:W3CDTF">2010-09-13T08:39:22Z</dcterms:created>
  <dcterms:modified xsi:type="dcterms:W3CDTF">2019-03-19T13:19:36Z</dcterms:modified>
</cp:coreProperties>
</file>